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3040" windowHeight="9120" tabRatio="800"/>
  </bookViews>
  <sheets>
    <sheet name="Intro" sheetId="21" r:id="rId1"/>
    <sheet name="Muscat - Prices (Imports)" sheetId="19" r:id="rId2"/>
    <sheet name="Muscat - Prices (Exports)" sheetId="20" r:id="rId3"/>
    <sheet name="Imports - Data (Raw)" sheetId="1" r:id="rId4"/>
    <sheet name="Imports - Data (Adjusted) - 1" sheetId="10" r:id="rId5"/>
    <sheet name="Imports - Data (Adjusted) - 2" sheetId="13" r:id="rId6"/>
    <sheet name="Imports - Data (Adjusted) - 3" sheetId="17" r:id="rId7"/>
    <sheet name="Standards for Conversions" sheetId="7" r:id="rId8"/>
    <sheet name="Exports- Data (Raw)" sheetId="2" r:id="rId9"/>
    <sheet name="Exports - Data (Adjusted) - 1" sheetId="9" r:id="rId10"/>
    <sheet name="Exports - Data (Adjusted) - 2" sheetId="12" r:id="rId11"/>
    <sheet name="Exports - Data (Adjusted) - 3" sheetId="18" r:id="rId12"/>
    <sheet name="Color Legend" sheetId="22" r:id="rId13"/>
  </sheets>
  <calcPr calcId="152511"/>
</workbook>
</file>

<file path=xl/calcChain.xml><?xml version="1.0" encoding="utf-8"?>
<calcChain xmlns="http://schemas.openxmlformats.org/spreadsheetml/2006/main">
  <c r="H26" i="17" l="1"/>
  <c r="L26" i="17"/>
  <c r="P26" i="17"/>
  <c r="T26" i="17"/>
  <c r="X26" i="17"/>
  <c r="AR26" i="17"/>
  <c r="AU26" i="17" s="1"/>
  <c r="AQ26" i="17"/>
  <c r="AV26" i="17"/>
  <c r="AZ26" i="17"/>
  <c r="BD26" i="17"/>
  <c r="BH26" i="17"/>
  <c r="BL26" i="17"/>
  <c r="BP26" i="17"/>
  <c r="BT26" i="17"/>
  <c r="BU26" i="17"/>
  <c r="BX26" i="17"/>
  <c r="CB26" i="17"/>
  <c r="CF26" i="17"/>
  <c r="F27" i="7"/>
  <c r="G26" i="17"/>
  <c r="K26" i="17"/>
  <c r="O26" i="17"/>
  <c r="S26" i="17"/>
  <c r="W26" i="17"/>
  <c r="AA26" i="17"/>
  <c r="AM26" i="17"/>
  <c r="AY26" i="17"/>
  <c r="BC26" i="17"/>
  <c r="BG26" i="17"/>
  <c r="BK26" i="17"/>
  <c r="BO26" i="17"/>
  <c r="BS26" i="17"/>
  <c r="BW26" i="17"/>
  <c r="CA26" i="17"/>
  <c r="CE26" i="17"/>
  <c r="CI26" i="17"/>
  <c r="ER26" i="17"/>
  <c r="KO27" i="13"/>
  <c r="KP27" i="13"/>
  <c r="KQ27" i="13"/>
  <c r="JZ27" i="13"/>
  <c r="KA27" i="13"/>
  <c r="KB27" i="13"/>
  <c r="JK27" i="13"/>
  <c r="JL27" i="13"/>
  <c r="JM27" i="13" s="1"/>
  <c r="IV27" i="13"/>
  <c r="IW27" i="13"/>
  <c r="IX27" i="13"/>
  <c r="IG27" i="13"/>
  <c r="IH27" i="13"/>
  <c r="II27" i="13" s="1"/>
  <c r="HR27" i="13"/>
  <c r="HS27" i="13"/>
  <c r="HT27" i="13"/>
  <c r="HB27" i="13"/>
  <c r="HC27" i="13"/>
  <c r="HD27" i="13"/>
  <c r="GM27" i="13"/>
  <c r="GN27" i="13"/>
  <c r="GO27" i="13" s="1"/>
  <c r="FX27" i="13"/>
  <c r="FY27" i="13"/>
  <c r="FZ27" i="13"/>
  <c r="FI27" i="13"/>
  <c r="FJ27" i="13"/>
  <c r="FK27" i="13" s="1"/>
  <c r="ET27" i="13"/>
  <c r="EU27" i="13"/>
  <c r="EV27" i="13" s="1"/>
  <c r="CL27" i="13"/>
  <c r="CM27" i="13"/>
  <c r="CN27" i="13"/>
  <c r="BW27" i="13"/>
  <c r="BX27" i="13"/>
  <c r="BY27" i="13" s="1"/>
  <c r="BH27" i="13"/>
  <c r="BI27" i="13"/>
  <c r="BJ27" i="13" s="1"/>
  <c r="AS27" i="13"/>
  <c r="AT27" i="13"/>
  <c r="AU27" i="13"/>
  <c r="AD27" i="13"/>
  <c r="AE27" i="13"/>
  <c r="AF27" i="13"/>
  <c r="AG57" i="10"/>
  <c r="AG15" i="18" l="1"/>
  <c r="CK15" i="18"/>
  <c r="CG15" i="18"/>
  <c r="CC15" i="18"/>
  <c r="BY15" i="18"/>
  <c r="BU15" i="18"/>
  <c r="BQ15" i="18"/>
  <c r="BM15" i="18"/>
  <c r="BI15" i="18"/>
  <c r="BE15" i="18"/>
  <c r="BA15" i="18"/>
  <c r="AW15" i="18"/>
  <c r="AS15" i="18"/>
  <c r="BX50" i="9"/>
  <c r="BT50" i="9"/>
  <c r="BP50" i="9"/>
  <c r="BM50" i="9"/>
  <c r="BI50" i="9"/>
  <c r="BE50" i="9"/>
  <c r="BB50" i="9"/>
  <c r="AX50" i="9"/>
  <c r="AU50" i="9"/>
  <c r="AR50" i="9"/>
  <c r="AO50" i="9"/>
  <c r="AL50" i="9"/>
  <c r="AA50" i="9"/>
  <c r="BV50" i="9"/>
  <c r="BR50" i="9"/>
  <c r="BN50" i="9"/>
  <c r="BK50" i="9"/>
  <c r="BG50" i="9"/>
  <c r="BC50" i="9"/>
  <c r="AZ50" i="9"/>
  <c r="AV50" i="9"/>
  <c r="AS50" i="9"/>
  <c r="AP50" i="9"/>
  <c r="AM50" i="9"/>
  <c r="AJ50" i="9"/>
  <c r="Y50" i="9"/>
  <c r="BG48" i="17" l="1"/>
  <c r="BC48" i="17"/>
  <c r="AY48" i="17"/>
  <c r="AU48" i="17"/>
  <c r="AQ48" i="17"/>
  <c r="AM48" i="17"/>
  <c r="AI48" i="17"/>
  <c r="AE48" i="17"/>
  <c r="HC48" i="13"/>
  <c r="HD48" i="13" s="1"/>
  <c r="HB48" i="13"/>
  <c r="GN48" i="13"/>
  <c r="GO48" i="13" s="1"/>
  <c r="GM48" i="13"/>
  <c r="FY48" i="13"/>
  <c r="FZ48" i="13" s="1"/>
  <c r="FX48" i="13"/>
  <c r="FJ48" i="13"/>
  <c r="FK48" i="13" s="1"/>
  <c r="FI48" i="13"/>
  <c r="EU48" i="13"/>
  <c r="EV48" i="13" s="1"/>
  <c r="ET48" i="13"/>
  <c r="EF48" i="13"/>
  <c r="EG48" i="13" s="1"/>
  <c r="EE48" i="13"/>
  <c r="DP48" i="13"/>
  <c r="DQ48" i="13"/>
  <c r="DR48" i="13"/>
  <c r="DA48" i="13"/>
  <c r="DB48" i="13"/>
  <c r="DC48" i="13"/>
  <c r="CL48" i="13"/>
  <c r="CM48" i="13"/>
  <c r="CN48" i="13" s="1"/>
  <c r="LJ166" i="10"/>
  <c r="LB166" i="10"/>
  <c r="KL166" i="10"/>
  <c r="JV166" i="10"/>
  <c r="JF166" i="10"/>
  <c r="IP166" i="10"/>
  <c r="HZ166" i="10"/>
  <c r="HK166" i="10"/>
  <c r="GU166" i="10"/>
  <c r="GE166" i="10"/>
  <c r="FO166" i="10"/>
  <c r="EY166" i="10"/>
  <c r="EI166" i="10"/>
  <c r="DS166" i="10"/>
  <c r="F17" i="7"/>
  <c r="BL13" i="17" l="1"/>
  <c r="BH12" i="17"/>
  <c r="BD12" i="17"/>
  <c r="AZ13" i="17"/>
  <c r="AZ12" i="17"/>
  <c r="AV13" i="17"/>
  <c r="AV12" i="17"/>
  <c r="AR12" i="17"/>
  <c r="AN13" i="17"/>
  <c r="AJ13" i="17"/>
  <c r="AF13" i="17"/>
  <c r="AB13" i="17"/>
  <c r="HO12" i="13"/>
  <c r="GY12" i="13"/>
  <c r="GJ12" i="13"/>
  <c r="FU12" i="13"/>
  <c r="FF12" i="13"/>
  <c r="HX13" i="13"/>
  <c r="GD13" i="13"/>
  <c r="FO13" i="13"/>
  <c r="EK13" i="13"/>
  <c r="DV13" i="13"/>
  <c r="DG13" i="13"/>
  <c r="CR13" i="13"/>
  <c r="ID14" i="10"/>
  <c r="HO14" i="10"/>
  <c r="GY14" i="10"/>
  <c r="GI14" i="10"/>
  <c r="FS14" i="10"/>
  <c r="IL15" i="10"/>
  <c r="GQ15" i="10"/>
  <c r="GA15" i="10"/>
  <c r="EU15" i="10"/>
  <c r="EE15" i="10"/>
  <c r="DO15" i="10"/>
  <c r="CY15" i="10"/>
  <c r="F25" i="7"/>
  <c r="G6" i="17" l="1"/>
  <c r="K6" i="17"/>
  <c r="O6" i="17"/>
  <c r="S6" i="17"/>
  <c r="CH14" i="18" l="1"/>
  <c r="CH13" i="18"/>
  <c r="CH12" i="18"/>
  <c r="CI11" i="18"/>
  <c r="CH11" i="18"/>
  <c r="CH10" i="18"/>
  <c r="CH9" i="18"/>
  <c r="CI6" i="18"/>
  <c r="CH6" i="18"/>
  <c r="CH5" i="18"/>
  <c r="CH4" i="18"/>
  <c r="BM14" i="12"/>
  <c r="BM13" i="12"/>
  <c r="BM12" i="12"/>
  <c r="BN11" i="12"/>
  <c r="BM11" i="12"/>
  <c r="BM10" i="12"/>
  <c r="BM9" i="12"/>
  <c r="BM5" i="12"/>
  <c r="BM4" i="12"/>
  <c r="BM6" i="12"/>
  <c r="BN6" i="12"/>
  <c r="BX10" i="9"/>
  <c r="BX9" i="9"/>
  <c r="BV46" i="9"/>
  <c r="BV45" i="9"/>
  <c r="BV33" i="9"/>
  <c r="BV31" i="9"/>
  <c r="BV30" i="9"/>
  <c r="BV10" i="9"/>
  <c r="BV9" i="9"/>
  <c r="CQ16" i="10" l="1"/>
  <c r="CZ47" i="17" l="1"/>
  <c r="CV47" i="17"/>
  <c r="LD47" i="13"/>
  <c r="CR47" i="17"/>
  <c r="CN47" i="17"/>
  <c r="CJ47" i="17"/>
  <c r="CF47" i="17"/>
  <c r="LG47" i="13"/>
  <c r="LA47" i="13"/>
  <c r="KX47" i="13"/>
  <c r="KU47" i="13"/>
  <c r="KR47" i="13"/>
  <c r="LZ162" i="10"/>
  <c r="LW162" i="10"/>
  <c r="LT162" i="10"/>
  <c r="LP162" i="10"/>
  <c r="LM162" i="10"/>
  <c r="LJ162" i="10"/>
  <c r="IT162" i="1"/>
  <c r="IR162" i="1"/>
  <c r="IM162" i="1"/>
  <c r="IK162" i="1"/>
  <c r="II162" i="1"/>
  <c r="BG45" i="17"/>
  <c r="BC45" i="17"/>
  <c r="BJ45" i="17"/>
  <c r="BI45" i="17"/>
  <c r="BH45" i="17"/>
  <c r="BN45" i="17"/>
  <c r="BM45" i="17"/>
  <c r="BL45" i="17"/>
  <c r="BS45" i="17"/>
  <c r="BR45" i="17"/>
  <c r="BQ45" i="17"/>
  <c r="BP45" i="17"/>
  <c r="BV45" i="17"/>
  <c r="BU45" i="17"/>
  <c r="BZ45" i="17"/>
  <c r="CA45" i="17" s="1"/>
  <c r="BY45" i="17"/>
  <c r="BX45" i="17"/>
  <c r="JI42" i="13"/>
  <c r="KA157" i="10"/>
  <c r="BT41" i="17"/>
  <c r="BW41" i="17" s="1"/>
  <c r="JH42" i="13"/>
  <c r="JK42" i="13" s="1"/>
  <c r="JZ157" i="10"/>
  <c r="KP157" i="10"/>
  <c r="DP40" i="17"/>
  <c r="DL40" i="17"/>
  <c r="DH40" i="17"/>
  <c r="DD40" i="17"/>
  <c r="CZ40" i="17"/>
  <c r="LS41" i="13"/>
  <c r="LP41" i="13"/>
  <c r="LM41" i="13"/>
  <c r="LJ41" i="13"/>
  <c r="LG41" i="13"/>
  <c r="LD41" i="13"/>
  <c r="ML154" i="10"/>
  <c r="MI154" i="10"/>
  <c r="MF154" i="10"/>
  <c r="LW154" i="10"/>
  <c r="LZ154" i="10"/>
  <c r="MC154" i="10"/>
  <c r="IV154" i="1"/>
  <c r="IR154" i="1"/>
  <c r="JE154" i="1"/>
  <c r="JB154" i="1"/>
  <c r="IZ154" i="1"/>
  <c r="IX154" i="1"/>
  <c r="IT154" i="1"/>
  <c r="EU60" i="10"/>
  <c r="DG13" i="10"/>
  <c r="EM9" i="10"/>
  <c r="DD9" i="1"/>
  <c r="G50" i="17"/>
  <c r="G49" i="17"/>
  <c r="G47" i="17"/>
  <c r="G46" i="17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5" i="17"/>
  <c r="G24" i="17"/>
  <c r="G23" i="17"/>
  <c r="G22" i="17"/>
  <c r="G21" i="17"/>
  <c r="G20" i="17"/>
  <c r="G19" i="17"/>
  <c r="G18" i="17"/>
  <c r="G17" i="17"/>
  <c r="G16" i="17"/>
  <c r="G15" i="17"/>
  <c r="G14" i="17"/>
  <c r="G13" i="17"/>
  <c r="G12" i="17"/>
  <c r="G11" i="17"/>
  <c r="G10" i="17"/>
  <c r="G9" i="17"/>
  <c r="G8" i="17"/>
  <c r="G7" i="17"/>
  <c r="G5" i="17"/>
  <c r="K50" i="17"/>
  <c r="K49" i="17"/>
  <c r="K47" i="17"/>
  <c r="K46" i="17"/>
  <c r="K45" i="17"/>
  <c r="K44" i="17"/>
  <c r="K43" i="17"/>
  <c r="K42" i="17"/>
  <c r="K41" i="17"/>
  <c r="K40" i="17"/>
  <c r="K39" i="17"/>
  <c r="K38" i="17"/>
  <c r="K37" i="17"/>
  <c r="K36" i="17"/>
  <c r="K35" i="17"/>
  <c r="K34" i="17"/>
  <c r="K33" i="17"/>
  <c r="K32" i="17"/>
  <c r="K31" i="17"/>
  <c r="K30" i="17"/>
  <c r="K29" i="17"/>
  <c r="K28" i="17"/>
  <c r="K27" i="17"/>
  <c r="K25" i="17"/>
  <c r="K24" i="17"/>
  <c r="K23" i="17"/>
  <c r="K22" i="17"/>
  <c r="K21" i="17"/>
  <c r="K20" i="17"/>
  <c r="K19" i="17"/>
  <c r="K18" i="17"/>
  <c r="K17" i="17"/>
  <c r="K16" i="17"/>
  <c r="K15" i="17"/>
  <c r="K14" i="17"/>
  <c r="K13" i="17"/>
  <c r="K12" i="17"/>
  <c r="K11" i="17"/>
  <c r="K10" i="17"/>
  <c r="K9" i="17"/>
  <c r="K8" i="17"/>
  <c r="K7" i="17"/>
  <c r="K5" i="17"/>
  <c r="O50" i="17"/>
  <c r="O49" i="17"/>
  <c r="O47" i="17"/>
  <c r="O46" i="17"/>
  <c r="O45" i="17"/>
  <c r="O44" i="17"/>
  <c r="O43" i="17"/>
  <c r="O42" i="17"/>
  <c r="O41" i="17"/>
  <c r="O40" i="17"/>
  <c r="O39" i="17"/>
  <c r="O38" i="17"/>
  <c r="O37" i="17"/>
  <c r="O36" i="17"/>
  <c r="O35" i="17"/>
  <c r="O34" i="17"/>
  <c r="O33" i="17"/>
  <c r="O32" i="17"/>
  <c r="O31" i="17"/>
  <c r="O30" i="17"/>
  <c r="O29" i="17"/>
  <c r="O28" i="17"/>
  <c r="O27" i="17"/>
  <c r="O25" i="17"/>
  <c r="O24" i="17"/>
  <c r="O23" i="17"/>
  <c r="O22" i="17"/>
  <c r="O21" i="17"/>
  <c r="O20" i="17"/>
  <c r="O19" i="17"/>
  <c r="O18" i="17"/>
  <c r="O17" i="17"/>
  <c r="O16" i="17"/>
  <c r="O15" i="17"/>
  <c r="O14" i="17"/>
  <c r="O13" i="17"/>
  <c r="O12" i="17"/>
  <c r="O11" i="17"/>
  <c r="O10" i="17"/>
  <c r="O9" i="17"/>
  <c r="O8" i="17"/>
  <c r="O7" i="17"/>
  <c r="O5" i="17"/>
  <c r="S50" i="17"/>
  <c r="S49" i="17"/>
  <c r="S47" i="17"/>
  <c r="S46" i="17"/>
  <c r="S45" i="17"/>
  <c r="S44" i="17"/>
  <c r="S43" i="17"/>
  <c r="S42" i="17"/>
  <c r="S41" i="17"/>
  <c r="S40" i="17"/>
  <c r="S39" i="17"/>
  <c r="S38" i="17"/>
  <c r="S37" i="17"/>
  <c r="S36" i="17"/>
  <c r="S35" i="17"/>
  <c r="S34" i="17"/>
  <c r="S33" i="17"/>
  <c r="S32" i="17"/>
  <c r="S31" i="17"/>
  <c r="S30" i="17"/>
  <c r="S29" i="17"/>
  <c r="S28" i="17"/>
  <c r="S27" i="17"/>
  <c r="S25" i="17"/>
  <c r="S24" i="17"/>
  <c r="S23" i="17"/>
  <c r="S22" i="17"/>
  <c r="S21" i="17"/>
  <c r="S20" i="17"/>
  <c r="S19" i="17"/>
  <c r="S18" i="17"/>
  <c r="S17" i="17"/>
  <c r="S16" i="17"/>
  <c r="S15" i="17"/>
  <c r="S14" i="17"/>
  <c r="S13" i="17"/>
  <c r="S12" i="17"/>
  <c r="S11" i="17"/>
  <c r="S10" i="17"/>
  <c r="S9" i="17"/>
  <c r="S8" i="17"/>
  <c r="S7" i="17"/>
  <c r="S5" i="17"/>
  <c r="W50" i="17"/>
  <c r="W49" i="17"/>
  <c r="W47" i="17"/>
  <c r="W46" i="17"/>
  <c r="W45" i="17"/>
  <c r="W44" i="17"/>
  <c r="W43" i="17"/>
  <c r="W42" i="17"/>
  <c r="W41" i="17"/>
  <c r="W40" i="17"/>
  <c r="W39" i="17"/>
  <c r="W38" i="17"/>
  <c r="W37" i="17"/>
  <c r="W36" i="17"/>
  <c r="W35" i="17"/>
  <c r="W34" i="17"/>
  <c r="W33" i="17"/>
  <c r="W32" i="17"/>
  <c r="W31" i="17"/>
  <c r="W30" i="17"/>
  <c r="W29" i="17"/>
  <c r="W28" i="17"/>
  <c r="W27" i="17"/>
  <c r="W25" i="17"/>
  <c r="W24" i="17"/>
  <c r="W23" i="17"/>
  <c r="W22" i="17"/>
  <c r="W21" i="17"/>
  <c r="W20" i="17"/>
  <c r="W19" i="17"/>
  <c r="W18" i="17"/>
  <c r="W17" i="17"/>
  <c r="W16" i="17"/>
  <c r="W15" i="17"/>
  <c r="W14" i="17"/>
  <c r="W13" i="17"/>
  <c r="W12" i="17"/>
  <c r="W11" i="17"/>
  <c r="W10" i="17"/>
  <c r="W9" i="17"/>
  <c r="W8" i="17"/>
  <c r="W7" i="17"/>
  <c r="W5" i="17"/>
  <c r="AA50" i="17"/>
  <c r="AA49" i="17"/>
  <c r="AA47" i="17"/>
  <c r="AA46" i="17"/>
  <c r="AA45" i="17"/>
  <c r="AA44" i="17"/>
  <c r="AA43" i="17"/>
  <c r="AA42" i="17"/>
  <c r="AA41" i="17"/>
  <c r="AA40" i="17"/>
  <c r="AA39" i="17"/>
  <c r="AA38" i="17"/>
  <c r="AA37" i="17"/>
  <c r="AA36" i="17"/>
  <c r="AA35" i="17"/>
  <c r="AA34" i="17"/>
  <c r="AA33" i="17"/>
  <c r="AA32" i="17"/>
  <c r="AA31" i="17"/>
  <c r="AA30" i="17"/>
  <c r="AA29" i="17"/>
  <c r="AA28" i="17"/>
  <c r="AA27" i="17"/>
  <c r="AA25" i="17"/>
  <c r="AA24" i="17"/>
  <c r="AA23" i="17"/>
  <c r="AA22" i="17"/>
  <c r="AA21" i="17"/>
  <c r="AA20" i="17"/>
  <c r="AA19" i="17"/>
  <c r="AA18" i="17"/>
  <c r="AA17" i="17"/>
  <c r="AA16" i="17"/>
  <c r="AA15" i="17"/>
  <c r="AA14" i="17"/>
  <c r="AA13" i="17"/>
  <c r="AA12" i="17"/>
  <c r="AA11" i="17"/>
  <c r="AA10" i="17"/>
  <c r="AA9" i="17"/>
  <c r="AA8" i="17"/>
  <c r="AA7" i="17"/>
  <c r="AA5" i="17"/>
  <c r="AE50" i="17"/>
  <c r="AE49" i="17"/>
  <c r="AE47" i="17"/>
  <c r="AE46" i="17"/>
  <c r="AE45" i="17"/>
  <c r="AE44" i="17"/>
  <c r="AE43" i="17"/>
  <c r="AE42" i="17"/>
  <c r="AE41" i="17"/>
  <c r="AE40" i="17"/>
  <c r="AE39" i="17"/>
  <c r="AE38" i="17"/>
  <c r="AE37" i="17"/>
  <c r="AE36" i="17"/>
  <c r="AE35" i="17"/>
  <c r="AE34" i="17"/>
  <c r="AE33" i="17"/>
  <c r="AE32" i="17"/>
  <c r="AE31" i="17"/>
  <c r="AE30" i="17"/>
  <c r="AE29" i="17"/>
  <c r="AE28" i="17"/>
  <c r="AE27" i="17"/>
  <c r="AE25" i="17"/>
  <c r="AE24" i="17"/>
  <c r="AE23" i="17"/>
  <c r="AE22" i="17"/>
  <c r="AE21" i="17"/>
  <c r="AE20" i="17"/>
  <c r="AE19" i="17"/>
  <c r="AE18" i="17"/>
  <c r="AE17" i="17"/>
  <c r="AE16" i="17"/>
  <c r="AE15" i="17"/>
  <c r="AE14" i="17"/>
  <c r="AE13" i="17"/>
  <c r="AE12" i="17"/>
  <c r="AE11" i="17"/>
  <c r="AE10" i="17"/>
  <c r="AE9" i="17"/>
  <c r="AE8" i="17"/>
  <c r="AE7" i="17"/>
  <c r="AE5" i="17"/>
  <c r="AI50" i="17"/>
  <c r="AI49" i="17"/>
  <c r="AI47" i="17"/>
  <c r="AI46" i="17"/>
  <c r="AI45" i="17"/>
  <c r="AI44" i="17"/>
  <c r="AI43" i="17"/>
  <c r="AI42" i="17"/>
  <c r="AI41" i="17"/>
  <c r="AI40" i="17"/>
  <c r="AI39" i="17"/>
  <c r="AI38" i="17"/>
  <c r="AI37" i="17"/>
  <c r="AI36" i="17"/>
  <c r="AI35" i="17"/>
  <c r="AI34" i="17"/>
  <c r="AI33" i="17"/>
  <c r="AI32" i="17"/>
  <c r="AI31" i="17"/>
  <c r="AI30" i="17"/>
  <c r="AI29" i="17"/>
  <c r="AI28" i="17"/>
  <c r="AI27" i="17"/>
  <c r="AI25" i="17"/>
  <c r="AI24" i="17"/>
  <c r="AI23" i="17"/>
  <c r="AI22" i="17"/>
  <c r="AI21" i="17"/>
  <c r="AI20" i="17"/>
  <c r="AI19" i="17"/>
  <c r="AI18" i="17"/>
  <c r="AI17" i="17"/>
  <c r="AI16" i="17"/>
  <c r="AI15" i="17"/>
  <c r="AI14" i="17"/>
  <c r="AI13" i="17"/>
  <c r="AI12" i="17"/>
  <c r="AI11" i="17"/>
  <c r="AI10" i="17"/>
  <c r="AI9" i="17"/>
  <c r="AI8" i="17"/>
  <c r="AI7" i="17"/>
  <c r="AI5" i="17"/>
  <c r="AM50" i="17"/>
  <c r="AM49" i="17"/>
  <c r="AM47" i="17"/>
  <c r="AM46" i="17"/>
  <c r="AM45" i="17"/>
  <c r="AM44" i="17"/>
  <c r="AM43" i="17"/>
  <c r="AM42" i="17"/>
  <c r="AM41" i="17"/>
  <c r="AM40" i="17"/>
  <c r="AM39" i="17"/>
  <c r="AM38" i="17"/>
  <c r="AM37" i="17"/>
  <c r="AM36" i="17"/>
  <c r="AM35" i="17"/>
  <c r="AM34" i="17"/>
  <c r="AM33" i="17"/>
  <c r="AM32" i="17"/>
  <c r="AM31" i="17"/>
  <c r="AM30" i="17"/>
  <c r="AM29" i="17"/>
  <c r="AM28" i="17"/>
  <c r="AM27" i="17"/>
  <c r="AM25" i="17"/>
  <c r="AM24" i="17"/>
  <c r="AM23" i="17"/>
  <c r="AM22" i="17"/>
  <c r="AM21" i="17"/>
  <c r="AM20" i="17"/>
  <c r="AM19" i="17"/>
  <c r="AM18" i="17"/>
  <c r="AM17" i="17"/>
  <c r="AM16" i="17"/>
  <c r="AM15" i="17"/>
  <c r="AM14" i="17"/>
  <c r="AM13" i="17"/>
  <c r="AM12" i="17"/>
  <c r="AM11" i="17"/>
  <c r="AM10" i="17"/>
  <c r="AM9" i="17"/>
  <c r="AM8" i="17"/>
  <c r="AM7" i="17"/>
  <c r="AM5" i="17"/>
  <c r="AQ50" i="17"/>
  <c r="AQ49" i="17"/>
  <c r="AQ47" i="17"/>
  <c r="AQ46" i="17"/>
  <c r="AQ45" i="17"/>
  <c r="AQ44" i="17"/>
  <c r="AQ43" i="17"/>
  <c r="AQ42" i="17"/>
  <c r="AQ41" i="17"/>
  <c r="AQ40" i="17"/>
  <c r="AQ39" i="17"/>
  <c r="AQ38" i="17"/>
  <c r="AQ37" i="17"/>
  <c r="AQ36" i="17"/>
  <c r="AQ35" i="17"/>
  <c r="AQ34" i="17"/>
  <c r="AQ33" i="17"/>
  <c r="AQ32" i="17"/>
  <c r="AQ31" i="17"/>
  <c r="AQ30" i="17"/>
  <c r="AQ29" i="17"/>
  <c r="AQ28" i="17"/>
  <c r="AQ27" i="17"/>
  <c r="AQ25" i="17"/>
  <c r="AQ24" i="17"/>
  <c r="AQ23" i="17"/>
  <c r="AQ22" i="17"/>
  <c r="AQ21" i="17"/>
  <c r="AQ20" i="17"/>
  <c r="AQ19" i="17"/>
  <c r="AQ18" i="17"/>
  <c r="AQ17" i="17"/>
  <c r="AQ16" i="17"/>
  <c r="AQ15" i="17"/>
  <c r="AQ14" i="17"/>
  <c r="AQ13" i="17"/>
  <c r="AQ12" i="17"/>
  <c r="AQ11" i="17"/>
  <c r="AQ10" i="17"/>
  <c r="AQ9" i="17"/>
  <c r="AQ8" i="17"/>
  <c r="AQ7" i="17"/>
  <c r="AQ5" i="17"/>
  <c r="AU50" i="17"/>
  <c r="AU49" i="17"/>
  <c r="AU47" i="17"/>
  <c r="AU46" i="17"/>
  <c r="AU45" i="17"/>
  <c r="AU44" i="17"/>
  <c r="AU43" i="17"/>
  <c r="AU42" i="17"/>
  <c r="AU41" i="17"/>
  <c r="AU40" i="17"/>
  <c r="AU39" i="17"/>
  <c r="AU38" i="17"/>
  <c r="AU37" i="17"/>
  <c r="AU36" i="17"/>
  <c r="AU35" i="17"/>
  <c r="AU34" i="17"/>
  <c r="AU33" i="17"/>
  <c r="AU32" i="17"/>
  <c r="AU31" i="17"/>
  <c r="AU30" i="17"/>
  <c r="AU29" i="17"/>
  <c r="AU28" i="17"/>
  <c r="AU27" i="17"/>
  <c r="AU25" i="17"/>
  <c r="AU24" i="17"/>
  <c r="AU23" i="17"/>
  <c r="AU22" i="17"/>
  <c r="AU21" i="17"/>
  <c r="AU20" i="17"/>
  <c r="AU19" i="17"/>
  <c r="AU18" i="17"/>
  <c r="AU17" i="17"/>
  <c r="AU16" i="17"/>
  <c r="AU15" i="17"/>
  <c r="AU14" i="17"/>
  <c r="AU13" i="17"/>
  <c r="AU12" i="17"/>
  <c r="AU11" i="17"/>
  <c r="AU10" i="17"/>
  <c r="AU9" i="17"/>
  <c r="AU8" i="17"/>
  <c r="AU7" i="17"/>
  <c r="AU5" i="17"/>
  <c r="AY50" i="17"/>
  <c r="AY49" i="17"/>
  <c r="AY47" i="17"/>
  <c r="AY46" i="17"/>
  <c r="AY45" i="17"/>
  <c r="AY44" i="17"/>
  <c r="AY43" i="17"/>
  <c r="AY42" i="17"/>
  <c r="AY41" i="17"/>
  <c r="AY40" i="17"/>
  <c r="AY39" i="17"/>
  <c r="AY38" i="17"/>
  <c r="AY37" i="17"/>
  <c r="AY36" i="17"/>
  <c r="AY35" i="17"/>
  <c r="AY34" i="17"/>
  <c r="AY33" i="17"/>
  <c r="AY32" i="17"/>
  <c r="AY31" i="17"/>
  <c r="AY30" i="17"/>
  <c r="AY29" i="17"/>
  <c r="AY28" i="17"/>
  <c r="AY27" i="17"/>
  <c r="AY25" i="17"/>
  <c r="AY24" i="17"/>
  <c r="AY23" i="17"/>
  <c r="AY22" i="17"/>
  <c r="AY21" i="17"/>
  <c r="AY20" i="17"/>
  <c r="AY19" i="17"/>
  <c r="AY18" i="17"/>
  <c r="AY17" i="17"/>
  <c r="AY16" i="17"/>
  <c r="AY15" i="17"/>
  <c r="AY14" i="17"/>
  <c r="AY13" i="17"/>
  <c r="AY12" i="17"/>
  <c r="AY11" i="17"/>
  <c r="AY10" i="17"/>
  <c r="AY9" i="17"/>
  <c r="AY8" i="17"/>
  <c r="AY7" i="17"/>
  <c r="AY5" i="17"/>
  <c r="BC50" i="17"/>
  <c r="BC49" i="17"/>
  <c r="BC47" i="17"/>
  <c r="BC46" i="17"/>
  <c r="BC44" i="17"/>
  <c r="BC43" i="17"/>
  <c r="BC42" i="17"/>
  <c r="BC41" i="17"/>
  <c r="BC40" i="17"/>
  <c r="BC39" i="17"/>
  <c r="BC38" i="17"/>
  <c r="BC37" i="17"/>
  <c r="BC36" i="17"/>
  <c r="BC35" i="17"/>
  <c r="BC34" i="17"/>
  <c r="BC33" i="17"/>
  <c r="BC32" i="17"/>
  <c r="BC31" i="17"/>
  <c r="BC30" i="17"/>
  <c r="BC29" i="17"/>
  <c r="BC28" i="17"/>
  <c r="BC27" i="17"/>
  <c r="BC25" i="17"/>
  <c r="BC24" i="17"/>
  <c r="BC23" i="17"/>
  <c r="BC22" i="17"/>
  <c r="BC21" i="17"/>
  <c r="BC20" i="17"/>
  <c r="BC19" i="17"/>
  <c r="BC18" i="17"/>
  <c r="BC17" i="17"/>
  <c r="BC16" i="17"/>
  <c r="BC15" i="17"/>
  <c r="BC14" i="17"/>
  <c r="BC13" i="17"/>
  <c r="BC12" i="17"/>
  <c r="BC11" i="17"/>
  <c r="BC10" i="17"/>
  <c r="BC9" i="17"/>
  <c r="BC8" i="17"/>
  <c r="BC7" i="17"/>
  <c r="BC5" i="17"/>
  <c r="BG50" i="17"/>
  <c r="BG49" i="17"/>
  <c r="BG47" i="17"/>
  <c r="BG46" i="17"/>
  <c r="BG44" i="17"/>
  <c r="BG43" i="17"/>
  <c r="BG42" i="17"/>
  <c r="BG41" i="17"/>
  <c r="BG40" i="17"/>
  <c r="BG39" i="17"/>
  <c r="BG38" i="17"/>
  <c r="BG37" i="17"/>
  <c r="BG36" i="17"/>
  <c r="BG35" i="17"/>
  <c r="BG34" i="17"/>
  <c r="BG33" i="17"/>
  <c r="BG32" i="17"/>
  <c r="BG31" i="17"/>
  <c r="BG30" i="17"/>
  <c r="BG29" i="17"/>
  <c r="BG28" i="17"/>
  <c r="BG27" i="17"/>
  <c r="BG25" i="17"/>
  <c r="BG24" i="17"/>
  <c r="BG23" i="17"/>
  <c r="BG22" i="17"/>
  <c r="BG21" i="17"/>
  <c r="BG20" i="17"/>
  <c r="BG19" i="17"/>
  <c r="BG18" i="17"/>
  <c r="BG17" i="17"/>
  <c r="BG16" i="17"/>
  <c r="BG15" i="17"/>
  <c r="BG14" i="17"/>
  <c r="BG13" i="17"/>
  <c r="BG12" i="17"/>
  <c r="BG11" i="17"/>
  <c r="BG10" i="17"/>
  <c r="BG9" i="17"/>
  <c r="BG8" i="17"/>
  <c r="BG7" i="17"/>
  <c r="BG5" i="17"/>
  <c r="BK50" i="17"/>
  <c r="BK49" i="17"/>
  <c r="BK47" i="17"/>
  <c r="BK46" i="17"/>
  <c r="BK44" i="17"/>
  <c r="BK43" i="17"/>
  <c r="BK42" i="17"/>
  <c r="BK41" i="17"/>
  <c r="BK40" i="17"/>
  <c r="BK39" i="17"/>
  <c r="BK38" i="17"/>
  <c r="BK37" i="17"/>
  <c r="BK36" i="17"/>
  <c r="BK35" i="17"/>
  <c r="BK34" i="17"/>
  <c r="BK33" i="17"/>
  <c r="BK32" i="17"/>
  <c r="BK31" i="17"/>
  <c r="BK30" i="17"/>
  <c r="BK29" i="17"/>
  <c r="BK28" i="17"/>
  <c r="BK27" i="17"/>
  <c r="BK25" i="17"/>
  <c r="BK24" i="17"/>
  <c r="BK23" i="17"/>
  <c r="BK22" i="17"/>
  <c r="BK21" i="17"/>
  <c r="BK20" i="17"/>
  <c r="BK19" i="17"/>
  <c r="BK18" i="17"/>
  <c r="BK17" i="17"/>
  <c r="BK16" i="17"/>
  <c r="BK15" i="17"/>
  <c r="BK14" i="17"/>
  <c r="BK13" i="17"/>
  <c r="BK12" i="17"/>
  <c r="BK11" i="17"/>
  <c r="BK10" i="17"/>
  <c r="BK9" i="17"/>
  <c r="BK8" i="17"/>
  <c r="BK7" i="17"/>
  <c r="BK5" i="17"/>
  <c r="BO50" i="17"/>
  <c r="BO49" i="17"/>
  <c r="BO47" i="17"/>
  <c r="BO46" i="17"/>
  <c r="BO44" i="17"/>
  <c r="BO43" i="17"/>
  <c r="BO42" i="17"/>
  <c r="BO41" i="17"/>
  <c r="BO40" i="17"/>
  <c r="BO39" i="17"/>
  <c r="BO38" i="17"/>
  <c r="BO37" i="17"/>
  <c r="BO36" i="17"/>
  <c r="BO35" i="17"/>
  <c r="BO34" i="17"/>
  <c r="BO33" i="17"/>
  <c r="BO32" i="17"/>
  <c r="BO31" i="17"/>
  <c r="BO30" i="17"/>
  <c r="BO29" i="17"/>
  <c r="BO28" i="17"/>
  <c r="BO27" i="17"/>
  <c r="BO25" i="17"/>
  <c r="BO24" i="17"/>
  <c r="BO23" i="17"/>
  <c r="BO22" i="17"/>
  <c r="BO21" i="17"/>
  <c r="BO20" i="17"/>
  <c r="BO19" i="17"/>
  <c r="BO18" i="17"/>
  <c r="BO17" i="17"/>
  <c r="BO16" i="17"/>
  <c r="BO15" i="17"/>
  <c r="BO14" i="17"/>
  <c r="BO13" i="17"/>
  <c r="BO12" i="17"/>
  <c r="BO11" i="17"/>
  <c r="BO10" i="17"/>
  <c r="BO9" i="17"/>
  <c r="BO8" i="17"/>
  <c r="BO7" i="17"/>
  <c r="BO5" i="17"/>
  <c r="BS50" i="17"/>
  <c r="BS49" i="17"/>
  <c r="BS47" i="17"/>
  <c r="BS46" i="17"/>
  <c r="BS44" i="17"/>
  <c r="BS43" i="17"/>
  <c r="BS42" i="17"/>
  <c r="BS41" i="17"/>
  <c r="BS40" i="17"/>
  <c r="BS39" i="17"/>
  <c r="BS38" i="17"/>
  <c r="BS37" i="17"/>
  <c r="BS36" i="17"/>
  <c r="BS35" i="17"/>
  <c r="BS34" i="17"/>
  <c r="BS33" i="17"/>
  <c r="BS32" i="17"/>
  <c r="BS31" i="17"/>
  <c r="BS30" i="17"/>
  <c r="BS29" i="17"/>
  <c r="BS28" i="17"/>
  <c r="BS27" i="17"/>
  <c r="BS25" i="17"/>
  <c r="BS24" i="17"/>
  <c r="BS23" i="17"/>
  <c r="BS22" i="17"/>
  <c r="BS21" i="17"/>
  <c r="BS20" i="17"/>
  <c r="BS19" i="17"/>
  <c r="BS18" i="17"/>
  <c r="BS17" i="17"/>
  <c r="BS16" i="17"/>
  <c r="BS15" i="17"/>
  <c r="BS14" i="17"/>
  <c r="BS13" i="17"/>
  <c r="BS12" i="17"/>
  <c r="BS11" i="17"/>
  <c r="BS10" i="17"/>
  <c r="BS9" i="17"/>
  <c r="BS8" i="17"/>
  <c r="BS7" i="17"/>
  <c r="BS5" i="17"/>
  <c r="BW50" i="17"/>
  <c r="BW49" i="17"/>
  <c r="BW47" i="17"/>
  <c r="BW46" i="17"/>
  <c r="BW44" i="17"/>
  <c r="BW43" i="17"/>
  <c r="BW42" i="17"/>
  <c r="BW40" i="17"/>
  <c r="BW39" i="17"/>
  <c r="BW38" i="17"/>
  <c r="BW37" i="17"/>
  <c r="BW36" i="17"/>
  <c r="BW35" i="17"/>
  <c r="BW34" i="17"/>
  <c r="BW33" i="17"/>
  <c r="BW32" i="17"/>
  <c r="BW31" i="17"/>
  <c r="BW30" i="17"/>
  <c r="BW29" i="17"/>
  <c r="BW28" i="17"/>
  <c r="BW27" i="17"/>
  <c r="BW25" i="17"/>
  <c r="BW24" i="17"/>
  <c r="BW23" i="17"/>
  <c r="BW22" i="17"/>
  <c r="BW21" i="17"/>
  <c r="BW20" i="17"/>
  <c r="BW19" i="17"/>
  <c r="BW18" i="17"/>
  <c r="BW17" i="17"/>
  <c r="BW16" i="17"/>
  <c r="BW15" i="17"/>
  <c r="BW14" i="17"/>
  <c r="BW13" i="17"/>
  <c r="BW12" i="17"/>
  <c r="BW11" i="17"/>
  <c r="BW10" i="17"/>
  <c r="BW9" i="17"/>
  <c r="BW8" i="17"/>
  <c r="BW7" i="17"/>
  <c r="BW5" i="17"/>
  <c r="CA50" i="17"/>
  <c r="CA49" i="17"/>
  <c r="CA47" i="17"/>
  <c r="CA46" i="17"/>
  <c r="CA44" i="17"/>
  <c r="CA43" i="17"/>
  <c r="CA42" i="17"/>
  <c r="CA41" i="17"/>
  <c r="CA40" i="17"/>
  <c r="CA39" i="17"/>
  <c r="CA38" i="17"/>
  <c r="CA37" i="17"/>
  <c r="CA36" i="17"/>
  <c r="CA35" i="17"/>
  <c r="CA34" i="17"/>
  <c r="CA33" i="17"/>
  <c r="CA32" i="17"/>
  <c r="CA31" i="17"/>
  <c r="CA30" i="17"/>
  <c r="CA29" i="17"/>
  <c r="CA28" i="17"/>
  <c r="CA27" i="17"/>
  <c r="CA25" i="17"/>
  <c r="CA24" i="17"/>
  <c r="CA23" i="17"/>
  <c r="CA22" i="17"/>
  <c r="CA21" i="17"/>
  <c r="CA20" i="17"/>
  <c r="CA19" i="17"/>
  <c r="CA18" i="17"/>
  <c r="CA17" i="17"/>
  <c r="CA16" i="17"/>
  <c r="CA15" i="17"/>
  <c r="CA14" i="17"/>
  <c r="CA13" i="17"/>
  <c r="CA12" i="17"/>
  <c r="CA11" i="17"/>
  <c r="CA10" i="17"/>
  <c r="CA9" i="17"/>
  <c r="CA8" i="17"/>
  <c r="CA7" i="17"/>
  <c r="CA5" i="17"/>
  <c r="CD5" i="17"/>
  <c r="CE5" i="17" s="1"/>
  <c r="CD7" i="17"/>
  <c r="CE7" i="17" s="1"/>
  <c r="CD8" i="17"/>
  <c r="CE8" i="17" s="1"/>
  <c r="CD9" i="17"/>
  <c r="CE9" i="17" s="1"/>
  <c r="CD10" i="17"/>
  <c r="CE10" i="17" s="1"/>
  <c r="CD12" i="17"/>
  <c r="CE12" i="17" s="1"/>
  <c r="CD13" i="17"/>
  <c r="CE13" i="17" s="1"/>
  <c r="CD14" i="17"/>
  <c r="CE14" i="17" s="1"/>
  <c r="CD16" i="17"/>
  <c r="CE16" i="17" s="1"/>
  <c r="CD18" i="17"/>
  <c r="CE18" i="17" s="1"/>
  <c r="CD19" i="17"/>
  <c r="CE19" i="17" s="1"/>
  <c r="CD21" i="17"/>
  <c r="CE21" i="17" s="1"/>
  <c r="CD23" i="17"/>
  <c r="CE23" i="17" s="1"/>
  <c r="CD25" i="17"/>
  <c r="CE25" i="17" s="1"/>
  <c r="CD27" i="17"/>
  <c r="CE27" i="17" s="1"/>
  <c r="CD28" i="17"/>
  <c r="CE28" i="17" s="1"/>
  <c r="CD29" i="17"/>
  <c r="CE29" i="17" s="1"/>
  <c r="CD30" i="17"/>
  <c r="CE30" i="17" s="1"/>
  <c r="CD33" i="17"/>
  <c r="CE33" i="17" s="1"/>
  <c r="CD34" i="17"/>
  <c r="CE34" i="17" s="1"/>
  <c r="CD35" i="17"/>
  <c r="CE35" i="17" s="1"/>
  <c r="CD36" i="17"/>
  <c r="CE36" i="17" s="1"/>
  <c r="CD37" i="17"/>
  <c r="CE37" i="17" s="1"/>
  <c r="CD38" i="17"/>
  <c r="CE38" i="17" s="1"/>
  <c r="CD39" i="17"/>
  <c r="CE39" i="17" s="1"/>
  <c r="CD40" i="17"/>
  <c r="CE40" i="17" s="1"/>
  <c r="CE41" i="17"/>
  <c r="CE42" i="17"/>
  <c r="CE43" i="17"/>
  <c r="CE44" i="17"/>
  <c r="CC45" i="17"/>
  <c r="CD45" i="17"/>
  <c r="CD46" i="17"/>
  <c r="CE46" i="17" s="1"/>
  <c r="CD47" i="17"/>
  <c r="CE47" i="17" s="1"/>
  <c r="CD49" i="17"/>
  <c r="CE49" i="17" s="1"/>
  <c r="CD50" i="17"/>
  <c r="CE50" i="17" s="1"/>
  <c r="CI45" i="17"/>
  <c r="CB45" i="17"/>
  <c r="KP45" i="13"/>
  <c r="KQ45" i="13" s="1"/>
  <c r="KP44" i="13"/>
  <c r="KQ44" i="13" s="1"/>
  <c r="KP43" i="13"/>
  <c r="KQ43" i="13" s="1"/>
  <c r="KO43" i="13"/>
  <c r="KP42" i="13"/>
  <c r="KQ42" i="13" s="1"/>
  <c r="KA45" i="13"/>
  <c r="KB45" i="13" s="1"/>
  <c r="KA44" i="13"/>
  <c r="KB44" i="13" s="1"/>
  <c r="KA43" i="13"/>
  <c r="KB43" i="13" s="1"/>
  <c r="JZ43" i="13"/>
  <c r="KA42" i="13"/>
  <c r="KB42" i="13" s="1"/>
  <c r="JL45" i="13"/>
  <c r="JM45" i="13" s="1"/>
  <c r="JL44" i="13"/>
  <c r="JM44" i="13" s="1"/>
  <c r="JL43" i="13"/>
  <c r="JM43" i="13" s="1"/>
  <c r="JK43" i="13"/>
  <c r="IW45" i="13"/>
  <c r="IX45" i="13" s="1"/>
  <c r="IW44" i="13"/>
  <c r="IX44" i="13" s="1"/>
  <c r="IW43" i="13"/>
  <c r="IX43" i="13" s="1"/>
  <c r="IV43" i="13"/>
  <c r="IW42" i="13"/>
  <c r="IX42" i="13" s="1"/>
  <c r="IH45" i="13"/>
  <c r="II45" i="13" s="1"/>
  <c r="IH44" i="13"/>
  <c r="II44" i="13" s="1"/>
  <c r="IH43" i="13"/>
  <c r="II43" i="13" s="1"/>
  <c r="IH42" i="13"/>
  <c r="II42" i="13" s="1"/>
  <c r="HS45" i="13"/>
  <c r="HT45" i="13" s="1"/>
  <c r="HS44" i="13"/>
  <c r="HT44" i="13" s="1"/>
  <c r="HS43" i="13"/>
  <c r="HT43" i="13" s="1"/>
  <c r="HS42" i="13"/>
  <c r="HT42" i="13" s="1"/>
  <c r="HT41" i="13"/>
  <c r="HT46" i="13"/>
  <c r="KN43" i="13"/>
  <c r="KN42" i="13"/>
  <c r="KL42" i="13"/>
  <c r="KO42" i="13" s="1"/>
  <c r="KK45" i="13"/>
  <c r="KI45" i="13"/>
  <c r="KO45" i="13" s="1"/>
  <c r="KK44" i="13"/>
  <c r="KI44" i="13"/>
  <c r="KO44" i="13" s="1"/>
  <c r="JY43" i="13"/>
  <c r="JY42" i="13"/>
  <c r="JW42" i="13"/>
  <c r="JZ42" i="13" s="1"/>
  <c r="JV45" i="13"/>
  <c r="JT45" i="13"/>
  <c r="JZ45" i="13" s="1"/>
  <c r="JV44" i="13"/>
  <c r="JT44" i="13"/>
  <c r="JZ44" i="13" s="1"/>
  <c r="JJ43" i="13"/>
  <c r="JJ42" i="13"/>
  <c r="JG45" i="13"/>
  <c r="JE45" i="13"/>
  <c r="JK45" i="13" s="1"/>
  <c r="JG44" i="13"/>
  <c r="JE44" i="13"/>
  <c r="JK44" i="13" s="1"/>
  <c r="IU43" i="13"/>
  <c r="IU42" i="13"/>
  <c r="IS42" i="13"/>
  <c r="IV42" i="13" s="1"/>
  <c r="IR45" i="13"/>
  <c r="IP45" i="13"/>
  <c r="IV45" i="13" s="1"/>
  <c r="IR44" i="13"/>
  <c r="IP44" i="13"/>
  <c r="IV44" i="13" s="1"/>
  <c r="IF43" i="13"/>
  <c r="ID43" i="13"/>
  <c r="IG43" i="13" s="1"/>
  <c r="IF42" i="13"/>
  <c r="ID42" i="13"/>
  <c r="IG42" i="13" s="1"/>
  <c r="IC45" i="13"/>
  <c r="IA45" i="13"/>
  <c r="IG45" i="13" s="1"/>
  <c r="IC44" i="13"/>
  <c r="IA44" i="13"/>
  <c r="IG44" i="13" s="1"/>
  <c r="HQ43" i="13"/>
  <c r="HO43" i="13"/>
  <c r="HR43" i="13" s="1"/>
  <c r="HQ42" i="13"/>
  <c r="HO42" i="13"/>
  <c r="HR42" i="13" s="1"/>
  <c r="HN45" i="13"/>
  <c r="HL45" i="13"/>
  <c r="HR45" i="13" s="1"/>
  <c r="HN44" i="13"/>
  <c r="HL44" i="13"/>
  <c r="HR44" i="13" s="1"/>
  <c r="IT158" i="10"/>
  <c r="ID158" i="10"/>
  <c r="EV14" i="13"/>
  <c r="P49" i="13"/>
  <c r="Q49" i="13" s="1"/>
  <c r="O49" i="13"/>
  <c r="P47" i="13"/>
  <c r="Q47" i="13" s="1"/>
  <c r="O47" i="13"/>
  <c r="P46" i="13"/>
  <c r="Q46" i="13" s="1"/>
  <c r="O46" i="13"/>
  <c r="P45" i="13"/>
  <c r="Q45" i="13" s="1"/>
  <c r="O45" i="13"/>
  <c r="P44" i="13"/>
  <c r="Q44" i="13" s="1"/>
  <c r="O44" i="13"/>
  <c r="P43" i="13"/>
  <c r="Q43" i="13" s="1"/>
  <c r="O43" i="13"/>
  <c r="P42" i="13"/>
  <c r="Q42" i="13" s="1"/>
  <c r="O42" i="13"/>
  <c r="P41" i="13"/>
  <c r="Q41" i="13" s="1"/>
  <c r="O41" i="13"/>
  <c r="P40" i="13"/>
  <c r="Q40" i="13" s="1"/>
  <c r="O40" i="13"/>
  <c r="P39" i="13"/>
  <c r="Q39" i="13" s="1"/>
  <c r="O39" i="13"/>
  <c r="P38" i="13"/>
  <c r="Q38" i="13" s="1"/>
  <c r="O38" i="13"/>
  <c r="P37" i="13"/>
  <c r="Q37" i="13" s="1"/>
  <c r="O37" i="13"/>
  <c r="P36" i="13"/>
  <c r="Q36" i="13" s="1"/>
  <c r="O36" i="13"/>
  <c r="P35" i="13"/>
  <c r="Q35" i="13" s="1"/>
  <c r="O35" i="13"/>
  <c r="P34" i="13"/>
  <c r="Q34" i="13" s="1"/>
  <c r="O34" i="13"/>
  <c r="P33" i="13"/>
  <c r="Q33" i="13" s="1"/>
  <c r="O33" i="13"/>
  <c r="P32" i="13"/>
  <c r="Q32" i="13" s="1"/>
  <c r="O32" i="13"/>
  <c r="P31" i="13"/>
  <c r="Q31" i="13" s="1"/>
  <c r="O31" i="13"/>
  <c r="P30" i="13"/>
  <c r="Q30" i="13" s="1"/>
  <c r="O30" i="13"/>
  <c r="P29" i="13"/>
  <c r="Q29" i="13" s="1"/>
  <c r="O29" i="13"/>
  <c r="P28" i="13"/>
  <c r="Q28" i="13" s="1"/>
  <c r="O28" i="13"/>
  <c r="P26" i="13"/>
  <c r="Q26" i="13" s="1"/>
  <c r="O26" i="13"/>
  <c r="P25" i="13"/>
  <c r="Q25" i="13" s="1"/>
  <c r="O25" i="13"/>
  <c r="P24" i="13"/>
  <c r="Q24" i="13" s="1"/>
  <c r="O24" i="13"/>
  <c r="P23" i="13"/>
  <c r="Q23" i="13" s="1"/>
  <c r="O23" i="13"/>
  <c r="P22" i="13"/>
  <c r="Q22" i="13" s="1"/>
  <c r="O22" i="13"/>
  <c r="P21" i="13"/>
  <c r="Q21" i="13" s="1"/>
  <c r="O21" i="13"/>
  <c r="P20" i="13"/>
  <c r="Q20" i="13" s="1"/>
  <c r="O20" i="13"/>
  <c r="P19" i="13"/>
  <c r="Q19" i="13" s="1"/>
  <c r="O19" i="13"/>
  <c r="P18" i="13"/>
  <c r="Q18" i="13" s="1"/>
  <c r="O18" i="13"/>
  <c r="P17" i="13"/>
  <c r="Q17" i="13" s="1"/>
  <c r="O17" i="13"/>
  <c r="P16" i="13"/>
  <c r="Q16" i="13" s="1"/>
  <c r="O16" i="13"/>
  <c r="P15" i="13"/>
  <c r="Q15" i="13" s="1"/>
  <c r="O15" i="13"/>
  <c r="P14" i="13"/>
  <c r="Q14" i="13" s="1"/>
  <c r="O14" i="13"/>
  <c r="P13" i="13"/>
  <c r="Q13" i="13" s="1"/>
  <c r="O13" i="13"/>
  <c r="P12" i="13"/>
  <c r="Q12" i="13" s="1"/>
  <c r="O12" i="13"/>
  <c r="P11" i="13"/>
  <c r="Q11" i="13" s="1"/>
  <c r="O11" i="13"/>
  <c r="P10" i="13"/>
  <c r="Q10" i="13" s="1"/>
  <c r="O10" i="13"/>
  <c r="P9" i="13"/>
  <c r="Q9" i="13" s="1"/>
  <c r="O9" i="13"/>
  <c r="P8" i="13"/>
  <c r="Q8" i="13" s="1"/>
  <c r="O8" i="13"/>
  <c r="P7" i="13"/>
  <c r="Q7" i="13" s="1"/>
  <c r="O7" i="13"/>
  <c r="P6" i="13"/>
  <c r="Q6" i="13" s="1"/>
  <c r="O6" i="13"/>
  <c r="P5" i="13"/>
  <c r="Q5" i="13" s="1"/>
  <c r="AE49" i="13"/>
  <c r="AF49" i="13" s="1"/>
  <c r="AD49" i="13"/>
  <c r="AE47" i="13"/>
  <c r="AF47" i="13" s="1"/>
  <c r="AD47" i="13"/>
  <c r="AE46" i="13"/>
  <c r="AF46" i="13" s="1"/>
  <c r="AD46" i="13"/>
  <c r="AE45" i="13"/>
  <c r="AF45" i="13" s="1"/>
  <c r="AD45" i="13"/>
  <c r="AE44" i="13"/>
  <c r="AF44" i="13" s="1"/>
  <c r="AD44" i="13"/>
  <c r="AE43" i="13"/>
  <c r="AF43" i="13" s="1"/>
  <c r="AD43" i="13"/>
  <c r="AE42" i="13"/>
  <c r="AF42" i="13" s="1"/>
  <c r="AD42" i="13"/>
  <c r="AE41" i="13"/>
  <c r="AF41" i="13" s="1"/>
  <c r="AD41" i="13"/>
  <c r="AE40" i="13"/>
  <c r="AF40" i="13" s="1"/>
  <c r="AD40" i="13"/>
  <c r="AE39" i="13"/>
  <c r="AF39" i="13" s="1"/>
  <c r="AD39" i="13"/>
  <c r="AE38" i="13"/>
  <c r="AF38" i="13" s="1"/>
  <c r="AD38" i="13"/>
  <c r="AE37" i="13"/>
  <c r="AF37" i="13" s="1"/>
  <c r="AD37" i="13"/>
  <c r="AE36" i="13"/>
  <c r="AF36" i="13" s="1"/>
  <c r="AD36" i="13"/>
  <c r="AE35" i="13"/>
  <c r="AF35" i="13" s="1"/>
  <c r="AD35" i="13"/>
  <c r="AE34" i="13"/>
  <c r="AF34" i="13" s="1"/>
  <c r="AD34" i="13"/>
  <c r="AE33" i="13"/>
  <c r="AF33" i="13" s="1"/>
  <c r="AD33" i="13"/>
  <c r="AE32" i="13"/>
  <c r="AF32" i="13" s="1"/>
  <c r="AD32" i="13"/>
  <c r="AE31" i="13"/>
  <c r="AF31" i="13" s="1"/>
  <c r="AD31" i="13"/>
  <c r="AE30" i="13"/>
  <c r="AF30" i="13" s="1"/>
  <c r="AD30" i="13"/>
  <c r="AE29" i="13"/>
  <c r="AF29" i="13" s="1"/>
  <c r="AD29" i="13"/>
  <c r="AE28" i="13"/>
  <c r="AF28" i="13" s="1"/>
  <c r="AD28" i="13"/>
  <c r="AE26" i="13"/>
  <c r="AF26" i="13" s="1"/>
  <c r="AD26" i="13"/>
  <c r="AE25" i="13"/>
  <c r="AF25" i="13" s="1"/>
  <c r="AD25" i="13"/>
  <c r="AE24" i="13"/>
  <c r="AF24" i="13" s="1"/>
  <c r="AD24" i="13"/>
  <c r="AE23" i="13"/>
  <c r="AF23" i="13" s="1"/>
  <c r="AD23" i="13"/>
  <c r="AE22" i="13"/>
  <c r="AF22" i="13" s="1"/>
  <c r="AD22" i="13"/>
  <c r="AE21" i="13"/>
  <c r="AF21" i="13" s="1"/>
  <c r="AD21" i="13"/>
  <c r="AE20" i="13"/>
  <c r="AF20" i="13" s="1"/>
  <c r="AD20" i="13"/>
  <c r="AE19" i="13"/>
  <c r="AF19" i="13" s="1"/>
  <c r="AD19" i="13"/>
  <c r="AE18" i="13"/>
  <c r="AF18" i="13" s="1"/>
  <c r="AD18" i="13"/>
  <c r="AE17" i="13"/>
  <c r="AF17" i="13" s="1"/>
  <c r="AD17" i="13"/>
  <c r="AE16" i="13"/>
  <c r="AF16" i="13" s="1"/>
  <c r="AD16" i="13"/>
  <c r="AE15" i="13"/>
  <c r="AF15" i="13" s="1"/>
  <c r="AD15" i="13"/>
  <c r="AE14" i="13"/>
  <c r="AF14" i="13" s="1"/>
  <c r="AD14" i="13"/>
  <c r="AE13" i="13"/>
  <c r="AF13" i="13" s="1"/>
  <c r="AD13" i="13"/>
  <c r="AE12" i="13"/>
  <c r="AF12" i="13" s="1"/>
  <c r="AD12" i="13"/>
  <c r="AE11" i="13"/>
  <c r="AF11" i="13" s="1"/>
  <c r="AD11" i="13"/>
  <c r="AE10" i="13"/>
  <c r="AF10" i="13" s="1"/>
  <c r="AD10" i="13"/>
  <c r="AE9" i="13"/>
  <c r="AF9" i="13" s="1"/>
  <c r="AD9" i="13"/>
  <c r="AE8" i="13"/>
  <c r="AF8" i="13" s="1"/>
  <c r="AD8" i="13"/>
  <c r="AE7" i="13"/>
  <c r="AF7" i="13" s="1"/>
  <c r="AD7" i="13"/>
  <c r="AE6" i="13"/>
  <c r="AF6" i="13" s="1"/>
  <c r="AD6" i="13"/>
  <c r="AE5" i="13"/>
  <c r="AF5" i="13" s="1"/>
  <c r="L5" i="13"/>
  <c r="O5" i="13" s="1"/>
  <c r="AT49" i="13"/>
  <c r="AU49" i="13" s="1"/>
  <c r="AS49" i="13"/>
  <c r="AT47" i="13"/>
  <c r="AU47" i="13" s="1"/>
  <c r="AS47" i="13"/>
  <c r="AT46" i="13"/>
  <c r="AU46" i="13" s="1"/>
  <c r="AS46" i="13"/>
  <c r="AT45" i="13"/>
  <c r="AU45" i="13" s="1"/>
  <c r="AS45" i="13"/>
  <c r="AT44" i="13"/>
  <c r="AU44" i="13" s="1"/>
  <c r="AS44" i="13"/>
  <c r="AT43" i="13"/>
  <c r="AU43" i="13" s="1"/>
  <c r="AS43" i="13"/>
  <c r="AT42" i="13"/>
  <c r="AU42" i="13" s="1"/>
  <c r="AS42" i="13"/>
  <c r="AT41" i="13"/>
  <c r="AU41" i="13" s="1"/>
  <c r="AS41" i="13"/>
  <c r="AT40" i="13"/>
  <c r="AU40" i="13" s="1"/>
  <c r="AS40" i="13"/>
  <c r="AT39" i="13"/>
  <c r="AU39" i="13" s="1"/>
  <c r="AS39" i="13"/>
  <c r="AT38" i="13"/>
  <c r="AU38" i="13" s="1"/>
  <c r="AS38" i="13"/>
  <c r="AT37" i="13"/>
  <c r="AU37" i="13" s="1"/>
  <c r="AS37" i="13"/>
  <c r="AT36" i="13"/>
  <c r="AU36" i="13" s="1"/>
  <c r="AS36" i="13"/>
  <c r="AT35" i="13"/>
  <c r="AU35" i="13" s="1"/>
  <c r="AS35" i="13"/>
  <c r="AT34" i="13"/>
  <c r="AU34" i="13" s="1"/>
  <c r="AS34" i="13"/>
  <c r="AT33" i="13"/>
  <c r="AU33" i="13" s="1"/>
  <c r="AS33" i="13"/>
  <c r="AT32" i="13"/>
  <c r="AU32" i="13" s="1"/>
  <c r="AS32" i="13"/>
  <c r="AT31" i="13"/>
  <c r="AU31" i="13" s="1"/>
  <c r="AS31" i="13"/>
  <c r="AT30" i="13"/>
  <c r="AU30" i="13" s="1"/>
  <c r="AS30" i="13"/>
  <c r="AT29" i="13"/>
  <c r="AU29" i="13" s="1"/>
  <c r="AS29" i="13"/>
  <c r="AT28" i="13"/>
  <c r="AU28" i="13" s="1"/>
  <c r="AS28" i="13"/>
  <c r="AT26" i="13"/>
  <c r="AU26" i="13" s="1"/>
  <c r="AS26" i="13"/>
  <c r="AT25" i="13"/>
  <c r="AU25" i="13" s="1"/>
  <c r="AS25" i="13"/>
  <c r="AT24" i="13"/>
  <c r="AU24" i="13" s="1"/>
  <c r="AS24" i="13"/>
  <c r="AT23" i="13"/>
  <c r="AU23" i="13" s="1"/>
  <c r="AS23" i="13"/>
  <c r="AT22" i="13"/>
  <c r="AU22" i="13" s="1"/>
  <c r="AS22" i="13"/>
  <c r="AT21" i="13"/>
  <c r="AU21" i="13" s="1"/>
  <c r="AS21" i="13"/>
  <c r="AT20" i="13"/>
  <c r="AU20" i="13" s="1"/>
  <c r="AS20" i="13"/>
  <c r="AT19" i="13"/>
  <c r="AU19" i="13" s="1"/>
  <c r="AS19" i="13"/>
  <c r="AT18" i="13"/>
  <c r="AU18" i="13" s="1"/>
  <c r="AS18" i="13"/>
  <c r="AT17" i="13"/>
  <c r="AU17" i="13" s="1"/>
  <c r="AS17" i="13"/>
  <c r="AT16" i="13"/>
  <c r="AU16" i="13" s="1"/>
  <c r="AS16" i="13"/>
  <c r="AT15" i="13"/>
  <c r="AU15" i="13" s="1"/>
  <c r="AS15" i="13"/>
  <c r="AT14" i="13"/>
  <c r="AU14" i="13" s="1"/>
  <c r="AS14" i="13"/>
  <c r="AT13" i="13"/>
  <c r="AU13" i="13" s="1"/>
  <c r="AS13" i="13"/>
  <c r="AT12" i="13"/>
  <c r="AU12" i="13" s="1"/>
  <c r="AS12" i="13"/>
  <c r="AT11" i="13"/>
  <c r="AU11" i="13" s="1"/>
  <c r="AS11" i="13"/>
  <c r="AT10" i="13"/>
  <c r="AU10" i="13" s="1"/>
  <c r="AS10" i="13"/>
  <c r="AT9" i="13"/>
  <c r="AU9" i="13" s="1"/>
  <c r="AS9" i="13"/>
  <c r="AT8" i="13"/>
  <c r="AU8" i="13" s="1"/>
  <c r="AS8" i="13"/>
  <c r="AT7" i="13"/>
  <c r="AU7" i="13" s="1"/>
  <c r="AS7" i="13"/>
  <c r="AT6" i="13"/>
  <c r="AU6" i="13" s="1"/>
  <c r="AS6" i="13"/>
  <c r="AT5" i="13"/>
  <c r="AU5" i="13" s="1"/>
  <c r="BI49" i="13"/>
  <c r="BJ49" i="13" s="1"/>
  <c r="BH49" i="13"/>
  <c r="BI47" i="13"/>
  <c r="BJ47" i="13" s="1"/>
  <c r="BH47" i="13"/>
  <c r="BI46" i="13"/>
  <c r="BJ46" i="13" s="1"/>
  <c r="BH46" i="13"/>
  <c r="BI45" i="13"/>
  <c r="BJ45" i="13" s="1"/>
  <c r="BH45" i="13"/>
  <c r="BI44" i="13"/>
  <c r="BJ44" i="13" s="1"/>
  <c r="BH44" i="13"/>
  <c r="BI43" i="13"/>
  <c r="BJ43" i="13" s="1"/>
  <c r="BH43" i="13"/>
  <c r="BI42" i="13"/>
  <c r="BJ42" i="13" s="1"/>
  <c r="BH42" i="13"/>
  <c r="BI41" i="13"/>
  <c r="BJ41" i="13" s="1"/>
  <c r="BH41" i="13"/>
  <c r="BI40" i="13"/>
  <c r="BJ40" i="13" s="1"/>
  <c r="BH40" i="13"/>
  <c r="BI39" i="13"/>
  <c r="BJ39" i="13" s="1"/>
  <c r="BH39" i="13"/>
  <c r="BI38" i="13"/>
  <c r="BJ38" i="13" s="1"/>
  <c r="BH38" i="13"/>
  <c r="BI37" i="13"/>
  <c r="BJ37" i="13" s="1"/>
  <c r="BH37" i="13"/>
  <c r="BI36" i="13"/>
  <c r="BJ36" i="13" s="1"/>
  <c r="BH36" i="13"/>
  <c r="BI35" i="13"/>
  <c r="BJ35" i="13" s="1"/>
  <c r="BH35" i="13"/>
  <c r="BI34" i="13"/>
  <c r="BJ34" i="13" s="1"/>
  <c r="BH34" i="13"/>
  <c r="BI33" i="13"/>
  <c r="BJ33" i="13" s="1"/>
  <c r="BH33" i="13"/>
  <c r="BI32" i="13"/>
  <c r="BJ32" i="13" s="1"/>
  <c r="BH32" i="13"/>
  <c r="BI31" i="13"/>
  <c r="BJ31" i="13" s="1"/>
  <c r="BH31" i="13"/>
  <c r="BI30" i="13"/>
  <c r="BJ30" i="13" s="1"/>
  <c r="BH30" i="13"/>
  <c r="BI29" i="13"/>
  <c r="BJ29" i="13" s="1"/>
  <c r="BH29" i="13"/>
  <c r="BI28" i="13"/>
  <c r="BJ28" i="13" s="1"/>
  <c r="BH28" i="13"/>
  <c r="BI26" i="13"/>
  <c r="BJ26" i="13" s="1"/>
  <c r="BH26" i="13"/>
  <c r="BI25" i="13"/>
  <c r="BJ25" i="13" s="1"/>
  <c r="BH25" i="13"/>
  <c r="BI24" i="13"/>
  <c r="BJ24" i="13" s="1"/>
  <c r="BH24" i="13"/>
  <c r="BI23" i="13"/>
  <c r="BJ23" i="13" s="1"/>
  <c r="BH23" i="13"/>
  <c r="BI22" i="13"/>
  <c r="BJ22" i="13" s="1"/>
  <c r="BH22" i="13"/>
  <c r="BI21" i="13"/>
  <c r="BJ21" i="13" s="1"/>
  <c r="BH21" i="13"/>
  <c r="BI20" i="13"/>
  <c r="BJ20" i="13" s="1"/>
  <c r="BH20" i="13"/>
  <c r="BI19" i="13"/>
  <c r="BJ19" i="13" s="1"/>
  <c r="BH19" i="13"/>
  <c r="BI18" i="13"/>
  <c r="BJ18" i="13" s="1"/>
  <c r="BH18" i="13"/>
  <c r="BI17" i="13"/>
  <c r="BJ17" i="13" s="1"/>
  <c r="BH17" i="13"/>
  <c r="BI16" i="13"/>
  <c r="BJ16" i="13" s="1"/>
  <c r="BH16" i="13"/>
  <c r="BI15" i="13"/>
  <c r="BJ15" i="13" s="1"/>
  <c r="BH15" i="13"/>
  <c r="BI14" i="13"/>
  <c r="BJ14" i="13" s="1"/>
  <c r="BH14" i="13"/>
  <c r="BI13" i="13"/>
  <c r="BJ13" i="13" s="1"/>
  <c r="BH13" i="13"/>
  <c r="BI12" i="13"/>
  <c r="BJ12" i="13" s="1"/>
  <c r="BH12" i="13"/>
  <c r="BI11" i="13"/>
  <c r="BJ11" i="13" s="1"/>
  <c r="BH11" i="13"/>
  <c r="BI10" i="13"/>
  <c r="BJ10" i="13" s="1"/>
  <c r="BH10" i="13"/>
  <c r="BI9" i="13"/>
  <c r="BJ9" i="13" s="1"/>
  <c r="BH9" i="13"/>
  <c r="BI8" i="13"/>
  <c r="BJ8" i="13" s="1"/>
  <c r="BH8" i="13"/>
  <c r="BI7" i="13"/>
  <c r="BJ7" i="13" s="1"/>
  <c r="BH7" i="13"/>
  <c r="BI6" i="13"/>
  <c r="BJ6" i="13" s="1"/>
  <c r="BH6" i="13"/>
  <c r="BI5" i="13"/>
  <c r="BJ5" i="13" s="1"/>
  <c r="BX49" i="13"/>
  <c r="BY49" i="13" s="1"/>
  <c r="BW49" i="13"/>
  <c r="BX47" i="13"/>
  <c r="BY47" i="13" s="1"/>
  <c r="BW47" i="13"/>
  <c r="BX46" i="13"/>
  <c r="BY46" i="13" s="1"/>
  <c r="BW46" i="13"/>
  <c r="BX45" i="13"/>
  <c r="BY45" i="13" s="1"/>
  <c r="BW45" i="13"/>
  <c r="BX44" i="13"/>
  <c r="BY44" i="13" s="1"/>
  <c r="BW44" i="13"/>
  <c r="BX43" i="13"/>
  <c r="BY43" i="13" s="1"/>
  <c r="BW43" i="13"/>
  <c r="BX42" i="13"/>
  <c r="BY42" i="13" s="1"/>
  <c r="BW42" i="13"/>
  <c r="BX41" i="13"/>
  <c r="BY41" i="13" s="1"/>
  <c r="BW41" i="13"/>
  <c r="BX40" i="13"/>
  <c r="BY40" i="13" s="1"/>
  <c r="BW40" i="13"/>
  <c r="BX39" i="13"/>
  <c r="BY39" i="13" s="1"/>
  <c r="BW39" i="13"/>
  <c r="BX38" i="13"/>
  <c r="BY38" i="13" s="1"/>
  <c r="BW38" i="13"/>
  <c r="BX37" i="13"/>
  <c r="BY37" i="13" s="1"/>
  <c r="BW37" i="13"/>
  <c r="BX36" i="13"/>
  <c r="BY36" i="13" s="1"/>
  <c r="BW36" i="13"/>
  <c r="BX35" i="13"/>
  <c r="BY35" i="13" s="1"/>
  <c r="BW35" i="13"/>
  <c r="BX34" i="13"/>
  <c r="BY34" i="13" s="1"/>
  <c r="BW34" i="13"/>
  <c r="BX33" i="13"/>
  <c r="BY33" i="13" s="1"/>
  <c r="BW33" i="13"/>
  <c r="BX32" i="13"/>
  <c r="BY32" i="13" s="1"/>
  <c r="BW32" i="13"/>
  <c r="BX31" i="13"/>
  <c r="BY31" i="13" s="1"/>
  <c r="BW31" i="13"/>
  <c r="BX30" i="13"/>
  <c r="BY30" i="13" s="1"/>
  <c r="BW30" i="13"/>
  <c r="BX29" i="13"/>
  <c r="BY29" i="13" s="1"/>
  <c r="BW29" i="13"/>
  <c r="BX28" i="13"/>
  <c r="BY28" i="13" s="1"/>
  <c r="BW28" i="13"/>
  <c r="BX26" i="13"/>
  <c r="BY26" i="13" s="1"/>
  <c r="BW26" i="13"/>
  <c r="BX25" i="13"/>
  <c r="BY25" i="13" s="1"/>
  <c r="BW25" i="13"/>
  <c r="BX24" i="13"/>
  <c r="BY24" i="13" s="1"/>
  <c r="BW24" i="13"/>
  <c r="BX23" i="13"/>
  <c r="BY23" i="13" s="1"/>
  <c r="BW23" i="13"/>
  <c r="BX22" i="13"/>
  <c r="BY22" i="13" s="1"/>
  <c r="BW22" i="13"/>
  <c r="BX21" i="13"/>
  <c r="BY21" i="13" s="1"/>
  <c r="BW21" i="13"/>
  <c r="BX20" i="13"/>
  <c r="BY20" i="13" s="1"/>
  <c r="BW20" i="13"/>
  <c r="BX19" i="13"/>
  <c r="BY19" i="13" s="1"/>
  <c r="BW19" i="13"/>
  <c r="BX18" i="13"/>
  <c r="BY18" i="13" s="1"/>
  <c r="BW18" i="13"/>
  <c r="BX17" i="13"/>
  <c r="BY17" i="13" s="1"/>
  <c r="BW17" i="13"/>
  <c r="BX16" i="13"/>
  <c r="BY16" i="13" s="1"/>
  <c r="BW16" i="13"/>
  <c r="BX15" i="13"/>
  <c r="BY15" i="13" s="1"/>
  <c r="BW15" i="13"/>
  <c r="BX14" i="13"/>
  <c r="BY14" i="13" s="1"/>
  <c r="BW14" i="13"/>
  <c r="BX13" i="13"/>
  <c r="BY13" i="13" s="1"/>
  <c r="BW13" i="13"/>
  <c r="BX12" i="13"/>
  <c r="BY12" i="13" s="1"/>
  <c r="BW12" i="13"/>
  <c r="BX11" i="13"/>
  <c r="BY11" i="13" s="1"/>
  <c r="BW11" i="13"/>
  <c r="BX10" i="13"/>
  <c r="BY10" i="13" s="1"/>
  <c r="BW10" i="13"/>
  <c r="BX9" i="13"/>
  <c r="BY9" i="13" s="1"/>
  <c r="BW9" i="13"/>
  <c r="BX8" i="13"/>
  <c r="BY8" i="13" s="1"/>
  <c r="BW8" i="13"/>
  <c r="BX7" i="13"/>
  <c r="BY7" i="13" s="1"/>
  <c r="BW7" i="13"/>
  <c r="BX6" i="13"/>
  <c r="BY6" i="13" s="1"/>
  <c r="BW6" i="13"/>
  <c r="BX5" i="13"/>
  <c r="BY5" i="13" s="1"/>
  <c r="CM49" i="13"/>
  <c r="CN49" i="13" s="1"/>
  <c r="CL49" i="13"/>
  <c r="CM47" i="13"/>
  <c r="CN47" i="13" s="1"/>
  <c r="CL47" i="13"/>
  <c r="CM46" i="13"/>
  <c r="CN46" i="13" s="1"/>
  <c r="CL46" i="13"/>
  <c r="CM45" i="13"/>
  <c r="CN45" i="13" s="1"/>
  <c r="CL45" i="13"/>
  <c r="CM44" i="13"/>
  <c r="CN44" i="13" s="1"/>
  <c r="CL44" i="13"/>
  <c r="CM43" i="13"/>
  <c r="CN43" i="13" s="1"/>
  <c r="CL43" i="13"/>
  <c r="CM42" i="13"/>
  <c r="CN42" i="13" s="1"/>
  <c r="CL42" i="13"/>
  <c r="CM41" i="13"/>
  <c r="CN41" i="13" s="1"/>
  <c r="CL41" i="13"/>
  <c r="CM40" i="13"/>
  <c r="CN40" i="13" s="1"/>
  <c r="CL40" i="13"/>
  <c r="CM39" i="13"/>
  <c r="CN39" i="13" s="1"/>
  <c r="CL39" i="13"/>
  <c r="CM38" i="13"/>
  <c r="CN38" i="13" s="1"/>
  <c r="CL38" i="13"/>
  <c r="CM37" i="13"/>
  <c r="CN37" i="13" s="1"/>
  <c r="CL37" i="13"/>
  <c r="CM36" i="13"/>
  <c r="CN36" i="13" s="1"/>
  <c r="CL36" i="13"/>
  <c r="CM35" i="13"/>
  <c r="CN35" i="13" s="1"/>
  <c r="CL35" i="13"/>
  <c r="CM34" i="13"/>
  <c r="CN34" i="13" s="1"/>
  <c r="CL34" i="13"/>
  <c r="CM33" i="13"/>
  <c r="CN33" i="13" s="1"/>
  <c r="CL33" i="13"/>
  <c r="CM32" i="13"/>
  <c r="CN32" i="13" s="1"/>
  <c r="CL32" i="13"/>
  <c r="CM31" i="13"/>
  <c r="CN31" i="13" s="1"/>
  <c r="CL31" i="13"/>
  <c r="CM30" i="13"/>
  <c r="CN30" i="13" s="1"/>
  <c r="CL30" i="13"/>
  <c r="CM29" i="13"/>
  <c r="CN29" i="13" s="1"/>
  <c r="CL29" i="13"/>
  <c r="CM28" i="13"/>
  <c r="CN28" i="13" s="1"/>
  <c r="CL28" i="13"/>
  <c r="CM26" i="13"/>
  <c r="CN26" i="13" s="1"/>
  <c r="CL26" i="13"/>
  <c r="CM25" i="13"/>
  <c r="CN25" i="13" s="1"/>
  <c r="CL25" i="13"/>
  <c r="CM24" i="13"/>
  <c r="CN24" i="13" s="1"/>
  <c r="CL24" i="13"/>
  <c r="CM23" i="13"/>
  <c r="CN23" i="13" s="1"/>
  <c r="CL23" i="13"/>
  <c r="CM22" i="13"/>
  <c r="CN22" i="13" s="1"/>
  <c r="CL22" i="13"/>
  <c r="CM21" i="13"/>
  <c r="CN21" i="13" s="1"/>
  <c r="CL21" i="13"/>
  <c r="CM20" i="13"/>
  <c r="CN20" i="13" s="1"/>
  <c r="CL20" i="13"/>
  <c r="CM19" i="13"/>
  <c r="CN19" i="13" s="1"/>
  <c r="CL19" i="13"/>
  <c r="CM18" i="13"/>
  <c r="CN18" i="13" s="1"/>
  <c r="CL18" i="13"/>
  <c r="CM17" i="13"/>
  <c r="CN17" i="13" s="1"/>
  <c r="CL17" i="13"/>
  <c r="CM16" i="13"/>
  <c r="CN16" i="13" s="1"/>
  <c r="CL16" i="13"/>
  <c r="CM15" i="13"/>
  <c r="CN15" i="13" s="1"/>
  <c r="CL15" i="13"/>
  <c r="CM14" i="13"/>
  <c r="CN14" i="13" s="1"/>
  <c r="CL14" i="13"/>
  <c r="CM13" i="13"/>
  <c r="CN13" i="13" s="1"/>
  <c r="CL13" i="13"/>
  <c r="CM12" i="13"/>
  <c r="CN12" i="13" s="1"/>
  <c r="CL12" i="13"/>
  <c r="CM11" i="13"/>
  <c r="CN11" i="13" s="1"/>
  <c r="CL11" i="13"/>
  <c r="CM10" i="13"/>
  <c r="CN10" i="13" s="1"/>
  <c r="CL10" i="13"/>
  <c r="CM9" i="13"/>
  <c r="CN9" i="13" s="1"/>
  <c r="CL9" i="13"/>
  <c r="CM8" i="13"/>
  <c r="CN8" i="13" s="1"/>
  <c r="CL8" i="13"/>
  <c r="CM7" i="13"/>
  <c r="CN7" i="13" s="1"/>
  <c r="CL7" i="13"/>
  <c r="CM6" i="13"/>
  <c r="CN6" i="13" s="1"/>
  <c r="CL6" i="13"/>
  <c r="CM5" i="13"/>
  <c r="CN5" i="13" s="1"/>
  <c r="DB49" i="13"/>
  <c r="DC49" i="13" s="1"/>
  <c r="DA49" i="13"/>
  <c r="DB47" i="13"/>
  <c r="DC47" i="13" s="1"/>
  <c r="DA47" i="13"/>
  <c r="DB46" i="13"/>
  <c r="DC46" i="13" s="1"/>
  <c r="DA46" i="13"/>
  <c r="DB45" i="13"/>
  <c r="DC45" i="13" s="1"/>
  <c r="DA45" i="13"/>
  <c r="DB44" i="13"/>
  <c r="DC44" i="13" s="1"/>
  <c r="DA44" i="13"/>
  <c r="DB43" i="13"/>
  <c r="DC43" i="13" s="1"/>
  <c r="DA43" i="13"/>
  <c r="DB42" i="13"/>
  <c r="DC42" i="13" s="1"/>
  <c r="DA42" i="13"/>
  <c r="DB41" i="13"/>
  <c r="DC41" i="13" s="1"/>
  <c r="DA41" i="13"/>
  <c r="DB40" i="13"/>
  <c r="DC40" i="13" s="1"/>
  <c r="DA40" i="13"/>
  <c r="DB39" i="13"/>
  <c r="DC39" i="13" s="1"/>
  <c r="DA39" i="13"/>
  <c r="DB38" i="13"/>
  <c r="DC38" i="13" s="1"/>
  <c r="DA38" i="13"/>
  <c r="DB37" i="13"/>
  <c r="DC37" i="13" s="1"/>
  <c r="DA37" i="13"/>
  <c r="DB36" i="13"/>
  <c r="DC36" i="13" s="1"/>
  <c r="DA36" i="13"/>
  <c r="DB35" i="13"/>
  <c r="DC35" i="13" s="1"/>
  <c r="DA35" i="13"/>
  <c r="DB34" i="13"/>
  <c r="DC34" i="13" s="1"/>
  <c r="DA34" i="13"/>
  <c r="DB33" i="13"/>
  <c r="DC33" i="13" s="1"/>
  <c r="DA33" i="13"/>
  <c r="DB32" i="13"/>
  <c r="DC32" i="13" s="1"/>
  <c r="DA32" i="13"/>
  <c r="DB31" i="13"/>
  <c r="DC31" i="13" s="1"/>
  <c r="DA31" i="13"/>
  <c r="DB30" i="13"/>
  <c r="DC30" i="13" s="1"/>
  <c r="DA30" i="13"/>
  <c r="DB29" i="13"/>
  <c r="DC29" i="13" s="1"/>
  <c r="DA29" i="13"/>
  <c r="DB28" i="13"/>
  <c r="DC28" i="13" s="1"/>
  <c r="DA28" i="13"/>
  <c r="DB26" i="13"/>
  <c r="DC26" i="13" s="1"/>
  <c r="DA26" i="13"/>
  <c r="DB25" i="13"/>
  <c r="DC25" i="13" s="1"/>
  <c r="DA25" i="13"/>
  <c r="DB24" i="13"/>
  <c r="DC24" i="13" s="1"/>
  <c r="DA24" i="13"/>
  <c r="DB23" i="13"/>
  <c r="DC23" i="13" s="1"/>
  <c r="DA23" i="13"/>
  <c r="DB22" i="13"/>
  <c r="DC22" i="13" s="1"/>
  <c r="DA22" i="13"/>
  <c r="DB21" i="13"/>
  <c r="DC21" i="13" s="1"/>
  <c r="DA21" i="13"/>
  <c r="DB20" i="13"/>
  <c r="DC20" i="13" s="1"/>
  <c r="DA20" i="13"/>
  <c r="DB19" i="13"/>
  <c r="DC19" i="13" s="1"/>
  <c r="DA19" i="13"/>
  <c r="DB18" i="13"/>
  <c r="DC18" i="13" s="1"/>
  <c r="DA18" i="13"/>
  <c r="DB17" i="13"/>
  <c r="DC17" i="13" s="1"/>
  <c r="DA17" i="13"/>
  <c r="DB16" i="13"/>
  <c r="DC16" i="13" s="1"/>
  <c r="DA16" i="13"/>
  <c r="DB15" i="13"/>
  <c r="DC15" i="13" s="1"/>
  <c r="DA15" i="13"/>
  <c r="DB14" i="13"/>
  <c r="DC14" i="13" s="1"/>
  <c r="DA14" i="13"/>
  <c r="DB13" i="13"/>
  <c r="DC13" i="13" s="1"/>
  <c r="DA13" i="13"/>
  <c r="DB12" i="13"/>
  <c r="DC12" i="13" s="1"/>
  <c r="DA12" i="13"/>
  <c r="DB11" i="13"/>
  <c r="DC11" i="13" s="1"/>
  <c r="DA11" i="13"/>
  <c r="DB10" i="13"/>
  <c r="DC10" i="13" s="1"/>
  <c r="DA10" i="13"/>
  <c r="DB9" i="13"/>
  <c r="DC9" i="13" s="1"/>
  <c r="DA9" i="13"/>
  <c r="DB8" i="13"/>
  <c r="DC8" i="13" s="1"/>
  <c r="DA8" i="13"/>
  <c r="DB7" i="13"/>
  <c r="DC7" i="13" s="1"/>
  <c r="DA7" i="13"/>
  <c r="DB6" i="13"/>
  <c r="DC6" i="13" s="1"/>
  <c r="DA6" i="13"/>
  <c r="DB5" i="13"/>
  <c r="DC5" i="13" s="1"/>
  <c r="DQ49" i="13"/>
  <c r="DR49" i="13" s="1"/>
  <c r="DP49" i="13"/>
  <c r="DQ47" i="13"/>
  <c r="DR47" i="13" s="1"/>
  <c r="DP47" i="13"/>
  <c r="DQ46" i="13"/>
  <c r="DR46" i="13" s="1"/>
  <c r="DP46" i="13"/>
  <c r="DQ45" i="13"/>
  <c r="DR45" i="13" s="1"/>
  <c r="DP45" i="13"/>
  <c r="DQ44" i="13"/>
  <c r="DR44" i="13" s="1"/>
  <c r="DP44" i="13"/>
  <c r="DQ43" i="13"/>
  <c r="DR43" i="13" s="1"/>
  <c r="DP43" i="13"/>
  <c r="DQ42" i="13"/>
  <c r="DR42" i="13" s="1"/>
  <c r="DP42" i="13"/>
  <c r="DQ41" i="13"/>
  <c r="DR41" i="13" s="1"/>
  <c r="DP41" i="13"/>
  <c r="DQ40" i="13"/>
  <c r="DR40" i="13" s="1"/>
  <c r="DP40" i="13"/>
  <c r="DQ39" i="13"/>
  <c r="DR39" i="13" s="1"/>
  <c r="DP39" i="13"/>
  <c r="DQ38" i="13"/>
  <c r="DR38" i="13" s="1"/>
  <c r="DP38" i="13"/>
  <c r="DQ37" i="13"/>
  <c r="DR37" i="13" s="1"/>
  <c r="DP37" i="13"/>
  <c r="DQ36" i="13"/>
  <c r="DR36" i="13" s="1"/>
  <c r="DP36" i="13"/>
  <c r="DQ35" i="13"/>
  <c r="DR35" i="13" s="1"/>
  <c r="DP35" i="13"/>
  <c r="DQ34" i="13"/>
  <c r="DR34" i="13" s="1"/>
  <c r="DP34" i="13"/>
  <c r="DQ33" i="13"/>
  <c r="DR33" i="13" s="1"/>
  <c r="DP33" i="13"/>
  <c r="DQ32" i="13"/>
  <c r="DR32" i="13" s="1"/>
  <c r="DP32" i="13"/>
  <c r="DQ31" i="13"/>
  <c r="DR31" i="13" s="1"/>
  <c r="DP31" i="13"/>
  <c r="DQ30" i="13"/>
  <c r="DR30" i="13" s="1"/>
  <c r="DP30" i="13"/>
  <c r="DQ29" i="13"/>
  <c r="DR29" i="13" s="1"/>
  <c r="DP29" i="13"/>
  <c r="DQ28" i="13"/>
  <c r="DR28" i="13" s="1"/>
  <c r="DP28" i="13"/>
  <c r="DQ26" i="13"/>
  <c r="DR26" i="13" s="1"/>
  <c r="DP26" i="13"/>
  <c r="DQ25" i="13"/>
  <c r="DR25" i="13" s="1"/>
  <c r="DP25" i="13"/>
  <c r="DQ24" i="13"/>
  <c r="DR24" i="13" s="1"/>
  <c r="DP24" i="13"/>
  <c r="DQ23" i="13"/>
  <c r="DR23" i="13" s="1"/>
  <c r="DP23" i="13"/>
  <c r="DQ22" i="13"/>
  <c r="DR22" i="13" s="1"/>
  <c r="DP22" i="13"/>
  <c r="DQ21" i="13"/>
  <c r="DR21" i="13" s="1"/>
  <c r="DP21" i="13"/>
  <c r="DQ20" i="13"/>
  <c r="DR20" i="13" s="1"/>
  <c r="DP20" i="13"/>
  <c r="DQ19" i="13"/>
  <c r="DR19" i="13" s="1"/>
  <c r="DP19" i="13"/>
  <c r="DQ18" i="13"/>
  <c r="DR18" i="13" s="1"/>
  <c r="DP18" i="13"/>
  <c r="DQ17" i="13"/>
  <c r="DR17" i="13" s="1"/>
  <c r="DP17" i="13"/>
  <c r="DQ16" i="13"/>
  <c r="DR16" i="13" s="1"/>
  <c r="DP16" i="13"/>
  <c r="DQ15" i="13"/>
  <c r="DR15" i="13" s="1"/>
  <c r="DP15" i="13"/>
  <c r="DQ14" i="13"/>
  <c r="DR14" i="13" s="1"/>
  <c r="DP14" i="13"/>
  <c r="DQ13" i="13"/>
  <c r="DR13" i="13" s="1"/>
  <c r="DP13" i="13"/>
  <c r="DQ12" i="13"/>
  <c r="DR12" i="13" s="1"/>
  <c r="DP12" i="13"/>
  <c r="DQ11" i="13"/>
  <c r="DR11" i="13" s="1"/>
  <c r="DP11" i="13"/>
  <c r="DQ10" i="13"/>
  <c r="DR10" i="13" s="1"/>
  <c r="DP10" i="13"/>
  <c r="DQ9" i="13"/>
  <c r="DR9" i="13" s="1"/>
  <c r="DP9" i="13"/>
  <c r="DQ8" i="13"/>
  <c r="DR8" i="13" s="1"/>
  <c r="DP8" i="13"/>
  <c r="DQ7" i="13"/>
  <c r="DR7" i="13" s="1"/>
  <c r="DP7" i="13"/>
  <c r="DQ6" i="13"/>
  <c r="DR6" i="13" s="1"/>
  <c r="DP6" i="13"/>
  <c r="DQ5" i="13"/>
  <c r="DR5" i="13" s="1"/>
  <c r="EF49" i="13"/>
  <c r="EG49" i="13" s="1"/>
  <c r="EE49" i="13"/>
  <c r="EF47" i="13"/>
  <c r="EG47" i="13" s="1"/>
  <c r="EE47" i="13"/>
  <c r="EF46" i="13"/>
  <c r="EG46" i="13" s="1"/>
  <c r="EE46" i="13"/>
  <c r="EF45" i="13"/>
  <c r="EG45" i="13" s="1"/>
  <c r="EE45" i="13"/>
  <c r="EF44" i="13"/>
  <c r="EG44" i="13" s="1"/>
  <c r="EE44" i="13"/>
  <c r="EF43" i="13"/>
  <c r="EG43" i="13" s="1"/>
  <c r="EE43" i="13"/>
  <c r="EF42" i="13"/>
  <c r="EG42" i="13" s="1"/>
  <c r="EE42" i="13"/>
  <c r="EF41" i="13"/>
  <c r="EG41" i="13" s="1"/>
  <c r="EE41" i="13"/>
  <c r="EF40" i="13"/>
  <c r="EG40" i="13" s="1"/>
  <c r="EE40" i="13"/>
  <c r="EF39" i="13"/>
  <c r="EG39" i="13" s="1"/>
  <c r="EE39" i="13"/>
  <c r="EF38" i="13"/>
  <c r="EG38" i="13" s="1"/>
  <c r="EE38" i="13"/>
  <c r="EF37" i="13"/>
  <c r="EG37" i="13" s="1"/>
  <c r="EE37" i="13"/>
  <c r="EF36" i="13"/>
  <c r="EG36" i="13" s="1"/>
  <c r="EF35" i="13"/>
  <c r="EG35" i="13" s="1"/>
  <c r="EE35" i="13"/>
  <c r="EF34" i="13"/>
  <c r="EG34" i="13" s="1"/>
  <c r="EE34" i="13"/>
  <c r="EF33" i="13"/>
  <c r="EG33" i="13" s="1"/>
  <c r="EE33" i="13"/>
  <c r="EF32" i="13"/>
  <c r="EG32" i="13" s="1"/>
  <c r="EE32" i="13"/>
  <c r="EF31" i="13"/>
  <c r="EG31" i="13" s="1"/>
  <c r="EE31" i="13"/>
  <c r="EF30" i="13"/>
  <c r="EG30" i="13" s="1"/>
  <c r="EE30" i="13"/>
  <c r="EF29" i="13"/>
  <c r="EG29" i="13" s="1"/>
  <c r="EE29" i="13"/>
  <c r="EF28" i="13"/>
  <c r="EG28" i="13" s="1"/>
  <c r="EE28" i="13"/>
  <c r="EF26" i="13"/>
  <c r="EG26" i="13" s="1"/>
  <c r="EE26" i="13"/>
  <c r="EF25" i="13"/>
  <c r="EG25" i="13" s="1"/>
  <c r="EE25" i="13"/>
  <c r="EF24" i="13"/>
  <c r="EG24" i="13" s="1"/>
  <c r="EE24" i="13"/>
  <c r="EF23" i="13"/>
  <c r="EG23" i="13" s="1"/>
  <c r="EE23" i="13"/>
  <c r="EF22" i="13"/>
  <c r="EG22" i="13" s="1"/>
  <c r="EE22" i="13"/>
  <c r="EF21" i="13"/>
  <c r="EG21" i="13" s="1"/>
  <c r="EE21" i="13"/>
  <c r="EF20" i="13"/>
  <c r="EG20" i="13" s="1"/>
  <c r="EE20" i="13"/>
  <c r="EF19" i="13"/>
  <c r="EG19" i="13" s="1"/>
  <c r="EE19" i="13"/>
  <c r="EF18" i="13"/>
  <c r="EG18" i="13" s="1"/>
  <c r="EE18" i="13"/>
  <c r="EF17" i="13"/>
  <c r="EG17" i="13" s="1"/>
  <c r="EE17" i="13"/>
  <c r="EF16" i="13"/>
  <c r="EG16" i="13" s="1"/>
  <c r="EE16" i="13"/>
  <c r="EF15" i="13"/>
  <c r="EG15" i="13" s="1"/>
  <c r="EE15" i="13"/>
  <c r="EF14" i="13"/>
  <c r="EG14" i="13" s="1"/>
  <c r="EE14" i="13"/>
  <c r="EF13" i="13"/>
  <c r="EG13" i="13" s="1"/>
  <c r="EE13" i="13"/>
  <c r="EF12" i="13"/>
  <c r="EG12" i="13" s="1"/>
  <c r="EE12" i="13"/>
  <c r="EF11" i="13"/>
  <c r="EG11" i="13" s="1"/>
  <c r="EE11" i="13"/>
  <c r="EF10" i="13"/>
  <c r="EG10" i="13" s="1"/>
  <c r="EE10" i="13"/>
  <c r="EF9" i="13"/>
  <c r="EG9" i="13" s="1"/>
  <c r="EE9" i="13"/>
  <c r="EF8" i="13"/>
  <c r="EG8" i="13" s="1"/>
  <c r="EE8" i="13"/>
  <c r="EF7" i="13"/>
  <c r="EG7" i="13" s="1"/>
  <c r="EE7" i="13"/>
  <c r="EF6" i="13"/>
  <c r="EG6" i="13" s="1"/>
  <c r="EE6" i="13"/>
  <c r="EF5" i="13"/>
  <c r="EG5" i="13" s="1"/>
  <c r="EU49" i="13"/>
  <c r="EV49" i="13" s="1"/>
  <c r="ET49" i="13"/>
  <c r="EU47" i="13"/>
  <c r="EV47" i="13" s="1"/>
  <c r="ET47" i="13"/>
  <c r="EU46" i="13"/>
  <c r="EV46" i="13" s="1"/>
  <c r="ET46" i="13"/>
  <c r="EU45" i="13"/>
  <c r="EV45" i="13" s="1"/>
  <c r="ET45" i="13"/>
  <c r="EU44" i="13"/>
  <c r="EV44" i="13" s="1"/>
  <c r="ET44" i="13"/>
  <c r="EU43" i="13"/>
  <c r="EV43" i="13" s="1"/>
  <c r="ET43" i="13"/>
  <c r="EU42" i="13"/>
  <c r="EV42" i="13" s="1"/>
  <c r="ET42" i="13"/>
  <c r="EU41" i="13"/>
  <c r="EV41" i="13" s="1"/>
  <c r="ET41" i="13"/>
  <c r="EU40" i="13"/>
  <c r="EV40" i="13" s="1"/>
  <c r="ET40" i="13"/>
  <c r="EU39" i="13"/>
  <c r="EV39" i="13" s="1"/>
  <c r="ET39" i="13"/>
  <c r="EU38" i="13"/>
  <c r="EV38" i="13" s="1"/>
  <c r="ET38" i="13"/>
  <c r="EU37" i="13"/>
  <c r="EV37" i="13" s="1"/>
  <c r="ET37" i="13"/>
  <c r="EU36" i="13"/>
  <c r="EV36" i="13" s="1"/>
  <c r="EU35" i="13"/>
  <c r="EV35" i="13" s="1"/>
  <c r="ET35" i="13"/>
  <c r="EU34" i="13"/>
  <c r="EV34" i="13" s="1"/>
  <c r="ET34" i="13"/>
  <c r="EU33" i="13"/>
  <c r="EV33" i="13" s="1"/>
  <c r="ET33" i="13"/>
  <c r="EU32" i="13"/>
  <c r="EV32" i="13" s="1"/>
  <c r="ET32" i="13"/>
  <c r="EU31" i="13"/>
  <c r="EV31" i="13" s="1"/>
  <c r="ET31" i="13"/>
  <c r="EU30" i="13"/>
  <c r="EV30" i="13" s="1"/>
  <c r="ET30" i="13"/>
  <c r="EU29" i="13"/>
  <c r="EV29" i="13" s="1"/>
  <c r="ET29" i="13"/>
  <c r="EU28" i="13"/>
  <c r="EV28" i="13" s="1"/>
  <c r="ET28" i="13"/>
  <c r="EU26" i="13"/>
  <c r="EV26" i="13" s="1"/>
  <c r="ET26" i="13"/>
  <c r="EU25" i="13"/>
  <c r="EV25" i="13" s="1"/>
  <c r="ET25" i="13"/>
  <c r="EU24" i="13"/>
  <c r="EV24" i="13" s="1"/>
  <c r="ET24" i="13"/>
  <c r="EU23" i="13"/>
  <c r="EV23" i="13" s="1"/>
  <c r="ET23" i="13"/>
  <c r="EU22" i="13"/>
  <c r="EV22" i="13" s="1"/>
  <c r="ET22" i="13"/>
  <c r="EU21" i="13"/>
  <c r="EV21" i="13" s="1"/>
  <c r="ET21" i="13"/>
  <c r="EU20" i="13"/>
  <c r="EV20" i="13" s="1"/>
  <c r="ET20" i="13"/>
  <c r="EU19" i="13"/>
  <c r="EV19" i="13" s="1"/>
  <c r="ET19" i="13"/>
  <c r="EU18" i="13"/>
  <c r="EV18" i="13" s="1"/>
  <c r="ET18" i="13"/>
  <c r="EU17" i="13"/>
  <c r="EV17" i="13" s="1"/>
  <c r="ET17" i="13"/>
  <c r="EU16" i="13"/>
  <c r="EV16" i="13" s="1"/>
  <c r="ET16" i="13"/>
  <c r="EU15" i="13"/>
  <c r="EV15" i="13" s="1"/>
  <c r="ET15" i="13"/>
  <c r="EU14" i="13"/>
  <c r="ET14" i="13"/>
  <c r="EU13" i="13"/>
  <c r="EV13" i="13" s="1"/>
  <c r="ET13" i="13"/>
  <c r="EU12" i="13"/>
  <c r="EV12" i="13" s="1"/>
  <c r="ET12" i="13"/>
  <c r="EU11" i="13"/>
  <c r="EV11" i="13" s="1"/>
  <c r="ET11" i="13"/>
  <c r="EU10" i="13"/>
  <c r="EV10" i="13" s="1"/>
  <c r="ET10" i="13"/>
  <c r="EU9" i="13"/>
  <c r="EV9" i="13" s="1"/>
  <c r="ET9" i="13"/>
  <c r="EU8" i="13"/>
  <c r="EV8" i="13" s="1"/>
  <c r="ET8" i="13"/>
  <c r="EU7" i="13"/>
  <c r="EV7" i="13" s="1"/>
  <c r="ET7" i="13"/>
  <c r="EU6" i="13"/>
  <c r="EV6" i="13" s="1"/>
  <c r="ET6" i="13"/>
  <c r="EU5" i="13"/>
  <c r="EV5" i="13" s="1"/>
  <c r="FJ49" i="13"/>
  <c r="FK49" i="13" s="1"/>
  <c r="FI49" i="13"/>
  <c r="FJ47" i="13"/>
  <c r="FK47" i="13" s="1"/>
  <c r="FI47" i="13"/>
  <c r="FJ46" i="13"/>
  <c r="FK46" i="13" s="1"/>
  <c r="FI46" i="13"/>
  <c r="FJ45" i="13"/>
  <c r="FK45" i="13" s="1"/>
  <c r="FI45" i="13"/>
  <c r="FJ44" i="13"/>
  <c r="FK44" i="13" s="1"/>
  <c r="FI44" i="13"/>
  <c r="FJ43" i="13"/>
  <c r="FK43" i="13" s="1"/>
  <c r="FI43" i="13"/>
  <c r="FJ42" i="13"/>
  <c r="FK42" i="13" s="1"/>
  <c r="FI42" i="13"/>
  <c r="FJ41" i="13"/>
  <c r="FK41" i="13" s="1"/>
  <c r="FI41" i="13"/>
  <c r="FJ40" i="13"/>
  <c r="FK40" i="13" s="1"/>
  <c r="FI40" i="13"/>
  <c r="FJ39" i="13"/>
  <c r="FK39" i="13" s="1"/>
  <c r="FI39" i="13"/>
  <c r="FJ38" i="13"/>
  <c r="FK38" i="13" s="1"/>
  <c r="FI38" i="13"/>
  <c r="FJ37" i="13"/>
  <c r="FK37" i="13" s="1"/>
  <c r="FI37" i="13"/>
  <c r="FJ36" i="13"/>
  <c r="FK36" i="13" s="1"/>
  <c r="FI36" i="13"/>
  <c r="FJ35" i="13"/>
  <c r="FK35" i="13" s="1"/>
  <c r="FI35" i="13"/>
  <c r="FJ34" i="13"/>
  <c r="FK34" i="13" s="1"/>
  <c r="FI34" i="13"/>
  <c r="FJ33" i="13"/>
  <c r="FK33" i="13" s="1"/>
  <c r="FI33" i="13"/>
  <c r="FJ32" i="13"/>
  <c r="FK32" i="13" s="1"/>
  <c r="FI32" i="13"/>
  <c r="FJ31" i="13"/>
  <c r="FK31" i="13" s="1"/>
  <c r="FI31" i="13"/>
  <c r="FJ30" i="13"/>
  <c r="FK30" i="13" s="1"/>
  <c r="FI30" i="13"/>
  <c r="FJ29" i="13"/>
  <c r="FK29" i="13" s="1"/>
  <c r="FI29" i="13"/>
  <c r="FJ28" i="13"/>
  <c r="FK28" i="13" s="1"/>
  <c r="FI28" i="13"/>
  <c r="FJ26" i="13"/>
  <c r="FK26" i="13" s="1"/>
  <c r="FI26" i="13"/>
  <c r="FJ25" i="13"/>
  <c r="FK25" i="13" s="1"/>
  <c r="FI25" i="13"/>
  <c r="FJ24" i="13"/>
  <c r="FK24" i="13" s="1"/>
  <c r="FI24" i="13"/>
  <c r="FJ23" i="13"/>
  <c r="FK23" i="13" s="1"/>
  <c r="FI23" i="13"/>
  <c r="FJ22" i="13"/>
  <c r="FK22" i="13" s="1"/>
  <c r="FI22" i="13"/>
  <c r="FJ21" i="13"/>
  <c r="FK21" i="13" s="1"/>
  <c r="FI21" i="13"/>
  <c r="FJ20" i="13"/>
  <c r="FK20" i="13" s="1"/>
  <c r="FI20" i="13"/>
  <c r="FJ19" i="13"/>
  <c r="FK19" i="13" s="1"/>
  <c r="FI19" i="13"/>
  <c r="FJ18" i="13"/>
  <c r="FK18" i="13" s="1"/>
  <c r="FI18" i="13"/>
  <c r="FJ17" i="13"/>
  <c r="FK17" i="13" s="1"/>
  <c r="FI17" i="13"/>
  <c r="FJ16" i="13"/>
  <c r="FK16" i="13" s="1"/>
  <c r="FI16" i="13"/>
  <c r="FJ15" i="13"/>
  <c r="FK15" i="13" s="1"/>
  <c r="FI15" i="13"/>
  <c r="FJ14" i="13"/>
  <c r="FK14" i="13" s="1"/>
  <c r="FI14" i="13"/>
  <c r="FJ13" i="13"/>
  <c r="FK13" i="13" s="1"/>
  <c r="FI13" i="13"/>
  <c r="FJ12" i="13"/>
  <c r="FK12" i="13" s="1"/>
  <c r="FI12" i="13"/>
  <c r="FJ11" i="13"/>
  <c r="FK11" i="13" s="1"/>
  <c r="FI11" i="13"/>
  <c r="FJ10" i="13"/>
  <c r="FK10" i="13" s="1"/>
  <c r="FI10" i="13"/>
  <c r="FJ9" i="13"/>
  <c r="FK9" i="13" s="1"/>
  <c r="FI9" i="13"/>
  <c r="FJ8" i="13"/>
  <c r="FK8" i="13" s="1"/>
  <c r="FI8" i="13"/>
  <c r="FJ7" i="13"/>
  <c r="FK7" i="13" s="1"/>
  <c r="FI7" i="13"/>
  <c r="FJ6" i="13"/>
  <c r="FK6" i="13" s="1"/>
  <c r="FI6" i="13"/>
  <c r="FJ5" i="13"/>
  <c r="FK5" i="13" s="1"/>
  <c r="FY49" i="13"/>
  <c r="FZ49" i="13" s="1"/>
  <c r="FX49" i="13"/>
  <c r="FY47" i="13"/>
  <c r="FZ47" i="13" s="1"/>
  <c r="FX47" i="13"/>
  <c r="FY46" i="13"/>
  <c r="FZ46" i="13" s="1"/>
  <c r="FX46" i="13"/>
  <c r="FY45" i="13"/>
  <c r="FZ45" i="13" s="1"/>
  <c r="FX45" i="13"/>
  <c r="FY44" i="13"/>
  <c r="FZ44" i="13" s="1"/>
  <c r="FX44" i="13"/>
  <c r="FY43" i="13"/>
  <c r="FZ43" i="13" s="1"/>
  <c r="FX43" i="13"/>
  <c r="FY42" i="13"/>
  <c r="FZ42" i="13" s="1"/>
  <c r="FX42" i="13"/>
  <c r="FY41" i="13"/>
  <c r="FZ41" i="13" s="1"/>
  <c r="FX41" i="13"/>
  <c r="FY40" i="13"/>
  <c r="FZ40" i="13" s="1"/>
  <c r="FX40" i="13"/>
  <c r="FY39" i="13"/>
  <c r="FZ39" i="13" s="1"/>
  <c r="FX39" i="13"/>
  <c r="FY38" i="13"/>
  <c r="FZ38" i="13" s="1"/>
  <c r="FX38" i="13"/>
  <c r="FY37" i="13"/>
  <c r="FZ37" i="13" s="1"/>
  <c r="FX37" i="13"/>
  <c r="FY36" i="13"/>
  <c r="FZ36" i="13" s="1"/>
  <c r="FX36" i="13"/>
  <c r="FY35" i="13"/>
  <c r="FZ35" i="13" s="1"/>
  <c r="FX35" i="13"/>
  <c r="FY34" i="13"/>
  <c r="FZ34" i="13" s="1"/>
  <c r="FX34" i="13"/>
  <c r="FY33" i="13"/>
  <c r="FZ33" i="13" s="1"/>
  <c r="FX33" i="13"/>
  <c r="FY32" i="13"/>
  <c r="FZ32" i="13" s="1"/>
  <c r="FX32" i="13"/>
  <c r="FY31" i="13"/>
  <c r="FZ31" i="13" s="1"/>
  <c r="FX31" i="13"/>
  <c r="FY30" i="13"/>
  <c r="FZ30" i="13" s="1"/>
  <c r="FX30" i="13"/>
  <c r="FY29" i="13"/>
  <c r="FZ29" i="13" s="1"/>
  <c r="FX29" i="13"/>
  <c r="FY28" i="13"/>
  <c r="FZ28" i="13" s="1"/>
  <c r="FX28" i="13"/>
  <c r="FY26" i="13"/>
  <c r="FZ26" i="13" s="1"/>
  <c r="FX26" i="13"/>
  <c r="FY25" i="13"/>
  <c r="FZ25" i="13" s="1"/>
  <c r="FX25" i="13"/>
  <c r="FY24" i="13"/>
  <c r="FZ24" i="13" s="1"/>
  <c r="FX24" i="13"/>
  <c r="FY23" i="13"/>
  <c r="FZ23" i="13" s="1"/>
  <c r="FX23" i="13"/>
  <c r="FY22" i="13"/>
  <c r="FZ22" i="13" s="1"/>
  <c r="FX22" i="13"/>
  <c r="FY21" i="13"/>
  <c r="FZ21" i="13" s="1"/>
  <c r="FX21" i="13"/>
  <c r="FY20" i="13"/>
  <c r="FZ20" i="13" s="1"/>
  <c r="FX20" i="13"/>
  <c r="FY19" i="13"/>
  <c r="FZ19" i="13" s="1"/>
  <c r="FX19" i="13"/>
  <c r="FY18" i="13"/>
  <c r="FZ18" i="13" s="1"/>
  <c r="FX18" i="13"/>
  <c r="FY17" i="13"/>
  <c r="FZ17" i="13" s="1"/>
  <c r="FX17" i="13"/>
  <c r="FY16" i="13"/>
  <c r="FZ16" i="13" s="1"/>
  <c r="FX16" i="13"/>
  <c r="FY15" i="13"/>
  <c r="FZ15" i="13" s="1"/>
  <c r="FX15" i="13"/>
  <c r="FY14" i="13"/>
  <c r="FZ14" i="13" s="1"/>
  <c r="FX14" i="13"/>
  <c r="FY13" i="13"/>
  <c r="FZ13" i="13" s="1"/>
  <c r="FX13" i="13"/>
  <c r="FY12" i="13"/>
  <c r="FZ12" i="13" s="1"/>
  <c r="FX12" i="13"/>
  <c r="FY11" i="13"/>
  <c r="FZ11" i="13" s="1"/>
  <c r="FX11" i="13"/>
  <c r="FY10" i="13"/>
  <c r="FZ10" i="13" s="1"/>
  <c r="FX10" i="13"/>
  <c r="FY9" i="13"/>
  <c r="FZ9" i="13" s="1"/>
  <c r="FX9" i="13"/>
  <c r="FY8" i="13"/>
  <c r="FZ8" i="13" s="1"/>
  <c r="FX8" i="13"/>
  <c r="FY7" i="13"/>
  <c r="FZ7" i="13" s="1"/>
  <c r="FX7" i="13"/>
  <c r="FY6" i="13"/>
  <c r="FZ6" i="13" s="1"/>
  <c r="FX6" i="13"/>
  <c r="FY5" i="13"/>
  <c r="FZ5" i="13" s="1"/>
  <c r="GN49" i="13"/>
  <c r="GO49" i="13" s="1"/>
  <c r="GM49" i="13"/>
  <c r="GN47" i="13"/>
  <c r="GO47" i="13" s="1"/>
  <c r="GM47" i="13"/>
  <c r="GN46" i="13"/>
  <c r="GO46" i="13" s="1"/>
  <c r="GM46" i="13"/>
  <c r="GN45" i="13"/>
  <c r="GO45" i="13" s="1"/>
  <c r="GM45" i="13"/>
  <c r="GN44" i="13"/>
  <c r="GO44" i="13" s="1"/>
  <c r="GM44" i="13"/>
  <c r="GN43" i="13"/>
  <c r="GO43" i="13" s="1"/>
  <c r="GM43" i="13"/>
  <c r="GN42" i="13"/>
  <c r="GO42" i="13" s="1"/>
  <c r="GM42" i="13"/>
  <c r="GN41" i="13"/>
  <c r="GO41" i="13" s="1"/>
  <c r="GM41" i="13"/>
  <c r="GN40" i="13"/>
  <c r="GO40" i="13" s="1"/>
  <c r="GM40" i="13"/>
  <c r="GN39" i="13"/>
  <c r="GO39" i="13" s="1"/>
  <c r="GM39" i="13"/>
  <c r="GN38" i="13"/>
  <c r="GO38" i="13" s="1"/>
  <c r="GM38" i="13"/>
  <c r="GN37" i="13"/>
  <c r="GO37" i="13" s="1"/>
  <c r="GM37" i="13"/>
  <c r="GN36" i="13"/>
  <c r="GO36" i="13" s="1"/>
  <c r="GM36" i="13"/>
  <c r="GN35" i="13"/>
  <c r="GO35" i="13" s="1"/>
  <c r="GM35" i="13"/>
  <c r="GN34" i="13"/>
  <c r="GO34" i="13" s="1"/>
  <c r="GM34" i="13"/>
  <c r="GN33" i="13"/>
  <c r="GO33" i="13" s="1"/>
  <c r="GM33" i="13"/>
  <c r="GN32" i="13"/>
  <c r="GO32" i="13" s="1"/>
  <c r="GM32" i="13"/>
  <c r="GN31" i="13"/>
  <c r="GO31" i="13" s="1"/>
  <c r="GM31" i="13"/>
  <c r="GN30" i="13"/>
  <c r="GO30" i="13" s="1"/>
  <c r="GM30" i="13"/>
  <c r="GN29" i="13"/>
  <c r="GO29" i="13" s="1"/>
  <c r="GM29" i="13"/>
  <c r="GN28" i="13"/>
  <c r="GO28" i="13" s="1"/>
  <c r="GM28" i="13"/>
  <c r="GN26" i="13"/>
  <c r="GO26" i="13" s="1"/>
  <c r="GM26" i="13"/>
  <c r="GN25" i="13"/>
  <c r="GO25" i="13" s="1"/>
  <c r="GM25" i="13"/>
  <c r="GN24" i="13"/>
  <c r="GO24" i="13" s="1"/>
  <c r="GM24" i="13"/>
  <c r="GN23" i="13"/>
  <c r="GO23" i="13" s="1"/>
  <c r="GM23" i="13"/>
  <c r="GN22" i="13"/>
  <c r="GO22" i="13" s="1"/>
  <c r="GM22" i="13"/>
  <c r="GN21" i="13"/>
  <c r="GO21" i="13" s="1"/>
  <c r="GM21" i="13"/>
  <c r="GN20" i="13"/>
  <c r="GO20" i="13" s="1"/>
  <c r="GM20" i="13"/>
  <c r="GN19" i="13"/>
  <c r="GO19" i="13" s="1"/>
  <c r="GM19" i="13"/>
  <c r="GN18" i="13"/>
  <c r="GO18" i="13" s="1"/>
  <c r="GM18" i="13"/>
  <c r="GN17" i="13"/>
  <c r="GO17" i="13" s="1"/>
  <c r="GM17" i="13"/>
  <c r="GN16" i="13"/>
  <c r="GO16" i="13" s="1"/>
  <c r="GM16" i="13"/>
  <c r="GN15" i="13"/>
  <c r="GO15" i="13" s="1"/>
  <c r="GM15" i="13"/>
  <c r="GN14" i="13"/>
  <c r="GO14" i="13" s="1"/>
  <c r="GM14" i="13"/>
  <c r="GN13" i="13"/>
  <c r="GO13" i="13" s="1"/>
  <c r="GM13" i="13"/>
  <c r="GN12" i="13"/>
  <c r="GO12" i="13" s="1"/>
  <c r="GM12" i="13"/>
  <c r="GN11" i="13"/>
  <c r="GO11" i="13" s="1"/>
  <c r="GM11" i="13"/>
  <c r="GN10" i="13"/>
  <c r="GO10" i="13" s="1"/>
  <c r="GM10" i="13"/>
  <c r="GN9" i="13"/>
  <c r="GO9" i="13" s="1"/>
  <c r="GM9" i="13"/>
  <c r="GN8" i="13"/>
  <c r="GO8" i="13" s="1"/>
  <c r="GM8" i="13"/>
  <c r="GN7" i="13"/>
  <c r="GO7" i="13" s="1"/>
  <c r="GM7" i="13"/>
  <c r="GN6" i="13"/>
  <c r="GO6" i="13" s="1"/>
  <c r="GM6" i="13"/>
  <c r="GN5" i="13"/>
  <c r="GO5" i="13" s="1"/>
  <c r="HB49" i="13"/>
  <c r="HC49" i="13"/>
  <c r="HD49" i="13" s="1"/>
  <c r="HB6" i="13"/>
  <c r="HC6" i="13"/>
  <c r="HD6" i="13" s="1"/>
  <c r="HB7" i="13"/>
  <c r="HC7" i="13"/>
  <c r="HD7" i="13" s="1"/>
  <c r="HB8" i="13"/>
  <c r="HC8" i="13"/>
  <c r="HD8" i="13" s="1"/>
  <c r="HB9" i="13"/>
  <c r="HC9" i="13"/>
  <c r="HD9" i="13" s="1"/>
  <c r="HB10" i="13"/>
  <c r="HC10" i="13"/>
  <c r="HD10" i="13" s="1"/>
  <c r="HB11" i="13"/>
  <c r="HC11" i="13"/>
  <c r="HD11" i="13" s="1"/>
  <c r="HB12" i="13"/>
  <c r="HC12" i="13"/>
  <c r="HD12" i="13" s="1"/>
  <c r="HB13" i="13"/>
  <c r="HC13" i="13"/>
  <c r="HD13" i="13" s="1"/>
  <c r="HB14" i="13"/>
  <c r="HC14" i="13"/>
  <c r="HD14" i="13" s="1"/>
  <c r="HB15" i="13"/>
  <c r="HC15" i="13"/>
  <c r="HD15" i="13" s="1"/>
  <c r="HB16" i="13"/>
  <c r="HC16" i="13"/>
  <c r="HD16" i="13" s="1"/>
  <c r="HB17" i="13"/>
  <c r="HC17" i="13"/>
  <c r="HD17" i="13" s="1"/>
  <c r="HB18" i="13"/>
  <c r="HC18" i="13"/>
  <c r="HD18" i="13" s="1"/>
  <c r="HB19" i="13"/>
  <c r="HC19" i="13"/>
  <c r="HD19" i="13" s="1"/>
  <c r="HB20" i="13"/>
  <c r="HC20" i="13"/>
  <c r="HD20" i="13" s="1"/>
  <c r="HB21" i="13"/>
  <c r="HC21" i="13"/>
  <c r="HD21" i="13" s="1"/>
  <c r="HB22" i="13"/>
  <c r="HC22" i="13"/>
  <c r="HD22" i="13" s="1"/>
  <c r="HB23" i="13"/>
  <c r="HC23" i="13"/>
  <c r="HD23" i="13" s="1"/>
  <c r="HB24" i="13"/>
  <c r="HC24" i="13"/>
  <c r="HD24" i="13" s="1"/>
  <c r="HB25" i="13"/>
  <c r="HC25" i="13"/>
  <c r="HD25" i="13" s="1"/>
  <c r="HB26" i="13"/>
  <c r="HC26" i="13"/>
  <c r="HD26" i="13" s="1"/>
  <c r="HB28" i="13"/>
  <c r="HC28" i="13"/>
  <c r="HD28" i="13" s="1"/>
  <c r="HB29" i="13"/>
  <c r="HC29" i="13"/>
  <c r="HD29" i="13" s="1"/>
  <c r="HB30" i="13"/>
  <c r="HC30" i="13"/>
  <c r="HD30" i="13" s="1"/>
  <c r="HB31" i="13"/>
  <c r="HC31" i="13"/>
  <c r="HD31" i="13" s="1"/>
  <c r="HB32" i="13"/>
  <c r="HC32" i="13"/>
  <c r="HD32" i="13" s="1"/>
  <c r="HB33" i="13"/>
  <c r="HC33" i="13"/>
  <c r="HD33" i="13" s="1"/>
  <c r="HB34" i="13"/>
  <c r="HC34" i="13"/>
  <c r="HD34" i="13" s="1"/>
  <c r="HB35" i="13"/>
  <c r="HC35" i="13"/>
  <c r="HD35" i="13" s="1"/>
  <c r="HB36" i="13"/>
  <c r="HC36" i="13"/>
  <c r="HD36" i="13" s="1"/>
  <c r="HB37" i="13"/>
  <c r="HC37" i="13"/>
  <c r="HD37" i="13" s="1"/>
  <c r="HB38" i="13"/>
  <c r="HC38" i="13"/>
  <c r="HD38" i="13" s="1"/>
  <c r="HB39" i="13"/>
  <c r="HC39" i="13"/>
  <c r="HD39" i="13" s="1"/>
  <c r="HB40" i="13"/>
  <c r="HC40" i="13"/>
  <c r="HD40" i="13" s="1"/>
  <c r="HB41" i="13"/>
  <c r="HC41" i="13"/>
  <c r="HD41" i="13" s="1"/>
  <c r="HB42" i="13"/>
  <c r="HC42" i="13"/>
  <c r="HD42" i="13" s="1"/>
  <c r="HB43" i="13"/>
  <c r="HC43" i="13"/>
  <c r="HD43" i="13" s="1"/>
  <c r="HB44" i="13"/>
  <c r="HC44" i="13"/>
  <c r="HD44" i="13" s="1"/>
  <c r="HB45" i="13"/>
  <c r="HC45" i="13"/>
  <c r="HD45" i="13" s="1"/>
  <c r="HB46" i="13"/>
  <c r="HC46" i="13"/>
  <c r="HD46" i="13" s="1"/>
  <c r="HB47" i="13"/>
  <c r="HC47" i="13"/>
  <c r="HD47" i="13" s="1"/>
  <c r="HC5" i="13"/>
  <c r="HD5" i="13" s="1"/>
  <c r="GY5" i="13"/>
  <c r="GV5" i="13"/>
  <c r="GJ5" i="13"/>
  <c r="GG5" i="13"/>
  <c r="FU5" i="13"/>
  <c r="FR5" i="13"/>
  <c r="FF5" i="13"/>
  <c r="FC5" i="13"/>
  <c r="EQ5" i="13"/>
  <c r="EN5" i="13"/>
  <c r="DY5" i="13"/>
  <c r="DM5" i="13"/>
  <c r="DJ5" i="13"/>
  <c r="CX5" i="13"/>
  <c r="DA5" i="13" s="1"/>
  <c r="CI5" i="13"/>
  <c r="CL5" i="13" s="1"/>
  <c r="BT5" i="13"/>
  <c r="BQ5" i="13"/>
  <c r="BE5" i="13"/>
  <c r="BH5" i="13" s="1"/>
  <c r="AP5" i="13"/>
  <c r="AS5" i="13" s="1"/>
  <c r="AA5" i="13"/>
  <c r="R5" i="13"/>
  <c r="HO9" i="10"/>
  <c r="HK9" i="10"/>
  <c r="GY9" i="10"/>
  <c r="GU9" i="10"/>
  <c r="GI9" i="10"/>
  <c r="GE9" i="10"/>
  <c r="FS9" i="10"/>
  <c r="FO9" i="10"/>
  <c r="FC9" i="10"/>
  <c r="EY9" i="10"/>
  <c r="EI9" i="10"/>
  <c r="DW9" i="10"/>
  <c r="DS9" i="10"/>
  <c r="DG9" i="10"/>
  <c r="CQ9" i="10"/>
  <c r="CA9" i="10"/>
  <c r="BW9" i="10"/>
  <c r="BK9" i="10"/>
  <c r="AU9" i="10"/>
  <c r="AE9" i="10"/>
  <c r="S9" i="10"/>
  <c r="O9" i="10"/>
  <c r="C9" i="10"/>
  <c r="EK36" i="13"/>
  <c r="ET36" i="13" s="1"/>
  <c r="F21" i="7"/>
  <c r="DV36" i="13"/>
  <c r="EE36" i="13" s="1"/>
  <c r="E173" i="10"/>
  <c r="E172" i="10"/>
  <c r="E171" i="10"/>
  <c r="E170" i="10"/>
  <c r="E169" i="10"/>
  <c r="E168" i="10"/>
  <c r="E167" i="10"/>
  <c r="E166" i="10"/>
  <c r="E165" i="10"/>
  <c r="E164" i="10"/>
  <c r="E163" i="10"/>
  <c r="E162" i="10"/>
  <c r="E161" i="10"/>
  <c r="E160" i="10"/>
  <c r="E159" i="10"/>
  <c r="E158" i="10"/>
  <c r="E157" i="10"/>
  <c r="E156" i="10"/>
  <c r="E155" i="10"/>
  <c r="E154" i="10"/>
  <c r="E153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40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E127" i="10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4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1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8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5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2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E10" i="10"/>
  <c r="E9" i="10"/>
  <c r="E8" i="10"/>
  <c r="E7" i="10"/>
  <c r="E6" i="10"/>
  <c r="E5" i="10"/>
  <c r="I173" i="10"/>
  <c r="I172" i="10"/>
  <c r="I171" i="10"/>
  <c r="I170" i="10"/>
  <c r="I169" i="10"/>
  <c r="I168" i="10"/>
  <c r="I167" i="10"/>
  <c r="I166" i="10"/>
  <c r="I165" i="10"/>
  <c r="I164" i="10"/>
  <c r="I163" i="10"/>
  <c r="I162" i="10"/>
  <c r="I161" i="10"/>
  <c r="I160" i="10"/>
  <c r="I159" i="10"/>
  <c r="I158" i="10"/>
  <c r="I157" i="10"/>
  <c r="I156" i="10"/>
  <c r="I155" i="10"/>
  <c r="I154" i="10"/>
  <c r="I153" i="10"/>
  <c r="I152" i="10"/>
  <c r="I151" i="10"/>
  <c r="I150" i="10"/>
  <c r="I149" i="10"/>
  <c r="I148" i="10"/>
  <c r="I147" i="10"/>
  <c r="I146" i="10"/>
  <c r="I145" i="10"/>
  <c r="I144" i="10"/>
  <c r="I143" i="10"/>
  <c r="I142" i="10"/>
  <c r="I141" i="10"/>
  <c r="I140" i="10"/>
  <c r="I139" i="10"/>
  <c r="I138" i="10"/>
  <c r="I137" i="10"/>
  <c r="I136" i="10"/>
  <c r="I135" i="10"/>
  <c r="I134" i="10"/>
  <c r="I133" i="10"/>
  <c r="I132" i="10"/>
  <c r="I131" i="10"/>
  <c r="I130" i="10"/>
  <c r="I129" i="10"/>
  <c r="I128" i="10"/>
  <c r="I127" i="10"/>
  <c r="I126" i="10"/>
  <c r="I125" i="10"/>
  <c r="I124" i="10"/>
  <c r="I123" i="10"/>
  <c r="I122" i="10"/>
  <c r="I121" i="10"/>
  <c r="I120" i="10"/>
  <c r="I119" i="10"/>
  <c r="I118" i="10"/>
  <c r="I117" i="10"/>
  <c r="I116" i="10"/>
  <c r="I115" i="10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I92" i="10"/>
  <c r="I91" i="10"/>
  <c r="I90" i="10"/>
  <c r="I89" i="10"/>
  <c r="I88" i="10"/>
  <c r="I87" i="10"/>
  <c r="I86" i="10"/>
  <c r="I85" i="10"/>
  <c r="I84" i="10"/>
  <c r="I83" i="10"/>
  <c r="I82" i="10"/>
  <c r="I81" i="10"/>
  <c r="I80" i="10"/>
  <c r="I79" i="10"/>
  <c r="I78" i="10"/>
  <c r="I77" i="10"/>
  <c r="I76" i="10"/>
  <c r="I75" i="10"/>
  <c r="I74" i="10"/>
  <c r="I73" i="10"/>
  <c r="I72" i="10"/>
  <c r="I71" i="10"/>
  <c r="I70" i="10"/>
  <c r="I69" i="10"/>
  <c r="I68" i="10"/>
  <c r="I67" i="10"/>
  <c r="I66" i="10"/>
  <c r="I65" i="10"/>
  <c r="I64" i="10"/>
  <c r="I63" i="10"/>
  <c r="I62" i="10"/>
  <c r="I61" i="10"/>
  <c r="I60" i="10"/>
  <c r="I59" i="10"/>
  <c r="I58" i="10"/>
  <c r="I57" i="10"/>
  <c r="I56" i="10"/>
  <c r="I55" i="10"/>
  <c r="I54" i="10"/>
  <c r="I53" i="10"/>
  <c r="I52" i="10"/>
  <c r="I51" i="10"/>
  <c r="I50" i="10"/>
  <c r="I49" i="10"/>
  <c r="I48" i="10"/>
  <c r="I47" i="10"/>
  <c r="I46" i="10"/>
  <c r="I45" i="10"/>
  <c r="I44" i="10"/>
  <c r="I43" i="10"/>
  <c r="I42" i="10"/>
  <c r="I41" i="10"/>
  <c r="I40" i="10"/>
  <c r="I39" i="10"/>
  <c r="I38" i="10"/>
  <c r="I37" i="10"/>
  <c r="I36" i="10"/>
  <c r="I35" i="10"/>
  <c r="I34" i="10"/>
  <c r="I33" i="10"/>
  <c r="I32" i="10"/>
  <c r="I31" i="10"/>
  <c r="I30" i="10"/>
  <c r="I29" i="10"/>
  <c r="I28" i="10"/>
  <c r="I27" i="10"/>
  <c r="I26" i="10"/>
  <c r="I25" i="10"/>
  <c r="I24" i="10"/>
  <c r="I23" i="10"/>
  <c r="I22" i="10"/>
  <c r="I21" i="10"/>
  <c r="I20" i="10"/>
  <c r="I19" i="10"/>
  <c r="I18" i="10"/>
  <c r="I17" i="10"/>
  <c r="I16" i="10"/>
  <c r="I15" i="10"/>
  <c r="I14" i="10"/>
  <c r="I13" i="10"/>
  <c r="I12" i="10"/>
  <c r="I11" i="10"/>
  <c r="I10" i="10"/>
  <c r="I9" i="10"/>
  <c r="I8" i="10"/>
  <c r="I7" i="10"/>
  <c r="I6" i="10"/>
  <c r="I5" i="10"/>
  <c r="M173" i="10"/>
  <c r="M172" i="10"/>
  <c r="M171" i="10"/>
  <c r="M170" i="10"/>
  <c r="M169" i="10"/>
  <c r="M168" i="10"/>
  <c r="M167" i="10"/>
  <c r="M166" i="10"/>
  <c r="M165" i="10"/>
  <c r="M164" i="10"/>
  <c r="M163" i="10"/>
  <c r="M162" i="10"/>
  <c r="M161" i="10"/>
  <c r="M160" i="10"/>
  <c r="M159" i="10"/>
  <c r="M158" i="10"/>
  <c r="M157" i="10"/>
  <c r="M156" i="10"/>
  <c r="M155" i="10"/>
  <c r="M154" i="10"/>
  <c r="M153" i="10"/>
  <c r="M152" i="10"/>
  <c r="M151" i="10"/>
  <c r="M150" i="10"/>
  <c r="M149" i="10"/>
  <c r="M148" i="10"/>
  <c r="M147" i="10"/>
  <c r="M146" i="10"/>
  <c r="M145" i="10"/>
  <c r="M144" i="10"/>
  <c r="M143" i="10"/>
  <c r="M142" i="10"/>
  <c r="M141" i="10"/>
  <c r="M140" i="10"/>
  <c r="M139" i="10"/>
  <c r="M138" i="10"/>
  <c r="M137" i="10"/>
  <c r="M136" i="10"/>
  <c r="M135" i="10"/>
  <c r="M134" i="10"/>
  <c r="M133" i="10"/>
  <c r="M132" i="10"/>
  <c r="M131" i="10"/>
  <c r="M130" i="10"/>
  <c r="M129" i="10"/>
  <c r="M128" i="10"/>
  <c r="M127" i="10"/>
  <c r="M126" i="10"/>
  <c r="M125" i="10"/>
  <c r="M124" i="10"/>
  <c r="M123" i="10"/>
  <c r="M122" i="10"/>
  <c r="M121" i="10"/>
  <c r="M120" i="10"/>
  <c r="M119" i="10"/>
  <c r="M118" i="10"/>
  <c r="M117" i="10"/>
  <c r="M116" i="10"/>
  <c r="M115" i="10"/>
  <c r="M114" i="10"/>
  <c r="M113" i="10"/>
  <c r="M112" i="10"/>
  <c r="M111" i="10"/>
  <c r="M110" i="10"/>
  <c r="M109" i="10"/>
  <c r="M108" i="10"/>
  <c r="M107" i="10"/>
  <c r="M106" i="10"/>
  <c r="M105" i="10"/>
  <c r="M104" i="10"/>
  <c r="M103" i="10"/>
  <c r="M102" i="10"/>
  <c r="M101" i="10"/>
  <c r="M100" i="10"/>
  <c r="M99" i="10"/>
  <c r="M98" i="10"/>
  <c r="M97" i="10"/>
  <c r="M96" i="10"/>
  <c r="M95" i="10"/>
  <c r="M94" i="10"/>
  <c r="M93" i="10"/>
  <c r="M92" i="10"/>
  <c r="M91" i="10"/>
  <c r="M90" i="10"/>
  <c r="M89" i="10"/>
  <c r="M88" i="10"/>
  <c r="M87" i="10"/>
  <c r="M86" i="10"/>
  <c r="M85" i="10"/>
  <c r="M84" i="10"/>
  <c r="M83" i="10"/>
  <c r="M82" i="10"/>
  <c r="M81" i="10"/>
  <c r="M80" i="10"/>
  <c r="M79" i="10"/>
  <c r="M78" i="10"/>
  <c r="M77" i="10"/>
  <c r="M76" i="10"/>
  <c r="M75" i="10"/>
  <c r="M74" i="10"/>
  <c r="M73" i="10"/>
  <c r="M72" i="10"/>
  <c r="M71" i="10"/>
  <c r="M70" i="10"/>
  <c r="M69" i="10"/>
  <c r="M68" i="10"/>
  <c r="M67" i="10"/>
  <c r="M66" i="10"/>
  <c r="M65" i="10"/>
  <c r="M64" i="10"/>
  <c r="M63" i="10"/>
  <c r="M62" i="10"/>
  <c r="M61" i="10"/>
  <c r="M60" i="10"/>
  <c r="M59" i="10"/>
  <c r="M58" i="10"/>
  <c r="M57" i="10"/>
  <c r="M56" i="10"/>
  <c r="M55" i="10"/>
  <c r="M54" i="10"/>
  <c r="M53" i="10"/>
  <c r="M52" i="10"/>
  <c r="M51" i="10"/>
  <c r="M50" i="10"/>
  <c r="M49" i="10"/>
  <c r="M48" i="10"/>
  <c r="M47" i="10"/>
  <c r="M46" i="10"/>
  <c r="M45" i="10"/>
  <c r="M44" i="10"/>
  <c r="M43" i="10"/>
  <c r="M42" i="10"/>
  <c r="M41" i="10"/>
  <c r="M40" i="10"/>
  <c r="M39" i="10"/>
  <c r="M38" i="10"/>
  <c r="M37" i="10"/>
  <c r="M36" i="10"/>
  <c r="M35" i="10"/>
  <c r="M34" i="10"/>
  <c r="M33" i="10"/>
  <c r="M32" i="10"/>
  <c r="M31" i="10"/>
  <c r="M30" i="10"/>
  <c r="M29" i="10"/>
  <c r="M28" i="10"/>
  <c r="M27" i="10"/>
  <c r="M26" i="10"/>
  <c r="M25" i="10"/>
  <c r="M24" i="10"/>
  <c r="M23" i="10"/>
  <c r="M22" i="10"/>
  <c r="M21" i="10"/>
  <c r="M20" i="10"/>
  <c r="M19" i="10"/>
  <c r="M18" i="10"/>
  <c r="M17" i="10"/>
  <c r="M16" i="10"/>
  <c r="M15" i="10"/>
  <c r="M14" i="10"/>
  <c r="M13" i="10"/>
  <c r="M12" i="10"/>
  <c r="M11" i="10"/>
  <c r="M10" i="10"/>
  <c r="M9" i="10"/>
  <c r="M8" i="10"/>
  <c r="M7" i="10"/>
  <c r="M6" i="10"/>
  <c r="M5" i="10"/>
  <c r="Q173" i="10"/>
  <c r="Q172" i="10"/>
  <c r="Q171" i="10"/>
  <c r="Q170" i="10"/>
  <c r="Q169" i="10"/>
  <c r="Q168" i="10"/>
  <c r="Q167" i="10"/>
  <c r="Q166" i="10"/>
  <c r="Q165" i="10"/>
  <c r="Q164" i="10"/>
  <c r="Q163" i="10"/>
  <c r="Q162" i="10"/>
  <c r="Q161" i="10"/>
  <c r="Q160" i="10"/>
  <c r="Q159" i="10"/>
  <c r="Q158" i="10"/>
  <c r="Q157" i="10"/>
  <c r="Q156" i="10"/>
  <c r="Q155" i="10"/>
  <c r="Q154" i="10"/>
  <c r="Q153" i="10"/>
  <c r="Q152" i="10"/>
  <c r="Q151" i="10"/>
  <c r="Q150" i="10"/>
  <c r="Q149" i="10"/>
  <c r="Q148" i="10"/>
  <c r="Q147" i="10"/>
  <c r="Q146" i="10"/>
  <c r="Q145" i="10"/>
  <c r="Q144" i="10"/>
  <c r="Q143" i="10"/>
  <c r="Q142" i="10"/>
  <c r="Q141" i="10"/>
  <c r="Q140" i="10"/>
  <c r="Q139" i="10"/>
  <c r="Q138" i="10"/>
  <c r="Q137" i="10"/>
  <c r="Q136" i="10"/>
  <c r="Q135" i="10"/>
  <c r="Q134" i="10"/>
  <c r="Q133" i="10"/>
  <c r="Q132" i="10"/>
  <c r="Q131" i="10"/>
  <c r="Q130" i="10"/>
  <c r="Q129" i="10"/>
  <c r="Q128" i="10"/>
  <c r="Q127" i="10"/>
  <c r="Q126" i="10"/>
  <c r="Q125" i="10"/>
  <c r="Q124" i="10"/>
  <c r="Q123" i="10"/>
  <c r="Q122" i="10"/>
  <c r="Q121" i="10"/>
  <c r="Q120" i="10"/>
  <c r="Q119" i="10"/>
  <c r="Q118" i="10"/>
  <c r="Q117" i="10"/>
  <c r="Q116" i="10"/>
  <c r="Q115" i="10"/>
  <c r="Q114" i="10"/>
  <c r="Q113" i="10"/>
  <c r="Q112" i="10"/>
  <c r="Q111" i="10"/>
  <c r="Q110" i="10"/>
  <c r="Q109" i="10"/>
  <c r="Q108" i="10"/>
  <c r="Q107" i="10"/>
  <c r="Q106" i="10"/>
  <c r="Q105" i="10"/>
  <c r="Q104" i="10"/>
  <c r="Q103" i="10"/>
  <c r="Q102" i="10"/>
  <c r="Q101" i="10"/>
  <c r="Q100" i="10"/>
  <c r="Q99" i="10"/>
  <c r="Q98" i="10"/>
  <c r="Q97" i="10"/>
  <c r="Q96" i="10"/>
  <c r="Q95" i="10"/>
  <c r="Q94" i="10"/>
  <c r="Q93" i="10"/>
  <c r="Q92" i="10"/>
  <c r="Q91" i="10"/>
  <c r="Q90" i="10"/>
  <c r="Q89" i="10"/>
  <c r="Q88" i="10"/>
  <c r="Q87" i="10"/>
  <c r="Q86" i="10"/>
  <c r="Q85" i="10"/>
  <c r="Q84" i="10"/>
  <c r="Q83" i="10"/>
  <c r="Q82" i="10"/>
  <c r="Q81" i="10"/>
  <c r="Q80" i="10"/>
  <c r="Q79" i="10"/>
  <c r="Q78" i="10"/>
  <c r="Q77" i="10"/>
  <c r="Q76" i="10"/>
  <c r="Q75" i="10"/>
  <c r="Q74" i="10"/>
  <c r="Q73" i="10"/>
  <c r="Q72" i="10"/>
  <c r="Q71" i="10"/>
  <c r="Q70" i="10"/>
  <c r="Q69" i="10"/>
  <c r="Q68" i="10"/>
  <c r="Q67" i="10"/>
  <c r="Q66" i="10"/>
  <c r="Q65" i="10"/>
  <c r="Q64" i="10"/>
  <c r="Q63" i="10"/>
  <c r="Q62" i="10"/>
  <c r="Q61" i="10"/>
  <c r="Q60" i="10"/>
  <c r="Q59" i="10"/>
  <c r="Q58" i="10"/>
  <c r="Q57" i="10"/>
  <c r="Q56" i="10"/>
  <c r="Q55" i="10"/>
  <c r="Q54" i="10"/>
  <c r="Q53" i="10"/>
  <c r="Q52" i="10"/>
  <c r="Q51" i="10"/>
  <c r="Q50" i="10"/>
  <c r="Q49" i="10"/>
  <c r="Q48" i="10"/>
  <c r="Q47" i="10"/>
  <c r="Q46" i="10"/>
  <c r="Q45" i="10"/>
  <c r="Q44" i="10"/>
  <c r="Q43" i="10"/>
  <c r="Q42" i="10"/>
  <c r="Q41" i="10"/>
  <c r="Q40" i="10"/>
  <c r="Q39" i="10"/>
  <c r="Q38" i="10"/>
  <c r="Q37" i="10"/>
  <c r="Q36" i="10"/>
  <c r="Q35" i="10"/>
  <c r="Q34" i="10"/>
  <c r="Q33" i="10"/>
  <c r="Q32" i="10"/>
  <c r="Q31" i="10"/>
  <c r="Q30" i="10"/>
  <c r="Q29" i="10"/>
  <c r="Q28" i="10"/>
  <c r="Q27" i="10"/>
  <c r="Q26" i="10"/>
  <c r="Q25" i="10"/>
  <c r="Q24" i="10"/>
  <c r="Q23" i="10"/>
  <c r="Q22" i="10"/>
  <c r="Q21" i="10"/>
  <c r="Q20" i="10"/>
  <c r="Q19" i="10"/>
  <c r="Q18" i="10"/>
  <c r="Q17" i="10"/>
  <c r="Q16" i="10"/>
  <c r="Q15" i="10"/>
  <c r="Q14" i="10"/>
  <c r="Q13" i="10"/>
  <c r="Q12" i="10"/>
  <c r="Q11" i="10"/>
  <c r="Q10" i="10"/>
  <c r="Q9" i="10"/>
  <c r="Q8" i="10"/>
  <c r="Q7" i="10"/>
  <c r="Q6" i="10"/>
  <c r="Q5" i="10"/>
  <c r="U172" i="10"/>
  <c r="U171" i="10"/>
  <c r="U170" i="10"/>
  <c r="U169" i="10"/>
  <c r="U168" i="10"/>
  <c r="U167" i="10"/>
  <c r="U166" i="10"/>
  <c r="U165" i="10"/>
  <c r="U164" i="10"/>
  <c r="U163" i="10"/>
  <c r="U162" i="10"/>
  <c r="U161" i="10"/>
  <c r="U160" i="10"/>
  <c r="U159" i="10"/>
  <c r="U158" i="10"/>
  <c r="U157" i="10"/>
  <c r="U156" i="10"/>
  <c r="U155" i="10"/>
  <c r="U154" i="10"/>
  <c r="U153" i="10"/>
  <c r="U152" i="10"/>
  <c r="U151" i="10"/>
  <c r="U150" i="10"/>
  <c r="U149" i="10"/>
  <c r="U148" i="10"/>
  <c r="U147" i="10"/>
  <c r="U146" i="10"/>
  <c r="U145" i="10"/>
  <c r="U144" i="10"/>
  <c r="U143" i="10"/>
  <c r="U142" i="10"/>
  <c r="U141" i="10"/>
  <c r="U140" i="10"/>
  <c r="U139" i="10"/>
  <c r="U138" i="10"/>
  <c r="U137" i="10"/>
  <c r="U136" i="10"/>
  <c r="U135" i="10"/>
  <c r="U134" i="10"/>
  <c r="U133" i="10"/>
  <c r="U132" i="10"/>
  <c r="U131" i="10"/>
  <c r="U130" i="10"/>
  <c r="U129" i="10"/>
  <c r="U128" i="10"/>
  <c r="U127" i="10"/>
  <c r="U126" i="10"/>
  <c r="U125" i="10"/>
  <c r="U124" i="10"/>
  <c r="U123" i="10"/>
  <c r="U122" i="10"/>
  <c r="U121" i="10"/>
  <c r="U120" i="10"/>
  <c r="U119" i="10"/>
  <c r="U118" i="10"/>
  <c r="U117" i="10"/>
  <c r="U116" i="10"/>
  <c r="U115" i="10"/>
  <c r="U114" i="10"/>
  <c r="U113" i="10"/>
  <c r="U112" i="10"/>
  <c r="U111" i="10"/>
  <c r="U110" i="10"/>
  <c r="U109" i="10"/>
  <c r="U108" i="10"/>
  <c r="U107" i="10"/>
  <c r="U106" i="10"/>
  <c r="U105" i="10"/>
  <c r="U104" i="10"/>
  <c r="U103" i="10"/>
  <c r="U102" i="10"/>
  <c r="U101" i="10"/>
  <c r="U100" i="10"/>
  <c r="U99" i="10"/>
  <c r="U98" i="10"/>
  <c r="U97" i="10"/>
  <c r="U96" i="10"/>
  <c r="U95" i="10"/>
  <c r="U94" i="10"/>
  <c r="U93" i="10"/>
  <c r="U92" i="10"/>
  <c r="U91" i="10"/>
  <c r="U90" i="10"/>
  <c r="U89" i="10"/>
  <c r="U88" i="10"/>
  <c r="U87" i="10"/>
  <c r="U86" i="10"/>
  <c r="U85" i="10"/>
  <c r="U84" i="10"/>
  <c r="U83" i="10"/>
  <c r="U82" i="10"/>
  <c r="U81" i="10"/>
  <c r="U80" i="10"/>
  <c r="U79" i="10"/>
  <c r="U78" i="10"/>
  <c r="U77" i="10"/>
  <c r="U76" i="10"/>
  <c r="U75" i="10"/>
  <c r="U74" i="10"/>
  <c r="U73" i="10"/>
  <c r="U72" i="10"/>
  <c r="U71" i="10"/>
  <c r="U70" i="10"/>
  <c r="U69" i="10"/>
  <c r="U68" i="10"/>
  <c r="U67" i="10"/>
  <c r="U66" i="10"/>
  <c r="U65" i="10"/>
  <c r="U64" i="10"/>
  <c r="U63" i="10"/>
  <c r="U62" i="10"/>
  <c r="U61" i="10"/>
  <c r="U60" i="10"/>
  <c r="U59" i="10"/>
  <c r="U58" i="10"/>
  <c r="U57" i="10"/>
  <c r="U56" i="10"/>
  <c r="U55" i="10"/>
  <c r="U54" i="10"/>
  <c r="U53" i="10"/>
  <c r="U52" i="10"/>
  <c r="U51" i="10"/>
  <c r="U50" i="10"/>
  <c r="U49" i="10"/>
  <c r="U48" i="10"/>
  <c r="U47" i="10"/>
  <c r="U46" i="10"/>
  <c r="U45" i="10"/>
  <c r="U44" i="10"/>
  <c r="U43" i="10"/>
  <c r="U42" i="10"/>
  <c r="U41" i="10"/>
  <c r="U40" i="10"/>
  <c r="U39" i="10"/>
  <c r="U38" i="10"/>
  <c r="U37" i="10"/>
  <c r="U36" i="10"/>
  <c r="U35" i="10"/>
  <c r="U34" i="10"/>
  <c r="U33" i="10"/>
  <c r="U32" i="10"/>
  <c r="U31" i="10"/>
  <c r="U30" i="10"/>
  <c r="U29" i="10"/>
  <c r="U28" i="10"/>
  <c r="U27" i="10"/>
  <c r="U26" i="10"/>
  <c r="U25" i="10"/>
  <c r="U24" i="10"/>
  <c r="U23" i="10"/>
  <c r="U22" i="10"/>
  <c r="U21" i="10"/>
  <c r="U20" i="10"/>
  <c r="U19" i="10"/>
  <c r="U18" i="10"/>
  <c r="U17" i="10"/>
  <c r="U16" i="10"/>
  <c r="U15" i="10"/>
  <c r="U14" i="10"/>
  <c r="U13" i="10"/>
  <c r="U12" i="10"/>
  <c r="U11" i="10"/>
  <c r="U10" i="10"/>
  <c r="U9" i="10"/>
  <c r="U8" i="10"/>
  <c r="U7" i="10"/>
  <c r="U6" i="10"/>
  <c r="U5" i="10"/>
  <c r="Y173" i="10"/>
  <c r="Y172" i="10"/>
  <c r="Y171" i="10"/>
  <c r="Y170" i="10"/>
  <c r="Y169" i="10"/>
  <c r="Y168" i="10"/>
  <c r="Y167" i="10"/>
  <c r="Y166" i="10"/>
  <c r="Y165" i="10"/>
  <c r="Y164" i="10"/>
  <c r="Y163" i="10"/>
  <c r="Y162" i="10"/>
  <c r="Y161" i="10"/>
  <c r="Y160" i="10"/>
  <c r="Y159" i="10"/>
  <c r="Y158" i="10"/>
  <c r="Y157" i="10"/>
  <c r="Y156" i="10"/>
  <c r="Y155" i="10"/>
  <c r="Y154" i="10"/>
  <c r="Y153" i="10"/>
  <c r="Y152" i="10"/>
  <c r="Y151" i="10"/>
  <c r="Y150" i="10"/>
  <c r="Y149" i="10"/>
  <c r="Y148" i="10"/>
  <c r="Y147" i="10"/>
  <c r="Y146" i="10"/>
  <c r="Y145" i="10"/>
  <c r="Y144" i="10"/>
  <c r="Y143" i="10"/>
  <c r="Y142" i="10"/>
  <c r="Y141" i="10"/>
  <c r="Y140" i="10"/>
  <c r="Y139" i="10"/>
  <c r="Y138" i="10"/>
  <c r="Y137" i="10"/>
  <c r="Y136" i="10"/>
  <c r="Y135" i="10"/>
  <c r="Y134" i="10"/>
  <c r="Y133" i="10"/>
  <c r="Y132" i="10"/>
  <c r="Y131" i="10"/>
  <c r="Y130" i="10"/>
  <c r="Y129" i="10"/>
  <c r="Y128" i="10"/>
  <c r="Y127" i="10"/>
  <c r="Y126" i="10"/>
  <c r="Y125" i="10"/>
  <c r="Y124" i="10"/>
  <c r="Y123" i="10"/>
  <c r="Y122" i="10"/>
  <c r="Y121" i="10"/>
  <c r="Y120" i="10"/>
  <c r="Y119" i="10"/>
  <c r="Y118" i="10"/>
  <c r="Y117" i="10"/>
  <c r="Y116" i="10"/>
  <c r="Y115" i="10"/>
  <c r="Y114" i="10"/>
  <c r="Y113" i="10"/>
  <c r="Y112" i="10"/>
  <c r="Y111" i="10"/>
  <c r="Y110" i="10"/>
  <c r="Y109" i="10"/>
  <c r="Y108" i="10"/>
  <c r="Y107" i="10"/>
  <c r="Y106" i="10"/>
  <c r="Y105" i="10"/>
  <c r="Y104" i="10"/>
  <c r="Y103" i="10"/>
  <c r="Y102" i="10"/>
  <c r="Y101" i="10"/>
  <c r="Y100" i="10"/>
  <c r="Y99" i="10"/>
  <c r="Y98" i="10"/>
  <c r="Y97" i="10"/>
  <c r="Y96" i="10"/>
  <c r="Y95" i="10"/>
  <c r="Y94" i="10"/>
  <c r="Y93" i="10"/>
  <c r="Y92" i="10"/>
  <c r="Y91" i="10"/>
  <c r="Y90" i="10"/>
  <c r="Y89" i="10"/>
  <c r="Y88" i="10"/>
  <c r="Y87" i="10"/>
  <c r="Y86" i="10"/>
  <c r="Y85" i="10"/>
  <c r="Y84" i="10"/>
  <c r="Y83" i="10"/>
  <c r="Y82" i="10"/>
  <c r="Y81" i="10"/>
  <c r="Y80" i="10"/>
  <c r="Y79" i="10"/>
  <c r="Y78" i="10"/>
  <c r="Y77" i="10"/>
  <c r="Y76" i="10"/>
  <c r="Y75" i="10"/>
  <c r="Y74" i="10"/>
  <c r="Y73" i="10"/>
  <c r="Y72" i="10"/>
  <c r="Y71" i="10"/>
  <c r="Y70" i="10"/>
  <c r="Y69" i="10"/>
  <c r="Y68" i="10"/>
  <c r="Y67" i="10"/>
  <c r="Y66" i="10"/>
  <c r="Y65" i="10"/>
  <c r="Y64" i="10"/>
  <c r="Y63" i="10"/>
  <c r="Y62" i="10"/>
  <c r="Y61" i="10"/>
  <c r="Y60" i="10"/>
  <c r="Y59" i="10"/>
  <c r="Y58" i="10"/>
  <c r="Y57" i="10"/>
  <c r="Y56" i="10"/>
  <c r="Y55" i="10"/>
  <c r="Y54" i="10"/>
  <c r="Y53" i="10"/>
  <c r="Y52" i="10"/>
  <c r="Y51" i="10"/>
  <c r="Y50" i="10"/>
  <c r="Y49" i="10"/>
  <c r="Y48" i="10"/>
  <c r="Y47" i="10"/>
  <c r="Y46" i="10"/>
  <c r="Y45" i="10"/>
  <c r="Y44" i="10"/>
  <c r="Y43" i="10"/>
  <c r="Y42" i="10"/>
  <c r="Y41" i="10"/>
  <c r="Y40" i="10"/>
  <c r="Y39" i="10"/>
  <c r="Y38" i="10"/>
  <c r="Y37" i="10"/>
  <c r="Y36" i="10"/>
  <c r="Y35" i="10"/>
  <c r="Y34" i="10"/>
  <c r="Y33" i="10"/>
  <c r="Y32" i="10"/>
  <c r="Y31" i="10"/>
  <c r="Y30" i="10"/>
  <c r="Y29" i="10"/>
  <c r="Y28" i="10"/>
  <c r="Y27" i="10"/>
  <c r="Y26" i="10"/>
  <c r="Y25" i="10"/>
  <c r="Y24" i="10"/>
  <c r="Y23" i="10"/>
  <c r="Y22" i="10"/>
  <c r="Y21" i="10"/>
  <c r="Y20" i="10"/>
  <c r="Y19" i="10"/>
  <c r="Y18" i="10"/>
  <c r="Y17" i="10"/>
  <c r="Y16" i="10"/>
  <c r="Y15" i="10"/>
  <c r="Y14" i="10"/>
  <c r="Y13" i="10"/>
  <c r="Y12" i="10"/>
  <c r="Y11" i="10"/>
  <c r="Y10" i="10"/>
  <c r="Y9" i="10"/>
  <c r="Y8" i="10"/>
  <c r="Y7" i="10"/>
  <c r="Y6" i="10"/>
  <c r="Y5" i="10"/>
  <c r="AC173" i="10"/>
  <c r="AC172" i="10"/>
  <c r="AC171" i="10"/>
  <c r="AC170" i="10"/>
  <c r="AC169" i="10"/>
  <c r="AC168" i="10"/>
  <c r="AC167" i="10"/>
  <c r="AC166" i="10"/>
  <c r="AC165" i="10"/>
  <c r="AC164" i="10"/>
  <c r="AC163" i="10"/>
  <c r="AC162" i="10"/>
  <c r="AC161" i="10"/>
  <c r="AC160" i="10"/>
  <c r="AC159" i="10"/>
  <c r="AC158" i="10"/>
  <c r="AC157" i="10"/>
  <c r="AC156" i="10"/>
  <c r="AC155" i="10"/>
  <c r="AC154" i="10"/>
  <c r="AC153" i="10"/>
  <c r="AC152" i="10"/>
  <c r="AC151" i="10"/>
  <c r="AC150" i="10"/>
  <c r="AC149" i="10"/>
  <c r="AC148" i="10"/>
  <c r="AC147" i="10"/>
  <c r="AC146" i="10"/>
  <c r="AC145" i="10"/>
  <c r="AC144" i="10"/>
  <c r="AC143" i="10"/>
  <c r="AC142" i="10"/>
  <c r="AC141" i="10"/>
  <c r="AC140" i="10"/>
  <c r="AC139" i="10"/>
  <c r="AC138" i="10"/>
  <c r="AC137" i="10"/>
  <c r="AC136" i="10"/>
  <c r="AC135" i="10"/>
  <c r="AC134" i="10"/>
  <c r="AC133" i="10"/>
  <c r="AC132" i="10"/>
  <c r="AC131" i="10"/>
  <c r="AC130" i="10"/>
  <c r="AC129" i="10"/>
  <c r="AC128" i="10"/>
  <c r="AC127" i="10"/>
  <c r="AC126" i="10"/>
  <c r="AC125" i="10"/>
  <c r="AC124" i="10"/>
  <c r="AC123" i="10"/>
  <c r="AC122" i="10"/>
  <c r="AC121" i="10"/>
  <c r="AC120" i="10"/>
  <c r="AC119" i="10"/>
  <c r="AC118" i="10"/>
  <c r="AC117" i="10"/>
  <c r="AC116" i="10"/>
  <c r="AC115" i="10"/>
  <c r="AC114" i="10"/>
  <c r="AC113" i="10"/>
  <c r="AC112" i="10"/>
  <c r="AC111" i="10"/>
  <c r="AC110" i="10"/>
  <c r="AC109" i="10"/>
  <c r="AC108" i="10"/>
  <c r="AC107" i="10"/>
  <c r="AC106" i="10"/>
  <c r="AC105" i="10"/>
  <c r="AC104" i="10"/>
  <c r="AC103" i="10"/>
  <c r="AC102" i="10"/>
  <c r="AC101" i="10"/>
  <c r="AC100" i="10"/>
  <c r="AC99" i="10"/>
  <c r="AC98" i="10"/>
  <c r="AC97" i="10"/>
  <c r="AC96" i="10"/>
  <c r="AC95" i="10"/>
  <c r="AC94" i="10"/>
  <c r="AC93" i="10"/>
  <c r="AC92" i="10"/>
  <c r="AC91" i="10"/>
  <c r="AC90" i="10"/>
  <c r="AC89" i="10"/>
  <c r="AC88" i="10"/>
  <c r="AC87" i="10"/>
  <c r="AC86" i="10"/>
  <c r="AC85" i="10"/>
  <c r="AC84" i="10"/>
  <c r="AC83" i="10"/>
  <c r="AC82" i="10"/>
  <c r="AC81" i="10"/>
  <c r="AC80" i="10"/>
  <c r="AC79" i="10"/>
  <c r="AC78" i="10"/>
  <c r="AC77" i="10"/>
  <c r="AC76" i="10"/>
  <c r="AC75" i="10"/>
  <c r="AC74" i="10"/>
  <c r="AC73" i="10"/>
  <c r="AC72" i="10"/>
  <c r="AC71" i="10"/>
  <c r="AC70" i="10"/>
  <c r="AC69" i="10"/>
  <c r="AC68" i="10"/>
  <c r="AC67" i="10"/>
  <c r="AC66" i="10"/>
  <c r="AC65" i="10"/>
  <c r="AC64" i="10"/>
  <c r="AC63" i="10"/>
  <c r="AC62" i="10"/>
  <c r="AC61" i="10"/>
  <c r="AC60" i="10"/>
  <c r="AC59" i="10"/>
  <c r="AC58" i="10"/>
  <c r="AC57" i="10"/>
  <c r="AC56" i="10"/>
  <c r="AC55" i="10"/>
  <c r="AC54" i="10"/>
  <c r="AC53" i="10"/>
  <c r="AC52" i="10"/>
  <c r="AC51" i="10"/>
  <c r="AC50" i="10"/>
  <c r="AC49" i="10"/>
  <c r="AC48" i="10"/>
  <c r="AC47" i="10"/>
  <c r="AC46" i="10"/>
  <c r="AC45" i="10"/>
  <c r="AC44" i="10"/>
  <c r="AC43" i="10"/>
  <c r="AC42" i="10"/>
  <c r="AC41" i="10"/>
  <c r="AC40" i="10"/>
  <c r="AC39" i="10"/>
  <c r="AC38" i="10"/>
  <c r="AC37" i="10"/>
  <c r="AC36" i="10"/>
  <c r="AC35" i="10"/>
  <c r="AC34" i="10"/>
  <c r="AC33" i="10"/>
  <c r="AC32" i="10"/>
  <c r="AC31" i="10"/>
  <c r="AC30" i="10"/>
  <c r="AC29" i="10"/>
  <c r="AC28" i="10"/>
  <c r="AC27" i="10"/>
  <c r="AC26" i="10"/>
  <c r="AC25" i="10"/>
  <c r="AC24" i="10"/>
  <c r="AC23" i="10"/>
  <c r="AC22" i="10"/>
  <c r="AC21" i="10"/>
  <c r="AC20" i="10"/>
  <c r="AC19" i="10"/>
  <c r="AC18" i="10"/>
  <c r="AC17" i="10"/>
  <c r="AC16" i="10"/>
  <c r="AC15" i="10"/>
  <c r="AC14" i="10"/>
  <c r="AC13" i="10"/>
  <c r="AC12" i="10"/>
  <c r="AC11" i="10"/>
  <c r="AC10" i="10"/>
  <c r="AC9" i="10"/>
  <c r="AC8" i="10"/>
  <c r="AC7" i="10"/>
  <c r="AC6" i="10"/>
  <c r="AC5" i="10"/>
  <c r="AG173" i="10"/>
  <c r="AG172" i="10"/>
  <c r="AG171" i="10"/>
  <c r="AG170" i="10"/>
  <c r="AG169" i="10"/>
  <c r="AG168" i="10"/>
  <c r="AG167" i="10"/>
  <c r="AG166" i="10"/>
  <c r="AG165" i="10"/>
  <c r="AG164" i="10"/>
  <c r="AG163" i="10"/>
  <c r="AG162" i="10"/>
  <c r="AG161" i="10"/>
  <c r="AG160" i="10"/>
  <c r="AG159" i="10"/>
  <c r="AG158" i="10"/>
  <c r="AG157" i="10"/>
  <c r="AG156" i="10"/>
  <c r="AG155" i="10"/>
  <c r="AG154" i="10"/>
  <c r="AG153" i="10"/>
  <c r="AG152" i="10"/>
  <c r="AG151" i="10"/>
  <c r="AG150" i="10"/>
  <c r="AG149" i="10"/>
  <c r="AG148" i="10"/>
  <c r="AG147" i="10"/>
  <c r="AG146" i="10"/>
  <c r="AG145" i="10"/>
  <c r="AG144" i="10"/>
  <c r="AG143" i="10"/>
  <c r="AG142" i="10"/>
  <c r="AG141" i="10"/>
  <c r="AG140" i="10"/>
  <c r="AG139" i="10"/>
  <c r="AG138" i="10"/>
  <c r="AG137" i="10"/>
  <c r="AG136" i="10"/>
  <c r="AG135" i="10"/>
  <c r="AG134" i="10"/>
  <c r="AG133" i="10"/>
  <c r="AG132" i="10"/>
  <c r="AG131" i="10"/>
  <c r="AG130" i="10"/>
  <c r="AG129" i="10"/>
  <c r="AG128" i="10"/>
  <c r="AG127" i="10"/>
  <c r="AG126" i="10"/>
  <c r="AG125" i="10"/>
  <c r="AG124" i="10"/>
  <c r="AG123" i="10"/>
  <c r="AG122" i="10"/>
  <c r="AG121" i="10"/>
  <c r="AG120" i="10"/>
  <c r="AG119" i="10"/>
  <c r="AG118" i="10"/>
  <c r="AG117" i="10"/>
  <c r="AG116" i="10"/>
  <c r="AG115" i="10"/>
  <c r="AG114" i="10"/>
  <c r="AG113" i="10"/>
  <c r="AG112" i="10"/>
  <c r="AG111" i="10"/>
  <c r="AG110" i="10"/>
  <c r="AG109" i="10"/>
  <c r="AG108" i="10"/>
  <c r="AG107" i="10"/>
  <c r="AG106" i="10"/>
  <c r="AG105" i="10"/>
  <c r="AG104" i="10"/>
  <c r="AG103" i="10"/>
  <c r="AG102" i="10"/>
  <c r="AG101" i="10"/>
  <c r="AG100" i="10"/>
  <c r="AG99" i="10"/>
  <c r="AG98" i="10"/>
  <c r="AG97" i="10"/>
  <c r="AG96" i="10"/>
  <c r="AG95" i="10"/>
  <c r="AG94" i="10"/>
  <c r="AG93" i="10"/>
  <c r="AG92" i="10"/>
  <c r="AG91" i="10"/>
  <c r="AG90" i="10"/>
  <c r="AG89" i="10"/>
  <c r="AG88" i="10"/>
  <c r="AG87" i="10"/>
  <c r="AG86" i="10"/>
  <c r="AG85" i="10"/>
  <c r="AG84" i="10"/>
  <c r="AG83" i="10"/>
  <c r="AG82" i="10"/>
  <c r="AG81" i="10"/>
  <c r="AG80" i="10"/>
  <c r="AG79" i="10"/>
  <c r="AG78" i="10"/>
  <c r="AG77" i="10"/>
  <c r="AG76" i="10"/>
  <c r="AG75" i="10"/>
  <c r="AG74" i="10"/>
  <c r="AG73" i="10"/>
  <c r="AG72" i="10"/>
  <c r="AG71" i="10"/>
  <c r="AG70" i="10"/>
  <c r="AG69" i="10"/>
  <c r="AG68" i="10"/>
  <c r="AG67" i="10"/>
  <c r="AG66" i="10"/>
  <c r="AG65" i="10"/>
  <c r="AG64" i="10"/>
  <c r="AG63" i="10"/>
  <c r="AG62" i="10"/>
  <c r="AG61" i="10"/>
  <c r="AG60" i="10"/>
  <c r="AG59" i="10"/>
  <c r="AG58" i="10"/>
  <c r="AG56" i="10"/>
  <c r="AG55" i="10"/>
  <c r="AG54" i="10"/>
  <c r="AG53" i="10"/>
  <c r="AG52" i="10"/>
  <c r="AG51" i="10"/>
  <c r="AG50" i="10"/>
  <c r="AG49" i="10"/>
  <c r="AG48" i="10"/>
  <c r="AG47" i="10"/>
  <c r="AG46" i="10"/>
  <c r="AG45" i="10"/>
  <c r="AG44" i="10"/>
  <c r="AG43" i="10"/>
  <c r="AG42" i="10"/>
  <c r="AG41" i="10"/>
  <c r="AG40" i="10"/>
  <c r="AG39" i="10"/>
  <c r="AG38" i="10"/>
  <c r="AG37" i="10"/>
  <c r="AG36" i="10"/>
  <c r="AG35" i="10"/>
  <c r="AG34" i="10"/>
  <c r="AG33" i="10"/>
  <c r="AG32" i="10"/>
  <c r="AG31" i="10"/>
  <c r="AG30" i="10"/>
  <c r="AG29" i="10"/>
  <c r="AG28" i="10"/>
  <c r="AG27" i="10"/>
  <c r="AG26" i="10"/>
  <c r="AG25" i="10"/>
  <c r="AG24" i="10"/>
  <c r="AG23" i="10"/>
  <c r="AG22" i="10"/>
  <c r="AG21" i="10"/>
  <c r="AG20" i="10"/>
  <c r="AG19" i="10"/>
  <c r="AG18" i="10"/>
  <c r="AG17" i="10"/>
  <c r="AG16" i="10"/>
  <c r="AG15" i="10"/>
  <c r="AG14" i="10"/>
  <c r="AG13" i="10"/>
  <c r="AG12" i="10"/>
  <c r="AG11" i="10"/>
  <c r="AG10" i="10"/>
  <c r="AG9" i="10"/>
  <c r="AG8" i="10"/>
  <c r="AG7" i="10"/>
  <c r="AG6" i="10"/>
  <c r="AG5" i="10"/>
  <c r="AK172" i="10"/>
  <c r="AK171" i="10"/>
  <c r="AK170" i="10"/>
  <c r="AK169" i="10"/>
  <c r="AK168" i="10"/>
  <c r="AK167" i="10"/>
  <c r="AK166" i="10"/>
  <c r="AK165" i="10"/>
  <c r="AK164" i="10"/>
  <c r="AK163" i="10"/>
  <c r="AK162" i="10"/>
  <c r="AK161" i="10"/>
  <c r="AK160" i="10"/>
  <c r="AK159" i="10"/>
  <c r="AK158" i="10"/>
  <c r="AK157" i="10"/>
  <c r="AK156" i="10"/>
  <c r="AK155" i="10"/>
  <c r="AK154" i="10"/>
  <c r="AK153" i="10"/>
  <c r="AK152" i="10"/>
  <c r="AK151" i="10"/>
  <c r="AK150" i="10"/>
  <c r="AK149" i="10"/>
  <c r="AK148" i="10"/>
  <c r="AK147" i="10"/>
  <c r="AK146" i="10"/>
  <c r="AK145" i="10"/>
  <c r="AK144" i="10"/>
  <c r="AK143" i="10"/>
  <c r="AK142" i="10"/>
  <c r="AK141" i="10"/>
  <c r="AK140" i="10"/>
  <c r="AK139" i="10"/>
  <c r="AK138" i="10"/>
  <c r="AK137" i="10"/>
  <c r="AK136" i="10"/>
  <c r="AK135" i="10"/>
  <c r="AK134" i="10"/>
  <c r="AK133" i="10"/>
  <c r="AK132" i="10"/>
  <c r="AK131" i="10"/>
  <c r="AK130" i="10"/>
  <c r="AK129" i="10"/>
  <c r="AK128" i="10"/>
  <c r="AK127" i="10"/>
  <c r="AK126" i="10"/>
  <c r="AK125" i="10"/>
  <c r="AK124" i="10"/>
  <c r="AK123" i="10"/>
  <c r="AK122" i="10"/>
  <c r="AK121" i="10"/>
  <c r="AK120" i="10"/>
  <c r="AK119" i="10"/>
  <c r="AK118" i="10"/>
  <c r="AK117" i="10"/>
  <c r="AK116" i="10"/>
  <c r="AK115" i="10"/>
  <c r="AK114" i="10"/>
  <c r="AK113" i="10"/>
  <c r="AK112" i="10"/>
  <c r="AK111" i="10"/>
  <c r="AK110" i="10"/>
  <c r="AK109" i="10"/>
  <c r="AK108" i="10"/>
  <c r="AK107" i="10"/>
  <c r="AK106" i="10"/>
  <c r="AK105" i="10"/>
  <c r="AK104" i="10"/>
  <c r="AK103" i="10"/>
  <c r="AK102" i="10"/>
  <c r="AK101" i="10"/>
  <c r="AK100" i="10"/>
  <c r="AK99" i="10"/>
  <c r="AK98" i="10"/>
  <c r="AK97" i="10"/>
  <c r="AK96" i="10"/>
  <c r="AK95" i="10"/>
  <c r="AK94" i="10"/>
  <c r="AK93" i="10"/>
  <c r="AK92" i="10"/>
  <c r="AK91" i="10"/>
  <c r="AK90" i="10"/>
  <c r="AK89" i="10"/>
  <c r="AK88" i="10"/>
  <c r="AK87" i="10"/>
  <c r="AK86" i="10"/>
  <c r="AK85" i="10"/>
  <c r="AK84" i="10"/>
  <c r="AK83" i="10"/>
  <c r="AK82" i="10"/>
  <c r="AK81" i="10"/>
  <c r="AK80" i="10"/>
  <c r="AK79" i="10"/>
  <c r="AK78" i="10"/>
  <c r="AK77" i="10"/>
  <c r="AK76" i="10"/>
  <c r="AK75" i="10"/>
  <c r="AK74" i="10"/>
  <c r="AK73" i="10"/>
  <c r="AK72" i="10"/>
  <c r="AK71" i="10"/>
  <c r="AK70" i="10"/>
  <c r="AK69" i="10"/>
  <c r="AK68" i="10"/>
  <c r="AK67" i="10"/>
  <c r="AK66" i="10"/>
  <c r="AK65" i="10"/>
  <c r="AK64" i="10"/>
  <c r="AK63" i="10"/>
  <c r="AK62" i="10"/>
  <c r="AK61" i="10"/>
  <c r="AK60" i="10"/>
  <c r="AK59" i="10"/>
  <c r="AK58" i="10"/>
  <c r="AK57" i="10"/>
  <c r="AK56" i="10"/>
  <c r="AK55" i="10"/>
  <c r="AK54" i="10"/>
  <c r="AK53" i="10"/>
  <c r="AK52" i="10"/>
  <c r="AK51" i="10"/>
  <c r="AK50" i="10"/>
  <c r="AK49" i="10"/>
  <c r="AK48" i="10"/>
  <c r="AK47" i="10"/>
  <c r="AK46" i="10"/>
  <c r="AK45" i="10"/>
  <c r="AK44" i="10"/>
  <c r="AK43" i="10"/>
  <c r="AK42" i="10"/>
  <c r="AK41" i="10"/>
  <c r="AK40" i="10"/>
  <c r="AK39" i="10"/>
  <c r="AK38" i="10"/>
  <c r="AK37" i="10"/>
  <c r="AK36" i="10"/>
  <c r="AK35" i="10"/>
  <c r="AK34" i="10"/>
  <c r="AK33" i="10"/>
  <c r="AK32" i="10"/>
  <c r="AK31" i="10"/>
  <c r="AK30" i="10"/>
  <c r="AK29" i="10"/>
  <c r="AK28" i="10"/>
  <c r="AK27" i="10"/>
  <c r="AK26" i="10"/>
  <c r="AK25" i="10"/>
  <c r="AK24" i="10"/>
  <c r="AK23" i="10"/>
  <c r="AK22" i="10"/>
  <c r="AK21" i="10"/>
  <c r="AK20" i="10"/>
  <c r="AK19" i="10"/>
  <c r="AK18" i="10"/>
  <c r="AK17" i="10"/>
  <c r="AK16" i="10"/>
  <c r="AK15" i="10"/>
  <c r="AK14" i="10"/>
  <c r="AK13" i="10"/>
  <c r="AK12" i="10"/>
  <c r="AK11" i="10"/>
  <c r="AK10" i="10"/>
  <c r="AK9" i="10"/>
  <c r="AK8" i="10"/>
  <c r="AK7" i="10"/>
  <c r="AK6" i="10"/>
  <c r="AK5" i="10"/>
  <c r="AO173" i="10"/>
  <c r="AO172" i="10"/>
  <c r="AO171" i="10"/>
  <c r="AO170" i="10"/>
  <c r="AO169" i="10"/>
  <c r="AO168" i="10"/>
  <c r="AO167" i="10"/>
  <c r="AO166" i="10"/>
  <c r="AO165" i="10"/>
  <c r="AO164" i="10"/>
  <c r="AO163" i="10"/>
  <c r="AO162" i="10"/>
  <c r="AO161" i="10"/>
  <c r="AO160" i="10"/>
  <c r="AO159" i="10"/>
  <c r="AO158" i="10"/>
  <c r="AO157" i="10"/>
  <c r="AO156" i="10"/>
  <c r="AO155" i="10"/>
  <c r="AO154" i="10"/>
  <c r="AO153" i="10"/>
  <c r="AO152" i="10"/>
  <c r="AO151" i="10"/>
  <c r="AO150" i="10"/>
  <c r="AO149" i="10"/>
  <c r="AO148" i="10"/>
  <c r="AO147" i="10"/>
  <c r="AO146" i="10"/>
  <c r="AO145" i="10"/>
  <c r="AO144" i="10"/>
  <c r="AO143" i="10"/>
  <c r="AO142" i="10"/>
  <c r="AO141" i="10"/>
  <c r="AO140" i="10"/>
  <c r="AO139" i="10"/>
  <c r="AO138" i="10"/>
  <c r="AO137" i="10"/>
  <c r="AO136" i="10"/>
  <c r="AO135" i="10"/>
  <c r="AO134" i="10"/>
  <c r="AO133" i="10"/>
  <c r="AO132" i="10"/>
  <c r="AO131" i="10"/>
  <c r="AO130" i="10"/>
  <c r="AO129" i="10"/>
  <c r="AO128" i="10"/>
  <c r="AO127" i="10"/>
  <c r="AO126" i="10"/>
  <c r="AO125" i="10"/>
  <c r="AO124" i="10"/>
  <c r="AO123" i="10"/>
  <c r="AO122" i="10"/>
  <c r="AO121" i="10"/>
  <c r="AO120" i="10"/>
  <c r="AO119" i="10"/>
  <c r="AO118" i="10"/>
  <c r="AO117" i="10"/>
  <c r="AO116" i="10"/>
  <c r="AO115" i="10"/>
  <c r="AO114" i="10"/>
  <c r="AO113" i="10"/>
  <c r="AO112" i="10"/>
  <c r="AO111" i="10"/>
  <c r="AO110" i="10"/>
  <c r="AO109" i="10"/>
  <c r="AO108" i="10"/>
  <c r="AO107" i="10"/>
  <c r="AO106" i="10"/>
  <c r="AO105" i="10"/>
  <c r="AO104" i="10"/>
  <c r="AO103" i="10"/>
  <c r="AO102" i="10"/>
  <c r="AO101" i="10"/>
  <c r="AO100" i="10"/>
  <c r="AO99" i="10"/>
  <c r="AO98" i="10"/>
  <c r="AO97" i="10"/>
  <c r="AO96" i="10"/>
  <c r="AO95" i="10"/>
  <c r="AO94" i="10"/>
  <c r="AO93" i="10"/>
  <c r="AO92" i="10"/>
  <c r="AO91" i="10"/>
  <c r="AO90" i="10"/>
  <c r="AO89" i="10"/>
  <c r="AO88" i="10"/>
  <c r="AO87" i="10"/>
  <c r="AO86" i="10"/>
  <c r="AO85" i="10"/>
  <c r="AO84" i="10"/>
  <c r="AO83" i="10"/>
  <c r="AO82" i="10"/>
  <c r="AO81" i="10"/>
  <c r="AO80" i="10"/>
  <c r="AO79" i="10"/>
  <c r="AO78" i="10"/>
  <c r="AO77" i="10"/>
  <c r="AO76" i="10"/>
  <c r="AO75" i="10"/>
  <c r="AO74" i="10"/>
  <c r="AO73" i="10"/>
  <c r="AO72" i="10"/>
  <c r="AO71" i="10"/>
  <c r="AO70" i="10"/>
  <c r="AO69" i="10"/>
  <c r="AO68" i="10"/>
  <c r="AO67" i="10"/>
  <c r="AO66" i="10"/>
  <c r="AO65" i="10"/>
  <c r="AO64" i="10"/>
  <c r="AO63" i="10"/>
  <c r="AO62" i="10"/>
  <c r="AO61" i="10"/>
  <c r="AO60" i="10"/>
  <c r="AO59" i="10"/>
  <c r="AO58" i="10"/>
  <c r="AO57" i="10"/>
  <c r="AO56" i="10"/>
  <c r="AO55" i="10"/>
  <c r="AO54" i="10"/>
  <c r="AO53" i="10"/>
  <c r="AO52" i="10"/>
  <c r="AO51" i="10"/>
  <c r="AO50" i="10"/>
  <c r="AO49" i="10"/>
  <c r="AO48" i="10"/>
  <c r="AO47" i="10"/>
  <c r="AO46" i="10"/>
  <c r="AO45" i="10"/>
  <c r="AO44" i="10"/>
  <c r="AO43" i="10"/>
  <c r="AO42" i="10"/>
  <c r="AO41" i="10"/>
  <c r="AO40" i="10"/>
  <c r="AO39" i="10"/>
  <c r="AO38" i="10"/>
  <c r="AO37" i="10"/>
  <c r="AO36" i="10"/>
  <c r="AO35" i="10"/>
  <c r="AO34" i="10"/>
  <c r="AO33" i="10"/>
  <c r="AO32" i="10"/>
  <c r="AO31" i="10"/>
  <c r="AO30" i="10"/>
  <c r="AO29" i="10"/>
  <c r="AO28" i="10"/>
  <c r="AO27" i="10"/>
  <c r="AO26" i="10"/>
  <c r="AO25" i="10"/>
  <c r="AO24" i="10"/>
  <c r="AO23" i="10"/>
  <c r="AO22" i="10"/>
  <c r="AO21" i="10"/>
  <c r="AO20" i="10"/>
  <c r="AO19" i="10"/>
  <c r="AO18" i="10"/>
  <c r="AO17" i="10"/>
  <c r="AO16" i="10"/>
  <c r="AO15" i="10"/>
  <c r="AO14" i="10"/>
  <c r="AO13" i="10"/>
  <c r="AO12" i="10"/>
  <c r="AO11" i="10"/>
  <c r="AO10" i="10"/>
  <c r="AO9" i="10"/>
  <c r="AO8" i="10"/>
  <c r="AO7" i="10"/>
  <c r="AO6" i="10"/>
  <c r="AO5" i="10"/>
  <c r="AS173" i="10"/>
  <c r="AS172" i="10"/>
  <c r="AS171" i="10"/>
  <c r="AS170" i="10"/>
  <c r="AS169" i="10"/>
  <c r="AS168" i="10"/>
  <c r="AS167" i="10"/>
  <c r="AS166" i="10"/>
  <c r="AS165" i="10"/>
  <c r="AS164" i="10"/>
  <c r="AS163" i="10"/>
  <c r="AS162" i="10"/>
  <c r="AS161" i="10"/>
  <c r="AS160" i="10"/>
  <c r="AS159" i="10"/>
  <c r="AS158" i="10"/>
  <c r="AS157" i="10"/>
  <c r="AS156" i="10"/>
  <c r="AS155" i="10"/>
  <c r="AS154" i="10"/>
  <c r="AS153" i="10"/>
  <c r="AS152" i="10"/>
  <c r="AS151" i="10"/>
  <c r="AS150" i="10"/>
  <c r="AS149" i="10"/>
  <c r="AS148" i="10"/>
  <c r="AS147" i="10"/>
  <c r="AS146" i="10"/>
  <c r="AS145" i="10"/>
  <c r="AS144" i="10"/>
  <c r="AS143" i="10"/>
  <c r="AS142" i="10"/>
  <c r="AS141" i="10"/>
  <c r="AS140" i="10"/>
  <c r="AS139" i="10"/>
  <c r="AS138" i="10"/>
  <c r="AS137" i="10"/>
  <c r="AS136" i="10"/>
  <c r="AS135" i="10"/>
  <c r="AS134" i="10"/>
  <c r="AS133" i="10"/>
  <c r="AS132" i="10"/>
  <c r="AS131" i="10"/>
  <c r="AS130" i="10"/>
  <c r="AS129" i="10"/>
  <c r="AS128" i="10"/>
  <c r="AS127" i="10"/>
  <c r="AS126" i="10"/>
  <c r="AS125" i="10"/>
  <c r="AS124" i="10"/>
  <c r="AS123" i="10"/>
  <c r="AS122" i="10"/>
  <c r="AS121" i="10"/>
  <c r="AS120" i="10"/>
  <c r="AS119" i="10"/>
  <c r="AS118" i="10"/>
  <c r="AS117" i="10"/>
  <c r="AS116" i="10"/>
  <c r="AS115" i="10"/>
  <c r="AS114" i="10"/>
  <c r="AS113" i="10"/>
  <c r="AS112" i="10"/>
  <c r="AS111" i="10"/>
  <c r="AS110" i="10"/>
  <c r="AS109" i="10"/>
  <c r="AS108" i="10"/>
  <c r="AS107" i="10"/>
  <c r="AS106" i="10"/>
  <c r="AS105" i="10"/>
  <c r="AS104" i="10"/>
  <c r="AS103" i="10"/>
  <c r="AS102" i="10"/>
  <c r="AS101" i="10"/>
  <c r="AS100" i="10"/>
  <c r="AS99" i="10"/>
  <c r="AS98" i="10"/>
  <c r="AS97" i="10"/>
  <c r="AS96" i="10"/>
  <c r="AS95" i="10"/>
  <c r="AS94" i="10"/>
  <c r="AS93" i="10"/>
  <c r="AS92" i="10"/>
  <c r="AS91" i="10"/>
  <c r="AS90" i="10"/>
  <c r="AS89" i="10"/>
  <c r="AS88" i="10"/>
  <c r="AS87" i="10"/>
  <c r="AS86" i="10"/>
  <c r="AS85" i="10"/>
  <c r="AS84" i="10"/>
  <c r="AS83" i="10"/>
  <c r="AS82" i="10"/>
  <c r="AS81" i="10"/>
  <c r="AS80" i="10"/>
  <c r="AS79" i="10"/>
  <c r="AS78" i="10"/>
  <c r="AS77" i="10"/>
  <c r="AS76" i="10"/>
  <c r="AS75" i="10"/>
  <c r="AS74" i="10"/>
  <c r="AS73" i="10"/>
  <c r="AS72" i="10"/>
  <c r="AS71" i="10"/>
  <c r="AS70" i="10"/>
  <c r="AS69" i="10"/>
  <c r="AS68" i="10"/>
  <c r="AS67" i="10"/>
  <c r="AS66" i="10"/>
  <c r="AS65" i="10"/>
  <c r="AS64" i="10"/>
  <c r="AS63" i="10"/>
  <c r="AS62" i="10"/>
  <c r="AS61" i="10"/>
  <c r="AS60" i="10"/>
  <c r="AS59" i="10"/>
  <c r="AS58" i="10"/>
  <c r="AS57" i="10"/>
  <c r="AS56" i="10"/>
  <c r="AS55" i="10"/>
  <c r="AS54" i="10"/>
  <c r="AS53" i="10"/>
  <c r="AS52" i="10"/>
  <c r="AS51" i="10"/>
  <c r="AS50" i="10"/>
  <c r="AS49" i="10"/>
  <c r="AS48" i="10"/>
  <c r="AS47" i="10"/>
  <c r="AS46" i="10"/>
  <c r="AS45" i="10"/>
  <c r="AS44" i="10"/>
  <c r="AS43" i="10"/>
  <c r="AS42" i="10"/>
  <c r="AS41" i="10"/>
  <c r="AS40" i="10"/>
  <c r="AS39" i="10"/>
  <c r="AS38" i="10"/>
  <c r="AS37" i="10"/>
  <c r="AS36" i="10"/>
  <c r="AS35" i="10"/>
  <c r="AS34" i="10"/>
  <c r="AS33" i="10"/>
  <c r="AS32" i="10"/>
  <c r="AS31" i="10"/>
  <c r="AS30" i="10"/>
  <c r="AS29" i="10"/>
  <c r="AS28" i="10"/>
  <c r="AS27" i="10"/>
  <c r="AS26" i="10"/>
  <c r="AS25" i="10"/>
  <c r="AS24" i="10"/>
  <c r="AS23" i="10"/>
  <c r="AS22" i="10"/>
  <c r="AS21" i="10"/>
  <c r="AS20" i="10"/>
  <c r="AS19" i="10"/>
  <c r="AS18" i="10"/>
  <c r="AS17" i="10"/>
  <c r="AS16" i="10"/>
  <c r="AS15" i="10"/>
  <c r="AS14" i="10"/>
  <c r="AS13" i="10"/>
  <c r="AS12" i="10"/>
  <c r="AS11" i="10"/>
  <c r="AS10" i="10"/>
  <c r="AS9" i="10"/>
  <c r="AS8" i="10"/>
  <c r="AS7" i="10"/>
  <c r="AS6" i="10"/>
  <c r="AS5" i="10"/>
  <c r="AW173" i="10"/>
  <c r="AW172" i="10"/>
  <c r="AW171" i="10"/>
  <c r="AW170" i="10"/>
  <c r="AW169" i="10"/>
  <c r="AW168" i="10"/>
  <c r="AW167" i="10"/>
  <c r="AW166" i="10"/>
  <c r="AW165" i="10"/>
  <c r="AW164" i="10"/>
  <c r="AW163" i="10"/>
  <c r="AW161" i="10"/>
  <c r="AW160" i="10"/>
  <c r="AW159" i="10"/>
  <c r="AW158" i="10"/>
  <c r="AW157" i="10"/>
  <c r="AW156" i="10"/>
  <c r="AW155" i="10"/>
  <c r="AW154" i="10"/>
  <c r="AW153" i="10"/>
  <c r="AW152" i="10"/>
  <c r="AW151" i="10"/>
  <c r="AW150" i="10"/>
  <c r="AW149" i="10"/>
  <c r="AW148" i="10"/>
  <c r="AW147" i="10"/>
  <c r="AW146" i="10"/>
  <c r="AW145" i="10"/>
  <c r="AW144" i="10"/>
  <c r="AW143" i="10"/>
  <c r="AW142" i="10"/>
  <c r="AW141" i="10"/>
  <c r="AW140" i="10"/>
  <c r="AW139" i="10"/>
  <c r="AW138" i="10"/>
  <c r="AW137" i="10"/>
  <c r="AW136" i="10"/>
  <c r="AW135" i="10"/>
  <c r="AW134" i="10"/>
  <c r="AW133" i="10"/>
  <c r="AW132" i="10"/>
  <c r="AW131" i="10"/>
  <c r="AW130" i="10"/>
  <c r="AW129" i="10"/>
  <c r="AW128" i="10"/>
  <c r="AW127" i="10"/>
  <c r="AW126" i="10"/>
  <c r="AW125" i="10"/>
  <c r="AW124" i="10"/>
  <c r="AW123" i="10"/>
  <c r="AW122" i="10"/>
  <c r="AW121" i="10"/>
  <c r="AW120" i="10"/>
  <c r="AW119" i="10"/>
  <c r="AW118" i="10"/>
  <c r="AW117" i="10"/>
  <c r="AW116" i="10"/>
  <c r="AW115" i="10"/>
  <c r="AW114" i="10"/>
  <c r="AW113" i="10"/>
  <c r="AW112" i="10"/>
  <c r="AW111" i="10"/>
  <c r="AW110" i="10"/>
  <c r="AW109" i="10"/>
  <c r="AW108" i="10"/>
  <c r="AW107" i="10"/>
  <c r="AW106" i="10"/>
  <c r="AW105" i="10"/>
  <c r="AW104" i="10"/>
  <c r="AW103" i="10"/>
  <c r="AW102" i="10"/>
  <c r="AW101" i="10"/>
  <c r="AW100" i="10"/>
  <c r="AW99" i="10"/>
  <c r="AW98" i="10"/>
  <c r="AW97" i="10"/>
  <c r="AW96" i="10"/>
  <c r="AW95" i="10"/>
  <c r="AW94" i="10"/>
  <c r="AW93" i="10"/>
  <c r="AW92" i="10"/>
  <c r="AW91" i="10"/>
  <c r="AW90" i="10"/>
  <c r="AW89" i="10"/>
  <c r="AW88" i="10"/>
  <c r="AW87" i="10"/>
  <c r="AW86" i="10"/>
  <c r="AW85" i="10"/>
  <c r="AW84" i="10"/>
  <c r="AW83" i="10"/>
  <c r="AW82" i="10"/>
  <c r="AW81" i="10"/>
  <c r="AW80" i="10"/>
  <c r="AW79" i="10"/>
  <c r="AW78" i="10"/>
  <c r="AW77" i="10"/>
  <c r="AW76" i="10"/>
  <c r="AW75" i="10"/>
  <c r="AW74" i="10"/>
  <c r="AW73" i="10"/>
  <c r="AW72" i="10"/>
  <c r="AW71" i="10"/>
  <c r="AW70" i="10"/>
  <c r="AW69" i="10"/>
  <c r="AW68" i="10"/>
  <c r="AW67" i="10"/>
  <c r="AW66" i="10"/>
  <c r="AW65" i="10"/>
  <c r="AW64" i="10"/>
  <c r="AW63" i="10"/>
  <c r="AW62" i="10"/>
  <c r="AW61" i="10"/>
  <c r="AW60" i="10"/>
  <c r="AW59" i="10"/>
  <c r="AW58" i="10"/>
  <c r="AW57" i="10"/>
  <c r="AW56" i="10"/>
  <c r="AW55" i="10"/>
  <c r="AW54" i="10"/>
  <c r="AW53" i="10"/>
  <c r="AW52" i="10"/>
  <c r="AW51" i="10"/>
  <c r="AW50" i="10"/>
  <c r="AW49" i="10"/>
  <c r="AW48" i="10"/>
  <c r="AW47" i="10"/>
  <c r="AW46" i="10"/>
  <c r="AW45" i="10"/>
  <c r="AW44" i="10"/>
  <c r="AW43" i="10"/>
  <c r="AW42" i="10"/>
  <c r="AW41" i="10"/>
  <c r="AW40" i="10"/>
  <c r="AW39" i="10"/>
  <c r="AW38" i="10"/>
  <c r="AW37" i="10"/>
  <c r="AW36" i="10"/>
  <c r="AW35" i="10"/>
  <c r="AW34" i="10"/>
  <c r="AW33" i="10"/>
  <c r="AW32" i="10"/>
  <c r="AW31" i="10"/>
  <c r="AW30" i="10"/>
  <c r="AW29" i="10"/>
  <c r="AW28" i="10"/>
  <c r="AW27" i="10"/>
  <c r="AW26" i="10"/>
  <c r="AW25" i="10"/>
  <c r="AW24" i="10"/>
  <c r="AW23" i="10"/>
  <c r="AW22" i="10"/>
  <c r="AW21" i="10"/>
  <c r="AW20" i="10"/>
  <c r="AW19" i="10"/>
  <c r="AW18" i="10"/>
  <c r="AW17" i="10"/>
  <c r="AW16" i="10"/>
  <c r="AW15" i="10"/>
  <c r="AW14" i="10"/>
  <c r="AW13" i="10"/>
  <c r="AW12" i="10"/>
  <c r="AW11" i="10"/>
  <c r="AW10" i="10"/>
  <c r="AW9" i="10"/>
  <c r="AW8" i="10"/>
  <c r="AW7" i="10"/>
  <c r="AW6" i="10"/>
  <c r="AW5" i="10"/>
  <c r="BA173" i="10"/>
  <c r="BA172" i="10"/>
  <c r="BA171" i="10"/>
  <c r="BA170" i="10"/>
  <c r="BA169" i="10"/>
  <c r="BA168" i="10"/>
  <c r="BA167" i="10"/>
  <c r="BA166" i="10"/>
  <c r="BA165" i="10"/>
  <c r="BA164" i="10"/>
  <c r="BA163" i="10"/>
  <c r="BA162" i="10"/>
  <c r="BA161" i="10"/>
  <c r="BA160" i="10"/>
  <c r="BA159" i="10"/>
  <c r="BA158" i="10"/>
  <c r="BA157" i="10"/>
  <c r="BA156" i="10"/>
  <c r="BA155" i="10"/>
  <c r="BA154" i="10"/>
  <c r="BA153" i="10"/>
  <c r="BA152" i="10"/>
  <c r="BA151" i="10"/>
  <c r="BA150" i="10"/>
  <c r="BA149" i="10"/>
  <c r="BA148" i="10"/>
  <c r="BA147" i="10"/>
  <c r="BA146" i="10"/>
  <c r="BA145" i="10"/>
  <c r="BA144" i="10"/>
  <c r="BA143" i="10"/>
  <c r="BA142" i="10"/>
  <c r="BA141" i="10"/>
  <c r="BA140" i="10"/>
  <c r="BA139" i="10"/>
  <c r="BA138" i="10"/>
  <c r="BA137" i="10"/>
  <c r="BA136" i="10"/>
  <c r="BA135" i="10"/>
  <c r="BA134" i="10"/>
  <c r="BA133" i="10"/>
  <c r="BA132" i="10"/>
  <c r="BA131" i="10"/>
  <c r="BA130" i="10"/>
  <c r="BA129" i="10"/>
  <c r="BA128" i="10"/>
  <c r="BA127" i="10"/>
  <c r="BA126" i="10"/>
  <c r="BA125" i="10"/>
  <c r="BA124" i="10"/>
  <c r="BA123" i="10"/>
  <c r="BA122" i="10"/>
  <c r="BA121" i="10"/>
  <c r="BA120" i="10"/>
  <c r="BA119" i="10"/>
  <c r="BA118" i="10"/>
  <c r="BA117" i="10"/>
  <c r="BA116" i="10"/>
  <c r="BA115" i="10"/>
  <c r="BA114" i="10"/>
  <c r="BA113" i="10"/>
  <c r="BA112" i="10"/>
  <c r="BA111" i="10"/>
  <c r="BA110" i="10"/>
  <c r="BA109" i="10"/>
  <c r="BA108" i="10"/>
  <c r="BA107" i="10"/>
  <c r="BA106" i="10"/>
  <c r="BA105" i="10"/>
  <c r="BA104" i="10"/>
  <c r="BA103" i="10"/>
  <c r="BA102" i="10"/>
  <c r="BA101" i="10"/>
  <c r="BA100" i="10"/>
  <c r="BA99" i="10"/>
  <c r="BA98" i="10"/>
  <c r="BA97" i="10"/>
  <c r="BA96" i="10"/>
  <c r="BA95" i="10"/>
  <c r="BA94" i="10"/>
  <c r="BA93" i="10"/>
  <c r="BA92" i="10"/>
  <c r="BA91" i="10"/>
  <c r="BA90" i="10"/>
  <c r="BA89" i="10"/>
  <c r="BA88" i="10"/>
  <c r="BA87" i="10"/>
  <c r="BA86" i="10"/>
  <c r="BA85" i="10"/>
  <c r="BA84" i="10"/>
  <c r="BA83" i="10"/>
  <c r="BA82" i="10"/>
  <c r="BA81" i="10"/>
  <c r="BA80" i="10"/>
  <c r="BA79" i="10"/>
  <c r="BA78" i="10"/>
  <c r="BA77" i="10"/>
  <c r="BA76" i="10"/>
  <c r="BA75" i="10"/>
  <c r="BA74" i="10"/>
  <c r="BA73" i="10"/>
  <c r="BA72" i="10"/>
  <c r="BA71" i="10"/>
  <c r="BA70" i="10"/>
  <c r="BA69" i="10"/>
  <c r="BA68" i="10"/>
  <c r="BA67" i="10"/>
  <c r="BA66" i="10"/>
  <c r="BA65" i="10"/>
  <c r="BA64" i="10"/>
  <c r="BA63" i="10"/>
  <c r="BA62" i="10"/>
  <c r="BA61" i="10"/>
  <c r="BA60" i="10"/>
  <c r="BA59" i="10"/>
  <c r="BA58" i="10"/>
  <c r="BA57" i="10"/>
  <c r="BA56" i="10"/>
  <c r="BA55" i="10"/>
  <c r="BA54" i="10"/>
  <c r="BA53" i="10"/>
  <c r="BA52" i="10"/>
  <c r="BA51" i="10"/>
  <c r="BA50" i="10"/>
  <c r="BA49" i="10"/>
  <c r="BA48" i="10"/>
  <c r="BA47" i="10"/>
  <c r="BA46" i="10"/>
  <c r="BA45" i="10"/>
  <c r="BA44" i="10"/>
  <c r="BA43" i="10"/>
  <c r="BA42" i="10"/>
  <c r="BA41" i="10"/>
  <c r="BA40" i="10"/>
  <c r="BA39" i="10"/>
  <c r="BA38" i="10"/>
  <c r="BA37" i="10"/>
  <c r="BA36" i="10"/>
  <c r="BA35" i="10"/>
  <c r="BA34" i="10"/>
  <c r="BA33" i="10"/>
  <c r="BA32" i="10"/>
  <c r="BA31" i="10"/>
  <c r="BA30" i="10"/>
  <c r="BA29" i="10"/>
  <c r="BA28" i="10"/>
  <c r="BA27" i="10"/>
  <c r="BA26" i="10"/>
  <c r="BA25" i="10"/>
  <c r="BA24" i="10"/>
  <c r="BA23" i="10"/>
  <c r="BA22" i="10"/>
  <c r="BA21" i="10"/>
  <c r="BA20" i="10"/>
  <c r="BA19" i="10"/>
  <c r="BA18" i="10"/>
  <c r="BA17" i="10"/>
  <c r="BA16" i="10"/>
  <c r="BA15" i="10"/>
  <c r="BA14" i="10"/>
  <c r="BA13" i="10"/>
  <c r="BA12" i="10"/>
  <c r="BA11" i="10"/>
  <c r="BA10" i="10"/>
  <c r="BA9" i="10"/>
  <c r="BA8" i="10"/>
  <c r="BA7" i="10"/>
  <c r="BA6" i="10"/>
  <c r="BA5" i="10"/>
  <c r="BE173" i="10"/>
  <c r="BE172" i="10"/>
  <c r="BE171" i="10"/>
  <c r="BE170" i="10"/>
  <c r="BE169" i="10"/>
  <c r="BE168" i="10"/>
  <c r="BE167" i="10"/>
  <c r="BE166" i="10"/>
  <c r="BE165" i="10"/>
  <c r="BE164" i="10"/>
  <c r="BE163" i="10"/>
  <c r="BE162" i="10"/>
  <c r="BE161" i="10"/>
  <c r="BE160" i="10"/>
  <c r="BE159" i="10"/>
  <c r="BE158" i="10"/>
  <c r="BE157" i="10"/>
  <c r="BE156" i="10"/>
  <c r="BE155" i="10"/>
  <c r="BE154" i="10"/>
  <c r="BE153" i="10"/>
  <c r="BE152" i="10"/>
  <c r="BE151" i="10"/>
  <c r="BE150" i="10"/>
  <c r="BE149" i="10"/>
  <c r="BE148" i="10"/>
  <c r="BE147" i="10"/>
  <c r="BE146" i="10"/>
  <c r="BE145" i="10"/>
  <c r="BE144" i="10"/>
  <c r="BE143" i="10"/>
  <c r="BE142" i="10"/>
  <c r="BE141" i="10"/>
  <c r="BE140" i="10"/>
  <c r="BE139" i="10"/>
  <c r="BE138" i="10"/>
  <c r="BE137" i="10"/>
  <c r="BE136" i="10"/>
  <c r="BE135" i="10"/>
  <c r="BE134" i="10"/>
  <c r="BE133" i="10"/>
  <c r="BE132" i="10"/>
  <c r="BE131" i="10"/>
  <c r="BE130" i="10"/>
  <c r="BE129" i="10"/>
  <c r="BE128" i="10"/>
  <c r="BE127" i="10"/>
  <c r="BE126" i="10"/>
  <c r="BE125" i="10"/>
  <c r="BE124" i="10"/>
  <c r="BE123" i="10"/>
  <c r="BE122" i="10"/>
  <c r="BE121" i="10"/>
  <c r="BE120" i="10"/>
  <c r="BE119" i="10"/>
  <c r="BE118" i="10"/>
  <c r="BE117" i="10"/>
  <c r="BE116" i="10"/>
  <c r="BE115" i="10"/>
  <c r="BE114" i="10"/>
  <c r="BE113" i="10"/>
  <c r="BE112" i="10"/>
  <c r="BE111" i="10"/>
  <c r="BE110" i="10"/>
  <c r="BE109" i="10"/>
  <c r="BE108" i="10"/>
  <c r="BE107" i="10"/>
  <c r="BE106" i="10"/>
  <c r="BE105" i="10"/>
  <c r="BE104" i="10"/>
  <c r="BE103" i="10"/>
  <c r="BE102" i="10"/>
  <c r="BE101" i="10"/>
  <c r="BE100" i="10"/>
  <c r="BE99" i="10"/>
  <c r="BE98" i="10"/>
  <c r="BE97" i="10"/>
  <c r="BE96" i="10"/>
  <c r="BE95" i="10"/>
  <c r="BE94" i="10"/>
  <c r="BE93" i="10"/>
  <c r="BE92" i="10"/>
  <c r="BE91" i="10"/>
  <c r="BE90" i="10"/>
  <c r="BE89" i="10"/>
  <c r="BE88" i="10"/>
  <c r="BE87" i="10"/>
  <c r="BE86" i="10"/>
  <c r="BE85" i="10"/>
  <c r="BE84" i="10"/>
  <c r="BE83" i="10"/>
  <c r="BE82" i="10"/>
  <c r="BE81" i="10"/>
  <c r="BE80" i="10"/>
  <c r="BE79" i="10"/>
  <c r="BE78" i="10"/>
  <c r="BE77" i="10"/>
  <c r="BE76" i="10"/>
  <c r="BE75" i="10"/>
  <c r="BE74" i="10"/>
  <c r="BE73" i="10"/>
  <c r="BE72" i="10"/>
  <c r="BE71" i="10"/>
  <c r="BE70" i="10"/>
  <c r="BE69" i="10"/>
  <c r="BE68" i="10"/>
  <c r="BE67" i="10"/>
  <c r="BE66" i="10"/>
  <c r="BE65" i="10"/>
  <c r="BE64" i="10"/>
  <c r="BE63" i="10"/>
  <c r="BE62" i="10"/>
  <c r="BE61" i="10"/>
  <c r="BE60" i="10"/>
  <c r="BE59" i="10"/>
  <c r="BE58" i="10"/>
  <c r="BE57" i="10"/>
  <c r="BE56" i="10"/>
  <c r="BE55" i="10"/>
  <c r="BE54" i="10"/>
  <c r="BE53" i="10"/>
  <c r="BE52" i="10"/>
  <c r="BE51" i="10"/>
  <c r="BE50" i="10"/>
  <c r="BE49" i="10"/>
  <c r="BE48" i="10"/>
  <c r="BE47" i="10"/>
  <c r="BE46" i="10"/>
  <c r="BE45" i="10"/>
  <c r="BE44" i="10"/>
  <c r="BE43" i="10"/>
  <c r="BE42" i="10"/>
  <c r="BE41" i="10"/>
  <c r="BE40" i="10"/>
  <c r="BE39" i="10"/>
  <c r="BE38" i="10"/>
  <c r="BE37" i="10"/>
  <c r="BE36" i="10"/>
  <c r="BE35" i="10"/>
  <c r="BE34" i="10"/>
  <c r="BE33" i="10"/>
  <c r="BE32" i="10"/>
  <c r="BE31" i="10"/>
  <c r="BE30" i="10"/>
  <c r="BE29" i="10"/>
  <c r="BE28" i="10"/>
  <c r="BE27" i="10"/>
  <c r="BE26" i="10"/>
  <c r="BE25" i="10"/>
  <c r="BE24" i="10"/>
  <c r="BE23" i="10"/>
  <c r="BE22" i="10"/>
  <c r="BE21" i="10"/>
  <c r="BE20" i="10"/>
  <c r="BE19" i="10"/>
  <c r="BE18" i="10"/>
  <c r="BE17" i="10"/>
  <c r="BE16" i="10"/>
  <c r="BE15" i="10"/>
  <c r="BE14" i="10"/>
  <c r="BE13" i="10"/>
  <c r="BE12" i="10"/>
  <c r="BE11" i="10"/>
  <c r="BE10" i="10"/>
  <c r="BE9" i="10"/>
  <c r="BE8" i="10"/>
  <c r="BE7" i="10"/>
  <c r="BE6" i="10"/>
  <c r="BE5" i="10"/>
  <c r="BI173" i="10"/>
  <c r="BI172" i="10"/>
  <c r="BI171" i="10"/>
  <c r="BI170" i="10"/>
  <c r="BI169" i="10"/>
  <c r="BI168" i="10"/>
  <c r="BI167" i="10"/>
  <c r="BI166" i="10"/>
  <c r="BI165" i="10"/>
  <c r="BI164" i="10"/>
  <c r="BI163" i="10"/>
  <c r="BI162" i="10"/>
  <c r="BI161" i="10"/>
  <c r="BI160" i="10"/>
  <c r="BI159" i="10"/>
  <c r="BI158" i="10"/>
  <c r="BI157" i="10"/>
  <c r="BI156" i="10"/>
  <c r="BI155" i="10"/>
  <c r="BI154" i="10"/>
  <c r="BI153" i="10"/>
  <c r="BI152" i="10"/>
  <c r="BI151" i="10"/>
  <c r="BI150" i="10"/>
  <c r="BI149" i="10"/>
  <c r="BI148" i="10"/>
  <c r="BI147" i="10"/>
  <c r="BI146" i="10"/>
  <c r="BI145" i="10"/>
  <c r="BI144" i="10"/>
  <c r="BI143" i="10"/>
  <c r="BI142" i="10"/>
  <c r="BI141" i="10"/>
  <c r="BI140" i="10"/>
  <c r="BI139" i="10"/>
  <c r="BI138" i="10"/>
  <c r="BI137" i="10"/>
  <c r="BI136" i="10"/>
  <c r="BI135" i="10"/>
  <c r="BI134" i="10"/>
  <c r="BI133" i="10"/>
  <c r="BI132" i="10"/>
  <c r="BI131" i="10"/>
  <c r="BI130" i="10"/>
  <c r="BI129" i="10"/>
  <c r="BI128" i="10"/>
  <c r="BI127" i="10"/>
  <c r="BI126" i="10"/>
  <c r="BI125" i="10"/>
  <c r="BI124" i="10"/>
  <c r="BI123" i="10"/>
  <c r="BI122" i="10"/>
  <c r="BI121" i="10"/>
  <c r="BI120" i="10"/>
  <c r="BI119" i="10"/>
  <c r="BI118" i="10"/>
  <c r="BI117" i="10"/>
  <c r="BI116" i="10"/>
  <c r="BI115" i="10"/>
  <c r="BI114" i="10"/>
  <c r="BI113" i="10"/>
  <c r="BI112" i="10"/>
  <c r="BI111" i="10"/>
  <c r="BI110" i="10"/>
  <c r="BI109" i="10"/>
  <c r="BI108" i="10"/>
  <c r="BI107" i="10"/>
  <c r="BI106" i="10"/>
  <c r="BI105" i="10"/>
  <c r="BI104" i="10"/>
  <c r="BI103" i="10"/>
  <c r="BI102" i="10"/>
  <c r="BI101" i="10"/>
  <c r="BI100" i="10"/>
  <c r="BI99" i="10"/>
  <c r="BI98" i="10"/>
  <c r="BI97" i="10"/>
  <c r="BI96" i="10"/>
  <c r="BI95" i="10"/>
  <c r="BI94" i="10"/>
  <c r="BI93" i="10"/>
  <c r="BI92" i="10"/>
  <c r="BI91" i="10"/>
  <c r="BI90" i="10"/>
  <c r="BI89" i="10"/>
  <c r="BI88" i="10"/>
  <c r="BI87" i="10"/>
  <c r="BI86" i="10"/>
  <c r="BI85" i="10"/>
  <c r="BI84" i="10"/>
  <c r="BI83" i="10"/>
  <c r="BI82" i="10"/>
  <c r="BI81" i="10"/>
  <c r="BI80" i="10"/>
  <c r="BI79" i="10"/>
  <c r="BI78" i="10"/>
  <c r="BI77" i="10"/>
  <c r="BI76" i="10"/>
  <c r="BI75" i="10"/>
  <c r="BI74" i="10"/>
  <c r="BI73" i="10"/>
  <c r="BI72" i="10"/>
  <c r="BI71" i="10"/>
  <c r="BI70" i="10"/>
  <c r="BI69" i="10"/>
  <c r="BI68" i="10"/>
  <c r="BI67" i="10"/>
  <c r="BI66" i="10"/>
  <c r="BI65" i="10"/>
  <c r="BI64" i="10"/>
  <c r="BI63" i="10"/>
  <c r="BI62" i="10"/>
  <c r="BI61" i="10"/>
  <c r="BI60" i="10"/>
  <c r="BI59" i="10"/>
  <c r="BI58" i="10"/>
  <c r="BI57" i="10"/>
  <c r="BI56" i="10"/>
  <c r="BI55" i="10"/>
  <c r="BI54" i="10"/>
  <c r="BI53" i="10"/>
  <c r="BI52" i="10"/>
  <c r="BI51" i="10"/>
  <c r="BI50" i="10"/>
  <c r="BI49" i="10"/>
  <c r="BI48" i="10"/>
  <c r="BI47" i="10"/>
  <c r="BI46" i="10"/>
  <c r="BI45" i="10"/>
  <c r="BI44" i="10"/>
  <c r="BI43" i="10"/>
  <c r="BI42" i="10"/>
  <c r="BI41" i="10"/>
  <c r="BI40" i="10"/>
  <c r="BI39" i="10"/>
  <c r="BI38" i="10"/>
  <c r="BI37" i="10"/>
  <c r="BI36" i="10"/>
  <c r="BI35" i="10"/>
  <c r="BI34" i="10"/>
  <c r="BI33" i="10"/>
  <c r="BI32" i="10"/>
  <c r="BI31" i="10"/>
  <c r="BI30" i="10"/>
  <c r="BI29" i="10"/>
  <c r="BI28" i="10"/>
  <c r="BI27" i="10"/>
  <c r="BI26" i="10"/>
  <c r="BI25" i="10"/>
  <c r="BI24" i="10"/>
  <c r="BI23" i="10"/>
  <c r="BI22" i="10"/>
  <c r="BI21" i="10"/>
  <c r="BI20" i="10"/>
  <c r="BI19" i="10"/>
  <c r="BI18" i="10"/>
  <c r="BI17" i="10"/>
  <c r="BI16" i="10"/>
  <c r="BI15" i="10"/>
  <c r="BI14" i="10"/>
  <c r="BI13" i="10"/>
  <c r="BI12" i="10"/>
  <c r="BI11" i="10"/>
  <c r="BI10" i="10"/>
  <c r="BI9" i="10"/>
  <c r="BI8" i="10"/>
  <c r="BI7" i="10"/>
  <c r="BI6" i="10"/>
  <c r="BI5" i="10"/>
  <c r="BM173" i="10"/>
  <c r="BM172" i="10"/>
  <c r="BM171" i="10"/>
  <c r="BM170" i="10"/>
  <c r="BM169" i="10"/>
  <c r="BM168" i="10"/>
  <c r="BM167" i="10"/>
  <c r="BM166" i="10"/>
  <c r="BM165" i="10"/>
  <c r="BM164" i="10"/>
  <c r="BM163" i="10"/>
  <c r="BM162" i="10"/>
  <c r="BM161" i="10"/>
  <c r="BM160" i="10"/>
  <c r="BM159" i="10"/>
  <c r="BM158" i="10"/>
  <c r="BM157" i="10"/>
  <c r="BM156" i="10"/>
  <c r="BM155" i="10"/>
  <c r="BM154" i="10"/>
  <c r="BM153" i="10"/>
  <c r="BM152" i="10"/>
  <c r="BM151" i="10"/>
  <c r="BM150" i="10"/>
  <c r="BM149" i="10"/>
  <c r="BM148" i="10"/>
  <c r="BM147" i="10"/>
  <c r="BM146" i="10"/>
  <c r="BM145" i="10"/>
  <c r="BM144" i="10"/>
  <c r="BM143" i="10"/>
  <c r="BM142" i="10"/>
  <c r="BM141" i="10"/>
  <c r="BM140" i="10"/>
  <c r="BM139" i="10"/>
  <c r="BM138" i="10"/>
  <c r="BM137" i="10"/>
  <c r="BM136" i="10"/>
  <c r="BM135" i="10"/>
  <c r="BM134" i="10"/>
  <c r="BM133" i="10"/>
  <c r="BM132" i="10"/>
  <c r="BM131" i="10"/>
  <c r="BM130" i="10"/>
  <c r="BM129" i="10"/>
  <c r="BM128" i="10"/>
  <c r="BM127" i="10"/>
  <c r="BM126" i="10"/>
  <c r="BM125" i="10"/>
  <c r="BM124" i="10"/>
  <c r="BM123" i="10"/>
  <c r="BM122" i="10"/>
  <c r="BM121" i="10"/>
  <c r="BM120" i="10"/>
  <c r="BM119" i="10"/>
  <c r="BM118" i="10"/>
  <c r="BM117" i="10"/>
  <c r="BM116" i="10"/>
  <c r="BM115" i="10"/>
  <c r="BM114" i="10"/>
  <c r="BM113" i="10"/>
  <c r="BM112" i="10"/>
  <c r="BM111" i="10"/>
  <c r="BM110" i="10"/>
  <c r="BM109" i="10"/>
  <c r="BM108" i="10"/>
  <c r="BM107" i="10"/>
  <c r="BM106" i="10"/>
  <c r="BM105" i="10"/>
  <c r="BM104" i="10"/>
  <c r="BM103" i="10"/>
  <c r="BM102" i="10"/>
  <c r="BM101" i="10"/>
  <c r="BM100" i="10"/>
  <c r="BM99" i="10"/>
  <c r="BM98" i="10"/>
  <c r="BM97" i="10"/>
  <c r="BM96" i="10"/>
  <c r="BM95" i="10"/>
  <c r="BM94" i="10"/>
  <c r="BM93" i="10"/>
  <c r="BM92" i="10"/>
  <c r="BM91" i="10"/>
  <c r="BM90" i="10"/>
  <c r="BM89" i="10"/>
  <c r="BM88" i="10"/>
  <c r="BM87" i="10"/>
  <c r="BM86" i="10"/>
  <c r="BM85" i="10"/>
  <c r="BM84" i="10"/>
  <c r="BM83" i="10"/>
  <c r="BM82" i="10"/>
  <c r="BM81" i="10"/>
  <c r="BM80" i="10"/>
  <c r="BM79" i="10"/>
  <c r="BM78" i="10"/>
  <c r="BM77" i="10"/>
  <c r="BM76" i="10"/>
  <c r="BM75" i="10"/>
  <c r="BM74" i="10"/>
  <c r="BM73" i="10"/>
  <c r="BM72" i="10"/>
  <c r="BM71" i="10"/>
  <c r="BM70" i="10"/>
  <c r="BM69" i="10"/>
  <c r="BM68" i="10"/>
  <c r="BM67" i="10"/>
  <c r="BM66" i="10"/>
  <c r="BM65" i="10"/>
  <c r="BM64" i="10"/>
  <c r="BM63" i="10"/>
  <c r="BM62" i="10"/>
  <c r="BM61" i="10"/>
  <c r="BM60" i="10"/>
  <c r="BM59" i="10"/>
  <c r="BM58" i="10"/>
  <c r="BM57" i="10"/>
  <c r="BM56" i="10"/>
  <c r="BM55" i="10"/>
  <c r="BM54" i="10"/>
  <c r="BM53" i="10"/>
  <c r="BM52" i="10"/>
  <c r="BM51" i="10"/>
  <c r="BM50" i="10"/>
  <c r="BM49" i="10"/>
  <c r="BM48" i="10"/>
  <c r="BM47" i="10"/>
  <c r="BM46" i="10"/>
  <c r="BM45" i="10"/>
  <c r="BM44" i="10"/>
  <c r="BM43" i="10"/>
  <c r="BM42" i="10"/>
  <c r="BM41" i="10"/>
  <c r="BM40" i="10"/>
  <c r="BM39" i="10"/>
  <c r="BM38" i="10"/>
  <c r="BM37" i="10"/>
  <c r="BM36" i="10"/>
  <c r="BM35" i="10"/>
  <c r="BM34" i="10"/>
  <c r="BM33" i="10"/>
  <c r="BM32" i="10"/>
  <c r="BM31" i="10"/>
  <c r="BM30" i="10"/>
  <c r="BM29" i="10"/>
  <c r="BM28" i="10"/>
  <c r="BM27" i="10"/>
  <c r="BM26" i="10"/>
  <c r="BM25" i="10"/>
  <c r="BM24" i="10"/>
  <c r="BM23" i="10"/>
  <c r="BM22" i="10"/>
  <c r="BM21" i="10"/>
  <c r="BM20" i="10"/>
  <c r="BM19" i="10"/>
  <c r="BM18" i="10"/>
  <c r="BM17" i="10"/>
  <c r="BM16" i="10"/>
  <c r="BM15" i="10"/>
  <c r="BM14" i="10"/>
  <c r="BM13" i="10"/>
  <c r="BM12" i="10"/>
  <c r="BM11" i="10"/>
  <c r="BM10" i="10"/>
  <c r="BM9" i="10"/>
  <c r="BM8" i="10"/>
  <c r="BM7" i="10"/>
  <c r="BM6" i="10"/>
  <c r="BM5" i="10"/>
  <c r="BQ172" i="10"/>
  <c r="BQ171" i="10"/>
  <c r="BQ170" i="10"/>
  <c r="BQ169" i="10"/>
  <c r="BQ168" i="10"/>
  <c r="BQ167" i="10"/>
  <c r="BQ166" i="10"/>
  <c r="BQ165" i="10"/>
  <c r="BQ164" i="10"/>
  <c r="BQ163" i="10"/>
  <c r="BQ162" i="10"/>
  <c r="BQ161" i="10"/>
  <c r="BQ160" i="10"/>
  <c r="BQ159" i="10"/>
  <c r="BQ158" i="10"/>
  <c r="BQ157" i="10"/>
  <c r="BQ156" i="10"/>
  <c r="BQ155" i="10"/>
  <c r="BQ154" i="10"/>
  <c r="BQ153" i="10"/>
  <c r="BQ152" i="10"/>
  <c r="BQ151" i="10"/>
  <c r="BQ150" i="10"/>
  <c r="BQ149" i="10"/>
  <c r="BQ148" i="10"/>
  <c r="BQ147" i="10"/>
  <c r="BQ146" i="10"/>
  <c r="BQ145" i="10"/>
  <c r="BQ144" i="10"/>
  <c r="BQ143" i="10"/>
  <c r="BQ142" i="10"/>
  <c r="BQ141" i="10"/>
  <c r="BQ140" i="10"/>
  <c r="BQ139" i="10"/>
  <c r="BQ138" i="10"/>
  <c r="BQ137" i="10"/>
  <c r="BQ136" i="10"/>
  <c r="BQ135" i="10"/>
  <c r="BQ134" i="10"/>
  <c r="BQ133" i="10"/>
  <c r="BQ132" i="10"/>
  <c r="BQ131" i="10"/>
  <c r="BQ130" i="10"/>
  <c r="BQ129" i="10"/>
  <c r="BQ128" i="10"/>
  <c r="BQ127" i="10"/>
  <c r="BQ126" i="10"/>
  <c r="BQ125" i="10"/>
  <c r="BQ124" i="10"/>
  <c r="BQ123" i="10"/>
  <c r="BQ122" i="10"/>
  <c r="BQ121" i="10"/>
  <c r="BQ120" i="10"/>
  <c r="BQ119" i="10"/>
  <c r="BQ118" i="10"/>
  <c r="BQ117" i="10"/>
  <c r="BQ116" i="10"/>
  <c r="BQ115" i="10"/>
  <c r="BQ114" i="10"/>
  <c r="BQ113" i="10"/>
  <c r="BQ112" i="10"/>
  <c r="BQ111" i="10"/>
  <c r="BQ110" i="10"/>
  <c r="BQ109" i="10"/>
  <c r="BQ108" i="10"/>
  <c r="BQ107" i="10"/>
  <c r="BQ106" i="10"/>
  <c r="BQ105" i="10"/>
  <c r="BQ104" i="10"/>
  <c r="BQ103" i="10"/>
  <c r="BQ102" i="10"/>
  <c r="BQ101" i="10"/>
  <c r="BQ100" i="10"/>
  <c r="BQ99" i="10"/>
  <c r="BQ98" i="10"/>
  <c r="BQ97" i="10"/>
  <c r="BQ96" i="10"/>
  <c r="BQ95" i="10"/>
  <c r="BQ94" i="10"/>
  <c r="BQ93" i="10"/>
  <c r="BQ92" i="10"/>
  <c r="BQ91" i="10"/>
  <c r="BQ90" i="10"/>
  <c r="BQ89" i="10"/>
  <c r="BQ88" i="10"/>
  <c r="BQ87" i="10"/>
  <c r="BQ86" i="10"/>
  <c r="BQ85" i="10"/>
  <c r="BQ84" i="10"/>
  <c r="BQ83" i="10"/>
  <c r="BQ82" i="10"/>
  <c r="BQ81" i="10"/>
  <c r="BQ80" i="10"/>
  <c r="BQ79" i="10"/>
  <c r="BQ78" i="10"/>
  <c r="BQ77" i="10"/>
  <c r="BQ76" i="10"/>
  <c r="BQ75" i="10"/>
  <c r="BQ74" i="10"/>
  <c r="BQ73" i="10"/>
  <c r="BQ72" i="10"/>
  <c r="BQ71" i="10"/>
  <c r="BQ70" i="10"/>
  <c r="BQ69" i="10"/>
  <c r="BQ68" i="10"/>
  <c r="BQ67" i="10"/>
  <c r="BQ66" i="10"/>
  <c r="BQ65" i="10"/>
  <c r="BQ64" i="10"/>
  <c r="BQ63" i="10"/>
  <c r="BQ62" i="10"/>
  <c r="BQ61" i="10"/>
  <c r="BQ60" i="10"/>
  <c r="BQ59" i="10"/>
  <c r="BQ58" i="10"/>
  <c r="BQ57" i="10"/>
  <c r="BQ56" i="10"/>
  <c r="BQ55" i="10"/>
  <c r="BQ54" i="10"/>
  <c r="BQ53" i="10"/>
  <c r="BQ52" i="10"/>
  <c r="BQ51" i="10"/>
  <c r="BQ50" i="10"/>
  <c r="BQ49" i="10"/>
  <c r="BQ48" i="10"/>
  <c r="BQ47" i="10"/>
  <c r="BQ46" i="10"/>
  <c r="BQ45" i="10"/>
  <c r="BQ44" i="10"/>
  <c r="BQ43" i="10"/>
  <c r="BQ42" i="10"/>
  <c r="BQ41" i="10"/>
  <c r="BQ40" i="10"/>
  <c r="BQ39" i="10"/>
  <c r="BQ38" i="10"/>
  <c r="BQ37" i="10"/>
  <c r="BQ36" i="10"/>
  <c r="BQ35" i="10"/>
  <c r="BQ34" i="10"/>
  <c r="BQ33" i="10"/>
  <c r="BQ32" i="10"/>
  <c r="BQ31" i="10"/>
  <c r="BQ30" i="10"/>
  <c r="BQ29" i="10"/>
  <c r="BQ28" i="10"/>
  <c r="BQ27" i="10"/>
  <c r="BQ26" i="10"/>
  <c r="BQ25" i="10"/>
  <c r="BQ24" i="10"/>
  <c r="BQ23" i="10"/>
  <c r="BQ22" i="10"/>
  <c r="BQ21" i="10"/>
  <c r="BQ20" i="10"/>
  <c r="BQ19" i="10"/>
  <c r="BQ18" i="10"/>
  <c r="BQ17" i="10"/>
  <c r="BQ16" i="10"/>
  <c r="BQ15" i="10"/>
  <c r="BQ14" i="10"/>
  <c r="BQ13" i="10"/>
  <c r="BQ12" i="10"/>
  <c r="BQ11" i="10"/>
  <c r="BQ10" i="10"/>
  <c r="BQ9" i="10"/>
  <c r="BQ8" i="10"/>
  <c r="BQ7" i="10"/>
  <c r="BQ6" i="10"/>
  <c r="BQ5" i="10"/>
  <c r="BU173" i="10"/>
  <c r="BU172" i="10"/>
  <c r="BU171" i="10"/>
  <c r="BU170" i="10"/>
  <c r="BU169" i="10"/>
  <c r="BU168" i="10"/>
  <c r="BU167" i="10"/>
  <c r="BU166" i="10"/>
  <c r="BU165" i="10"/>
  <c r="BU164" i="10"/>
  <c r="BU163" i="10"/>
  <c r="BU162" i="10"/>
  <c r="BU161" i="10"/>
  <c r="BU160" i="10"/>
  <c r="BU159" i="10"/>
  <c r="BU158" i="10"/>
  <c r="BU157" i="10"/>
  <c r="BU156" i="10"/>
  <c r="BU155" i="10"/>
  <c r="BU154" i="10"/>
  <c r="BU153" i="10"/>
  <c r="BU152" i="10"/>
  <c r="BU151" i="10"/>
  <c r="BU150" i="10"/>
  <c r="BU149" i="10"/>
  <c r="BU148" i="10"/>
  <c r="BU147" i="10"/>
  <c r="BU146" i="10"/>
  <c r="BU145" i="10"/>
  <c r="BU144" i="10"/>
  <c r="BU143" i="10"/>
  <c r="BU142" i="10"/>
  <c r="BU141" i="10"/>
  <c r="BU140" i="10"/>
  <c r="BU139" i="10"/>
  <c r="BU138" i="10"/>
  <c r="BU137" i="10"/>
  <c r="BU136" i="10"/>
  <c r="BU135" i="10"/>
  <c r="BU134" i="10"/>
  <c r="BU133" i="10"/>
  <c r="BU132" i="10"/>
  <c r="BU131" i="10"/>
  <c r="BU130" i="10"/>
  <c r="BU129" i="10"/>
  <c r="BU128" i="10"/>
  <c r="BU127" i="10"/>
  <c r="BU126" i="10"/>
  <c r="BU125" i="10"/>
  <c r="BU124" i="10"/>
  <c r="BU123" i="10"/>
  <c r="BU122" i="10"/>
  <c r="BU121" i="10"/>
  <c r="BU120" i="10"/>
  <c r="BU119" i="10"/>
  <c r="BU118" i="10"/>
  <c r="BU117" i="10"/>
  <c r="BU116" i="10"/>
  <c r="BU115" i="10"/>
  <c r="BU114" i="10"/>
  <c r="BU113" i="10"/>
  <c r="BU112" i="10"/>
  <c r="BU111" i="10"/>
  <c r="BU110" i="10"/>
  <c r="BU109" i="10"/>
  <c r="BU108" i="10"/>
  <c r="BU107" i="10"/>
  <c r="BU106" i="10"/>
  <c r="BU105" i="10"/>
  <c r="BU104" i="10"/>
  <c r="BU103" i="10"/>
  <c r="BU102" i="10"/>
  <c r="BU101" i="10"/>
  <c r="BU100" i="10"/>
  <c r="BU99" i="10"/>
  <c r="BU98" i="10"/>
  <c r="BU97" i="10"/>
  <c r="BU96" i="10"/>
  <c r="BU95" i="10"/>
  <c r="BU94" i="10"/>
  <c r="BU93" i="10"/>
  <c r="BU92" i="10"/>
  <c r="BU91" i="10"/>
  <c r="BU90" i="10"/>
  <c r="BU89" i="10"/>
  <c r="BU88" i="10"/>
  <c r="BU87" i="10"/>
  <c r="BU86" i="10"/>
  <c r="BU85" i="10"/>
  <c r="BU84" i="10"/>
  <c r="BU83" i="10"/>
  <c r="BU82" i="10"/>
  <c r="BU81" i="10"/>
  <c r="BU80" i="10"/>
  <c r="BU79" i="10"/>
  <c r="BU78" i="10"/>
  <c r="BU77" i="10"/>
  <c r="BU76" i="10"/>
  <c r="BU75" i="10"/>
  <c r="BU74" i="10"/>
  <c r="BU73" i="10"/>
  <c r="BU72" i="10"/>
  <c r="BU71" i="10"/>
  <c r="BU70" i="10"/>
  <c r="BU69" i="10"/>
  <c r="BU68" i="10"/>
  <c r="BU67" i="10"/>
  <c r="BU66" i="10"/>
  <c r="BU65" i="10"/>
  <c r="BU64" i="10"/>
  <c r="BU63" i="10"/>
  <c r="BU62" i="10"/>
  <c r="BU61" i="10"/>
  <c r="BU60" i="10"/>
  <c r="BU59" i="10"/>
  <c r="BU58" i="10"/>
  <c r="BU57" i="10"/>
  <c r="BU56" i="10"/>
  <c r="BU55" i="10"/>
  <c r="BU54" i="10"/>
  <c r="BU53" i="10"/>
  <c r="BU52" i="10"/>
  <c r="BU51" i="10"/>
  <c r="BU50" i="10"/>
  <c r="BU49" i="10"/>
  <c r="BU48" i="10"/>
  <c r="BU47" i="10"/>
  <c r="BU46" i="10"/>
  <c r="BU45" i="10"/>
  <c r="BU44" i="10"/>
  <c r="BU43" i="10"/>
  <c r="BU42" i="10"/>
  <c r="BU41" i="10"/>
  <c r="BU40" i="10"/>
  <c r="BU39" i="10"/>
  <c r="BU38" i="10"/>
  <c r="BU37" i="10"/>
  <c r="BU36" i="10"/>
  <c r="BU35" i="10"/>
  <c r="BU34" i="10"/>
  <c r="BU33" i="10"/>
  <c r="BU32" i="10"/>
  <c r="BU31" i="10"/>
  <c r="BU30" i="10"/>
  <c r="BU29" i="10"/>
  <c r="BU28" i="10"/>
  <c r="BU27" i="10"/>
  <c r="BU26" i="10"/>
  <c r="BU25" i="10"/>
  <c r="BU24" i="10"/>
  <c r="BU23" i="10"/>
  <c r="BU22" i="10"/>
  <c r="BU21" i="10"/>
  <c r="BU20" i="10"/>
  <c r="BU19" i="10"/>
  <c r="BU18" i="10"/>
  <c r="BU17" i="10"/>
  <c r="BU16" i="10"/>
  <c r="BU15" i="10"/>
  <c r="BU14" i="10"/>
  <c r="BU13" i="10"/>
  <c r="BU12" i="10"/>
  <c r="BU11" i="10"/>
  <c r="BU10" i="10"/>
  <c r="BU9" i="10"/>
  <c r="BU8" i="10"/>
  <c r="BU7" i="10"/>
  <c r="BU6" i="10"/>
  <c r="BU5" i="10"/>
  <c r="BY173" i="10"/>
  <c r="BY172" i="10"/>
  <c r="BY171" i="10"/>
  <c r="BY170" i="10"/>
  <c r="BY169" i="10"/>
  <c r="BY168" i="10"/>
  <c r="BY167" i="10"/>
  <c r="BY166" i="10"/>
  <c r="BY165" i="10"/>
  <c r="BY164" i="10"/>
  <c r="BY163" i="10"/>
  <c r="BY162" i="10"/>
  <c r="BY161" i="10"/>
  <c r="BY160" i="10"/>
  <c r="BY159" i="10"/>
  <c r="BY158" i="10"/>
  <c r="BY157" i="10"/>
  <c r="BY156" i="10"/>
  <c r="BY155" i="10"/>
  <c r="BY154" i="10"/>
  <c r="BY153" i="10"/>
  <c r="BY152" i="10"/>
  <c r="BY151" i="10"/>
  <c r="BY150" i="10"/>
  <c r="BY149" i="10"/>
  <c r="BY148" i="10"/>
  <c r="BY147" i="10"/>
  <c r="BY146" i="10"/>
  <c r="BY145" i="10"/>
  <c r="BY144" i="10"/>
  <c r="BY143" i="10"/>
  <c r="BY142" i="10"/>
  <c r="BY141" i="10"/>
  <c r="BY140" i="10"/>
  <c r="BY139" i="10"/>
  <c r="BY138" i="10"/>
  <c r="BY137" i="10"/>
  <c r="BY136" i="10"/>
  <c r="BY135" i="10"/>
  <c r="BY134" i="10"/>
  <c r="BY133" i="10"/>
  <c r="BY132" i="10"/>
  <c r="BY131" i="10"/>
  <c r="BY130" i="10"/>
  <c r="BY129" i="10"/>
  <c r="BY128" i="10"/>
  <c r="BY127" i="10"/>
  <c r="BY126" i="10"/>
  <c r="BY125" i="10"/>
  <c r="BY124" i="10"/>
  <c r="BY123" i="10"/>
  <c r="BY122" i="10"/>
  <c r="BY121" i="10"/>
  <c r="BY120" i="10"/>
  <c r="BY119" i="10"/>
  <c r="BY118" i="10"/>
  <c r="BY117" i="10"/>
  <c r="BY116" i="10"/>
  <c r="BY115" i="10"/>
  <c r="BY114" i="10"/>
  <c r="BY113" i="10"/>
  <c r="BY112" i="10"/>
  <c r="BY111" i="10"/>
  <c r="BY110" i="10"/>
  <c r="BY109" i="10"/>
  <c r="BY108" i="10"/>
  <c r="BY107" i="10"/>
  <c r="BY106" i="10"/>
  <c r="BY105" i="10"/>
  <c r="BY104" i="10"/>
  <c r="BY103" i="10"/>
  <c r="BY102" i="10"/>
  <c r="BY101" i="10"/>
  <c r="BY100" i="10"/>
  <c r="BY99" i="10"/>
  <c r="BY98" i="10"/>
  <c r="BY97" i="10"/>
  <c r="BY96" i="10"/>
  <c r="BY95" i="10"/>
  <c r="BY94" i="10"/>
  <c r="BY93" i="10"/>
  <c r="BY92" i="10"/>
  <c r="BY91" i="10"/>
  <c r="BY90" i="10"/>
  <c r="BY89" i="10"/>
  <c r="BY88" i="10"/>
  <c r="BY87" i="10"/>
  <c r="BY86" i="10"/>
  <c r="BY85" i="10"/>
  <c r="BY84" i="10"/>
  <c r="BY83" i="10"/>
  <c r="BY82" i="10"/>
  <c r="BY81" i="10"/>
  <c r="BY80" i="10"/>
  <c r="BY79" i="10"/>
  <c r="BY78" i="10"/>
  <c r="BY77" i="10"/>
  <c r="BY76" i="10"/>
  <c r="BY75" i="10"/>
  <c r="BY74" i="10"/>
  <c r="BY73" i="10"/>
  <c r="BY72" i="10"/>
  <c r="BY71" i="10"/>
  <c r="BY70" i="10"/>
  <c r="BY69" i="10"/>
  <c r="BY68" i="10"/>
  <c r="BY67" i="10"/>
  <c r="BY66" i="10"/>
  <c r="BY65" i="10"/>
  <c r="BY64" i="10"/>
  <c r="BY63" i="10"/>
  <c r="BY62" i="10"/>
  <c r="BY61" i="10"/>
  <c r="BY60" i="10"/>
  <c r="BY59" i="10"/>
  <c r="BY58" i="10"/>
  <c r="BY57" i="10"/>
  <c r="BY56" i="10"/>
  <c r="BY55" i="10"/>
  <c r="BY54" i="10"/>
  <c r="BY53" i="10"/>
  <c r="BY52" i="10"/>
  <c r="BY51" i="10"/>
  <c r="BY50" i="10"/>
  <c r="BY49" i="10"/>
  <c r="BY48" i="10"/>
  <c r="BY47" i="10"/>
  <c r="BY46" i="10"/>
  <c r="BY45" i="10"/>
  <c r="BY44" i="10"/>
  <c r="BY43" i="10"/>
  <c r="BY42" i="10"/>
  <c r="BY41" i="10"/>
  <c r="BY40" i="10"/>
  <c r="BY39" i="10"/>
  <c r="BY38" i="10"/>
  <c r="BY37" i="10"/>
  <c r="BY36" i="10"/>
  <c r="BY35" i="10"/>
  <c r="BY34" i="10"/>
  <c r="BY33" i="10"/>
  <c r="BY32" i="10"/>
  <c r="BY31" i="10"/>
  <c r="BY30" i="10"/>
  <c r="BY29" i="10"/>
  <c r="BY28" i="10"/>
  <c r="BY27" i="10"/>
  <c r="BY26" i="10"/>
  <c r="BY25" i="10"/>
  <c r="BY24" i="10"/>
  <c r="BY23" i="10"/>
  <c r="BY22" i="10"/>
  <c r="BY21" i="10"/>
  <c r="BY20" i="10"/>
  <c r="BY19" i="10"/>
  <c r="BY18" i="10"/>
  <c r="BY17" i="10"/>
  <c r="BY16" i="10"/>
  <c r="BY15" i="10"/>
  <c r="BY14" i="10"/>
  <c r="BY13" i="10"/>
  <c r="BY12" i="10"/>
  <c r="BY11" i="10"/>
  <c r="BY10" i="10"/>
  <c r="BY9" i="10"/>
  <c r="BY8" i="10"/>
  <c r="BY7" i="10"/>
  <c r="BY6" i="10"/>
  <c r="BY5" i="10"/>
  <c r="CC173" i="10"/>
  <c r="CC172" i="10"/>
  <c r="CC171" i="10"/>
  <c r="CC170" i="10"/>
  <c r="CC169" i="10"/>
  <c r="CC168" i="10"/>
  <c r="CC167" i="10"/>
  <c r="CC166" i="10"/>
  <c r="CC165" i="10"/>
  <c r="CC164" i="10"/>
  <c r="CC163" i="10"/>
  <c r="CC162" i="10"/>
  <c r="CC161" i="10"/>
  <c r="CC160" i="10"/>
  <c r="CC159" i="10"/>
  <c r="CC158" i="10"/>
  <c r="CC157" i="10"/>
  <c r="CC156" i="10"/>
  <c r="CC155" i="10"/>
  <c r="CC154" i="10"/>
  <c r="CC153" i="10"/>
  <c r="CC152" i="10"/>
  <c r="CC151" i="10"/>
  <c r="CC150" i="10"/>
  <c r="CC149" i="10"/>
  <c r="CC148" i="10"/>
  <c r="CC147" i="10"/>
  <c r="CC146" i="10"/>
  <c r="CC145" i="10"/>
  <c r="CC144" i="10"/>
  <c r="CC143" i="10"/>
  <c r="CC142" i="10"/>
  <c r="CC141" i="10"/>
  <c r="CC140" i="10"/>
  <c r="CC139" i="10"/>
  <c r="CC138" i="10"/>
  <c r="CC137" i="10"/>
  <c r="CC136" i="10"/>
  <c r="CC135" i="10"/>
  <c r="CC134" i="10"/>
  <c r="CC133" i="10"/>
  <c r="CC132" i="10"/>
  <c r="CC131" i="10"/>
  <c r="CC130" i="10"/>
  <c r="CC129" i="10"/>
  <c r="CC128" i="10"/>
  <c r="CC127" i="10"/>
  <c r="CC126" i="10"/>
  <c r="CC125" i="10"/>
  <c r="CC124" i="10"/>
  <c r="CC123" i="10"/>
  <c r="CC122" i="10"/>
  <c r="CC121" i="10"/>
  <c r="CC120" i="10"/>
  <c r="CC119" i="10"/>
  <c r="CC118" i="10"/>
  <c r="CC117" i="10"/>
  <c r="CC116" i="10"/>
  <c r="CC115" i="10"/>
  <c r="CC114" i="10"/>
  <c r="CC113" i="10"/>
  <c r="CC112" i="10"/>
  <c r="CC111" i="10"/>
  <c r="CC110" i="10"/>
  <c r="CC109" i="10"/>
  <c r="CC108" i="10"/>
  <c r="CC107" i="10"/>
  <c r="CC106" i="10"/>
  <c r="CC105" i="10"/>
  <c r="CC104" i="10"/>
  <c r="CC103" i="10"/>
  <c r="CC102" i="10"/>
  <c r="CC101" i="10"/>
  <c r="CC100" i="10"/>
  <c r="CC99" i="10"/>
  <c r="CC98" i="10"/>
  <c r="CC97" i="10"/>
  <c r="CC96" i="10"/>
  <c r="CC95" i="10"/>
  <c r="CC94" i="10"/>
  <c r="CC93" i="10"/>
  <c r="CC92" i="10"/>
  <c r="CC91" i="10"/>
  <c r="CC90" i="10"/>
  <c r="CC89" i="10"/>
  <c r="CC88" i="10"/>
  <c r="CC87" i="10"/>
  <c r="CC86" i="10"/>
  <c r="CC85" i="10"/>
  <c r="CC84" i="10"/>
  <c r="CC83" i="10"/>
  <c r="CC82" i="10"/>
  <c r="CC81" i="10"/>
  <c r="CC80" i="10"/>
  <c r="CC79" i="10"/>
  <c r="CC78" i="10"/>
  <c r="CC77" i="10"/>
  <c r="CC76" i="10"/>
  <c r="CC75" i="10"/>
  <c r="CC74" i="10"/>
  <c r="CC73" i="10"/>
  <c r="CC72" i="10"/>
  <c r="CC71" i="10"/>
  <c r="CC70" i="10"/>
  <c r="CC69" i="10"/>
  <c r="CC68" i="10"/>
  <c r="CC67" i="10"/>
  <c r="CC66" i="10"/>
  <c r="CC65" i="10"/>
  <c r="CC64" i="10"/>
  <c r="CC63" i="10"/>
  <c r="CC62" i="10"/>
  <c r="CC61" i="10"/>
  <c r="CC60" i="10"/>
  <c r="CC59" i="10"/>
  <c r="CC58" i="10"/>
  <c r="CC57" i="10"/>
  <c r="CC56" i="10"/>
  <c r="CC55" i="10"/>
  <c r="CC54" i="10"/>
  <c r="CC53" i="10"/>
  <c r="CC52" i="10"/>
  <c r="CC51" i="10"/>
  <c r="CC50" i="10"/>
  <c r="CC49" i="10"/>
  <c r="CC48" i="10"/>
  <c r="CC47" i="10"/>
  <c r="CC46" i="10"/>
  <c r="CC45" i="10"/>
  <c r="CC44" i="10"/>
  <c r="CC43" i="10"/>
  <c r="CC42" i="10"/>
  <c r="CC41" i="10"/>
  <c r="CC40" i="10"/>
  <c r="CC39" i="10"/>
  <c r="CC38" i="10"/>
  <c r="CC37" i="10"/>
  <c r="CC36" i="10"/>
  <c r="CC35" i="10"/>
  <c r="CC34" i="10"/>
  <c r="CC33" i="10"/>
  <c r="CC32" i="10"/>
  <c r="CC31" i="10"/>
  <c r="CC30" i="10"/>
  <c r="CC29" i="10"/>
  <c r="CC28" i="10"/>
  <c r="CC27" i="10"/>
  <c r="CC26" i="10"/>
  <c r="CC25" i="10"/>
  <c r="CC24" i="10"/>
  <c r="CC23" i="10"/>
  <c r="CC22" i="10"/>
  <c r="CC21" i="10"/>
  <c r="CC20" i="10"/>
  <c r="CC19" i="10"/>
  <c r="CC18" i="10"/>
  <c r="CC17" i="10"/>
  <c r="CC16" i="10"/>
  <c r="CC15" i="10"/>
  <c r="CC14" i="10"/>
  <c r="CC13" i="10"/>
  <c r="CC12" i="10"/>
  <c r="CC11" i="10"/>
  <c r="CC10" i="10"/>
  <c r="CC9" i="10"/>
  <c r="CC8" i="10"/>
  <c r="CC7" i="10"/>
  <c r="CC6" i="10"/>
  <c r="CC5" i="10"/>
  <c r="CG172" i="10"/>
  <c r="CG171" i="10"/>
  <c r="CG170" i="10"/>
  <c r="CG169" i="10"/>
  <c r="CG168" i="10"/>
  <c r="CG167" i="10"/>
  <c r="CG166" i="10"/>
  <c r="CG165" i="10"/>
  <c r="CG164" i="10"/>
  <c r="CG163" i="10"/>
  <c r="CG162" i="10"/>
  <c r="CG161" i="10"/>
  <c r="CG160" i="10"/>
  <c r="CG159" i="10"/>
  <c r="CG158" i="10"/>
  <c r="CG157" i="10"/>
  <c r="CG156" i="10"/>
  <c r="CG155" i="10"/>
  <c r="CG154" i="10"/>
  <c r="CG153" i="10"/>
  <c r="CG152" i="10"/>
  <c r="CG151" i="10"/>
  <c r="CG150" i="10"/>
  <c r="CG149" i="10"/>
  <c r="CG148" i="10"/>
  <c r="CG147" i="10"/>
  <c r="CG146" i="10"/>
  <c r="CG145" i="10"/>
  <c r="CG144" i="10"/>
  <c r="CG143" i="10"/>
  <c r="CG142" i="10"/>
  <c r="CG141" i="10"/>
  <c r="CG140" i="10"/>
  <c r="CG139" i="10"/>
  <c r="CG138" i="10"/>
  <c r="CG137" i="10"/>
  <c r="CG136" i="10"/>
  <c r="CG135" i="10"/>
  <c r="CG134" i="10"/>
  <c r="CG133" i="10"/>
  <c r="CG132" i="10"/>
  <c r="CG131" i="10"/>
  <c r="CG130" i="10"/>
  <c r="CG129" i="10"/>
  <c r="CG128" i="10"/>
  <c r="CG127" i="10"/>
  <c r="CG126" i="10"/>
  <c r="CG125" i="10"/>
  <c r="CG124" i="10"/>
  <c r="CG123" i="10"/>
  <c r="CG122" i="10"/>
  <c r="CG121" i="10"/>
  <c r="CG120" i="10"/>
  <c r="CG119" i="10"/>
  <c r="CG118" i="10"/>
  <c r="CG117" i="10"/>
  <c r="CG116" i="10"/>
  <c r="CG115" i="10"/>
  <c r="CG114" i="10"/>
  <c r="CG113" i="10"/>
  <c r="CG112" i="10"/>
  <c r="CG111" i="10"/>
  <c r="CG110" i="10"/>
  <c r="CG109" i="10"/>
  <c r="CG108" i="10"/>
  <c r="CG107" i="10"/>
  <c r="CG106" i="10"/>
  <c r="CG105" i="10"/>
  <c r="CG104" i="10"/>
  <c r="CG103" i="10"/>
  <c r="CG102" i="10"/>
  <c r="CG101" i="10"/>
  <c r="CG100" i="10"/>
  <c r="CG99" i="10"/>
  <c r="CG98" i="10"/>
  <c r="CG97" i="10"/>
  <c r="CG96" i="10"/>
  <c r="CG95" i="10"/>
  <c r="CG94" i="10"/>
  <c r="CG93" i="10"/>
  <c r="CG92" i="10"/>
  <c r="CG91" i="10"/>
  <c r="CG90" i="10"/>
  <c r="CG89" i="10"/>
  <c r="CG88" i="10"/>
  <c r="CG87" i="10"/>
  <c r="CG86" i="10"/>
  <c r="CG85" i="10"/>
  <c r="CG84" i="10"/>
  <c r="CG83" i="10"/>
  <c r="CG82" i="10"/>
  <c r="CG81" i="10"/>
  <c r="CG80" i="10"/>
  <c r="CG79" i="10"/>
  <c r="CG78" i="10"/>
  <c r="CG77" i="10"/>
  <c r="CG76" i="10"/>
  <c r="CG75" i="10"/>
  <c r="CG74" i="10"/>
  <c r="CG73" i="10"/>
  <c r="CG72" i="10"/>
  <c r="CG71" i="10"/>
  <c r="CG70" i="10"/>
  <c r="CG69" i="10"/>
  <c r="CG68" i="10"/>
  <c r="CG67" i="10"/>
  <c r="CG66" i="10"/>
  <c r="CG65" i="10"/>
  <c r="CG64" i="10"/>
  <c r="CG63" i="10"/>
  <c r="CG62" i="10"/>
  <c r="CG61" i="10"/>
  <c r="CG60" i="10"/>
  <c r="CG59" i="10"/>
  <c r="CG58" i="10"/>
  <c r="CG57" i="10"/>
  <c r="CG56" i="10"/>
  <c r="CG55" i="10"/>
  <c r="CG54" i="10"/>
  <c r="CG53" i="10"/>
  <c r="CG52" i="10"/>
  <c r="CG51" i="10"/>
  <c r="CG50" i="10"/>
  <c r="CG49" i="10"/>
  <c r="CG48" i="10"/>
  <c r="CG47" i="10"/>
  <c r="CG46" i="10"/>
  <c r="CG45" i="10"/>
  <c r="CG44" i="10"/>
  <c r="CG43" i="10"/>
  <c r="CG42" i="10"/>
  <c r="CG41" i="10"/>
  <c r="CG40" i="10"/>
  <c r="CG39" i="10"/>
  <c r="CG38" i="10"/>
  <c r="CG37" i="10"/>
  <c r="CG36" i="10"/>
  <c r="CG35" i="10"/>
  <c r="CG34" i="10"/>
  <c r="CG33" i="10"/>
  <c r="CG32" i="10"/>
  <c r="CG31" i="10"/>
  <c r="CG30" i="10"/>
  <c r="CG29" i="10"/>
  <c r="CG28" i="10"/>
  <c r="CG27" i="10"/>
  <c r="CG26" i="10"/>
  <c r="CG25" i="10"/>
  <c r="CG24" i="10"/>
  <c r="CG23" i="10"/>
  <c r="CG22" i="10"/>
  <c r="CG21" i="10"/>
  <c r="CG20" i="10"/>
  <c r="CG19" i="10"/>
  <c r="CG18" i="10"/>
  <c r="CG17" i="10"/>
  <c r="CG16" i="10"/>
  <c r="CG15" i="10"/>
  <c r="CG14" i="10"/>
  <c r="CG13" i="10"/>
  <c r="CG12" i="10"/>
  <c r="CG11" i="10"/>
  <c r="CG10" i="10"/>
  <c r="CG9" i="10"/>
  <c r="CG8" i="10"/>
  <c r="CG7" i="10"/>
  <c r="CG6" i="10"/>
  <c r="CG5" i="10"/>
  <c r="CK173" i="10"/>
  <c r="CK172" i="10"/>
  <c r="CK171" i="10"/>
  <c r="CK170" i="10"/>
  <c r="CK169" i="10"/>
  <c r="CK168" i="10"/>
  <c r="CK167" i="10"/>
  <c r="CK166" i="10"/>
  <c r="CK165" i="10"/>
  <c r="CK164" i="10"/>
  <c r="CK163" i="10"/>
  <c r="CK162" i="10"/>
  <c r="CK161" i="10"/>
  <c r="CK160" i="10"/>
  <c r="CK159" i="10"/>
  <c r="CK158" i="10"/>
  <c r="CK157" i="10"/>
  <c r="CK156" i="10"/>
  <c r="CK155" i="10"/>
  <c r="CK154" i="10"/>
  <c r="CK153" i="10"/>
  <c r="CK152" i="10"/>
  <c r="CK151" i="10"/>
  <c r="CK150" i="10"/>
  <c r="CK149" i="10"/>
  <c r="CK148" i="10"/>
  <c r="CK147" i="10"/>
  <c r="CK146" i="10"/>
  <c r="CK145" i="10"/>
  <c r="CK144" i="10"/>
  <c r="CK143" i="10"/>
  <c r="CK142" i="10"/>
  <c r="CK141" i="10"/>
  <c r="CK140" i="10"/>
  <c r="CK139" i="10"/>
  <c r="CK138" i="10"/>
  <c r="CK137" i="10"/>
  <c r="CK136" i="10"/>
  <c r="CK135" i="10"/>
  <c r="CK134" i="10"/>
  <c r="CK133" i="10"/>
  <c r="CK132" i="10"/>
  <c r="CK131" i="10"/>
  <c r="CK130" i="10"/>
  <c r="CK129" i="10"/>
  <c r="CK128" i="10"/>
  <c r="CK127" i="10"/>
  <c r="CK126" i="10"/>
  <c r="CK125" i="10"/>
  <c r="CK124" i="10"/>
  <c r="CK123" i="10"/>
  <c r="CK122" i="10"/>
  <c r="CK121" i="10"/>
  <c r="CK120" i="10"/>
  <c r="CK119" i="10"/>
  <c r="CK118" i="10"/>
  <c r="CK117" i="10"/>
  <c r="CK116" i="10"/>
  <c r="CK115" i="10"/>
  <c r="CK114" i="10"/>
  <c r="CK113" i="10"/>
  <c r="CK112" i="10"/>
  <c r="CK111" i="10"/>
  <c r="CK110" i="10"/>
  <c r="CK109" i="10"/>
  <c r="CK108" i="10"/>
  <c r="CK107" i="10"/>
  <c r="CK106" i="10"/>
  <c r="CK105" i="10"/>
  <c r="CK104" i="10"/>
  <c r="CK103" i="10"/>
  <c r="CK102" i="10"/>
  <c r="CK101" i="10"/>
  <c r="CK100" i="10"/>
  <c r="CK99" i="10"/>
  <c r="CK98" i="10"/>
  <c r="CK97" i="10"/>
  <c r="CK96" i="10"/>
  <c r="CK95" i="10"/>
  <c r="CK94" i="10"/>
  <c r="CK93" i="10"/>
  <c r="CK92" i="10"/>
  <c r="CK91" i="10"/>
  <c r="CK90" i="10"/>
  <c r="CK89" i="10"/>
  <c r="CK88" i="10"/>
  <c r="CK87" i="10"/>
  <c r="CK86" i="10"/>
  <c r="CK85" i="10"/>
  <c r="CK84" i="10"/>
  <c r="CK83" i="10"/>
  <c r="CK82" i="10"/>
  <c r="CK81" i="10"/>
  <c r="CK80" i="10"/>
  <c r="CK79" i="10"/>
  <c r="CK78" i="10"/>
  <c r="CK77" i="10"/>
  <c r="CK76" i="10"/>
  <c r="CK75" i="10"/>
  <c r="CK74" i="10"/>
  <c r="CK73" i="10"/>
  <c r="CK72" i="10"/>
  <c r="CK71" i="10"/>
  <c r="CK70" i="10"/>
  <c r="CK69" i="10"/>
  <c r="CK68" i="10"/>
  <c r="CK67" i="10"/>
  <c r="CK66" i="10"/>
  <c r="CK65" i="10"/>
  <c r="CK64" i="10"/>
  <c r="CK63" i="10"/>
  <c r="CK62" i="10"/>
  <c r="CK61" i="10"/>
  <c r="CK60" i="10"/>
  <c r="CK59" i="10"/>
  <c r="CK58" i="10"/>
  <c r="CK57" i="10"/>
  <c r="CK56" i="10"/>
  <c r="CK55" i="10"/>
  <c r="CK54" i="10"/>
  <c r="CK53" i="10"/>
  <c r="CK52" i="10"/>
  <c r="CK51" i="10"/>
  <c r="CK50" i="10"/>
  <c r="CK49" i="10"/>
  <c r="CK48" i="10"/>
  <c r="CK47" i="10"/>
  <c r="CK46" i="10"/>
  <c r="CK45" i="10"/>
  <c r="CK44" i="10"/>
  <c r="CK43" i="10"/>
  <c r="CK42" i="10"/>
  <c r="CK41" i="10"/>
  <c r="CK40" i="10"/>
  <c r="CK39" i="10"/>
  <c r="CK38" i="10"/>
  <c r="CK37" i="10"/>
  <c r="CK36" i="10"/>
  <c r="CK35" i="10"/>
  <c r="CK34" i="10"/>
  <c r="CK33" i="10"/>
  <c r="CK32" i="10"/>
  <c r="CK31" i="10"/>
  <c r="CK30" i="10"/>
  <c r="CK29" i="10"/>
  <c r="CK28" i="10"/>
  <c r="CK27" i="10"/>
  <c r="CK26" i="10"/>
  <c r="CK25" i="10"/>
  <c r="CK24" i="10"/>
  <c r="CK23" i="10"/>
  <c r="CK22" i="10"/>
  <c r="CK21" i="10"/>
  <c r="CK20" i="10"/>
  <c r="CK19" i="10"/>
  <c r="CK18" i="10"/>
  <c r="CK17" i="10"/>
  <c r="CK16" i="10"/>
  <c r="CK15" i="10"/>
  <c r="CK14" i="10"/>
  <c r="CK13" i="10"/>
  <c r="CK12" i="10"/>
  <c r="CK11" i="10"/>
  <c r="CK10" i="10"/>
  <c r="CK9" i="10"/>
  <c r="CK8" i="10"/>
  <c r="CK7" i="10"/>
  <c r="CK6" i="10"/>
  <c r="CK5" i="10"/>
  <c r="CO173" i="10"/>
  <c r="CO172" i="10"/>
  <c r="CO171" i="10"/>
  <c r="CO170" i="10"/>
  <c r="CO169" i="10"/>
  <c r="CO168" i="10"/>
  <c r="CO167" i="10"/>
  <c r="CO165" i="10"/>
  <c r="CO164" i="10"/>
  <c r="CO163" i="10"/>
  <c r="CO162" i="10"/>
  <c r="CO161" i="10"/>
  <c r="CO160" i="10"/>
  <c r="CO159" i="10"/>
  <c r="CO158" i="10"/>
  <c r="CO157" i="10"/>
  <c r="CO156" i="10"/>
  <c r="CO155" i="10"/>
  <c r="CO154" i="10"/>
  <c r="CO153" i="10"/>
  <c r="CO152" i="10"/>
  <c r="CO151" i="10"/>
  <c r="CO150" i="10"/>
  <c r="CO149" i="10"/>
  <c r="CO148" i="10"/>
  <c r="CO147" i="10"/>
  <c r="CO146" i="10"/>
  <c r="CO145" i="10"/>
  <c r="CO144" i="10"/>
  <c r="CO143" i="10"/>
  <c r="CO142" i="10"/>
  <c r="CO141" i="10"/>
  <c r="CO140" i="10"/>
  <c r="CO139" i="10"/>
  <c r="CO138" i="10"/>
  <c r="CO137" i="10"/>
  <c r="CO136" i="10"/>
  <c r="CO135" i="10"/>
  <c r="CO134" i="10"/>
  <c r="CO133" i="10"/>
  <c r="CO132" i="10"/>
  <c r="CO131" i="10"/>
  <c r="CO130" i="10"/>
  <c r="CO129" i="10"/>
  <c r="CO128" i="10"/>
  <c r="CO127" i="10"/>
  <c r="CO126" i="10"/>
  <c r="CO125" i="10"/>
  <c r="CO124" i="10"/>
  <c r="CO123" i="10"/>
  <c r="CO122" i="10"/>
  <c r="CO121" i="10"/>
  <c r="CO120" i="10"/>
  <c r="CO119" i="10"/>
  <c r="CO118" i="10"/>
  <c r="CO117" i="10"/>
  <c r="CO116" i="10"/>
  <c r="CO115" i="10"/>
  <c r="CO114" i="10"/>
  <c r="CO113" i="10"/>
  <c r="CO112" i="10"/>
  <c r="CO111" i="10"/>
  <c r="CO110" i="10"/>
  <c r="CO109" i="10"/>
  <c r="CO108" i="10"/>
  <c r="CO107" i="10"/>
  <c r="CO106" i="10"/>
  <c r="CO105" i="10"/>
  <c r="CO104" i="10"/>
  <c r="CO103" i="10"/>
  <c r="CO102" i="10"/>
  <c r="CO101" i="10"/>
  <c r="CO100" i="10"/>
  <c r="CO99" i="10"/>
  <c r="CO98" i="10"/>
  <c r="CO97" i="10"/>
  <c r="CO96" i="10"/>
  <c r="CO95" i="10"/>
  <c r="CO94" i="10"/>
  <c r="CO93" i="10"/>
  <c r="CO92" i="10"/>
  <c r="CO91" i="10"/>
  <c r="CO90" i="10"/>
  <c r="CO89" i="10"/>
  <c r="CO88" i="10"/>
  <c r="CO87" i="10"/>
  <c r="CO86" i="10"/>
  <c r="CO85" i="10"/>
  <c r="CO84" i="10"/>
  <c r="CO83" i="10"/>
  <c r="CO82" i="10"/>
  <c r="CO81" i="10"/>
  <c r="CO80" i="10"/>
  <c r="CO79" i="10"/>
  <c r="CO78" i="10"/>
  <c r="CO77" i="10"/>
  <c r="CO76" i="10"/>
  <c r="CO75" i="10"/>
  <c r="CO74" i="10"/>
  <c r="CO73" i="10"/>
  <c r="CO72" i="10"/>
  <c r="CO71" i="10"/>
  <c r="CO70" i="10"/>
  <c r="CO69" i="10"/>
  <c r="CO68" i="10"/>
  <c r="CO67" i="10"/>
  <c r="CO66" i="10"/>
  <c r="CO65" i="10"/>
  <c r="CO64" i="10"/>
  <c r="CO63" i="10"/>
  <c r="CO62" i="10"/>
  <c r="CO61" i="10"/>
  <c r="CO60" i="10"/>
  <c r="CO59" i="10"/>
  <c r="CO58" i="10"/>
  <c r="CO57" i="10"/>
  <c r="CO56" i="10"/>
  <c r="CO55" i="10"/>
  <c r="CO54" i="10"/>
  <c r="CO53" i="10"/>
  <c r="CO52" i="10"/>
  <c r="CO51" i="10"/>
  <c r="CO50" i="10"/>
  <c r="CO49" i="10"/>
  <c r="CO48" i="10"/>
  <c r="CO47" i="10"/>
  <c r="CO46" i="10"/>
  <c r="CO45" i="10"/>
  <c r="CO44" i="10"/>
  <c r="CO43" i="10"/>
  <c r="CO42" i="10"/>
  <c r="CO41" i="10"/>
  <c r="CO40" i="10"/>
  <c r="CO39" i="10"/>
  <c r="CO38" i="10"/>
  <c r="CO37" i="10"/>
  <c r="CO36" i="10"/>
  <c r="CO35" i="10"/>
  <c r="CO34" i="10"/>
  <c r="CO33" i="10"/>
  <c r="CO32" i="10"/>
  <c r="CO31" i="10"/>
  <c r="CO30" i="10"/>
  <c r="CO29" i="10"/>
  <c r="CO28" i="10"/>
  <c r="CO27" i="10"/>
  <c r="CO26" i="10"/>
  <c r="CO25" i="10"/>
  <c r="CO24" i="10"/>
  <c r="CO23" i="10"/>
  <c r="CO22" i="10"/>
  <c r="CO21" i="10"/>
  <c r="CO20" i="10"/>
  <c r="CO19" i="10"/>
  <c r="CO18" i="10"/>
  <c r="CO17" i="10"/>
  <c r="CO16" i="10"/>
  <c r="CO15" i="10"/>
  <c r="CO14" i="10"/>
  <c r="CO13" i="10"/>
  <c r="CO12" i="10"/>
  <c r="CO11" i="10"/>
  <c r="CO10" i="10"/>
  <c r="CO9" i="10"/>
  <c r="CO8" i="10"/>
  <c r="CO7" i="10"/>
  <c r="CO6" i="10"/>
  <c r="CO5" i="10"/>
  <c r="CS173" i="10"/>
  <c r="CS172" i="10"/>
  <c r="CS171" i="10"/>
  <c r="CS170" i="10"/>
  <c r="CS169" i="10"/>
  <c r="CS168" i="10"/>
  <c r="CS167" i="10"/>
  <c r="CS166" i="10"/>
  <c r="CS165" i="10"/>
  <c r="CS164" i="10"/>
  <c r="CS163" i="10"/>
  <c r="CS162" i="10"/>
  <c r="CS161" i="10"/>
  <c r="CS160" i="10"/>
  <c r="CS159" i="10"/>
  <c r="CS158" i="10"/>
  <c r="CS157" i="10"/>
  <c r="CS156" i="10"/>
  <c r="CS155" i="10"/>
  <c r="CS154" i="10"/>
  <c r="CS153" i="10"/>
  <c r="CS152" i="10"/>
  <c r="CS151" i="10"/>
  <c r="CS150" i="10"/>
  <c r="CS149" i="10"/>
  <c r="CS148" i="10"/>
  <c r="CS147" i="10"/>
  <c r="CS146" i="10"/>
  <c r="CS145" i="10"/>
  <c r="CS144" i="10"/>
  <c r="CS143" i="10"/>
  <c r="CS142" i="10"/>
  <c r="CS141" i="10"/>
  <c r="CS140" i="10"/>
  <c r="CS139" i="10"/>
  <c r="CS138" i="10"/>
  <c r="CS137" i="10"/>
  <c r="CS136" i="10"/>
  <c r="CS135" i="10"/>
  <c r="CS134" i="10"/>
  <c r="CS133" i="10"/>
  <c r="CS132" i="10"/>
  <c r="CS131" i="10"/>
  <c r="CS130" i="10"/>
  <c r="CS129" i="10"/>
  <c r="CS128" i="10"/>
  <c r="CS127" i="10"/>
  <c r="CS126" i="10"/>
  <c r="CS125" i="10"/>
  <c r="CS124" i="10"/>
  <c r="CS123" i="10"/>
  <c r="CS122" i="10"/>
  <c r="CS121" i="10"/>
  <c r="CS120" i="10"/>
  <c r="CS119" i="10"/>
  <c r="CS118" i="10"/>
  <c r="CS117" i="10"/>
  <c r="CS116" i="10"/>
  <c r="CS115" i="10"/>
  <c r="CS114" i="10"/>
  <c r="CS113" i="10"/>
  <c r="CS112" i="10"/>
  <c r="CS111" i="10"/>
  <c r="CS110" i="10"/>
  <c r="CS109" i="10"/>
  <c r="CS108" i="10"/>
  <c r="CS107" i="10"/>
  <c r="CS106" i="10"/>
  <c r="CS105" i="10"/>
  <c r="CS104" i="10"/>
  <c r="CS103" i="10"/>
  <c r="CS102" i="10"/>
  <c r="CS101" i="10"/>
  <c r="CS100" i="10"/>
  <c r="CS99" i="10"/>
  <c r="CS98" i="10"/>
  <c r="CS97" i="10"/>
  <c r="CS96" i="10"/>
  <c r="CS95" i="10"/>
  <c r="CS94" i="10"/>
  <c r="CS93" i="10"/>
  <c r="CS92" i="10"/>
  <c r="CS91" i="10"/>
  <c r="CS90" i="10"/>
  <c r="CS89" i="10"/>
  <c r="CS88" i="10"/>
  <c r="CS87" i="10"/>
  <c r="CS86" i="10"/>
  <c r="CS85" i="10"/>
  <c r="CS84" i="10"/>
  <c r="CS83" i="10"/>
  <c r="CS82" i="10"/>
  <c r="CS81" i="10"/>
  <c r="CS80" i="10"/>
  <c r="CS79" i="10"/>
  <c r="CS78" i="10"/>
  <c r="CS77" i="10"/>
  <c r="CS76" i="10"/>
  <c r="CS75" i="10"/>
  <c r="CS74" i="10"/>
  <c r="CS73" i="10"/>
  <c r="CS72" i="10"/>
  <c r="CS71" i="10"/>
  <c r="CS70" i="10"/>
  <c r="CS69" i="10"/>
  <c r="CS68" i="10"/>
  <c r="CS67" i="10"/>
  <c r="CS66" i="10"/>
  <c r="CS65" i="10"/>
  <c r="CS64" i="10"/>
  <c r="CS63" i="10"/>
  <c r="CS62" i="10"/>
  <c r="CS61" i="10"/>
  <c r="CS60" i="10"/>
  <c r="CS59" i="10"/>
  <c r="CS58" i="10"/>
  <c r="CS57" i="10"/>
  <c r="CS56" i="10"/>
  <c r="CS55" i="10"/>
  <c r="CS54" i="10"/>
  <c r="CS53" i="10"/>
  <c r="CS52" i="10"/>
  <c r="CS51" i="10"/>
  <c r="CS50" i="10"/>
  <c r="CS49" i="10"/>
  <c r="CS48" i="10"/>
  <c r="CS47" i="10"/>
  <c r="CS46" i="10"/>
  <c r="CS45" i="10"/>
  <c r="CS44" i="10"/>
  <c r="CS43" i="10"/>
  <c r="CS42" i="10"/>
  <c r="CS41" i="10"/>
  <c r="CS40" i="10"/>
  <c r="CS39" i="10"/>
  <c r="CS38" i="10"/>
  <c r="CS37" i="10"/>
  <c r="CS36" i="10"/>
  <c r="CS35" i="10"/>
  <c r="CS34" i="10"/>
  <c r="CS33" i="10"/>
  <c r="CS32" i="10"/>
  <c r="CS31" i="10"/>
  <c r="CS30" i="10"/>
  <c r="CS29" i="10"/>
  <c r="CS28" i="10"/>
  <c r="CS27" i="10"/>
  <c r="CS26" i="10"/>
  <c r="CS25" i="10"/>
  <c r="CS24" i="10"/>
  <c r="CS23" i="10"/>
  <c r="CS22" i="10"/>
  <c r="CS21" i="10"/>
  <c r="CS20" i="10"/>
  <c r="CS19" i="10"/>
  <c r="CS18" i="10"/>
  <c r="CS17" i="10"/>
  <c r="CS16" i="10"/>
  <c r="CS15" i="10"/>
  <c r="CS14" i="10"/>
  <c r="CS13" i="10"/>
  <c r="CS12" i="10"/>
  <c r="CS11" i="10"/>
  <c r="CS10" i="10"/>
  <c r="CS8" i="10"/>
  <c r="CS7" i="10"/>
  <c r="CS6" i="10"/>
  <c r="CS5" i="10"/>
  <c r="CW173" i="10"/>
  <c r="CW172" i="10"/>
  <c r="CW171" i="10"/>
  <c r="CW170" i="10"/>
  <c r="CW169" i="10"/>
  <c r="CW168" i="10"/>
  <c r="CW167" i="10"/>
  <c r="CW166" i="10"/>
  <c r="CW165" i="10"/>
  <c r="CW164" i="10"/>
  <c r="CW163" i="10"/>
  <c r="CW162" i="10"/>
  <c r="CW161" i="10"/>
  <c r="CW160" i="10"/>
  <c r="CW159" i="10"/>
  <c r="CW158" i="10"/>
  <c r="CW157" i="10"/>
  <c r="CW156" i="10"/>
  <c r="CW155" i="10"/>
  <c r="CW154" i="10"/>
  <c r="CW153" i="10"/>
  <c r="CW152" i="10"/>
  <c r="CW151" i="10"/>
  <c r="CW150" i="10"/>
  <c r="CW149" i="10"/>
  <c r="CW148" i="10"/>
  <c r="CW147" i="10"/>
  <c r="CW146" i="10"/>
  <c r="CW145" i="10"/>
  <c r="CW144" i="10"/>
  <c r="CW143" i="10"/>
  <c r="CW142" i="10"/>
  <c r="CW141" i="10"/>
  <c r="CW140" i="10"/>
  <c r="CW139" i="10"/>
  <c r="CW138" i="10"/>
  <c r="CW137" i="10"/>
  <c r="CW136" i="10"/>
  <c r="CW135" i="10"/>
  <c r="CW134" i="10"/>
  <c r="CW133" i="10"/>
  <c r="CW132" i="10"/>
  <c r="CW131" i="10"/>
  <c r="CW130" i="10"/>
  <c r="CW129" i="10"/>
  <c r="CW128" i="10"/>
  <c r="CW127" i="10"/>
  <c r="CW126" i="10"/>
  <c r="CW125" i="10"/>
  <c r="CW124" i="10"/>
  <c r="CW123" i="10"/>
  <c r="CW122" i="10"/>
  <c r="CW121" i="10"/>
  <c r="CW120" i="10"/>
  <c r="CW119" i="10"/>
  <c r="CW118" i="10"/>
  <c r="CW117" i="10"/>
  <c r="CW116" i="10"/>
  <c r="CW115" i="10"/>
  <c r="CW114" i="10"/>
  <c r="CW113" i="10"/>
  <c r="CW112" i="10"/>
  <c r="CW111" i="10"/>
  <c r="CW110" i="10"/>
  <c r="CW109" i="10"/>
  <c r="CW108" i="10"/>
  <c r="CW107" i="10"/>
  <c r="CW106" i="10"/>
  <c r="CW105" i="10"/>
  <c r="CW104" i="10"/>
  <c r="CW103" i="10"/>
  <c r="CW102" i="10"/>
  <c r="CW101" i="10"/>
  <c r="CW100" i="10"/>
  <c r="CW99" i="10"/>
  <c r="CW98" i="10"/>
  <c r="CW97" i="10"/>
  <c r="CW96" i="10"/>
  <c r="CW95" i="10"/>
  <c r="CW94" i="10"/>
  <c r="CW93" i="10"/>
  <c r="CW92" i="10"/>
  <c r="CW91" i="10"/>
  <c r="CW90" i="10"/>
  <c r="CW89" i="10"/>
  <c r="CW88" i="10"/>
  <c r="CW87" i="10"/>
  <c r="CW86" i="10"/>
  <c r="CW85" i="10"/>
  <c r="CW84" i="10"/>
  <c r="CW83" i="10"/>
  <c r="CW82" i="10"/>
  <c r="CW81" i="10"/>
  <c r="CW80" i="10"/>
  <c r="CW79" i="10"/>
  <c r="CW78" i="10"/>
  <c r="CW77" i="10"/>
  <c r="CW76" i="10"/>
  <c r="CW75" i="10"/>
  <c r="CW74" i="10"/>
  <c r="CW73" i="10"/>
  <c r="CW72" i="10"/>
  <c r="CW71" i="10"/>
  <c r="CW70" i="10"/>
  <c r="CW69" i="10"/>
  <c r="CW68" i="10"/>
  <c r="CW67" i="10"/>
  <c r="CW66" i="10"/>
  <c r="CW65" i="10"/>
  <c r="CW64" i="10"/>
  <c r="CW63" i="10"/>
  <c r="CW62" i="10"/>
  <c r="CW61" i="10"/>
  <c r="CW60" i="10"/>
  <c r="CW59" i="10"/>
  <c r="CW58" i="10"/>
  <c r="CW57" i="10"/>
  <c r="CW56" i="10"/>
  <c r="CW55" i="10"/>
  <c r="CW54" i="10"/>
  <c r="CW53" i="10"/>
  <c r="CW52" i="10"/>
  <c r="CW51" i="10"/>
  <c r="CW50" i="10"/>
  <c r="CW49" i="10"/>
  <c r="CW48" i="10"/>
  <c r="CW47" i="10"/>
  <c r="CW46" i="10"/>
  <c r="CW45" i="10"/>
  <c r="CW44" i="10"/>
  <c r="CW43" i="10"/>
  <c r="CW42" i="10"/>
  <c r="CW41" i="10"/>
  <c r="CW40" i="10"/>
  <c r="CW39" i="10"/>
  <c r="CW38" i="10"/>
  <c r="CW37" i="10"/>
  <c r="CW36" i="10"/>
  <c r="CW35" i="10"/>
  <c r="CW34" i="10"/>
  <c r="CW33" i="10"/>
  <c r="CW32" i="10"/>
  <c r="CW31" i="10"/>
  <c r="CW30" i="10"/>
  <c r="CW29" i="10"/>
  <c r="CW28" i="10"/>
  <c r="CW27" i="10"/>
  <c r="CW26" i="10"/>
  <c r="CW25" i="10"/>
  <c r="CW24" i="10"/>
  <c r="CW23" i="10"/>
  <c r="CW22" i="10"/>
  <c r="CW21" i="10"/>
  <c r="CW20" i="10"/>
  <c r="CW19" i="10"/>
  <c r="CW18" i="10"/>
  <c r="CW17" i="10"/>
  <c r="CW16" i="10"/>
  <c r="CW15" i="10"/>
  <c r="CW14" i="10"/>
  <c r="CW13" i="10"/>
  <c r="CW12" i="10"/>
  <c r="CW11" i="10"/>
  <c r="CW10" i="10"/>
  <c r="CW9" i="10"/>
  <c r="CW8" i="10"/>
  <c r="CW7" i="10"/>
  <c r="CW6" i="10"/>
  <c r="CW5" i="10"/>
  <c r="DA173" i="10"/>
  <c r="DA172" i="10"/>
  <c r="DA171" i="10"/>
  <c r="DA170" i="10"/>
  <c r="DA169" i="10"/>
  <c r="DA168" i="10"/>
  <c r="DA167" i="10"/>
  <c r="DA166" i="10"/>
  <c r="DA165" i="10"/>
  <c r="DA164" i="10"/>
  <c r="DA163" i="10"/>
  <c r="DA162" i="10"/>
  <c r="DA161" i="10"/>
  <c r="DA160" i="10"/>
  <c r="DA159" i="10"/>
  <c r="DA158" i="10"/>
  <c r="DA157" i="10"/>
  <c r="DA156" i="10"/>
  <c r="DA155" i="10"/>
  <c r="DA154" i="10"/>
  <c r="DA153" i="10"/>
  <c r="DA152" i="10"/>
  <c r="DA151" i="10"/>
  <c r="DA150" i="10"/>
  <c r="DA149" i="10"/>
  <c r="DA148" i="10"/>
  <c r="DA147" i="10"/>
  <c r="DA146" i="10"/>
  <c r="DA145" i="10"/>
  <c r="DA144" i="10"/>
  <c r="DA143" i="10"/>
  <c r="DA142" i="10"/>
  <c r="DA141" i="10"/>
  <c r="DA139" i="10"/>
  <c r="DA138" i="10"/>
  <c r="DA137" i="10"/>
  <c r="DA136" i="10"/>
  <c r="DA135" i="10"/>
  <c r="DA134" i="10"/>
  <c r="DA133" i="10"/>
  <c r="DA132" i="10"/>
  <c r="DA131" i="10"/>
  <c r="DA130" i="10"/>
  <c r="DA129" i="10"/>
  <c r="DA128" i="10"/>
  <c r="DA127" i="10"/>
  <c r="DA126" i="10"/>
  <c r="DA125" i="10"/>
  <c r="DA124" i="10"/>
  <c r="DA123" i="10"/>
  <c r="DA122" i="10"/>
  <c r="DA121" i="10"/>
  <c r="DA120" i="10"/>
  <c r="DA119" i="10"/>
  <c r="DA118" i="10"/>
  <c r="DA117" i="10"/>
  <c r="DA116" i="10"/>
  <c r="DA115" i="10"/>
  <c r="DA114" i="10"/>
  <c r="DA113" i="10"/>
  <c r="DA112" i="10"/>
  <c r="DA111" i="10"/>
  <c r="DA110" i="10"/>
  <c r="DA109" i="10"/>
  <c r="DA108" i="10"/>
  <c r="DA107" i="10"/>
  <c r="DA106" i="10"/>
  <c r="DA105" i="10"/>
  <c r="DA104" i="10"/>
  <c r="DA103" i="10"/>
  <c r="DA102" i="10"/>
  <c r="DA101" i="10"/>
  <c r="DA100" i="10"/>
  <c r="DA99" i="10"/>
  <c r="DA98" i="10"/>
  <c r="DA97" i="10"/>
  <c r="DA96" i="10"/>
  <c r="DA95" i="10"/>
  <c r="DA94" i="10"/>
  <c r="DA93" i="10"/>
  <c r="DA92" i="10"/>
  <c r="DA91" i="10"/>
  <c r="DA90" i="10"/>
  <c r="DA89" i="10"/>
  <c r="DA88" i="10"/>
  <c r="DA87" i="10"/>
  <c r="DA86" i="10"/>
  <c r="DA85" i="10"/>
  <c r="DA84" i="10"/>
  <c r="DA83" i="10"/>
  <c r="DA82" i="10"/>
  <c r="DA81" i="10"/>
  <c r="DA80" i="10"/>
  <c r="DA79" i="10"/>
  <c r="DA78" i="10"/>
  <c r="DA77" i="10"/>
  <c r="DA76" i="10"/>
  <c r="DA75" i="10"/>
  <c r="DA74" i="10"/>
  <c r="DA73" i="10"/>
  <c r="DA72" i="10"/>
  <c r="DA71" i="10"/>
  <c r="DA70" i="10"/>
  <c r="DA69" i="10"/>
  <c r="DA68" i="10"/>
  <c r="DA67" i="10"/>
  <c r="DA66" i="10"/>
  <c r="DA65" i="10"/>
  <c r="DA64" i="10"/>
  <c r="DA63" i="10"/>
  <c r="DA62" i="10"/>
  <c r="DA61" i="10"/>
  <c r="DA60" i="10"/>
  <c r="DA59" i="10"/>
  <c r="DA58" i="10"/>
  <c r="DA57" i="10"/>
  <c r="DA56" i="10"/>
  <c r="DA55" i="10"/>
  <c r="DA54" i="10"/>
  <c r="DA53" i="10"/>
  <c r="DA52" i="10"/>
  <c r="DA51" i="10"/>
  <c r="DA50" i="10"/>
  <c r="DA49" i="10"/>
  <c r="DA48" i="10"/>
  <c r="DA47" i="10"/>
  <c r="DA46" i="10"/>
  <c r="DA45" i="10"/>
  <c r="DA44" i="10"/>
  <c r="DA43" i="10"/>
  <c r="DA42" i="10"/>
  <c r="DA41" i="10"/>
  <c r="DA40" i="10"/>
  <c r="DA39" i="10"/>
  <c r="DA38" i="10"/>
  <c r="DA37" i="10"/>
  <c r="DA36" i="10"/>
  <c r="DA35" i="10"/>
  <c r="DA34" i="10"/>
  <c r="DA33" i="10"/>
  <c r="DA32" i="10"/>
  <c r="DA31" i="10"/>
  <c r="DA30" i="10"/>
  <c r="DA29" i="10"/>
  <c r="DA28" i="10"/>
  <c r="DA27" i="10"/>
  <c r="DA26" i="10"/>
  <c r="DA25" i="10"/>
  <c r="DA24" i="10"/>
  <c r="DA23" i="10"/>
  <c r="DA22" i="10"/>
  <c r="DA21" i="10"/>
  <c r="DA20" i="10"/>
  <c r="DA19" i="10"/>
  <c r="DA18" i="10"/>
  <c r="DA17" i="10"/>
  <c r="DA16" i="10"/>
  <c r="DA15" i="10"/>
  <c r="DA14" i="10"/>
  <c r="DA13" i="10"/>
  <c r="DA12" i="10"/>
  <c r="DA11" i="10"/>
  <c r="DA10" i="10"/>
  <c r="DA9" i="10"/>
  <c r="DA8" i="10"/>
  <c r="DA7" i="10"/>
  <c r="DA6" i="10"/>
  <c r="DA5" i="10"/>
  <c r="DE173" i="10"/>
  <c r="DE172" i="10"/>
  <c r="DE171" i="10"/>
  <c r="DE170" i="10"/>
  <c r="DE169" i="10"/>
  <c r="DE168" i="10"/>
  <c r="DE167" i="10"/>
  <c r="DE166" i="10"/>
  <c r="DE165" i="10"/>
  <c r="DE164" i="10"/>
  <c r="DE163" i="10"/>
  <c r="DE162" i="10"/>
  <c r="DE161" i="10"/>
  <c r="DE160" i="10"/>
  <c r="DE159" i="10"/>
  <c r="DE158" i="10"/>
  <c r="DE157" i="10"/>
  <c r="DE156" i="10"/>
  <c r="DE155" i="10"/>
  <c r="DE154" i="10"/>
  <c r="DE153" i="10"/>
  <c r="DE152" i="10"/>
  <c r="DE151" i="10"/>
  <c r="DE150" i="10"/>
  <c r="DE149" i="10"/>
  <c r="DE148" i="10"/>
  <c r="DE147" i="10"/>
  <c r="DE146" i="10"/>
  <c r="DE145" i="10"/>
  <c r="DE144" i="10"/>
  <c r="DE143" i="10"/>
  <c r="DE142" i="10"/>
  <c r="DE141" i="10"/>
  <c r="DE140" i="10"/>
  <c r="DE139" i="10"/>
  <c r="DE138" i="10"/>
  <c r="DE137" i="10"/>
  <c r="DE136" i="10"/>
  <c r="DE135" i="10"/>
  <c r="DE134" i="10"/>
  <c r="DE133" i="10"/>
  <c r="DE132" i="10"/>
  <c r="DE131" i="10"/>
  <c r="DE130" i="10"/>
  <c r="DE129" i="10"/>
  <c r="DE128" i="10"/>
  <c r="DE127" i="10"/>
  <c r="DE126" i="10"/>
  <c r="DE125" i="10"/>
  <c r="DE124" i="10"/>
  <c r="DE123" i="10"/>
  <c r="DE122" i="10"/>
  <c r="DE121" i="10"/>
  <c r="DE120" i="10"/>
  <c r="DE119" i="10"/>
  <c r="DE118" i="10"/>
  <c r="DE117" i="10"/>
  <c r="DE116" i="10"/>
  <c r="DE115" i="10"/>
  <c r="DE114" i="10"/>
  <c r="DE113" i="10"/>
  <c r="DE112" i="10"/>
  <c r="DE111" i="10"/>
  <c r="DE110" i="10"/>
  <c r="DE109" i="10"/>
  <c r="DE108" i="10"/>
  <c r="DE107" i="10"/>
  <c r="DE106" i="10"/>
  <c r="DE105" i="10"/>
  <c r="DE104" i="10"/>
  <c r="DE103" i="10"/>
  <c r="DE102" i="10"/>
  <c r="DE101" i="10"/>
  <c r="DE100" i="10"/>
  <c r="DE99" i="10"/>
  <c r="DE98" i="10"/>
  <c r="DE97" i="10"/>
  <c r="DE96" i="10"/>
  <c r="DE95" i="10"/>
  <c r="DE94" i="10"/>
  <c r="DE93" i="10"/>
  <c r="DE92" i="10"/>
  <c r="DE91" i="10"/>
  <c r="DE90" i="10"/>
  <c r="DE89" i="10"/>
  <c r="DE88" i="10"/>
  <c r="DE87" i="10"/>
  <c r="DE86" i="10"/>
  <c r="DE85" i="10"/>
  <c r="DE84" i="10"/>
  <c r="DE83" i="10"/>
  <c r="DE82" i="10"/>
  <c r="DE81" i="10"/>
  <c r="DE80" i="10"/>
  <c r="DE79" i="10"/>
  <c r="DE78" i="10"/>
  <c r="DE77" i="10"/>
  <c r="DE76" i="10"/>
  <c r="DE75" i="10"/>
  <c r="DE74" i="10"/>
  <c r="DE73" i="10"/>
  <c r="DE72" i="10"/>
  <c r="DE71" i="10"/>
  <c r="DE70" i="10"/>
  <c r="DE69" i="10"/>
  <c r="DE68" i="10"/>
  <c r="DE67" i="10"/>
  <c r="DE66" i="10"/>
  <c r="DE65" i="10"/>
  <c r="DE64" i="10"/>
  <c r="DE63" i="10"/>
  <c r="DE62" i="10"/>
  <c r="DE61" i="10"/>
  <c r="DE60" i="10"/>
  <c r="DE59" i="10"/>
  <c r="DE58" i="10"/>
  <c r="DE57" i="10"/>
  <c r="DE56" i="10"/>
  <c r="DE55" i="10"/>
  <c r="DE54" i="10"/>
  <c r="DE53" i="10"/>
  <c r="DE52" i="10"/>
  <c r="DE51" i="10"/>
  <c r="DE50" i="10"/>
  <c r="DE49" i="10"/>
  <c r="DE48" i="10"/>
  <c r="DE47" i="10"/>
  <c r="DE46" i="10"/>
  <c r="DE45" i="10"/>
  <c r="DE44" i="10"/>
  <c r="DE43" i="10"/>
  <c r="DE42" i="10"/>
  <c r="DE41" i="10"/>
  <c r="DE40" i="10"/>
  <c r="DE39" i="10"/>
  <c r="DE38" i="10"/>
  <c r="DE37" i="10"/>
  <c r="DE36" i="10"/>
  <c r="DE35" i="10"/>
  <c r="DE34" i="10"/>
  <c r="DE33" i="10"/>
  <c r="DE32" i="10"/>
  <c r="DE31" i="10"/>
  <c r="DE30" i="10"/>
  <c r="DE29" i="10"/>
  <c r="DE28" i="10"/>
  <c r="DE27" i="10"/>
  <c r="DE26" i="10"/>
  <c r="DE25" i="10"/>
  <c r="DE24" i="10"/>
  <c r="DE23" i="10"/>
  <c r="DE22" i="10"/>
  <c r="DE21" i="10"/>
  <c r="DE20" i="10"/>
  <c r="DE19" i="10"/>
  <c r="DE18" i="10"/>
  <c r="DE17" i="10"/>
  <c r="DE16" i="10"/>
  <c r="DE15" i="10"/>
  <c r="DE14" i="10"/>
  <c r="DE13" i="10"/>
  <c r="DE12" i="10"/>
  <c r="DE11" i="10"/>
  <c r="DE10" i="10"/>
  <c r="DE9" i="10"/>
  <c r="DE8" i="10"/>
  <c r="DE7" i="10"/>
  <c r="DE6" i="10"/>
  <c r="DE5" i="10"/>
  <c r="DI173" i="10"/>
  <c r="DI172" i="10"/>
  <c r="DI171" i="10"/>
  <c r="DI170" i="10"/>
  <c r="DI169" i="10"/>
  <c r="DI168" i="10"/>
  <c r="DI167" i="10"/>
  <c r="DI166" i="10"/>
  <c r="DI165" i="10"/>
  <c r="DI164" i="10"/>
  <c r="DI163" i="10"/>
  <c r="DI162" i="10"/>
  <c r="DI161" i="10"/>
  <c r="DI160" i="10"/>
  <c r="DI159" i="10"/>
  <c r="DI158" i="10"/>
  <c r="DI157" i="10"/>
  <c r="DI156" i="10"/>
  <c r="DI155" i="10"/>
  <c r="DI154" i="10"/>
  <c r="DI153" i="10"/>
  <c r="DI152" i="10"/>
  <c r="DI151" i="10"/>
  <c r="DI150" i="10"/>
  <c r="DI149" i="10"/>
  <c r="DI148" i="10"/>
  <c r="DI147" i="10"/>
  <c r="DI146" i="10"/>
  <c r="DI145" i="10"/>
  <c r="DI144" i="10"/>
  <c r="DI143" i="10"/>
  <c r="DI142" i="10"/>
  <c r="DI141" i="10"/>
  <c r="DI140" i="10"/>
  <c r="DI139" i="10"/>
  <c r="DI138" i="10"/>
  <c r="DI137" i="10"/>
  <c r="DI136" i="10"/>
  <c r="DI135" i="10"/>
  <c r="DI134" i="10"/>
  <c r="DI133" i="10"/>
  <c r="DI132" i="10"/>
  <c r="DI131" i="10"/>
  <c r="DI130" i="10"/>
  <c r="DI129" i="10"/>
  <c r="DI128" i="10"/>
  <c r="DI127" i="10"/>
  <c r="DI126" i="10"/>
  <c r="DI125" i="10"/>
  <c r="DI124" i="10"/>
  <c r="DI123" i="10"/>
  <c r="DI122" i="10"/>
  <c r="DI121" i="10"/>
  <c r="DI120" i="10"/>
  <c r="DI119" i="10"/>
  <c r="DI118" i="10"/>
  <c r="DI117" i="10"/>
  <c r="DI116" i="10"/>
  <c r="DI115" i="10"/>
  <c r="DI114" i="10"/>
  <c r="DI113" i="10"/>
  <c r="DI112" i="10"/>
  <c r="DI111" i="10"/>
  <c r="DI110" i="10"/>
  <c r="DI109" i="10"/>
  <c r="DI108" i="10"/>
  <c r="DI107" i="10"/>
  <c r="DI106" i="10"/>
  <c r="DI105" i="10"/>
  <c r="DI104" i="10"/>
  <c r="DI103" i="10"/>
  <c r="DI102" i="10"/>
  <c r="DI101" i="10"/>
  <c r="DI100" i="10"/>
  <c r="DI99" i="10"/>
  <c r="DI98" i="10"/>
  <c r="DI97" i="10"/>
  <c r="DI96" i="10"/>
  <c r="DI95" i="10"/>
  <c r="DI94" i="10"/>
  <c r="DI93" i="10"/>
  <c r="DI92" i="10"/>
  <c r="DI91" i="10"/>
  <c r="DI90" i="10"/>
  <c r="DI89" i="10"/>
  <c r="DI88" i="10"/>
  <c r="DI87" i="10"/>
  <c r="DI86" i="10"/>
  <c r="DI85" i="10"/>
  <c r="DI84" i="10"/>
  <c r="DI83" i="10"/>
  <c r="DI82" i="10"/>
  <c r="DI81" i="10"/>
  <c r="DI80" i="10"/>
  <c r="DI79" i="10"/>
  <c r="DI78" i="10"/>
  <c r="DI77" i="10"/>
  <c r="DI76" i="10"/>
  <c r="DI75" i="10"/>
  <c r="DI74" i="10"/>
  <c r="DI73" i="10"/>
  <c r="DI72" i="10"/>
  <c r="DI71" i="10"/>
  <c r="DI70" i="10"/>
  <c r="DI69" i="10"/>
  <c r="DI68" i="10"/>
  <c r="DI67" i="10"/>
  <c r="DI66" i="10"/>
  <c r="DI65" i="10"/>
  <c r="DI64" i="10"/>
  <c r="DI63" i="10"/>
  <c r="DI62" i="10"/>
  <c r="DI61" i="10"/>
  <c r="DI60" i="10"/>
  <c r="DI59" i="10"/>
  <c r="DI58" i="10"/>
  <c r="DI57" i="10"/>
  <c r="DI56" i="10"/>
  <c r="DI55" i="10"/>
  <c r="DI54" i="10"/>
  <c r="DI53" i="10"/>
  <c r="DI52" i="10"/>
  <c r="DI51" i="10"/>
  <c r="DI50" i="10"/>
  <c r="DI49" i="10"/>
  <c r="DI48" i="10"/>
  <c r="DI47" i="10"/>
  <c r="DI46" i="10"/>
  <c r="DI45" i="10"/>
  <c r="DI44" i="10"/>
  <c r="DI43" i="10"/>
  <c r="DI42" i="10"/>
  <c r="DI41" i="10"/>
  <c r="DI40" i="10"/>
  <c r="DI39" i="10"/>
  <c r="DI38" i="10"/>
  <c r="DI37" i="10"/>
  <c r="DI36" i="10"/>
  <c r="DI35" i="10"/>
  <c r="DI34" i="10"/>
  <c r="DI33" i="10"/>
  <c r="DI32" i="10"/>
  <c r="DI31" i="10"/>
  <c r="DI30" i="10"/>
  <c r="DI29" i="10"/>
  <c r="DI28" i="10"/>
  <c r="DI27" i="10"/>
  <c r="DI26" i="10"/>
  <c r="DI25" i="10"/>
  <c r="DI24" i="10"/>
  <c r="DI23" i="10"/>
  <c r="DI22" i="10"/>
  <c r="DI21" i="10"/>
  <c r="DI20" i="10"/>
  <c r="DI19" i="10"/>
  <c r="DI18" i="10"/>
  <c r="DI17" i="10"/>
  <c r="DI16" i="10"/>
  <c r="DI15" i="10"/>
  <c r="DI14" i="10"/>
  <c r="DI13" i="10"/>
  <c r="DI12" i="10"/>
  <c r="DI11" i="10"/>
  <c r="DI10" i="10"/>
  <c r="DI8" i="10"/>
  <c r="DI7" i="10"/>
  <c r="DI6" i="10"/>
  <c r="DI5" i="10"/>
  <c r="DM173" i="10"/>
  <c r="DM172" i="10"/>
  <c r="DM171" i="10"/>
  <c r="DM170" i="10"/>
  <c r="DM169" i="10"/>
  <c r="DM168" i="10"/>
  <c r="DM167" i="10"/>
  <c r="DM166" i="10"/>
  <c r="DM165" i="10"/>
  <c r="DM164" i="10"/>
  <c r="DM163" i="10"/>
  <c r="DM162" i="10"/>
  <c r="DM161" i="10"/>
  <c r="DM160" i="10"/>
  <c r="DM159" i="10"/>
  <c r="DM158" i="10"/>
  <c r="DM157" i="10"/>
  <c r="DM156" i="10"/>
  <c r="DM155" i="10"/>
  <c r="DM154" i="10"/>
  <c r="DM153" i="10"/>
  <c r="DM152" i="10"/>
  <c r="DM151" i="10"/>
  <c r="DM150" i="10"/>
  <c r="DM149" i="10"/>
  <c r="DM148" i="10"/>
  <c r="DM147" i="10"/>
  <c r="DM146" i="10"/>
  <c r="DM145" i="10"/>
  <c r="DM144" i="10"/>
  <c r="DM143" i="10"/>
  <c r="DM142" i="10"/>
  <c r="DM141" i="10"/>
  <c r="DM140" i="10"/>
  <c r="DM139" i="10"/>
  <c r="DM138" i="10"/>
  <c r="DM137" i="10"/>
  <c r="DM136" i="10"/>
  <c r="DM135" i="10"/>
  <c r="DM134" i="10"/>
  <c r="DM133" i="10"/>
  <c r="DM132" i="10"/>
  <c r="DM131" i="10"/>
  <c r="DM130" i="10"/>
  <c r="DM129" i="10"/>
  <c r="DM128" i="10"/>
  <c r="DM127" i="10"/>
  <c r="DM126" i="10"/>
  <c r="DM125" i="10"/>
  <c r="DM124" i="10"/>
  <c r="DM123" i="10"/>
  <c r="DM122" i="10"/>
  <c r="DM121" i="10"/>
  <c r="DM120" i="10"/>
  <c r="DM119" i="10"/>
  <c r="DM118" i="10"/>
  <c r="DM117" i="10"/>
  <c r="DM116" i="10"/>
  <c r="DM115" i="10"/>
  <c r="DM114" i="10"/>
  <c r="DM113" i="10"/>
  <c r="DM112" i="10"/>
  <c r="DM111" i="10"/>
  <c r="DM110" i="10"/>
  <c r="DM109" i="10"/>
  <c r="DM108" i="10"/>
  <c r="DM107" i="10"/>
  <c r="DM106" i="10"/>
  <c r="DM105" i="10"/>
  <c r="DM104" i="10"/>
  <c r="DM103" i="10"/>
  <c r="DM102" i="10"/>
  <c r="DM101" i="10"/>
  <c r="DM100" i="10"/>
  <c r="DM99" i="10"/>
  <c r="DM98" i="10"/>
  <c r="DM97" i="10"/>
  <c r="DM96" i="10"/>
  <c r="DM95" i="10"/>
  <c r="DM94" i="10"/>
  <c r="DM93" i="10"/>
  <c r="DM92" i="10"/>
  <c r="DM91" i="10"/>
  <c r="DM90" i="10"/>
  <c r="DM89" i="10"/>
  <c r="DM88" i="10"/>
  <c r="DM87" i="10"/>
  <c r="DM86" i="10"/>
  <c r="DM85" i="10"/>
  <c r="DM84" i="10"/>
  <c r="DM83" i="10"/>
  <c r="DM82" i="10"/>
  <c r="DM81" i="10"/>
  <c r="DM80" i="10"/>
  <c r="DM79" i="10"/>
  <c r="DM78" i="10"/>
  <c r="DM77" i="10"/>
  <c r="DM76" i="10"/>
  <c r="DM75" i="10"/>
  <c r="DM74" i="10"/>
  <c r="DM73" i="10"/>
  <c r="DM72" i="10"/>
  <c r="DM71" i="10"/>
  <c r="DM70" i="10"/>
  <c r="DM69" i="10"/>
  <c r="DM68" i="10"/>
  <c r="DM67" i="10"/>
  <c r="DM66" i="10"/>
  <c r="DM65" i="10"/>
  <c r="DM64" i="10"/>
  <c r="DM63" i="10"/>
  <c r="DM62" i="10"/>
  <c r="DM61" i="10"/>
  <c r="DM60" i="10"/>
  <c r="DM59" i="10"/>
  <c r="DM58" i="10"/>
  <c r="DM57" i="10"/>
  <c r="DM56" i="10"/>
  <c r="DM55" i="10"/>
  <c r="DM54" i="10"/>
  <c r="DM53" i="10"/>
  <c r="DM52" i="10"/>
  <c r="DM51" i="10"/>
  <c r="DM50" i="10"/>
  <c r="DM49" i="10"/>
  <c r="DM48" i="10"/>
  <c r="DM47" i="10"/>
  <c r="DM46" i="10"/>
  <c r="DM45" i="10"/>
  <c r="DM44" i="10"/>
  <c r="DM43" i="10"/>
  <c r="DM42" i="10"/>
  <c r="DM41" i="10"/>
  <c r="DM40" i="10"/>
  <c r="DM39" i="10"/>
  <c r="DM38" i="10"/>
  <c r="DM37" i="10"/>
  <c r="DM36" i="10"/>
  <c r="DM35" i="10"/>
  <c r="DM34" i="10"/>
  <c r="DM33" i="10"/>
  <c r="DM32" i="10"/>
  <c r="DM31" i="10"/>
  <c r="DM30" i="10"/>
  <c r="DM29" i="10"/>
  <c r="DM28" i="10"/>
  <c r="DM27" i="10"/>
  <c r="DM26" i="10"/>
  <c r="DM25" i="10"/>
  <c r="DM24" i="10"/>
  <c r="DM23" i="10"/>
  <c r="DM22" i="10"/>
  <c r="DM21" i="10"/>
  <c r="DM20" i="10"/>
  <c r="DM19" i="10"/>
  <c r="DM18" i="10"/>
  <c r="DM17" i="10"/>
  <c r="DM16" i="10"/>
  <c r="DM15" i="10"/>
  <c r="DM14" i="10"/>
  <c r="DM13" i="10"/>
  <c r="DM12" i="10"/>
  <c r="DM11" i="10"/>
  <c r="DM10" i="10"/>
  <c r="DM9" i="10"/>
  <c r="DM8" i="10"/>
  <c r="DM7" i="10"/>
  <c r="DM6" i="10"/>
  <c r="DM5" i="10"/>
  <c r="DQ173" i="10"/>
  <c r="DQ172" i="10"/>
  <c r="DQ171" i="10"/>
  <c r="DQ170" i="10"/>
  <c r="DQ169" i="10"/>
  <c r="DQ168" i="10"/>
  <c r="DQ167" i="10"/>
  <c r="DQ166" i="10"/>
  <c r="DQ165" i="10"/>
  <c r="DQ164" i="10"/>
  <c r="DQ163" i="10"/>
  <c r="DQ162" i="10"/>
  <c r="DQ161" i="10"/>
  <c r="DQ160" i="10"/>
  <c r="DQ159" i="10"/>
  <c r="DQ158" i="10"/>
  <c r="DQ157" i="10"/>
  <c r="DQ156" i="10"/>
  <c r="DQ155" i="10"/>
  <c r="DQ154" i="10"/>
  <c r="DQ153" i="10"/>
  <c r="DQ152" i="10"/>
  <c r="DQ151" i="10"/>
  <c r="DQ150" i="10"/>
  <c r="DQ149" i="10"/>
  <c r="DQ148" i="10"/>
  <c r="DQ147" i="10"/>
  <c r="DQ146" i="10"/>
  <c r="DQ145" i="10"/>
  <c r="DQ144" i="10"/>
  <c r="DQ143" i="10"/>
  <c r="DQ142" i="10"/>
  <c r="DQ141" i="10"/>
  <c r="DQ139" i="10"/>
  <c r="DQ138" i="10"/>
  <c r="DQ137" i="10"/>
  <c r="DQ136" i="10"/>
  <c r="DQ135" i="10"/>
  <c r="DQ134" i="10"/>
  <c r="DQ133" i="10"/>
  <c r="DQ132" i="10"/>
  <c r="DQ131" i="10"/>
  <c r="DQ130" i="10"/>
  <c r="DQ129" i="10"/>
  <c r="DQ128" i="10"/>
  <c r="DQ127" i="10"/>
  <c r="DQ126" i="10"/>
  <c r="DQ125" i="10"/>
  <c r="DQ124" i="10"/>
  <c r="DQ123" i="10"/>
  <c r="DQ122" i="10"/>
  <c r="DQ121" i="10"/>
  <c r="DQ120" i="10"/>
  <c r="DQ119" i="10"/>
  <c r="DQ118" i="10"/>
  <c r="DQ117" i="10"/>
  <c r="DQ116" i="10"/>
  <c r="DQ115" i="10"/>
  <c r="DQ114" i="10"/>
  <c r="DQ113" i="10"/>
  <c r="DQ112" i="10"/>
  <c r="DQ111" i="10"/>
  <c r="DQ110" i="10"/>
  <c r="DQ109" i="10"/>
  <c r="DQ108" i="10"/>
  <c r="DQ107" i="10"/>
  <c r="DQ106" i="10"/>
  <c r="DQ105" i="10"/>
  <c r="DQ104" i="10"/>
  <c r="DQ103" i="10"/>
  <c r="DQ102" i="10"/>
  <c r="DQ101" i="10"/>
  <c r="DQ100" i="10"/>
  <c r="DQ99" i="10"/>
  <c r="DQ98" i="10"/>
  <c r="DQ97" i="10"/>
  <c r="DQ96" i="10"/>
  <c r="DQ95" i="10"/>
  <c r="DQ94" i="10"/>
  <c r="DQ93" i="10"/>
  <c r="DQ92" i="10"/>
  <c r="DQ91" i="10"/>
  <c r="DQ90" i="10"/>
  <c r="DQ89" i="10"/>
  <c r="DQ88" i="10"/>
  <c r="DQ87" i="10"/>
  <c r="DQ86" i="10"/>
  <c r="DQ85" i="10"/>
  <c r="DQ84" i="10"/>
  <c r="DQ83" i="10"/>
  <c r="DQ82" i="10"/>
  <c r="DQ81" i="10"/>
  <c r="DQ80" i="10"/>
  <c r="DQ79" i="10"/>
  <c r="DQ78" i="10"/>
  <c r="DQ77" i="10"/>
  <c r="DQ76" i="10"/>
  <c r="DQ75" i="10"/>
  <c r="DQ74" i="10"/>
  <c r="DQ73" i="10"/>
  <c r="DQ72" i="10"/>
  <c r="DQ71" i="10"/>
  <c r="DQ70" i="10"/>
  <c r="DQ69" i="10"/>
  <c r="DQ68" i="10"/>
  <c r="DQ67" i="10"/>
  <c r="DQ66" i="10"/>
  <c r="DQ65" i="10"/>
  <c r="DQ64" i="10"/>
  <c r="DQ63" i="10"/>
  <c r="DQ62" i="10"/>
  <c r="DQ61" i="10"/>
  <c r="DQ60" i="10"/>
  <c r="DQ59" i="10"/>
  <c r="DQ58" i="10"/>
  <c r="DQ57" i="10"/>
  <c r="DQ56" i="10"/>
  <c r="DQ55" i="10"/>
  <c r="DQ54" i="10"/>
  <c r="DQ53" i="10"/>
  <c r="DQ52" i="10"/>
  <c r="DQ51" i="10"/>
  <c r="DQ50" i="10"/>
  <c r="DQ49" i="10"/>
  <c r="DQ48" i="10"/>
  <c r="DQ47" i="10"/>
  <c r="DQ46" i="10"/>
  <c r="DQ45" i="10"/>
  <c r="DQ44" i="10"/>
  <c r="DQ43" i="10"/>
  <c r="DQ42" i="10"/>
  <c r="DQ41" i="10"/>
  <c r="DQ40" i="10"/>
  <c r="DQ39" i="10"/>
  <c r="DQ38" i="10"/>
  <c r="DQ37" i="10"/>
  <c r="DQ36" i="10"/>
  <c r="DQ35" i="10"/>
  <c r="DQ34" i="10"/>
  <c r="DQ33" i="10"/>
  <c r="DQ32" i="10"/>
  <c r="DQ31" i="10"/>
  <c r="DQ30" i="10"/>
  <c r="DQ29" i="10"/>
  <c r="DQ28" i="10"/>
  <c r="DQ27" i="10"/>
  <c r="DQ26" i="10"/>
  <c r="DQ25" i="10"/>
  <c r="DQ24" i="10"/>
  <c r="DQ23" i="10"/>
  <c r="DQ22" i="10"/>
  <c r="DQ21" i="10"/>
  <c r="DQ20" i="10"/>
  <c r="DQ19" i="10"/>
  <c r="DQ18" i="10"/>
  <c r="DQ17" i="10"/>
  <c r="DQ16" i="10"/>
  <c r="DQ15" i="10"/>
  <c r="DQ14" i="10"/>
  <c r="DQ13" i="10"/>
  <c r="DQ12" i="10"/>
  <c r="DQ11" i="10"/>
  <c r="DQ10" i="10"/>
  <c r="DQ9" i="10"/>
  <c r="DQ8" i="10"/>
  <c r="DQ7" i="10"/>
  <c r="DQ6" i="10"/>
  <c r="DQ5" i="10"/>
  <c r="DU173" i="10"/>
  <c r="DU172" i="10"/>
  <c r="DU171" i="10"/>
  <c r="DU170" i="10"/>
  <c r="DU169" i="10"/>
  <c r="DU168" i="10"/>
  <c r="DU167" i="10"/>
  <c r="DU166" i="10"/>
  <c r="DU165" i="10"/>
  <c r="DU164" i="10"/>
  <c r="DU163" i="10"/>
  <c r="DU162" i="10"/>
  <c r="DU161" i="10"/>
  <c r="DU160" i="10"/>
  <c r="DU159" i="10"/>
  <c r="DU158" i="10"/>
  <c r="DU157" i="10"/>
  <c r="DU156" i="10"/>
  <c r="DU155" i="10"/>
  <c r="DU154" i="10"/>
  <c r="DU153" i="10"/>
  <c r="DU152" i="10"/>
  <c r="DU151" i="10"/>
  <c r="DU150" i="10"/>
  <c r="DU149" i="10"/>
  <c r="DU148" i="10"/>
  <c r="DU147" i="10"/>
  <c r="DU146" i="10"/>
  <c r="DU145" i="10"/>
  <c r="DU144" i="10"/>
  <c r="DU143" i="10"/>
  <c r="DU142" i="10"/>
  <c r="DU141" i="10"/>
  <c r="DU140" i="10"/>
  <c r="DU139" i="10"/>
  <c r="DU138" i="10"/>
  <c r="DU137" i="10"/>
  <c r="DU136" i="10"/>
  <c r="DU135" i="10"/>
  <c r="DU134" i="10"/>
  <c r="DU133" i="10"/>
  <c r="DU132" i="10"/>
  <c r="DU131" i="10"/>
  <c r="DU130" i="10"/>
  <c r="DU129" i="10"/>
  <c r="DU128" i="10"/>
  <c r="DU127" i="10"/>
  <c r="DU126" i="10"/>
  <c r="DU125" i="10"/>
  <c r="DU124" i="10"/>
  <c r="DU123" i="10"/>
  <c r="DU122" i="10"/>
  <c r="DU121" i="10"/>
  <c r="DU120" i="10"/>
  <c r="DU119" i="10"/>
  <c r="DU118" i="10"/>
  <c r="DU117" i="10"/>
  <c r="DU116" i="10"/>
  <c r="DU115" i="10"/>
  <c r="DU114" i="10"/>
  <c r="DU113" i="10"/>
  <c r="DU112" i="10"/>
  <c r="DU111" i="10"/>
  <c r="DU110" i="10"/>
  <c r="DU109" i="10"/>
  <c r="DU108" i="10"/>
  <c r="DU107" i="10"/>
  <c r="DU106" i="10"/>
  <c r="DU105" i="10"/>
  <c r="DU104" i="10"/>
  <c r="DU103" i="10"/>
  <c r="DU102" i="10"/>
  <c r="DU101" i="10"/>
  <c r="DU100" i="10"/>
  <c r="DU99" i="10"/>
  <c r="DU98" i="10"/>
  <c r="DU97" i="10"/>
  <c r="DU96" i="10"/>
  <c r="DU95" i="10"/>
  <c r="DU94" i="10"/>
  <c r="DU93" i="10"/>
  <c r="DU92" i="10"/>
  <c r="DU91" i="10"/>
  <c r="DU90" i="10"/>
  <c r="DU89" i="10"/>
  <c r="DU88" i="10"/>
  <c r="DU87" i="10"/>
  <c r="DU86" i="10"/>
  <c r="DU85" i="10"/>
  <c r="DU84" i="10"/>
  <c r="DU83" i="10"/>
  <c r="DU82" i="10"/>
  <c r="DU81" i="10"/>
  <c r="DU80" i="10"/>
  <c r="DU79" i="10"/>
  <c r="DU78" i="10"/>
  <c r="DU77" i="10"/>
  <c r="DU76" i="10"/>
  <c r="DU75" i="10"/>
  <c r="DU74" i="10"/>
  <c r="DU73" i="10"/>
  <c r="DU72" i="10"/>
  <c r="DU71" i="10"/>
  <c r="DU70" i="10"/>
  <c r="DU69" i="10"/>
  <c r="DU68" i="10"/>
  <c r="DU67" i="10"/>
  <c r="DU66" i="10"/>
  <c r="DU65" i="10"/>
  <c r="DU64" i="10"/>
  <c r="DU63" i="10"/>
  <c r="DU62" i="10"/>
  <c r="DU61" i="10"/>
  <c r="DU60" i="10"/>
  <c r="DU59" i="10"/>
  <c r="DU58" i="10"/>
  <c r="DU57" i="10"/>
  <c r="DU56" i="10"/>
  <c r="DU55" i="10"/>
  <c r="DU54" i="10"/>
  <c r="DU53" i="10"/>
  <c r="DU52" i="10"/>
  <c r="DU51" i="10"/>
  <c r="DU50" i="10"/>
  <c r="DU49" i="10"/>
  <c r="DU48" i="10"/>
  <c r="DU47" i="10"/>
  <c r="DU46" i="10"/>
  <c r="DU45" i="10"/>
  <c r="DU44" i="10"/>
  <c r="DU43" i="10"/>
  <c r="DU42" i="10"/>
  <c r="DU41" i="10"/>
  <c r="DU40" i="10"/>
  <c r="DU39" i="10"/>
  <c r="DU38" i="10"/>
  <c r="DU37" i="10"/>
  <c r="DU36" i="10"/>
  <c r="DU35" i="10"/>
  <c r="DU34" i="10"/>
  <c r="DU33" i="10"/>
  <c r="DU32" i="10"/>
  <c r="DU31" i="10"/>
  <c r="DU30" i="10"/>
  <c r="DU29" i="10"/>
  <c r="DU28" i="10"/>
  <c r="DU27" i="10"/>
  <c r="DU26" i="10"/>
  <c r="DU25" i="10"/>
  <c r="DU24" i="10"/>
  <c r="DU23" i="10"/>
  <c r="DU22" i="10"/>
  <c r="DU21" i="10"/>
  <c r="DU20" i="10"/>
  <c r="DU19" i="10"/>
  <c r="DU18" i="10"/>
  <c r="DU17" i="10"/>
  <c r="DU16" i="10"/>
  <c r="DU15" i="10"/>
  <c r="DU14" i="10"/>
  <c r="DU13" i="10"/>
  <c r="DU12" i="10"/>
  <c r="DU11" i="10"/>
  <c r="DU10" i="10"/>
  <c r="DU9" i="10"/>
  <c r="DU8" i="10"/>
  <c r="DU7" i="10"/>
  <c r="DU6" i="10"/>
  <c r="DU5" i="10"/>
  <c r="DY173" i="10"/>
  <c r="DY172" i="10"/>
  <c r="DY171" i="10"/>
  <c r="DY170" i="10"/>
  <c r="DY169" i="10"/>
  <c r="DY168" i="10"/>
  <c r="DY167" i="10"/>
  <c r="DY166" i="10"/>
  <c r="DY165" i="10"/>
  <c r="DY164" i="10"/>
  <c r="DY163" i="10"/>
  <c r="DY162" i="10"/>
  <c r="DY161" i="10"/>
  <c r="DY160" i="10"/>
  <c r="DY159" i="10"/>
  <c r="DY158" i="10"/>
  <c r="DY157" i="10"/>
  <c r="DY156" i="10"/>
  <c r="DY155" i="10"/>
  <c r="DY154" i="10"/>
  <c r="DY153" i="10"/>
  <c r="DY152" i="10"/>
  <c r="DY151" i="10"/>
  <c r="DY150" i="10"/>
  <c r="DY149" i="10"/>
  <c r="DY148" i="10"/>
  <c r="DY147" i="10"/>
  <c r="DY146" i="10"/>
  <c r="DY145" i="10"/>
  <c r="DY144" i="10"/>
  <c r="DY143" i="10"/>
  <c r="DY142" i="10"/>
  <c r="DY141" i="10"/>
  <c r="DY140" i="10"/>
  <c r="DY139" i="10"/>
  <c r="DY138" i="10"/>
  <c r="DY137" i="10"/>
  <c r="DY136" i="10"/>
  <c r="DY135" i="10"/>
  <c r="DY134" i="10"/>
  <c r="DY133" i="10"/>
  <c r="DY132" i="10"/>
  <c r="DY131" i="10"/>
  <c r="DY130" i="10"/>
  <c r="DY129" i="10"/>
  <c r="DY128" i="10"/>
  <c r="DY127" i="10"/>
  <c r="DY126" i="10"/>
  <c r="DY125" i="10"/>
  <c r="DY124" i="10"/>
  <c r="DY123" i="10"/>
  <c r="DY122" i="10"/>
  <c r="DY121" i="10"/>
  <c r="DY120" i="10"/>
  <c r="DY119" i="10"/>
  <c r="DY118" i="10"/>
  <c r="DY117" i="10"/>
  <c r="DY116" i="10"/>
  <c r="DY115" i="10"/>
  <c r="DY114" i="10"/>
  <c r="DY113" i="10"/>
  <c r="DY112" i="10"/>
  <c r="DY111" i="10"/>
  <c r="DY110" i="10"/>
  <c r="DY109" i="10"/>
  <c r="DY108" i="10"/>
  <c r="DY107" i="10"/>
  <c r="DY106" i="10"/>
  <c r="DY105" i="10"/>
  <c r="DY104" i="10"/>
  <c r="DY103" i="10"/>
  <c r="DY102" i="10"/>
  <c r="DY101" i="10"/>
  <c r="DY100" i="10"/>
  <c r="DY99" i="10"/>
  <c r="DY98" i="10"/>
  <c r="DY97" i="10"/>
  <c r="DY96" i="10"/>
  <c r="DY95" i="10"/>
  <c r="DY94" i="10"/>
  <c r="DY93" i="10"/>
  <c r="DY92" i="10"/>
  <c r="DY91" i="10"/>
  <c r="DY90" i="10"/>
  <c r="DY89" i="10"/>
  <c r="DY88" i="10"/>
  <c r="DY87" i="10"/>
  <c r="DY86" i="10"/>
  <c r="DY85" i="10"/>
  <c r="DY84" i="10"/>
  <c r="DY83" i="10"/>
  <c r="DY82" i="10"/>
  <c r="DY81" i="10"/>
  <c r="DY80" i="10"/>
  <c r="DY79" i="10"/>
  <c r="DY78" i="10"/>
  <c r="DY77" i="10"/>
  <c r="DY76" i="10"/>
  <c r="DY75" i="10"/>
  <c r="DY74" i="10"/>
  <c r="DY73" i="10"/>
  <c r="DY72" i="10"/>
  <c r="DY71" i="10"/>
  <c r="DY70" i="10"/>
  <c r="DY69" i="10"/>
  <c r="DY68" i="10"/>
  <c r="DY67" i="10"/>
  <c r="DY66" i="10"/>
  <c r="DY65" i="10"/>
  <c r="DY64" i="10"/>
  <c r="DY63" i="10"/>
  <c r="DY62" i="10"/>
  <c r="DY61" i="10"/>
  <c r="DY60" i="10"/>
  <c r="DY59" i="10"/>
  <c r="DY58" i="10"/>
  <c r="DY57" i="10"/>
  <c r="DY56" i="10"/>
  <c r="DY55" i="10"/>
  <c r="DY54" i="10"/>
  <c r="DY53" i="10"/>
  <c r="DY52" i="10"/>
  <c r="DY51" i="10"/>
  <c r="DY50" i="10"/>
  <c r="DY49" i="10"/>
  <c r="DY48" i="10"/>
  <c r="DY47" i="10"/>
  <c r="DY46" i="10"/>
  <c r="DY45" i="10"/>
  <c r="DY44" i="10"/>
  <c r="DY43" i="10"/>
  <c r="DY42" i="10"/>
  <c r="DY41" i="10"/>
  <c r="DY40" i="10"/>
  <c r="DY39" i="10"/>
  <c r="DY38" i="10"/>
  <c r="DY37" i="10"/>
  <c r="DY36" i="10"/>
  <c r="DY35" i="10"/>
  <c r="DY34" i="10"/>
  <c r="DY33" i="10"/>
  <c r="DY32" i="10"/>
  <c r="DY31" i="10"/>
  <c r="DY30" i="10"/>
  <c r="DY29" i="10"/>
  <c r="DY28" i="10"/>
  <c r="DY27" i="10"/>
  <c r="DY26" i="10"/>
  <c r="DY25" i="10"/>
  <c r="DY24" i="10"/>
  <c r="DY23" i="10"/>
  <c r="DY22" i="10"/>
  <c r="DY21" i="10"/>
  <c r="DY20" i="10"/>
  <c r="DY19" i="10"/>
  <c r="DY18" i="10"/>
  <c r="DY17" i="10"/>
  <c r="DY16" i="10"/>
  <c r="DY15" i="10"/>
  <c r="DY14" i="10"/>
  <c r="DY13" i="10"/>
  <c r="DY12" i="10"/>
  <c r="DY11" i="10"/>
  <c r="DY10" i="10"/>
  <c r="DY8" i="10"/>
  <c r="DY7" i="10"/>
  <c r="DY6" i="10"/>
  <c r="DY5" i="10"/>
  <c r="EC173" i="10"/>
  <c r="EC172" i="10"/>
  <c r="EC171" i="10"/>
  <c r="EC170" i="10"/>
  <c r="EC169" i="10"/>
  <c r="EC168" i="10"/>
  <c r="EC167" i="10"/>
  <c r="EC166" i="10"/>
  <c r="EC165" i="10"/>
  <c r="EC164" i="10"/>
  <c r="EC163" i="10"/>
  <c r="EC162" i="10"/>
  <c r="EC161" i="10"/>
  <c r="EC160" i="10"/>
  <c r="EC159" i="10"/>
  <c r="EC158" i="10"/>
  <c r="EC157" i="10"/>
  <c r="EC156" i="10"/>
  <c r="EC155" i="10"/>
  <c r="EC154" i="10"/>
  <c r="EC153" i="10"/>
  <c r="EC152" i="10"/>
  <c r="EC151" i="10"/>
  <c r="EC150" i="10"/>
  <c r="EC149" i="10"/>
  <c r="EC148" i="10"/>
  <c r="EC147" i="10"/>
  <c r="EC146" i="10"/>
  <c r="EC145" i="10"/>
  <c r="EC144" i="10"/>
  <c r="EC143" i="10"/>
  <c r="EC142" i="10"/>
  <c r="EC141" i="10"/>
  <c r="EC140" i="10"/>
  <c r="EC139" i="10"/>
  <c r="EC138" i="10"/>
  <c r="EC137" i="10"/>
  <c r="EC136" i="10"/>
  <c r="EC135" i="10"/>
  <c r="EC134" i="10"/>
  <c r="EC133" i="10"/>
  <c r="EC132" i="10"/>
  <c r="EC131" i="10"/>
  <c r="EC130" i="10"/>
  <c r="EC129" i="10"/>
  <c r="EC128" i="10"/>
  <c r="EC127" i="10"/>
  <c r="EC126" i="10"/>
  <c r="EC125" i="10"/>
  <c r="EC124" i="10"/>
  <c r="EC123" i="10"/>
  <c r="EC122" i="10"/>
  <c r="EC121" i="10"/>
  <c r="EC120" i="10"/>
  <c r="EC119" i="10"/>
  <c r="EC118" i="10"/>
  <c r="EC117" i="10"/>
  <c r="EC116" i="10"/>
  <c r="EC115" i="10"/>
  <c r="EC114" i="10"/>
  <c r="EC113" i="10"/>
  <c r="EC112" i="10"/>
  <c r="EC111" i="10"/>
  <c r="EC110" i="10"/>
  <c r="EC109" i="10"/>
  <c r="EC108" i="10"/>
  <c r="EC107" i="10"/>
  <c r="EC106" i="10"/>
  <c r="EC105" i="10"/>
  <c r="EC104" i="10"/>
  <c r="EC103" i="10"/>
  <c r="EC102" i="10"/>
  <c r="EC101" i="10"/>
  <c r="EC100" i="10"/>
  <c r="EC99" i="10"/>
  <c r="EC98" i="10"/>
  <c r="EC97" i="10"/>
  <c r="EC96" i="10"/>
  <c r="EC95" i="10"/>
  <c r="EC94" i="10"/>
  <c r="EC93" i="10"/>
  <c r="EC92" i="10"/>
  <c r="EC91" i="10"/>
  <c r="EC90" i="10"/>
  <c r="EC89" i="10"/>
  <c r="EC88" i="10"/>
  <c r="EC87" i="10"/>
  <c r="EC86" i="10"/>
  <c r="EC85" i="10"/>
  <c r="EC84" i="10"/>
  <c r="EC83" i="10"/>
  <c r="EC82" i="10"/>
  <c r="EC81" i="10"/>
  <c r="EC80" i="10"/>
  <c r="EC79" i="10"/>
  <c r="EC78" i="10"/>
  <c r="EC77" i="10"/>
  <c r="EC76" i="10"/>
  <c r="EC75" i="10"/>
  <c r="EC74" i="10"/>
  <c r="EC73" i="10"/>
  <c r="EC72" i="10"/>
  <c r="EC71" i="10"/>
  <c r="EC70" i="10"/>
  <c r="EC69" i="10"/>
  <c r="EC68" i="10"/>
  <c r="EC67" i="10"/>
  <c r="EC66" i="10"/>
  <c r="EC65" i="10"/>
  <c r="EC64" i="10"/>
  <c r="EC63" i="10"/>
  <c r="EC62" i="10"/>
  <c r="EC61" i="10"/>
  <c r="EC60" i="10"/>
  <c r="EC59" i="10"/>
  <c r="EC58" i="10"/>
  <c r="EC57" i="10"/>
  <c r="EC56" i="10"/>
  <c r="EC55" i="10"/>
  <c r="EC54" i="10"/>
  <c r="EC53" i="10"/>
  <c r="EC52" i="10"/>
  <c r="EC51" i="10"/>
  <c r="EC50" i="10"/>
  <c r="EC49" i="10"/>
  <c r="EC48" i="10"/>
  <c r="EC47" i="10"/>
  <c r="EC46" i="10"/>
  <c r="EC45" i="10"/>
  <c r="EC44" i="10"/>
  <c r="EC43" i="10"/>
  <c r="EC42" i="10"/>
  <c r="EC41" i="10"/>
  <c r="EC40" i="10"/>
  <c r="EC39" i="10"/>
  <c r="EC38" i="10"/>
  <c r="EC37" i="10"/>
  <c r="EC36" i="10"/>
  <c r="EC35" i="10"/>
  <c r="EC34" i="10"/>
  <c r="EC33" i="10"/>
  <c r="EC32" i="10"/>
  <c r="EC31" i="10"/>
  <c r="EC30" i="10"/>
  <c r="EC29" i="10"/>
  <c r="EC28" i="10"/>
  <c r="EC27" i="10"/>
  <c r="EC26" i="10"/>
  <c r="EC25" i="10"/>
  <c r="EC24" i="10"/>
  <c r="EC23" i="10"/>
  <c r="EC22" i="10"/>
  <c r="EC21" i="10"/>
  <c r="EC20" i="10"/>
  <c r="EC19" i="10"/>
  <c r="EC18" i="10"/>
  <c r="EC17" i="10"/>
  <c r="EC16" i="10"/>
  <c r="EC15" i="10"/>
  <c r="EC14" i="10"/>
  <c r="EC13" i="10"/>
  <c r="EC12" i="10"/>
  <c r="EC11" i="10"/>
  <c r="EC10" i="10"/>
  <c r="EC9" i="10"/>
  <c r="EC8" i="10"/>
  <c r="EC7" i="10"/>
  <c r="EC6" i="10"/>
  <c r="EC5" i="10"/>
  <c r="EG173" i="10"/>
  <c r="EG172" i="10"/>
  <c r="EG171" i="10"/>
  <c r="EG170" i="10"/>
  <c r="EG169" i="10"/>
  <c r="EG168" i="10"/>
  <c r="EG167" i="10"/>
  <c r="EG166" i="10"/>
  <c r="EG165" i="10"/>
  <c r="EG164" i="10"/>
  <c r="EG163" i="10"/>
  <c r="EG162" i="10"/>
  <c r="EG161" i="10"/>
  <c r="EG160" i="10"/>
  <c r="EG159" i="10"/>
  <c r="EG158" i="10"/>
  <c r="EG157" i="10"/>
  <c r="EG156" i="10"/>
  <c r="EG155" i="10"/>
  <c r="EG154" i="10"/>
  <c r="EG153" i="10"/>
  <c r="EG152" i="10"/>
  <c r="EG151" i="10"/>
  <c r="EG150" i="10"/>
  <c r="EG149" i="10"/>
  <c r="EG148" i="10"/>
  <c r="EG147" i="10"/>
  <c r="EG146" i="10"/>
  <c r="EG145" i="10"/>
  <c r="EG144" i="10"/>
  <c r="EG143" i="10"/>
  <c r="EG142" i="10"/>
  <c r="EG141" i="10"/>
  <c r="EG140" i="10"/>
  <c r="EG139" i="10"/>
  <c r="EG138" i="10"/>
  <c r="EG137" i="10"/>
  <c r="EG136" i="10"/>
  <c r="EG135" i="10"/>
  <c r="EG134" i="10"/>
  <c r="EG133" i="10"/>
  <c r="EG132" i="10"/>
  <c r="EG131" i="10"/>
  <c r="EG130" i="10"/>
  <c r="EG129" i="10"/>
  <c r="EG128" i="10"/>
  <c r="EG127" i="10"/>
  <c r="EG126" i="10"/>
  <c r="EG125" i="10"/>
  <c r="EG124" i="10"/>
  <c r="EG123" i="10"/>
  <c r="EG122" i="10"/>
  <c r="EG121" i="10"/>
  <c r="EG120" i="10"/>
  <c r="EG119" i="10"/>
  <c r="EG118" i="10"/>
  <c r="EG117" i="10"/>
  <c r="EG116" i="10"/>
  <c r="EG115" i="10"/>
  <c r="EG114" i="10"/>
  <c r="EG113" i="10"/>
  <c r="EG112" i="10"/>
  <c r="EG111" i="10"/>
  <c r="EG110" i="10"/>
  <c r="EG109" i="10"/>
  <c r="EG108" i="10"/>
  <c r="EG107" i="10"/>
  <c r="EG106" i="10"/>
  <c r="EG105" i="10"/>
  <c r="EG104" i="10"/>
  <c r="EG103" i="10"/>
  <c r="EG102" i="10"/>
  <c r="EG101" i="10"/>
  <c r="EG100" i="10"/>
  <c r="EG99" i="10"/>
  <c r="EG98" i="10"/>
  <c r="EG97" i="10"/>
  <c r="EG96" i="10"/>
  <c r="EG95" i="10"/>
  <c r="EG94" i="10"/>
  <c r="EG93" i="10"/>
  <c r="EG92" i="10"/>
  <c r="EG91" i="10"/>
  <c r="EG90" i="10"/>
  <c r="EG89" i="10"/>
  <c r="EG88" i="10"/>
  <c r="EG87" i="10"/>
  <c r="EG86" i="10"/>
  <c r="EG85" i="10"/>
  <c r="EG84" i="10"/>
  <c r="EG83" i="10"/>
  <c r="EG82" i="10"/>
  <c r="EG81" i="10"/>
  <c r="EG80" i="10"/>
  <c r="EG79" i="10"/>
  <c r="EG78" i="10"/>
  <c r="EG77" i="10"/>
  <c r="EG76" i="10"/>
  <c r="EG75" i="10"/>
  <c r="EG74" i="10"/>
  <c r="EG73" i="10"/>
  <c r="EG72" i="10"/>
  <c r="EG71" i="10"/>
  <c r="EG70" i="10"/>
  <c r="EG69" i="10"/>
  <c r="EG68" i="10"/>
  <c r="EG67" i="10"/>
  <c r="EG66" i="10"/>
  <c r="EG65" i="10"/>
  <c r="EG64" i="10"/>
  <c r="EG63" i="10"/>
  <c r="EG62" i="10"/>
  <c r="EG61" i="10"/>
  <c r="EG60" i="10"/>
  <c r="EG59" i="10"/>
  <c r="EG58" i="10"/>
  <c r="EG57" i="10"/>
  <c r="EG56" i="10"/>
  <c r="EG55" i="10"/>
  <c r="EG54" i="10"/>
  <c r="EG53" i="10"/>
  <c r="EG52" i="10"/>
  <c r="EG51" i="10"/>
  <c r="EG50" i="10"/>
  <c r="EG49" i="10"/>
  <c r="EG48" i="10"/>
  <c r="EG47" i="10"/>
  <c r="EG46" i="10"/>
  <c r="EG45" i="10"/>
  <c r="EG44" i="10"/>
  <c r="EG43" i="10"/>
  <c r="EG42" i="10"/>
  <c r="EG41" i="10"/>
  <c r="EG40" i="10"/>
  <c r="EG39" i="10"/>
  <c r="EG38" i="10"/>
  <c r="EG37" i="10"/>
  <c r="EG36" i="10"/>
  <c r="EG35" i="10"/>
  <c r="EG34" i="10"/>
  <c r="EG33" i="10"/>
  <c r="EG32" i="10"/>
  <c r="EG31" i="10"/>
  <c r="EG30" i="10"/>
  <c r="EG29" i="10"/>
  <c r="EG28" i="10"/>
  <c r="EG27" i="10"/>
  <c r="EG26" i="10"/>
  <c r="EG25" i="10"/>
  <c r="EG24" i="10"/>
  <c r="EG23" i="10"/>
  <c r="EG22" i="10"/>
  <c r="EG21" i="10"/>
  <c r="EG20" i="10"/>
  <c r="EG19" i="10"/>
  <c r="EG18" i="10"/>
  <c r="EG17" i="10"/>
  <c r="EG16" i="10"/>
  <c r="EG15" i="10"/>
  <c r="EG14" i="10"/>
  <c r="EG13" i="10"/>
  <c r="EG12" i="10"/>
  <c r="EG11" i="10"/>
  <c r="EG10" i="10"/>
  <c r="EG9" i="10"/>
  <c r="EG8" i="10"/>
  <c r="EG7" i="10"/>
  <c r="EG6" i="10"/>
  <c r="EG5" i="10"/>
  <c r="EK173" i="10"/>
  <c r="EK172" i="10"/>
  <c r="EK171" i="10"/>
  <c r="EK170" i="10"/>
  <c r="EK169" i="10"/>
  <c r="EK168" i="10"/>
  <c r="EK167" i="10"/>
  <c r="EK166" i="10"/>
  <c r="EK165" i="10"/>
  <c r="EK164" i="10"/>
  <c r="EK163" i="10"/>
  <c r="EK162" i="10"/>
  <c r="EK161" i="10"/>
  <c r="EK160" i="10"/>
  <c r="EK159" i="10"/>
  <c r="EK158" i="10"/>
  <c r="EK157" i="10"/>
  <c r="EK156" i="10"/>
  <c r="EK155" i="10"/>
  <c r="EK154" i="10"/>
  <c r="EK153" i="10"/>
  <c r="EK152" i="10"/>
  <c r="EK151" i="10"/>
  <c r="EK150" i="10"/>
  <c r="EK149" i="10"/>
  <c r="EK148" i="10"/>
  <c r="EK147" i="10"/>
  <c r="EK146" i="10"/>
  <c r="EK145" i="10"/>
  <c r="EK144" i="10"/>
  <c r="EK143" i="10"/>
  <c r="EK142" i="10"/>
  <c r="EK141" i="10"/>
  <c r="EK140" i="10"/>
  <c r="EK139" i="10"/>
  <c r="EK138" i="10"/>
  <c r="EK137" i="10"/>
  <c r="EK136" i="10"/>
  <c r="EK135" i="10"/>
  <c r="EK134" i="10"/>
  <c r="EK133" i="10"/>
  <c r="EK132" i="10"/>
  <c r="EK131" i="10"/>
  <c r="EK130" i="10"/>
  <c r="EK129" i="10"/>
  <c r="EK128" i="10"/>
  <c r="EK127" i="10"/>
  <c r="EK126" i="10"/>
  <c r="EK125" i="10"/>
  <c r="EK124" i="10"/>
  <c r="EK123" i="10"/>
  <c r="EK122" i="10"/>
  <c r="EK121" i="10"/>
  <c r="EK120" i="10"/>
  <c r="EK119" i="10"/>
  <c r="EK118" i="10"/>
  <c r="EK117" i="10"/>
  <c r="EK116" i="10"/>
  <c r="EK115" i="10"/>
  <c r="EK114" i="10"/>
  <c r="EK113" i="10"/>
  <c r="EK112" i="10"/>
  <c r="EK111" i="10"/>
  <c r="EK110" i="10"/>
  <c r="EK109" i="10"/>
  <c r="EK108" i="10"/>
  <c r="EK107" i="10"/>
  <c r="EK106" i="10"/>
  <c r="EK105" i="10"/>
  <c r="EK104" i="10"/>
  <c r="EK103" i="10"/>
  <c r="EK102" i="10"/>
  <c r="EK101" i="10"/>
  <c r="EK100" i="10"/>
  <c r="EK99" i="10"/>
  <c r="EK98" i="10"/>
  <c r="EK97" i="10"/>
  <c r="EK96" i="10"/>
  <c r="EK95" i="10"/>
  <c r="EK94" i="10"/>
  <c r="EK93" i="10"/>
  <c r="EK92" i="10"/>
  <c r="EK91" i="10"/>
  <c r="EK90" i="10"/>
  <c r="EK89" i="10"/>
  <c r="EK88" i="10"/>
  <c r="EK87" i="10"/>
  <c r="EK86" i="10"/>
  <c r="EK85" i="10"/>
  <c r="EK84" i="10"/>
  <c r="EK83" i="10"/>
  <c r="EK82" i="10"/>
  <c r="EK81" i="10"/>
  <c r="EK80" i="10"/>
  <c r="EK79" i="10"/>
  <c r="EK78" i="10"/>
  <c r="EK77" i="10"/>
  <c r="EK76" i="10"/>
  <c r="EK75" i="10"/>
  <c r="EK74" i="10"/>
  <c r="EK73" i="10"/>
  <c r="EK72" i="10"/>
  <c r="EK71" i="10"/>
  <c r="EK70" i="10"/>
  <c r="EK69" i="10"/>
  <c r="EK68" i="10"/>
  <c r="EK67" i="10"/>
  <c r="EK66" i="10"/>
  <c r="EK65" i="10"/>
  <c r="EK64" i="10"/>
  <c r="EK63" i="10"/>
  <c r="EK62" i="10"/>
  <c r="EK61" i="10"/>
  <c r="EK60" i="10"/>
  <c r="EK59" i="10"/>
  <c r="EK58" i="10"/>
  <c r="EK57" i="10"/>
  <c r="EK56" i="10"/>
  <c r="EK55" i="10"/>
  <c r="EK54" i="10"/>
  <c r="EK53" i="10"/>
  <c r="EK52" i="10"/>
  <c r="EK51" i="10"/>
  <c r="EK50" i="10"/>
  <c r="EK49" i="10"/>
  <c r="EK48" i="10"/>
  <c r="EK47" i="10"/>
  <c r="EK46" i="10"/>
  <c r="EK45" i="10"/>
  <c r="EK44" i="10"/>
  <c r="EK43" i="10"/>
  <c r="EK42" i="10"/>
  <c r="EK41" i="10"/>
  <c r="EK40" i="10"/>
  <c r="EK39" i="10"/>
  <c r="EK38" i="10"/>
  <c r="EK37" i="10"/>
  <c r="EK36" i="10"/>
  <c r="EK35" i="10"/>
  <c r="EK34" i="10"/>
  <c r="EK33" i="10"/>
  <c r="EK32" i="10"/>
  <c r="EK31" i="10"/>
  <c r="EK30" i="10"/>
  <c r="EK29" i="10"/>
  <c r="EK28" i="10"/>
  <c r="EK27" i="10"/>
  <c r="EK26" i="10"/>
  <c r="EK25" i="10"/>
  <c r="EK24" i="10"/>
  <c r="EK23" i="10"/>
  <c r="EK22" i="10"/>
  <c r="EK21" i="10"/>
  <c r="EK20" i="10"/>
  <c r="EK19" i="10"/>
  <c r="EK18" i="10"/>
  <c r="EK17" i="10"/>
  <c r="EK16" i="10"/>
  <c r="EK15" i="10"/>
  <c r="EK14" i="10"/>
  <c r="EK13" i="10"/>
  <c r="EK12" i="10"/>
  <c r="EK11" i="10"/>
  <c r="EK10" i="10"/>
  <c r="EK9" i="10"/>
  <c r="EK8" i="10"/>
  <c r="EK7" i="10"/>
  <c r="EK6" i="10"/>
  <c r="EK5" i="10"/>
  <c r="EO173" i="10"/>
  <c r="EO172" i="10"/>
  <c r="EO171" i="10"/>
  <c r="EO170" i="10"/>
  <c r="EO169" i="10"/>
  <c r="EO168" i="10"/>
  <c r="EO167" i="10"/>
  <c r="EO166" i="10"/>
  <c r="EO165" i="10"/>
  <c r="EO164" i="10"/>
  <c r="EO163" i="10"/>
  <c r="EO161" i="10"/>
  <c r="EO160" i="10"/>
  <c r="EO159" i="10"/>
  <c r="EO158" i="10"/>
  <c r="EO157" i="10"/>
  <c r="EO156" i="10"/>
  <c r="EO155" i="10"/>
  <c r="EO154" i="10"/>
  <c r="EO153" i="10"/>
  <c r="EO152" i="10"/>
  <c r="EO151" i="10"/>
  <c r="EO150" i="10"/>
  <c r="EO149" i="10"/>
  <c r="EO148" i="10"/>
  <c r="EO147" i="10"/>
  <c r="EO146" i="10"/>
  <c r="EO145" i="10"/>
  <c r="EO144" i="10"/>
  <c r="EO143" i="10"/>
  <c r="EO142" i="10"/>
  <c r="EO141" i="10"/>
  <c r="EO140" i="10"/>
  <c r="EO139" i="10"/>
  <c r="EO138" i="10"/>
  <c r="EO137" i="10"/>
  <c r="EO136" i="10"/>
  <c r="EO135" i="10"/>
  <c r="EO134" i="10"/>
  <c r="EO133" i="10"/>
  <c r="EO132" i="10"/>
  <c r="EO131" i="10"/>
  <c r="EO130" i="10"/>
  <c r="EO129" i="10"/>
  <c r="EO128" i="10"/>
  <c r="EO127" i="10"/>
  <c r="EO126" i="10"/>
  <c r="EO125" i="10"/>
  <c r="EO124" i="10"/>
  <c r="EO123" i="10"/>
  <c r="EO122" i="10"/>
  <c r="EO121" i="10"/>
  <c r="EO120" i="10"/>
  <c r="EO119" i="10"/>
  <c r="EO118" i="10"/>
  <c r="EO117" i="10"/>
  <c r="EO116" i="10"/>
  <c r="EO115" i="10"/>
  <c r="EO114" i="10"/>
  <c r="EO113" i="10"/>
  <c r="EO112" i="10"/>
  <c r="EO111" i="10"/>
  <c r="EO110" i="10"/>
  <c r="EO109" i="10"/>
  <c r="EO108" i="10"/>
  <c r="EO107" i="10"/>
  <c r="EO106" i="10"/>
  <c r="EO105" i="10"/>
  <c r="EO104" i="10"/>
  <c r="EO103" i="10"/>
  <c r="EO102" i="10"/>
  <c r="EO101" i="10"/>
  <c r="EO100" i="10"/>
  <c r="EO99" i="10"/>
  <c r="EO98" i="10"/>
  <c r="EO97" i="10"/>
  <c r="EO96" i="10"/>
  <c r="EO95" i="10"/>
  <c r="EO94" i="10"/>
  <c r="EO93" i="10"/>
  <c r="EO92" i="10"/>
  <c r="EO91" i="10"/>
  <c r="EO90" i="10"/>
  <c r="EO89" i="10"/>
  <c r="EO88" i="10"/>
  <c r="EO87" i="10"/>
  <c r="EO86" i="10"/>
  <c r="EO85" i="10"/>
  <c r="EO84" i="10"/>
  <c r="EO83" i="10"/>
  <c r="EO82" i="10"/>
  <c r="EO81" i="10"/>
  <c r="EO80" i="10"/>
  <c r="EO79" i="10"/>
  <c r="EO78" i="10"/>
  <c r="EO77" i="10"/>
  <c r="EO76" i="10"/>
  <c r="EO75" i="10"/>
  <c r="EO74" i="10"/>
  <c r="EO73" i="10"/>
  <c r="EO72" i="10"/>
  <c r="EO71" i="10"/>
  <c r="EO70" i="10"/>
  <c r="EO69" i="10"/>
  <c r="EO68" i="10"/>
  <c r="EO67" i="10"/>
  <c r="EO66" i="10"/>
  <c r="EO65" i="10"/>
  <c r="EO64" i="10"/>
  <c r="EO63" i="10"/>
  <c r="EO62" i="10"/>
  <c r="EO61" i="10"/>
  <c r="EO60" i="10"/>
  <c r="EO59" i="10"/>
  <c r="EO58" i="10"/>
  <c r="EO57" i="10"/>
  <c r="EO56" i="10"/>
  <c r="EO55" i="10"/>
  <c r="EO54" i="10"/>
  <c r="EO53" i="10"/>
  <c r="EO52" i="10"/>
  <c r="EO51" i="10"/>
  <c r="EO50" i="10"/>
  <c r="EO49" i="10"/>
  <c r="EO48" i="10"/>
  <c r="EO47" i="10"/>
  <c r="EO46" i="10"/>
  <c r="EO45" i="10"/>
  <c r="EO44" i="10"/>
  <c r="EO43" i="10"/>
  <c r="EO42" i="10"/>
  <c r="EO41" i="10"/>
  <c r="EO40" i="10"/>
  <c r="EO39" i="10"/>
  <c r="EO38" i="10"/>
  <c r="EO37" i="10"/>
  <c r="EO36" i="10"/>
  <c r="EO35" i="10"/>
  <c r="EO34" i="10"/>
  <c r="EO33" i="10"/>
  <c r="EO32" i="10"/>
  <c r="EO31" i="10"/>
  <c r="EO30" i="10"/>
  <c r="EO29" i="10"/>
  <c r="EO28" i="10"/>
  <c r="EO27" i="10"/>
  <c r="EO26" i="10"/>
  <c r="EO25" i="10"/>
  <c r="EO24" i="10"/>
  <c r="EO23" i="10"/>
  <c r="EO22" i="10"/>
  <c r="EO21" i="10"/>
  <c r="EO20" i="10"/>
  <c r="EO19" i="10"/>
  <c r="EO18" i="10"/>
  <c r="EO17" i="10"/>
  <c r="EO16" i="10"/>
  <c r="EO15" i="10"/>
  <c r="EO14" i="10"/>
  <c r="EO13" i="10"/>
  <c r="EO12" i="10"/>
  <c r="EO11" i="10"/>
  <c r="EO10" i="10"/>
  <c r="EO8" i="10"/>
  <c r="EO7" i="10"/>
  <c r="EO6" i="10"/>
  <c r="EO5" i="10"/>
  <c r="ES173" i="10"/>
  <c r="ES172" i="10"/>
  <c r="ES171" i="10"/>
  <c r="ES170" i="10"/>
  <c r="ES169" i="10"/>
  <c r="ES168" i="10"/>
  <c r="ES167" i="10"/>
  <c r="ES166" i="10"/>
  <c r="ES165" i="10"/>
  <c r="ES164" i="10"/>
  <c r="ES163" i="10"/>
  <c r="ES162" i="10"/>
  <c r="ES161" i="10"/>
  <c r="ES160" i="10"/>
  <c r="ES159" i="10"/>
  <c r="ES158" i="10"/>
  <c r="ES157" i="10"/>
  <c r="ES156" i="10"/>
  <c r="ES155" i="10"/>
  <c r="ES154" i="10"/>
  <c r="ES153" i="10"/>
  <c r="ES152" i="10"/>
  <c r="ES151" i="10"/>
  <c r="ES150" i="10"/>
  <c r="ES149" i="10"/>
  <c r="ES148" i="10"/>
  <c r="ES147" i="10"/>
  <c r="ES146" i="10"/>
  <c r="ES145" i="10"/>
  <c r="ES144" i="10"/>
  <c r="ES143" i="10"/>
  <c r="ES142" i="10"/>
  <c r="ES141" i="10"/>
  <c r="ES140" i="10"/>
  <c r="ES139" i="10"/>
  <c r="ES138" i="10"/>
  <c r="ES137" i="10"/>
  <c r="ES136" i="10"/>
  <c r="ES135" i="10"/>
  <c r="ES134" i="10"/>
  <c r="ES133" i="10"/>
  <c r="ES132" i="10"/>
  <c r="ES131" i="10"/>
  <c r="ES130" i="10"/>
  <c r="ES129" i="10"/>
  <c r="ES128" i="10"/>
  <c r="ES127" i="10"/>
  <c r="ES126" i="10"/>
  <c r="ES125" i="10"/>
  <c r="ES124" i="10"/>
  <c r="ES123" i="10"/>
  <c r="ES122" i="10"/>
  <c r="ES121" i="10"/>
  <c r="ES120" i="10"/>
  <c r="ES119" i="10"/>
  <c r="ES118" i="10"/>
  <c r="ES117" i="10"/>
  <c r="ES116" i="10"/>
  <c r="ES115" i="10"/>
  <c r="ES114" i="10"/>
  <c r="ES113" i="10"/>
  <c r="ES112" i="10"/>
  <c r="ES111" i="10"/>
  <c r="ES110" i="10"/>
  <c r="ES109" i="10"/>
  <c r="ES108" i="10"/>
  <c r="ES107" i="10"/>
  <c r="ES106" i="10"/>
  <c r="ES105" i="10"/>
  <c r="ES104" i="10"/>
  <c r="ES103" i="10"/>
  <c r="ES102" i="10"/>
  <c r="ES101" i="10"/>
  <c r="ES100" i="10"/>
  <c r="ES99" i="10"/>
  <c r="ES98" i="10"/>
  <c r="ES97" i="10"/>
  <c r="ES96" i="10"/>
  <c r="ES95" i="10"/>
  <c r="ES94" i="10"/>
  <c r="ES93" i="10"/>
  <c r="ES92" i="10"/>
  <c r="ES91" i="10"/>
  <c r="ES90" i="10"/>
  <c r="ES89" i="10"/>
  <c r="ES88" i="10"/>
  <c r="ES87" i="10"/>
  <c r="ES86" i="10"/>
  <c r="ES85" i="10"/>
  <c r="ES84" i="10"/>
  <c r="ES83" i="10"/>
  <c r="ES82" i="10"/>
  <c r="ES81" i="10"/>
  <c r="ES80" i="10"/>
  <c r="ES79" i="10"/>
  <c r="ES78" i="10"/>
  <c r="ES77" i="10"/>
  <c r="ES76" i="10"/>
  <c r="ES75" i="10"/>
  <c r="ES74" i="10"/>
  <c r="ES73" i="10"/>
  <c r="ES72" i="10"/>
  <c r="ES71" i="10"/>
  <c r="ES70" i="10"/>
  <c r="ES69" i="10"/>
  <c r="ES68" i="10"/>
  <c r="ES67" i="10"/>
  <c r="ES66" i="10"/>
  <c r="ES65" i="10"/>
  <c r="ES64" i="10"/>
  <c r="ES63" i="10"/>
  <c r="ES62" i="10"/>
  <c r="ES61" i="10"/>
  <c r="ES60" i="10"/>
  <c r="ES59" i="10"/>
  <c r="ES58" i="10"/>
  <c r="ES57" i="10"/>
  <c r="ES56" i="10"/>
  <c r="ES55" i="10"/>
  <c r="ES54" i="10"/>
  <c r="ES53" i="10"/>
  <c r="ES52" i="10"/>
  <c r="ES51" i="10"/>
  <c r="ES50" i="10"/>
  <c r="ES49" i="10"/>
  <c r="ES48" i="10"/>
  <c r="ES47" i="10"/>
  <c r="ES46" i="10"/>
  <c r="ES45" i="10"/>
  <c r="ES44" i="10"/>
  <c r="ES43" i="10"/>
  <c r="ES42" i="10"/>
  <c r="ES41" i="10"/>
  <c r="ES40" i="10"/>
  <c r="ES39" i="10"/>
  <c r="ES38" i="10"/>
  <c r="ES37" i="10"/>
  <c r="ES36" i="10"/>
  <c r="ES35" i="10"/>
  <c r="ES34" i="10"/>
  <c r="ES33" i="10"/>
  <c r="ES32" i="10"/>
  <c r="ES31" i="10"/>
  <c r="ES30" i="10"/>
  <c r="ES29" i="10"/>
  <c r="ES28" i="10"/>
  <c r="ES27" i="10"/>
  <c r="ES26" i="10"/>
  <c r="ES25" i="10"/>
  <c r="ES24" i="10"/>
  <c r="ES23" i="10"/>
  <c r="ES22" i="10"/>
  <c r="ES21" i="10"/>
  <c r="ES20" i="10"/>
  <c r="ES19" i="10"/>
  <c r="ES18" i="10"/>
  <c r="ES17" i="10"/>
  <c r="ES16" i="10"/>
  <c r="ES15" i="10"/>
  <c r="ES14" i="10"/>
  <c r="ES13" i="10"/>
  <c r="ES12" i="10"/>
  <c r="ES11" i="10"/>
  <c r="ES10" i="10"/>
  <c r="ES9" i="10"/>
  <c r="ES8" i="10"/>
  <c r="ES7" i="10"/>
  <c r="ES6" i="10"/>
  <c r="ES5" i="10"/>
  <c r="EW173" i="10"/>
  <c r="EW172" i="10"/>
  <c r="EW171" i="10"/>
  <c r="EW170" i="10"/>
  <c r="EW169" i="10"/>
  <c r="EW168" i="10"/>
  <c r="EW167" i="10"/>
  <c r="EW166" i="10"/>
  <c r="EW165" i="10"/>
  <c r="EW164" i="10"/>
  <c r="EW163" i="10"/>
  <c r="EW162" i="10"/>
  <c r="EW161" i="10"/>
  <c r="EW160" i="10"/>
  <c r="EW159" i="10"/>
  <c r="EW158" i="10"/>
  <c r="EW157" i="10"/>
  <c r="EW156" i="10"/>
  <c r="EW155" i="10"/>
  <c r="EW154" i="10"/>
  <c r="EW153" i="10"/>
  <c r="EW152" i="10"/>
  <c r="EW151" i="10"/>
  <c r="EW150" i="10"/>
  <c r="EW149" i="10"/>
  <c r="EW148" i="10"/>
  <c r="EW147" i="10"/>
  <c r="EW146" i="10"/>
  <c r="EW145" i="10"/>
  <c r="EW144" i="10"/>
  <c r="EW143" i="10"/>
  <c r="EW142" i="10"/>
  <c r="EW141" i="10"/>
  <c r="EW140" i="10"/>
  <c r="EW139" i="10"/>
  <c r="EW138" i="10"/>
  <c r="EW137" i="10"/>
  <c r="EW136" i="10"/>
  <c r="EW135" i="10"/>
  <c r="EW134" i="10"/>
  <c r="EW133" i="10"/>
  <c r="EW132" i="10"/>
  <c r="EW131" i="10"/>
  <c r="EW130" i="10"/>
  <c r="EW129" i="10"/>
  <c r="EW128" i="10"/>
  <c r="EW127" i="10"/>
  <c r="EW126" i="10"/>
  <c r="EW125" i="10"/>
  <c r="EW124" i="10"/>
  <c r="EW123" i="10"/>
  <c r="EW122" i="10"/>
  <c r="EW121" i="10"/>
  <c r="EW120" i="10"/>
  <c r="EW119" i="10"/>
  <c r="EW118" i="10"/>
  <c r="EW117" i="10"/>
  <c r="EW116" i="10"/>
  <c r="EW115" i="10"/>
  <c r="EW114" i="10"/>
  <c r="EW113" i="10"/>
  <c r="EW112" i="10"/>
  <c r="EW111" i="10"/>
  <c r="EW110" i="10"/>
  <c r="EW109" i="10"/>
  <c r="EW108" i="10"/>
  <c r="EW107" i="10"/>
  <c r="EW106" i="10"/>
  <c r="EW105" i="10"/>
  <c r="EW104" i="10"/>
  <c r="EW103" i="10"/>
  <c r="EW102" i="10"/>
  <c r="EW101" i="10"/>
  <c r="EW100" i="10"/>
  <c r="EW99" i="10"/>
  <c r="EW98" i="10"/>
  <c r="EW97" i="10"/>
  <c r="EW96" i="10"/>
  <c r="EW95" i="10"/>
  <c r="EW94" i="10"/>
  <c r="EW93" i="10"/>
  <c r="EW92" i="10"/>
  <c r="EW91" i="10"/>
  <c r="EW90" i="10"/>
  <c r="EW89" i="10"/>
  <c r="EW88" i="10"/>
  <c r="EW87" i="10"/>
  <c r="EW86" i="10"/>
  <c r="EW85" i="10"/>
  <c r="EW84" i="10"/>
  <c r="EW83" i="10"/>
  <c r="EW82" i="10"/>
  <c r="EW81" i="10"/>
  <c r="EW80" i="10"/>
  <c r="EW79" i="10"/>
  <c r="EW78" i="10"/>
  <c r="EW77" i="10"/>
  <c r="EW76" i="10"/>
  <c r="EW75" i="10"/>
  <c r="EW74" i="10"/>
  <c r="EW73" i="10"/>
  <c r="EW72" i="10"/>
  <c r="EW71" i="10"/>
  <c r="EW70" i="10"/>
  <c r="EW69" i="10"/>
  <c r="EW68" i="10"/>
  <c r="EW67" i="10"/>
  <c r="EW66" i="10"/>
  <c r="EW65" i="10"/>
  <c r="EW64" i="10"/>
  <c r="EW63" i="10"/>
  <c r="EW62" i="10"/>
  <c r="EW61" i="10"/>
  <c r="EW60" i="10"/>
  <c r="EW59" i="10"/>
  <c r="EW58" i="10"/>
  <c r="EW57" i="10"/>
  <c r="EW56" i="10"/>
  <c r="EW55" i="10"/>
  <c r="EW54" i="10"/>
  <c r="EW53" i="10"/>
  <c r="EW52" i="10"/>
  <c r="EW51" i="10"/>
  <c r="EW50" i="10"/>
  <c r="EW49" i="10"/>
  <c r="EW48" i="10"/>
  <c r="EW47" i="10"/>
  <c r="EW46" i="10"/>
  <c r="EW45" i="10"/>
  <c r="EW44" i="10"/>
  <c r="EW43" i="10"/>
  <c r="EW42" i="10"/>
  <c r="EW41" i="10"/>
  <c r="EW40" i="10"/>
  <c r="EW39" i="10"/>
  <c r="EW38" i="10"/>
  <c r="EW37" i="10"/>
  <c r="EW36" i="10"/>
  <c r="EW35" i="10"/>
  <c r="EW34" i="10"/>
  <c r="EW33" i="10"/>
  <c r="EW32" i="10"/>
  <c r="EW31" i="10"/>
  <c r="EW30" i="10"/>
  <c r="EW29" i="10"/>
  <c r="EW28" i="10"/>
  <c r="EW27" i="10"/>
  <c r="EW26" i="10"/>
  <c r="EW25" i="10"/>
  <c r="EW24" i="10"/>
  <c r="EW23" i="10"/>
  <c r="EW22" i="10"/>
  <c r="EW21" i="10"/>
  <c r="EW20" i="10"/>
  <c r="EW19" i="10"/>
  <c r="EW18" i="10"/>
  <c r="EW17" i="10"/>
  <c r="EW16" i="10"/>
  <c r="EW15" i="10"/>
  <c r="EW14" i="10"/>
  <c r="EW13" i="10"/>
  <c r="EW12" i="10"/>
  <c r="EW11" i="10"/>
  <c r="EW10" i="10"/>
  <c r="EW9" i="10"/>
  <c r="EW8" i="10"/>
  <c r="EW7" i="10"/>
  <c r="EW6" i="10"/>
  <c r="EW5" i="10"/>
  <c r="FA173" i="10"/>
  <c r="FA172" i="10"/>
  <c r="FA171" i="10"/>
  <c r="FA170" i="10"/>
  <c r="FA169" i="10"/>
  <c r="FA168" i="10"/>
  <c r="FA167" i="10"/>
  <c r="FA166" i="10"/>
  <c r="FA165" i="10"/>
  <c r="FA164" i="10"/>
  <c r="FA163" i="10"/>
  <c r="FA162" i="10"/>
  <c r="FA161" i="10"/>
  <c r="FA160" i="10"/>
  <c r="FA159" i="10"/>
  <c r="FA158" i="10"/>
  <c r="FA157" i="10"/>
  <c r="FA156" i="10"/>
  <c r="FA155" i="10"/>
  <c r="FA154" i="10"/>
  <c r="FA153" i="10"/>
  <c r="FA152" i="10"/>
  <c r="FA151" i="10"/>
  <c r="FA150" i="10"/>
  <c r="FA149" i="10"/>
  <c r="FA148" i="10"/>
  <c r="FA147" i="10"/>
  <c r="FA146" i="10"/>
  <c r="FA145" i="10"/>
  <c r="FA144" i="10"/>
  <c r="FA143" i="10"/>
  <c r="FA142" i="10"/>
  <c r="FA141" i="10"/>
  <c r="FA140" i="10"/>
  <c r="FA139" i="10"/>
  <c r="FA138" i="10"/>
  <c r="FA137" i="10"/>
  <c r="FA136" i="10"/>
  <c r="FA135" i="10"/>
  <c r="FA134" i="10"/>
  <c r="FA133" i="10"/>
  <c r="FA132" i="10"/>
  <c r="FA131" i="10"/>
  <c r="FA130" i="10"/>
  <c r="FA129" i="10"/>
  <c r="FA128" i="10"/>
  <c r="FA127" i="10"/>
  <c r="FA126" i="10"/>
  <c r="FA125" i="10"/>
  <c r="FA124" i="10"/>
  <c r="FA123" i="10"/>
  <c r="FA122" i="10"/>
  <c r="FA121" i="10"/>
  <c r="FA120" i="10"/>
  <c r="FA119" i="10"/>
  <c r="FA118" i="10"/>
  <c r="FA117" i="10"/>
  <c r="FA116" i="10"/>
  <c r="FA115" i="10"/>
  <c r="FA114" i="10"/>
  <c r="FA113" i="10"/>
  <c r="FA112" i="10"/>
  <c r="FA111" i="10"/>
  <c r="FA110" i="10"/>
  <c r="FA109" i="10"/>
  <c r="FA108" i="10"/>
  <c r="FA107" i="10"/>
  <c r="FA106" i="10"/>
  <c r="FA105" i="10"/>
  <c r="FA104" i="10"/>
  <c r="FA103" i="10"/>
  <c r="FA102" i="10"/>
  <c r="FA101" i="10"/>
  <c r="FA100" i="10"/>
  <c r="FA99" i="10"/>
  <c r="FA98" i="10"/>
  <c r="FA97" i="10"/>
  <c r="FA96" i="10"/>
  <c r="FA95" i="10"/>
  <c r="FA94" i="10"/>
  <c r="FA93" i="10"/>
  <c r="FA92" i="10"/>
  <c r="FA91" i="10"/>
  <c r="FA90" i="10"/>
  <c r="FA89" i="10"/>
  <c r="FA88" i="10"/>
  <c r="FA87" i="10"/>
  <c r="FA86" i="10"/>
  <c r="FA85" i="10"/>
  <c r="FA84" i="10"/>
  <c r="FA83" i="10"/>
  <c r="FA82" i="10"/>
  <c r="FA81" i="10"/>
  <c r="FA80" i="10"/>
  <c r="FA79" i="10"/>
  <c r="FA78" i="10"/>
  <c r="FA77" i="10"/>
  <c r="FA76" i="10"/>
  <c r="FA75" i="10"/>
  <c r="FA74" i="10"/>
  <c r="FA73" i="10"/>
  <c r="FA72" i="10"/>
  <c r="FA71" i="10"/>
  <c r="FA70" i="10"/>
  <c r="FA69" i="10"/>
  <c r="FA68" i="10"/>
  <c r="FA67" i="10"/>
  <c r="FA66" i="10"/>
  <c r="FA65" i="10"/>
  <c r="FA64" i="10"/>
  <c r="FA63" i="10"/>
  <c r="FA62" i="10"/>
  <c r="FA61" i="10"/>
  <c r="FA60" i="10"/>
  <c r="FA59" i="10"/>
  <c r="FA58" i="10"/>
  <c r="FA57" i="10"/>
  <c r="FA56" i="10"/>
  <c r="FA55" i="10"/>
  <c r="FA54" i="10"/>
  <c r="FA53" i="10"/>
  <c r="FA52" i="10"/>
  <c r="FA51" i="10"/>
  <c r="FA50" i="10"/>
  <c r="FA49" i="10"/>
  <c r="FA48" i="10"/>
  <c r="FA47" i="10"/>
  <c r="FA46" i="10"/>
  <c r="FA45" i="10"/>
  <c r="FA44" i="10"/>
  <c r="FA43" i="10"/>
  <c r="FA42" i="10"/>
  <c r="FA41" i="10"/>
  <c r="FA40" i="10"/>
  <c r="FA39" i="10"/>
  <c r="FA38" i="10"/>
  <c r="FA37" i="10"/>
  <c r="FA36" i="10"/>
  <c r="FA35" i="10"/>
  <c r="FA34" i="10"/>
  <c r="FA33" i="10"/>
  <c r="FA32" i="10"/>
  <c r="FA31" i="10"/>
  <c r="FA30" i="10"/>
  <c r="FA29" i="10"/>
  <c r="FA28" i="10"/>
  <c r="FA27" i="10"/>
  <c r="FA26" i="10"/>
  <c r="FA25" i="10"/>
  <c r="FA24" i="10"/>
  <c r="FA23" i="10"/>
  <c r="FA22" i="10"/>
  <c r="FA21" i="10"/>
  <c r="FA20" i="10"/>
  <c r="FA19" i="10"/>
  <c r="FA18" i="10"/>
  <c r="FA17" i="10"/>
  <c r="FA16" i="10"/>
  <c r="FA15" i="10"/>
  <c r="FA14" i="10"/>
  <c r="FA13" i="10"/>
  <c r="FA12" i="10"/>
  <c r="FA11" i="10"/>
  <c r="FA10" i="10"/>
  <c r="FA9" i="10"/>
  <c r="FA8" i="10"/>
  <c r="FA7" i="10"/>
  <c r="FA6" i="10"/>
  <c r="FA5" i="10"/>
  <c r="FE173" i="10"/>
  <c r="FE172" i="10"/>
  <c r="FE171" i="10"/>
  <c r="FE170" i="10"/>
  <c r="FE169" i="10"/>
  <c r="FE168" i="10"/>
  <c r="FE167" i="10"/>
  <c r="FE166" i="10"/>
  <c r="FE165" i="10"/>
  <c r="FE164" i="10"/>
  <c r="FE163" i="10"/>
  <c r="FE161" i="10"/>
  <c r="FE160" i="10"/>
  <c r="FE159" i="10"/>
  <c r="FE158" i="10"/>
  <c r="FE157" i="10"/>
  <c r="FE156" i="10"/>
  <c r="FE155" i="10"/>
  <c r="FE154" i="10"/>
  <c r="FE153" i="10"/>
  <c r="FE152" i="10"/>
  <c r="FE151" i="10"/>
  <c r="FE150" i="10"/>
  <c r="FE149" i="10"/>
  <c r="FE148" i="10"/>
  <c r="FE147" i="10"/>
  <c r="FE146" i="10"/>
  <c r="FE145" i="10"/>
  <c r="FE144" i="10"/>
  <c r="FE143" i="10"/>
  <c r="FE142" i="10"/>
  <c r="FE141" i="10"/>
  <c r="FE140" i="10"/>
  <c r="FE139" i="10"/>
  <c r="FE138" i="10"/>
  <c r="FE137" i="10"/>
  <c r="FE136" i="10"/>
  <c r="FE135" i="10"/>
  <c r="FE134" i="10"/>
  <c r="FE133" i="10"/>
  <c r="FE132" i="10"/>
  <c r="FE131" i="10"/>
  <c r="FE130" i="10"/>
  <c r="FE129" i="10"/>
  <c r="FE128" i="10"/>
  <c r="FE127" i="10"/>
  <c r="FE126" i="10"/>
  <c r="FE125" i="10"/>
  <c r="FE124" i="10"/>
  <c r="FE123" i="10"/>
  <c r="FE122" i="10"/>
  <c r="FE121" i="10"/>
  <c r="FE120" i="10"/>
  <c r="FE119" i="10"/>
  <c r="FE118" i="10"/>
  <c r="FE117" i="10"/>
  <c r="FE116" i="10"/>
  <c r="FE115" i="10"/>
  <c r="FE114" i="10"/>
  <c r="FE113" i="10"/>
  <c r="FE112" i="10"/>
  <c r="FE111" i="10"/>
  <c r="FE110" i="10"/>
  <c r="FE109" i="10"/>
  <c r="FE108" i="10"/>
  <c r="FE107" i="10"/>
  <c r="FE106" i="10"/>
  <c r="FE105" i="10"/>
  <c r="FE104" i="10"/>
  <c r="FE103" i="10"/>
  <c r="FE102" i="10"/>
  <c r="FE101" i="10"/>
  <c r="FE100" i="10"/>
  <c r="FE99" i="10"/>
  <c r="FE98" i="10"/>
  <c r="FE97" i="10"/>
  <c r="FE96" i="10"/>
  <c r="FE95" i="10"/>
  <c r="FE94" i="10"/>
  <c r="FE93" i="10"/>
  <c r="FE92" i="10"/>
  <c r="FE91" i="10"/>
  <c r="FE90" i="10"/>
  <c r="FE89" i="10"/>
  <c r="FE88" i="10"/>
  <c r="FE87" i="10"/>
  <c r="FE86" i="10"/>
  <c r="FE85" i="10"/>
  <c r="FE84" i="10"/>
  <c r="FE83" i="10"/>
  <c r="FE82" i="10"/>
  <c r="FE81" i="10"/>
  <c r="FE80" i="10"/>
  <c r="FE79" i="10"/>
  <c r="FE78" i="10"/>
  <c r="FE77" i="10"/>
  <c r="FE76" i="10"/>
  <c r="FE75" i="10"/>
  <c r="FE74" i="10"/>
  <c r="FE73" i="10"/>
  <c r="FE72" i="10"/>
  <c r="FE71" i="10"/>
  <c r="FE70" i="10"/>
  <c r="FE69" i="10"/>
  <c r="FE68" i="10"/>
  <c r="FE67" i="10"/>
  <c r="FE66" i="10"/>
  <c r="FE65" i="10"/>
  <c r="FE64" i="10"/>
  <c r="FE63" i="10"/>
  <c r="FE62" i="10"/>
  <c r="FE61" i="10"/>
  <c r="FE60" i="10"/>
  <c r="FE59" i="10"/>
  <c r="FE58" i="10"/>
  <c r="FE57" i="10"/>
  <c r="FE56" i="10"/>
  <c r="FE55" i="10"/>
  <c r="FE54" i="10"/>
  <c r="FE53" i="10"/>
  <c r="FE52" i="10"/>
  <c r="FE51" i="10"/>
  <c r="FE50" i="10"/>
  <c r="FE49" i="10"/>
  <c r="FE48" i="10"/>
  <c r="FE47" i="10"/>
  <c r="FE46" i="10"/>
  <c r="FE45" i="10"/>
  <c r="FE44" i="10"/>
  <c r="FE43" i="10"/>
  <c r="FE42" i="10"/>
  <c r="FE41" i="10"/>
  <c r="FE40" i="10"/>
  <c r="FE39" i="10"/>
  <c r="FE38" i="10"/>
  <c r="FE37" i="10"/>
  <c r="FE36" i="10"/>
  <c r="FE35" i="10"/>
  <c r="FE34" i="10"/>
  <c r="FE33" i="10"/>
  <c r="FE32" i="10"/>
  <c r="FE31" i="10"/>
  <c r="FE30" i="10"/>
  <c r="FE29" i="10"/>
  <c r="FE28" i="10"/>
  <c r="FE27" i="10"/>
  <c r="FE26" i="10"/>
  <c r="FE25" i="10"/>
  <c r="FE24" i="10"/>
  <c r="FE23" i="10"/>
  <c r="FE22" i="10"/>
  <c r="FE21" i="10"/>
  <c r="FE20" i="10"/>
  <c r="FE19" i="10"/>
  <c r="FE18" i="10"/>
  <c r="FE17" i="10"/>
  <c r="FE16" i="10"/>
  <c r="FE15" i="10"/>
  <c r="FE14" i="10"/>
  <c r="FE13" i="10"/>
  <c r="FE12" i="10"/>
  <c r="FE11" i="10"/>
  <c r="FE10" i="10"/>
  <c r="FE8" i="10"/>
  <c r="FE7" i="10"/>
  <c r="FE6" i="10"/>
  <c r="FE5" i="10"/>
  <c r="FI173" i="10"/>
  <c r="FI172" i="10"/>
  <c r="FI171" i="10"/>
  <c r="FI170" i="10"/>
  <c r="FI169" i="10"/>
  <c r="FI168" i="10"/>
  <c r="FI167" i="10"/>
  <c r="FI166" i="10"/>
  <c r="FI165" i="10"/>
  <c r="FI164" i="10"/>
  <c r="FI163" i="10"/>
  <c r="FI162" i="10"/>
  <c r="FI161" i="10"/>
  <c r="FI160" i="10"/>
  <c r="FI159" i="10"/>
  <c r="FI158" i="10"/>
  <c r="FI157" i="10"/>
  <c r="FI156" i="10"/>
  <c r="FI155" i="10"/>
  <c r="FI154" i="10"/>
  <c r="FI153" i="10"/>
  <c r="FI152" i="10"/>
  <c r="FI151" i="10"/>
  <c r="FI150" i="10"/>
  <c r="FI149" i="10"/>
  <c r="FI148" i="10"/>
  <c r="FI147" i="10"/>
  <c r="FI146" i="10"/>
  <c r="FI145" i="10"/>
  <c r="FI144" i="10"/>
  <c r="FI143" i="10"/>
  <c r="FI142" i="10"/>
  <c r="FI141" i="10"/>
  <c r="FI140" i="10"/>
  <c r="FI139" i="10"/>
  <c r="FI138" i="10"/>
  <c r="FI137" i="10"/>
  <c r="FI136" i="10"/>
  <c r="FI135" i="10"/>
  <c r="FI134" i="10"/>
  <c r="FI133" i="10"/>
  <c r="FI132" i="10"/>
  <c r="FI131" i="10"/>
  <c r="FI130" i="10"/>
  <c r="FI129" i="10"/>
  <c r="FI128" i="10"/>
  <c r="FI127" i="10"/>
  <c r="FI126" i="10"/>
  <c r="FI125" i="10"/>
  <c r="FI124" i="10"/>
  <c r="FI123" i="10"/>
  <c r="FI122" i="10"/>
  <c r="FI121" i="10"/>
  <c r="FI120" i="10"/>
  <c r="FI119" i="10"/>
  <c r="FI118" i="10"/>
  <c r="FI117" i="10"/>
  <c r="FI116" i="10"/>
  <c r="FI115" i="10"/>
  <c r="FI114" i="10"/>
  <c r="FI113" i="10"/>
  <c r="FI112" i="10"/>
  <c r="FI111" i="10"/>
  <c r="FI110" i="10"/>
  <c r="FI109" i="10"/>
  <c r="FI108" i="10"/>
  <c r="FI107" i="10"/>
  <c r="FI106" i="10"/>
  <c r="FI105" i="10"/>
  <c r="FI104" i="10"/>
  <c r="FI103" i="10"/>
  <c r="FI102" i="10"/>
  <c r="FI101" i="10"/>
  <c r="FI100" i="10"/>
  <c r="FI99" i="10"/>
  <c r="FI98" i="10"/>
  <c r="FI97" i="10"/>
  <c r="FI96" i="10"/>
  <c r="FI95" i="10"/>
  <c r="FI94" i="10"/>
  <c r="FI93" i="10"/>
  <c r="FI92" i="10"/>
  <c r="FI91" i="10"/>
  <c r="FI90" i="10"/>
  <c r="FI89" i="10"/>
  <c r="FI88" i="10"/>
  <c r="FI87" i="10"/>
  <c r="FI86" i="10"/>
  <c r="FI85" i="10"/>
  <c r="FI84" i="10"/>
  <c r="FI83" i="10"/>
  <c r="FI82" i="10"/>
  <c r="FI81" i="10"/>
  <c r="FI80" i="10"/>
  <c r="FI79" i="10"/>
  <c r="FI78" i="10"/>
  <c r="FI77" i="10"/>
  <c r="FI76" i="10"/>
  <c r="FI75" i="10"/>
  <c r="FI74" i="10"/>
  <c r="FI73" i="10"/>
  <c r="FI72" i="10"/>
  <c r="FI71" i="10"/>
  <c r="FI70" i="10"/>
  <c r="FI69" i="10"/>
  <c r="FI68" i="10"/>
  <c r="FI67" i="10"/>
  <c r="FI66" i="10"/>
  <c r="FI65" i="10"/>
  <c r="FI64" i="10"/>
  <c r="FI63" i="10"/>
  <c r="FI62" i="10"/>
  <c r="FI61" i="10"/>
  <c r="FI60" i="10"/>
  <c r="FI59" i="10"/>
  <c r="FI58" i="10"/>
  <c r="FI57" i="10"/>
  <c r="FI56" i="10"/>
  <c r="FI55" i="10"/>
  <c r="FI54" i="10"/>
  <c r="FI53" i="10"/>
  <c r="FI52" i="10"/>
  <c r="FI51" i="10"/>
  <c r="FI50" i="10"/>
  <c r="FI49" i="10"/>
  <c r="FI48" i="10"/>
  <c r="FI47" i="10"/>
  <c r="FI46" i="10"/>
  <c r="FI45" i="10"/>
  <c r="FI44" i="10"/>
  <c r="FI43" i="10"/>
  <c r="FI42" i="10"/>
  <c r="FI41" i="10"/>
  <c r="FI40" i="10"/>
  <c r="FI39" i="10"/>
  <c r="FI38" i="10"/>
  <c r="FI37" i="10"/>
  <c r="FI36" i="10"/>
  <c r="FI35" i="10"/>
  <c r="FI34" i="10"/>
  <c r="FI33" i="10"/>
  <c r="FI32" i="10"/>
  <c r="FI31" i="10"/>
  <c r="FI30" i="10"/>
  <c r="FI29" i="10"/>
  <c r="FI28" i="10"/>
  <c r="FI27" i="10"/>
  <c r="FI26" i="10"/>
  <c r="FI25" i="10"/>
  <c r="FI24" i="10"/>
  <c r="FI23" i="10"/>
  <c r="FI22" i="10"/>
  <c r="FI21" i="10"/>
  <c r="FI20" i="10"/>
  <c r="FI19" i="10"/>
  <c r="FI18" i="10"/>
  <c r="FI17" i="10"/>
  <c r="FI16" i="10"/>
  <c r="FI15" i="10"/>
  <c r="FI14" i="10"/>
  <c r="FI13" i="10"/>
  <c r="FI12" i="10"/>
  <c r="FI11" i="10"/>
  <c r="FI10" i="10"/>
  <c r="FI9" i="10"/>
  <c r="FI8" i="10"/>
  <c r="FI7" i="10"/>
  <c r="FI6" i="10"/>
  <c r="FI5" i="10"/>
  <c r="FM173" i="10"/>
  <c r="FM172" i="10"/>
  <c r="FM171" i="10"/>
  <c r="FM170" i="10"/>
  <c r="FM169" i="10"/>
  <c r="FM168" i="10"/>
  <c r="FM167" i="10"/>
  <c r="FM166" i="10"/>
  <c r="FM165" i="10"/>
  <c r="FM164" i="10"/>
  <c r="FM163" i="10"/>
  <c r="FM162" i="10"/>
  <c r="FM161" i="10"/>
  <c r="FM160" i="10"/>
  <c r="FM159" i="10"/>
  <c r="FM158" i="10"/>
  <c r="FM157" i="10"/>
  <c r="FM156" i="10"/>
  <c r="FM155" i="10"/>
  <c r="FM154" i="10"/>
  <c r="FM153" i="10"/>
  <c r="FM152" i="10"/>
  <c r="FM151" i="10"/>
  <c r="FM150" i="10"/>
  <c r="FM149" i="10"/>
  <c r="FM148" i="10"/>
  <c r="FM147" i="10"/>
  <c r="FM146" i="10"/>
  <c r="FM145" i="10"/>
  <c r="FM144" i="10"/>
  <c r="FM143" i="10"/>
  <c r="FM142" i="10"/>
  <c r="FM141" i="10"/>
  <c r="FM140" i="10"/>
  <c r="FM139" i="10"/>
  <c r="FM138" i="10"/>
  <c r="FM137" i="10"/>
  <c r="FM136" i="10"/>
  <c r="FM135" i="10"/>
  <c r="FM134" i="10"/>
  <c r="FM133" i="10"/>
  <c r="FM132" i="10"/>
  <c r="FM131" i="10"/>
  <c r="FM130" i="10"/>
  <c r="FM129" i="10"/>
  <c r="FM128" i="10"/>
  <c r="FM127" i="10"/>
  <c r="FM126" i="10"/>
  <c r="FM125" i="10"/>
  <c r="FM124" i="10"/>
  <c r="FM123" i="10"/>
  <c r="FM122" i="10"/>
  <c r="FM121" i="10"/>
  <c r="FM120" i="10"/>
  <c r="FM119" i="10"/>
  <c r="FM118" i="10"/>
  <c r="FM117" i="10"/>
  <c r="FM116" i="10"/>
  <c r="FM115" i="10"/>
  <c r="FM114" i="10"/>
  <c r="FM113" i="10"/>
  <c r="FM112" i="10"/>
  <c r="FM111" i="10"/>
  <c r="FM110" i="10"/>
  <c r="FM109" i="10"/>
  <c r="FM108" i="10"/>
  <c r="FM107" i="10"/>
  <c r="FM106" i="10"/>
  <c r="FM105" i="10"/>
  <c r="FM104" i="10"/>
  <c r="FM103" i="10"/>
  <c r="FM102" i="10"/>
  <c r="FM101" i="10"/>
  <c r="FM100" i="10"/>
  <c r="FM99" i="10"/>
  <c r="FM98" i="10"/>
  <c r="FM97" i="10"/>
  <c r="FM96" i="10"/>
  <c r="FM95" i="10"/>
  <c r="FM94" i="10"/>
  <c r="FM93" i="10"/>
  <c r="FM92" i="10"/>
  <c r="FM91" i="10"/>
  <c r="FM90" i="10"/>
  <c r="FM89" i="10"/>
  <c r="FM88" i="10"/>
  <c r="FM87" i="10"/>
  <c r="FM86" i="10"/>
  <c r="FM85" i="10"/>
  <c r="FM84" i="10"/>
  <c r="FM83" i="10"/>
  <c r="FM82" i="10"/>
  <c r="FM81" i="10"/>
  <c r="FM80" i="10"/>
  <c r="FM79" i="10"/>
  <c r="FM78" i="10"/>
  <c r="FM77" i="10"/>
  <c r="FM76" i="10"/>
  <c r="FM75" i="10"/>
  <c r="FM74" i="10"/>
  <c r="FM73" i="10"/>
  <c r="FM72" i="10"/>
  <c r="FM71" i="10"/>
  <c r="FM70" i="10"/>
  <c r="FM69" i="10"/>
  <c r="FM68" i="10"/>
  <c r="FM67" i="10"/>
  <c r="FM66" i="10"/>
  <c r="FM65" i="10"/>
  <c r="FM64" i="10"/>
  <c r="FM63" i="10"/>
  <c r="FM62" i="10"/>
  <c r="FM61" i="10"/>
  <c r="FM60" i="10"/>
  <c r="FM59" i="10"/>
  <c r="FM58" i="10"/>
  <c r="FM57" i="10"/>
  <c r="FM56" i="10"/>
  <c r="FM55" i="10"/>
  <c r="FM54" i="10"/>
  <c r="FM53" i="10"/>
  <c r="FM52" i="10"/>
  <c r="FM51" i="10"/>
  <c r="FM50" i="10"/>
  <c r="FM49" i="10"/>
  <c r="FM48" i="10"/>
  <c r="FM47" i="10"/>
  <c r="FM46" i="10"/>
  <c r="FM45" i="10"/>
  <c r="FM44" i="10"/>
  <c r="FM43" i="10"/>
  <c r="FM42" i="10"/>
  <c r="FM41" i="10"/>
  <c r="FM40" i="10"/>
  <c r="FM39" i="10"/>
  <c r="FM38" i="10"/>
  <c r="FM37" i="10"/>
  <c r="FM36" i="10"/>
  <c r="FM35" i="10"/>
  <c r="FM34" i="10"/>
  <c r="FM33" i="10"/>
  <c r="FM32" i="10"/>
  <c r="FM31" i="10"/>
  <c r="FM30" i="10"/>
  <c r="FM29" i="10"/>
  <c r="FM28" i="10"/>
  <c r="FM27" i="10"/>
  <c r="FM26" i="10"/>
  <c r="FM25" i="10"/>
  <c r="FM24" i="10"/>
  <c r="FM23" i="10"/>
  <c r="FM22" i="10"/>
  <c r="FM21" i="10"/>
  <c r="FM20" i="10"/>
  <c r="FM19" i="10"/>
  <c r="FM18" i="10"/>
  <c r="FM17" i="10"/>
  <c r="FM16" i="10"/>
  <c r="FM15" i="10"/>
  <c r="FM14" i="10"/>
  <c r="FM13" i="10"/>
  <c r="FM12" i="10"/>
  <c r="FM11" i="10"/>
  <c r="FM10" i="10"/>
  <c r="FM9" i="10"/>
  <c r="FM8" i="10"/>
  <c r="FM7" i="10"/>
  <c r="FM6" i="10"/>
  <c r="FM5" i="10"/>
  <c r="FQ173" i="10"/>
  <c r="FQ172" i="10"/>
  <c r="FQ171" i="10"/>
  <c r="FQ170" i="10"/>
  <c r="FQ169" i="10"/>
  <c r="FQ168" i="10"/>
  <c r="FQ167" i="10"/>
  <c r="FQ166" i="10"/>
  <c r="FQ165" i="10"/>
  <c r="FQ164" i="10"/>
  <c r="FQ163" i="10"/>
  <c r="FQ162" i="10"/>
  <c r="FQ161" i="10"/>
  <c r="FQ160" i="10"/>
  <c r="FQ159" i="10"/>
  <c r="FQ158" i="10"/>
  <c r="FQ157" i="10"/>
  <c r="FQ156" i="10"/>
  <c r="FQ155" i="10"/>
  <c r="FQ154" i="10"/>
  <c r="FQ153" i="10"/>
  <c r="FQ152" i="10"/>
  <c r="FQ151" i="10"/>
  <c r="FQ150" i="10"/>
  <c r="FQ149" i="10"/>
  <c r="FQ148" i="10"/>
  <c r="FQ147" i="10"/>
  <c r="FQ146" i="10"/>
  <c r="FQ145" i="10"/>
  <c r="FQ144" i="10"/>
  <c r="FQ143" i="10"/>
  <c r="FQ142" i="10"/>
  <c r="FQ141" i="10"/>
  <c r="FQ140" i="10"/>
  <c r="FQ139" i="10"/>
  <c r="FQ138" i="10"/>
  <c r="FQ137" i="10"/>
  <c r="FQ136" i="10"/>
  <c r="FQ135" i="10"/>
  <c r="FQ134" i="10"/>
  <c r="FQ133" i="10"/>
  <c r="FQ132" i="10"/>
  <c r="FQ131" i="10"/>
  <c r="FQ130" i="10"/>
  <c r="FQ129" i="10"/>
  <c r="FQ128" i="10"/>
  <c r="FQ127" i="10"/>
  <c r="FQ126" i="10"/>
  <c r="FQ125" i="10"/>
  <c r="FQ124" i="10"/>
  <c r="FQ123" i="10"/>
  <c r="FQ122" i="10"/>
  <c r="FQ121" i="10"/>
  <c r="FQ120" i="10"/>
  <c r="FQ119" i="10"/>
  <c r="FQ118" i="10"/>
  <c r="FQ117" i="10"/>
  <c r="FQ116" i="10"/>
  <c r="FQ115" i="10"/>
  <c r="FQ114" i="10"/>
  <c r="FQ113" i="10"/>
  <c r="FQ112" i="10"/>
  <c r="FQ111" i="10"/>
  <c r="FQ110" i="10"/>
  <c r="FQ109" i="10"/>
  <c r="FQ108" i="10"/>
  <c r="FQ107" i="10"/>
  <c r="FQ106" i="10"/>
  <c r="FQ105" i="10"/>
  <c r="FQ104" i="10"/>
  <c r="FQ103" i="10"/>
  <c r="FQ102" i="10"/>
  <c r="FQ101" i="10"/>
  <c r="FQ100" i="10"/>
  <c r="FQ99" i="10"/>
  <c r="FQ98" i="10"/>
  <c r="FQ97" i="10"/>
  <c r="FQ96" i="10"/>
  <c r="FQ95" i="10"/>
  <c r="FQ94" i="10"/>
  <c r="FQ93" i="10"/>
  <c r="FQ92" i="10"/>
  <c r="FQ91" i="10"/>
  <c r="FQ90" i="10"/>
  <c r="FQ89" i="10"/>
  <c r="FQ88" i="10"/>
  <c r="FQ87" i="10"/>
  <c r="FQ86" i="10"/>
  <c r="FQ85" i="10"/>
  <c r="FQ84" i="10"/>
  <c r="FQ83" i="10"/>
  <c r="FQ82" i="10"/>
  <c r="FQ81" i="10"/>
  <c r="FQ80" i="10"/>
  <c r="FQ79" i="10"/>
  <c r="FQ78" i="10"/>
  <c r="FQ77" i="10"/>
  <c r="FQ76" i="10"/>
  <c r="FQ75" i="10"/>
  <c r="FQ74" i="10"/>
  <c r="FQ73" i="10"/>
  <c r="FQ72" i="10"/>
  <c r="FQ71" i="10"/>
  <c r="FQ70" i="10"/>
  <c r="FQ69" i="10"/>
  <c r="FQ68" i="10"/>
  <c r="FQ67" i="10"/>
  <c r="FQ66" i="10"/>
  <c r="FQ65" i="10"/>
  <c r="FQ64" i="10"/>
  <c r="FQ63" i="10"/>
  <c r="FQ62" i="10"/>
  <c r="FQ61" i="10"/>
  <c r="FQ60" i="10"/>
  <c r="FQ59" i="10"/>
  <c r="FQ58" i="10"/>
  <c r="FQ57" i="10"/>
  <c r="FQ56" i="10"/>
  <c r="FQ55" i="10"/>
  <c r="FQ54" i="10"/>
  <c r="FQ53" i="10"/>
  <c r="FQ52" i="10"/>
  <c r="FQ51" i="10"/>
  <c r="FQ50" i="10"/>
  <c r="FQ49" i="10"/>
  <c r="FQ48" i="10"/>
  <c r="FQ47" i="10"/>
  <c r="FQ46" i="10"/>
  <c r="FQ45" i="10"/>
  <c r="FQ44" i="10"/>
  <c r="FQ43" i="10"/>
  <c r="FQ42" i="10"/>
  <c r="FQ41" i="10"/>
  <c r="FQ40" i="10"/>
  <c r="FQ39" i="10"/>
  <c r="FQ38" i="10"/>
  <c r="FQ37" i="10"/>
  <c r="FQ36" i="10"/>
  <c r="FQ35" i="10"/>
  <c r="FQ34" i="10"/>
  <c r="FQ33" i="10"/>
  <c r="FQ32" i="10"/>
  <c r="FQ31" i="10"/>
  <c r="FQ30" i="10"/>
  <c r="FQ29" i="10"/>
  <c r="FQ28" i="10"/>
  <c r="FQ27" i="10"/>
  <c r="FQ26" i="10"/>
  <c r="FQ25" i="10"/>
  <c r="FQ24" i="10"/>
  <c r="FQ23" i="10"/>
  <c r="FQ22" i="10"/>
  <c r="FQ21" i="10"/>
  <c r="FQ20" i="10"/>
  <c r="FQ19" i="10"/>
  <c r="FQ18" i="10"/>
  <c r="FQ17" i="10"/>
  <c r="FQ16" i="10"/>
  <c r="FQ15" i="10"/>
  <c r="FQ14" i="10"/>
  <c r="FQ13" i="10"/>
  <c r="FQ12" i="10"/>
  <c r="FQ11" i="10"/>
  <c r="FQ10" i="10"/>
  <c r="FQ9" i="10"/>
  <c r="FQ8" i="10"/>
  <c r="FQ7" i="10"/>
  <c r="FQ6" i="10"/>
  <c r="FQ5" i="10"/>
  <c r="FU173" i="10"/>
  <c r="FU172" i="10"/>
  <c r="FU171" i="10"/>
  <c r="FU170" i="10"/>
  <c r="FU169" i="10"/>
  <c r="FU168" i="10"/>
  <c r="FU167" i="10"/>
  <c r="FU166" i="10"/>
  <c r="FU165" i="10"/>
  <c r="FU164" i="10"/>
  <c r="FU163" i="10"/>
  <c r="FU161" i="10"/>
  <c r="FU160" i="10"/>
  <c r="FU159" i="10"/>
  <c r="FU158" i="10"/>
  <c r="FU157" i="10"/>
  <c r="FU156" i="10"/>
  <c r="FU155" i="10"/>
  <c r="FU154" i="10"/>
  <c r="FU153" i="10"/>
  <c r="FU152" i="10"/>
  <c r="FU151" i="10"/>
  <c r="FU150" i="10"/>
  <c r="FU149" i="10"/>
  <c r="FU148" i="10"/>
  <c r="FU147" i="10"/>
  <c r="FU146" i="10"/>
  <c r="FU145" i="10"/>
  <c r="FU144" i="10"/>
  <c r="FU143" i="10"/>
  <c r="FU142" i="10"/>
  <c r="FU141" i="10"/>
  <c r="FU140" i="10"/>
  <c r="FU139" i="10"/>
  <c r="FU138" i="10"/>
  <c r="FU137" i="10"/>
  <c r="FU136" i="10"/>
  <c r="FU135" i="10"/>
  <c r="FU134" i="10"/>
  <c r="FU133" i="10"/>
  <c r="FU132" i="10"/>
  <c r="FU131" i="10"/>
  <c r="FU130" i="10"/>
  <c r="FU129" i="10"/>
  <c r="FU128" i="10"/>
  <c r="FU127" i="10"/>
  <c r="FU126" i="10"/>
  <c r="FU125" i="10"/>
  <c r="FU124" i="10"/>
  <c r="FU123" i="10"/>
  <c r="FU122" i="10"/>
  <c r="FU121" i="10"/>
  <c r="FU120" i="10"/>
  <c r="FU119" i="10"/>
  <c r="FU118" i="10"/>
  <c r="FU117" i="10"/>
  <c r="FU116" i="10"/>
  <c r="FU115" i="10"/>
  <c r="FU114" i="10"/>
  <c r="FU113" i="10"/>
  <c r="FU112" i="10"/>
  <c r="FU111" i="10"/>
  <c r="FU110" i="10"/>
  <c r="FU109" i="10"/>
  <c r="FU108" i="10"/>
  <c r="FU107" i="10"/>
  <c r="FU106" i="10"/>
  <c r="FU105" i="10"/>
  <c r="FU104" i="10"/>
  <c r="FU103" i="10"/>
  <c r="FU102" i="10"/>
  <c r="FU101" i="10"/>
  <c r="FU100" i="10"/>
  <c r="FU99" i="10"/>
  <c r="FU98" i="10"/>
  <c r="FU97" i="10"/>
  <c r="FU96" i="10"/>
  <c r="FU95" i="10"/>
  <c r="FU94" i="10"/>
  <c r="FU93" i="10"/>
  <c r="FU92" i="10"/>
  <c r="FU91" i="10"/>
  <c r="FU90" i="10"/>
  <c r="FU89" i="10"/>
  <c r="FU88" i="10"/>
  <c r="FU87" i="10"/>
  <c r="FU86" i="10"/>
  <c r="FU85" i="10"/>
  <c r="FU84" i="10"/>
  <c r="FU83" i="10"/>
  <c r="FU82" i="10"/>
  <c r="FU81" i="10"/>
  <c r="FU80" i="10"/>
  <c r="FU79" i="10"/>
  <c r="FU78" i="10"/>
  <c r="FU77" i="10"/>
  <c r="FU76" i="10"/>
  <c r="FU75" i="10"/>
  <c r="FU74" i="10"/>
  <c r="FU73" i="10"/>
  <c r="FU72" i="10"/>
  <c r="FU71" i="10"/>
  <c r="FU70" i="10"/>
  <c r="FU69" i="10"/>
  <c r="FU68" i="10"/>
  <c r="FU67" i="10"/>
  <c r="FU66" i="10"/>
  <c r="FU65" i="10"/>
  <c r="FU64" i="10"/>
  <c r="FU63" i="10"/>
  <c r="FU62" i="10"/>
  <c r="FU61" i="10"/>
  <c r="FU60" i="10"/>
  <c r="FU59" i="10"/>
  <c r="FU58" i="10"/>
  <c r="FU57" i="10"/>
  <c r="FU56" i="10"/>
  <c r="FU55" i="10"/>
  <c r="FU54" i="10"/>
  <c r="FU53" i="10"/>
  <c r="FU52" i="10"/>
  <c r="FU51" i="10"/>
  <c r="FU50" i="10"/>
  <c r="FU49" i="10"/>
  <c r="FU48" i="10"/>
  <c r="FU47" i="10"/>
  <c r="FU46" i="10"/>
  <c r="FU45" i="10"/>
  <c r="FU44" i="10"/>
  <c r="FU43" i="10"/>
  <c r="FU42" i="10"/>
  <c r="FU41" i="10"/>
  <c r="FU40" i="10"/>
  <c r="FU39" i="10"/>
  <c r="FU38" i="10"/>
  <c r="FU37" i="10"/>
  <c r="FU36" i="10"/>
  <c r="FU35" i="10"/>
  <c r="FU34" i="10"/>
  <c r="FU33" i="10"/>
  <c r="FU32" i="10"/>
  <c r="FU31" i="10"/>
  <c r="FU30" i="10"/>
  <c r="FU29" i="10"/>
  <c r="FU28" i="10"/>
  <c r="FU27" i="10"/>
  <c r="FU26" i="10"/>
  <c r="FU25" i="10"/>
  <c r="FU24" i="10"/>
  <c r="FU23" i="10"/>
  <c r="FU22" i="10"/>
  <c r="FU21" i="10"/>
  <c r="FU20" i="10"/>
  <c r="FU19" i="10"/>
  <c r="FU18" i="10"/>
  <c r="FU17" i="10"/>
  <c r="FU16" i="10"/>
  <c r="FU15" i="10"/>
  <c r="FU14" i="10"/>
  <c r="FU13" i="10"/>
  <c r="FU12" i="10"/>
  <c r="FU11" i="10"/>
  <c r="FU10" i="10"/>
  <c r="FU8" i="10"/>
  <c r="FU7" i="10"/>
  <c r="FU6" i="10"/>
  <c r="FU5" i="10"/>
  <c r="FY173" i="10"/>
  <c r="FY172" i="10"/>
  <c r="FY171" i="10"/>
  <c r="FY170" i="10"/>
  <c r="FY169" i="10"/>
  <c r="FY168" i="10"/>
  <c r="FY167" i="10"/>
  <c r="FY166" i="10"/>
  <c r="FY165" i="10"/>
  <c r="FY164" i="10"/>
  <c r="FY163" i="10"/>
  <c r="FY162" i="10"/>
  <c r="FY161" i="10"/>
  <c r="FY160" i="10"/>
  <c r="FY159" i="10"/>
  <c r="FY158" i="10"/>
  <c r="FY157" i="10"/>
  <c r="FY156" i="10"/>
  <c r="FY155" i="10"/>
  <c r="FY154" i="10"/>
  <c r="FY153" i="10"/>
  <c r="FY152" i="10"/>
  <c r="FY151" i="10"/>
  <c r="FY150" i="10"/>
  <c r="FY149" i="10"/>
  <c r="FY148" i="10"/>
  <c r="FY147" i="10"/>
  <c r="FY146" i="10"/>
  <c r="FY145" i="10"/>
  <c r="FY144" i="10"/>
  <c r="FY143" i="10"/>
  <c r="FY142" i="10"/>
  <c r="FY141" i="10"/>
  <c r="FY140" i="10"/>
  <c r="FY139" i="10"/>
  <c r="FY138" i="10"/>
  <c r="FY137" i="10"/>
  <c r="FY136" i="10"/>
  <c r="FY135" i="10"/>
  <c r="FY134" i="10"/>
  <c r="FY133" i="10"/>
  <c r="FY132" i="10"/>
  <c r="FY131" i="10"/>
  <c r="FY130" i="10"/>
  <c r="FY129" i="10"/>
  <c r="FY128" i="10"/>
  <c r="FY127" i="10"/>
  <c r="FY126" i="10"/>
  <c r="FY125" i="10"/>
  <c r="FY124" i="10"/>
  <c r="FY123" i="10"/>
  <c r="FY122" i="10"/>
  <c r="FY121" i="10"/>
  <c r="FY120" i="10"/>
  <c r="FY119" i="10"/>
  <c r="FY118" i="10"/>
  <c r="FY117" i="10"/>
  <c r="FY116" i="10"/>
  <c r="FY115" i="10"/>
  <c r="FY114" i="10"/>
  <c r="FY113" i="10"/>
  <c r="FY112" i="10"/>
  <c r="FY111" i="10"/>
  <c r="FY110" i="10"/>
  <c r="FY109" i="10"/>
  <c r="FY108" i="10"/>
  <c r="FY107" i="10"/>
  <c r="FY106" i="10"/>
  <c r="FY105" i="10"/>
  <c r="FY104" i="10"/>
  <c r="FY103" i="10"/>
  <c r="FY102" i="10"/>
  <c r="FY101" i="10"/>
  <c r="FY100" i="10"/>
  <c r="FY99" i="10"/>
  <c r="FY98" i="10"/>
  <c r="FY97" i="10"/>
  <c r="FY96" i="10"/>
  <c r="FY95" i="10"/>
  <c r="FY94" i="10"/>
  <c r="FY93" i="10"/>
  <c r="FY92" i="10"/>
  <c r="FY91" i="10"/>
  <c r="FY90" i="10"/>
  <c r="FY89" i="10"/>
  <c r="FY88" i="10"/>
  <c r="FY87" i="10"/>
  <c r="FY86" i="10"/>
  <c r="FY85" i="10"/>
  <c r="FY84" i="10"/>
  <c r="FY83" i="10"/>
  <c r="FY82" i="10"/>
  <c r="FY81" i="10"/>
  <c r="FY80" i="10"/>
  <c r="FY79" i="10"/>
  <c r="FY78" i="10"/>
  <c r="FY77" i="10"/>
  <c r="FY76" i="10"/>
  <c r="FY75" i="10"/>
  <c r="FY74" i="10"/>
  <c r="FY73" i="10"/>
  <c r="FY72" i="10"/>
  <c r="FY71" i="10"/>
  <c r="FY70" i="10"/>
  <c r="FY69" i="10"/>
  <c r="FY68" i="10"/>
  <c r="FY67" i="10"/>
  <c r="FY66" i="10"/>
  <c r="FY65" i="10"/>
  <c r="FY64" i="10"/>
  <c r="FY63" i="10"/>
  <c r="FY62" i="10"/>
  <c r="FY61" i="10"/>
  <c r="FY60" i="10"/>
  <c r="FY59" i="10"/>
  <c r="FY58" i="10"/>
  <c r="FY57" i="10"/>
  <c r="FY56" i="10"/>
  <c r="FY55" i="10"/>
  <c r="FY54" i="10"/>
  <c r="FY53" i="10"/>
  <c r="FY52" i="10"/>
  <c r="FY51" i="10"/>
  <c r="FY50" i="10"/>
  <c r="FY49" i="10"/>
  <c r="FY48" i="10"/>
  <c r="FY47" i="10"/>
  <c r="FY46" i="10"/>
  <c r="FY45" i="10"/>
  <c r="FY44" i="10"/>
  <c r="FY43" i="10"/>
  <c r="FY42" i="10"/>
  <c r="FY41" i="10"/>
  <c r="FY40" i="10"/>
  <c r="FY39" i="10"/>
  <c r="FY38" i="10"/>
  <c r="FY37" i="10"/>
  <c r="FY36" i="10"/>
  <c r="FY35" i="10"/>
  <c r="FY34" i="10"/>
  <c r="FY33" i="10"/>
  <c r="FY32" i="10"/>
  <c r="FY31" i="10"/>
  <c r="FY30" i="10"/>
  <c r="FY29" i="10"/>
  <c r="FY28" i="10"/>
  <c r="FY27" i="10"/>
  <c r="FY26" i="10"/>
  <c r="FY25" i="10"/>
  <c r="FY24" i="10"/>
  <c r="FY23" i="10"/>
  <c r="FY22" i="10"/>
  <c r="FY21" i="10"/>
  <c r="FY20" i="10"/>
  <c r="FY19" i="10"/>
  <c r="FY18" i="10"/>
  <c r="FY17" i="10"/>
  <c r="FY16" i="10"/>
  <c r="FY15" i="10"/>
  <c r="FY14" i="10"/>
  <c r="FY13" i="10"/>
  <c r="FY12" i="10"/>
  <c r="FY11" i="10"/>
  <c r="FY10" i="10"/>
  <c r="FY9" i="10"/>
  <c r="FY8" i="10"/>
  <c r="FY7" i="10"/>
  <c r="FY6" i="10"/>
  <c r="FY5" i="10"/>
  <c r="GC173" i="10"/>
  <c r="GC172" i="10"/>
  <c r="GC171" i="10"/>
  <c r="GC170" i="10"/>
  <c r="GC169" i="10"/>
  <c r="GC168" i="10"/>
  <c r="GC167" i="10"/>
  <c r="GC166" i="10"/>
  <c r="GC165" i="10"/>
  <c r="GC164" i="10"/>
  <c r="GC163" i="10"/>
  <c r="GC162" i="10"/>
  <c r="GC161" i="10"/>
  <c r="GC160" i="10"/>
  <c r="GC159" i="10"/>
  <c r="GC158" i="10"/>
  <c r="GC157" i="10"/>
  <c r="GC156" i="10"/>
  <c r="GC155" i="10"/>
  <c r="GC154" i="10"/>
  <c r="GC153" i="10"/>
  <c r="GC152" i="10"/>
  <c r="GC151" i="10"/>
  <c r="GC150" i="10"/>
  <c r="GC149" i="10"/>
  <c r="GC148" i="10"/>
  <c r="GC147" i="10"/>
  <c r="GC146" i="10"/>
  <c r="GC145" i="10"/>
  <c r="GC144" i="10"/>
  <c r="GC143" i="10"/>
  <c r="GC142" i="10"/>
  <c r="GC141" i="10"/>
  <c r="GC140" i="10"/>
  <c r="GC139" i="10"/>
  <c r="GC138" i="10"/>
  <c r="GC137" i="10"/>
  <c r="GC136" i="10"/>
  <c r="GC135" i="10"/>
  <c r="GC134" i="10"/>
  <c r="GC133" i="10"/>
  <c r="GC132" i="10"/>
  <c r="GC131" i="10"/>
  <c r="GC130" i="10"/>
  <c r="GC129" i="10"/>
  <c r="GC128" i="10"/>
  <c r="GC127" i="10"/>
  <c r="GC126" i="10"/>
  <c r="GC125" i="10"/>
  <c r="GC124" i="10"/>
  <c r="GC123" i="10"/>
  <c r="GC122" i="10"/>
  <c r="GC121" i="10"/>
  <c r="GC120" i="10"/>
  <c r="GC119" i="10"/>
  <c r="GC118" i="10"/>
  <c r="GC117" i="10"/>
  <c r="GC116" i="10"/>
  <c r="GC115" i="10"/>
  <c r="GC114" i="10"/>
  <c r="GC113" i="10"/>
  <c r="GC112" i="10"/>
  <c r="GC111" i="10"/>
  <c r="GC110" i="10"/>
  <c r="GC109" i="10"/>
  <c r="GC108" i="10"/>
  <c r="GC107" i="10"/>
  <c r="GC106" i="10"/>
  <c r="GC105" i="10"/>
  <c r="GC104" i="10"/>
  <c r="GC103" i="10"/>
  <c r="GC102" i="10"/>
  <c r="GC101" i="10"/>
  <c r="GC100" i="10"/>
  <c r="GC99" i="10"/>
  <c r="GC98" i="10"/>
  <c r="GC97" i="10"/>
  <c r="GC96" i="10"/>
  <c r="GC95" i="10"/>
  <c r="GC94" i="10"/>
  <c r="GC93" i="10"/>
  <c r="GC92" i="10"/>
  <c r="GC91" i="10"/>
  <c r="GC90" i="10"/>
  <c r="GC89" i="10"/>
  <c r="GC88" i="10"/>
  <c r="GC87" i="10"/>
  <c r="GC86" i="10"/>
  <c r="GC85" i="10"/>
  <c r="GC84" i="10"/>
  <c r="GC83" i="10"/>
  <c r="GC82" i="10"/>
  <c r="GC81" i="10"/>
  <c r="GC80" i="10"/>
  <c r="GC79" i="10"/>
  <c r="GC78" i="10"/>
  <c r="GC77" i="10"/>
  <c r="GC76" i="10"/>
  <c r="GC75" i="10"/>
  <c r="GC74" i="10"/>
  <c r="GC73" i="10"/>
  <c r="GC72" i="10"/>
  <c r="GC71" i="10"/>
  <c r="GC70" i="10"/>
  <c r="GC69" i="10"/>
  <c r="GC68" i="10"/>
  <c r="GC67" i="10"/>
  <c r="GC66" i="10"/>
  <c r="GC65" i="10"/>
  <c r="GC64" i="10"/>
  <c r="GC63" i="10"/>
  <c r="GC62" i="10"/>
  <c r="GC61" i="10"/>
  <c r="GC60" i="10"/>
  <c r="GC59" i="10"/>
  <c r="GC58" i="10"/>
  <c r="GC57" i="10"/>
  <c r="GC56" i="10"/>
  <c r="GC55" i="10"/>
  <c r="GC54" i="10"/>
  <c r="GC53" i="10"/>
  <c r="GC52" i="10"/>
  <c r="GC51" i="10"/>
  <c r="GC50" i="10"/>
  <c r="GC49" i="10"/>
  <c r="GC48" i="10"/>
  <c r="GC47" i="10"/>
  <c r="GC46" i="10"/>
  <c r="GC45" i="10"/>
  <c r="GC44" i="10"/>
  <c r="GC43" i="10"/>
  <c r="GC42" i="10"/>
  <c r="GC41" i="10"/>
  <c r="GC40" i="10"/>
  <c r="GC39" i="10"/>
  <c r="GC38" i="10"/>
  <c r="GC37" i="10"/>
  <c r="GC36" i="10"/>
  <c r="GC35" i="10"/>
  <c r="GC34" i="10"/>
  <c r="GC33" i="10"/>
  <c r="GC32" i="10"/>
  <c r="GC31" i="10"/>
  <c r="GC30" i="10"/>
  <c r="GC29" i="10"/>
  <c r="GC28" i="10"/>
  <c r="GC27" i="10"/>
  <c r="GC26" i="10"/>
  <c r="GC25" i="10"/>
  <c r="GC24" i="10"/>
  <c r="GC23" i="10"/>
  <c r="GC22" i="10"/>
  <c r="GC21" i="10"/>
  <c r="GC20" i="10"/>
  <c r="GC19" i="10"/>
  <c r="GC18" i="10"/>
  <c r="GC17" i="10"/>
  <c r="GC16" i="10"/>
  <c r="GC15" i="10"/>
  <c r="GC14" i="10"/>
  <c r="GC13" i="10"/>
  <c r="GC12" i="10"/>
  <c r="GC11" i="10"/>
  <c r="GC10" i="10"/>
  <c r="GC9" i="10"/>
  <c r="GC8" i="10"/>
  <c r="GC7" i="10"/>
  <c r="GC6" i="10"/>
  <c r="GC5" i="10"/>
  <c r="GG173" i="10"/>
  <c r="GG172" i="10"/>
  <c r="GG171" i="10"/>
  <c r="GG170" i="10"/>
  <c r="GG169" i="10"/>
  <c r="GG168" i="10"/>
  <c r="GG167" i="10"/>
  <c r="GG166" i="10"/>
  <c r="GG165" i="10"/>
  <c r="GG164" i="10"/>
  <c r="GG163" i="10"/>
  <c r="GG162" i="10"/>
  <c r="GG161" i="10"/>
  <c r="GG160" i="10"/>
  <c r="GG159" i="10"/>
  <c r="GG158" i="10"/>
  <c r="GG157" i="10"/>
  <c r="GG156" i="10"/>
  <c r="GG155" i="10"/>
  <c r="GG154" i="10"/>
  <c r="GG153" i="10"/>
  <c r="GG152" i="10"/>
  <c r="GG151" i="10"/>
  <c r="GG150" i="10"/>
  <c r="GG149" i="10"/>
  <c r="GG148" i="10"/>
  <c r="GG147" i="10"/>
  <c r="GG146" i="10"/>
  <c r="GG145" i="10"/>
  <c r="GG144" i="10"/>
  <c r="GG143" i="10"/>
  <c r="GG142" i="10"/>
  <c r="GG141" i="10"/>
  <c r="GG140" i="10"/>
  <c r="GG139" i="10"/>
  <c r="GG138" i="10"/>
  <c r="GG137" i="10"/>
  <c r="GG136" i="10"/>
  <c r="GG135" i="10"/>
  <c r="GG134" i="10"/>
  <c r="GG133" i="10"/>
  <c r="GG132" i="10"/>
  <c r="GG131" i="10"/>
  <c r="GG130" i="10"/>
  <c r="GG129" i="10"/>
  <c r="GG128" i="10"/>
  <c r="GG127" i="10"/>
  <c r="GG126" i="10"/>
  <c r="GG125" i="10"/>
  <c r="GG124" i="10"/>
  <c r="GG123" i="10"/>
  <c r="GG122" i="10"/>
  <c r="GG121" i="10"/>
  <c r="GG120" i="10"/>
  <c r="GG119" i="10"/>
  <c r="GG118" i="10"/>
  <c r="GG117" i="10"/>
  <c r="GG116" i="10"/>
  <c r="GG115" i="10"/>
  <c r="GG114" i="10"/>
  <c r="GG113" i="10"/>
  <c r="GG112" i="10"/>
  <c r="GG111" i="10"/>
  <c r="GG110" i="10"/>
  <c r="GG109" i="10"/>
  <c r="GG108" i="10"/>
  <c r="GG107" i="10"/>
  <c r="GG106" i="10"/>
  <c r="GG105" i="10"/>
  <c r="GG104" i="10"/>
  <c r="GG103" i="10"/>
  <c r="GG102" i="10"/>
  <c r="GG101" i="10"/>
  <c r="GG100" i="10"/>
  <c r="GG99" i="10"/>
  <c r="GG98" i="10"/>
  <c r="GG97" i="10"/>
  <c r="GG96" i="10"/>
  <c r="GG95" i="10"/>
  <c r="GG94" i="10"/>
  <c r="GG93" i="10"/>
  <c r="GG92" i="10"/>
  <c r="GG91" i="10"/>
  <c r="GG90" i="10"/>
  <c r="GG89" i="10"/>
  <c r="GG88" i="10"/>
  <c r="GG87" i="10"/>
  <c r="GG86" i="10"/>
  <c r="GG85" i="10"/>
  <c r="GG84" i="10"/>
  <c r="GG83" i="10"/>
  <c r="GG82" i="10"/>
  <c r="GG81" i="10"/>
  <c r="GG80" i="10"/>
  <c r="GG79" i="10"/>
  <c r="GG78" i="10"/>
  <c r="GG77" i="10"/>
  <c r="GG76" i="10"/>
  <c r="GG75" i="10"/>
  <c r="GG74" i="10"/>
  <c r="GG73" i="10"/>
  <c r="GG72" i="10"/>
  <c r="GG71" i="10"/>
  <c r="GG70" i="10"/>
  <c r="GG69" i="10"/>
  <c r="GG68" i="10"/>
  <c r="GG67" i="10"/>
  <c r="GG66" i="10"/>
  <c r="GG65" i="10"/>
  <c r="GG64" i="10"/>
  <c r="GG63" i="10"/>
  <c r="GG62" i="10"/>
  <c r="GG61" i="10"/>
  <c r="GG60" i="10"/>
  <c r="GG59" i="10"/>
  <c r="GG58" i="10"/>
  <c r="GG57" i="10"/>
  <c r="GG56" i="10"/>
  <c r="GG55" i="10"/>
  <c r="GG54" i="10"/>
  <c r="GG53" i="10"/>
  <c r="GG52" i="10"/>
  <c r="GG51" i="10"/>
  <c r="GG50" i="10"/>
  <c r="GG49" i="10"/>
  <c r="GG48" i="10"/>
  <c r="GG47" i="10"/>
  <c r="GG46" i="10"/>
  <c r="GG45" i="10"/>
  <c r="GG44" i="10"/>
  <c r="GG43" i="10"/>
  <c r="GG42" i="10"/>
  <c r="GG41" i="10"/>
  <c r="GG40" i="10"/>
  <c r="GG39" i="10"/>
  <c r="GG38" i="10"/>
  <c r="GG37" i="10"/>
  <c r="GG36" i="10"/>
  <c r="GG35" i="10"/>
  <c r="GG34" i="10"/>
  <c r="GG33" i="10"/>
  <c r="GG32" i="10"/>
  <c r="GG31" i="10"/>
  <c r="GG30" i="10"/>
  <c r="GG29" i="10"/>
  <c r="GG28" i="10"/>
  <c r="GG27" i="10"/>
  <c r="GG26" i="10"/>
  <c r="GG25" i="10"/>
  <c r="GG24" i="10"/>
  <c r="GG23" i="10"/>
  <c r="GG22" i="10"/>
  <c r="GG21" i="10"/>
  <c r="GG20" i="10"/>
  <c r="GG19" i="10"/>
  <c r="GG18" i="10"/>
  <c r="GG17" i="10"/>
  <c r="GG16" i="10"/>
  <c r="GG15" i="10"/>
  <c r="GG14" i="10"/>
  <c r="GG13" i="10"/>
  <c r="GG12" i="10"/>
  <c r="GG11" i="10"/>
  <c r="GG10" i="10"/>
  <c r="GG9" i="10"/>
  <c r="GG8" i="10"/>
  <c r="GG7" i="10"/>
  <c r="GG6" i="10"/>
  <c r="GG5" i="10"/>
  <c r="GK173" i="10"/>
  <c r="GK172" i="10"/>
  <c r="GK171" i="10"/>
  <c r="GK170" i="10"/>
  <c r="GK169" i="10"/>
  <c r="GK168" i="10"/>
  <c r="GK167" i="10"/>
  <c r="GK166" i="10"/>
  <c r="GK165" i="10"/>
  <c r="GK164" i="10"/>
  <c r="GK163" i="10"/>
  <c r="GK161" i="10"/>
  <c r="GK160" i="10"/>
  <c r="GK159" i="10"/>
  <c r="GK158" i="10"/>
  <c r="GK157" i="10"/>
  <c r="GK156" i="10"/>
  <c r="GK155" i="10"/>
  <c r="GK154" i="10"/>
  <c r="GK153" i="10"/>
  <c r="GK152" i="10"/>
  <c r="GK151" i="10"/>
  <c r="GK150" i="10"/>
  <c r="GK149" i="10"/>
  <c r="GK148" i="10"/>
  <c r="GK147" i="10"/>
  <c r="GK146" i="10"/>
  <c r="GK145" i="10"/>
  <c r="GK144" i="10"/>
  <c r="GK143" i="10"/>
  <c r="GK142" i="10"/>
  <c r="GK141" i="10"/>
  <c r="GK140" i="10"/>
  <c r="GK139" i="10"/>
  <c r="GK138" i="10"/>
  <c r="GK137" i="10"/>
  <c r="GK136" i="10"/>
  <c r="GK135" i="10"/>
  <c r="GK134" i="10"/>
  <c r="GK133" i="10"/>
  <c r="GK132" i="10"/>
  <c r="GK131" i="10"/>
  <c r="GK130" i="10"/>
  <c r="GK129" i="10"/>
  <c r="GK128" i="10"/>
  <c r="GK127" i="10"/>
  <c r="GK126" i="10"/>
  <c r="GK125" i="10"/>
  <c r="GK124" i="10"/>
  <c r="GK123" i="10"/>
  <c r="GK122" i="10"/>
  <c r="GK121" i="10"/>
  <c r="GK120" i="10"/>
  <c r="GK119" i="10"/>
  <c r="GK118" i="10"/>
  <c r="GK117" i="10"/>
  <c r="GK116" i="10"/>
  <c r="GK115" i="10"/>
  <c r="GK114" i="10"/>
  <c r="GK113" i="10"/>
  <c r="GK112" i="10"/>
  <c r="GK111" i="10"/>
  <c r="GK110" i="10"/>
  <c r="GK109" i="10"/>
  <c r="GK108" i="10"/>
  <c r="GK107" i="10"/>
  <c r="GK106" i="10"/>
  <c r="GK105" i="10"/>
  <c r="GK104" i="10"/>
  <c r="GK103" i="10"/>
  <c r="GK102" i="10"/>
  <c r="GK101" i="10"/>
  <c r="GK100" i="10"/>
  <c r="GK99" i="10"/>
  <c r="GK98" i="10"/>
  <c r="GK97" i="10"/>
  <c r="GK96" i="10"/>
  <c r="GK95" i="10"/>
  <c r="GK94" i="10"/>
  <c r="GK93" i="10"/>
  <c r="GK92" i="10"/>
  <c r="GK91" i="10"/>
  <c r="GK90" i="10"/>
  <c r="GK89" i="10"/>
  <c r="GK88" i="10"/>
  <c r="GK87" i="10"/>
  <c r="GK86" i="10"/>
  <c r="GK85" i="10"/>
  <c r="GK84" i="10"/>
  <c r="GK83" i="10"/>
  <c r="GK82" i="10"/>
  <c r="GK81" i="10"/>
  <c r="GK80" i="10"/>
  <c r="GK79" i="10"/>
  <c r="GK78" i="10"/>
  <c r="GK77" i="10"/>
  <c r="GK76" i="10"/>
  <c r="GK75" i="10"/>
  <c r="GK74" i="10"/>
  <c r="GK73" i="10"/>
  <c r="GK72" i="10"/>
  <c r="GK71" i="10"/>
  <c r="GK70" i="10"/>
  <c r="GK69" i="10"/>
  <c r="GK68" i="10"/>
  <c r="GK67" i="10"/>
  <c r="GK66" i="10"/>
  <c r="GK65" i="10"/>
  <c r="GK64" i="10"/>
  <c r="GK63" i="10"/>
  <c r="GK62" i="10"/>
  <c r="GK61" i="10"/>
  <c r="GK60" i="10"/>
  <c r="GK59" i="10"/>
  <c r="GK58" i="10"/>
  <c r="GK57" i="10"/>
  <c r="GK56" i="10"/>
  <c r="GK55" i="10"/>
  <c r="GK54" i="10"/>
  <c r="GK53" i="10"/>
  <c r="GK52" i="10"/>
  <c r="GK51" i="10"/>
  <c r="GK50" i="10"/>
  <c r="GK49" i="10"/>
  <c r="GK48" i="10"/>
  <c r="GK47" i="10"/>
  <c r="GK46" i="10"/>
  <c r="GK45" i="10"/>
  <c r="GK44" i="10"/>
  <c r="GK43" i="10"/>
  <c r="GK42" i="10"/>
  <c r="GK41" i="10"/>
  <c r="GK40" i="10"/>
  <c r="GK39" i="10"/>
  <c r="GK38" i="10"/>
  <c r="GK37" i="10"/>
  <c r="GK36" i="10"/>
  <c r="GK35" i="10"/>
  <c r="GK34" i="10"/>
  <c r="GK33" i="10"/>
  <c r="GK32" i="10"/>
  <c r="GK31" i="10"/>
  <c r="GK30" i="10"/>
  <c r="GK29" i="10"/>
  <c r="GK28" i="10"/>
  <c r="GK27" i="10"/>
  <c r="GK26" i="10"/>
  <c r="GK25" i="10"/>
  <c r="GK24" i="10"/>
  <c r="GK23" i="10"/>
  <c r="GK22" i="10"/>
  <c r="GK21" i="10"/>
  <c r="GK20" i="10"/>
  <c r="GK19" i="10"/>
  <c r="GK18" i="10"/>
  <c r="GK17" i="10"/>
  <c r="GK16" i="10"/>
  <c r="GK15" i="10"/>
  <c r="GK14" i="10"/>
  <c r="GK13" i="10"/>
  <c r="GK12" i="10"/>
  <c r="GK11" i="10"/>
  <c r="GK10" i="10"/>
  <c r="GK8" i="10"/>
  <c r="GK7" i="10"/>
  <c r="GK6" i="10"/>
  <c r="GK5" i="10"/>
  <c r="GO173" i="10"/>
  <c r="GO172" i="10"/>
  <c r="GO171" i="10"/>
  <c r="GO170" i="10"/>
  <c r="GO169" i="10"/>
  <c r="GO168" i="10"/>
  <c r="GO167" i="10"/>
  <c r="GO166" i="10"/>
  <c r="GO165" i="10"/>
  <c r="GO164" i="10"/>
  <c r="GO163" i="10"/>
  <c r="GO162" i="10"/>
  <c r="GO161" i="10"/>
  <c r="GO160" i="10"/>
  <c r="GO159" i="10"/>
  <c r="GO158" i="10"/>
  <c r="GO157" i="10"/>
  <c r="GO156" i="10"/>
  <c r="GO155" i="10"/>
  <c r="GO154" i="10"/>
  <c r="GO153" i="10"/>
  <c r="GO152" i="10"/>
  <c r="GO151" i="10"/>
  <c r="GO150" i="10"/>
  <c r="GO149" i="10"/>
  <c r="GO148" i="10"/>
  <c r="GO147" i="10"/>
  <c r="GO146" i="10"/>
  <c r="GO145" i="10"/>
  <c r="GO144" i="10"/>
  <c r="GO143" i="10"/>
  <c r="GO142" i="10"/>
  <c r="GO141" i="10"/>
  <c r="GO140" i="10"/>
  <c r="GO139" i="10"/>
  <c r="GO138" i="10"/>
  <c r="GO137" i="10"/>
  <c r="GO136" i="10"/>
  <c r="GO135" i="10"/>
  <c r="GO134" i="10"/>
  <c r="GO133" i="10"/>
  <c r="GO132" i="10"/>
  <c r="GO131" i="10"/>
  <c r="GO130" i="10"/>
  <c r="GO129" i="10"/>
  <c r="GO128" i="10"/>
  <c r="GO127" i="10"/>
  <c r="GO126" i="10"/>
  <c r="GO125" i="10"/>
  <c r="GO124" i="10"/>
  <c r="GO123" i="10"/>
  <c r="GO122" i="10"/>
  <c r="GO121" i="10"/>
  <c r="GO120" i="10"/>
  <c r="GO119" i="10"/>
  <c r="GO118" i="10"/>
  <c r="GO117" i="10"/>
  <c r="GO116" i="10"/>
  <c r="GO115" i="10"/>
  <c r="GO114" i="10"/>
  <c r="GO113" i="10"/>
  <c r="GO112" i="10"/>
  <c r="GO111" i="10"/>
  <c r="GO110" i="10"/>
  <c r="GO109" i="10"/>
  <c r="GO108" i="10"/>
  <c r="GO107" i="10"/>
  <c r="GO106" i="10"/>
  <c r="GO105" i="10"/>
  <c r="GO104" i="10"/>
  <c r="GO103" i="10"/>
  <c r="GO102" i="10"/>
  <c r="GO101" i="10"/>
  <c r="GO100" i="10"/>
  <c r="GO99" i="10"/>
  <c r="GO98" i="10"/>
  <c r="GO97" i="10"/>
  <c r="GO96" i="10"/>
  <c r="GO95" i="10"/>
  <c r="GO94" i="10"/>
  <c r="GO93" i="10"/>
  <c r="GO92" i="10"/>
  <c r="GO91" i="10"/>
  <c r="GO90" i="10"/>
  <c r="GO89" i="10"/>
  <c r="GO88" i="10"/>
  <c r="GO87" i="10"/>
  <c r="GO86" i="10"/>
  <c r="GO85" i="10"/>
  <c r="GO84" i="10"/>
  <c r="GO83" i="10"/>
  <c r="GO82" i="10"/>
  <c r="GO81" i="10"/>
  <c r="GO80" i="10"/>
  <c r="GO79" i="10"/>
  <c r="GO78" i="10"/>
  <c r="GO77" i="10"/>
  <c r="GO76" i="10"/>
  <c r="GO75" i="10"/>
  <c r="GO74" i="10"/>
  <c r="GO73" i="10"/>
  <c r="GO72" i="10"/>
  <c r="GO71" i="10"/>
  <c r="GO70" i="10"/>
  <c r="GO69" i="10"/>
  <c r="GO68" i="10"/>
  <c r="GO67" i="10"/>
  <c r="GO66" i="10"/>
  <c r="GO65" i="10"/>
  <c r="GO64" i="10"/>
  <c r="GO63" i="10"/>
  <c r="GO62" i="10"/>
  <c r="GO61" i="10"/>
  <c r="GO60" i="10"/>
  <c r="GO59" i="10"/>
  <c r="GO58" i="10"/>
  <c r="GO57" i="10"/>
  <c r="GO56" i="10"/>
  <c r="GO55" i="10"/>
  <c r="GO54" i="10"/>
  <c r="GO53" i="10"/>
  <c r="GO52" i="10"/>
  <c r="GO51" i="10"/>
  <c r="GO50" i="10"/>
  <c r="GO49" i="10"/>
  <c r="GO48" i="10"/>
  <c r="GO47" i="10"/>
  <c r="GO46" i="10"/>
  <c r="GO45" i="10"/>
  <c r="GO44" i="10"/>
  <c r="GO43" i="10"/>
  <c r="GO42" i="10"/>
  <c r="GO41" i="10"/>
  <c r="GO40" i="10"/>
  <c r="GO39" i="10"/>
  <c r="GO38" i="10"/>
  <c r="GO37" i="10"/>
  <c r="GO36" i="10"/>
  <c r="GO35" i="10"/>
  <c r="GO34" i="10"/>
  <c r="GO33" i="10"/>
  <c r="GO32" i="10"/>
  <c r="GO31" i="10"/>
  <c r="GO30" i="10"/>
  <c r="GO29" i="10"/>
  <c r="GO28" i="10"/>
  <c r="GO27" i="10"/>
  <c r="GO26" i="10"/>
  <c r="GO25" i="10"/>
  <c r="GO24" i="10"/>
  <c r="GO23" i="10"/>
  <c r="GO22" i="10"/>
  <c r="GO21" i="10"/>
  <c r="GO20" i="10"/>
  <c r="GO19" i="10"/>
  <c r="GO18" i="10"/>
  <c r="GO17" i="10"/>
  <c r="GO16" i="10"/>
  <c r="GO15" i="10"/>
  <c r="GO14" i="10"/>
  <c r="GO13" i="10"/>
  <c r="GO12" i="10"/>
  <c r="GO11" i="10"/>
  <c r="GO10" i="10"/>
  <c r="GO9" i="10"/>
  <c r="GO8" i="10"/>
  <c r="GO7" i="10"/>
  <c r="GO6" i="10"/>
  <c r="GO5" i="10"/>
  <c r="GS173" i="10"/>
  <c r="GS172" i="10"/>
  <c r="GS171" i="10"/>
  <c r="GS170" i="10"/>
  <c r="GS169" i="10"/>
  <c r="GS168" i="10"/>
  <c r="GS167" i="10"/>
  <c r="GS166" i="10"/>
  <c r="GS165" i="10"/>
  <c r="GS164" i="10"/>
  <c r="GS163" i="10"/>
  <c r="GS162" i="10"/>
  <c r="GS161" i="10"/>
  <c r="GS160" i="10"/>
  <c r="GS159" i="10"/>
  <c r="GS158" i="10"/>
  <c r="GS157" i="10"/>
  <c r="GS156" i="10"/>
  <c r="GS155" i="10"/>
  <c r="GS154" i="10"/>
  <c r="GS153" i="10"/>
  <c r="GS152" i="10"/>
  <c r="GS151" i="10"/>
  <c r="GS150" i="10"/>
  <c r="GS149" i="10"/>
  <c r="GS148" i="10"/>
  <c r="GS147" i="10"/>
  <c r="GS146" i="10"/>
  <c r="GS145" i="10"/>
  <c r="GS144" i="10"/>
  <c r="GS143" i="10"/>
  <c r="GS142" i="10"/>
  <c r="GS141" i="10"/>
  <c r="GS140" i="10"/>
  <c r="GS139" i="10"/>
  <c r="GS138" i="10"/>
  <c r="GS137" i="10"/>
  <c r="GS136" i="10"/>
  <c r="GS135" i="10"/>
  <c r="GS134" i="10"/>
  <c r="GS133" i="10"/>
  <c r="GS132" i="10"/>
  <c r="GS131" i="10"/>
  <c r="GS130" i="10"/>
  <c r="GS129" i="10"/>
  <c r="GS128" i="10"/>
  <c r="GS127" i="10"/>
  <c r="GS126" i="10"/>
  <c r="GS125" i="10"/>
  <c r="GS124" i="10"/>
  <c r="GS123" i="10"/>
  <c r="GS122" i="10"/>
  <c r="GS121" i="10"/>
  <c r="GS120" i="10"/>
  <c r="GS119" i="10"/>
  <c r="GS118" i="10"/>
  <c r="GS117" i="10"/>
  <c r="GS116" i="10"/>
  <c r="GS115" i="10"/>
  <c r="GS114" i="10"/>
  <c r="GS113" i="10"/>
  <c r="GS112" i="10"/>
  <c r="GS111" i="10"/>
  <c r="GS110" i="10"/>
  <c r="GS109" i="10"/>
  <c r="GS108" i="10"/>
  <c r="GS107" i="10"/>
  <c r="GS106" i="10"/>
  <c r="GS105" i="10"/>
  <c r="GS104" i="10"/>
  <c r="GS103" i="10"/>
  <c r="GS102" i="10"/>
  <c r="GS101" i="10"/>
  <c r="GS100" i="10"/>
  <c r="GS99" i="10"/>
  <c r="GS98" i="10"/>
  <c r="GS97" i="10"/>
  <c r="GS96" i="10"/>
  <c r="GS95" i="10"/>
  <c r="GS94" i="10"/>
  <c r="GS93" i="10"/>
  <c r="GS92" i="10"/>
  <c r="GS91" i="10"/>
  <c r="GS90" i="10"/>
  <c r="GS89" i="10"/>
  <c r="GS88" i="10"/>
  <c r="GS87" i="10"/>
  <c r="GS86" i="10"/>
  <c r="GS85" i="10"/>
  <c r="GS84" i="10"/>
  <c r="GS83" i="10"/>
  <c r="GS82" i="10"/>
  <c r="GS81" i="10"/>
  <c r="GS80" i="10"/>
  <c r="GS79" i="10"/>
  <c r="GS78" i="10"/>
  <c r="GS77" i="10"/>
  <c r="GS76" i="10"/>
  <c r="GS75" i="10"/>
  <c r="GS74" i="10"/>
  <c r="GS73" i="10"/>
  <c r="GS72" i="10"/>
  <c r="GS71" i="10"/>
  <c r="GS70" i="10"/>
  <c r="GS69" i="10"/>
  <c r="GS68" i="10"/>
  <c r="GS67" i="10"/>
  <c r="GS66" i="10"/>
  <c r="GS65" i="10"/>
  <c r="GS64" i="10"/>
  <c r="GS63" i="10"/>
  <c r="GS62" i="10"/>
  <c r="GS61" i="10"/>
  <c r="GS60" i="10"/>
  <c r="GS59" i="10"/>
  <c r="GS58" i="10"/>
  <c r="GS57" i="10"/>
  <c r="GS56" i="10"/>
  <c r="GS55" i="10"/>
  <c r="GS54" i="10"/>
  <c r="GS53" i="10"/>
  <c r="GS52" i="10"/>
  <c r="GS51" i="10"/>
  <c r="GS50" i="10"/>
  <c r="GS49" i="10"/>
  <c r="GS48" i="10"/>
  <c r="GS47" i="10"/>
  <c r="GS46" i="10"/>
  <c r="GS45" i="10"/>
  <c r="GS44" i="10"/>
  <c r="GS43" i="10"/>
  <c r="GS42" i="10"/>
  <c r="GS41" i="10"/>
  <c r="GS40" i="10"/>
  <c r="GS39" i="10"/>
  <c r="GS38" i="10"/>
  <c r="GS37" i="10"/>
  <c r="GS36" i="10"/>
  <c r="GS35" i="10"/>
  <c r="GS34" i="10"/>
  <c r="GS33" i="10"/>
  <c r="GS32" i="10"/>
  <c r="GS31" i="10"/>
  <c r="GS30" i="10"/>
  <c r="GS29" i="10"/>
  <c r="GS28" i="10"/>
  <c r="GS27" i="10"/>
  <c r="GS26" i="10"/>
  <c r="GS25" i="10"/>
  <c r="GS24" i="10"/>
  <c r="GS23" i="10"/>
  <c r="GS22" i="10"/>
  <c r="GS21" i="10"/>
  <c r="GS20" i="10"/>
  <c r="GS19" i="10"/>
  <c r="GS18" i="10"/>
  <c r="GS17" i="10"/>
  <c r="GS16" i="10"/>
  <c r="GS15" i="10"/>
  <c r="GS14" i="10"/>
  <c r="GS13" i="10"/>
  <c r="GS12" i="10"/>
  <c r="GS11" i="10"/>
  <c r="GS10" i="10"/>
  <c r="GS9" i="10"/>
  <c r="GS8" i="10"/>
  <c r="GS7" i="10"/>
  <c r="GS6" i="10"/>
  <c r="GS5" i="10"/>
  <c r="GW173" i="10"/>
  <c r="GW172" i="10"/>
  <c r="GW171" i="10"/>
  <c r="GW170" i="10"/>
  <c r="GW169" i="10"/>
  <c r="GW168" i="10"/>
  <c r="GW167" i="10"/>
  <c r="GW166" i="10"/>
  <c r="GW165" i="10"/>
  <c r="GW164" i="10"/>
  <c r="GW163" i="10"/>
  <c r="GW162" i="10"/>
  <c r="GW161" i="10"/>
  <c r="GW160" i="10"/>
  <c r="GW159" i="10"/>
  <c r="GW158" i="10"/>
  <c r="GW157" i="10"/>
  <c r="GW156" i="10"/>
  <c r="GW155" i="10"/>
  <c r="GW154" i="10"/>
  <c r="GW153" i="10"/>
  <c r="GW152" i="10"/>
  <c r="GW151" i="10"/>
  <c r="GW150" i="10"/>
  <c r="GW149" i="10"/>
  <c r="GW148" i="10"/>
  <c r="GW147" i="10"/>
  <c r="GW146" i="10"/>
  <c r="GW145" i="10"/>
  <c r="GW144" i="10"/>
  <c r="GW143" i="10"/>
  <c r="GW142" i="10"/>
  <c r="GW141" i="10"/>
  <c r="GW140" i="10"/>
  <c r="GW139" i="10"/>
  <c r="GW138" i="10"/>
  <c r="GW137" i="10"/>
  <c r="GW136" i="10"/>
  <c r="GW135" i="10"/>
  <c r="GW134" i="10"/>
  <c r="GW133" i="10"/>
  <c r="GW132" i="10"/>
  <c r="GW131" i="10"/>
  <c r="GW130" i="10"/>
  <c r="GW129" i="10"/>
  <c r="GW128" i="10"/>
  <c r="GW127" i="10"/>
  <c r="GW126" i="10"/>
  <c r="GW125" i="10"/>
  <c r="GW124" i="10"/>
  <c r="GW123" i="10"/>
  <c r="GW122" i="10"/>
  <c r="GW121" i="10"/>
  <c r="GW120" i="10"/>
  <c r="GW119" i="10"/>
  <c r="GW118" i="10"/>
  <c r="GW117" i="10"/>
  <c r="GW116" i="10"/>
  <c r="GW115" i="10"/>
  <c r="GW114" i="10"/>
  <c r="GW113" i="10"/>
  <c r="GW112" i="10"/>
  <c r="GW111" i="10"/>
  <c r="GW110" i="10"/>
  <c r="GW109" i="10"/>
  <c r="GW108" i="10"/>
  <c r="GW107" i="10"/>
  <c r="GW106" i="10"/>
  <c r="GW105" i="10"/>
  <c r="GW104" i="10"/>
  <c r="GW103" i="10"/>
  <c r="GW102" i="10"/>
  <c r="GW101" i="10"/>
  <c r="GW100" i="10"/>
  <c r="GW99" i="10"/>
  <c r="GW98" i="10"/>
  <c r="GW97" i="10"/>
  <c r="GW96" i="10"/>
  <c r="GW95" i="10"/>
  <c r="GW94" i="10"/>
  <c r="GW93" i="10"/>
  <c r="GW92" i="10"/>
  <c r="GW91" i="10"/>
  <c r="GW90" i="10"/>
  <c r="GW89" i="10"/>
  <c r="GW88" i="10"/>
  <c r="GW87" i="10"/>
  <c r="GW86" i="10"/>
  <c r="GW85" i="10"/>
  <c r="GW84" i="10"/>
  <c r="GW83" i="10"/>
  <c r="GW82" i="10"/>
  <c r="GW81" i="10"/>
  <c r="GW80" i="10"/>
  <c r="GW79" i="10"/>
  <c r="GW78" i="10"/>
  <c r="GW77" i="10"/>
  <c r="GW76" i="10"/>
  <c r="GW75" i="10"/>
  <c r="GW74" i="10"/>
  <c r="GW73" i="10"/>
  <c r="GW72" i="10"/>
  <c r="GW71" i="10"/>
  <c r="GW70" i="10"/>
  <c r="GW69" i="10"/>
  <c r="GW68" i="10"/>
  <c r="GW67" i="10"/>
  <c r="GW66" i="10"/>
  <c r="GW65" i="10"/>
  <c r="GW64" i="10"/>
  <c r="GW63" i="10"/>
  <c r="GW62" i="10"/>
  <c r="GW61" i="10"/>
  <c r="GW60" i="10"/>
  <c r="GW59" i="10"/>
  <c r="GW58" i="10"/>
  <c r="GW57" i="10"/>
  <c r="GW56" i="10"/>
  <c r="GW55" i="10"/>
  <c r="GW54" i="10"/>
  <c r="GW53" i="10"/>
  <c r="GW52" i="10"/>
  <c r="GW51" i="10"/>
  <c r="GW50" i="10"/>
  <c r="GW49" i="10"/>
  <c r="GW48" i="10"/>
  <c r="GW47" i="10"/>
  <c r="GW46" i="10"/>
  <c r="GW45" i="10"/>
  <c r="GW44" i="10"/>
  <c r="GW43" i="10"/>
  <c r="GW42" i="10"/>
  <c r="GW41" i="10"/>
  <c r="GW40" i="10"/>
  <c r="GW39" i="10"/>
  <c r="GW38" i="10"/>
  <c r="GW37" i="10"/>
  <c r="GW36" i="10"/>
  <c r="GW35" i="10"/>
  <c r="GW34" i="10"/>
  <c r="GW33" i="10"/>
  <c r="GW32" i="10"/>
  <c r="GW31" i="10"/>
  <c r="GW30" i="10"/>
  <c r="GW29" i="10"/>
  <c r="GW28" i="10"/>
  <c r="GW27" i="10"/>
  <c r="GW26" i="10"/>
  <c r="GW25" i="10"/>
  <c r="GW24" i="10"/>
  <c r="GW23" i="10"/>
  <c r="GW22" i="10"/>
  <c r="GW21" i="10"/>
  <c r="GW20" i="10"/>
  <c r="GW19" i="10"/>
  <c r="GW18" i="10"/>
  <c r="GW17" i="10"/>
  <c r="GW16" i="10"/>
  <c r="GW15" i="10"/>
  <c r="GW14" i="10"/>
  <c r="GW13" i="10"/>
  <c r="GW12" i="10"/>
  <c r="GW11" i="10"/>
  <c r="GW10" i="10"/>
  <c r="GW9" i="10"/>
  <c r="GW8" i="10"/>
  <c r="GW7" i="10"/>
  <c r="GW6" i="10"/>
  <c r="GW5" i="10"/>
  <c r="HA173" i="10"/>
  <c r="HA172" i="10"/>
  <c r="HA171" i="10"/>
  <c r="HA170" i="10"/>
  <c r="HA169" i="10"/>
  <c r="HA168" i="10"/>
  <c r="HA167" i="10"/>
  <c r="HA166" i="10"/>
  <c r="HA165" i="10"/>
  <c r="HA164" i="10"/>
  <c r="HA163" i="10"/>
  <c r="HA161" i="10"/>
  <c r="HA160" i="10"/>
  <c r="HA159" i="10"/>
  <c r="HA158" i="10"/>
  <c r="HA157" i="10"/>
  <c r="HA156" i="10"/>
  <c r="HA155" i="10"/>
  <c r="HA154" i="10"/>
  <c r="HA153" i="10"/>
  <c r="HA152" i="10"/>
  <c r="HA151" i="10"/>
  <c r="HA150" i="10"/>
  <c r="HA149" i="10"/>
  <c r="HA148" i="10"/>
  <c r="HA147" i="10"/>
  <c r="HA146" i="10"/>
  <c r="HA145" i="10"/>
  <c r="HA144" i="10"/>
  <c r="HA143" i="10"/>
  <c r="HA142" i="10"/>
  <c r="HA141" i="10"/>
  <c r="HA140" i="10"/>
  <c r="HA139" i="10"/>
  <c r="HA138" i="10"/>
  <c r="HA137" i="10"/>
  <c r="HA136" i="10"/>
  <c r="HA135" i="10"/>
  <c r="HA134" i="10"/>
  <c r="HA133" i="10"/>
  <c r="HA132" i="10"/>
  <c r="HA131" i="10"/>
  <c r="HA130" i="10"/>
  <c r="HA129" i="10"/>
  <c r="HA128" i="10"/>
  <c r="HA127" i="10"/>
  <c r="HA126" i="10"/>
  <c r="HA125" i="10"/>
  <c r="HA124" i="10"/>
  <c r="HA123" i="10"/>
  <c r="HA122" i="10"/>
  <c r="HA121" i="10"/>
  <c r="HA120" i="10"/>
  <c r="HA119" i="10"/>
  <c r="HA118" i="10"/>
  <c r="HA117" i="10"/>
  <c r="HA116" i="10"/>
  <c r="HA115" i="10"/>
  <c r="HA114" i="10"/>
  <c r="HA113" i="10"/>
  <c r="HA112" i="10"/>
  <c r="HA111" i="10"/>
  <c r="HA110" i="10"/>
  <c r="HA109" i="10"/>
  <c r="HA108" i="10"/>
  <c r="HA107" i="10"/>
  <c r="HA106" i="10"/>
  <c r="HA105" i="10"/>
  <c r="HA104" i="10"/>
  <c r="HA103" i="10"/>
  <c r="HA102" i="10"/>
  <c r="HA101" i="10"/>
  <c r="HA100" i="10"/>
  <c r="HA99" i="10"/>
  <c r="HA98" i="10"/>
  <c r="HA97" i="10"/>
  <c r="HA96" i="10"/>
  <c r="HA95" i="10"/>
  <c r="HA94" i="10"/>
  <c r="HA93" i="10"/>
  <c r="HA92" i="10"/>
  <c r="HA91" i="10"/>
  <c r="HA90" i="10"/>
  <c r="HA89" i="10"/>
  <c r="HA88" i="10"/>
  <c r="HA87" i="10"/>
  <c r="HA86" i="10"/>
  <c r="HA85" i="10"/>
  <c r="HA84" i="10"/>
  <c r="HA83" i="10"/>
  <c r="HA82" i="10"/>
  <c r="HA81" i="10"/>
  <c r="HA80" i="10"/>
  <c r="HA79" i="10"/>
  <c r="HA78" i="10"/>
  <c r="HA77" i="10"/>
  <c r="HA76" i="10"/>
  <c r="HA75" i="10"/>
  <c r="HA74" i="10"/>
  <c r="HA73" i="10"/>
  <c r="HA72" i="10"/>
  <c r="HA71" i="10"/>
  <c r="HA70" i="10"/>
  <c r="HA69" i="10"/>
  <c r="HA68" i="10"/>
  <c r="HA67" i="10"/>
  <c r="HA66" i="10"/>
  <c r="HA65" i="10"/>
  <c r="HA64" i="10"/>
  <c r="HA63" i="10"/>
  <c r="HA62" i="10"/>
  <c r="HA61" i="10"/>
  <c r="HA60" i="10"/>
  <c r="HA59" i="10"/>
  <c r="HA58" i="10"/>
  <c r="HA57" i="10"/>
  <c r="HA56" i="10"/>
  <c r="HA55" i="10"/>
  <c r="HA54" i="10"/>
  <c r="HA53" i="10"/>
  <c r="HA52" i="10"/>
  <c r="HA51" i="10"/>
  <c r="HA50" i="10"/>
  <c r="HA49" i="10"/>
  <c r="HA48" i="10"/>
  <c r="HA47" i="10"/>
  <c r="HA46" i="10"/>
  <c r="HA45" i="10"/>
  <c r="HA44" i="10"/>
  <c r="HA43" i="10"/>
  <c r="HA42" i="10"/>
  <c r="HA41" i="10"/>
  <c r="HA40" i="10"/>
  <c r="HA39" i="10"/>
  <c r="HA38" i="10"/>
  <c r="HA37" i="10"/>
  <c r="HA36" i="10"/>
  <c r="HA35" i="10"/>
  <c r="HA34" i="10"/>
  <c r="HA33" i="10"/>
  <c r="HA32" i="10"/>
  <c r="HA31" i="10"/>
  <c r="HA30" i="10"/>
  <c r="HA29" i="10"/>
  <c r="HA28" i="10"/>
  <c r="HA27" i="10"/>
  <c r="HA26" i="10"/>
  <c r="HA25" i="10"/>
  <c r="HA24" i="10"/>
  <c r="HA23" i="10"/>
  <c r="HA22" i="10"/>
  <c r="HA21" i="10"/>
  <c r="HA20" i="10"/>
  <c r="HA19" i="10"/>
  <c r="HA18" i="10"/>
  <c r="HA17" i="10"/>
  <c r="HA16" i="10"/>
  <c r="HA15" i="10"/>
  <c r="HA14" i="10"/>
  <c r="HA13" i="10"/>
  <c r="HA12" i="10"/>
  <c r="HA11" i="10"/>
  <c r="HA10" i="10"/>
  <c r="HA8" i="10"/>
  <c r="HA7" i="10"/>
  <c r="HA6" i="10"/>
  <c r="HA5" i="10"/>
  <c r="HE173" i="10"/>
  <c r="HE172" i="10"/>
  <c r="HE171" i="10"/>
  <c r="HE170" i="10"/>
  <c r="HE169" i="10"/>
  <c r="HE168" i="10"/>
  <c r="HE167" i="10"/>
  <c r="HE166" i="10"/>
  <c r="HE165" i="10"/>
  <c r="HE164" i="10"/>
  <c r="HE163" i="10"/>
  <c r="HE162" i="10"/>
  <c r="HE161" i="10"/>
  <c r="HE160" i="10"/>
  <c r="HE159" i="10"/>
  <c r="HE158" i="10"/>
  <c r="HE157" i="10"/>
  <c r="HE156" i="10"/>
  <c r="HE155" i="10"/>
  <c r="HE154" i="10"/>
  <c r="HE153" i="10"/>
  <c r="HE152" i="10"/>
  <c r="HE151" i="10"/>
  <c r="HE150" i="10"/>
  <c r="HE149" i="10"/>
  <c r="HE148" i="10"/>
  <c r="HE147" i="10"/>
  <c r="HE146" i="10"/>
  <c r="HE145" i="10"/>
  <c r="HE144" i="10"/>
  <c r="HE143" i="10"/>
  <c r="HE142" i="10"/>
  <c r="HE141" i="10"/>
  <c r="HE140" i="10"/>
  <c r="HE139" i="10"/>
  <c r="HE138" i="10"/>
  <c r="HE137" i="10"/>
  <c r="HE136" i="10"/>
  <c r="HE135" i="10"/>
  <c r="HE134" i="10"/>
  <c r="HE133" i="10"/>
  <c r="HE132" i="10"/>
  <c r="HE131" i="10"/>
  <c r="HE130" i="10"/>
  <c r="HE129" i="10"/>
  <c r="HE128" i="10"/>
  <c r="HE127" i="10"/>
  <c r="HE126" i="10"/>
  <c r="HE125" i="10"/>
  <c r="HE124" i="10"/>
  <c r="HE123" i="10"/>
  <c r="HE122" i="10"/>
  <c r="HE121" i="10"/>
  <c r="HE120" i="10"/>
  <c r="HE119" i="10"/>
  <c r="HE118" i="10"/>
  <c r="HE117" i="10"/>
  <c r="HE116" i="10"/>
  <c r="HE115" i="10"/>
  <c r="HE114" i="10"/>
  <c r="HE113" i="10"/>
  <c r="HE112" i="10"/>
  <c r="HE111" i="10"/>
  <c r="HE110" i="10"/>
  <c r="HE109" i="10"/>
  <c r="HE108" i="10"/>
  <c r="HE107" i="10"/>
  <c r="HE106" i="10"/>
  <c r="HE105" i="10"/>
  <c r="HE104" i="10"/>
  <c r="HE103" i="10"/>
  <c r="HE102" i="10"/>
  <c r="HE101" i="10"/>
  <c r="HE100" i="10"/>
  <c r="HE99" i="10"/>
  <c r="HE98" i="10"/>
  <c r="HE97" i="10"/>
  <c r="HE96" i="10"/>
  <c r="HE95" i="10"/>
  <c r="HE94" i="10"/>
  <c r="HE93" i="10"/>
  <c r="HE92" i="10"/>
  <c r="HE91" i="10"/>
  <c r="HE90" i="10"/>
  <c r="HE89" i="10"/>
  <c r="HE88" i="10"/>
  <c r="HE87" i="10"/>
  <c r="HE86" i="10"/>
  <c r="HE85" i="10"/>
  <c r="HE84" i="10"/>
  <c r="HE83" i="10"/>
  <c r="HE82" i="10"/>
  <c r="HE81" i="10"/>
  <c r="HE80" i="10"/>
  <c r="HE79" i="10"/>
  <c r="HE78" i="10"/>
  <c r="HE77" i="10"/>
  <c r="HE76" i="10"/>
  <c r="HE75" i="10"/>
  <c r="HE74" i="10"/>
  <c r="HE73" i="10"/>
  <c r="HE72" i="10"/>
  <c r="HE71" i="10"/>
  <c r="HE70" i="10"/>
  <c r="HE69" i="10"/>
  <c r="HE68" i="10"/>
  <c r="HE67" i="10"/>
  <c r="HE66" i="10"/>
  <c r="HE65" i="10"/>
  <c r="HE64" i="10"/>
  <c r="HE63" i="10"/>
  <c r="HE62" i="10"/>
  <c r="HE61" i="10"/>
  <c r="HE60" i="10"/>
  <c r="HE59" i="10"/>
  <c r="HE58" i="10"/>
  <c r="HE57" i="10"/>
  <c r="HE56" i="10"/>
  <c r="HE55" i="10"/>
  <c r="HE54" i="10"/>
  <c r="HE53" i="10"/>
  <c r="HE52" i="10"/>
  <c r="HE51" i="10"/>
  <c r="HE50" i="10"/>
  <c r="HE49" i="10"/>
  <c r="HE48" i="10"/>
  <c r="HE47" i="10"/>
  <c r="HE46" i="10"/>
  <c r="HE45" i="10"/>
  <c r="HE44" i="10"/>
  <c r="HE43" i="10"/>
  <c r="HE42" i="10"/>
  <c r="HE41" i="10"/>
  <c r="HE40" i="10"/>
  <c r="HE39" i="10"/>
  <c r="HE38" i="10"/>
  <c r="HE37" i="10"/>
  <c r="HE36" i="10"/>
  <c r="HE35" i="10"/>
  <c r="HE34" i="10"/>
  <c r="HE33" i="10"/>
  <c r="HE32" i="10"/>
  <c r="HE31" i="10"/>
  <c r="HE30" i="10"/>
  <c r="HE29" i="10"/>
  <c r="HE28" i="10"/>
  <c r="HE27" i="10"/>
  <c r="HE26" i="10"/>
  <c r="HE25" i="10"/>
  <c r="HE24" i="10"/>
  <c r="HE23" i="10"/>
  <c r="HE22" i="10"/>
  <c r="HE21" i="10"/>
  <c r="HE20" i="10"/>
  <c r="HE19" i="10"/>
  <c r="HE18" i="10"/>
  <c r="HE17" i="10"/>
  <c r="HE16" i="10"/>
  <c r="HE15" i="10"/>
  <c r="HE14" i="10"/>
  <c r="HE13" i="10"/>
  <c r="HE12" i="10"/>
  <c r="HE11" i="10"/>
  <c r="HE10" i="10"/>
  <c r="HE9" i="10"/>
  <c r="HE8" i="10"/>
  <c r="HE7" i="10"/>
  <c r="HE6" i="10"/>
  <c r="HE5" i="10"/>
  <c r="HI173" i="10"/>
  <c r="HI172" i="10"/>
  <c r="HI171" i="10"/>
  <c r="HI170" i="10"/>
  <c r="HI169" i="10"/>
  <c r="HI168" i="10"/>
  <c r="HI167" i="10"/>
  <c r="HI166" i="10"/>
  <c r="HI165" i="10"/>
  <c r="HI164" i="10"/>
  <c r="HI163" i="10"/>
  <c r="HI162" i="10"/>
  <c r="HI161" i="10"/>
  <c r="HI160" i="10"/>
  <c r="HI159" i="10"/>
  <c r="HI158" i="10"/>
  <c r="HI157" i="10"/>
  <c r="HI156" i="10"/>
  <c r="HI155" i="10"/>
  <c r="HI154" i="10"/>
  <c r="HI153" i="10"/>
  <c r="HI152" i="10"/>
  <c r="HI151" i="10"/>
  <c r="HI150" i="10"/>
  <c r="HI149" i="10"/>
  <c r="HI148" i="10"/>
  <c r="HI147" i="10"/>
  <c r="HI146" i="10"/>
  <c r="HI145" i="10"/>
  <c r="HI144" i="10"/>
  <c r="HI143" i="10"/>
  <c r="HI142" i="10"/>
  <c r="HI141" i="10"/>
  <c r="HI140" i="10"/>
  <c r="HI139" i="10"/>
  <c r="HI138" i="10"/>
  <c r="HI137" i="10"/>
  <c r="HI136" i="10"/>
  <c r="HI135" i="10"/>
  <c r="HI134" i="10"/>
  <c r="HI133" i="10"/>
  <c r="HI132" i="10"/>
  <c r="HI131" i="10"/>
  <c r="HI130" i="10"/>
  <c r="HI129" i="10"/>
  <c r="HI128" i="10"/>
  <c r="HI127" i="10"/>
  <c r="HI126" i="10"/>
  <c r="HI125" i="10"/>
  <c r="HI124" i="10"/>
  <c r="HI123" i="10"/>
  <c r="HI122" i="10"/>
  <c r="HI121" i="10"/>
  <c r="HI120" i="10"/>
  <c r="HI119" i="10"/>
  <c r="HI118" i="10"/>
  <c r="HI117" i="10"/>
  <c r="HI116" i="10"/>
  <c r="HI115" i="10"/>
  <c r="HI114" i="10"/>
  <c r="HI113" i="10"/>
  <c r="HI112" i="10"/>
  <c r="HI111" i="10"/>
  <c r="HI110" i="10"/>
  <c r="HI109" i="10"/>
  <c r="HI108" i="10"/>
  <c r="HI107" i="10"/>
  <c r="HI106" i="10"/>
  <c r="HI105" i="10"/>
  <c r="HI104" i="10"/>
  <c r="HI103" i="10"/>
  <c r="HI102" i="10"/>
  <c r="HI101" i="10"/>
  <c r="HI100" i="10"/>
  <c r="HI99" i="10"/>
  <c r="HI98" i="10"/>
  <c r="HI97" i="10"/>
  <c r="HI96" i="10"/>
  <c r="HI95" i="10"/>
  <c r="HI94" i="10"/>
  <c r="HI93" i="10"/>
  <c r="HI92" i="10"/>
  <c r="HI91" i="10"/>
  <c r="HI90" i="10"/>
  <c r="HI89" i="10"/>
  <c r="HI88" i="10"/>
  <c r="HI87" i="10"/>
  <c r="HI86" i="10"/>
  <c r="HI85" i="10"/>
  <c r="HI84" i="10"/>
  <c r="HI83" i="10"/>
  <c r="HI82" i="10"/>
  <c r="HI81" i="10"/>
  <c r="HI80" i="10"/>
  <c r="HI79" i="10"/>
  <c r="HI78" i="10"/>
  <c r="HI77" i="10"/>
  <c r="HI76" i="10"/>
  <c r="HI75" i="10"/>
  <c r="HI74" i="10"/>
  <c r="HI73" i="10"/>
  <c r="HI72" i="10"/>
  <c r="HI71" i="10"/>
  <c r="HI70" i="10"/>
  <c r="HI69" i="10"/>
  <c r="HI68" i="10"/>
  <c r="HI67" i="10"/>
  <c r="HI66" i="10"/>
  <c r="HI65" i="10"/>
  <c r="HI64" i="10"/>
  <c r="HI63" i="10"/>
  <c r="HI62" i="10"/>
  <c r="HI61" i="10"/>
  <c r="HI60" i="10"/>
  <c r="HI59" i="10"/>
  <c r="HI58" i="10"/>
  <c r="HI57" i="10"/>
  <c r="HI56" i="10"/>
  <c r="HI55" i="10"/>
  <c r="HI54" i="10"/>
  <c r="HI53" i="10"/>
  <c r="HI52" i="10"/>
  <c r="HI51" i="10"/>
  <c r="HI50" i="10"/>
  <c r="HI49" i="10"/>
  <c r="HI48" i="10"/>
  <c r="HI47" i="10"/>
  <c r="HI46" i="10"/>
  <c r="HI45" i="10"/>
  <c r="HI44" i="10"/>
  <c r="HI43" i="10"/>
  <c r="HI42" i="10"/>
  <c r="HI41" i="10"/>
  <c r="HI40" i="10"/>
  <c r="HI39" i="10"/>
  <c r="HI38" i="10"/>
  <c r="HI37" i="10"/>
  <c r="HI36" i="10"/>
  <c r="HI35" i="10"/>
  <c r="HI34" i="10"/>
  <c r="HI33" i="10"/>
  <c r="HI32" i="10"/>
  <c r="HI31" i="10"/>
  <c r="HI30" i="10"/>
  <c r="HI29" i="10"/>
  <c r="HI28" i="10"/>
  <c r="HI27" i="10"/>
  <c r="HI26" i="10"/>
  <c r="HI25" i="10"/>
  <c r="HI24" i="10"/>
  <c r="HI23" i="10"/>
  <c r="HI22" i="10"/>
  <c r="HI21" i="10"/>
  <c r="HI20" i="10"/>
  <c r="HI19" i="10"/>
  <c r="HI18" i="10"/>
  <c r="HI17" i="10"/>
  <c r="HI16" i="10"/>
  <c r="HI15" i="10"/>
  <c r="HI14" i="10"/>
  <c r="HI13" i="10"/>
  <c r="HI12" i="10"/>
  <c r="HI11" i="10"/>
  <c r="HI10" i="10"/>
  <c r="HI9" i="10"/>
  <c r="HI8" i="10"/>
  <c r="HI7" i="10"/>
  <c r="HI6" i="10"/>
  <c r="HI5" i="10"/>
  <c r="HM173" i="10"/>
  <c r="HM172" i="10"/>
  <c r="HM171" i="10"/>
  <c r="HM170" i="10"/>
  <c r="HM169" i="10"/>
  <c r="HM168" i="10"/>
  <c r="HM167" i="10"/>
  <c r="HM166" i="10"/>
  <c r="HM165" i="10"/>
  <c r="HM164" i="10"/>
  <c r="HM163" i="10"/>
  <c r="HM162" i="10"/>
  <c r="HM161" i="10"/>
  <c r="HM160" i="10"/>
  <c r="HM159" i="10"/>
  <c r="HM158" i="10"/>
  <c r="HM157" i="10"/>
  <c r="HM156" i="10"/>
  <c r="HM155" i="10"/>
  <c r="HM154" i="10"/>
  <c r="HM153" i="10"/>
  <c r="HM152" i="10"/>
  <c r="HM151" i="10"/>
  <c r="HM150" i="10"/>
  <c r="HM149" i="10"/>
  <c r="HM148" i="10"/>
  <c r="HM147" i="10"/>
  <c r="HM146" i="10"/>
  <c r="HM145" i="10"/>
  <c r="HM144" i="10"/>
  <c r="HM143" i="10"/>
  <c r="HM142" i="10"/>
  <c r="HM141" i="10"/>
  <c r="HM140" i="10"/>
  <c r="HM139" i="10"/>
  <c r="HM138" i="10"/>
  <c r="HM137" i="10"/>
  <c r="HM136" i="10"/>
  <c r="HM135" i="10"/>
  <c r="HM134" i="10"/>
  <c r="HM133" i="10"/>
  <c r="HM132" i="10"/>
  <c r="HM131" i="10"/>
  <c r="HM130" i="10"/>
  <c r="HM129" i="10"/>
  <c r="HM128" i="10"/>
  <c r="HM127" i="10"/>
  <c r="HM126" i="10"/>
  <c r="HM125" i="10"/>
  <c r="HM124" i="10"/>
  <c r="HM123" i="10"/>
  <c r="HM122" i="10"/>
  <c r="HM121" i="10"/>
  <c r="HM120" i="10"/>
  <c r="HM119" i="10"/>
  <c r="HM118" i="10"/>
  <c r="HM117" i="10"/>
  <c r="HM116" i="10"/>
  <c r="HM115" i="10"/>
  <c r="HM114" i="10"/>
  <c r="HM113" i="10"/>
  <c r="HM112" i="10"/>
  <c r="HM111" i="10"/>
  <c r="HM110" i="10"/>
  <c r="HM109" i="10"/>
  <c r="HM108" i="10"/>
  <c r="HM107" i="10"/>
  <c r="HM106" i="10"/>
  <c r="HM105" i="10"/>
  <c r="HM104" i="10"/>
  <c r="HM103" i="10"/>
  <c r="HM102" i="10"/>
  <c r="HM101" i="10"/>
  <c r="HM100" i="10"/>
  <c r="HM99" i="10"/>
  <c r="HM98" i="10"/>
  <c r="HM97" i="10"/>
  <c r="HM96" i="10"/>
  <c r="HM95" i="10"/>
  <c r="HM94" i="10"/>
  <c r="HM93" i="10"/>
  <c r="HM92" i="10"/>
  <c r="HM91" i="10"/>
  <c r="HM90" i="10"/>
  <c r="HM89" i="10"/>
  <c r="HM88" i="10"/>
  <c r="HM87" i="10"/>
  <c r="HM86" i="10"/>
  <c r="HM85" i="10"/>
  <c r="HM84" i="10"/>
  <c r="HM83" i="10"/>
  <c r="HM82" i="10"/>
  <c r="HM81" i="10"/>
  <c r="HM80" i="10"/>
  <c r="HM79" i="10"/>
  <c r="HM78" i="10"/>
  <c r="HM77" i="10"/>
  <c r="HM76" i="10"/>
  <c r="HM75" i="10"/>
  <c r="HM74" i="10"/>
  <c r="HM73" i="10"/>
  <c r="HM72" i="10"/>
  <c r="HM71" i="10"/>
  <c r="HM70" i="10"/>
  <c r="HM69" i="10"/>
  <c r="HM68" i="10"/>
  <c r="HM67" i="10"/>
  <c r="HM66" i="10"/>
  <c r="HM65" i="10"/>
  <c r="HM64" i="10"/>
  <c r="HM63" i="10"/>
  <c r="HM62" i="10"/>
  <c r="HM61" i="10"/>
  <c r="HM60" i="10"/>
  <c r="HM59" i="10"/>
  <c r="HM58" i="10"/>
  <c r="HM57" i="10"/>
  <c r="HM56" i="10"/>
  <c r="HM55" i="10"/>
  <c r="HM54" i="10"/>
  <c r="HM53" i="10"/>
  <c r="HM52" i="10"/>
  <c r="HM51" i="10"/>
  <c r="HM50" i="10"/>
  <c r="HM49" i="10"/>
  <c r="HM48" i="10"/>
  <c r="HM47" i="10"/>
  <c r="HM46" i="10"/>
  <c r="HM45" i="10"/>
  <c r="HM44" i="10"/>
  <c r="HM43" i="10"/>
  <c r="HM42" i="10"/>
  <c r="HM41" i="10"/>
  <c r="HM40" i="10"/>
  <c r="HM39" i="10"/>
  <c r="HM38" i="10"/>
  <c r="HM37" i="10"/>
  <c r="HM36" i="10"/>
  <c r="HM35" i="10"/>
  <c r="HM34" i="10"/>
  <c r="HM33" i="10"/>
  <c r="HM32" i="10"/>
  <c r="HM31" i="10"/>
  <c r="HM30" i="10"/>
  <c r="HM29" i="10"/>
  <c r="HM28" i="10"/>
  <c r="HM27" i="10"/>
  <c r="HM26" i="10"/>
  <c r="HM25" i="10"/>
  <c r="HM24" i="10"/>
  <c r="HM23" i="10"/>
  <c r="HM22" i="10"/>
  <c r="HM21" i="10"/>
  <c r="HM20" i="10"/>
  <c r="HM19" i="10"/>
  <c r="HM18" i="10"/>
  <c r="HM17" i="10"/>
  <c r="HM16" i="10"/>
  <c r="HM15" i="10"/>
  <c r="HM14" i="10"/>
  <c r="HM13" i="10"/>
  <c r="HM12" i="10"/>
  <c r="HM11" i="10"/>
  <c r="HM10" i="10"/>
  <c r="HM9" i="10"/>
  <c r="HM8" i="10"/>
  <c r="HM7" i="10"/>
  <c r="HM6" i="10"/>
  <c r="HM5" i="10"/>
  <c r="HQ163" i="10"/>
  <c r="HQ164" i="10"/>
  <c r="HQ165" i="10"/>
  <c r="HQ166" i="10"/>
  <c r="HQ167" i="10"/>
  <c r="HQ168" i="10"/>
  <c r="HQ169" i="10"/>
  <c r="HQ170" i="10"/>
  <c r="HQ171" i="10"/>
  <c r="HQ172" i="10"/>
  <c r="HQ173" i="10"/>
  <c r="HQ10" i="10"/>
  <c r="HQ11" i="10"/>
  <c r="HQ12" i="10"/>
  <c r="HQ13" i="10"/>
  <c r="HQ14" i="10"/>
  <c r="HQ15" i="10"/>
  <c r="HQ16" i="10"/>
  <c r="HQ17" i="10"/>
  <c r="HQ18" i="10"/>
  <c r="HQ19" i="10"/>
  <c r="HQ20" i="10"/>
  <c r="HQ21" i="10"/>
  <c r="HQ22" i="10"/>
  <c r="HQ23" i="10"/>
  <c r="HQ24" i="10"/>
  <c r="HQ25" i="10"/>
  <c r="HQ26" i="10"/>
  <c r="HQ27" i="10"/>
  <c r="HQ28" i="10"/>
  <c r="HQ29" i="10"/>
  <c r="HQ30" i="10"/>
  <c r="HQ31" i="10"/>
  <c r="HQ32" i="10"/>
  <c r="HQ33" i="10"/>
  <c r="HQ34" i="10"/>
  <c r="HQ35" i="10"/>
  <c r="HQ36" i="10"/>
  <c r="HQ37" i="10"/>
  <c r="HQ38" i="10"/>
  <c r="HQ39" i="10"/>
  <c r="HQ40" i="10"/>
  <c r="HQ41" i="10"/>
  <c r="HQ42" i="10"/>
  <c r="HQ43" i="10"/>
  <c r="HQ44" i="10"/>
  <c r="HQ45" i="10"/>
  <c r="HQ46" i="10"/>
  <c r="HQ47" i="10"/>
  <c r="HQ48" i="10"/>
  <c r="HQ49" i="10"/>
  <c r="HQ50" i="10"/>
  <c r="HQ51" i="10"/>
  <c r="HQ52" i="10"/>
  <c r="HQ53" i="10"/>
  <c r="HQ54" i="10"/>
  <c r="HQ55" i="10"/>
  <c r="HQ56" i="10"/>
  <c r="HQ57" i="10"/>
  <c r="HQ58" i="10"/>
  <c r="HQ59" i="10"/>
  <c r="HQ60" i="10"/>
  <c r="HQ61" i="10"/>
  <c r="HQ62" i="10"/>
  <c r="HQ63" i="10"/>
  <c r="HQ64" i="10"/>
  <c r="HQ65" i="10"/>
  <c r="HQ66" i="10"/>
  <c r="HQ67" i="10"/>
  <c r="HQ68" i="10"/>
  <c r="HQ69" i="10"/>
  <c r="HQ70" i="10"/>
  <c r="HQ71" i="10"/>
  <c r="HQ72" i="10"/>
  <c r="HQ73" i="10"/>
  <c r="HQ74" i="10"/>
  <c r="HQ75" i="10"/>
  <c r="HQ76" i="10"/>
  <c r="HQ77" i="10"/>
  <c r="HQ78" i="10"/>
  <c r="HQ79" i="10"/>
  <c r="HQ80" i="10"/>
  <c r="HQ81" i="10"/>
  <c r="HQ82" i="10"/>
  <c r="HQ83" i="10"/>
  <c r="HQ84" i="10"/>
  <c r="HQ85" i="10"/>
  <c r="HQ86" i="10"/>
  <c r="HQ87" i="10"/>
  <c r="HQ88" i="10"/>
  <c r="HQ89" i="10"/>
  <c r="HQ90" i="10"/>
  <c r="HQ91" i="10"/>
  <c r="HQ92" i="10"/>
  <c r="HQ93" i="10"/>
  <c r="HQ94" i="10"/>
  <c r="HQ95" i="10"/>
  <c r="HQ96" i="10"/>
  <c r="HQ97" i="10"/>
  <c r="HQ98" i="10"/>
  <c r="HQ99" i="10"/>
  <c r="HQ100" i="10"/>
  <c r="HQ101" i="10"/>
  <c r="HQ102" i="10"/>
  <c r="HQ103" i="10"/>
  <c r="HQ104" i="10"/>
  <c r="HQ105" i="10"/>
  <c r="HQ106" i="10"/>
  <c r="HQ107" i="10"/>
  <c r="HQ108" i="10"/>
  <c r="HQ109" i="10"/>
  <c r="HQ110" i="10"/>
  <c r="HQ111" i="10"/>
  <c r="HQ112" i="10"/>
  <c r="HQ113" i="10"/>
  <c r="HQ114" i="10"/>
  <c r="HQ115" i="10"/>
  <c r="HQ116" i="10"/>
  <c r="HQ117" i="10"/>
  <c r="HQ118" i="10"/>
  <c r="HQ119" i="10"/>
  <c r="HQ120" i="10"/>
  <c r="HQ121" i="10"/>
  <c r="HQ122" i="10"/>
  <c r="HQ123" i="10"/>
  <c r="HQ124" i="10"/>
  <c r="HQ125" i="10"/>
  <c r="HQ126" i="10"/>
  <c r="HQ127" i="10"/>
  <c r="HQ128" i="10"/>
  <c r="HQ129" i="10"/>
  <c r="HQ130" i="10"/>
  <c r="HQ131" i="10"/>
  <c r="HQ132" i="10"/>
  <c r="HQ133" i="10"/>
  <c r="HQ134" i="10"/>
  <c r="HQ135" i="10"/>
  <c r="HQ136" i="10"/>
  <c r="HQ137" i="10"/>
  <c r="HQ138" i="10"/>
  <c r="HQ139" i="10"/>
  <c r="HQ140" i="10"/>
  <c r="HQ141" i="10"/>
  <c r="HQ142" i="10"/>
  <c r="HQ143" i="10"/>
  <c r="HQ144" i="10"/>
  <c r="HQ145" i="10"/>
  <c r="HQ146" i="10"/>
  <c r="HQ147" i="10"/>
  <c r="HQ148" i="10"/>
  <c r="HQ149" i="10"/>
  <c r="HQ150" i="10"/>
  <c r="HQ151" i="10"/>
  <c r="HQ152" i="10"/>
  <c r="HQ153" i="10"/>
  <c r="HQ154" i="10"/>
  <c r="HQ155" i="10"/>
  <c r="HQ156" i="10"/>
  <c r="HQ157" i="10"/>
  <c r="HQ158" i="10"/>
  <c r="HQ159" i="10"/>
  <c r="HQ160" i="10"/>
  <c r="HQ161" i="10"/>
  <c r="HQ8" i="10"/>
  <c r="HQ7" i="10"/>
  <c r="HQ6" i="10"/>
  <c r="HQ5" i="10"/>
  <c r="HK19" i="10"/>
  <c r="HH5" i="13"/>
  <c r="HH7" i="13"/>
  <c r="HH8" i="13"/>
  <c r="HH9" i="13"/>
  <c r="HH10" i="13"/>
  <c r="HH12" i="13"/>
  <c r="HH13" i="13"/>
  <c r="HH14" i="13"/>
  <c r="HH16" i="13"/>
  <c r="HH18" i="13"/>
  <c r="HH19" i="13"/>
  <c r="HH21" i="13"/>
  <c r="HH23" i="13"/>
  <c r="HH25" i="13"/>
  <c r="HH26" i="13"/>
  <c r="HH28" i="13"/>
  <c r="HH29" i="13"/>
  <c r="HH30" i="13"/>
  <c r="HH31" i="13"/>
  <c r="HH34" i="13"/>
  <c r="HH35" i="13"/>
  <c r="HH36" i="13"/>
  <c r="HH37" i="13"/>
  <c r="HH38" i="13"/>
  <c r="HH39" i="13"/>
  <c r="HH40" i="13"/>
  <c r="HH41" i="13"/>
  <c r="HH46" i="13"/>
  <c r="HH47" i="13"/>
  <c r="HH49" i="13"/>
  <c r="HK162" i="10"/>
  <c r="GU162" i="10"/>
  <c r="GE162" i="10"/>
  <c r="FS162" i="10"/>
  <c r="FO162" i="10"/>
  <c r="EY162" i="10"/>
  <c r="EI162" i="10"/>
  <c r="DW162" i="10"/>
  <c r="DS162" i="10"/>
  <c r="DG162" i="10"/>
  <c r="DC162" i="10"/>
  <c r="CQ162" i="10"/>
  <c r="CM162" i="10"/>
  <c r="CA162" i="10"/>
  <c r="BW162" i="10"/>
  <c r="BK162" i="10"/>
  <c r="BG162" i="10"/>
  <c r="BC162" i="10"/>
  <c r="AU162" i="10"/>
  <c r="AQ162" i="10"/>
  <c r="AE162" i="10"/>
  <c r="AA162" i="10"/>
  <c r="O162" i="10"/>
  <c r="HZ160" i="10"/>
  <c r="HO160" i="10"/>
  <c r="HK160" i="10"/>
  <c r="GY160" i="10"/>
  <c r="GU160" i="10"/>
  <c r="GI160" i="10"/>
  <c r="GE160" i="10"/>
  <c r="FS160" i="10"/>
  <c r="FO160" i="10"/>
  <c r="FC160" i="10"/>
  <c r="EY160" i="10"/>
  <c r="EM160" i="10"/>
  <c r="DW160" i="10"/>
  <c r="DS160" i="10"/>
  <c r="DG160" i="10"/>
  <c r="CA160" i="10"/>
  <c r="CQ160" i="10"/>
  <c r="LB160" i="10"/>
  <c r="LB159" i="10"/>
  <c r="KL160" i="10"/>
  <c r="KL159" i="10"/>
  <c r="JV160" i="10"/>
  <c r="JV159" i="10"/>
  <c r="JF160" i="10"/>
  <c r="JF159" i="10"/>
  <c r="IP160" i="10"/>
  <c r="IP159" i="10"/>
  <c r="HZ159" i="10"/>
  <c r="HK159" i="10"/>
  <c r="GU159" i="10"/>
  <c r="GE159" i="10"/>
  <c r="FO159" i="10"/>
  <c r="EY159" i="10"/>
  <c r="HO159" i="10"/>
  <c r="GY159" i="10"/>
  <c r="GI159" i="10"/>
  <c r="FS159" i="10"/>
  <c r="FC159" i="10"/>
  <c r="EM159" i="10"/>
  <c r="EI160" i="10"/>
  <c r="EI159" i="10"/>
  <c r="DW159" i="10"/>
  <c r="DS159" i="10"/>
  <c r="DG159" i="10"/>
  <c r="DC160" i="10"/>
  <c r="DC159" i="10"/>
  <c r="CQ159" i="10"/>
  <c r="CM160" i="10"/>
  <c r="CM159" i="10"/>
  <c r="CA159" i="10"/>
  <c r="BW160" i="10"/>
  <c r="BW159" i="10"/>
  <c r="BK160" i="10"/>
  <c r="BK159" i="10"/>
  <c r="BG160" i="10"/>
  <c r="BG159" i="10"/>
  <c r="AU159" i="10"/>
  <c r="AQ160" i="10"/>
  <c r="AQ159" i="10"/>
  <c r="AE160" i="10"/>
  <c r="AA160" i="10"/>
  <c r="O160" i="10"/>
  <c r="K160" i="10"/>
  <c r="AE159" i="10"/>
  <c r="AA159" i="10"/>
  <c r="O159" i="10"/>
  <c r="K159" i="10"/>
  <c r="LF157" i="10"/>
  <c r="JJ157" i="10"/>
  <c r="IT157" i="10"/>
  <c r="ID157" i="10"/>
  <c r="F16" i="7"/>
  <c r="BW45" i="17" l="1"/>
  <c r="BT45" i="17"/>
  <c r="BK45" i="17"/>
  <c r="BO45" i="17"/>
  <c r="CE45" i="17"/>
  <c r="AD5" i="13"/>
  <c r="JL42" i="13"/>
  <c r="JM42" i="13" s="1"/>
  <c r="DP5" i="13"/>
  <c r="ET5" i="13"/>
  <c r="HB5" i="13"/>
  <c r="EE5" i="13"/>
  <c r="FI5" i="13"/>
  <c r="GM5" i="13"/>
  <c r="BW5" i="13"/>
  <c r="FX5" i="13"/>
  <c r="D14" i="7"/>
  <c r="HG86" i="10"/>
  <c r="GQ86" i="10"/>
  <c r="GA86" i="10"/>
  <c r="FK86" i="10"/>
  <c r="EU86" i="10"/>
  <c r="EE86" i="10"/>
  <c r="DO86" i="10"/>
  <c r="CY86" i="10"/>
  <c r="CI86" i="10"/>
  <c r="BS86" i="10"/>
  <c r="BC86" i="10"/>
  <c r="AM86" i="10"/>
  <c r="W86" i="10"/>
  <c r="G86" i="10"/>
  <c r="DO177" i="10"/>
  <c r="DP177" i="10" s="1"/>
  <c r="HO85" i="10"/>
  <c r="GY85" i="10"/>
  <c r="GI85" i="10"/>
  <c r="FS85" i="10"/>
  <c r="FC85" i="10"/>
  <c r="EM85" i="10"/>
  <c r="DW85" i="10"/>
  <c r="DG85" i="10"/>
  <c r="CQ85" i="10"/>
  <c r="CA85" i="10"/>
  <c r="BK85" i="10"/>
  <c r="AU85" i="10"/>
  <c r="AE85" i="10"/>
  <c r="O85" i="10"/>
  <c r="C85" i="10"/>
  <c r="C84" i="10"/>
  <c r="HO84" i="10"/>
  <c r="GY84" i="10"/>
  <c r="GI84" i="10"/>
  <c r="FS84" i="10"/>
  <c r="FC84" i="10"/>
  <c r="EM84" i="10"/>
  <c r="DW84" i="10"/>
  <c r="DK84" i="10"/>
  <c r="DG84" i="10"/>
  <c r="CU84" i="10"/>
  <c r="CQ84" i="10"/>
  <c r="CI84" i="10"/>
  <c r="CE84" i="10"/>
  <c r="CA84" i="10"/>
  <c r="BS84" i="10"/>
  <c r="BO84" i="10"/>
  <c r="BK84" i="10"/>
  <c r="AU84" i="10"/>
  <c r="AM84" i="10"/>
  <c r="AI84" i="10"/>
  <c r="AE84" i="10"/>
  <c r="S84" i="10"/>
  <c r="O84" i="10"/>
  <c r="HO62" i="10"/>
  <c r="GY62" i="10"/>
  <c r="GI62" i="10"/>
  <c r="FS62" i="10"/>
  <c r="FC62" i="10"/>
  <c r="EM62" i="10"/>
  <c r="O62" i="10"/>
  <c r="HO61" i="10"/>
  <c r="GY61" i="10"/>
  <c r="GI61" i="10"/>
  <c r="FS61" i="10"/>
  <c r="HO60" i="10"/>
  <c r="HG60" i="10"/>
  <c r="GY60" i="10"/>
  <c r="GQ60" i="10"/>
  <c r="GA60" i="10"/>
  <c r="FW60" i="10"/>
  <c r="FK60" i="10"/>
  <c r="FC60" i="10"/>
  <c r="EQ60" i="10"/>
  <c r="EM60" i="10"/>
  <c r="EE60" i="10"/>
  <c r="DW60" i="10"/>
  <c r="DO60" i="10"/>
  <c r="DG60" i="10"/>
  <c r="CY60" i="10"/>
  <c r="CQ60" i="10"/>
  <c r="CI60" i="10"/>
  <c r="CA60" i="10"/>
  <c r="BK60" i="10"/>
  <c r="AU60" i="10"/>
  <c r="AE60" i="10"/>
  <c r="O60" i="10"/>
  <c r="HO58" i="10"/>
  <c r="HK58" i="10"/>
  <c r="GU58" i="10"/>
  <c r="GE58" i="10"/>
  <c r="FO58" i="10"/>
  <c r="EY58" i="10"/>
  <c r="EI58" i="10"/>
  <c r="DW58" i="10"/>
  <c r="DS58" i="10"/>
  <c r="DG58" i="10"/>
  <c r="DC58" i="10"/>
  <c r="CQ58" i="10"/>
  <c r="CM58" i="10"/>
  <c r="CA58" i="10"/>
  <c r="BW58" i="10"/>
  <c r="AQ58" i="10"/>
  <c r="AA58" i="10"/>
  <c r="K58" i="10"/>
  <c r="HO56" i="10"/>
  <c r="HG56" i="10"/>
  <c r="GY56" i="10"/>
  <c r="GQ56" i="10"/>
  <c r="GI56" i="10"/>
  <c r="GA56" i="10"/>
  <c r="FS56" i="10"/>
  <c r="FK56" i="10"/>
  <c r="FC56" i="10"/>
  <c r="EU56" i="10"/>
  <c r="EM56" i="10"/>
  <c r="EE56" i="10"/>
  <c r="DW56" i="10"/>
  <c r="DO56" i="10"/>
  <c r="DG56" i="10"/>
  <c r="CY56" i="10"/>
  <c r="CQ56" i="10"/>
  <c r="CI56" i="10"/>
  <c r="CA56" i="10"/>
  <c r="BS56" i="10"/>
  <c r="BK56" i="10"/>
  <c r="BC56" i="10"/>
  <c r="AU56" i="10"/>
  <c r="AM56" i="10"/>
  <c r="AI56" i="10"/>
  <c r="AE56" i="10"/>
  <c r="W56" i="10"/>
  <c r="O56" i="10"/>
  <c r="HK21" i="10"/>
  <c r="GU21" i="10"/>
  <c r="GE21" i="10"/>
  <c r="FO21" i="10"/>
  <c r="EY21" i="10"/>
  <c r="EI21" i="10"/>
  <c r="DS21" i="10"/>
  <c r="DC21" i="10"/>
  <c r="HK20" i="10"/>
  <c r="GU20" i="10"/>
  <c r="GE20" i="10"/>
  <c r="FO20" i="10"/>
  <c r="EY20" i="10"/>
  <c r="EI20" i="10"/>
  <c r="DS20" i="10"/>
  <c r="GU19" i="10"/>
  <c r="GE19" i="10"/>
  <c r="FO19" i="10"/>
  <c r="EY19" i="10"/>
  <c r="EI19" i="10"/>
  <c r="DW19" i="10"/>
  <c r="DS19" i="10"/>
  <c r="DG19" i="10"/>
  <c r="DC19" i="10"/>
  <c r="CQ19" i="10"/>
  <c r="HO17" i="10"/>
  <c r="HO18" i="10"/>
  <c r="HK18" i="10"/>
  <c r="GY18" i="10"/>
  <c r="GU18" i="10"/>
  <c r="GI18" i="10"/>
  <c r="GE18" i="10"/>
  <c r="FS18" i="10"/>
  <c r="FO18" i="10"/>
  <c r="FC18" i="10"/>
  <c r="EY18" i="10"/>
  <c r="EI18" i="10"/>
  <c r="DW18" i="10"/>
  <c r="DS18" i="10"/>
  <c r="DG18" i="10"/>
  <c r="DC18" i="10"/>
  <c r="CQ18" i="10"/>
  <c r="HO16" i="10"/>
  <c r="GY16" i="10"/>
  <c r="GI16" i="10"/>
  <c r="FS16" i="10"/>
  <c r="FC16" i="10"/>
  <c r="EM16" i="10"/>
  <c r="DW16" i="10"/>
  <c r="DG16" i="10"/>
  <c r="HK17" i="10"/>
  <c r="HG17" i="10"/>
  <c r="GY17" i="10"/>
  <c r="GU17" i="10"/>
  <c r="GQ17" i="10"/>
  <c r="GI17" i="10"/>
  <c r="GE17" i="10"/>
  <c r="GA17" i="10"/>
  <c r="FS17" i="10"/>
  <c r="FO17" i="10"/>
  <c r="FK17" i="10"/>
  <c r="FC17" i="10"/>
  <c r="EY17" i="10"/>
  <c r="EU17" i="10"/>
  <c r="EM17" i="10"/>
  <c r="EI17" i="10"/>
  <c r="EE17" i="10"/>
  <c r="DW17" i="10"/>
  <c r="DS17" i="10"/>
  <c r="DG17" i="10"/>
  <c r="CQ17" i="10"/>
  <c r="HO13" i="10"/>
  <c r="HK13" i="10"/>
  <c r="GY13" i="10"/>
  <c r="GU13" i="10"/>
  <c r="GI13" i="10"/>
  <c r="GE13" i="10"/>
  <c r="FS13" i="10"/>
  <c r="FO13" i="10"/>
  <c r="FC13" i="10"/>
  <c r="EY13" i="10"/>
  <c r="EM13" i="10"/>
  <c r="EI13" i="10"/>
  <c r="DW13" i="10"/>
  <c r="DS13" i="10"/>
  <c r="CQ13" i="10"/>
  <c r="CA13" i="10"/>
  <c r="BK13" i="10"/>
  <c r="HO12" i="10"/>
  <c r="GY12" i="10"/>
  <c r="GI12" i="10"/>
  <c r="FS12" i="10"/>
  <c r="FC12" i="10"/>
  <c r="EM12" i="10"/>
  <c r="DW12" i="10"/>
  <c r="DG12" i="10"/>
  <c r="CQ12" i="10"/>
  <c r="CA12" i="10"/>
  <c r="BK12" i="10"/>
  <c r="AU12" i="10"/>
  <c r="AE12" i="10"/>
  <c r="O12" i="10"/>
  <c r="CF173" i="10"/>
  <c r="CG173" i="10" s="1"/>
  <c r="BP173" i="10"/>
  <c r="BQ173" i="10" s="1"/>
  <c r="AJ173" i="10"/>
  <c r="AK173" i="10" s="1"/>
  <c r="T173" i="10"/>
  <c r="U173" i="10" s="1"/>
  <c r="HP162" i="10"/>
  <c r="HQ162" i="10" s="1"/>
  <c r="HO162" i="10"/>
  <c r="GZ162" i="10"/>
  <c r="HA162" i="10" s="1"/>
  <c r="GY162" i="10"/>
  <c r="GJ162" i="10"/>
  <c r="GK162" i="10" s="1"/>
  <c r="GI162" i="10"/>
  <c r="FT162" i="10"/>
  <c r="FU162" i="10" s="1"/>
  <c r="FD162" i="10"/>
  <c r="FE162" i="10" s="1"/>
  <c r="FC162" i="10"/>
  <c r="EN162" i="10"/>
  <c r="EO162" i="10" s="1"/>
  <c r="EM162" i="10"/>
  <c r="AV162" i="10"/>
  <c r="AW162" i="10" s="1"/>
  <c r="DP140" i="10"/>
  <c r="DQ140" i="10" s="1"/>
  <c r="DO140" i="10"/>
  <c r="CZ140" i="10"/>
  <c r="DA140" i="10" s="1"/>
  <c r="CY140" i="10"/>
  <c r="GY10" i="10"/>
  <c r="HP9" i="10"/>
  <c r="HQ9" i="10" s="1"/>
  <c r="GZ9" i="10"/>
  <c r="HA9" i="10" s="1"/>
  <c r="GJ9" i="10"/>
  <c r="GK9" i="10" s="1"/>
  <c r="FT9" i="10"/>
  <c r="FU9" i="10" s="1"/>
  <c r="FD9" i="10"/>
  <c r="FE9" i="10" s="1"/>
  <c r="EN9" i="10"/>
  <c r="EO9" i="10" s="1"/>
  <c r="DX9" i="10"/>
  <c r="DY9" i="10" s="1"/>
  <c r="DH9" i="10"/>
  <c r="DI9" i="10" s="1"/>
  <c r="CR9" i="10"/>
  <c r="CS9" i="10" s="1"/>
  <c r="ER8" i="18"/>
  <c r="ER7" i="18"/>
  <c r="EO8" i="18"/>
  <c r="EO7" i="18"/>
  <c r="DF8" i="12"/>
  <c r="DF7" i="12"/>
  <c r="DD8" i="12"/>
  <c r="DD7" i="12"/>
  <c r="DU21" i="9"/>
  <c r="DU22" i="9"/>
  <c r="DS22" i="9"/>
  <c r="DS21" i="9"/>
  <c r="EO4" i="18"/>
  <c r="DD4" i="12"/>
  <c r="DS9" i="9"/>
  <c r="DY30" i="9"/>
  <c r="AJ46" i="9"/>
  <c r="AF30" i="9"/>
  <c r="G14" i="18"/>
  <c r="G13" i="18"/>
  <c r="G12" i="18"/>
  <c r="G11" i="18"/>
  <c r="G10" i="18"/>
  <c r="G9" i="18"/>
  <c r="G8" i="18"/>
  <c r="G7" i="18"/>
  <c r="G6" i="18"/>
  <c r="G5" i="18"/>
  <c r="G4" i="18"/>
  <c r="K14" i="18"/>
  <c r="K13" i="18"/>
  <c r="K12" i="18"/>
  <c r="K11" i="18"/>
  <c r="K10" i="18"/>
  <c r="K9" i="18"/>
  <c r="K8" i="18"/>
  <c r="K7" i="18"/>
  <c r="K6" i="18"/>
  <c r="K5" i="18"/>
  <c r="K4" i="18"/>
  <c r="O14" i="18"/>
  <c r="O13" i="18"/>
  <c r="O12" i="18"/>
  <c r="O11" i="18"/>
  <c r="O10" i="18"/>
  <c r="O9" i="18"/>
  <c r="O8" i="18"/>
  <c r="O7" i="18"/>
  <c r="O6" i="18"/>
  <c r="O5" i="18"/>
  <c r="O4" i="18"/>
  <c r="S14" i="18"/>
  <c r="S13" i="18"/>
  <c r="S12" i="18"/>
  <c r="S11" i="18"/>
  <c r="S10" i="18"/>
  <c r="S9" i="18"/>
  <c r="S8" i="18"/>
  <c r="S7" i="18"/>
  <c r="S6" i="18"/>
  <c r="S5" i="18"/>
  <c r="S4" i="18"/>
  <c r="W14" i="18"/>
  <c r="W13" i="18"/>
  <c r="W12" i="18"/>
  <c r="W11" i="18"/>
  <c r="W10" i="18"/>
  <c r="W9" i="18"/>
  <c r="W8" i="18"/>
  <c r="W7" i="18"/>
  <c r="W6" i="18"/>
  <c r="W5" i="18"/>
  <c r="W4" i="18"/>
  <c r="AB14" i="18"/>
  <c r="AB13" i="18"/>
  <c r="AB12" i="18"/>
  <c r="AB11" i="18"/>
  <c r="AB10" i="18"/>
  <c r="AB9" i="18"/>
  <c r="AB8" i="18"/>
  <c r="AB7" i="18"/>
  <c r="AB6" i="18"/>
  <c r="AB5" i="18"/>
  <c r="AB4" i="18"/>
  <c r="AG14" i="18"/>
  <c r="AG13" i="18"/>
  <c r="AG12" i="18"/>
  <c r="AG11" i="18"/>
  <c r="AG10" i="18"/>
  <c r="AG9" i="18"/>
  <c r="AG8" i="18"/>
  <c r="AG7" i="18"/>
  <c r="AG6" i="18"/>
  <c r="AG5" i="18"/>
  <c r="AG4" i="18"/>
  <c r="AK14" i="18"/>
  <c r="AK13" i="18"/>
  <c r="AK12" i="18"/>
  <c r="AK11" i="18"/>
  <c r="AK10" i="18"/>
  <c r="AK9" i="18"/>
  <c r="AK8" i="18"/>
  <c r="AK7" i="18"/>
  <c r="AK6" i="18"/>
  <c r="AK5" i="18"/>
  <c r="AK4" i="18"/>
  <c r="AO14" i="18"/>
  <c r="AO13" i="18"/>
  <c r="AO12" i="18"/>
  <c r="AO11" i="18"/>
  <c r="AO10" i="18"/>
  <c r="AO9" i="18"/>
  <c r="AO8" i="18"/>
  <c r="AO7" i="18"/>
  <c r="AO6" i="18"/>
  <c r="AO5" i="18"/>
  <c r="AO4" i="18"/>
  <c r="AS14" i="18"/>
  <c r="AS13" i="18"/>
  <c r="AS12" i="18"/>
  <c r="AS11" i="18"/>
  <c r="AS10" i="18"/>
  <c r="AS9" i="18"/>
  <c r="AS8" i="18"/>
  <c r="AS7" i="18"/>
  <c r="AS6" i="18"/>
  <c r="AS5" i="18"/>
  <c r="AS4" i="18"/>
  <c r="AW14" i="18"/>
  <c r="AW13" i="18"/>
  <c r="AW12" i="18"/>
  <c r="AW11" i="18"/>
  <c r="AW10" i="18"/>
  <c r="AW9" i="18"/>
  <c r="AW8" i="18"/>
  <c r="AW7" i="18"/>
  <c r="AW6" i="18"/>
  <c r="AW5" i="18"/>
  <c r="AW4" i="18"/>
  <c r="BA14" i="18"/>
  <c r="BA13" i="18"/>
  <c r="BA12" i="18"/>
  <c r="BA11" i="18"/>
  <c r="BA10" i="18"/>
  <c r="BA9" i="18"/>
  <c r="BA8" i="18"/>
  <c r="BA7" i="18"/>
  <c r="BA6" i="18"/>
  <c r="BA5" i="18"/>
  <c r="BA4" i="18"/>
  <c r="BE14" i="18"/>
  <c r="BE13" i="18"/>
  <c r="BE12" i="18"/>
  <c r="BE11" i="18"/>
  <c r="BE10" i="18"/>
  <c r="BE9" i="18"/>
  <c r="BE8" i="18"/>
  <c r="BE7" i="18"/>
  <c r="BE6" i="18"/>
  <c r="BE5" i="18"/>
  <c r="BE4" i="18"/>
  <c r="BI14" i="18"/>
  <c r="BI13" i="18"/>
  <c r="BI12" i="18"/>
  <c r="BI11" i="18"/>
  <c r="BI10" i="18"/>
  <c r="BI9" i="18"/>
  <c r="BI8" i="18"/>
  <c r="BI7" i="18"/>
  <c r="BI6" i="18"/>
  <c r="BI5" i="18"/>
  <c r="BI4" i="18"/>
  <c r="U9" i="9"/>
  <c r="F31" i="7"/>
  <c r="U10" i="9"/>
  <c r="AF10" i="9" l="1"/>
  <c r="AB10" i="9"/>
  <c r="Y10" i="9"/>
  <c r="AJ10" i="9"/>
  <c r="AF9" i="9"/>
  <c r="AB9" i="9"/>
  <c r="Y9" i="9"/>
  <c r="AJ9" i="9"/>
  <c r="AF46" i="9"/>
  <c r="AB46" i="9"/>
  <c r="Y46" i="9"/>
  <c r="U46" i="9"/>
  <c r="Q46" i="9"/>
  <c r="M46" i="9"/>
  <c r="J46" i="9"/>
  <c r="F46" i="9"/>
  <c r="C46" i="9"/>
  <c r="AF45" i="9"/>
  <c r="AB45" i="9"/>
  <c r="Y45" i="9"/>
  <c r="AJ45" i="9"/>
  <c r="AJ33" i="9"/>
  <c r="AF33" i="9"/>
  <c r="AB33" i="9"/>
  <c r="Y33" i="9"/>
  <c r="U33" i="9"/>
  <c r="Q33" i="9"/>
  <c r="M33" i="9"/>
  <c r="J33" i="9"/>
  <c r="F33" i="9"/>
  <c r="C33" i="9"/>
  <c r="AF21" i="9"/>
  <c r="AB21" i="9"/>
  <c r="Y21" i="9"/>
  <c r="AF22" i="9"/>
  <c r="AB22" i="9"/>
  <c r="Y22" i="9"/>
  <c r="U22" i="9"/>
  <c r="Q22" i="9"/>
  <c r="M22" i="9"/>
  <c r="J22" i="9"/>
  <c r="F22" i="9"/>
  <c r="C22" i="9"/>
  <c r="AF32" i="9"/>
  <c r="AB32" i="9"/>
  <c r="Y32" i="9"/>
  <c r="U32" i="9"/>
  <c r="Q32" i="9"/>
  <c r="M32" i="9"/>
  <c r="J32" i="9"/>
  <c r="F32" i="9"/>
  <c r="C32" i="9"/>
  <c r="AJ32" i="9"/>
  <c r="AF31" i="9" l="1"/>
  <c r="AB31" i="9"/>
  <c r="Y31" i="9"/>
  <c r="U31" i="9"/>
  <c r="Q31" i="9"/>
  <c r="M31" i="9"/>
  <c r="F31" i="9"/>
  <c r="AJ31" i="9"/>
  <c r="AB30" i="9"/>
  <c r="Y30" i="9"/>
  <c r="U30" i="9"/>
  <c r="F30" i="9"/>
  <c r="AJ30" i="9"/>
  <c r="AV45" i="9"/>
  <c r="AS45" i="9"/>
  <c r="AP45" i="9"/>
  <c r="AM45" i="9"/>
  <c r="AV46" i="9"/>
  <c r="AS46" i="9"/>
  <c r="AP46" i="9"/>
  <c r="AM46" i="9"/>
  <c r="AV33" i="9"/>
  <c r="AS33" i="9"/>
  <c r="AP33" i="9"/>
  <c r="AM33" i="9"/>
  <c r="AV32" i="9"/>
  <c r="AS32" i="9"/>
  <c r="AP32" i="9"/>
  <c r="AM32" i="9"/>
  <c r="AV31" i="9"/>
  <c r="AS31" i="9"/>
  <c r="AP31" i="9"/>
  <c r="AM31" i="9"/>
  <c r="AV30" i="9"/>
  <c r="AS30" i="9"/>
  <c r="AP30" i="9"/>
  <c r="AM30" i="9"/>
  <c r="AV22" i="9"/>
  <c r="AS22" i="9"/>
  <c r="AP22" i="9"/>
  <c r="AM22" i="9"/>
  <c r="AJ22" i="9"/>
  <c r="AV21" i="9"/>
  <c r="AS21" i="9"/>
  <c r="AP21" i="9"/>
  <c r="AM21" i="9"/>
  <c r="AJ21" i="9"/>
  <c r="AV10" i="9"/>
  <c r="AS10" i="9"/>
  <c r="AP10" i="9"/>
  <c r="AM10" i="9"/>
  <c r="AS9" i="9"/>
  <c r="AP9" i="9"/>
  <c r="AM9" i="9"/>
  <c r="AV9" i="9"/>
  <c r="E48" i="9"/>
  <c r="E43" i="9"/>
  <c r="E36" i="9"/>
  <c r="E32" i="9"/>
  <c r="E25" i="9"/>
  <c r="E20" i="9"/>
  <c r="E14" i="9"/>
  <c r="E10" i="9"/>
  <c r="O40" i="9"/>
  <c r="O29" i="9"/>
  <c r="O18" i="9"/>
  <c r="O11" i="9"/>
  <c r="O7" i="9"/>
  <c r="AH49" i="9"/>
  <c r="AH32" i="9"/>
  <c r="AH15" i="9"/>
  <c r="AU5" i="9"/>
  <c r="AU6" i="9"/>
  <c r="AU7" i="9"/>
  <c r="AU9" i="9"/>
  <c r="AU10" i="9"/>
  <c r="AU11" i="9"/>
  <c r="AU13" i="9"/>
  <c r="AU14" i="9"/>
  <c r="AU15" i="9"/>
  <c r="AU17" i="9"/>
  <c r="AU18" i="9"/>
  <c r="AU19" i="9"/>
  <c r="AU22" i="9"/>
  <c r="AU23" i="9"/>
  <c r="AU24" i="9"/>
  <c r="AU26" i="9"/>
  <c r="AU27" i="9"/>
  <c r="AU28" i="9"/>
  <c r="AU30" i="9"/>
  <c r="AU31" i="9"/>
  <c r="AU32" i="9"/>
  <c r="AU34" i="9"/>
  <c r="AU35" i="9"/>
  <c r="AU36" i="9"/>
  <c r="AU38" i="9"/>
  <c r="AU39" i="9"/>
  <c r="AU40" i="9"/>
  <c r="AU42" i="9"/>
  <c r="AU43" i="9"/>
  <c r="AU45" i="9"/>
  <c r="AU47" i="9"/>
  <c r="AU48" i="9"/>
  <c r="AU49" i="9"/>
  <c r="AU4" i="9"/>
  <c r="I46" i="7"/>
  <c r="E46" i="7"/>
  <c r="H46" i="7" s="1"/>
  <c r="AU44" i="9" s="1"/>
  <c r="E45" i="7"/>
  <c r="I45" i="7" s="1"/>
  <c r="E44" i="7"/>
  <c r="I44" i="7" s="1"/>
  <c r="E43" i="7"/>
  <c r="I43" i="7" s="1"/>
  <c r="E42" i="7"/>
  <c r="H42" i="7" s="1"/>
  <c r="E41" i="7"/>
  <c r="E40" i="7"/>
  <c r="I40" i="7" s="1"/>
  <c r="E39" i="7"/>
  <c r="I39" i="7" s="1"/>
  <c r="E38" i="7"/>
  <c r="I37" i="7"/>
  <c r="E37" i="7"/>
  <c r="H37" i="7" s="1"/>
  <c r="E36" i="7"/>
  <c r="I36" i="7" s="1"/>
  <c r="E35" i="7"/>
  <c r="I35" i="7" s="1"/>
  <c r="E34" i="7"/>
  <c r="H34" i="7" s="1"/>
  <c r="I41" i="7" l="1"/>
  <c r="H41" i="7"/>
  <c r="H38" i="7"/>
  <c r="I38" i="7"/>
  <c r="AH44" i="9"/>
  <c r="AH47" i="9"/>
  <c r="AH42" i="9"/>
  <c r="AH38" i="9"/>
  <c r="AH34" i="9"/>
  <c r="AH30" i="9"/>
  <c r="AH26" i="9"/>
  <c r="AH22" i="9"/>
  <c r="AH17" i="9"/>
  <c r="AH13" i="9"/>
  <c r="AH9" i="9"/>
  <c r="AH5" i="9"/>
  <c r="AH51" i="9"/>
  <c r="AH46" i="9"/>
  <c r="AH41" i="9"/>
  <c r="AH37" i="9"/>
  <c r="AH33" i="9"/>
  <c r="AH29" i="9"/>
  <c r="AH25" i="9"/>
  <c r="AH20" i="9"/>
  <c r="AH16" i="9"/>
  <c r="AH12" i="9"/>
  <c r="AH8" i="9"/>
  <c r="AH4" i="9"/>
  <c r="AH48" i="9"/>
  <c r="AH39" i="9"/>
  <c r="AH31" i="9"/>
  <c r="AH23" i="9"/>
  <c r="AH14" i="9"/>
  <c r="AH6" i="9"/>
  <c r="AH45" i="9"/>
  <c r="AH36" i="9"/>
  <c r="AH28" i="9"/>
  <c r="AH19" i="9"/>
  <c r="AH11" i="9"/>
  <c r="AH18" i="9"/>
  <c r="AH35" i="9"/>
  <c r="I42" i="7"/>
  <c r="H45" i="7"/>
  <c r="AH7" i="9"/>
  <c r="AH24" i="9"/>
  <c r="AH40" i="9"/>
  <c r="O44" i="9"/>
  <c r="O47" i="9"/>
  <c r="O42" i="9"/>
  <c r="O38" i="9"/>
  <c r="O34" i="9"/>
  <c r="O30" i="9"/>
  <c r="O26" i="9"/>
  <c r="O22" i="9"/>
  <c r="O17" i="9"/>
  <c r="O13" i="9"/>
  <c r="O9" i="9"/>
  <c r="O5" i="9"/>
  <c r="O49" i="9"/>
  <c r="O43" i="9"/>
  <c r="O37" i="9"/>
  <c r="O32" i="9"/>
  <c r="O27" i="9"/>
  <c r="O20" i="9"/>
  <c r="O15" i="9"/>
  <c r="O10" i="9"/>
  <c r="O4" i="9"/>
  <c r="O48" i="9"/>
  <c r="O41" i="9"/>
  <c r="O36" i="9"/>
  <c r="O31" i="9"/>
  <c r="O25" i="9"/>
  <c r="O19" i="9"/>
  <c r="O14" i="9"/>
  <c r="O8" i="9"/>
  <c r="O51" i="9"/>
  <c r="O39" i="9"/>
  <c r="O28" i="9"/>
  <c r="O16" i="9"/>
  <c r="O6" i="9"/>
  <c r="O46" i="9"/>
  <c r="O35" i="9"/>
  <c r="O24" i="9"/>
  <c r="O12" i="9"/>
  <c r="O45" i="9"/>
  <c r="O33" i="9"/>
  <c r="AH10" i="9"/>
  <c r="AH27" i="9"/>
  <c r="AH43" i="9"/>
  <c r="O23" i="9"/>
  <c r="E44" i="9"/>
  <c r="E47" i="9"/>
  <c r="E42" i="9"/>
  <c r="E38" i="9"/>
  <c r="E34" i="9"/>
  <c r="E30" i="9"/>
  <c r="E26" i="9"/>
  <c r="E22" i="9"/>
  <c r="E17" i="9"/>
  <c r="E13" i="9"/>
  <c r="E9" i="9"/>
  <c r="E5" i="9"/>
  <c r="E46" i="9"/>
  <c r="E40" i="9"/>
  <c r="E35" i="9"/>
  <c r="E29" i="9"/>
  <c r="E24" i="9"/>
  <c r="E18" i="9"/>
  <c r="E12" i="9"/>
  <c r="E7" i="9"/>
  <c r="E51" i="9"/>
  <c r="E45" i="9"/>
  <c r="E39" i="9"/>
  <c r="E33" i="9"/>
  <c r="E28" i="9"/>
  <c r="E23" i="9"/>
  <c r="E16" i="9"/>
  <c r="E11" i="9"/>
  <c r="E6" i="9"/>
  <c r="E4" i="9"/>
  <c r="E15" i="9"/>
  <c r="E27" i="9"/>
  <c r="E37" i="9"/>
  <c r="E49" i="9"/>
  <c r="I34" i="7"/>
  <c r="AU51" i="9"/>
  <c r="AU46" i="9"/>
  <c r="AU41" i="9"/>
  <c r="AU37" i="9"/>
  <c r="AU33" i="9"/>
  <c r="AU29" i="9"/>
  <c r="AU25" i="9"/>
  <c r="AU20" i="9"/>
  <c r="AU16" i="9"/>
  <c r="AU12" i="9"/>
  <c r="AU8" i="9"/>
  <c r="E8" i="9"/>
  <c r="E19" i="9"/>
  <c r="E31" i="9"/>
  <c r="E41" i="9"/>
  <c r="H36" i="7"/>
  <c r="H40" i="7"/>
  <c r="H44" i="7"/>
  <c r="H35" i="7"/>
  <c r="H39" i="7"/>
  <c r="H43" i="7"/>
  <c r="H44" i="9" l="1"/>
  <c r="H48" i="9"/>
  <c r="H43" i="9"/>
  <c r="H39" i="9"/>
  <c r="H35" i="9"/>
  <c r="H31" i="9"/>
  <c r="H27" i="9"/>
  <c r="H23" i="9"/>
  <c r="H18" i="9"/>
  <c r="H14" i="9"/>
  <c r="H10" i="9"/>
  <c r="H6" i="9"/>
  <c r="H49" i="9"/>
  <c r="H42" i="9"/>
  <c r="H37" i="9"/>
  <c r="H32" i="9"/>
  <c r="H26" i="9"/>
  <c r="H20" i="9"/>
  <c r="H15" i="9"/>
  <c r="H9" i="9"/>
  <c r="H4" i="9"/>
  <c r="H47" i="9"/>
  <c r="H41" i="9"/>
  <c r="H36" i="9"/>
  <c r="H30" i="9"/>
  <c r="H25" i="9"/>
  <c r="H19" i="9"/>
  <c r="H13" i="9"/>
  <c r="H8" i="9"/>
  <c r="H45" i="9"/>
  <c r="H33" i="9"/>
  <c r="H22" i="9"/>
  <c r="H11" i="9"/>
  <c r="H40" i="9"/>
  <c r="H29" i="9"/>
  <c r="H17" i="9"/>
  <c r="H7" i="9"/>
  <c r="H51" i="9"/>
  <c r="H38" i="9"/>
  <c r="H28" i="9"/>
  <c r="H16" i="9"/>
  <c r="H5" i="9"/>
  <c r="H12" i="9"/>
  <c r="H46" i="9"/>
  <c r="H34" i="9"/>
  <c r="H24" i="9"/>
  <c r="AO44" i="9"/>
  <c r="AO49" i="9"/>
  <c r="AO45" i="9"/>
  <c r="AO40" i="9"/>
  <c r="AO36" i="9"/>
  <c r="AO32" i="9"/>
  <c r="AO28" i="9"/>
  <c r="AO24" i="9"/>
  <c r="AO19" i="9"/>
  <c r="AO15" i="9"/>
  <c r="AO11" i="9"/>
  <c r="AO7" i="9"/>
  <c r="AO48" i="9"/>
  <c r="AO43" i="9"/>
  <c r="AO39" i="9"/>
  <c r="AO35" i="9"/>
  <c r="AO31" i="9"/>
  <c r="AO27" i="9"/>
  <c r="AO23" i="9"/>
  <c r="AO18" i="9"/>
  <c r="AO14" i="9"/>
  <c r="AO10" i="9"/>
  <c r="AO6" i="9"/>
  <c r="AO47" i="9"/>
  <c r="AO38" i="9"/>
  <c r="AO30" i="9"/>
  <c r="AO22" i="9"/>
  <c r="AO13" i="9"/>
  <c r="AO5" i="9"/>
  <c r="AO46" i="9"/>
  <c r="AO37" i="9"/>
  <c r="AO29" i="9"/>
  <c r="AO20" i="9"/>
  <c r="AO12" i="9"/>
  <c r="AO4" i="9"/>
  <c r="AO42" i="9"/>
  <c r="AO34" i="9"/>
  <c r="AO26" i="9"/>
  <c r="AO17" i="9"/>
  <c r="AO9" i="9"/>
  <c r="AO51" i="9"/>
  <c r="AO41" i="9"/>
  <c r="AO33" i="9"/>
  <c r="AO25" i="9"/>
  <c r="AO16" i="9"/>
  <c r="AO8" i="9"/>
  <c r="AR44" i="9"/>
  <c r="AR51" i="9"/>
  <c r="AR46" i="9"/>
  <c r="AR41" i="9"/>
  <c r="AR37" i="9"/>
  <c r="AR33" i="9"/>
  <c r="AR29" i="9"/>
  <c r="AR25" i="9"/>
  <c r="AR20" i="9"/>
  <c r="AR16" i="9"/>
  <c r="AR12" i="9"/>
  <c r="AR8" i="9"/>
  <c r="AR4" i="9"/>
  <c r="AR49" i="9"/>
  <c r="AR45" i="9"/>
  <c r="AR40" i="9"/>
  <c r="AR36" i="9"/>
  <c r="AR32" i="9"/>
  <c r="AR28" i="9"/>
  <c r="AR24" i="9"/>
  <c r="AR19" i="9"/>
  <c r="AR15" i="9"/>
  <c r="AR11" i="9"/>
  <c r="AR7" i="9"/>
  <c r="AR43" i="9"/>
  <c r="AR35" i="9"/>
  <c r="AR27" i="9"/>
  <c r="AR18" i="9"/>
  <c r="AR10" i="9"/>
  <c r="AR42" i="9"/>
  <c r="AR34" i="9"/>
  <c r="AR26" i="9"/>
  <c r="AR17" i="9"/>
  <c r="AR9" i="9"/>
  <c r="AR48" i="9"/>
  <c r="AR39" i="9"/>
  <c r="AR31" i="9"/>
  <c r="AR23" i="9"/>
  <c r="AR14" i="9"/>
  <c r="AR6" i="9"/>
  <c r="AR47" i="9"/>
  <c r="AR38" i="9"/>
  <c r="AR30" i="9"/>
  <c r="AR22" i="9"/>
  <c r="AR13" i="9"/>
  <c r="AR5" i="9"/>
  <c r="S44" i="9"/>
  <c r="S48" i="9"/>
  <c r="S43" i="9"/>
  <c r="S39" i="9"/>
  <c r="S35" i="9"/>
  <c r="S31" i="9"/>
  <c r="S27" i="9"/>
  <c r="S23" i="9"/>
  <c r="S18" i="9"/>
  <c r="S14" i="9"/>
  <c r="S10" i="9"/>
  <c r="S6" i="9"/>
  <c r="S46" i="9"/>
  <c r="S40" i="9"/>
  <c r="S34" i="9"/>
  <c r="S29" i="9"/>
  <c r="S24" i="9"/>
  <c r="S17" i="9"/>
  <c r="S12" i="9"/>
  <c r="S7" i="9"/>
  <c r="S51" i="9"/>
  <c r="S45" i="9"/>
  <c r="S38" i="9"/>
  <c r="S33" i="9"/>
  <c r="S28" i="9"/>
  <c r="S22" i="9"/>
  <c r="S16" i="9"/>
  <c r="S11" i="9"/>
  <c r="S5" i="9"/>
  <c r="S41" i="9"/>
  <c r="S30" i="9"/>
  <c r="S19" i="9"/>
  <c r="S8" i="9"/>
  <c r="S49" i="9"/>
  <c r="S37" i="9"/>
  <c r="S26" i="9"/>
  <c r="S15" i="9"/>
  <c r="S4" i="9"/>
  <c r="S47" i="9"/>
  <c r="S25" i="9"/>
  <c r="S42" i="9"/>
  <c r="S20" i="9"/>
  <c r="S36" i="9"/>
  <c r="S13" i="9"/>
  <c r="S32" i="9"/>
  <c r="S9" i="9"/>
  <c r="AL44" i="9"/>
  <c r="AL48" i="9"/>
  <c r="AL43" i="9"/>
  <c r="AL39" i="9"/>
  <c r="AL35" i="9"/>
  <c r="AL31" i="9"/>
  <c r="AL27" i="9"/>
  <c r="AL47" i="9"/>
  <c r="AL42" i="9"/>
  <c r="AL38" i="9"/>
  <c r="AL34" i="9"/>
  <c r="AL45" i="9"/>
  <c r="AL36" i="9"/>
  <c r="AL29" i="9"/>
  <c r="AL24" i="9"/>
  <c r="AL19" i="9"/>
  <c r="AL15" i="9"/>
  <c r="AL11" i="9"/>
  <c r="AL6" i="9"/>
  <c r="AL51" i="9"/>
  <c r="AL41" i="9"/>
  <c r="AL33" i="9"/>
  <c r="AL28" i="9"/>
  <c r="AL23" i="9"/>
  <c r="AL18" i="9"/>
  <c r="AL14" i="9"/>
  <c r="AL10" i="9"/>
  <c r="AL5" i="9"/>
  <c r="AL40" i="9"/>
  <c r="AL26" i="9"/>
  <c r="AL17" i="9"/>
  <c r="AL8" i="9"/>
  <c r="AL37" i="9"/>
  <c r="AL25" i="9"/>
  <c r="AL16" i="9"/>
  <c r="AL7" i="9"/>
  <c r="AL49" i="9"/>
  <c r="AL32" i="9"/>
  <c r="AL22" i="9"/>
  <c r="AL13" i="9"/>
  <c r="AL4" i="9"/>
  <c r="AL9" i="9"/>
  <c r="AL46" i="9"/>
  <c r="AL30" i="9"/>
  <c r="AL20" i="9"/>
  <c r="AL12" i="9"/>
  <c r="AA44" i="9"/>
  <c r="AA51" i="9"/>
  <c r="AA46" i="9"/>
  <c r="AA41" i="9"/>
  <c r="AA37" i="9"/>
  <c r="AA33" i="9"/>
  <c r="AA29" i="9"/>
  <c r="AA25" i="9"/>
  <c r="AA20" i="9"/>
  <c r="AA16" i="9"/>
  <c r="AA12" i="9"/>
  <c r="AA8" i="9"/>
  <c r="AA4" i="9"/>
  <c r="AA45" i="9"/>
  <c r="AA39" i="9"/>
  <c r="AA34" i="9"/>
  <c r="AA28" i="9"/>
  <c r="AA23" i="9"/>
  <c r="AA17" i="9"/>
  <c r="AA11" i="9"/>
  <c r="AA6" i="9"/>
  <c r="AA49" i="9"/>
  <c r="AA43" i="9"/>
  <c r="AA38" i="9"/>
  <c r="AA32" i="9"/>
  <c r="AA27" i="9"/>
  <c r="AA22" i="9"/>
  <c r="AA15" i="9"/>
  <c r="AA10" i="9"/>
  <c r="AA5" i="9"/>
  <c r="AA47" i="9"/>
  <c r="AA35" i="9"/>
  <c r="AA24" i="9"/>
  <c r="AA13" i="9"/>
  <c r="AA42" i="9"/>
  <c r="AA31" i="9"/>
  <c r="AA19" i="9"/>
  <c r="AA9" i="9"/>
  <c r="AA30" i="9"/>
  <c r="AA7" i="9"/>
  <c r="AA48" i="9"/>
  <c r="AA26" i="9"/>
  <c r="AA40" i="9"/>
  <c r="AA18" i="9"/>
  <c r="AA36" i="9"/>
  <c r="AA14" i="9"/>
  <c r="AD44" i="9"/>
  <c r="AD47" i="9"/>
  <c r="AD42" i="9"/>
  <c r="AD38" i="9"/>
  <c r="AD34" i="9"/>
  <c r="AD30" i="9"/>
  <c r="AD26" i="9"/>
  <c r="AD48" i="9"/>
  <c r="AD41" i="9"/>
  <c r="AD36" i="9"/>
  <c r="AD31" i="9"/>
  <c r="AD25" i="9"/>
  <c r="AD20" i="9"/>
  <c r="AD16" i="9"/>
  <c r="AD12" i="9"/>
  <c r="AD8" i="9"/>
  <c r="AD4" i="9"/>
  <c r="AD46" i="9"/>
  <c r="AD40" i="9"/>
  <c r="AD35" i="9"/>
  <c r="AD29" i="9"/>
  <c r="AD24" i="9"/>
  <c r="AD19" i="9"/>
  <c r="AD15" i="9"/>
  <c r="AD11" i="9"/>
  <c r="AD7" i="9"/>
  <c r="AD49" i="9"/>
  <c r="AD37" i="9"/>
  <c r="AD27" i="9"/>
  <c r="AD17" i="9"/>
  <c r="AD9" i="9"/>
  <c r="AD45" i="9"/>
  <c r="AD33" i="9"/>
  <c r="AD23" i="9"/>
  <c r="AD14" i="9"/>
  <c r="AD6" i="9"/>
  <c r="AD32" i="9"/>
  <c r="AD13" i="9"/>
  <c r="AD51" i="9"/>
  <c r="AD28" i="9"/>
  <c r="AD10" i="9"/>
  <c r="AD43" i="9"/>
  <c r="AD22" i="9"/>
  <c r="AD5" i="9"/>
  <c r="AD39" i="9"/>
  <c r="AD18" i="9"/>
  <c r="W44" i="9"/>
  <c r="W49" i="9"/>
  <c r="W45" i="9"/>
  <c r="W40" i="9"/>
  <c r="W36" i="9"/>
  <c r="W32" i="9"/>
  <c r="W28" i="9"/>
  <c r="W24" i="9"/>
  <c r="W19" i="9"/>
  <c r="W15" i="9"/>
  <c r="W11" i="9"/>
  <c r="W7" i="9"/>
  <c r="W48" i="9"/>
  <c r="W42" i="9"/>
  <c r="W37" i="9"/>
  <c r="W31" i="9"/>
  <c r="W26" i="9"/>
  <c r="W20" i="9"/>
  <c r="W14" i="9"/>
  <c r="W9" i="9"/>
  <c r="W4" i="9"/>
  <c r="W47" i="9"/>
  <c r="W41" i="9"/>
  <c r="W35" i="9"/>
  <c r="W30" i="9"/>
  <c r="W25" i="9"/>
  <c r="W18" i="9"/>
  <c r="W13" i="9"/>
  <c r="W8" i="9"/>
  <c r="W43" i="9"/>
  <c r="W33" i="9"/>
  <c r="W22" i="9"/>
  <c r="W10" i="9"/>
  <c r="W39" i="9"/>
  <c r="W29" i="9"/>
  <c r="W17" i="9"/>
  <c r="W6" i="9"/>
  <c r="W51" i="9"/>
  <c r="W27" i="9"/>
  <c r="W5" i="9"/>
  <c r="W46" i="9"/>
  <c r="W23" i="9"/>
  <c r="W38" i="9"/>
  <c r="W16" i="9"/>
  <c r="W34" i="9"/>
  <c r="W12" i="9"/>
  <c r="L44" i="9"/>
  <c r="L49" i="9"/>
  <c r="L45" i="9"/>
  <c r="L40" i="9"/>
  <c r="L36" i="9"/>
  <c r="L32" i="9"/>
  <c r="L28" i="9"/>
  <c r="L24" i="9"/>
  <c r="L20" i="9"/>
  <c r="L16" i="9"/>
  <c r="L12" i="9"/>
  <c r="L8" i="9"/>
  <c r="L4" i="9"/>
  <c r="L46" i="9"/>
  <c r="L39" i="9"/>
  <c r="L34" i="9"/>
  <c r="L29" i="9"/>
  <c r="L23" i="9"/>
  <c r="L18" i="9"/>
  <c r="L13" i="9"/>
  <c r="L7" i="9"/>
  <c r="L51" i="9"/>
  <c r="L43" i="9"/>
  <c r="L38" i="9"/>
  <c r="L33" i="9"/>
  <c r="L27" i="9"/>
  <c r="L22" i="9"/>
  <c r="L17" i="9"/>
  <c r="L11" i="9"/>
  <c r="L6" i="9"/>
  <c r="L47" i="9"/>
  <c r="L35" i="9"/>
  <c r="L25" i="9"/>
  <c r="L14" i="9"/>
  <c r="L42" i="9"/>
  <c r="L31" i="9"/>
  <c r="L21" i="9"/>
  <c r="L10" i="9"/>
  <c r="L41" i="9"/>
  <c r="L30" i="9"/>
  <c r="L19" i="9"/>
  <c r="L9" i="9"/>
  <c r="L15" i="9"/>
  <c r="L48" i="9"/>
  <c r="L5" i="9"/>
  <c r="L37" i="9"/>
  <c r="L26" i="9"/>
  <c r="AW21" i="9" l="1"/>
  <c r="AT21" i="9"/>
  <c r="AU21" i="9" s="1"/>
  <c r="AQ21" i="9"/>
  <c r="AR21" i="9" s="1"/>
  <c r="AN21" i="9"/>
  <c r="AO21" i="9" s="1"/>
  <c r="AK21" i="9"/>
  <c r="AL21" i="9" s="1"/>
  <c r="AG21" i="9"/>
  <c r="AH21" i="9" s="1"/>
  <c r="AC21" i="9"/>
  <c r="AD21" i="9" s="1"/>
  <c r="Z21" i="9"/>
  <c r="AA21" i="9" s="1"/>
  <c r="V21" i="9"/>
  <c r="W21" i="9" s="1"/>
  <c r="R21" i="9"/>
  <c r="S21" i="9" s="1"/>
  <c r="N21" i="9"/>
  <c r="O21" i="9" s="1"/>
  <c r="G21" i="9"/>
  <c r="H21" i="9" s="1"/>
  <c r="D21" i="9"/>
  <c r="E21" i="9" s="1"/>
  <c r="P173" i="1"/>
  <c r="AB173" i="1"/>
  <c r="AK162" i="1"/>
  <c r="AJ162" i="1"/>
  <c r="AZ173" i="1"/>
  <c r="BL173" i="1"/>
  <c r="BT162" i="1"/>
  <c r="BU9" i="1"/>
  <c r="BT9" i="1"/>
  <c r="CA140" i="1"/>
  <c r="BZ140" i="1"/>
  <c r="CF162" i="1"/>
  <c r="CG9" i="1"/>
  <c r="CF9" i="1"/>
  <c r="CM140" i="1"/>
  <c r="CL140" i="1"/>
  <c r="CS9" i="1"/>
  <c r="CR9" i="1"/>
  <c r="DE9" i="1"/>
  <c r="DE162" i="1"/>
  <c r="DD162" i="1"/>
  <c r="DQ162" i="1"/>
  <c r="DP162" i="1"/>
  <c r="DQ9" i="1"/>
  <c r="DP9" i="1"/>
  <c r="EC162" i="1"/>
  <c r="EB162" i="1"/>
  <c r="EC9" i="1"/>
  <c r="EB9" i="1"/>
  <c r="EO162" i="1"/>
  <c r="EN162" i="1"/>
  <c r="EO9" i="1"/>
  <c r="EN9" i="1"/>
  <c r="FA162" i="1"/>
  <c r="EZ162" i="1"/>
  <c r="EZ10" i="1"/>
  <c r="FA9" i="1"/>
  <c r="EZ9" i="1"/>
  <c r="FL162" i="1"/>
  <c r="FM162" i="1"/>
  <c r="FM9" i="1"/>
  <c r="FL9" i="1"/>
  <c r="D21" i="2"/>
  <c r="F21" i="2"/>
  <c r="J22" i="2"/>
  <c r="K21" i="2"/>
  <c r="N21" i="2"/>
  <c r="Q21" i="2"/>
  <c r="T21" i="2"/>
  <c r="S21" i="2"/>
  <c r="U21" i="2"/>
  <c r="V21" i="2"/>
  <c r="Y21" i="2"/>
  <c r="X21" i="2"/>
  <c r="AB21" i="2"/>
  <c r="AA21" i="2"/>
  <c r="AC22" i="2"/>
  <c r="AD21" i="2"/>
  <c r="AC21" i="2"/>
  <c r="AF21" i="2"/>
  <c r="AE21" i="2"/>
  <c r="AH21" i="2"/>
  <c r="AG21" i="2"/>
  <c r="AJ21" i="2"/>
  <c r="AI21" i="2"/>
  <c r="AK21" i="2"/>
  <c r="AK22" i="2"/>
  <c r="EL11" i="18" l="1"/>
  <c r="EL6" i="18"/>
  <c r="EI11" i="18"/>
  <c r="EI6" i="18"/>
  <c r="EF11" i="18"/>
  <c r="EF6" i="18"/>
  <c r="EC11" i="18"/>
  <c r="EC6" i="18"/>
  <c r="DZ11" i="18"/>
  <c r="DZ6" i="18"/>
  <c r="DV11" i="18"/>
  <c r="DR11" i="18"/>
  <c r="DN11" i="18"/>
  <c r="DJ11" i="18"/>
  <c r="DB11" i="18"/>
  <c r="CX11" i="18"/>
  <c r="CT11" i="18"/>
  <c r="CP11" i="18"/>
  <c r="CL11" i="18"/>
  <c r="DV6" i="18"/>
  <c r="DR6" i="18"/>
  <c r="DN6" i="18"/>
  <c r="DJ6" i="18"/>
  <c r="DF6" i="18"/>
  <c r="DB6" i="18"/>
  <c r="CX6" i="18"/>
  <c r="CT6" i="18"/>
  <c r="CP6" i="18"/>
  <c r="CL6" i="18"/>
  <c r="DB11" i="12"/>
  <c r="CZ11" i="12"/>
  <c r="CX11" i="12"/>
  <c r="CV11" i="12"/>
  <c r="CT11" i="12"/>
  <c r="CQ11" i="12"/>
  <c r="CN11" i="12"/>
  <c r="CK11" i="12"/>
  <c r="CH11" i="12"/>
  <c r="CB11" i="12"/>
  <c r="BY11" i="12"/>
  <c r="BV11" i="12"/>
  <c r="BS11" i="12"/>
  <c r="BP11" i="12"/>
  <c r="DB6" i="12"/>
  <c r="CZ6" i="12"/>
  <c r="CX6" i="12"/>
  <c r="CV6" i="12"/>
  <c r="CT6" i="12"/>
  <c r="CQ6" i="12"/>
  <c r="CN6" i="12"/>
  <c r="CK6" i="12"/>
  <c r="CH6" i="12"/>
  <c r="CE6" i="12"/>
  <c r="CB6" i="12"/>
  <c r="BY6" i="12"/>
  <c r="BV6" i="12"/>
  <c r="BS6" i="12"/>
  <c r="BP6" i="12"/>
  <c r="DC32" i="9"/>
  <c r="CY32" i="9"/>
  <c r="CV32" i="9"/>
  <c r="CS32" i="9"/>
  <c r="CL32" i="9"/>
  <c r="CI32" i="9"/>
  <c r="CF32" i="9"/>
  <c r="CB32" i="9"/>
  <c r="BY32" i="9"/>
  <c r="BV32" i="9"/>
  <c r="DP32" i="9"/>
  <c r="DN32" i="9"/>
  <c r="DK32" i="9"/>
  <c r="DI32" i="9"/>
  <c r="DG32" i="9"/>
  <c r="DP20" i="9"/>
  <c r="DN20" i="9"/>
  <c r="DK20" i="9"/>
  <c r="DI20" i="9"/>
  <c r="DG20" i="9"/>
  <c r="DC20" i="9"/>
  <c r="CY20" i="9"/>
  <c r="CV20" i="9"/>
  <c r="CS20" i="9"/>
  <c r="CO20" i="9"/>
  <c r="CL20" i="9"/>
  <c r="CI20" i="9"/>
  <c r="CF20" i="9"/>
  <c r="CB20" i="9"/>
  <c r="BY20" i="9"/>
  <c r="BV20" i="9"/>
  <c r="DK13" i="9"/>
  <c r="DI13" i="9"/>
  <c r="DG13" i="9"/>
  <c r="DC13" i="9"/>
  <c r="CY13" i="9"/>
  <c r="CV13" i="9"/>
  <c r="CS13" i="9"/>
  <c r="CO13" i="9"/>
  <c r="CL13" i="9"/>
  <c r="CI13" i="9"/>
  <c r="CF13" i="9"/>
  <c r="CB13" i="9"/>
  <c r="BY13" i="9"/>
  <c r="BV13" i="9"/>
  <c r="EP5" i="17"/>
  <c r="EM5" i="17"/>
  <c r="EJ5" i="17"/>
  <c r="EG5" i="17"/>
  <c r="ED8" i="17"/>
  <c r="ED5" i="17"/>
  <c r="EA8" i="17"/>
  <c r="EA5" i="17"/>
  <c r="DX8" i="17"/>
  <c r="DX5" i="17"/>
  <c r="DT8" i="17"/>
  <c r="DT5" i="17"/>
  <c r="DP8" i="17"/>
  <c r="DP5" i="17"/>
  <c r="DL8" i="17"/>
  <c r="DL5" i="17"/>
  <c r="DH8" i="17"/>
  <c r="DH5" i="17"/>
  <c r="DD8" i="17"/>
  <c r="DD5" i="17"/>
  <c r="CZ8" i="17"/>
  <c r="CZ5" i="17"/>
  <c r="CV8" i="17"/>
  <c r="CV5" i="17"/>
  <c r="CR8" i="17"/>
  <c r="CR5" i="17"/>
  <c r="CN8" i="17"/>
  <c r="CN5" i="17"/>
  <c r="CJ8" i="17"/>
  <c r="CJ5" i="17"/>
  <c r="CF8" i="17"/>
  <c r="CF5" i="17"/>
  <c r="MK5" i="13"/>
  <c r="MI5" i="13"/>
  <c r="MG5" i="13"/>
  <c r="ME5" i="13"/>
  <c r="MC8" i="13"/>
  <c r="MC5" i="13"/>
  <c r="MX9" i="10"/>
  <c r="MX11" i="10"/>
  <c r="MA8" i="13"/>
  <c r="MA5" i="13"/>
  <c r="LY8" i="13"/>
  <c r="LY5" i="13"/>
  <c r="LV8" i="13"/>
  <c r="LV5" i="13"/>
  <c r="LS8" i="13"/>
  <c r="LS5" i="13"/>
  <c r="LP8" i="13"/>
  <c r="LP5" i="13"/>
  <c r="LM8" i="13"/>
  <c r="LM5" i="13"/>
  <c r="LJ8" i="13"/>
  <c r="LJ5" i="13"/>
  <c r="LG8" i="13"/>
  <c r="LG5" i="13"/>
  <c r="LD8" i="13"/>
  <c r="LD5" i="13"/>
  <c r="LA8" i="13"/>
  <c r="LA5" i="13"/>
  <c r="KX8" i="13"/>
  <c r="KX5" i="13"/>
  <c r="KU8" i="13"/>
  <c r="KU5" i="13"/>
  <c r="KR8" i="13"/>
  <c r="KR5" i="13"/>
  <c r="LJ9" i="10"/>
  <c r="LJ11" i="10"/>
  <c r="NH9" i="10"/>
  <c r="NF9" i="10"/>
  <c r="NC9" i="10"/>
  <c r="NA9" i="10"/>
  <c r="MV11" i="10"/>
  <c r="MT11" i="10"/>
  <c r="MP11" i="10"/>
  <c r="ML11" i="10"/>
  <c r="MI11" i="10"/>
  <c r="MF11" i="10"/>
  <c r="MC11" i="10"/>
  <c r="LZ11" i="10"/>
  <c r="LW11" i="10"/>
  <c r="LT11" i="10"/>
  <c r="LP11" i="10"/>
  <c r="LM11" i="10"/>
  <c r="MV9" i="10"/>
  <c r="MT9" i="10"/>
  <c r="MP9" i="10"/>
  <c r="ML9" i="10"/>
  <c r="MI9" i="10"/>
  <c r="MF9" i="10"/>
  <c r="MC9" i="10"/>
  <c r="LZ9" i="10"/>
  <c r="LW9" i="10"/>
  <c r="LT9" i="10"/>
  <c r="LP9" i="10"/>
  <c r="LM9" i="10"/>
  <c r="LH26" i="13" l="1"/>
  <c r="MA56" i="10"/>
  <c r="IU56" i="1"/>
  <c r="LD36" i="13"/>
  <c r="LW84" i="10"/>
  <c r="IR84" i="1"/>
  <c r="ET14" i="18" l="1"/>
  <c r="ET13" i="18"/>
  <c r="ET12" i="18"/>
  <c r="ET11" i="18"/>
  <c r="ET10" i="18"/>
  <c r="ET9" i="18"/>
  <c r="ET8" i="18"/>
  <c r="ET7" i="18"/>
  <c r="ET6" i="18"/>
  <c r="ET5" i="18"/>
  <c r="ET4" i="18"/>
  <c r="EQ14" i="18"/>
  <c r="EQ13" i="18"/>
  <c r="EQ12" i="18"/>
  <c r="EQ11" i="18"/>
  <c r="EQ10" i="18"/>
  <c r="EQ9" i="18"/>
  <c r="EQ8" i="18"/>
  <c r="EQ7" i="18"/>
  <c r="EQ6" i="18"/>
  <c r="EQ5" i="18"/>
  <c r="EN14" i="18"/>
  <c r="EN13" i="18"/>
  <c r="EN12" i="18"/>
  <c r="EN10" i="18"/>
  <c r="EN9" i="18"/>
  <c r="EN8" i="18"/>
  <c r="EN7" i="18"/>
  <c r="EN5" i="18"/>
  <c r="EN4" i="18"/>
  <c r="EK14" i="18"/>
  <c r="EK13" i="18"/>
  <c r="EK12" i="18"/>
  <c r="EK10" i="18"/>
  <c r="EK9" i="18"/>
  <c r="EK8" i="18"/>
  <c r="EK7" i="18"/>
  <c r="EK6" i="18"/>
  <c r="EK5" i="18"/>
  <c r="EK4" i="18"/>
  <c r="EH14" i="18"/>
  <c r="EH13" i="18"/>
  <c r="EH12" i="18"/>
  <c r="EH11" i="18"/>
  <c r="EH10" i="18"/>
  <c r="EH9" i="18"/>
  <c r="EH8" i="18"/>
  <c r="EH7" i="18"/>
  <c r="EH6" i="18"/>
  <c r="EH5" i="18"/>
  <c r="EH4" i="18"/>
  <c r="EE14" i="18"/>
  <c r="EE13" i="18"/>
  <c r="EE12" i="18"/>
  <c r="EE11" i="18"/>
  <c r="EE10" i="18"/>
  <c r="EE9" i="18"/>
  <c r="EE8" i="18"/>
  <c r="EE7" i="18"/>
  <c r="EE6" i="18"/>
  <c r="EE5" i="18"/>
  <c r="EE4" i="18"/>
  <c r="EB5" i="18"/>
  <c r="EB6" i="18"/>
  <c r="EB7" i="18"/>
  <c r="EB8" i="18"/>
  <c r="EB9" i="18"/>
  <c r="EB10" i="18"/>
  <c r="EB11" i="18"/>
  <c r="EB12" i="18"/>
  <c r="EB13" i="18"/>
  <c r="EB14" i="18"/>
  <c r="EB4" i="18"/>
  <c r="EN11" i="18"/>
  <c r="EK11" i="18"/>
  <c r="DW11" i="18"/>
  <c r="DS11" i="18"/>
  <c r="DO11" i="18"/>
  <c r="DK11" i="18"/>
  <c r="DG11" i="18"/>
  <c r="DC11" i="18"/>
  <c r="CY11" i="18"/>
  <c r="CU11" i="18"/>
  <c r="CQ11" i="18"/>
  <c r="CM11" i="18"/>
  <c r="CD8" i="18"/>
  <c r="BV8" i="18"/>
  <c r="BJ8" i="18"/>
  <c r="CE7" i="18"/>
  <c r="CD7" i="18"/>
  <c r="CA7" i="18"/>
  <c r="BZ7" i="18"/>
  <c r="BW7" i="18"/>
  <c r="BV7" i="18"/>
  <c r="BS7" i="18"/>
  <c r="BR7" i="18"/>
  <c r="BO7" i="18"/>
  <c r="BN7" i="18"/>
  <c r="BK7" i="18"/>
  <c r="BJ7" i="18"/>
  <c r="EN6" i="18"/>
  <c r="DW6" i="18"/>
  <c r="DS6" i="18"/>
  <c r="DO6" i="18"/>
  <c r="DK6" i="18"/>
  <c r="DG6" i="18"/>
  <c r="DC6" i="18"/>
  <c r="CY6" i="18"/>
  <c r="CU6" i="18"/>
  <c r="CQ6" i="18"/>
  <c r="CM6" i="18"/>
  <c r="EQ4" i="18"/>
  <c r="ER49" i="17"/>
  <c r="ER47" i="17"/>
  <c r="ER46" i="17"/>
  <c r="ER40" i="17"/>
  <c r="ER39" i="17"/>
  <c r="ER38" i="17"/>
  <c r="ER37" i="17"/>
  <c r="ER36" i="17"/>
  <c r="ER35" i="17"/>
  <c r="ER34" i="17"/>
  <c r="ER33" i="17"/>
  <c r="ER30" i="17"/>
  <c r="ER29" i="17"/>
  <c r="ER28" i="17"/>
  <c r="ER27" i="17"/>
  <c r="ER25" i="17"/>
  <c r="ER23" i="17"/>
  <c r="ER21" i="17"/>
  <c r="ER19" i="17"/>
  <c r="ER18" i="17"/>
  <c r="ER16" i="17"/>
  <c r="ER14" i="17"/>
  <c r="ER13" i="17"/>
  <c r="ER12" i="17"/>
  <c r="ER10" i="17"/>
  <c r="ER9" i="17"/>
  <c r="ER8" i="17"/>
  <c r="ER7" i="17"/>
  <c r="ER5" i="17"/>
  <c r="EO49" i="17"/>
  <c r="EO47" i="17"/>
  <c r="EO46" i="17"/>
  <c r="EO40" i="17"/>
  <c r="EO39" i="17"/>
  <c r="EO38" i="17"/>
  <c r="EO37" i="17"/>
  <c r="EO36" i="17"/>
  <c r="EO35" i="17"/>
  <c r="EO34" i="17"/>
  <c r="EO33" i="17"/>
  <c r="EO30" i="17"/>
  <c r="EO29" i="17"/>
  <c r="EO28" i="17"/>
  <c r="EO27" i="17"/>
  <c r="EO25" i="17"/>
  <c r="EO23" i="17"/>
  <c r="EO21" i="17"/>
  <c r="EO19" i="17"/>
  <c r="EO18" i="17"/>
  <c r="EO16" i="17"/>
  <c r="EO14" i="17"/>
  <c r="EO13" i="17"/>
  <c r="EO12" i="17"/>
  <c r="EO10" i="17"/>
  <c r="EO9" i="17"/>
  <c r="EO8" i="17"/>
  <c r="EO7" i="17"/>
  <c r="EO5" i="17"/>
  <c r="EL49" i="17"/>
  <c r="EL47" i="17"/>
  <c r="EL46" i="17"/>
  <c r="EL40" i="17"/>
  <c r="EL39" i="17"/>
  <c r="EL38" i="17"/>
  <c r="EL37" i="17"/>
  <c r="EL36" i="17"/>
  <c r="EL35" i="17"/>
  <c r="EL34" i="17"/>
  <c r="EL33" i="17"/>
  <c r="EL30" i="17"/>
  <c r="EL29" i="17"/>
  <c r="EL28" i="17"/>
  <c r="EL27" i="17"/>
  <c r="EL25" i="17"/>
  <c r="EL23" i="17"/>
  <c r="EL21" i="17"/>
  <c r="EL19" i="17"/>
  <c r="EL18" i="17"/>
  <c r="EL16" i="17"/>
  <c r="EL14" i="17"/>
  <c r="EL13" i="17"/>
  <c r="EL12" i="17"/>
  <c r="EL10" i="17"/>
  <c r="EL9" i="17"/>
  <c r="EL8" i="17"/>
  <c r="EL7" i="17"/>
  <c r="EL5" i="17"/>
  <c r="EI49" i="17"/>
  <c r="EI47" i="17"/>
  <c r="EI46" i="17"/>
  <c r="EI40" i="17"/>
  <c r="EI39" i="17"/>
  <c r="EI38" i="17"/>
  <c r="EI37" i="17"/>
  <c r="EI36" i="17"/>
  <c r="EI35" i="17"/>
  <c r="EI34" i="17"/>
  <c r="EI33" i="17"/>
  <c r="EI30" i="17"/>
  <c r="EI29" i="17"/>
  <c r="EI28" i="17"/>
  <c r="EI27" i="17"/>
  <c r="EI25" i="17"/>
  <c r="EI23" i="17"/>
  <c r="EI21" i="17"/>
  <c r="EI19" i="17"/>
  <c r="EI18" i="17"/>
  <c r="EI16" i="17"/>
  <c r="EI14" i="17"/>
  <c r="EI13" i="17"/>
  <c r="EI12" i="17"/>
  <c r="EI10" i="17"/>
  <c r="EI9" i="17"/>
  <c r="EI8" i="17"/>
  <c r="EI7" i="17"/>
  <c r="EI5" i="17"/>
  <c r="EF49" i="17"/>
  <c r="EF47" i="17"/>
  <c r="EF46" i="17"/>
  <c r="EF40" i="17"/>
  <c r="EF39" i="17"/>
  <c r="EF38" i="17"/>
  <c r="EF37" i="17"/>
  <c r="EF36" i="17"/>
  <c r="EF35" i="17"/>
  <c r="EF34" i="17"/>
  <c r="EF33" i="17"/>
  <c r="EF30" i="17"/>
  <c r="EF29" i="17"/>
  <c r="EF28" i="17"/>
  <c r="EF27" i="17"/>
  <c r="EF25" i="17"/>
  <c r="EF23" i="17"/>
  <c r="EF21" i="17"/>
  <c r="EF19" i="17"/>
  <c r="EF18" i="17"/>
  <c r="EF16" i="17"/>
  <c r="EF14" i="17"/>
  <c r="EF13" i="17"/>
  <c r="EF12" i="17"/>
  <c r="EF10" i="17"/>
  <c r="EF9" i="17"/>
  <c r="EF8" i="17"/>
  <c r="EF7" i="17"/>
  <c r="EF5" i="17"/>
  <c r="EC49" i="17"/>
  <c r="EC47" i="17"/>
  <c r="EC46" i="17"/>
  <c r="EC40" i="17"/>
  <c r="EC39" i="17"/>
  <c r="EC38" i="17"/>
  <c r="EC37" i="17"/>
  <c r="EC36" i="17"/>
  <c r="EC35" i="17"/>
  <c r="EC34" i="17"/>
  <c r="EC33" i="17"/>
  <c r="EC30" i="17"/>
  <c r="EC29" i="17"/>
  <c r="EC28" i="17"/>
  <c r="EC27" i="17"/>
  <c r="EC25" i="17"/>
  <c r="EC23" i="17"/>
  <c r="EC21" i="17"/>
  <c r="EC19" i="17"/>
  <c r="EC18" i="17"/>
  <c r="EC16" i="17"/>
  <c r="EC14" i="17"/>
  <c r="EC13" i="17"/>
  <c r="EC12" i="17"/>
  <c r="EC10" i="17"/>
  <c r="EC9" i="17"/>
  <c r="EC8" i="17"/>
  <c r="EC7" i="17"/>
  <c r="EC5" i="17"/>
  <c r="DZ7" i="17"/>
  <c r="DZ8" i="17"/>
  <c r="DZ9" i="17"/>
  <c r="DZ10" i="17"/>
  <c r="DZ12" i="17"/>
  <c r="DZ13" i="17"/>
  <c r="DZ14" i="17"/>
  <c r="DZ16" i="17"/>
  <c r="DZ18" i="17"/>
  <c r="DZ19" i="17"/>
  <c r="DZ21" i="17"/>
  <c r="DZ23" i="17"/>
  <c r="DZ25" i="17"/>
  <c r="DZ27" i="17"/>
  <c r="DZ28" i="17"/>
  <c r="DZ29" i="17"/>
  <c r="DZ30" i="17"/>
  <c r="DZ33" i="17"/>
  <c r="DZ34" i="17"/>
  <c r="DZ35" i="17"/>
  <c r="DZ36" i="17"/>
  <c r="DZ37" i="17"/>
  <c r="DZ38" i="17"/>
  <c r="DZ39" i="17"/>
  <c r="DZ40" i="17"/>
  <c r="DZ46" i="17"/>
  <c r="DZ47" i="17"/>
  <c r="DZ49" i="17"/>
  <c r="DZ5" i="17"/>
  <c r="KP49" i="13"/>
  <c r="KA49" i="13"/>
  <c r="JL49" i="13"/>
  <c r="JA49" i="13"/>
  <c r="IW49" i="13"/>
  <c r="IH49" i="13"/>
  <c r="HS49" i="13"/>
  <c r="LN47" i="13"/>
  <c r="LM47" i="13"/>
  <c r="LJ47" i="13"/>
  <c r="LH47" i="13"/>
  <c r="KV47" i="13"/>
  <c r="KS47" i="13"/>
  <c r="KM47" i="13"/>
  <c r="KL47" i="13"/>
  <c r="KO47" i="13" s="1"/>
  <c r="JX47" i="13"/>
  <c r="JW47" i="13"/>
  <c r="JZ47" i="13" s="1"/>
  <c r="JI47" i="13"/>
  <c r="JH47" i="13"/>
  <c r="JE47" i="13"/>
  <c r="IT47" i="13"/>
  <c r="IS47" i="13"/>
  <c r="IV47" i="13" s="1"/>
  <c r="IE47" i="13"/>
  <c r="ID47" i="13"/>
  <c r="IG47" i="13" s="1"/>
  <c r="HP47" i="13"/>
  <c r="HO47" i="13"/>
  <c r="HR47" i="13" s="1"/>
  <c r="LW46" i="13"/>
  <c r="LT46" i="13"/>
  <c r="LS46" i="13"/>
  <c r="LQ46" i="13"/>
  <c r="LP46" i="13"/>
  <c r="LN46" i="13"/>
  <c r="LM46" i="13"/>
  <c r="LK46" i="13"/>
  <c r="LH46" i="13"/>
  <c r="LE46" i="13"/>
  <c r="LB46" i="13"/>
  <c r="KY46" i="13"/>
  <c r="KV46" i="13"/>
  <c r="KS46" i="13"/>
  <c r="LW41" i="13"/>
  <c r="LT41" i="13"/>
  <c r="LQ41" i="13"/>
  <c r="LN41" i="13"/>
  <c r="LK41" i="13"/>
  <c r="LH41" i="13"/>
  <c r="LE41" i="13"/>
  <c r="LB41" i="13"/>
  <c r="LA41" i="13"/>
  <c r="KY41" i="13"/>
  <c r="KX41" i="13"/>
  <c r="KV41" i="13"/>
  <c r="KU41" i="13"/>
  <c r="KS41" i="13"/>
  <c r="KR41" i="13"/>
  <c r="LU40" i="13"/>
  <c r="KP40" i="13"/>
  <c r="KO40" i="13"/>
  <c r="KA40" i="13"/>
  <c r="JZ40" i="13"/>
  <c r="JL40" i="13"/>
  <c r="JK40" i="13"/>
  <c r="IW40" i="13"/>
  <c r="IV40" i="13"/>
  <c r="IH40" i="13"/>
  <c r="IG40" i="13"/>
  <c r="HS40" i="13"/>
  <c r="HR40" i="13"/>
  <c r="KP38" i="13"/>
  <c r="KO38" i="13"/>
  <c r="KA38" i="13"/>
  <c r="JZ38" i="13"/>
  <c r="JL38" i="13"/>
  <c r="JK38" i="13"/>
  <c r="IW38" i="13"/>
  <c r="IV38" i="13"/>
  <c r="IH38" i="13"/>
  <c r="IG38" i="13"/>
  <c r="HS38" i="13"/>
  <c r="HR38" i="13"/>
  <c r="HQ38" i="13"/>
  <c r="KP37" i="13"/>
  <c r="KO37" i="13"/>
  <c r="KA37" i="13"/>
  <c r="JZ37" i="13"/>
  <c r="JL37" i="13"/>
  <c r="JK37" i="13"/>
  <c r="IW37" i="13"/>
  <c r="IV37" i="13"/>
  <c r="IH37" i="13"/>
  <c r="IG37" i="13"/>
  <c r="HS37" i="13"/>
  <c r="HR37" i="13"/>
  <c r="LT36" i="13"/>
  <c r="LS36" i="13"/>
  <c r="KP36" i="13"/>
  <c r="KO36" i="13"/>
  <c r="KA36" i="13"/>
  <c r="JZ36" i="13"/>
  <c r="JL36" i="13"/>
  <c r="JK36" i="13"/>
  <c r="IW36" i="13"/>
  <c r="IV36" i="13"/>
  <c r="IH36" i="13"/>
  <c r="IG36" i="13"/>
  <c r="HS36" i="13"/>
  <c r="HR36" i="13"/>
  <c r="KW35" i="13"/>
  <c r="JA35" i="13"/>
  <c r="KA34" i="13"/>
  <c r="JZ34" i="13"/>
  <c r="JL34" i="13"/>
  <c r="JK34" i="13"/>
  <c r="IH34" i="13"/>
  <c r="IG34" i="13"/>
  <c r="HS34" i="13"/>
  <c r="HR34" i="13"/>
  <c r="KP31" i="13"/>
  <c r="KO31" i="13"/>
  <c r="KA31" i="13"/>
  <c r="JZ31" i="13"/>
  <c r="JS31" i="13"/>
  <c r="JL31" i="13"/>
  <c r="JK31" i="13"/>
  <c r="JJ31" i="13"/>
  <c r="IW31" i="13"/>
  <c r="IV31" i="13"/>
  <c r="IH31" i="13"/>
  <c r="IG31" i="13"/>
  <c r="HS31" i="13"/>
  <c r="HR31" i="13"/>
  <c r="HK31" i="13"/>
  <c r="KP30" i="13"/>
  <c r="KO30" i="13"/>
  <c r="KA30" i="13"/>
  <c r="JZ30" i="13"/>
  <c r="JL30" i="13"/>
  <c r="JM30" i="13" s="1"/>
  <c r="JK30" i="13"/>
  <c r="IW30" i="13"/>
  <c r="IV30" i="13"/>
  <c r="IH30" i="13"/>
  <c r="IG30" i="13"/>
  <c r="HS30" i="13"/>
  <c r="HR30" i="13"/>
  <c r="HQ30" i="13"/>
  <c r="LK29" i="13"/>
  <c r="LJ29" i="13"/>
  <c r="LH29" i="13"/>
  <c r="LG29" i="13"/>
  <c r="LD29" i="13"/>
  <c r="LA29" i="13"/>
  <c r="JY29" i="13"/>
  <c r="HQ29" i="13"/>
  <c r="HK29" i="13"/>
  <c r="LW28" i="13"/>
  <c r="LT28" i="13"/>
  <c r="LS28" i="13"/>
  <c r="LN28" i="13"/>
  <c r="LM28" i="13"/>
  <c r="LK28" i="13"/>
  <c r="LJ28" i="13"/>
  <c r="LH28" i="13"/>
  <c r="LG28" i="13"/>
  <c r="LE28" i="13"/>
  <c r="LD28" i="13"/>
  <c r="LB28" i="13"/>
  <c r="LA28" i="13"/>
  <c r="KV28" i="13"/>
  <c r="KU28" i="13"/>
  <c r="KS28" i="13"/>
  <c r="KR28" i="13"/>
  <c r="KP28" i="13"/>
  <c r="KO28" i="13"/>
  <c r="KA28" i="13"/>
  <c r="JZ28" i="13"/>
  <c r="JL28" i="13"/>
  <c r="JK28" i="13"/>
  <c r="JA28" i="13"/>
  <c r="IW28" i="13"/>
  <c r="IV28" i="13"/>
  <c r="IH28" i="13"/>
  <c r="IG28" i="13"/>
  <c r="HS28" i="13"/>
  <c r="HR28" i="13"/>
  <c r="HQ28" i="13"/>
  <c r="LW26" i="13"/>
  <c r="LX26" i="13" s="1"/>
  <c r="LT26" i="13"/>
  <c r="LS26" i="13"/>
  <c r="LQ26" i="13"/>
  <c r="LP26" i="13"/>
  <c r="LN26" i="13"/>
  <c r="LM26" i="13"/>
  <c r="LK26" i="13"/>
  <c r="LJ26" i="13"/>
  <c r="LG26" i="13"/>
  <c r="LE26" i="13"/>
  <c r="LD26" i="13"/>
  <c r="LB26" i="13"/>
  <c r="LA26" i="13"/>
  <c r="KY26" i="13"/>
  <c r="KX26" i="13"/>
  <c r="KV26" i="13"/>
  <c r="KU26" i="13"/>
  <c r="KS26" i="13"/>
  <c r="KR26" i="13"/>
  <c r="KP26" i="13"/>
  <c r="KO26" i="13"/>
  <c r="KA26" i="13"/>
  <c r="JZ26" i="13"/>
  <c r="JS26" i="13"/>
  <c r="JL26" i="13"/>
  <c r="JK26" i="13"/>
  <c r="JJ26" i="13"/>
  <c r="IW26" i="13"/>
  <c r="IV26" i="13"/>
  <c r="IH26" i="13"/>
  <c r="IG26" i="13"/>
  <c r="HS26" i="13"/>
  <c r="HR26" i="13"/>
  <c r="JG25" i="13"/>
  <c r="JD25" i="13"/>
  <c r="LI23" i="13"/>
  <c r="KP23" i="13"/>
  <c r="KO23" i="13"/>
  <c r="KA23" i="13"/>
  <c r="JZ23" i="13"/>
  <c r="JL23" i="13"/>
  <c r="JK23" i="13"/>
  <c r="JD23" i="13"/>
  <c r="IW23" i="13"/>
  <c r="IV23" i="13"/>
  <c r="IH23" i="13"/>
  <c r="IG23" i="13"/>
  <c r="HS23" i="13"/>
  <c r="HR23" i="13"/>
  <c r="HQ23" i="13"/>
  <c r="LX21" i="13"/>
  <c r="KP21" i="13"/>
  <c r="KO21" i="13"/>
  <c r="KA21" i="13"/>
  <c r="JZ21" i="13"/>
  <c r="JL21" i="13"/>
  <c r="JK21" i="13"/>
  <c r="IW21" i="13"/>
  <c r="IV21" i="13"/>
  <c r="IH21" i="13"/>
  <c r="IG21" i="13"/>
  <c r="HS21" i="13"/>
  <c r="HR21" i="13"/>
  <c r="HN21" i="13"/>
  <c r="KW19" i="13"/>
  <c r="KP19" i="13"/>
  <c r="KO19" i="13"/>
  <c r="KA19" i="13"/>
  <c r="JZ19" i="13"/>
  <c r="JL19" i="13"/>
  <c r="JM19" i="13" s="1"/>
  <c r="JK19" i="13"/>
  <c r="IW19" i="13"/>
  <c r="IV19" i="13"/>
  <c r="IH19" i="13"/>
  <c r="IG19" i="13"/>
  <c r="HS19" i="13"/>
  <c r="HR19" i="13"/>
  <c r="LU18" i="13"/>
  <c r="LI18" i="13"/>
  <c r="KP18" i="13"/>
  <c r="KO18" i="13"/>
  <c r="KA18" i="13"/>
  <c r="JZ18" i="13"/>
  <c r="JL18" i="13"/>
  <c r="JK18" i="13"/>
  <c r="IW18" i="13"/>
  <c r="IV18" i="13"/>
  <c r="IH18" i="13"/>
  <c r="IG18" i="13"/>
  <c r="HS18" i="13"/>
  <c r="HR18" i="13"/>
  <c r="HN18" i="13"/>
  <c r="HK18" i="13"/>
  <c r="KW16" i="13"/>
  <c r="KP16" i="13"/>
  <c r="KO16" i="13"/>
  <c r="KA16" i="13"/>
  <c r="KB16" i="13" s="1"/>
  <c r="JZ16" i="13"/>
  <c r="JL16" i="13"/>
  <c r="JM16" i="13" s="1"/>
  <c r="JK16" i="13"/>
  <c r="IW16" i="13"/>
  <c r="IV16" i="13"/>
  <c r="IH16" i="13"/>
  <c r="IG16" i="13"/>
  <c r="HS16" i="13"/>
  <c r="HR16" i="13"/>
  <c r="KT14" i="13"/>
  <c r="KP14" i="13"/>
  <c r="KO14" i="13"/>
  <c r="KA14" i="13"/>
  <c r="JZ14" i="13"/>
  <c r="JV14" i="13"/>
  <c r="JL14" i="13"/>
  <c r="JK14" i="13"/>
  <c r="JG14" i="13"/>
  <c r="IW14" i="13"/>
  <c r="IV14" i="13"/>
  <c r="IH14" i="13"/>
  <c r="IG14" i="13"/>
  <c r="HS14" i="13"/>
  <c r="HR14" i="13"/>
  <c r="LU13" i="13"/>
  <c r="JG13" i="13"/>
  <c r="JD13" i="13"/>
  <c r="IH13" i="13"/>
  <c r="IG13" i="13"/>
  <c r="HN13" i="13"/>
  <c r="HK13" i="13"/>
  <c r="KW12" i="13"/>
  <c r="KP12" i="13"/>
  <c r="KO12" i="13"/>
  <c r="KA12" i="13"/>
  <c r="KB12" i="13" s="1"/>
  <c r="JZ12" i="13"/>
  <c r="JL12" i="13"/>
  <c r="JM12" i="13" s="1"/>
  <c r="JK12" i="13"/>
  <c r="IW12" i="13"/>
  <c r="IV12" i="13"/>
  <c r="IH12" i="13"/>
  <c r="IG12" i="13"/>
  <c r="HS12" i="13"/>
  <c r="HR12" i="13"/>
  <c r="KT10" i="13"/>
  <c r="KP10" i="13"/>
  <c r="KO10" i="13"/>
  <c r="KA10" i="13"/>
  <c r="JZ10" i="13"/>
  <c r="JV10" i="13"/>
  <c r="JL10" i="13"/>
  <c r="JK10" i="13"/>
  <c r="JG10" i="13"/>
  <c r="IW10" i="13"/>
  <c r="IV10" i="13"/>
  <c r="IH10" i="13"/>
  <c r="IG10" i="13"/>
  <c r="HS10" i="13"/>
  <c r="HR10" i="13"/>
  <c r="LU9" i="13"/>
  <c r="KP9" i="13"/>
  <c r="KO9" i="13"/>
  <c r="KA9" i="13"/>
  <c r="JZ9" i="13"/>
  <c r="JS9" i="13"/>
  <c r="JL9" i="13"/>
  <c r="JK9" i="13"/>
  <c r="JD9" i="13"/>
  <c r="JA9" i="13"/>
  <c r="IW9" i="13"/>
  <c r="IV9" i="13"/>
  <c r="IH9" i="13"/>
  <c r="IG9" i="13"/>
  <c r="HS9" i="13"/>
  <c r="HT9" i="13" s="1"/>
  <c r="HR9" i="13"/>
  <c r="LW8" i="13"/>
  <c r="LX8" i="13" s="1"/>
  <c r="LT8" i="13"/>
  <c r="LQ8" i="13"/>
  <c r="LN8" i="13"/>
  <c r="LK8" i="13"/>
  <c r="LH8" i="13"/>
  <c r="LE8" i="13"/>
  <c r="LB8" i="13"/>
  <c r="KY8" i="13"/>
  <c r="KV8" i="13"/>
  <c r="KS8" i="13"/>
  <c r="JY8" i="13"/>
  <c r="JD8" i="13"/>
  <c r="HN8" i="13"/>
  <c r="KP7" i="13"/>
  <c r="KL7" i="13"/>
  <c r="KO7" i="13" s="1"/>
  <c r="KA7" i="13"/>
  <c r="JZ7" i="13"/>
  <c r="JL7" i="13"/>
  <c r="JM7" i="13" s="1"/>
  <c r="JH7" i="13"/>
  <c r="JK7" i="13" s="1"/>
  <c r="JA7" i="13"/>
  <c r="IT7" i="13"/>
  <c r="IW7" i="13" s="1"/>
  <c r="IS7" i="13"/>
  <c r="IV7" i="13" s="1"/>
  <c r="IH7" i="13"/>
  <c r="IG7" i="13"/>
  <c r="HS7" i="13"/>
  <c r="HR7" i="13"/>
  <c r="LU5" i="13"/>
  <c r="KM5" i="13"/>
  <c r="KL5" i="13"/>
  <c r="KO5" i="13" s="1"/>
  <c r="JX5" i="13"/>
  <c r="KA5" i="13" s="1"/>
  <c r="JW5" i="13"/>
  <c r="JZ5" i="13" s="1"/>
  <c r="JS5" i="13"/>
  <c r="JI5" i="13"/>
  <c r="JH5" i="13"/>
  <c r="JK5" i="13" s="1"/>
  <c r="JA5" i="13"/>
  <c r="IT5" i="13"/>
  <c r="IS5" i="13"/>
  <c r="IV5" i="13" s="1"/>
  <c r="IE5" i="13"/>
  <c r="ID5" i="13"/>
  <c r="IG5" i="13" s="1"/>
  <c r="HP5" i="13"/>
  <c r="HS5" i="13" s="1"/>
  <c r="HO5" i="13"/>
  <c r="HR5" i="13" s="1"/>
  <c r="CD16" i="12"/>
  <c r="AW16" i="12"/>
  <c r="BO14" i="12"/>
  <c r="BF13" i="12"/>
  <c r="CR11" i="12"/>
  <c r="CS11" i="12" s="1"/>
  <c r="CO11" i="12"/>
  <c r="CP11" i="12" s="1"/>
  <c r="CL11" i="12"/>
  <c r="CI11" i="12"/>
  <c r="CF11" i="12"/>
  <c r="CC11" i="12"/>
  <c r="CD11" i="12" s="1"/>
  <c r="BZ11" i="12"/>
  <c r="BW11" i="12"/>
  <c r="BT11" i="12"/>
  <c r="BQ11" i="12"/>
  <c r="BR11" i="12" s="1"/>
  <c r="BF11" i="12"/>
  <c r="CS10" i="12"/>
  <c r="CP9" i="12"/>
  <c r="CD9" i="12"/>
  <c r="CD8" i="12"/>
  <c r="BR8" i="12"/>
  <c r="BJ8" i="12"/>
  <c r="BF8" i="12"/>
  <c r="BD8" i="12"/>
  <c r="AU8" i="12"/>
  <c r="CG7" i="12"/>
  <c r="BK7" i="12"/>
  <c r="BJ7" i="12"/>
  <c r="BH7" i="12"/>
  <c r="BG7" i="12"/>
  <c r="BE7" i="12"/>
  <c r="BD7" i="12"/>
  <c r="BB7" i="12"/>
  <c r="BA7" i="12"/>
  <c r="AY7" i="12"/>
  <c r="AX7" i="12"/>
  <c r="AV7" i="12"/>
  <c r="AU7" i="12"/>
  <c r="CR6" i="12"/>
  <c r="CO6" i="12"/>
  <c r="CP6" i="12" s="1"/>
  <c r="CL6" i="12"/>
  <c r="CI6" i="12"/>
  <c r="CF6" i="12"/>
  <c r="CC6" i="12"/>
  <c r="CD6" i="12" s="1"/>
  <c r="BZ6" i="12"/>
  <c r="BW6" i="12"/>
  <c r="BT6" i="12"/>
  <c r="BQ6" i="12"/>
  <c r="BR6" i="12" s="1"/>
  <c r="BR5" i="12"/>
  <c r="BF5" i="12"/>
  <c r="BF4" i="12"/>
  <c r="DE51" i="9"/>
  <c r="DE42" i="9"/>
  <c r="DE38" i="9"/>
  <c r="DE30" i="9"/>
  <c r="DE26" i="9"/>
  <c r="DE17" i="9"/>
  <c r="DE12" i="9"/>
  <c r="DE5" i="9"/>
  <c r="DA48" i="9"/>
  <c r="DA40" i="9"/>
  <c r="DA36" i="9"/>
  <c r="DA29" i="9"/>
  <c r="DA25" i="9"/>
  <c r="DA15" i="9"/>
  <c r="DA10" i="9"/>
  <c r="CQ41" i="9"/>
  <c r="CQ29" i="9"/>
  <c r="CQ17" i="9"/>
  <c r="CQ5" i="9"/>
  <c r="CN45" i="9"/>
  <c r="CN39" i="9"/>
  <c r="CN33" i="9"/>
  <c r="CN28" i="9"/>
  <c r="CN19" i="9"/>
  <c r="CN15" i="9"/>
  <c r="CN7" i="9"/>
  <c r="CA45" i="9"/>
  <c r="CA43" i="9"/>
  <c r="CA37" i="9"/>
  <c r="CA34" i="9"/>
  <c r="CA28" i="9"/>
  <c r="CA26" i="9"/>
  <c r="CA19" i="9"/>
  <c r="CA18" i="9"/>
  <c r="CA11" i="9"/>
  <c r="CA9" i="9"/>
  <c r="BX49" i="9"/>
  <c r="BX40" i="9"/>
  <c r="BX31" i="9"/>
  <c r="BX25" i="9"/>
  <c r="BX16" i="9"/>
  <c r="BX7" i="9"/>
  <c r="BP51" i="9"/>
  <c r="BP42" i="9"/>
  <c r="BP34" i="9"/>
  <c r="BP27" i="9"/>
  <c r="BP20" i="9"/>
  <c r="BP12" i="9"/>
  <c r="BP5" i="9"/>
  <c r="BM47" i="9"/>
  <c r="BM45" i="9"/>
  <c r="BM39" i="9"/>
  <c r="BM36" i="9"/>
  <c r="BM31" i="9"/>
  <c r="BM30" i="9"/>
  <c r="BM24" i="9"/>
  <c r="BM23" i="9"/>
  <c r="BM17" i="9"/>
  <c r="BM14" i="9"/>
  <c r="BM9" i="9"/>
  <c r="BM7" i="9"/>
  <c r="BB10" i="9"/>
  <c r="BB13" i="9"/>
  <c r="BB18" i="9"/>
  <c r="BB19" i="9"/>
  <c r="BB26" i="9"/>
  <c r="BB27" i="9"/>
  <c r="BB32" i="9"/>
  <c r="BB35" i="9"/>
  <c r="BB40" i="9"/>
  <c r="BB42" i="9"/>
  <c r="BB48" i="9"/>
  <c r="BB49" i="9"/>
  <c r="MR172" i="10"/>
  <c r="MR170" i="10"/>
  <c r="MR164" i="10"/>
  <c r="MR163" i="10"/>
  <c r="MR157" i="10"/>
  <c r="MR155" i="10"/>
  <c r="MR149" i="10"/>
  <c r="MR146" i="10"/>
  <c r="MR141" i="10"/>
  <c r="MR140" i="10"/>
  <c r="MR134" i="10"/>
  <c r="MR133" i="10"/>
  <c r="MR128" i="10"/>
  <c r="MR125" i="10"/>
  <c r="MR120" i="10"/>
  <c r="MR118" i="10"/>
  <c r="MR113" i="10"/>
  <c r="MR112" i="10"/>
  <c r="MR106" i="10"/>
  <c r="MR104" i="10"/>
  <c r="MR98" i="10"/>
  <c r="MR97" i="10"/>
  <c r="MR92" i="10"/>
  <c r="MR90" i="10"/>
  <c r="MR85" i="10"/>
  <c r="MR82" i="10"/>
  <c r="MR77" i="10"/>
  <c r="MR76" i="10"/>
  <c r="MR70" i="10"/>
  <c r="MR69" i="10"/>
  <c r="MR64" i="10"/>
  <c r="MR61" i="10"/>
  <c r="MR55" i="10"/>
  <c r="MR53" i="10"/>
  <c r="MR48" i="10"/>
  <c r="MR47" i="10"/>
  <c r="MR41" i="10"/>
  <c r="MR39" i="10"/>
  <c r="MR33" i="10"/>
  <c r="MR32" i="10"/>
  <c r="MR27" i="10"/>
  <c r="MR25" i="10"/>
  <c r="MR20" i="10"/>
  <c r="MR16" i="10"/>
  <c r="MR10" i="10"/>
  <c r="MR9" i="10"/>
  <c r="MN172" i="10"/>
  <c r="MN171" i="10"/>
  <c r="MN166" i="10"/>
  <c r="MN163" i="10"/>
  <c r="MN157" i="10"/>
  <c r="MN155" i="10"/>
  <c r="MN149" i="10"/>
  <c r="MN148" i="10"/>
  <c r="MN142" i="10"/>
  <c r="MN140" i="10"/>
  <c r="MN134" i="10"/>
  <c r="MN133" i="10"/>
  <c r="MN128" i="10"/>
  <c r="MN126" i="10"/>
  <c r="MN121" i="10"/>
  <c r="MN118" i="10"/>
  <c r="MN113" i="10"/>
  <c r="MN112" i="10"/>
  <c r="MN106" i="10"/>
  <c r="MN105" i="10"/>
  <c r="MN100" i="10"/>
  <c r="MN97" i="10"/>
  <c r="MN92" i="10"/>
  <c r="MN90" i="10"/>
  <c r="MN85" i="10"/>
  <c r="MN83" i="10"/>
  <c r="MN77" i="10"/>
  <c r="MN75" i="10"/>
  <c r="MN69" i="10"/>
  <c r="MN68" i="10"/>
  <c r="MN63" i="10"/>
  <c r="MN61" i="10"/>
  <c r="MN54" i="10"/>
  <c r="MN51" i="10"/>
  <c r="MN46" i="10"/>
  <c r="MN45" i="10"/>
  <c r="MN39" i="10"/>
  <c r="MN38" i="10"/>
  <c r="MN33" i="10"/>
  <c r="MN30" i="10"/>
  <c r="MN25" i="10"/>
  <c r="MN23" i="10"/>
  <c r="MN18" i="10"/>
  <c r="MN17" i="10"/>
  <c r="MN10" i="10"/>
  <c r="MN8" i="10"/>
  <c r="ME171" i="10"/>
  <c r="ME163" i="10"/>
  <c r="ME156" i="10"/>
  <c r="ME148" i="10"/>
  <c r="ME140" i="10"/>
  <c r="ME133" i="10"/>
  <c r="ME127" i="10"/>
  <c r="ME119" i="10"/>
  <c r="ME112" i="10"/>
  <c r="ME105" i="10"/>
  <c r="ME97" i="10"/>
  <c r="ME91" i="10"/>
  <c r="ME84" i="10"/>
  <c r="ME76" i="10"/>
  <c r="ME69" i="10"/>
  <c r="ME63" i="10"/>
  <c r="ME52" i="10"/>
  <c r="ME45" i="10"/>
  <c r="ME38" i="10"/>
  <c r="ME30" i="10"/>
  <c r="ME24" i="10"/>
  <c r="ME17" i="10"/>
  <c r="ME8" i="10"/>
  <c r="MF56" i="10"/>
  <c r="MF58" i="10"/>
  <c r="MF161" i="10"/>
  <c r="MF162" i="10"/>
  <c r="MB173" i="10"/>
  <c r="MB167" i="10"/>
  <c r="MB166" i="10"/>
  <c r="MB159" i="10"/>
  <c r="MB157" i="10"/>
  <c r="MB151" i="10"/>
  <c r="MB148" i="10"/>
  <c r="MB143" i="10"/>
  <c r="MB142" i="10"/>
  <c r="MB136" i="10"/>
  <c r="MB135" i="10"/>
  <c r="MB130" i="10"/>
  <c r="MB127" i="10"/>
  <c r="MB122" i="10"/>
  <c r="MB120" i="10"/>
  <c r="MB115" i="10"/>
  <c r="MB114" i="10"/>
  <c r="MB108" i="10"/>
  <c r="MB106" i="10"/>
  <c r="MB100" i="10"/>
  <c r="MB99" i="10"/>
  <c r="MB94" i="10"/>
  <c r="MB92" i="10"/>
  <c r="MB87" i="10"/>
  <c r="MB84" i="10"/>
  <c r="MB79" i="10"/>
  <c r="MB78" i="10"/>
  <c r="MB72" i="10"/>
  <c r="MB71" i="10"/>
  <c r="MB66" i="10"/>
  <c r="MB63" i="10"/>
  <c r="MB55" i="10"/>
  <c r="MB53" i="10"/>
  <c r="MB48" i="10"/>
  <c r="MB47" i="10"/>
  <c r="MB41" i="10"/>
  <c r="MB39" i="10"/>
  <c r="MB33" i="10"/>
  <c r="MB32" i="10"/>
  <c r="MB27" i="10"/>
  <c r="MB25" i="10"/>
  <c r="MB20" i="10"/>
  <c r="MB17" i="10"/>
  <c r="MB12" i="10"/>
  <c r="MB10" i="10"/>
  <c r="LO171" i="10"/>
  <c r="LO169" i="10"/>
  <c r="LO165" i="10"/>
  <c r="LO164" i="10"/>
  <c r="LO158" i="10"/>
  <c r="LO157" i="10"/>
  <c r="LO152" i="10"/>
  <c r="LO150" i="10"/>
  <c r="LO146" i="10"/>
  <c r="LO145" i="10"/>
  <c r="LO141" i="10"/>
  <c r="LO140" i="10"/>
  <c r="LO136" i="10"/>
  <c r="LO134" i="10"/>
  <c r="LO130" i="10"/>
  <c r="LO129" i="10"/>
  <c r="LO125" i="10"/>
  <c r="LO124" i="10"/>
  <c r="LO120" i="10"/>
  <c r="LO118" i="10"/>
  <c r="LO114" i="10"/>
  <c r="LO113" i="10"/>
  <c r="LO109" i="10"/>
  <c r="LO108" i="10"/>
  <c r="LO104" i="10"/>
  <c r="LO102" i="10"/>
  <c r="LO98" i="10"/>
  <c r="LO97" i="10"/>
  <c r="LO93" i="10"/>
  <c r="LO92" i="10"/>
  <c r="LO88" i="10"/>
  <c r="LO86" i="10"/>
  <c r="LO82" i="10"/>
  <c r="LO81" i="10"/>
  <c r="LO77" i="10"/>
  <c r="LO76" i="10"/>
  <c r="LO72" i="10"/>
  <c r="LO70" i="10"/>
  <c r="LO66" i="10"/>
  <c r="LO65" i="10"/>
  <c r="LO61" i="10"/>
  <c r="LO60" i="10"/>
  <c r="LO54" i="10"/>
  <c r="LO52" i="10"/>
  <c r="LO48" i="10"/>
  <c r="LO47" i="10"/>
  <c r="LO43" i="10"/>
  <c r="LO42" i="10"/>
  <c r="LO38" i="10"/>
  <c r="LO36" i="10"/>
  <c r="LO32" i="10"/>
  <c r="LO31" i="10"/>
  <c r="LO27" i="10"/>
  <c r="LO26" i="10"/>
  <c r="LO22" i="10"/>
  <c r="LO20" i="10"/>
  <c r="LO16" i="10"/>
  <c r="LO15" i="10"/>
  <c r="LO10" i="10"/>
  <c r="LO9" i="10"/>
  <c r="LO5" i="10"/>
  <c r="LL172" i="10"/>
  <c r="LL167" i="10"/>
  <c r="LL160" i="10"/>
  <c r="LL153" i="10"/>
  <c r="LL148" i="10"/>
  <c r="LL143" i="10"/>
  <c r="LL137" i="10"/>
  <c r="LL132" i="10"/>
  <c r="LL127" i="10"/>
  <c r="LL121" i="10"/>
  <c r="LL116" i="10"/>
  <c r="LL111" i="10"/>
  <c r="LL105" i="10"/>
  <c r="LL100" i="10"/>
  <c r="LL95" i="10"/>
  <c r="LL89" i="10"/>
  <c r="LL84" i="10"/>
  <c r="LL79" i="10"/>
  <c r="LL73" i="10"/>
  <c r="LL68" i="10"/>
  <c r="LL63" i="10"/>
  <c r="LL55" i="10"/>
  <c r="LL50" i="10"/>
  <c r="LL45" i="10"/>
  <c r="LL39" i="10"/>
  <c r="LL34" i="10"/>
  <c r="LL29" i="10"/>
  <c r="LL23" i="10"/>
  <c r="LL18" i="10"/>
  <c r="LL12" i="10"/>
  <c r="LL5" i="10"/>
  <c r="KR172" i="10"/>
  <c r="KR171" i="10"/>
  <c r="KR167" i="10"/>
  <c r="KR166" i="10"/>
  <c r="KR161" i="10"/>
  <c r="KR159" i="10"/>
  <c r="KR155" i="10"/>
  <c r="KR154" i="10"/>
  <c r="KR150" i="10"/>
  <c r="KR149" i="10"/>
  <c r="KR145" i="10"/>
  <c r="KR143" i="10"/>
  <c r="KR139" i="10"/>
  <c r="KR138" i="10"/>
  <c r="KR134" i="10"/>
  <c r="KR133" i="10"/>
  <c r="KR129" i="10"/>
  <c r="KR127" i="10"/>
  <c r="KR123" i="10"/>
  <c r="KR122" i="10"/>
  <c r="KR118" i="10"/>
  <c r="KR117" i="10"/>
  <c r="KR113" i="10"/>
  <c r="KR111" i="10"/>
  <c r="KR107" i="10"/>
  <c r="KR106" i="10"/>
  <c r="KR102" i="10"/>
  <c r="KR101" i="10"/>
  <c r="KR97" i="10"/>
  <c r="KR95" i="10"/>
  <c r="KR91" i="10"/>
  <c r="KR90" i="10"/>
  <c r="KR85" i="10"/>
  <c r="KR84" i="10"/>
  <c r="KR80" i="10"/>
  <c r="KR78" i="10"/>
  <c r="KR74" i="10"/>
  <c r="KR73" i="10"/>
  <c r="KR69" i="10"/>
  <c r="KR68" i="10"/>
  <c r="KR64" i="10"/>
  <c r="KR62" i="10"/>
  <c r="KR58" i="10"/>
  <c r="KR57" i="10"/>
  <c r="KR53" i="10"/>
  <c r="KR52" i="10"/>
  <c r="KR48" i="10"/>
  <c r="KR46" i="10"/>
  <c r="KR42" i="10"/>
  <c r="KR41" i="10"/>
  <c r="KR37" i="10"/>
  <c r="KR36" i="10"/>
  <c r="KR32" i="10"/>
  <c r="KR30" i="10"/>
  <c r="KR26" i="10"/>
  <c r="KR25" i="10"/>
  <c r="KR21" i="10"/>
  <c r="KR20" i="10"/>
  <c r="KR16" i="10"/>
  <c r="KR14" i="10"/>
  <c r="KR10" i="10"/>
  <c r="KR8" i="10"/>
  <c r="KN173" i="10"/>
  <c r="KN172" i="10"/>
  <c r="KN168" i="10"/>
  <c r="KN166" i="10"/>
  <c r="KN162" i="10"/>
  <c r="KN161" i="10"/>
  <c r="KN157" i="10"/>
  <c r="KN156" i="10"/>
  <c r="KN152" i="10"/>
  <c r="KN150" i="10"/>
  <c r="KN146" i="10"/>
  <c r="KN145" i="10"/>
  <c r="KN141" i="10"/>
  <c r="KN140" i="10"/>
  <c r="KN136" i="10"/>
  <c r="KN134" i="10"/>
  <c r="KN130" i="10"/>
  <c r="KN129" i="10"/>
  <c r="KN125" i="10"/>
  <c r="KN124" i="10"/>
  <c r="KN120" i="10"/>
  <c r="KN118" i="10"/>
  <c r="KN114" i="10"/>
  <c r="KN113" i="10"/>
  <c r="KN109" i="10"/>
  <c r="KN108" i="10"/>
  <c r="KN104" i="10"/>
  <c r="KN102" i="10"/>
  <c r="KN98" i="10"/>
  <c r="KN97" i="10"/>
  <c r="KN93" i="10"/>
  <c r="KN92" i="10"/>
  <c r="KN88" i="10"/>
  <c r="KN86" i="10"/>
  <c r="KN82" i="10"/>
  <c r="KN81" i="10"/>
  <c r="KN77" i="10"/>
  <c r="KN76" i="10"/>
  <c r="KN72" i="10"/>
  <c r="KN70" i="10"/>
  <c r="KN66" i="10"/>
  <c r="KN65" i="10"/>
  <c r="KN61" i="10"/>
  <c r="KN60" i="10"/>
  <c r="KN56" i="10"/>
  <c r="KN54" i="10"/>
  <c r="KN50" i="10"/>
  <c r="KN49" i="10"/>
  <c r="KN45" i="10"/>
  <c r="KN44" i="10"/>
  <c r="KN40" i="10"/>
  <c r="KN38" i="10"/>
  <c r="KN34" i="10"/>
  <c r="KN33" i="10"/>
  <c r="KN29" i="10"/>
  <c r="KN28" i="10"/>
  <c r="KN24" i="10"/>
  <c r="KN22" i="10"/>
  <c r="KN18" i="10"/>
  <c r="KN17" i="10"/>
  <c r="KN13" i="10"/>
  <c r="KN12" i="10"/>
  <c r="KN8" i="10"/>
  <c r="KN6" i="10"/>
  <c r="KJ171" i="10"/>
  <c r="KJ170" i="10"/>
  <c r="KJ166" i="10"/>
  <c r="KJ165" i="10"/>
  <c r="KJ161" i="10"/>
  <c r="KJ159" i="10"/>
  <c r="KJ155" i="10"/>
  <c r="KJ154" i="10"/>
  <c r="KJ150" i="10"/>
  <c r="KJ149" i="10"/>
  <c r="KJ145" i="10"/>
  <c r="KJ143" i="10"/>
  <c r="KJ139" i="10"/>
  <c r="KJ138" i="10"/>
  <c r="KJ134" i="10"/>
  <c r="KJ133" i="10"/>
  <c r="KJ129" i="10"/>
  <c r="KJ127" i="10"/>
  <c r="KJ123" i="10"/>
  <c r="KJ122" i="10"/>
  <c r="KJ118" i="10"/>
  <c r="KJ117" i="10"/>
  <c r="KJ113" i="10"/>
  <c r="KJ111" i="10"/>
  <c r="KJ107" i="10"/>
  <c r="KJ106" i="10"/>
  <c r="KJ102" i="10"/>
  <c r="KJ101" i="10"/>
  <c r="KJ97" i="10"/>
  <c r="KJ95" i="10"/>
  <c r="KJ91" i="10"/>
  <c r="KJ90" i="10"/>
  <c r="KJ86" i="10"/>
  <c r="KJ85" i="10"/>
  <c r="KJ81" i="10"/>
  <c r="KJ79" i="10"/>
  <c r="KJ75" i="10"/>
  <c r="KJ74" i="10"/>
  <c r="KJ70" i="10"/>
  <c r="KJ69" i="10"/>
  <c r="KJ65" i="10"/>
  <c r="KJ63" i="10"/>
  <c r="KJ59" i="10"/>
  <c r="KJ58" i="10"/>
  <c r="KJ54" i="10"/>
  <c r="KJ53" i="10"/>
  <c r="KJ49" i="10"/>
  <c r="KJ47" i="10"/>
  <c r="KJ43" i="10"/>
  <c r="KJ42" i="10"/>
  <c r="KJ38" i="10"/>
  <c r="KJ37" i="10"/>
  <c r="KJ33" i="10"/>
  <c r="KJ31" i="10"/>
  <c r="KJ27" i="10"/>
  <c r="KJ26" i="10"/>
  <c r="KJ22" i="10"/>
  <c r="KJ21" i="10"/>
  <c r="KJ17" i="10"/>
  <c r="KJ15" i="10"/>
  <c r="KJ11" i="10"/>
  <c r="KJ10" i="10"/>
  <c r="KJ6" i="10"/>
  <c r="KJ5" i="10"/>
  <c r="KF170" i="10"/>
  <c r="KF168" i="10"/>
  <c r="KF164" i="10"/>
  <c r="KF163" i="10"/>
  <c r="KF159" i="10"/>
  <c r="KF158" i="10"/>
  <c r="KF154" i="10"/>
  <c r="KF152" i="10"/>
  <c r="KF148" i="10"/>
  <c r="KF147" i="10"/>
  <c r="KF143" i="10"/>
  <c r="KF142" i="10"/>
  <c r="KF138" i="10"/>
  <c r="KF136" i="10"/>
  <c r="KF132" i="10"/>
  <c r="KF131" i="10"/>
  <c r="KF127" i="10"/>
  <c r="KF126" i="10"/>
  <c r="KF122" i="10"/>
  <c r="KF120" i="10"/>
  <c r="KF116" i="10"/>
  <c r="KF115" i="10"/>
  <c r="KF111" i="10"/>
  <c r="KF110" i="10"/>
  <c r="KF106" i="10"/>
  <c r="KF104" i="10"/>
  <c r="KF100" i="10"/>
  <c r="KF99" i="10"/>
  <c r="KF95" i="10"/>
  <c r="KF94" i="10"/>
  <c r="KF90" i="10"/>
  <c r="KF88" i="10"/>
  <c r="KF84" i="10"/>
  <c r="KF83" i="10"/>
  <c r="KF79" i="10"/>
  <c r="KF78" i="10"/>
  <c r="KF74" i="10"/>
  <c r="KF72" i="10"/>
  <c r="KF68" i="10"/>
  <c r="KF67" i="10"/>
  <c r="KF63" i="10"/>
  <c r="KF62" i="10"/>
  <c r="KF58" i="10"/>
  <c r="KF56" i="10"/>
  <c r="KF52" i="10"/>
  <c r="KF51" i="10"/>
  <c r="KF47" i="10"/>
  <c r="KF46" i="10"/>
  <c r="KF42" i="10"/>
  <c r="KF40" i="10"/>
  <c r="KF36" i="10"/>
  <c r="KF35" i="10"/>
  <c r="KF31" i="10"/>
  <c r="KF30" i="10"/>
  <c r="KF26" i="10"/>
  <c r="KF24" i="10"/>
  <c r="KF20" i="10"/>
  <c r="KF19" i="10"/>
  <c r="KF15" i="10"/>
  <c r="KF14" i="10"/>
  <c r="KF10" i="10"/>
  <c r="KF8" i="10"/>
  <c r="KB173" i="10"/>
  <c r="KB172" i="10"/>
  <c r="KB168" i="10"/>
  <c r="KB167" i="10"/>
  <c r="KB163" i="10"/>
  <c r="KB160" i="10"/>
  <c r="KB156" i="10"/>
  <c r="KB155" i="10"/>
  <c r="KB151" i="10"/>
  <c r="KB150" i="10"/>
  <c r="KB146" i="10"/>
  <c r="KB144" i="10"/>
  <c r="KB140" i="10"/>
  <c r="KB139" i="10"/>
  <c r="KB135" i="10"/>
  <c r="KB134" i="10"/>
  <c r="KB130" i="10"/>
  <c r="KB128" i="10"/>
  <c r="KB124" i="10"/>
  <c r="KB123" i="10"/>
  <c r="KB119" i="10"/>
  <c r="KB118" i="10"/>
  <c r="KB114" i="10"/>
  <c r="KB112" i="10"/>
  <c r="KB108" i="10"/>
  <c r="KB107" i="10"/>
  <c r="KB103" i="10"/>
  <c r="KB102" i="10"/>
  <c r="KB98" i="10"/>
  <c r="KB96" i="10"/>
  <c r="KB92" i="10"/>
  <c r="KB91" i="10"/>
  <c r="KB87" i="10"/>
  <c r="KB86" i="10"/>
  <c r="KB82" i="10"/>
  <c r="KB80" i="10"/>
  <c r="KB76" i="10"/>
  <c r="KB75" i="10"/>
  <c r="KB71" i="10"/>
  <c r="KB70" i="10"/>
  <c r="KB66" i="10"/>
  <c r="KB64" i="10"/>
  <c r="KB60" i="10"/>
  <c r="KB59" i="10"/>
  <c r="KB55" i="10"/>
  <c r="KB54" i="10"/>
  <c r="KB50" i="10"/>
  <c r="KB48" i="10"/>
  <c r="KB44" i="10"/>
  <c r="KB43" i="10"/>
  <c r="KB39" i="10"/>
  <c r="KB38" i="10"/>
  <c r="KB34" i="10"/>
  <c r="KB32" i="10"/>
  <c r="KB28" i="10"/>
  <c r="KB27" i="10"/>
  <c r="KB23" i="10"/>
  <c r="KB22" i="10"/>
  <c r="KB18" i="10"/>
  <c r="KB16" i="10"/>
  <c r="KB12" i="10"/>
  <c r="KB11" i="10"/>
  <c r="KB6" i="10"/>
  <c r="KB5" i="10"/>
  <c r="JX170" i="10"/>
  <c r="JX168" i="10"/>
  <c r="JX164" i="10"/>
  <c r="JX163" i="10"/>
  <c r="JX159" i="10"/>
  <c r="JX158" i="10"/>
  <c r="JX154" i="10"/>
  <c r="JX152" i="10"/>
  <c r="JX148" i="10"/>
  <c r="JX147" i="10"/>
  <c r="JX143" i="10"/>
  <c r="JX142" i="10"/>
  <c r="JX138" i="10"/>
  <c r="JX136" i="10"/>
  <c r="JX132" i="10"/>
  <c r="JX131" i="10"/>
  <c r="JX127" i="10"/>
  <c r="JX126" i="10"/>
  <c r="JX122" i="10"/>
  <c r="JX120" i="10"/>
  <c r="JX116" i="10"/>
  <c r="JX115" i="10"/>
  <c r="JX111" i="10"/>
  <c r="JX110" i="10"/>
  <c r="JX106" i="10"/>
  <c r="JX104" i="10"/>
  <c r="JX100" i="10"/>
  <c r="JX99" i="10"/>
  <c r="JX95" i="10"/>
  <c r="JX94" i="10"/>
  <c r="JX90" i="10"/>
  <c r="JX88" i="10"/>
  <c r="JX84" i="10"/>
  <c r="JX83" i="10"/>
  <c r="JX79" i="10"/>
  <c r="JX78" i="10"/>
  <c r="JX74" i="10"/>
  <c r="JX72" i="10"/>
  <c r="JX68" i="10"/>
  <c r="JX67" i="10"/>
  <c r="JX63" i="10"/>
  <c r="JX62" i="10"/>
  <c r="JX58" i="10"/>
  <c r="JX56" i="10"/>
  <c r="JX52" i="10"/>
  <c r="JX51" i="10"/>
  <c r="JX47" i="10"/>
  <c r="JX46" i="10"/>
  <c r="JX42" i="10"/>
  <c r="JX40" i="10"/>
  <c r="JX36" i="10"/>
  <c r="JX35" i="10"/>
  <c r="JX31" i="10"/>
  <c r="JX30" i="10"/>
  <c r="JX28" i="10"/>
  <c r="JX26" i="10"/>
  <c r="JX24" i="10"/>
  <c r="JX23" i="10"/>
  <c r="JX20" i="10"/>
  <c r="JX19" i="10"/>
  <c r="JX18" i="10"/>
  <c r="JX15" i="10"/>
  <c r="JX14" i="10"/>
  <c r="JX12" i="10"/>
  <c r="JX10" i="10"/>
  <c r="JX8" i="10"/>
  <c r="JX7" i="10"/>
  <c r="JT173" i="10"/>
  <c r="JT172" i="10"/>
  <c r="JT171" i="10"/>
  <c r="JT168" i="10"/>
  <c r="JT167" i="10"/>
  <c r="JT165" i="10"/>
  <c r="JT163" i="10"/>
  <c r="JT161" i="10"/>
  <c r="JT160" i="10"/>
  <c r="JT157" i="10"/>
  <c r="JT156" i="10"/>
  <c r="JT155" i="10"/>
  <c r="JT152" i="10"/>
  <c r="JT151" i="10"/>
  <c r="JT149" i="10"/>
  <c r="JT147" i="10"/>
  <c r="JT145" i="10"/>
  <c r="JT144" i="10"/>
  <c r="JT141" i="10"/>
  <c r="JT140" i="10"/>
  <c r="JT139" i="10"/>
  <c r="JT136" i="10"/>
  <c r="JT135" i="10"/>
  <c r="JT133" i="10"/>
  <c r="JT131" i="10"/>
  <c r="JT129" i="10"/>
  <c r="JT128" i="10"/>
  <c r="JT125" i="10"/>
  <c r="JT124" i="10"/>
  <c r="JT123" i="10"/>
  <c r="JT120" i="10"/>
  <c r="JT119" i="10"/>
  <c r="JT117" i="10"/>
  <c r="JT115" i="10"/>
  <c r="JT113" i="10"/>
  <c r="JT112" i="10"/>
  <c r="JT109" i="10"/>
  <c r="JT108" i="10"/>
  <c r="JT107" i="10"/>
  <c r="JT104" i="10"/>
  <c r="JT103" i="10"/>
  <c r="JT101" i="10"/>
  <c r="JT99" i="10"/>
  <c r="JT97" i="10"/>
  <c r="JT96" i="10"/>
  <c r="JT93" i="10"/>
  <c r="JT92" i="10"/>
  <c r="JT91" i="10"/>
  <c r="JT88" i="10"/>
  <c r="JT87" i="10"/>
  <c r="JT85" i="10"/>
  <c r="JT83" i="10"/>
  <c r="JT81" i="10"/>
  <c r="JT80" i="10"/>
  <c r="JT77" i="10"/>
  <c r="JT76" i="10"/>
  <c r="JT75" i="10"/>
  <c r="JT72" i="10"/>
  <c r="JT71" i="10"/>
  <c r="JT69" i="10"/>
  <c r="JT67" i="10"/>
  <c r="JT65" i="10"/>
  <c r="JT64" i="10"/>
  <c r="JT61" i="10"/>
  <c r="JT60" i="10"/>
  <c r="JT59" i="10"/>
  <c r="JT56" i="10"/>
  <c r="JT55" i="10"/>
  <c r="JT53" i="10"/>
  <c r="JT51" i="10"/>
  <c r="JT49" i="10"/>
  <c r="JT48" i="10"/>
  <c r="JT45" i="10"/>
  <c r="JT44" i="10"/>
  <c r="JT43" i="10"/>
  <c r="JT40" i="10"/>
  <c r="JT39" i="10"/>
  <c r="JT37" i="10"/>
  <c r="JT35" i="10"/>
  <c r="JT33" i="10"/>
  <c r="JT32" i="10"/>
  <c r="JT29" i="10"/>
  <c r="JT28" i="10"/>
  <c r="JT27" i="10"/>
  <c r="JT24" i="10"/>
  <c r="JT23" i="10"/>
  <c r="JT21" i="10"/>
  <c r="JT19" i="10"/>
  <c r="JT17" i="10"/>
  <c r="JT16" i="10"/>
  <c r="JT13" i="10"/>
  <c r="JT12" i="10"/>
  <c r="JT11" i="10"/>
  <c r="JT8" i="10"/>
  <c r="JT7" i="10"/>
  <c r="JT5" i="10"/>
  <c r="JP172" i="10"/>
  <c r="JP170" i="10"/>
  <c r="JP169" i="10"/>
  <c r="JP166" i="10"/>
  <c r="JP165" i="10"/>
  <c r="JP164" i="10"/>
  <c r="JP161" i="10"/>
  <c r="JP160" i="10"/>
  <c r="JP158" i="10"/>
  <c r="JP156" i="10"/>
  <c r="JP154" i="10"/>
  <c r="JP153" i="10"/>
  <c r="JP150" i="10"/>
  <c r="JP149" i="10"/>
  <c r="JP148" i="10"/>
  <c r="JP145" i="10"/>
  <c r="JP144" i="10"/>
  <c r="JP142" i="10"/>
  <c r="JP140" i="10"/>
  <c r="JP138" i="10"/>
  <c r="JP137" i="10"/>
  <c r="JP134" i="10"/>
  <c r="JP133" i="10"/>
  <c r="JP132" i="10"/>
  <c r="JP129" i="10"/>
  <c r="JP128" i="10"/>
  <c r="JP126" i="10"/>
  <c r="JP124" i="10"/>
  <c r="JP122" i="10"/>
  <c r="JP121" i="10"/>
  <c r="JP118" i="10"/>
  <c r="JP117" i="10"/>
  <c r="JP116" i="10"/>
  <c r="JP113" i="10"/>
  <c r="JP112" i="10"/>
  <c r="JP110" i="10"/>
  <c r="JP108" i="10"/>
  <c r="JP106" i="10"/>
  <c r="JP105" i="10"/>
  <c r="JP102" i="10"/>
  <c r="JP101" i="10"/>
  <c r="JP100" i="10"/>
  <c r="JP97" i="10"/>
  <c r="JP96" i="10"/>
  <c r="JP94" i="10"/>
  <c r="JP92" i="10"/>
  <c r="JP90" i="10"/>
  <c r="JP89" i="10"/>
  <c r="JP86" i="10"/>
  <c r="JP85" i="10"/>
  <c r="JP84" i="10"/>
  <c r="JP81" i="10"/>
  <c r="JP80" i="10"/>
  <c r="JP78" i="10"/>
  <c r="JP76" i="10"/>
  <c r="JP74" i="10"/>
  <c r="JP73" i="10"/>
  <c r="JP70" i="10"/>
  <c r="JP69" i="10"/>
  <c r="JP68" i="10"/>
  <c r="JP65" i="10"/>
  <c r="JP64" i="10"/>
  <c r="JP62" i="10"/>
  <c r="JP60" i="10"/>
  <c r="JP58" i="10"/>
  <c r="JP57" i="10"/>
  <c r="JP54" i="10"/>
  <c r="JP53" i="10"/>
  <c r="JP52" i="10"/>
  <c r="JP49" i="10"/>
  <c r="JP48" i="10"/>
  <c r="JP46" i="10"/>
  <c r="JP44" i="10"/>
  <c r="JP42" i="10"/>
  <c r="JP41" i="10"/>
  <c r="JP38" i="10"/>
  <c r="JP37" i="10"/>
  <c r="JP36" i="10"/>
  <c r="JP33" i="10"/>
  <c r="JP32" i="10"/>
  <c r="JP30" i="10"/>
  <c r="JP28" i="10"/>
  <c r="JP26" i="10"/>
  <c r="JP25" i="10"/>
  <c r="JP22" i="10"/>
  <c r="JP21" i="10"/>
  <c r="JP20" i="10"/>
  <c r="JP17" i="10"/>
  <c r="JP16" i="10"/>
  <c r="JP14" i="10"/>
  <c r="JP12" i="10"/>
  <c r="JP10" i="10"/>
  <c r="JP9" i="10"/>
  <c r="JP6" i="10"/>
  <c r="JP5" i="10"/>
  <c r="IF173" i="10"/>
  <c r="IF172" i="10"/>
  <c r="IF170" i="10"/>
  <c r="IF168" i="10"/>
  <c r="IF166" i="10"/>
  <c r="IF165" i="10"/>
  <c r="IF161" i="10"/>
  <c r="IF160" i="10"/>
  <c r="IF159" i="10"/>
  <c r="IF156" i="10"/>
  <c r="IF155" i="10"/>
  <c r="IF153" i="10"/>
  <c r="IF151" i="10"/>
  <c r="IF149" i="10"/>
  <c r="IF148" i="10"/>
  <c r="IF145" i="10"/>
  <c r="IF144" i="10"/>
  <c r="IF143" i="10"/>
  <c r="IF140" i="10"/>
  <c r="IF139" i="10"/>
  <c r="IF137" i="10"/>
  <c r="IF135" i="10"/>
  <c r="IF133" i="10"/>
  <c r="IF132" i="10"/>
  <c r="IF129" i="10"/>
  <c r="IF128" i="10"/>
  <c r="IF127" i="10"/>
  <c r="IF124" i="10"/>
  <c r="IF123" i="10"/>
  <c r="IF121" i="10"/>
  <c r="IF119" i="10"/>
  <c r="IF117" i="10"/>
  <c r="IF116" i="10"/>
  <c r="IF113" i="10"/>
  <c r="IF112" i="10"/>
  <c r="IF111" i="10"/>
  <c r="IF108" i="10"/>
  <c r="IF107" i="10"/>
  <c r="IF105" i="10"/>
  <c r="IF103" i="10"/>
  <c r="IF101" i="10"/>
  <c r="IF100" i="10"/>
  <c r="IF97" i="10"/>
  <c r="IF96" i="10"/>
  <c r="IF95" i="10"/>
  <c r="IF92" i="10"/>
  <c r="IF91" i="10"/>
  <c r="IF89" i="10"/>
  <c r="IF87" i="10"/>
  <c r="IF85" i="10"/>
  <c r="IF84" i="10"/>
  <c r="IF81" i="10"/>
  <c r="IF80" i="10"/>
  <c r="IF79" i="10"/>
  <c r="IF76" i="10"/>
  <c r="IF75" i="10"/>
  <c r="IF73" i="10"/>
  <c r="IF71" i="10"/>
  <c r="IF69" i="10"/>
  <c r="IF68" i="10"/>
  <c r="IF65" i="10"/>
  <c r="IF64" i="10"/>
  <c r="IF63" i="10"/>
  <c r="IF60" i="10"/>
  <c r="IF59" i="10"/>
  <c r="IF57" i="10"/>
  <c r="IF55" i="10"/>
  <c r="IF53" i="10"/>
  <c r="IF52" i="10"/>
  <c r="IF49" i="10"/>
  <c r="IF48" i="10"/>
  <c r="IF47" i="10"/>
  <c r="IF44" i="10"/>
  <c r="IF43" i="10"/>
  <c r="IF41" i="10"/>
  <c r="IF39" i="10"/>
  <c r="IF37" i="10"/>
  <c r="IF36" i="10"/>
  <c r="IF33" i="10"/>
  <c r="IF32" i="10"/>
  <c r="IF31" i="10"/>
  <c r="IF28" i="10"/>
  <c r="IF27" i="10"/>
  <c r="IF25" i="10"/>
  <c r="IF23" i="10"/>
  <c r="IF21" i="10"/>
  <c r="IF20" i="10"/>
  <c r="IF17" i="10"/>
  <c r="IF16" i="10"/>
  <c r="IF15" i="10"/>
  <c r="IF12" i="10"/>
  <c r="IF11" i="10"/>
  <c r="IF8" i="10"/>
  <c r="IF6" i="10"/>
  <c r="IB173" i="10"/>
  <c r="IB172" i="10"/>
  <c r="IB169" i="10"/>
  <c r="IB168" i="10"/>
  <c r="IB167" i="10"/>
  <c r="IB164" i="10"/>
  <c r="IB163" i="10"/>
  <c r="IB161" i="10"/>
  <c r="IB159" i="10"/>
  <c r="IB157" i="10"/>
  <c r="IB156" i="10"/>
  <c r="IB153" i="10"/>
  <c r="IB152" i="10"/>
  <c r="IB151" i="10"/>
  <c r="IB148" i="10"/>
  <c r="IB147" i="10"/>
  <c r="IB145" i="10"/>
  <c r="IB143" i="10"/>
  <c r="IB141" i="10"/>
  <c r="IB140" i="10"/>
  <c r="IB137" i="10"/>
  <c r="IB136" i="10"/>
  <c r="IB135" i="10"/>
  <c r="IB132" i="10"/>
  <c r="IB131" i="10"/>
  <c r="IB129" i="10"/>
  <c r="IB127" i="10"/>
  <c r="IB125" i="10"/>
  <c r="IB124" i="10"/>
  <c r="IB121" i="10"/>
  <c r="IB120" i="10"/>
  <c r="IB119" i="10"/>
  <c r="IB116" i="10"/>
  <c r="IB115" i="10"/>
  <c r="IB113" i="10"/>
  <c r="IB111" i="10"/>
  <c r="IB109" i="10"/>
  <c r="IB108" i="10"/>
  <c r="IB105" i="10"/>
  <c r="IB104" i="10"/>
  <c r="IB103" i="10"/>
  <c r="IB100" i="10"/>
  <c r="IB99" i="10"/>
  <c r="IB97" i="10"/>
  <c r="IB95" i="10"/>
  <c r="IB93" i="10"/>
  <c r="IB92" i="10"/>
  <c r="IB89" i="10"/>
  <c r="IB88" i="10"/>
  <c r="IB87" i="10"/>
  <c r="IB84" i="10"/>
  <c r="IB83" i="10"/>
  <c r="IB81" i="10"/>
  <c r="IB79" i="10"/>
  <c r="IB77" i="10"/>
  <c r="IB76" i="10"/>
  <c r="IB73" i="10"/>
  <c r="IB72" i="10"/>
  <c r="IB71" i="10"/>
  <c r="IB68" i="10"/>
  <c r="IB67" i="10"/>
  <c r="IB65" i="10"/>
  <c r="IB63" i="10"/>
  <c r="IB61" i="10"/>
  <c r="IB60" i="10"/>
  <c r="IB57" i="10"/>
  <c r="IB56" i="10"/>
  <c r="IB55" i="10"/>
  <c r="IB52" i="10"/>
  <c r="IB51" i="10"/>
  <c r="IB49" i="10"/>
  <c r="IB47" i="10"/>
  <c r="IB45" i="10"/>
  <c r="IB44" i="10"/>
  <c r="IB41" i="10"/>
  <c r="IB40" i="10"/>
  <c r="IB39" i="10"/>
  <c r="IB36" i="10"/>
  <c r="IB35" i="10"/>
  <c r="IB33" i="10"/>
  <c r="IB31" i="10"/>
  <c r="IB29" i="10"/>
  <c r="IB28" i="10"/>
  <c r="IB25" i="10"/>
  <c r="IB24" i="10"/>
  <c r="IB23" i="10"/>
  <c r="IB20" i="10"/>
  <c r="IB19" i="10"/>
  <c r="IB17" i="10"/>
  <c r="IB15" i="10"/>
  <c r="IB13" i="10"/>
  <c r="IB12" i="10"/>
  <c r="IB9" i="10"/>
  <c r="IB8" i="10"/>
  <c r="IB7" i="10"/>
  <c r="HY173" i="10"/>
  <c r="HY172" i="10"/>
  <c r="HY170" i="10"/>
  <c r="HY168" i="10"/>
  <c r="HY166" i="10"/>
  <c r="HY165" i="10"/>
  <c r="HY162" i="10"/>
  <c r="HY161" i="10"/>
  <c r="HY160" i="10"/>
  <c r="HY157" i="10"/>
  <c r="HY156" i="10"/>
  <c r="HY154" i="10"/>
  <c r="HY152" i="10"/>
  <c r="HY150" i="10"/>
  <c r="HY149" i="10"/>
  <c r="HY146" i="10"/>
  <c r="HY145" i="10"/>
  <c r="HY144" i="10"/>
  <c r="HY141" i="10"/>
  <c r="HY140" i="10"/>
  <c r="HY138" i="10"/>
  <c r="HY136" i="10"/>
  <c r="HY134" i="10"/>
  <c r="HY133" i="10"/>
  <c r="HY130" i="10"/>
  <c r="HY129" i="10"/>
  <c r="HY128" i="10"/>
  <c r="HY125" i="10"/>
  <c r="HY124" i="10"/>
  <c r="HY122" i="10"/>
  <c r="HY120" i="10"/>
  <c r="HY118" i="10"/>
  <c r="HY117" i="10"/>
  <c r="HY114" i="10"/>
  <c r="HY113" i="10"/>
  <c r="HY112" i="10"/>
  <c r="HY109" i="10"/>
  <c r="HY108" i="10"/>
  <c r="HY106" i="10"/>
  <c r="HY104" i="10"/>
  <c r="HY102" i="10"/>
  <c r="HY101" i="10"/>
  <c r="HY98" i="10"/>
  <c r="HY97" i="10"/>
  <c r="HY96" i="10"/>
  <c r="HY93" i="10"/>
  <c r="HY92" i="10"/>
  <c r="HY90" i="10"/>
  <c r="HY88" i="10"/>
  <c r="HY86" i="10"/>
  <c r="HY85" i="10"/>
  <c r="HY82" i="10"/>
  <c r="HY81" i="10"/>
  <c r="HY80" i="10"/>
  <c r="HY77" i="10"/>
  <c r="HY76" i="10"/>
  <c r="HY74" i="10"/>
  <c r="HY72" i="10"/>
  <c r="HY70" i="10"/>
  <c r="HY69" i="10"/>
  <c r="HY66" i="10"/>
  <c r="HY65" i="10"/>
  <c r="HY64" i="10"/>
  <c r="HY61" i="10"/>
  <c r="HY60" i="10"/>
  <c r="HY58" i="10"/>
  <c r="HY56" i="10"/>
  <c r="HY54" i="10"/>
  <c r="HY53" i="10"/>
  <c r="HY50" i="10"/>
  <c r="HY49" i="10"/>
  <c r="HY48" i="10"/>
  <c r="HY45" i="10"/>
  <c r="HY44" i="10"/>
  <c r="HY42" i="10"/>
  <c r="HY40" i="10"/>
  <c r="HY38" i="10"/>
  <c r="HY37" i="10"/>
  <c r="HY34" i="10"/>
  <c r="HY33" i="10"/>
  <c r="HY32" i="10"/>
  <c r="HY29" i="10"/>
  <c r="HY28" i="10"/>
  <c r="HY26" i="10"/>
  <c r="HY24" i="10"/>
  <c r="HY22" i="10"/>
  <c r="HY21" i="10"/>
  <c r="HY18" i="10"/>
  <c r="HY17" i="10"/>
  <c r="HY16" i="10"/>
  <c r="HY13" i="10"/>
  <c r="HY12" i="10"/>
  <c r="HY10" i="10"/>
  <c r="HY8" i="10"/>
  <c r="HY6" i="10"/>
  <c r="HY5" i="10"/>
  <c r="HU7" i="10"/>
  <c r="HU8" i="10"/>
  <c r="HU9" i="10"/>
  <c r="HU12" i="10"/>
  <c r="HU13" i="10"/>
  <c r="HU15" i="10"/>
  <c r="HU17" i="10"/>
  <c r="HU19" i="10"/>
  <c r="HU20" i="10"/>
  <c r="HU23" i="10"/>
  <c r="HU24" i="10"/>
  <c r="HU25" i="10"/>
  <c r="HU28" i="10"/>
  <c r="HU29" i="10"/>
  <c r="HU31" i="10"/>
  <c r="HU33" i="10"/>
  <c r="HU35" i="10"/>
  <c r="HU36" i="10"/>
  <c r="HU39" i="10"/>
  <c r="HU40" i="10"/>
  <c r="HU41" i="10"/>
  <c r="HU44" i="10"/>
  <c r="HU45" i="10"/>
  <c r="HU47" i="10"/>
  <c r="HU49" i="10"/>
  <c r="HU51" i="10"/>
  <c r="HU52" i="10"/>
  <c r="HU55" i="10"/>
  <c r="HU56" i="10"/>
  <c r="HU57" i="10"/>
  <c r="HU60" i="10"/>
  <c r="HU61" i="10"/>
  <c r="HU63" i="10"/>
  <c r="HU65" i="10"/>
  <c r="HU67" i="10"/>
  <c r="HU68" i="10"/>
  <c r="HU71" i="10"/>
  <c r="HU72" i="10"/>
  <c r="HU73" i="10"/>
  <c r="HU76" i="10"/>
  <c r="HU77" i="10"/>
  <c r="HU79" i="10"/>
  <c r="HU81" i="10"/>
  <c r="HU83" i="10"/>
  <c r="HU84" i="10"/>
  <c r="HU87" i="10"/>
  <c r="HU88" i="10"/>
  <c r="HU89" i="10"/>
  <c r="HU92" i="10"/>
  <c r="HU93" i="10"/>
  <c r="HU95" i="10"/>
  <c r="HU97" i="10"/>
  <c r="HU99" i="10"/>
  <c r="HU100" i="10"/>
  <c r="HU103" i="10"/>
  <c r="HU104" i="10"/>
  <c r="HU105" i="10"/>
  <c r="HU108" i="10"/>
  <c r="HU109" i="10"/>
  <c r="HU111" i="10"/>
  <c r="HU113" i="10"/>
  <c r="HU115" i="10"/>
  <c r="HU116" i="10"/>
  <c r="HU119" i="10"/>
  <c r="HU120" i="10"/>
  <c r="HU121" i="10"/>
  <c r="HU124" i="10"/>
  <c r="HU125" i="10"/>
  <c r="HU127" i="10"/>
  <c r="HU129" i="10"/>
  <c r="HU131" i="10"/>
  <c r="HU132" i="10"/>
  <c r="HU135" i="10"/>
  <c r="HU136" i="10"/>
  <c r="HU137" i="10"/>
  <c r="HU140" i="10"/>
  <c r="HU141" i="10"/>
  <c r="HU143" i="10"/>
  <c r="HU145" i="10"/>
  <c r="HU147" i="10"/>
  <c r="HU148" i="10"/>
  <c r="HU151" i="10"/>
  <c r="HU152" i="10"/>
  <c r="HU153" i="10"/>
  <c r="HU156" i="10"/>
  <c r="HU157" i="10"/>
  <c r="HU159" i="10"/>
  <c r="HU161" i="10"/>
  <c r="HU163" i="10"/>
  <c r="HU164" i="10"/>
  <c r="HU167" i="10"/>
  <c r="HU168" i="10"/>
  <c r="HU169" i="10"/>
  <c r="HU172" i="10"/>
  <c r="HU173" i="10"/>
  <c r="U7" i="7"/>
  <c r="H48" i="7"/>
  <c r="H50" i="7"/>
  <c r="JL152" i="10" s="1"/>
  <c r="H52" i="7"/>
  <c r="H54" i="7"/>
  <c r="H56" i="7"/>
  <c r="H60" i="7"/>
  <c r="H64" i="7"/>
  <c r="H66" i="7"/>
  <c r="H68" i="7"/>
  <c r="H70" i="7"/>
  <c r="H72" i="7"/>
  <c r="E48" i="7"/>
  <c r="E49" i="7"/>
  <c r="H49" i="7" s="1"/>
  <c r="IV164" i="10" s="1"/>
  <c r="E50" i="7"/>
  <c r="E51" i="7"/>
  <c r="H51" i="7" s="1"/>
  <c r="E52" i="7"/>
  <c r="E53" i="7"/>
  <c r="H53" i="7" s="1"/>
  <c r="E54" i="7"/>
  <c r="E55" i="7"/>
  <c r="H55" i="7" s="1"/>
  <c r="E56" i="7"/>
  <c r="E57" i="7"/>
  <c r="H57" i="7" s="1"/>
  <c r="E58" i="7"/>
  <c r="H58" i="7" s="1"/>
  <c r="E59" i="7"/>
  <c r="H59" i="7" s="1"/>
  <c r="E60" i="7"/>
  <c r="E61" i="7"/>
  <c r="H61" i="7" s="1"/>
  <c r="E62" i="7"/>
  <c r="H62" i="7" s="1"/>
  <c r="E63" i="7"/>
  <c r="H63" i="7" s="1"/>
  <c r="E64" i="7"/>
  <c r="E65" i="7"/>
  <c r="H65" i="7" s="1"/>
  <c r="E66" i="7"/>
  <c r="E67" i="7"/>
  <c r="H67" i="7" s="1"/>
  <c r="E68" i="7"/>
  <c r="E69" i="7"/>
  <c r="H69" i="7" s="1"/>
  <c r="E70" i="7"/>
  <c r="E71" i="7"/>
  <c r="H71" i="7" s="1"/>
  <c r="E72" i="7"/>
  <c r="E73" i="7"/>
  <c r="H73" i="7" s="1"/>
  <c r="E47" i="7"/>
  <c r="H47" i="7" s="1"/>
  <c r="FX162" i="1"/>
  <c r="DD32" i="9"/>
  <c r="DD23" i="9"/>
  <c r="DE23" i="9" s="1"/>
  <c r="DD20" i="9"/>
  <c r="DE20" i="9" s="1"/>
  <c r="DD19" i="9"/>
  <c r="DE19" i="9" s="1"/>
  <c r="DD13" i="9"/>
  <c r="BW32" i="2"/>
  <c r="BW23" i="2"/>
  <c r="BW20" i="2"/>
  <c r="BW19" i="2"/>
  <c r="BW13" i="2"/>
  <c r="MQ161" i="10"/>
  <c r="MR161" i="10" s="1"/>
  <c r="MQ154" i="10"/>
  <c r="MR154" i="10" s="1"/>
  <c r="MQ58" i="10"/>
  <c r="MQ56" i="10"/>
  <c r="MR56" i="10" s="1"/>
  <c r="MQ11" i="10"/>
  <c r="MR11" i="10" s="1"/>
  <c r="JF161" i="1"/>
  <c r="JF154" i="1"/>
  <c r="JF58" i="1"/>
  <c r="JF56" i="1"/>
  <c r="JF11" i="1"/>
  <c r="CU44" i="9" l="1"/>
  <c r="DL16" i="18"/>
  <c r="DL9" i="18"/>
  <c r="DM9" i="18" s="1"/>
  <c r="DL4" i="18"/>
  <c r="DM4" i="18" s="1"/>
  <c r="DJ49" i="17"/>
  <c r="DK49" i="17" s="1"/>
  <c r="DJ39" i="17"/>
  <c r="DK39" i="17" s="1"/>
  <c r="DJ35" i="17"/>
  <c r="DK35" i="17" s="1"/>
  <c r="DJ29" i="17"/>
  <c r="DK29" i="17" s="1"/>
  <c r="DJ23" i="17"/>
  <c r="DK23" i="17" s="1"/>
  <c r="DJ16" i="17"/>
  <c r="DK16" i="17" s="1"/>
  <c r="DJ10" i="17"/>
  <c r="DK10" i="17" s="1"/>
  <c r="DJ5" i="17"/>
  <c r="DK5" i="17" s="1"/>
  <c r="DL14" i="18"/>
  <c r="DM14" i="18" s="1"/>
  <c r="DL12" i="18"/>
  <c r="DM12" i="18" s="1"/>
  <c r="DL10" i="18"/>
  <c r="DM10" i="18" s="1"/>
  <c r="DL7" i="18"/>
  <c r="DM7" i="18" s="1"/>
  <c r="DJ40" i="17"/>
  <c r="DK40" i="17" s="1"/>
  <c r="DJ34" i="17"/>
  <c r="DK34" i="17" s="1"/>
  <c r="DJ27" i="17"/>
  <c r="DK27" i="17" s="1"/>
  <c r="DJ18" i="17"/>
  <c r="DK18" i="17" s="1"/>
  <c r="DJ9" i="17"/>
  <c r="DK9" i="17" s="1"/>
  <c r="DL8" i="18"/>
  <c r="DM8" i="18" s="1"/>
  <c r="DL5" i="18"/>
  <c r="DM5" i="18" s="1"/>
  <c r="DJ50" i="17"/>
  <c r="DK50" i="17" s="1"/>
  <c r="DJ38" i="17"/>
  <c r="DK38" i="17" s="1"/>
  <c r="DJ33" i="17"/>
  <c r="DK33" i="17" s="1"/>
  <c r="DJ25" i="17"/>
  <c r="DK25" i="17" s="1"/>
  <c r="DJ14" i="17"/>
  <c r="DK14" i="17" s="1"/>
  <c r="DJ8" i="17"/>
  <c r="DK8" i="17" s="1"/>
  <c r="DJ37" i="17"/>
  <c r="DK37" i="17" s="1"/>
  <c r="DJ21" i="17"/>
  <c r="DK21" i="17" s="1"/>
  <c r="DJ7" i="17"/>
  <c r="DK7" i="17" s="1"/>
  <c r="DJ36" i="17"/>
  <c r="DK36" i="17" s="1"/>
  <c r="DJ19" i="17"/>
  <c r="DK19" i="17" s="1"/>
  <c r="DJ30" i="17"/>
  <c r="DK30" i="17" s="1"/>
  <c r="DJ46" i="17"/>
  <c r="DK46" i="17" s="1"/>
  <c r="DJ12" i="17"/>
  <c r="DK12" i="17" s="1"/>
  <c r="DJ47" i="17"/>
  <c r="DK47" i="17" s="1"/>
  <c r="DJ28" i="17"/>
  <c r="DK28" i="17" s="1"/>
  <c r="DJ13" i="17"/>
  <c r="DK13" i="17" s="1"/>
  <c r="DL13" i="18"/>
  <c r="DM13" i="18" s="1"/>
  <c r="LO18" i="13"/>
  <c r="CJ12" i="12"/>
  <c r="CJ8" i="12"/>
  <c r="CJ7" i="12"/>
  <c r="CJ5" i="12"/>
  <c r="CU48" i="9"/>
  <c r="CU43" i="9"/>
  <c r="CU39" i="9"/>
  <c r="CU35" i="9"/>
  <c r="CU30" i="9"/>
  <c r="CU26" i="9"/>
  <c r="CU21" i="9"/>
  <c r="CU15" i="9"/>
  <c r="CU10" i="9"/>
  <c r="CU6" i="9"/>
  <c r="MH173" i="10"/>
  <c r="MH169" i="10"/>
  <c r="MH165" i="10"/>
  <c r="MH159" i="10"/>
  <c r="MH155" i="10"/>
  <c r="MH150" i="10"/>
  <c r="MH146" i="10"/>
  <c r="MH142" i="10"/>
  <c r="MH138" i="10"/>
  <c r="MH134" i="10"/>
  <c r="MH130" i="10"/>
  <c r="MH126" i="10"/>
  <c r="MH122" i="10"/>
  <c r="MH118" i="10"/>
  <c r="MH114" i="10"/>
  <c r="MH110" i="10"/>
  <c r="MH106" i="10"/>
  <c r="MH102" i="10"/>
  <c r="MH98" i="10"/>
  <c r="MH94" i="10"/>
  <c r="MH90" i="10"/>
  <c r="MH86" i="10"/>
  <c r="MH82" i="10"/>
  <c r="MH78" i="10"/>
  <c r="MH74" i="10"/>
  <c r="MH70" i="10"/>
  <c r="MH66" i="10"/>
  <c r="MH62" i="10"/>
  <c r="MH57" i="10"/>
  <c r="MH52" i="10"/>
  <c r="MH48" i="10"/>
  <c r="MH44" i="10"/>
  <c r="MH40" i="10"/>
  <c r="MH36" i="10"/>
  <c r="MH32" i="10"/>
  <c r="MH28" i="10"/>
  <c r="MH24" i="10"/>
  <c r="MH20" i="10"/>
  <c r="MH16" i="10"/>
  <c r="MH12" i="10"/>
  <c r="MH7" i="10"/>
  <c r="LO37" i="13"/>
  <c r="LO36" i="13"/>
  <c r="LO40" i="13"/>
  <c r="LO34" i="13"/>
  <c r="LO31" i="13"/>
  <c r="LO29" i="13"/>
  <c r="LO21" i="13"/>
  <c r="LO5" i="13"/>
  <c r="CJ10" i="12"/>
  <c r="CU47" i="9"/>
  <c r="CU41" i="9"/>
  <c r="CU36" i="9"/>
  <c r="CU29" i="9"/>
  <c r="CU24" i="9"/>
  <c r="CU16" i="9"/>
  <c r="CU9" i="9"/>
  <c r="CU4" i="9"/>
  <c r="MH172" i="10"/>
  <c r="MH167" i="10"/>
  <c r="MH160" i="10"/>
  <c r="MH153" i="10"/>
  <c r="MH148" i="10"/>
  <c r="MH143" i="10"/>
  <c r="MH137" i="10"/>
  <c r="MH132" i="10"/>
  <c r="MH127" i="10"/>
  <c r="MH121" i="10"/>
  <c r="MH116" i="10"/>
  <c r="MH111" i="10"/>
  <c r="MH105" i="10"/>
  <c r="MH100" i="10"/>
  <c r="MH95" i="10"/>
  <c r="MH89" i="10"/>
  <c r="MH84" i="10"/>
  <c r="MH79" i="10"/>
  <c r="MH73" i="10"/>
  <c r="MH68" i="10"/>
  <c r="MH63" i="10"/>
  <c r="MH55" i="10"/>
  <c r="MH50" i="10"/>
  <c r="MH45" i="10"/>
  <c r="MH39" i="10"/>
  <c r="MH34" i="10"/>
  <c r="MH29" i="10"/>
  <c r="MH23" i="10"/>
  <c r="MH18" i="10"/>
  <c r="MH13" i="10"/>
  <c r="MH6" i="10"/>
  <c r="LO49" i="13"/>
  <c r="LO38" i="13"/>
  <c r="LO35" i="13"/>
  <c r="LO14" i="13"/>
  <c r="LO10" i="13"/>
  <c r="CJ16" i="12"/>
  <c r="CJ9" i="12"/>
  <c r="CU46" i="9"/>
  <c r="CU40" i="9"/>
  <c r="CU34" i="9"/>
  <c r="CU28" i="9"/>
  <c r="CU22" i="9"/>
  <c r="CU14" i="9"/>
  <c r="CU8" i="9"/>
  <c r="LO19" i="13"/>
  <c r="CJ14" i="12"/>
  <c r="CU42" i="9"/>
  <c r="CU31" i="9"/>
  <c r="CU17" i="9"/>
  <c r="CU5" i="9"/>
  <c r="MH170" i="10"/>
  <c r="MH163" i="10"/>
  <c r="MH152" i="10"/>
  <c r="MH145" i="10"/>
  <c r="MH139" i="10"/>
  <c r="MH131" i="10"/>
  <c r="MH124" i="10"/>
  <c r="MH117" i="10"/>
  <c r="MH109" i="10"/>
  <c r="MH103" i="10"/>
  <c r="MH96" i="10"/>
  <c r="MH88" i="10"/>
  <c r="MH81" i="10"/>
  <c r="MH75" i="10"/>
  <c r="MH67" i="10"/>
  <c r="MH60" i="10"/>
  <c r="MH51" i="10"/>
  <c r="MH43" i="10"/>
  <c r="MH37" i="10"/>
  <c r="MH30" i="10"/>
  <c r="MH22" i="10"/>
  <c r="MH15" i="10"/>
  <c r="MH8" i="10"/>
  <c r="LO30" i="13"/>
  <c r="CU33" i="9"/>
  <c r="CU7" i="9"/>
  <c r="MH164" i="10"/>
  <c r="MH147" i="10"/>
  <c r="MH133" i="10"/>
  <c r="MH119" i="10"/>
  <c r="MH104" i="10"/>
  <c r="MH91" i="10"/>
  <c r="MH76" i="10"/>
  <c r="MH61" i="10"/>
  <c r="MH46" i="10"/>
  <c r="MH31" i="10"/>
  <c r="MH17" i="10"/>
  <c r="LO39" i="13"/>
  <c r="LO16" i="13"/>
  <c r="LO12" i="13"/>
  <c r="LO7" i="13"/>
  <c r="CU51" i="9"/>
  <c r="CU38" i="9"/>
  <c r="CU27" i="9"/>
  <c r="CU12" i="9"/>
  <c r="MH168" i="10"/>
  <c r="MH158" i="10"/>
  <c r="MH151" i="10"/>
  <c r="MH144" i="10"/>
  <c r="MH136" i="10"/>
  <c r="MH129" i="10"/>
  <c r="MH123" i="10"/>
  <c r="MH115" i="10"/>
  <c r="MH108" i="10"/>
  <c r="MH101" i="10"/>
  <c r="MH93" i="10"/>
  <c r="MH87" i="10"/>
  <c r="MH80" i="10"/>
  <c r="MH72" i="10"/>
  <c r="MH65" i="10"/>
  <c r="MH59" i="10"/>
  <c r="MH49" i="10"/>
  <c r="MH42" i="10"/>
  <c r="MH35" i="10"/>
  <c r="MH27" i="10"/>
  <c r="MH21" i="10"/>
  <c r="MH14" i="10"/>
  <c r="MH5" i="10"/>
  <c r="LO23" i="13"/>
  <c r="CJ4" i="12"/>
  <c r="CU49" i="9"/>
  <c r="CU37" i="9"/>
  <c r="CU25" i="9"/>
  <c r="CU11" i="9"/>
  <c r="MH166" i="10"/>
  <c r="MH157" i="10"/>
  <c r="MH149" i="10"/>
  <c r="MH141" i="10"/>
  <c r="MH135" i="10"/>
  <c r="MH128" i="10"/>
  <c r="MH120" i="10"/>
  <c r="MH113" i="10"/>
  <c r="MH107" i="10"/>
  <c r="MH99" i="10"/>
  <c r="MH92" i="10"/>
  <c r="MH85" i="10"/>
  <c r="MH77" i="10"/>
  <c r="MH71" i="10"/>
  <c r="MH64" i="10"/>
  <c r="MH54" i="10"/>
  <c r="MH47" i="10"/>
  <c r="MH41" i="10"/>
  <c r="MH33" i="10"/>
  <c r="MH26" i="10"/>
  <c r="MH19" i="10"/>
  <c r="MH10" i="10"/>
  <c r="LO25" i="13"/>
  <c r="LO13" i="13"/>
  <c r="LO9" i="13"/>
  <c r="CJ13" i="12"/>
  <c r="CU45" i="9"/>
  <c r="CU18" i="9"/>
  <c r="MH171" i="10"/>
  <c r="MH156" i="10"/>
  <c r="MH140" i="10"/>
  <c r="MH125" i="10"/>
  <c r="MH112" i="10"/>
  <c r="MH97" i="10"/>
  <c r="MH83" i="10"/>
  <c r="MH69" i="10"/>
  <c r="MH53" i="10"/>
  <c r="MH38" i="10"/>
  <c r="MH25" i="10"/>
  <c r="MH9" i="10"/>
  <c r="BT44" i="9"/>
  <c r="CF16" i="18"/>
  <c r="CF9" i="18"/>
  <c r="CG9" i="18" s="1"/>
  <c r="CF4" i="18"/>
  <c r="CG4" i="18" s="1"/>
  <c r="CF14" i="18"/>
  <c r="CG14" i="18" s="1"/>
  <c r="CF12" i="18"/>
  <c r="CG12" i="18" s="1"/>
  <c r="CF11" i="18"/>
  <c r="CG11" i="18" s="1"/>
  <c r="CF13" i="18"/>
  <c r="CG13" i="18" s="1"/>
  <c r="CF6" i="18"/>
  <c r="CG6" i="18" s="1"/>
  <c r="CF8" i="18"/>
  <c r="CG8" i="18" s="1"/>
  <c r="CF5" i="18"/>
  <c r="CG5" i="18" s="1"/>
  <c r="CF10" i="18"/>
  <c r="CG10" i="18" s="1"/>
  <c r="KN49" i="13"/>
  <c r="KK47" i="13"/>
  <c r="KN46" i="13"/>
  <c r="KK41" i="13"/>
  <c r="KE40" i="13"/>
  <c r="KK39" i="13"/>
  <c r="KE38" i="13"/>
  <c r="KN37" i="13"/>
  <c r="KN36" i="13"/>
  <c r="KH35" i="13"/>
  <c r="KK34" i="13"/>
  <c r="KE31" i="13"/>
  <c r="KN30" i="13"/>
  <c r="KH29" i="13"/>
  <c r="KN28" i="13"/>
  <c r="KE26" i="13"/>
  <c r="KK25" i="13"/>
  <c r="KE23" i="13"/>
  <c r="KN21" i="13"/>
  <c r="KK19" i="13"/>
  <c r="KH18" i="13"/>
  <c r="KE16" i="13"/>
  <c r="KN14" i="13"/>
  <c r="KH13" i="13"/>
  <c r="KE12" i="13"/>
  <c r="KN10" i="13"/>
  <c r="KK9" i="13"/>
  <c r="KQ8" i="13"/>
  <c r="KE8" i="13"/>
  <c r="KK7" i="13"/>
  <c r="BL12" i="12"/>
  <c r="BL8" i="12"/>
  <c r="BL5" i="12"/>
  <c r="BT48" i="9"/>
  <c r="BT43" i="9"/>
  <c r="BT39" i="9"/>
  <c r="BT35" i="9"/>
  <c r="BT31" i="9"/>
  <c r="BT27" i="9"/>
  <c r="BT23" i="9"/>
  <c r="BT18" i="9"/>
  <c r="BT14" i="9"/>
  <c r="BT10" i="9"/>
  <c r="BT6" i="9"/>
  <c r="KE46" i="13"/>
  <c r="KQ41" i="13"/>
  <c r="KE39" i="13"/>
  <c r="KH38" i="13"/>
  <c r="KK37" i="13"/>
  <c r="KK36" i="13"/>
  <c r="KQ35" i="13"/>
  <c r="KN34" i="13"/>
  <c r="KK49" i="13"/>
  <c r="KQ46" i="13"/>
  <c r="KN41" i="13"/>
  <c r="KN40" i="13"/>
  <c r="KQ39" i="13"/>
  <c r="KH37" i="13"/>
  <c r="KH36" i="13"/>
  <c r="KN35" i="13"/>
  <c r="KH34" i="13"/>
  <c r="KN31" i="13"/>
  <c r="KE30" i="13"/>
  <c r="KK29" i="13"/>
  <c r="KE28" i="13"/>
  <c r="KE25" i="13"/>
  <c r="KH23" i="13"/>
  <c r="KK21" i="13"/>
  <c r="KE19" i="13"/>
  <c r="KK16" i="13"/>
  <c r="KE13" i="13"/>
  <c r="KK12" i="13"/>
  <c r="KH9" i="13"/>
  <c r="KH8" i="13"/>
  <c r="KE7" i="13"/>
  <c r="KK5" i="13"/>
  <c r="BL14" i="12"/>
  <c r="BL6" i="12"/>
  <c r="BT51" i="9"/>
  <c r="BT45" i="9"/>
  <c r="BT38" i="9"/>
  <c r="BT33" i="9"/>
  <c r="BT28" i="9"/>
  <c r="BT22" i="9"/>
  <c r="BT16" i="9"/>
  <c r="BT11" i="9"/>
  <c r="BT5" i="9"/>
  <c r="LH171" i="10"/>
  <c r="LH167" i="10"/>
  <c r="LH163" i="10"/>
  <c r="LH158" i="10"/>
  <c r="LH154" i="10"/>
  <c r="LH150" i="10"/>
  <c r="LH146" i="10"/>
  <c r="LH142" i="10"/>
  <c r="LH138" i="10"/>
  <c r="LH134" i="10"/>
  <c r="LH130" i="10"/>
  <c r="LH126" i="10"/>
  <c r="LH122" i="10"/>
  <c r="LH118" i="10"/>
  <c r="LH114" i="10"/>
  <c r="LH110" i="10"/>
  <c r="LH106" i="10"/>
  <c r="LH102" i="10"/>
  <c r="LH98" i="10"/>
  <c r="LH94" i="10"/>
  <c r="LH90" i="10"/>
  <c r="LH86" i="10"/>
  <c r="LH82" i="10"/>
  <c r="LH78" i="10"/>
  <c r="LH74" i="10"/>
  <c r="LH70" i="10"/>
  <c r="LH66" i="10"/>
  <c r="LH62" i="10"/>
  <c r="LH58" i="10"/>
  <c r="LH54" i="10"/>
  <c r="LH50" i="10"/>
  <c r="LH46" i="10"/>
  <c r="LH42" i="10"/>
  <c r="LH38" i="10"/>
  <c r="LH34" i="10"/>
  <c r="LH30" i="10"/>
  <c r="LH26" i="10"/>
  <c r="LH22" i="10"/>
  <c r="LH18" i="10"/>
  <c r="LH14" i="10"/>
  <c r="LH10" i="10"/>
  <c r="LH5" i="10"/>
  <c r="LD170" i="10"/>
  <c r="LD166" i="10"/>
  <c r="LD162" i="10"/>
  <c r="LD158" i="10"/>
  <c r="LD154" i="10"/>
  <c r="LD150" i="10"/>
  <c r="LD146" i="10"/>
  <c r="LD142" i="10"/>
  <c r="LD138" i="10"/>
  <c r="LD134" i="10"/>
  <c r="LD130" i="10"/>
  <c r="LD126" i="10"/>
  <c r="LD122" i="10"/>
  <c r="LD118" i="10"/>
  <c r="LD114" i="10"/>
  <c r="LD110" i="10"/>
  <c r="LD106" i="10"/>
  <c r="LD102" i="10"/>
  <c r="LD98" i="10"/>
  <c r="LD94" i="10"/>
  <c r="LD90" i="10"/>
  <c r="LD86" i="10"/>
  <c r="LD82" i="10"/>
  <c r="LD78" i="10"/>
  <c r="LD74" i="10"/>
  <c r="LD70" i="10"/>
  <c r="LD66" i="10"/>
  <c r="LD62" i="10"/>
  <c r="LD58" i="10"/>
  <c r="LD54" i="10"/>
  <c r="LD50" i="10"/>
  <c r="LD46" i="10"/>
  <c r="LD42" i="10"/>
  <c r="LD38" i="10"/>
  <c r="LD34" i="10"/>
  <c r="LD30" i="10"/>
  <c r="LD26" i="10"/>
  <c r="LD22" i="10"/>
  <c r="LD18" i="10"/>
  <c r="LD14" i="10"/>
  <c r="LD10" i="10"/>
  <c r="LD6" i="10"/>
  <c r="KZ171" i="10"/>
  <c r="KZ167" i="10"/>
  <c r="KZ163" i="10"/>
  <c r="KZ159" i="10"/>
  <c r="KZ155" i="10"/>
  <c r="KZ151" i="10"/>
  <c r="KZ147" i="10"/>
  <c r="KZ143" i="10"/>
  <c r="KZ139" i="10"/>
  <c r="KZ135" i="10"/>
  <c r="KZ131" i="10"/>
  <c r="KZ127" i="10"/>
  <c r="KZ123" i="10"/>
  <c r="KZ119" i="10"/>
  <c r="KZ115" i="10"/>
  <c r="KZ111" i="10"/>
  <c r="KZ107" i="10"/>
  <c r="KZ103" i="10"/>
  <c r="KZ99" i="10"/>
  <c r="KZ95" i="10"/>
  <c r="KZ91" i="10"/>
  <c r="KZ87" i="10"/>
  <c r="KZ83" i="10"/>
  <c r="KZ79" i="10"/>
  <c r="KZ75" i="10"/>
  <c r="KZ71" i="10"/>
  <c r="KZ67" i="10"/>
  <c r="KZ63" i="10"/>
  <c r="KZ59" i="10"/>
  <c r="KZ55" i="10"/>
  <c r="KZ51" i="10"/>
  <c r="KZ47" i="10"/>
  <c r="KZ43" i="10"/>
  <c r="KZ39" i="10"/>
  <c r="KZ35" i="10"/>
  <c r="KZ31" i="10"/>
  <c r="KZ27" i="10"/>
  <c r="KZ23" i="10"/>
  <c r="KZ19" i="10"/>
  <c r="KZ15" i="10"/>
  <c r="KZ11" i="10"/>
  <c r="KZ7" i="10"/>
  <c r="KV172" i="10"/>
  <c r="KV168" i="10"/>
  <c r="KV164" i="10"/>
  <c r="KV160" i="10"/>
  <c r="KV156" i="10"/>
  <c r="KV152" i="10"/>
  <c r="KV148" i="10"/>
  <c r="KV144" i="10"/>
  <c r="KV140" i="10"/>
  <c r="KV136" i="10"/>
  <c r="KV132" i="10"/>
  <c r="KV128" i="10"/>
  <c r="KV124" i="10"/>
  <c r="KV120" i="10"/>
  <c r="KV116" i="10"/>
  <c r="KV112" i="10"/>
  <c r="KV108" i="10"/>
  <c r="KV104" i="10"/>
  <c r="KV100" i="10"/>
  <c r="KV96" i="10"/>
  <c r="KV92" i="10"/>
  <c r="KV88" i="10"/>
  <c r="KV84" i="10"/>
  <c r="KV80" i="10"/>
  <c r="KV76" i="10"/>
  <c r="KV72" i="10"/>
  <c r="KV68" i="10"/>
  <c r="KV64" i="10"/>
  <c r="KV60" i="10"/>
  <c r="KV56" i="10"/>
  <c r="KV52" i="10"/>
  <c r="KV48" i="10"/>
  <c r="KV44" i="10"/>
  <c r="KV40" i="10"/>
  <c r="KV36" i="10"/>
  <c r="KV32" i="10"/>
  <c r="KV28" i="10"/>
  <c r="KV24" i="10"/>
  <c r="KV20" i="10"/>
  <c r="KV16" i="10"/>
  <c r="KV12" i="10"/>
  <c r="KV8" i="10"/>
  <c r="KH49" i="13"/>
  <c r="KH47" i="13"/>
  <c r="KK46" i="13"/>
  <c r="KH41" i="13"/>
  <c r="KK40" i="13"/>
  <c r="KN39" i="13"/>
  <c r="KN38" i="13"/>
  <c r="KE37" i="13"/>
  <c r="KE36" i="13"/>
  <c r="KK35" i="13"/>
  <c r="KE34" i="13"/>
  <c r="KK31" i="13"/>
  <c r="KE29" i="13"/>
  <c r="KN26" i="13"/>
  <c r="KQ25" i="13"/>
  <c r="KH21" i="13"/>
  <c r="KN18" i="13"/>
  <c r="KH16" i="13"/>
  <c r="KK14" i="13"/>
  <c r="KQ13" i="13"/>
  <c r="KH12" i="13"/>
  <c r="KK10" i="13"/>
  <c r="KE9" i="13"/>
  <c r="KN7" i="13"/>
  <c r="KH5" i="13"/>
  <c r="BL13" i="12"/>
  <c r="BL11" i="12"/>
  <c r="BL4" i="12"/>
  <c r="KE35" i="13"/>
  <c r="KH31" i="13"/>
  <c r="KQ29" i="13"/>
  <c r="KK28" i="13"/>
  <c r="KN23" i="13"/>
  <c r="KK18" i="13"/>
  <c r="KN9" i="13"/>
  <c r="KE5" i="13"/>
  <c r="BT46" i="9"/>
  <c r="BT37" i="9"/>
  <c r="BT30" i="9"/>
  <c r="BT24" i="9"/>
  <c r="BT15" i="9"/>
  <c r="BT8" i="9"/>
  <c r="LH173" i="10"/>
  <c r="LH168" i="10"/>
  <c r="LH161" i="10"/>
  <c r="LH156" i="10"/>
  <c r="LH151" i="10"/>
  <c r="LH145" i="10"/>
  <c r="LH140" i="10"/>
  <c r="LH135" i="10"/>
  <c r="LH129" i="10"/>
  <c r="LH124" i="10"/>
  <c r="LH119" i="10"/>
  <c r="LH113" i="10"/>
  <c r="LH108" i="10"/>
  <c r="LH103" i="10"/>
  <c r="LH97" i="10"/>
  <c r="LH92" i="10"/>
  <c r="LH87" i="10"/>
  <c r="LH81" i="10"/>
  <c r="LH76" i="10"/>
  <c r="LH71" i="10"/>
  <c r="LH65" i="10"/>
  <c r="LH60" i="10"/>
  <c r="LH55" i="10"/>
  <c r="LH49" i="10"/>
  <c r="LH44" i="10"/>
  <c r="LH39" i="10"/>
  <c r="LH33" i="10"/>
  <c r="LH28" i="10"/>
  <c r="LH23" i="10"/>
  <c r="LH17" i="10"/>
  <c r="LH12" i="10"/>
  <c r="LH6" i="10"/>
  <c r="LD169" i="10"/>
  <c r="LD164" i="10"/>
  <c r="LD159" i="10"/>
  <c r="LD153" i="10"/>
  <c r="LD148" i="10"/>
  <c r="LD143" i="10"/>
  <c r="LD137" i="10"/>
  <c r="LD132" i="10"/>
  <c r="LD127" i="10"/>
  <c r="LD121" i="10"/>
  <c r="LD116" i="10"/>
  <c r="LD111" i="10"/>
  <c r="LD105" i="10"/>
  <c r="LD100" i="10"/>
  <c r="LD95" i="10"/>
  <c r="LD89" i="10"/>
  <c r="LD84" i="10"/>
  <c r="LD79" i="10"/>
  <c r="LD73" i="10"/>
  <c r="LD68" i="10"/>
  <c r="LD63" i="10"/>
  <c r="LD57" i="10"/>
  <c r="LD52" i="10"/>
  <c r="LD47" i="10"/>
  <c r="LD41" i="10"/>
  <c r="LD36" i="10"/>
  <c r="LD31" i="10"/>
  <c r="LD25" i="10"/>
  <c r="LD20" i="10"/>
  <c r="LD15" i="10"/>
  <c r="LD9" i="10"/>
  <c r="KZ173" i="10"/>
  <c r="KZ168" i="10"/>
  <c r="KZ162" i="10"/>
  <c r="KZ157" i="10"/>
  <c r="KZ152" i="10"/>
  <c r="KZ146" i="10"/>
  <c r="KZ141" i="10"/>
  <c r="KZ136" i="10"/>
  <c r="KZ130" i="10"/>
  <c r="KZ125" i="10"/>
  <c r="KZ120" i="10"/>
  <c r="KZ114" i="10"/>
  <c r="KZ109" i="10"/>
  <c r="KZ104" i="10"/>
  <c r="KZ98" i="10"/>
  <c r="KZ93" i="10"/>
  <c r="KZ88" i="10"/>
  <c r="KZ82" i="10"/>
  <c r="KZ77" i="10"/>
  <c r="KZ72" i="10"/>
  <c r="KZ66" i="10"/>
  <c r="KZ61" i="10"/>
  <c r="KZ56" i="10"/>
  <c r="KZ50" i="10"/>
  <c r="KZ45" i="10"/>
  <c r="KZ40" i="10"/>
  <c r="KZ34" i="10"/>
  <c r="KZ29" i="10"/>
  <c r="KZ24" i="10"/>
  <c r="KZ18" i="10"/>
  <c r="KZ13" i="10"/>
  <c r="KZ8" i="10"/>
  <c r="KV171" i="10"/>
  <c r="KV166" i="10"/>
  <c r="KV161" i="10"/>
  <c r="KV155" i="10"/>
  <c r="KV150" i="10"/>
  <c r="KV145" i="10"/>
  <c r="KV139" i="10"/>
  <c r="KV134" i="10"/>
  <c r="KV129" i="10"/>
  <c r="KV123" i="10"/>
  <c r="KV118" i="10"/>
  <c r="KV113" i="10"/>
  <c r="KV107" i="10"/>
  <c r="KV102" i="10"/>
  <c r="KV97" i="10"/>
  <c r="KV91" i="10"/>
  <c r="KV86" i="10"/>
  <c r="KV81" i="10"/>
  <c r="KV75" i="10"/>
  <c r="KV70" i="10"/>
  <c r="KV65" i="10"/>
  <c r="KV59" i="10"/>
  <c r="KV54" i="10"/>
  <c r="KV49" i="10"/>
  <c r="KV43" i="10"/>
  <c r="KV38" i="10"/>
  <c r="KV33" i="10"/>
  <c r="KV27" i="10"/>
  <c r="KV22" i="10"/>
  <c r="KV17" i="10"/>
  <c r="KV11" i="10"/>
  <c r="KV6" i="10"/>
  <c r="LH127" i="10"/>
  <c r="LH105" i="10"/>
  <c r="LH89" i="10"/>
  <c r="LH79" i="10"/>
  <c r="LH68" i="10"/>
  <c r="LH63" i="10"/>
  <c r="LH52" i="10"/>
  <c r="LH41" i="10"/>
  <c r="LH31" i="10"/>
  <c r="LH20" i="10"/>
  <c r="LH8" i="10"/>
  <c r="LD167" i="10"/>
  <c r="LD156" i="10"/>
  <c r="LD145" i="10"/>
  <c r="LD135" i="10"/>
  <c r="LD124" i="10"/>
  <c r="LD108" i="10"/>
  <c r="LD97" i="10"/>
  <c r="LD87" i="10"/>
  <c r="LD76" i="10"/>
  <c r="LD60" i="10"/>
  <c r="LD49" i="10"/>
  <c r="LD33" i="10"/>
  <c r="LD23" i="10"/>
  <c r="LD12" i="10"/>
  <c r="KV41" i="10"/>
  <c r="KV35" i="10"/>
  <c r="KV30" i="10"/>
  <c r="KV25" i="10"/>
  <c r="KV19" i="10"/>
  <c r="KV9" i="10"/>
  <c r="KE47" i="13"/>
  <c r="KH39" i="13"/>
  <c r="KH25" i="13"/>
  <c r="BT40" i="9"/>
  <c r="BT25" i="9"/>
  <c r="BT9" i="9"/>
  <c r="LH169" i="10"/>
  <c r="LH157" i="10"/>
  <c r="LH147" i="10"/>
  <c r="LH136" i="10"/>
  <c r="LH125" i="10"/>
  <c r="LH115" i="10"/>
  <c r="LH104" i="10"/>
  <c r="LH93" i="10"/>
  <c r="LH83" i="10"/>
  <c r="LH72" i="10"/>
  <c r="LH61" i="10"/>
  <c r="LH51" i="10"/>
  <c r="LH40" i="10"/>
  <c r="LH29" i="10"/>
  <c r="LH19" i="10"/>
  <c r="LH7" i="10"/>
  <c r="LD165" i="10"/>
  <c r="LD160" i="10"/>
  <c r="LD149" i="10"/>
  <c r="LD139" i="10"/>
  <c r="LD128" i="10"/>
  <c r="LD117" i="10"/>
  <c r="LD107" i="10"/>
  <c r="LD91" i="10"/>
  <c r="LD80" i="10"/>
  <c r="LD69" i="10"/>
  <c r="LD59" i="10"/>
  <c r="LD48" i="10"/>
  <c r="LD37" i="10"/>
  <c r="LD27" i="10"/>
  <c r="LD16" i="10"/>
  <c r="LD11" i="10"/>
  <c r="KZ169" i="10"/>
  <c r="KZ158" i="10"/>
  <c r="KE41" i="13"/>
  <c r="KK38" i="13"/>
  <c r="KK30" i="13"/>
  <c r="KN29" i="13"/>
  <c r="KH28" i="13"/>
  <c r="KK23" i="13"/>
  <c r="KE21" i="13"/>
  <c r="KE18" i="13"/>
  <c r="KN8" i="13"/>
  <c r="BL16" i="12"/>
  <c r="BT42" i="9"/>
  <c r="BT36" i="9"/>
  <c r="BT29" i="9"/>
  <c r="BT20" i="9"/>
  <c r="BT13" i="9"/>
  <c r="BT7" i="9"/>
  <c r="LH172" i="10"/>
  <c r="LH166" i="10"/>
  <c r="LH160" i="10"/>
  <c r="LH155" i="10"/>
  <c r="LH149" i="10"/>
  <c r="LH144" i="10"/>
  <c r="LH139" i="10"/>
  <c r="LH133" i="10"/>
  <c r="LH128" i="10"/>
  <c r="LH123" i="10"/>
  <c r="LH117" i="10"/>
  <c r="LH112" i="10"/>
  <c r="LH107" i="10"/>
  <c r="LH101" i="10"/>
  <c r="LH96" i="10"/>
  <c r="LH91" i="10"/>
  <c r="LH85" i="10"/>
  <c r="LH80" i="10"/>
  <c r="LH75" i="10"/>
  <c r="LH69" i="10"/>
  <c r="LH64" i="10"/>
  <c r="LH59" i="10"/>
  <c r="LH53" i="10"/>
  <c r="LH48" i="10"/>
  <c r="LH43" i="10"/>
  <c r="LH37" i="10"/>
  <c r="LH32" i="10"/>
  <c r="LH27" i="10"/>
  <c r="LH21" i="10"/>
  <c r="LH16" i="10"/>
  <c r="LH11" i="10"/>
  <c r="LD173" i="10"/>
  <c r="LD168" i="10"/>
  <c r="LD163" i="10"/>
  <c r="LD157" i="10"/>
  <c r="LD152" i="10"/>
  <c r="LD147" i="10"/>
  <c r="LD141" i="10"/>
  <c r="LD136" i="10"/>
  <c r="LD131" i="10"/>
  <c r="LD125" i="10"/>
  <c r="LD120" i="10"/>
  <c r="LD115" i="10"/>
  <c r="LD109" i="10"/>
  <c r="LD104" i="10"/>
  <c r="LD99" i="10"/>
  <c r="LD93" i="10"/>
  <c r="LD88" i="10"/>
  <c r="LD83" i="10"/>
  <c r="LD77" i="10"/>
  <c r="LD72" i="10"/>
  <c r="LD67" i="10"/>
  <c r="LD61" i="10"/>
  <c r="LD56" i="10"/>
  <c r="LD51" i="10"/>
  <c r="LD45" i="10"/>
  <c r="LD40" i="10"/>
  <c r="LD35" i="10"/>
  <c r="LD29" i="10"/>
  <c r="LD24" i="10"/>
  <c r="LD19" i="10"/>
  <c r="LD13" i="10"/>
  <c r="LD8" i="10"/>
  <c r="KZ172" i="10"/>
  <c r="KZ166" i="10"/>
  <c r="KZ161" i="10"/>
  <c r="KZ156" i="10"/>
  <c r="KZ150" i="10"/>
  <c r="KZ145" i="10"/>
  <c r="KZ140" i="10"/>
  <c r="KZ134" i="10"/>
  <c r="KZ129" i="10"/>
  <c r="KZ124" i="10"/>
  <c r="KZ118" i="10"/>
  <c r="KZ113" i="10"/>
  <c r="KZ108" i="10"/>
  <c r="KZ102" i="10"/>
  <c r="KZ97" i="10"/>
  <c r="KZ92" i="10"/>
  <c r="KZ86" i="10"/>
  <c r="KZ81" i="10"/>
  <c r="KZ76" i="10"/>
  <c r="KZ70" i="10"/>
  <c r="KZ65" i="10"/>
  <c r="KZ60" i="10"/>
  <c r="KZ54" i="10"/>
  <c r="KZ49" i="10"/>
  <c r="KZ44" i="10"/>
  <c r="KZ38" i="10"/>
  <c r="KZ33" i="10"/>
  <c r="KZ28" i="10"/>
  <c r="KZ22" i="10"/>
  <c r="KZ17" i="10"/>
  <c r="KZ12" i="10"/>
  <c r="KZ6" i="10"/>
  <c r="KV170" i="10"/>
  <c r="KV165" i="10"/>
  <c r="KV159" i="10"/>
  <c r="KV154" i="10"/>
  <c r="KV149" i="10"/>
  <c r="KV143" i="10"/>
  <c r="KV138" i="10"/>
  <c r="KV133" i="10"/>
  <c r="KV127" i="10"/>
  <c r="KV122" i="10"/>
  <c r="KV117" i="10"/>
  <c r="KV111" i="10"/>
  <c r="KV106" i="10"/>
  <c r="KV101" i="10"/>
  <c r="KV95" i="10"/>
  <c r="KV90" i="10"/>
  <c r="KV85" i="10"/>
  <c r="KV79" i="10"/>
  <c r="KV74" i="10"/>
  <c r="KV69" i="10"/>
  <c r="KV63" i="10"/>
  <c r="KV58" i="10"/>
  <c r="KV53" i="10"/>
  <c r="KV47" i="10"/>
  <c r="KV42" i="10"/>
  <c r="KV37" i="10"/>
  <c r="KV31" i="10"/>
  <c r="KV26" i="10"/>
  <c r="KV21" i="10"/>
  <c r="KV15" i="10"/>
  <c r="KV10" i="10"/>
  <c r="KV5" i="10"/>
  <c r="KH40" i="13"/>
  <c r="KH30" i="13"/>
  <c r="KK26" i="13"/>
  <c r="KN25" i="13"/>
  <c r="KN19" i="13"/>
  <c r="KN16" i="13"/>
  <c r="KH14" i="13"/>
  <c r="KN13" i="13"/>
  <c r="KN12" i="13"/>
  <c r="KH10" i="13"/>
  <c r="KK8" i="13"/>
  <c r="BL9" i="12"/>
  <c r="BT49" i="9"/>
  <c r="BT41" i="9"/>
  <c r="BT34" i="9"/>
  <c r="BT26" i="9"/>
  <c r="BT19" i="9"/>
  <c r="BT12" i="9"/>
  <c r="BT4" i="9"/>
  <c r="LH170" i="10"/>
  <c r="LH165" i="10"/>
  <c r="LH159" i="10"/>
  <c r="LH153" i="10"/>
  <c r="LH148" i="10"/>
  <c r="LH143" i="10"/>
  <c r="LH137" i="10"/>
  <c r="LH132" i="10"/>
  <c r="LH121" i="10"/>
  <c r="LH116" i="10"/>
  <c r="LH111" i="10"/>
  <c r="LH100" i="10"/>
  <c r="LH95" i="10"/>
  <c r="LH84" i="10"/>
  <c r="LH73" i="10"/>
  <c r="LH57" i="10"/>
  <c r="LH47" i="10"/>
  <c r="LH36" i="10"/>
  <c r="LH25" i="10"/>
  <c r="LH15" i="10"/>
  <c r="LD172" i="10"/>
  <c r="LD161" i="10"/>
  <c r="LD151" i="10"/>
  <c r="LD140" i="10"/>
  <c r="LD129" i="10"/>
  <c r="LD119" i="10"/>
  <c r="LD113" i="10"/>
  <c r="LD103" i="10"/>
  <c r="LD92" i="10"/>
  <c r="LD81" i="10"/>
  <c r="LD71" i="10"/>
  <c r="LD65" i="10"/>
  <c r="LD55" i="10"/>
  <c r="LD44" i="10"/>
  <c r="LD39" i="10"/>
  <c r="LD28" i="10"/>
  <c r="LD17" i="10"/>
  <c r="LD7" i="10"/>
  <c r="KZ170" i="10"/>
  <c r="KZ165" i="10"/>
  <c r="KZ160" i="10"/>
  <c r="KZ154" i="10"/>
  <c r="KZ149" i="10"/>
  <c r="KZ144" i="10"/>
  <c r="KZ138" i="10"/>
  <c r="KZ133" i="10"/>
  <c r="KZ128" i="10"/>
  <c r="KZ122" i="10"/>
  <c r="KZ117" i="10"/>
  <c r="KZ112" i="10"/>
  <c r="KZ106" i="10"/>
  <c r="KZ101" i="10"/>
  <c r="KZ96" i="10"/>
  <c r="KZ90" i="10"/>
  <c r="KZ85" i="10"/>
  <c r="KZ80" i="10"/>
  <c r="KZ74" i="10"/>
  <c r="KZ69" i="10"/>
  <c r="KZ64" i="10"/>
  <c r="KZ58" i="10"/>
  <c r="KZ53" i="10"/>
  <c r="KZ48" i="10"/>
  <c r="KZ42" i="10"/>
  <c r="KZ37" i="10"/>
  <c r="KZ32" i="10"/>
  <c r="KZ26" i="10"/>
  <c r="KZ21" i="10"/>
  <c r="KZ16" i="10"/>
  <c r="KZ10" i="10"/>
  <c r="KZ5" i="10"/>
  <c r="KV169" i="10"/>
  <c r="KV163" i="10"/>
  <c r="KV158" i="10"/>
  <c r="KV153" i="10"/>
  <c r="KV147" i="10"/>
  <c r="KV142" i="10"/>
  <c r="KV137" i="10"/>
  <c r="KV131" i="10"/>
  <c r="KV126" i="10"/>
  <c r="KV121" i="10"/>
  <c r="KV115" i="10"/>
  <c r="KV110" i="10"/>
  <c r="KV105" i="10"/>
  <c r="KV99" i="10"/>
  <c r="KV94" i="10"/>
  <c r="KV89" i="10"/>
  <c r="KV83" i="10"/>
  <c r="KV78" i="10"/>
  <c r="KV73" i="10"/>
  <c r="KV67" i="10"/>
  <c r="KV62" i="10"/>
  <c r="KV57" i="10"/>
  <c r="KV51" i="10"/>
  <c r="KV46" i="10"/>
  <c r="KV14" i="10"/>
  <c r="KE49" i="13"/>
  <c r="KH46" i="13"/>
  <c r="KQ34" i="13"/>
  <c r="KH26" i="13"/>
  <c r="KH19" i="13"/>
  <c r="KE14" i="13"/>
  <c r="KK13" i="13"/>
  <c r="KE10" i="13"/>
  <c r="KH7" i="13"/>
  <c r="BL10" i="12"/>
  <c r="BT47" i="9"/>
  <c r="BT32" i="9"/>
  <c r="BT17" i="9"/>
  <c r="LH164" i="10"/>
  <c r="LH152" i="10"/>
  <c r="LH141" i="10"/>
  <c r="LH131" i="10"/>
  <c r="LH120" i="10"/>
  <c r="LH109" i="10"/>
  <c r="LH99" i="10"/>
  <c r="LH88" i="10"/>
  <c r="LH77" i="10"/>
  <c r="LH67" i="10"/>
  <c r="LH56" i="10"/>
  <c r="LH45" i="10"/>
  <c r="LH35" i="10"/>
  <c r="LH24" i="10"/>
  <c r="LH13" i="10"/>
  <c r="LD171" i="10"/>
  <c r="LD155" i="10"/>
  <c r="LD144" i="10"/>
  <c r="LD133" i="10"/>
  <c r="LD123" i="10"/>
  <c r="LD112" i="10"/>
  <c r="LD101" i="10"/>
  <c r="LD96" i="10"/>
  <c r="LD85" i="10"/>
  <c r="LD75" i="10"/>
  <c r="LD64" i="10"/>
  <c r="LD53" i="10"/>
  <c r="LD43" i="10"/>
  <c r="LD32" i="10"/>
  <c r="LD21" i="10"/>
  <c r="LD5" i="10"/>
  <c r="KZ164" i="10"/>
  <c r="KZ153" i="10"/>
  <c r="KV23" i="10"/>
  <c r="KV66" i="10"/>
  <c r="KV109" i="10"/>
  <c r="KZ46" i="10"/>
  <c r="CD44" i="9"/>
  <c r="CR12" i="18"/>
  <c r="CS12" i="18" s="1"/>
  <c r="CR10" i="18"/>
  <c r="CS10" i="18" s="1"/>
  <c r="CP46" i="17"/>
  <c r="CQ46" i="17" s="1"/>
  <c r="CP37" i="17"/>
  <c r="CQ37" i="17" s="1"/>
  <c r="CP33" i="17"/>
  <c r="CQ33" i="17" s="1"/>
  <c r="CP27" i="17"/>
  <c r="CQ27" i="17" s="1"/>
  <c r="CP19" i="17"/>
  <c r="CQ19" i="17" s="1"/>
  <c r="CP13" i="17"/>
  <c r="CQ13" i="17" s="1"/>
  <c r="CP8" i="17"/>
  <c r="CQ8" i="17" s="1"/>
  <c r="CR16" i="18"/>
  <c r="CR9" i="18"/>
  <c r="CS9" i="18" s="1"/>
  <c r="CR7" i="18"/>
  <c r="CS7" i="18" s="1"/>
  <c r="CP40" i="17"/>
  <c r="CQ40" i="17" s="1"/>
  <c r="CP35" i="17"/>
  <c r="CQ35" i="17" s="1"/>
  <c r="CP28" i="17"/>
  <c r="CQ28" i="17" s="1"/>
  <c r="CP18" i="17"/>
  <c r="CQ18" i="17" s="1"/>
  <c r="CP10" i="17"/>
  <c r="CQ10" i="17" s="1"/>
  <c r="CR14" i="18"/>
  <c r="CS14" i="18" s="1"/>
  <c r="CR8" i="18"/>
  <c r="CS8" i="18" s="1"/>
  <c r="CR5" i="18"/>
  <c r="CS5" i="18" s="1"/>
  <c r="CP50" i="17"/>
  <c r="CQ50" i="17" s="1"/>
  <c r="CP39" i="17"/>
  <c r="CQ39" i="17" s="1"/>
  <c r="CP34" i="17"/>
  <c r="CQ34" i="17" s="1"/>
  <c r="CP25" i="17"/>
  <c r="CQ25" i="17" s="1"/>
  <c r="CP16" i="17"/>
  <c r="CQ16" i="17" s="1"/>
  <c r="CP9" i="17"/>
  <c r="CQ9" i="17" s="1"/>
  <c r="CP38" i="17"/>
  <c r="CQ38" i="17" s="1"/>
  <c r="CP23" i="17"/>
  <c r="CQ23" i="17" s="1"/>
  <c r="CP7" i="17"/>
  <c r="CQ7" i="17" s="1"/>
  <c r="CP36" i="17"/>
  <c r="CQ36" i="17" s="1"/>
  <c r="CP21" i="17"/>
  <c r="CQ21" i="17" s="1"/>
  <c r="CP5" i="17"/>
  <c r="CQ5" i="17" s="1"/>
  <c r="CP30" i="17"/>
  <c r="CQ30" i="17" s="1"/>
  <c r="CP47" i="17"/>
  <c r="CQ47" i="17" s="1"/>
  <c r="CP12" i="17"/>
  <c r="CQ12" i="17" s="1"/>
  <c r="CR13" i="18"/>
  <c r="CS13" i="18" s="1"/>
  <c r="CP14" i="17"/>
  <c r="CQ14" i="17" s="1"/>
  <c r="CR4" i="18"/>
  <c r="CS4" i="18" s="1"/>
  <c r="CP29" i="17"/>
  <c r="CQ29" i="17" s="1"/>
  <c r="CP49" i="17"/>
  <c r="CQ49" i="17" s="1"/>
  <c r="KZ49" i="13"/>
  <c r="KZ40" i="13"/>
  <c r="KZ38" i="13"/>
  <c r="KZ31" i="13"/>
  <c r="KZ23" i="13"/>
  <c r="KZ16" i="13"/>
  <c r="KZ12" i="13"/>
  <c r="KZ5" i="13"/>
  <c r="BU13" i="12"/>
  <c r="BU9" i="12"/>
  <c r="CD49" i="9"/>
  <c r="CD45" i="9"/>
  <c r="CD39" i="9"/>
  <c r="CD35" i="9"/>
  <c r="CD30" i="9"/>
  <c r="CD26" i="9"/>
  <c r="CD21" i="9"/>
  <c r="CD16" i="9"/>
  <c r="CD11" i="9"/>
  <c r="CD7" i="9"/>
  <c r="KZ37" i="13"/>
  <c r="KZ36" i="13"/>
  <c r="KZ34" i="13"/>
  <c r="KZ29" i="13"/>
  <c r="KZ21" i="13"/>
  <c r="KZ18" i="13"/>
  <c r="BU10" i="12"/>
  <c r="CD51" i="9"/>
  <c r="CD43" i="9"/>
  <c r="CD37" i="9"/>
  <c r="CD31" i="9"/>
  <c r="CD25" i="9"/>
  <c r="CD18" i="9"/>
  <c r="CD12" i="9"/>
  <c r="CD6" i="9"/>
  <c r="LR173" i="10"/>
  <c r="LR169" i="10"/>
  <c r="LR165" i="10"/>
  <c r="LR160" i="10"/>
  <c r="LR156" i="10"/>
  <c r="LR151" i="10"/>
  <c r="LR147" i="10"/>
  <c r="LR143" i="10"/>
  <c r="LR139" i="10"/>
  <c r="LR135" i="10"/>
  <c r="LR131" i="10"/>
  <c r="LR127" i="10"/>
  <c r="LR123" i="10"/>
  <c r="LR119" i="10"/>
  <c r="LR115" i="10"/>
  <c r="LR111" i="10"/>
  <c r="LR107" i="10"/>
  <c r="LR103" i="10"/>
  <c r="LR99" i="10"/>
  <c r="LR95" i="10"/>
  <c r="LR91" i="10"/>
  <c r="LR87" i="10"/>
  <c r="LR83" i="10"/>
  <c r="LR79" i="10"/>
  <c r="LR75" i="10"/>
  <c r="LR71" i="10"/>
  <c r="LR67" i="10"/>
  <c r="LR63" i="10"/>
  <c r="LR59" i="10"/>
  <c r="LR54" i="10"/>
  <c r="LR50" i="10"/>
  <c r="LR46" i="10"/>
  <c r="LR42" i="10"/>
  <c r="LR38" i="10"/>
  <c r="LR34" i="10"/>
  <c r="LR30" i="10"/>
  <c r="LR26" i="10"/>
  <c r="LR22" i="10"/>
  <c r="LR18" i="10"/>
  <c r="LR14" i="10"/>
  <c r="LR9" i="10"/>
  <c r="LR5" i="10"/>
  <c r="KZ35" i="13"/>
  <c r="KZ14" i="13"/>
  <c r="KZ10" i="13"/>
  <c r="BU16" i="12"/>
  <c r="BU8" i="12"/>
  <c r="CD48" i="9"/>
  <c r="CD41" i="9"/>
  <c r="CD36" i="9"/>
  <c r="CD29" i="9"/>
  <c r="CD24" i="9"/>
  <c r="CD17" i="9"/>
  <c r="KZ47" i="13"/>
  <c r="BU7" i="12"/>
  <c r="BU4" i="12"/>
  <c r="CD46" i="9"/>
  <c r="CD33" i="9"/>
  <c r="CD19" i="9"/>
  <c r="CD9" i="9"/>
  <c r="LR168" i="10"/>
  <c r="LR163" i="10"/>
  <c r="LR157" i="10"/>
  <c r="LR150" i="10"/>
  <c r="LR145" i="10"/>
  <c r="LR140" i="10"/>
  <c r="LR134" i="10"/>
  <c r="LR129" i="10"/>
  <c r="LR124" i="10"/>
  <c r="LR118" i="10"/>
  <c r="LR113" i="10"/>
  <c r="LR108" i="10"/>
  <c r="LR102" i="10"/>
  <c r="LR97" i="10"/>
  <c r="LR92" i="10"/>
  <c r="LR86" i="10"/>
  <c r="LR81" i="10"/>
  <c r="LR76" i="10"/>
  <c r="LR70" i="10"/>
  <c r="LR65" i="10"/>
  <c r="LR60" i="10"/>
  <c r="LR53" i="10"/>
  <c r="LR48" i="10"/>
  <c r="LR43" i="10"/>
  <c r="LR37" i="10"/>
  <c r="LR32" i="10"/>
  <c r="LR27" i="10"/>
  <c r="LR21" i="10"/>
  <c r="LR16" i="10"/>
  <c r="LR10" i="10"/>
  <c r="CD34" i="9"/>
  <c r="CD10" i="9"/>
  <c r="LR164" i="10"/>
  <c r="LR152" i="10"/>
  <c r="LR141" i="10"/>
  <c r="LR130" i="10"/>
  <c r="LR120" i="10"/>
  <c r="LR109" i="10"/>
  <c r="LR98" i="10"/>
  <c r="LR88" i="10"/>
  <c r="LR77" i="10"/>
  <c r="LR66" i="10"/>
  <c r="LR55" i="10"/>
  <c r="LR44" i="10"/>
  <c r="LR33" i="10"/>
  <c r="LR23" i="10"/>
  <c r="LR12" i="10"/>
  <c r="KZ30" i="13"/>
  <c r="KZ28" i="13"/>
  <c r="KZ25" i="13"/>
  <c r="KZ13" i="13"/>
  <c r="KZ9" i="13"/>
  <c r="BU5" i="12"/>
  <c r="CD40" i="9"/>
  <c r="CD28" i="9"/>
  <c r="CD15" i="9"/>
  <c r="CD8" i="9"/>
  <c r="LR172" i="10"/>
  <c r="LR167" i="10"/>
  <c r="LR162" i="10"/>
  <c r="LR155" i="10"/>
  <c r="LR149" i="10"/>
  <c r="LR144" i="10"/>
  <c r="LR138" i="10"/>
  <c r="LR133" i="10"/>
  <c r="LR128" i="10"/>
  <c r="LR122" i="10"/>
  <c r="LR117" i="10"/>
  <c r="LR112" i="10"/>
  <c r="LR106" i="10"/>
  <c r="LR101" i="10"/>
  <c r="LR96" i="10"/>
  <c r="LR90" i="10"/>
  <c r="LR85" i="10"/>
  <c r="LR80" i="10"/>
  <c r="LR74" i="10"/>
  <c r="LR69" i="10"/>
  <c r="LR64" i="10"/>
  <c r="LR58" i="10"/>
  <c r="LR52" i="10"/>
  <c r="LR47" i="10"/>
  <c r="LR41" i="10"/>
  <c r="LR36" i="10"/>
  <c r="LR31" i="10"/>
  <c r="LR25" i="10"/>
  <c r="LR20" i="10"/>
  <c r="LR15" i="10"/>
  <c r="LR8" i="10"/>
  <c r="KZ39" i="13"/>
  <c r="KZ19" i="13"/>
  <c r="BU14" i="12"/>
  <c r="CD38" i="9"/>
  <c r="CD27" i="9"/>
  <c r="CD14" i="9"/>
  <c r="CD5" i="9"/>
  <c r="LR171" i="10"/>
  <c r="LR166" i="10"/>
  <c r="LR159" i="10"/>
  <c r="LR153" i="10"/>
  <c r="LR148" i="10"/>
  <c r="LR142" i="10"/>
  <c r="LR137" i="10"/>
  <c r="LR132" i="10"/>
  <c r="LR126" i="10"/>
  <c r="LR121" i="10"/>
  <c r="LR116" i="10"/>
  <c r="LR110" i="10"/>
  <c r="LR105" i="10"/>
  <c r="LR100" i="10"/>
  <c r="LR94" i="10"/>
  <c r="LR89" i="10"/>
  <c r="LR84" i="10"/>
  <c r="LR78" i="10"/>
  <c r="LR73" i="10"/>
  <c r="LR68" i="10"/>
  <c r="LR62" i="10"/>
  <c r="LR57" i="10"/>
  <c r="LR51" i="10"/>
  <c r="LR45" i="10"/>
  <c r="LR40" i="10"/>
  <c r="LR35" i="10"/>
  <c r="LR29" i="10"/>
  <c r="LR24" i="10"/>
  <c r="LR19" i="10"/>
  <c r="LR13" i="10"/>
  <c r="LR7" i="10"/>
  <c r="KZ7" i="13"/>
  <c r="BU12" i="12"/>
  <c r="CD47" i="9"/>
  <c r="CD22" i="9"/>
  <c r="CD4" i="9"/>
  <c r="LR170" i="10"/>
  <c r="LR158" i="10"/>
  <c r="LR146" i="10"/>
  <c r="LR136" i="10"/>
  <c r="LR125" i="10"/>
  <c r="LR114" i="10"/>
  <c r="LR104" i="10"/>
  <c r="LR93" i="10"/>
  <c r="LR82" i="10"/>
  <c r="LR72" i="10"/>
  <c r="LR61" i="10"/>
  <c r="LR49" i="10"/>
  <c r="LR39" i="10"/>
  <c r="LR28" i="10"/>
  <c r="LR17" i="10"/>
  <c r="LR6" i="10"/>
  <c r="IJ19" i="10"/>
  <c r="IJ61" i="10"/>
  <c r="IJ104" i="10"/>
  <c r="IJ147" i="10"/>
  <c r="IN20" i="10"/>
  <c r="IN63" i="10"/>
  <c r="IN106" i="10"/>
  <c r="IN148" i="10"/>
  <c r="IN170" i="10"/>
  <c r="IR43" i="10"/>
  <c r="IR86" i="10"/>
  <c r="IR129" i="10"/>
  <c r="IR171" i="10"/>
  <c r="IV25" i="10"/>
  <c r="IV67" i="10"/>
  <c r="IV110" i="10"/>
  <c r="IV153" i="10"/>
  <c r="IZ27" i="10"/>
  <c r="IZ70" i="10"/>
  <c r="IZ113" i="10"/>
  <c r="IZ155" i="10"/>
  <c r="JD8" i="10"/>
  <c r="JD72" i="10"/>
  <c r="JH52" i="10"/>
  <c r="AX44" i="9"/>
  <c r="AX4" i="9"/>
  <c r="AX49" i="9"/>
  <c r="AX45" i="9"/>
  <c r="AX40" i="9"/>
  <c r="AX36" i="9"/>
  <c r="AX32" i="9"/>
  <c r="AX28" i="9"/>
  <c r="AX24" i="9"/>
  <c r="AX19" i="9"/>
  <c r="AX15" i="9"/>
  <c r="AX11" i="9"/>
  <c r="AX7" i="9"/>
  <c r="AX48" i="9"/>
  <c r="AX43" i="9"/>
  <c r="AX39" i="9"/>
  <c r="AX35" i="9"/>
  <c r="AX31" i="9"/>
  <c r="AX27" i="9"/>
  <c r="AX23" i="9"/>
  <c r="AX18" i="9"/>
  <c r="AX14" i="9"/>
  <c r="AX10" i="9"/>
  <c r="AX6" i="9"/>
  <c r="AX47" i="9"/>
  <c r="AX42" i="9"/>
  <c r="AX38" i="9"/>
  <c r="AX34" i="9"/>
  <c r="AX30" i="9"/>
  <c r="AX26" i="9"/>
  <c r="AX22" i="9"/>
  <c r="AX17" i="9"/>
  <c r="AX13" i="9"/>
  <c r="AX9" i="9"/>
  <c r="AX5" i="9"/>
  <c r="AX51" i="9"/>
  <c r="AX46" i="9"/>
  <c r="AX41" i="9"/>
  <c r="AX37" i="9"/>
  <c r="AX33" i="9"/>
  <c r="AX29" i="9"/>
  <c r="AX25" i="9"/>
  <c r="AX20" i="9"/>
  <c r="AX16" i="9"/>
  <c r="AX12" i="9"/>
  <c r="AX8" i="9"/>
  <c r="AX21" i="9"/>
  <c r="CX44" i="9"/>
  <c r="DP14" i="18"/>
  <c r="DQ14" i="18" s="1"/>
  <c r="DP8" i="18"/>
  <c r="DQ8" i="18" s="1"/>
  <c r="DP7" i="18"/>
  <c r="DQ7" i="18" s="1"/>
  <c r="DN46" i="17"/>
  <c r="DO46" i="17" s="1"/>
  <c r="DN37" i="17"/>
  <c r="DO37" i="17" s="1"/>
  <c r="DN33" i="17"/>
  <c r="DO33" i="17" s="1"/>
  <c r="DN27" i="17"/>
  <c r="DO27" i="17" s="1"/>
  <c r="DN19" i="17"/>
  <c r="DO19" i="17" s="1"/>
  <c r="DN13" i="17"/>
  <c r="DO13" i="17" s="1"/>
  <c r="DN8" i="17"/>
  <c r="DO8" i="17" s="1"/>
  <c r="DP13" i="18"/>
  <c r="DQ13" i="18" s="1"/>
  <c r="DP9" i="18"/>
  <c r="DQ9" i="18" s="1"/>
  <c r="DP5" i="18"/>
  <c r="DQ5" i="18" s="1"/>
  <c r="DN47" i="17"/>
  <c r="DO47" i="17" s="1"/>
  <c r="DN36" i="17"/>
  <c r="DO36" i="17" s="1"/>
  <c r="DN29" i="17"/>
  <c r="DO29" i="17" s="1"/>
  <c r="DN21" i="17"/>
  <c r="DO21" i="17" s="1"/>
  <c r="DN12" i="17"/>
  <c r="DO12" i="17" s="1"/>
  <c r="DN5" i="17"/>
  <c r="DO5" i="17" s="1"/>
  <c r="DN40" i="17"/>
  <c r="DO40" i="17" s="1"/>
  <c r="DN35" i="17"/>
  <c r="DO35" i="17" s="1"/>
  <c r="DN28" i="17"/>
  <c r="DO28" i="17" s="1"/>
  <c r="DN18" i="17"/>
  <c r="DO18" i="17" s="1"/>
  <c r="DN10" i="17"/>
  <c r="DO10" i="17" s="1"/>
  <c r="DP4" i="18"/>
  <c r="DQ4" i="18" s="1"/>
  <c r="DN39" i="17"/>
  <c r="DO39" i="17" s="1"/>
  <c r="DN25" i="17"/>
  <c r="DO25" i="17" s="1"/>
  <c r="DN9" i="17"/>
  <c r="DO9" i="17" s="1"/>
  <c r="DP16" i="18"/>
  <c r="DN38" i="17"/>
  <c r="DO38" i="17" s="1"/>
  <c r="DN23" i="17"/>
  <c r="DO23" i="17" s="1"/>
  <c r="DN7" i="17"/>
  <c r="DO7" i="17" s="1"/>
  <c r="DP10" i="18"/>
  <c r="DQ10" i="18" s="1"/>
  <c r="DN50" i="17"/>
  <c r="DO50" i="17" s="1"/>
  <c r="DN16" i="17"/>
  <c r="DO16" i="17" s="1"/>
  <c r="DP12" i="18"/>
  <c r="DQ12" i="18" s="1"/>
  <c r="DN30" i="17"/>
  <c r="DO30" i="17" s="1"/>
  <c r="DN49" i="17"/>
  <c r="DO49" i="17" s="1"/>
  <c r="DN14" i="17"/>
  <c r="DO14" i="17" s="1"/>
  <c r="LR35" i="13"/>
  <c r="LR29" i="13"/>
  <c r="LR19" i="13"/>
  <c r="LR13" i="13"/>
  <c r="LR9" i="13"/>
  <c r="LR7" i="13"/>
  <c r="CM16" i="12"/>
  <c r="CM4" i="12"/>
  <c r="CX47" i="9"/>
  <c r="CX42" i="9"/>
  <c r="CX38" i="9"/>
  <c r="CX34" i="9"/>
  <c r="CX29" i="9"/>
  <c r="CX25" i="9"/>
  <c r="CX18" i="9"/>
  <c r="CX14" i="9"/>
  <c r="CX9" i="9"/>
  <c r="CX5" i="9"/>
  <c r="MK172" i="10"/>
  <c r="MK168" i="10"/>
  <c r="MK164" i="10"/>
  <c r="MK159" i="10"/>
  <c r="MK155" i="10"/>
  <c r="MK150" i="10"/>
  <c r="MK146" i="10"/>
  <c r="MK142" i="10"/>
  <c r="MK138" i="10"/>
  <c r="MK134" i="10"/>
  <c r="MK130" i="10"/>
  <c r="MK126" i="10"/>
  <c r="MK122" i="10"/>
  <c r="MK118" i="10"/>
  <c r="MK114" i="10"/>
  <c r="MK110" i="10"/>
  <c r="MK106" i="10"/>
  <c r="MK102" i="10"/>
  <c r="MK98" i="10"/>
  <c r="MK94" i="10"/>
  <c r="MK90" i="10"/>
  <c r="MK86" i="10"/>
  <c r="MK82" i="10"/>
  <c r="MK78" i="10"/>
  <c r="MK74" i="10"/>
  <c r="MK70" i="10"/>
  <c r="MK66" i="10"/>
  <c r="MK62" i="10"/>
  <c r="MK58" i="10"/>
  <c r="MK53" i="10"/>
  <c r="MK49" i="10"/>
  <c r="MK45" i="10"/>
  <c r="MK41" i="10"/>
  <c r="MK37" i="10"/>
  <c r="MK33" i="10"/>
  <c r="MK29" i="10"/>
  <c r="MK25" i="10"/>
  <c r="MK21" i="10"/>
  <c r="MK17" i="10"/>
  <c r="MK13" i="10"/>
  <c r="MK8" i="10"/>
  <c r="LR40" i="13"/>
  <c r="LR34" i="13"/>
  <c r="LR31" i="13"/>
  <c r="LR49" i="13"/>
  <c r="LR38" i="13"/>
  <c r="LR28" i="13"/>
  <c r="LR18" i="13"/>
  <c r="LR14" i="13"/>
  <c r="LR10" i="13"/>
  <c r="CM9" i="12"/>
  <c r="CX49" i="9"/>
  <c r="CX43" i="9"/>
  <c r="CX37" i="9"/>
  <c r="CX31" i="9"/>
  <c r="CX26" i="9"/>
  <c r="CX17" i="9"/>
  <c r="CX11" i="9"/>
  <c r="CX6" i="9"/>
  <c r="MK173" i="10"/>
  <c r="MK167" i="10"/>
  <c r="MK162" i="10"/>
  <c r="MK156" i="10"/>
  <c r="MK149" i="10"/>
  <c r="MK144" i="10"/>
  <c r="MK139" i="10"/>
  <c r="MK133" i="10"/>
  <c r="MK128" i="10"/>
  <c r="MK123" i="10"/>
  <c r="MK117" i="10"/>
  <c r="MK112" i="10"/>
  <c r="MK107" i="10"/>
  <c r="MK101" i="10"/>
  <c r="MK96" i="10"/>
  <c r="MK91" i="10"/>
  <c r="MK85" i="10"/>
  <c r="MK80" i="10"/>
  <c r="MK75" i="10"/>
  <c r="MK69" i="10"/>
  <c r="MK64" i="10"/>
  <c r="MK59" i="10"/>
  <c r="MK52" i="10"/>
  <c r="MK47" i="10"/>
  <c r="MK42" i="10"/>
  <c r="MK36" i="10"/>
  <c r="MK31" i="10"/>
  <c r="MK26" i="10"/>
  <c r="MK20" i="10"/>
  <c r="MK15" i="10"/>
  <c r="MK9" i="10"/>
  <c r="DN34" i="17"/>
  <c r="DO34" i="17" s="1"/>
  <c r="LR47" i="13"/>
  <c r="LR39" i="13"/>
  <c r="LR30" i="13"/>
  <c r="LR23" i="13"/>
  <c r="CM14" i="12"/>
  <c r="CM8" i="12"/>
  <c r="CX48" i="9"/>
  <c r="CX41" i="9"/>
  <c r="CX36" i="9"/>
  <c r="CX30" i="9"/>
  <c r="CX24" i="9"/>
  <c r="CX16" i="9"/>
  <c r="CX10" i="9"/>
  <c r="CX4" i="9"/>
  <c r="LR37" i="13"/>
  <c r="LR36" i="13"/>
  <c r="LR21" i="13"/>
  <c r="LR16" i="13"/>
  <c r="LR12" i="13"/>
  <c r="CM10" i="12"/>
  <c r="CX45" i="9"/>
  <c r="CX33" i="9"/>
  <c r="CX21" i="9"/>
  <c r="CX7" i="9"/>
  <c r="MK169" i="10"/>
  <c r="MK160" i="10"/>
  <c r="MK152" i="10"/>
  <c r="MK145" i="10"/>
  <c r="MK137" i="10"/>
  <c r="MK131" i="10"/>
  <c r="MK124" i="10"/>
  <c r="MK116" i="10"/>
  <c r="MK109" i="10"/>
  <c r="MK103" i="10"/>
  <c r="MK95" i="10"/>
  <c r="MK88" i="10"/>
  <c r="MK81" i="10"/>
  <c r="MK73" i="10"/>
  <c r="MK67" i="10"/>
  <c r="MK60" i="10"/>
  <c r="MK51" i="10"/>
  <c r="MK44" i="10"/>
  <c r="MK38" i="10"/>
  <c r="MK30" i="10"/>
  <c r="MK23" i="10"/>
  <c r="MK16" i="10"/>
  <c r="MK7" i="10"/>
  <c r="CX46" i="9"/>
  <c r="CX35" i="9"/>
  <c r="CX8" i="9"/>
  <c r="MK170" i="10"/>
  <c r="MK153" i="10"/>
  <c r="MK140" i="10"/>
  <c r="MK125" i="10"/>
  <c r="MK111" i="10"/>
  <c r="MK97" i="10"/>
  <c r="MK83" i="10"/>
  <c r="MK68" i="10"/>
  <c r="MK54" i="10"/>
  <c r="MK39" i="10"/>
  <c r="MK24" i="10"/>
  <c r="MK10" i="10"/>
  <c r="CM12" i="12"/>
  <c r="CX40" i="9"/>
  <c r="CX28" i="9"/>
  <c r="CX15" i="9"/>
  <c r="MK166" i="10"/>
  <c r="MK158" i="10"/>
  <c r="MK151" i="10"/>
  <c r="MK143" i="10"/>
  <c r="MK136" i="10"/>
  <c r="MK129" i="10"/>
  <c r="MK121" i="10"/>
  <c r="MK115" i="10"/>
  <c r="MK108" i="10"/>
  <c r="MK100" i="10"/>
  <c r="MK93" i="10"/>
  <c r="MK87" i="10"/>
  <c r="MK79" i="10"/>
  <c r="MK72" i="10"/>
  <c r="MK65" i="10"/>
  <c r="MK57" i="10"/>
  <c r="MK50" i="10"/>
  <c r="MK43" i="10"/>
  <c r="MK35" i="10"/>
  <c r="MK28" i="10"/>
  <c r="MK22" i="10"/>
  <c r="MK14" i="10"/>
  <c r="MK6" i="10"/>
  <c r="LR25" i="13"/>
  <c r="CM13" i="12"/>
  <c r="CM7" i="12"/>
  <c r="CX51" i="9"/>
  <c r="CX39" i="9"/>
  <c r="CX27" i="9"/>
  <c r="CX12" i="9"/>
  <c r="MK171" i="10"/>
  <c r="MK165" i="10"/>
  <c r="MK157" i="10"/>
  <c r="MK148" i="10"/>
  <c r="MK141" i="10"/>
  <c r="MK135" i="10"/>
  <c r="MK127" i="10"/>
  <c r="MK120" i="10"/>
  <c r="MK113" i="10"/>
  <c r="MK105" i="10"/>
  <c r="MK99" i="10"/>
  <c r="MK92" i="10"/>
  <c r="MK84" i="10"/>
  <c r="MK77" i="10"/>
  <c r="MK71" i="10"/>
  <c r="MK63" i="10"/>
  <c r="MK55" i="10"/>
  <c r="MK48" i="10"/>
  <c r="MK40" i="10"/>
  <c r="MK34" i="10"/>
  <c r="MK27" i="10"/>
  <c r="MK19" i="10"/>
  <c r="MK12" i="10"/>
  <c r="MK5" i="10"/>
  <c r="LR5" i="13"/>
  <c r="CM5" i="12"/>
  <c r="CX22" i="9"/>
  <c r="MK163" i="10"/>
  <c r="MK147" i="10"/>
  <c r="MK132" i="10"/>
  <c r="MK119" i="10"/>
  <c r="MK104" i="10"/>
  <c r="MK89" i="10"/>
  <c r="MK76" i="10"/>
  <c r="MK61" i="10"/>
  <c r="MK46" i="10"/>
  <c r="MK32" i="10"/>
  <c r="MK18" i="10"/>
  <c r="CK44" i="9"/>
  <c r="CZ14" i="18"/>
  <c r="DA14" i="18" s="1"/>
  <c r="CZ8" i="18"/>
  <c r="DA8" i="18" s="1"/>
  <c r="CZ7" i="18"/>
  <c r="DA7" i="18" s="1"/>
  <c r="CX46" i="17"/>
  <c r="CY46" i="17" s="1"/>
  <c r="CX37" i="17"/>
  <c r="CY37" i="17" s="1"/>
  <c r="CX33" i="17"/>
  <c r="CY33" i="17" s="1"/>
  <c r="CX27" i="17"/>
  <c r="CY27" i="17" s="1"/>
  <c r="CX19" i="17"/>
  <c r="CY19" i="17" s="1"/>
  <c r="CX13" i="17"/>
  <c r="CY13" i="17" s="1"/>
  <c r="CX8" i="17"/>
  <c r="CY8" i="17" s="1"/>
  <c r="CZ13" i="18"/>
  <c r="DA13" i="18" s="1"/>
  <c r="CZ16" i="18"/>
  <c r="CX50" i="17"/>
  <c r="CY50" i="17" s="1"/>
  <c r="CX39" i="17"/>
  <c r="CY39" i="17" s="1"/>
  <c r="CX34" i="17"/>
  <c r="CY34" i="17" s="1"/>
  <c r="CX25" i="17"/>
  <c r="CY25" i="17" s="1"/>
  <c r="CX16" i="17"/>
  <c r="CY16" i="17" s="1"/>
  <c r="CX9" i="17"/>
  <c r="CY9" i="17" s="1"/>
  <c r="CZ12" i="18"/>
  <c r="DA12" i="18" s="1"/>
  <c r="CX49" i="17"/>
  <c r="CY49" i="17" s="1"/>
  <c r="CX38" i="17"/>
  <c r="CY38" i="17" s="1"/>
  <c r="CX30" i="17"/>
  <c r="CY30" i="17" s="1"/>
  <c r="CX23" i="17"/>
  <c r="CY23" i="17" s="1"/>
  <c r="CX14" i="17"/>
  <c r="CY14" i="17" s="1"/>
  <c r="CX7" i="17"/>
  <c r="CY7" i="17" s="1"/>
  <c r="CZ10" i="18"/>
  <c r="DA10" i="18" s="1"/>
  <c r="CX47" i="17"/>
  <c r="CY47" i="17" s="1"/>
  <c r="CX29" i="17"/>
  <c r="CY29" i="17" s="1"/>
  <c r="CX12" i="17"/>
  <c r="CY12" i="17" s="1"/>
  <c r="CZ5" i="18"/>
  <c r="DA5" i="18" s="1"/>
  <c r="CZ4" i="18"/>
  <c r="DA4" i="18" s="1"/>
  <c r="CX40" i="17"/>
  <c r="CY40" i="17" s="1"/>
  <c r="CX28" i="17"/>
  <c r="CY28" i="17" s="1"/>
  <c r="CX10" i="17"/>
  <c r="CY10" i="17" s="1"/>
  <c r="CZ9" i="18"/>
  <c r="DA9" i="18" s="1"/>
  <c r="CX36" i="17"/>
  <c r="CY36" i="17" s="1"/>
  <c r="CX5" i="17"/>
  <c r="CY5" i="17" s="1"/>
  <c r="CX18" i="17"/>
  <c r="CY18" i="17" s="1"/>
  <c r="CX35" i="17"/>
  <c r="CY35" i="17" s="1"/>
  <c r="CX21" i="17"/>
  <c r="CY21" i="17" s="1"/>
  <c r="LF35" i="13"/>
  <c r="LF19" i="13"/>
  <c r="LF13" i="13"/>
  <c r="LF9" i="13"/>
  <c r="LF7" i="13"/>
  <c r="CA16" i="12"/>
  <c r="CA4" i="12"/>
  <c r="CK47" i="9"/>
  <c r="CK41" i="9"/>
  <c r="CK37" i="9"/>
  <c r="CK33" i="9"/>
  <c r="CK28" i="9"/>
  <c r="CK24" i="9"/>
  <c r="CK18" i="9"/>
  <c r="CK14" i="9"/>
  <c r="CK9" i="9"/>
  <c r="CK5" i="9"/>
  <c r="LY170" i="10"/>
  <c r="LY166" i="10"/>
  <c r="LY162" i="10"/>
  <c r="LY157" i="10"/>
  <c r="LY152" i="10"/>
  <c r="LY148" i="10"/>
  <c r="LY144" i="10"/>
  <c r="LY140" i="10"/>
  <c r="LY136" i="10"/>
  <c r="LY132" i="10"/>
  <c r="LY128" i="10"/>
  <c r="LY124" i="10"/>
  <c r="LY120" i="10"/>
  <c r="LY116" i="10"/>
  <c r="LY112" i="10"/>
  <c r="LY108" i="10"/>
  <c r="LY104" i="10"/>
  <c r="LY100" i="10"/>
  <c r="LY96" i="10"/>
  <c r="LY92" i="10"/>
  <c r="LY88" i="10"/>
  <c r="LY84" i="10"/>
  <c r="LY80" i="10"/>
  <c r="LY76" i="10"/>
  <c r="LY72" i="10"/>
  <c r="LY68" i="10"/>
  <c r="LY64" i="10"/>
  <c r="LY60" i="10"/>
  <c r="LY54" i="10"/>
  <c r="LY50" i="10"/>
  <c r="LY46" i="10"/>
  <c r="LY42" i="10"/>
  <c r="LY38" i="10"/>
  <c r="LY34" i="10"/>
  <c r="LY30" i="10"/>
  <c r="LY26" i="10"/>
  <c r="LY22" i="10"/>
  <c r="LY18" i="10"/>
  <c r="LY14" i="10"/>
  <c r="LY9" i="10"/>
  <c r="LY5" i="10"/>
  <c r="LF49" i="13"/>
  <c r="LF38" i="13"/>
  <c r="LF47" i="13"/>
  <c r="LF39" i="13"/>
  <c r="LF30" i="13"/>
  <c r="LF23" i="13"/>
  <c r="CA14" i="12"/>
  <c r="CA8" i="12"/>
  <c r="CK48" i="9"/>
  <c r="CK40" i="9"/>
  <c r="CK35" i="9"/>
  <c r="CK29" i="9"/>
  <c r="CK22" i="9"/>
  <c r="CK16" i="9"/>
  <c r="CK10" i="9"/>
  <c r="CK4" i="9"/>
  <c r="LY171" i="10"/>
  <c r="LY165" i="10"/>
  <c r="LY159" i="10"/>
  <c r="LY153" i="10"/>
  <c r="LY147" i="10"/>
  <c r="LY142" i="10"/>
  <c r="LY137" i="10"/>
  <c r="LY131" i="10"/>
  <c r="LY126" i="10"/>
  <c r="LY121" i="10"/>
  <c r="LY115" i="10"/>
  <c r="LY110" i="10"/>
  <c r="LY105" i="10"/>
  <c r="LY99" i="10"/>
  <c r="LY94" i="10"/>
  <c r="LY89" i="10"/>
  <c r="LY83" i="10"/>
  <c r="LY78" i="10"/>
  <c r="LY73" i="10"/>
  <c r="LY67" i="10"/>
  <c r="LY62" i="10"/>
  <c r="LY55" i="10"/>
  <c r="LY49" i="10"/>
  <c r="LY44" i="10"/>
  <c r="LY39" i="10"/>
  <c r="LY33" i="10"/>
  <c r="LY28" i="10"/>
  <c r="LY23" i="10"/>
  <c r="LY17" i="10"/>
  <c r="LY12" i="10"/>
  <c r="LY6" i="10"/>
  <c r="LF37" i="13"/>
  <c r="LF36" i="13"/>
  <c r="LF29" i="13"/>
  <c r="LF25" i="13"/>
  <c r="LF16" i="13"/>
  <c r="LF12" i="13"/>
  <c r="CA13" i="12"/>
  <c r="CA7" i="12"/>
  <c r="CA5" i="12"/>
  <c r="CK46" i="9"/>
  <c r="CK39" i="9"/>
  <c r="CK34" i="9"/>
  <c r="CK27" i="9"/>
  <c r="CK21" i="9"/>
  <c r="CK15" i="9"/>
  <c r="CK8" i="9"/>
  <c r="LF18" i="13"/>
  <c r="LF5" i="13"/>
  <c r="CA9" i="12"/>
  <c r="CK49" i="9"/>
  <c r="CK36" i="9"/>
  <c r="CK25" i="9"/>
  <c r="CK11" i="9"/>
  <c r="LY169" i="10"/>
  <c r="LY163" i="10"/>
  <c r="LY155" i="10"/>
  <c r="LY146" i="10"/>
  <c r="LY139" i="10"/>
  <c r="LY133" i="10"/>
  <c r="LY125" i="10"/>
  <c r="LY118" i="10"/>
  <c r="LY111" i="10"/>
  <c r="LY103" i="10"/>
  <c r="LY97" i="10"/>
  <c r="LY90" i="10"/>
  <c r="LY82" i="10"/>
  <c r="LY75" i="10"/>
  <c r="LY69" i="10"/>
  <c r="LY61" i="10"/>
  <c r="LY52" i="10"/>
  <c r="LY45" i="10"/>
  <c r="LY37" i="10"/>
  <c r="LY31" i="10"/>
  <c r="LY24" i="10"/>
  <c r="LY16" i="10"/>
  <c r="LY8" i="10"/>
  <c r="LF40" i="13"/>
  <c r="CK38" i="9"/>
  <c r="CK12" i="9"/>
  <c r="LY172" i="10"/>
  <c r="LY156" i="10"/>
  <c r="LY141" i="10"/>
  <c r="LY127" i="10"/>
  <c r="LY113" i="10"/>
  <c r="LY98" i="10"/>
  <c r="LY85" i="10"/>
  <c r="LY70" i="10"/>
  <c r="LY53" i="10"/>
  <c r="LY40" i="10"/>
  <c r="LY25" i="10"/>
  <c r="LF31" i="13"/>
  <c r="LF21" i="13"/>
  <c r="CA10" i="12"/>
  <c r="CK45" i="9"/>
  <c r="CK31" i="9"/>
  <c r="CK19" i="9"/>
  <c r="CK7" i="9"/>
  <c r="LY168" i="10"/>
  <c r="LY160" i="10"/>
  <c r="LY151" i="10"/>
  <c r="LY145" i="10"/>
  <c r="LY138" i="10"/>
  <c r="LY130" i="10"/>
  <c r="LY123" i="10"/>
  <c r="LY117" i="10"/>
  <c r="LY109" i="10"/>
  <c r="LY102" i="10"/>
  <c r="LY95" i="10"/>
  <c r="LY87" i="10"/>
  <c r="LY81" i="10"/>
  <c r="LY74" i="10"/>
  <c r="LY66" i="10"/>
  <c r="LY59" i="10"/>
  <c r="LY51" i="10"/>
  <c r="LY43" i="10"/>
  <c r="LY36" i="10"/>
  <c r="LY29" i="10"/>
  <c r="LY21" i="10"/>
  <c r="LY15" i="10"/>
  <c r="LY7" i="10"/>
  <c r="LF34" i="13"/>
  <c r="LF14" i="13"/>
  <c r="LF10" i="13"/>
  <c r="CA12" i="12"/>
  <c r="CK43" i="9"/>
  <c r="CK30" i="9"/>
  <c r="CK17" i="9"/>
  <c r="CK6" i="9"/>
  <c r="LY173" i="10"/>
  <c r="LY167" i="10"/>
  <c r="LY158" i="10"/>
  <c r="LY150" i="10"/>
  <c r="LY143" i="10"/>
  <c r="LY135" i="10"/>
  <c r="LY129" i="10"/>
  <c r="LY122" i="10"/>
  <c r="LY114" i="10"/>
  <c r="LY107" i="10"/>
  <c r="LY101" i="10"/>
  <c r="LY93" i="10"/>
  <c r="LY86" i="10"/>
  <c r="LY79" i="10"/>
  <c r="LY71" i="10"/>
  <c r="LY65" i="10"/>
  <c r="LY57" i="10"/>
  <c r="LY48" i="10"/>
  <c r="LY41" i="10"/>
  <c r="LY35" i="10"/>
  <c r="LY27" i="10"/>
  <c r="LY20" i="10"/>
  <c r="LY13" i="10"/>
  <c r="CK51" i="9"/>
  <c r="CK26" i="9"/>
  <c r="LY164" i="10"/>
  <c r="LY149" i="10"/>
  <c r="LY134" i="10"/>
  <c r="LY119" i="10"/>
  <c r="LY106" i="10"/>
  <c r="LY91" i="10"/>
  <c r="LY77" i="10"/>
  <c r="LY63" i="10"/>
  <c r="LY47" i="10"/>
  <c r="LY32" i="10"/>
  <c r="LY19" i="10"/>
  <c r="LY10" i="10"/>
  <c r="IJ8" i="10"/>
  <c r="IJ29" i="10"/>
  <c r="IJ51" i="10"/>
  <c r="IJ72" i="10"/>
  <c r="IJ93" i="10"/>
  <c r="IJ115" i="10"/>
  <c r="IJ136" i="10"/>
  <c r="IJ157" i="10"/>
  <c r="IN10" i="10"/>
  <c r="IN31" i="10"/>
  <c r="IN52" i="10"/>
  <c r="IN74" i="10"/>
  <c r="IN95" i="10"/>
  <c r="IN116" i="10"/>
  <c r="IN138" i="10"/>
  <c r="IN159" i="10"/>
  <c r="IR11" i="10"/>
  <c r="IR33" i="10"/>
  <c r="IR54" i="10"/>
  <c r="IR75" i="10"/>
  <c r="IR97" i="10"/>
  <c r="IR118" i="10"/>
  <c r="IR139" i="10"/>
  <c r="IR161" i="10"/>
  <c r="IV14" i="10"/>
  <c r="IV35" i="10"/>
  <c r="IV57" i="10"/>
  <c r="IV78" i="10"/>
  <c r="IV99" i="10"/>
  <c r="IV121" i="10"/>
  <c r="IV142" i="10"/>
  <c r="IZ17" i="10"/>
  <c r="IZ38" i="10"/>
  <c r="IZ59" i="10"/>
  <c r="IZ81" i="10"/>
  <c r="IZ102" i="10"/>
  <c r="IZ123" i="10"/>
  <c r="IZ145" i="10"/>
  <c r="IZ166" i="10"/>
  <c r="JD18" i="10"/>
  <c r="JD40" i="10"/>
  <c r="JD61" i="10"/>
  <c r="JD82" i="10"/>
  <c r="JD104" i="10"/>
  <c r="JD125" i="10"/>
  <c r="JD146" i="10"/>
  <c r="JD168" i="10"/>
  <c r="JH20" i="10"/>
  <c r="JH41" i="10"/>
  <c r="JH63" i="10"/>
  <c r="JH84" i="10"/>
  <c r="JH105" i="10"/>
  <c r="JH127" i="10"/>
  <c r="JH148" i="10"/>
  <c r="JH169" i="10"/>
  <c r="JL24" i="10"/>
  <c r="JL45" i="10"/>
  <c r="JL66" i="10"/>
  <c r="JL88" i="10"/>
  <c r="JL109" i="10"/>
  <c r="JL130" i="10"/>
  <c r="KV18" i="10"/>
  <c r="KV39" i="10"/>
  <c r="KV61" i="10"/>
  <c r="KV82" i="10"/>
  <c r="KV103" i="10"/>
  <c r="KV125" i="10"/>
  <c r="KV146" i="10"/>
  <c r="KV167" i="10"/>
  <c r="KZ20" i="10"/>
  <c r="KZ41" i="10"/>
  <c r="KZ62" i="10"/>
  <c r="KZ84" i="10"/>
  <c r="KZ105" i="10"/>
  <c r="KZ126" i="10"/>
  <c r="KZ148" i="10"/>
  <c r="CH44" i="9"/>
  <c r="CV16" i="18"/>
  <c r="CV9" i="18"/>
  <c r="CW9" i="18" s="1"/>
  <c r="CV4" i="18"/>
  <c r="CW4" i="18" s="1"/>
  <c r="CT49" i="17"/>
  <c r="CU49" i="17" s="1"/>
  <c r="CT39" i="17"/>
  <c r="CU39" i="17" s="1"/>
  <c r="CT35" i="17"/>
  <c r="CU35" i="17" s="1"/>
  <c r="CT29" i="17"/>
  <c r="CU29" i="17" s="1"/>
  <c r="CT23" i="17"/>
  <c r="CU23" i="17" s="1"/>
  <c r="CT16" i="17"/>
  <c r="CU16" i="17" s="1"/>
  <c r="CT10" i="17"/>
  <c r="CU10" i="17" s="1"/>
  <c r="CT5" i="17"/>
  <c r="CU5" i="17" s="1"/>
  <c r="CV14" i="18"/>
  <c r="CW14" i="18" s="1"/>
  <c r="CV8" i="18"/>
  <c r="CW8" i="18" s="1"/>
  <c r="CV5" i="18"/>
  <c r="CW5" i="18" s="1"/>
  <c r="CT47" i="17"/>
  <c r="CU47" i="17" s="1"/>
  <c r="CT37" i="17"/>
  <c r="CU37" i="17" s="1"/>
  <c r="CT30" i="17"/>
  <c r="CU30" i="17" s="1"/>
  <c r="CT21" i="17"/>
  <c r="CU21" i="17" s="1"/>
  <c r="CT13" i="17"/>
  <c r="CU13" i="17" s="1"/>
  <c r="CT7" i="17"/>
  <c r="CU7" i="17" s="1"/>
  <c r="CV13" i="18"/>
  <c r="CW13" i="18" s="1"/>
  <c r="CT46" i="17"/>
  <c r="CU46" i="17" s="1"/>
  <c r="CT36" i="17"/>
  <c r="CU36" i="17" s="1"/>
  <c r="CT28" i="17"/>
  <c r="CU28" i="17" s="1"/>
  <c r="CT19" i="17"/>
  <c r="CU19" i="17" s="1"/>
  <c r="CT12" i="17"/>
  <c r="CU12" i="17" s="1"/>
  <c r="CT40" i="17"/>
  <c r="CU40" i="17" s="1"/>
  <c r="CT27" i="17"/>
  <c r="CU27" i="17" s="1"/>
  <c r="CT9" i="17"/>
  <c r="CU9" i="17" s="1"/>
  <c r="CV10" i="18"/>
  <c r="CW10" i="18" s="1"/>
  <c r="CT38" i="17"/>
  <c r="CU38" i="17" s="1"/>
  <c r="CT25" i="17"/>
  <c r="CU25" i="17" s="1"/>
  <c r="CT8" i="17"/>
  <c r="CU8" i="17" s="1"/>
  <c r="CV12" i="18"/>
  <c r="CW12" i="18" s="1"/>
  <c r="CT18" i="17"/>
  <c r="CU18" i="17" s="1"/>
  <c r="CT33" i="17"/>
  <c r="CU33" i="17" s="1"/>
  <c r="CT34" i="17"/>
  <c r="CU34" i="17" s="1"/>
  <c r="CT14" i="17"/>
  <c r="CU14" i="17" s="1"/>
  <c r="CV7" i="18"/>
  <c r="CW7" i="18" s="1"/>
  <c r="CT50" i="17"/>
  <c r="CU50" i="17" s="1"/>
  <c r="LC47" i="13"/>
  <c r="LC29" i="13"/>
  <c r="LC18" i="13"/>
  <c r="BX12" i="12"/>
  <c r="BX8" i="12"/>
  <c r="BX7" i="12"/>
  <c r="BX5" i="12"/>
  <c r="CH48" i="9"/>
  <c r="CH43" i="9"/>
  <c r="CH38" i="9"/>
  <c r="CH34" i="9"/>
  <c r="CH29" i="9"/>
  <c r="CH25" i="9"/>
  <c r="CH19" i="9"/>
  <c r="CH15" i="9"/>
  <c r="CH10" i="9"/>
  <c r="CH6" i="9"/>
  <c r="LV170" i="10"/>
  <c r="LC40" i="13"/>
  <c r="LC34" i="13"/>
  <c r="LC31" i="13"/>
  <c r="LC49" i="13"/>
  <c r="LC38" i="13"/>
  <c r="LC35" i="13"/>
  <c r="LC14" i="13"/>
  <c r="LC10" i="13"/>
  <c r="BX16" i="12"/>
  <c r="BX9" i="12"/>
  <c r="CH46" i="9"/>
  <c r="CH39" i="9"/>
  <c r="CH33" i="9"/>
  <c r="CH27" i="9"/>
  <c r="CH21" i="9"/>
  <c r="CH14" i="9"/>
  <c r="CH8" i="9"/>
  <c r="LV169" i="10"/>
  <c r="LV165" i="10"/>
  <c r="LV160" i="10"/>
  <c r="LV156" i="10"/>
  <c r="LV151" i="10"/>
  <c r="LV147" i="10"/>
  <c r="LV143" i="10"/>
  <c r="LV139" i="10"/>
  <c r="LV135" i="10"/>
  <c r="LV131" i="10"/>
  <c r="LV127" i="10"/>
  <c r="LV123" i="10"/>
  <c r="LV119" i="10"/>
  <c r="LV115" i="10"/>
  <c r="LV111" i="10"/>
  <c r="LV107" i="10"/>
  <c r="LV103" i="10"/>
  <c r="LV99" i="10"/>
  <c r="LV95" i="10"/>
  <c r="LV91" i="10"/>
  <c r="LV87" i="10"/>
  <c r="LV83" i="10"/>
  <c r="LV79" i="10"/>
  <c r="LV75" i="10"/>
  <c r="LV71" i="10"/>
  <c r="LV67" i="10"/>
  <c r="LV63" i="10"/>
  <c r="LV59" i="10"/>
  <c r="LV53" i="10"/>
  <c r="LV49" i="10"/>
  <c r="LV45" i="10"/>
  <c r="LV41" i="10"/>
  <c r="LV37" i="10"/>
  <c r="LV33" i="10"/>
  <c r="LV29" i="10"/>
  <c r="LV25" i="10"/>
  <c r="LV21" i="10"/>
  <c r="LV17" i="10"/>
  <c r="LV13" i="10"/>
  <c r="LV8" i="10"/>
  <c r="LC39" i="13"/>
  <c r="LC30" i="13"/>
  <c r="LC23" i="13"/>
  <c r="LC19" i="13"/>
  <c r="LC7" i="13"/>
  <c r="BX14" i="12"/>
  <c r="CH51" i="9"/>
  <c r="CH45" i="9"/>
  <c r="CH37" i="9"/>
  <c r="CH31" i="9"/>
  <c r="CH26" i="9"/>
  <c r="CH18" i="9"/>
  <c r="CH12" i="9"/>
  <c r="CH7" i="9"/>
  <c r="LC25" i="13"/>
  <c r="LC13" i="13"/>
  <c r="LC9" i="13"/>
  <c r="BX13" i="12"/>
  <c r="CH47" i="9"/>
  <c r="CH35" i="9"/>
  <c r="CH22" i="9"/>
  <c r="CH9" i="9"/>
  <c r="LV171" i="10"/>
  <c r="LV164" i="10"/>
  <c r="LV158" i="10"/>
  <c r="LV152" i="10"/>
  <c r="LV146" i="10"/>
  <c r="LV141" i="10"/>
  <c r="LV136" i="10"/>
  <c r="LV130" i="10"/>
  <c r="LV125" i="10"/>
  <c r="LV120" i="10"/>
  <c r="LV114" i="10"/>
  <c r="LV109" i="10"/>
  <c r="LV104" i="10"/>
  <c r="LV98" i="10"/>
  <c r="LV93" i="10"/>
  <c r="LV88" i="10"/>
  <c r="LV82" i="10"/>
  <c r="LV77" i="10"/>
  <c r="LV72" i="10"/>
  <c r="LV66" i="10"/>
  <c r="LV61" i="10"/>
  <c r="LV54" i="10"/>
  <c r="LV48" i="10"/>
  <c r="LV43" i="10"/>
  <c r="LV38" i="10"/>
  <c r="LV32" i="10"/>
  <c r="LV27" i="10"/>
  <c r="LV22" i="10"/>
  <c r="LV16" i="10"/>
  <c r="LV10" i="10"/>
  <c r="LV5" i="10"/>
  <c r="CH36" i="9"/>
  <c r="CH11" i="9"/>
  <c r="LV172" i="10"/>
  <c r="LV159" i="10"/>
  <c r="LV148" i="10"/>
  <c r="LV137" i="10"/>
  <c r="LV126" i="10"/>
  <c r="LV116" i="10"/>
  <c r="LV105" i="10"/>
  <c r="LV94" i="10"/>
  <c r="LV84" i="10"/>
  <c r="LV73" i="10"/>
  <c r="LV62" i="10"/>
  <c r="LV50" i="10"/>
  <c r="LV39" i="10"/>
  <c r="LV28" i="10"/>
  <c r="LV18" i="10"/>
  <c r="LV6" i="10"/>
  <c r="LC37" i="13"/>
  <c r="LC36" i="13"/>
  <c r="LC5" i="13"/>
  <c r="CH41" i="9"/>
  <c r="CH30" i="9"/>
  <c r="CH17" i="9"/>
  <c r="CH5" i="9"/>
  <c r="LV168" i="10"/>
  <c r="LV163" i="10"/>
  <c r="LV157" i="10"/>
  <c r="LV150" i="10"/>
  <c r="LV145" i="10"/>
  <c r="LV140" i="10"/>
  <c r="LV134" i="10"/>
  <c r="LV129" i="10"/>
  <c r="LV124" i="10"/>
  <c r="LV118" i="10"/>
  <c r="LV113" i="10"/>
  <c r="LV108" i="10"/>
  <c r="LV102" i="10"/>
  <c r="LV97" i="10"/>
  <c r="LV92" i="10"/>
  <c r="LV86" i="10"/>
  <c r="LV81" i="10"/>
  <c r="LV76" i="10"/>
  <c r="LV70" i="10"/>
  <c r="LV65" i="10"/>
  <c r="LV60" i="10"/>
  <c r="LV52" i="10"/>
  <c r="LV47" i="10"/>
  <c r="LV42" i="10"/>
  <c r="LV36" i="10"/>
  <c r="LV31" i="10"/>
  <c r="LV26" i="10"/>
  <c r="LV20" i="10"/>
  <c r="LV15" i="10"/>
  <c r="LV9" i="10"/>
  <c r="LC21" i="13"/>
  <c r="LC16" i="13"/>
  <c r="LC12" i="13"/>
  <c r="BX10" i="12"/>
  <c r="CH40" i="9"/>
  <c r="CH28" i="9"/>
  <c r="CH16" i="9"/>
  <c r="CH4" i="9"/>
  <c r="LV173" i="10"/>
  <c r="LV167" i="10"/>
  <c r="LV162" i="10"/>
  <c r="LV155" i="10"/>
  <c r="LV149" i="10"/>
  <c r="LV144" i="10"/>
  <c r="LV138" i="10"/>
  <c r="LV133" i="10"/>
  <c r="LV128" i="10"/>
  <c r="LV122" i="10"/>
  <c r="LV117" i="10"/>
  <c r="LV112" i="10"/>
  <c r="LV106" i="10"/>
  <c r="LV101" i="10"/>
  <c r="LV96" i="10"/>
  <c r="LV90" i="10"/>
  <c r="LV85" i="10"/>
  <c r="LV80" i="10"/>
  <c r="LV74" i="10"/>
  <c r="LV69" i="10"/>
  <c r="LV64" i="10"/>
  <c r="LV57" i="10"/>
  <c r="LV51" i="10"/>
  <c r="LV46" i="10"/>
  <c r="LV40" i="10"/>
  <c r="LV35" i="10"/>
  <c r="LV30" i="10"/>
  <c r="LV24" i="10"/>
  <c r="LV19" i="10"/>
  <c r="LV14" i="10"/>
  <c r="LV7" i="10"/>
  <c r="BX4" i="12"/>
  <c r="CH49" i="9"/>
  <c r="CH24" i="9"/>
  <c r="LV166" i="10"/>
  <c r="LV153" i="10"/>
  <c r="LV142" i="10"/>
  <c r="LV132" i="10"/>
  <c r="LV121" i="10"/>
  <c r="LV110" i="10"/>
  <c r="LV100" i="10"/>
  <c r="LV89" i="10"/>
  <c r="LV78" i="10"/>
  <c r="LV68" i="10"/>
  <c r="LV55" i="10"/>
  <c r="LV44" i="10"/>
  <c r="LV34" i="10"/>
  <c r="LV23" i="10"/>
  <c r="LV12" i="10"/>
  <c r="BE44" i="9"/>
  <c r="BP16" i="18"/>
  <c r="BP9" i="18"/>
  <c r="BQ9" i="18" s="1"/>
  <c r="BP4" i="18"/>
  <c r="BQ4" i="18" s="1"/>
  <c r="BP14" i="18"/>
  <c r="BQ14" i="18" s="1"/>
  <c r="BP11" i="18"/>
  <c r="BQ11" i="18" s="1"/>
  <c r="BP8" i="18"/>
  <c r="BQ8" i="18" s="1"/>
  <c r="BP13" i="18"/>
  <c r="BQ13" i="18" s="1"/>
  <c r="BP10" i="18"/>
  <c r="BQ10" i="18" s="1"/>
  <c r="BP6" i="18"/>
  <c r="BQ6" i="18" s="1"/>
  <c r="BP5" i="18"/>
  <c r="BQ5" i="18" s="1"/>
  <c r="BP12" i="18"/>
  <c r="BQ12" i="18" s="1"/>
  <c r="IF49" i="13"/>
  <c r="IF46" i="13"/>
  <c r="IC41" i="13"/>
  <c r="HW40" i="13"/>
  <c r="IC39" i="13"/>
  <c r="HW38" i="13"/>
  <c r="IF37" i="13"/>
  <c r="IF36" i="13"/>
  <c r="HZ35" i="13"/>
  <c r="HZ34" i="13"/>
  <c r="HW31" i="13"/>
  <c r="IF30" i="13"/>
  <c r="HZ29" i="13"/>
  <c r="IF28" i="13"/>
  <c r="HW26" i="13"/>
  <c r="IC25" i="13"/>
  <c r="HW23" i="13"/>
  <c r="IF21" i="13"/>
  <c r="IC19" i="13"/>
  <c r="HZ18" i="13"/>
  <c r="HW16" i="13"/>
  <c r="IF14" i="13"/>
  <c r="IC13" i="13"/>
  <c r="HW12" i="13"/>
  <c r="IF10" i="13"/>
  <c r="IC9" i="13"/>
  <c r="II8" i="13"/>
  <c r="HW8" i="13"/>
  <c r="HZ7" i="13"/>
  <c r="AZ12" i="12"/>
  <c r="AZ5" i="12"/>
  <c r="BE48" i="9"/>
  <c r="BE43" i="9"/>
  <c r="BE39" i="9"/>
  <c r="BE35" i="9"/>
  <c r="BE31" i="9"/>
  <c r="BE27" i="9"/>
  <c r="BE23" i="9"/>
  <c r="BE18" i="9"/>
  <c r="BE14" i="9"/>
  <c r="BE10" i="9"/>
  <c r="BE6" i="9"/>
  <c r="IC47" i="13"/>
  <c r="II46" i="13"/>
  <c r="IF41" i="13"/>
  <c r="II39" i="13"/>
  <c r="HZ38" i="13"/>
  <c r="IC37" i="13"/>
  <c r="IC36" i="13"/>
  <c r="IF35" i="13"/>
  <c r="IC34" i="13"/>
  <c r="IC49" i="13"/>
  <c r="HZ47" i="13"/>
  <c r="IC46" i="13"/>
  <c r="HZ41" i="13"/>
  <c r="IF40" i="13"/>
  <c r="IF39" i="13"/>
  <c r="HZ37" i="13"/>
  <c r="HZ36" i="13"/>
  <c r="IC35" i="13"/>
  <c r="HW34" i="13"/>
  <c r="IF31" i="13"/>
  <c r="HW30" i="13"/>
  <c r="HW29" i="13"/>
  <c r="HW28" i="13"/>
  <c r="II25" i="13"/>
  <c r="HZ23" i="13"/>
  <c r="IC21" i="13"/>
  <c r="HW19" i="13"/>
  <c r="IC16" i="13"/>
  <c r="HW13" i="13"/>
  <c r="IC12" i="13"/>
  <c r="HZ9" i="13"/>
  <c r="HW7" i="13"/>
  <c r="AZ13" i="12"/>
  <c r="AZ11" i="12"/>
  <c r="AZ4" i="12"/>
  <c r="BE49" i="9"/>
  <c r="BE42" i="9"/>
  <c r="BE37" i="9"/>
  <c r="BE32" i="9"/>
  <c r="BE26" i="9"/>
  <c r="BE20" i="9"/>
  <c r="BE15" i="9"/>
  <c r="BE9" i="9"/>
  <c r="BE4" i="9"/>
  <c r="IV173" i="10"/>
  <c r="IV169" i="10"/>
  <c r="IV165" i="10"/>
  <c r="IV160" i="10"/>
  <c r="IV156" i="10"/>
  <c r="IV152" i="10"/>
  <c r="IV148" i="10"/>
  <c r="IV144" i="10"/>
  <c r="IV140" i="10"/>
  <c r="IV136" i="10"/>
  <c r="IV132" i="10"/>
  <c r="IV128" i="10"/>
  <c r="IV124" i="10"/>
  <c r="IV120" i="10"/>
  <c r="IV116" i="10"/>
  <c r="IV112" i="10"/>
  <c r="IV108" i="10"/>
  <c r="IV104" i="10"/>
  <c r="IV100" i="10"/>
  <c r="IV96" i="10"/>
  <c r="IV92" i="10"/>
  <c r="IV88" i="10"/>
  <c r="IV84" i="10"/>
  <c r="IV80" i="10"/>
  <c r="IV76" i="10"/>
  <c r="IV72" i="10"/>
  <c r="IV68" i="10"/>
  <c r="IV64" i="10"/>
  <c r="IV60" i="10"/>
  <c r="IV56" i="10"/>
  <c r="IV52" i="10"/>
  <c r="IV48" i="10"/>
  <c r="IV44" i="10"/>
  <c r="IV40" i="10"/>
  <c r="IV36" i="10"/>
  <c r="IV32" i="10"/>
  <c r="IV28" i="10"/>
  <c r="IV24" i="10"/>
  <c r="IV20" i="10"/>
  <c r="IV16" i="10"/>
  <c r="IV12" i="10"/>
  <c r="IV7" i="10"/>
  <c r="IR172" i="10"/>
  <c r="IR168" i="10"/>
  <c r="IR164" i="10"/>
  <c r="IR160" i="10"/>
  <c r="IR156" i="10"/>
  <c r="IR152" i="10"/>
  <c r="IR148" i="10"/>
  <c r="IR144" i="10"/>
  <c r="IR140" i="10"/>
  <c r="IR136" i="10"/>
  <c r="IR132" i="10"/>
  <c r="IR128" i="10"/>
  <c r="IR124" i="10"/>
  <c r="IR120" i="10"/>
  <c r="IR116" i="10"/>
  <c r="IR112" i="10"/>
  <c r="IR108" i="10"/>
  <c r="IR104" i="10"/>
  <c r="IR100" i="10"/>
  <c r="IR96" i="10"/>
  <c r="IR92" i="10"/>
  <c r="IR88" i="10"/>
  <c r="IR84" i="10"/>
  <c r="IR80" i="10"/>
  <c r="IR76" i="10"/>
  <c r="IR72" i="10"/>
  <c r="IR68" i="10"/>
  <c r="IR64" i="10"/>
  <c r="IR60" i="10"/>
  <c r="IR56" i="10"/>
  <c r="IR52" i="10"/>
  <c r="IR48" i="10"/>
  <c r="IR44" i="10"/>
  <c r="IR40" i="10"/>
  <c r="IR36" i="10"/>
  <c r="IR32" i="10"/>
  <c r="IR28" i="10"/>
  <c r="IR24" i="10"/>
  <c r="IR20" i="10"/>
  <c r="IR16" i="10"/>
  <c r="IR12" i="10"/>
  <c r="IR8" i="10"/>
  <c r="IN173" i="10"/>
  <c r="IN169" i="10"/>
  <c r="IN165" i="10"/>
  <c r="IN161" i="10"/>
  <c r="IN157" i="10"/>
  <c r="IN153" i="10"/>
  <c r="IN149" i="10"/>
  <c r="IN145" i="10"/>
  <c r="IN141" i="10"/>
  <c r="IN137" i="10"/>
  <c r="IN133" i="10"/>
  <c r="IN129" i="10"/>
  <c r="IN125" i="10"/>
  <c r="IN121" i="10"/>
  <c r="IN117" i="10"/>
  <c r="IN113" i="10"/>
  <c r="IN109" i="10"/>
  <c r="IN105" i="10"/>
  <c r="IN101" i="10"/>
  <c r="IN97" i="10"/>
  <c r="IN93" i="10"/>
  <c r="IN89" i="10"/>
  <c r="IN85" i="10"/>
  <c r="IN81" i="10"/>
  <c r="IN77" i="10"/>
  <c r="IN73" i="10"/>
  <c r="IN69" i="10"/>
  <c r="IN65" i="10"/>
  <c r="IN61" i="10"/>
  <c r="IN57" i="10"/>
  <c r="IN53" i="10"/>
  <c r="IN49" i="10"/>
  <c r="IN45" i="10"/>
  <c r="IN41" i="10"/>
  <c r="IN37" i="10"/>
  <c r="IN33" i="10"/>
  <c r="IN29" i="10"/>
  <c r="IN25" i="10"/>
  <c r="IN21" i="10"/>
  <c r="IN17" i="10"/>
  <c r="IN13" i="10"/>
  <c r="IN9" i="10"/>
  <c r="IN5" i="10"/>
  <c r="IJ170" i="10"/>
  <c r="IJ166" i="10"/>
  <c r="IJ162" i="10"/>
  <c r="IJ158" i="10"/>
  <c r="IJ154" i="10"/>
  <c r="IJ150" i="10"/>
  <c r="IJ146" i="10"/>
  <c r="IJ142" i="10"/>
  <c r="IJ138" i="10"/>
  <c r="IJ134" i="10"/>
  <c r="IJ130" i="10"/>
  <c r="IJ126" i="10"/>
  <c r="IJ122" i="10"/>
  <c r="IJ118" i="10"/>
  <c r="IJ114" i="10"/>
  <c r="IJ110" i="10"/>
  <c r="IJ106" i="10"/>
  <c r="IJ102" i="10"/>
  <c r="IJ98" i="10"/>
  <c r="IJ94" i="10"/>
  <c r="IJ90" i="10"/>
  <c r="IJ86" i="10"/>
  <c r="IJ82" i="10"/>
  <c r="IJ78" i="10"/>
  <c r="IJ74" i="10"/>
  <c r="IJ70" i="10"/>
  <c r="IJ66" i="10"/>
  <c r="IJ62" i="10"/>
  <c r="IJ58" i="10"/>
  <c r="IJ54" i="10"/>
  <c r="IJ50" i="10"/>
  <c r="IJ46" i="10"/>
  <c r="IJ42" i="10"/>
  <c r="IJ38" i="10"/>
  <c r="IJ34" i="10"/>
  <c r="IJ30" i="10"/>
  <c r="IJ26" i="10"/>
  <c r="IJ22" i="10"/>
  <c r="IJ18" i="10"/>
  <c r="IJ14" i="10"/>
  <c r="IJ10" i="10"/>
  <c r="IJ6" i="10"/>
  <c r="HZ49" i="13"/>
  <c r="HW47" i="13"/>
  <c r="HZ46" i="13"/>
  <c r="HW41" i="13"/>
  <c r="IC40" i="13"/>
  <c r="HZ39" i="13"/>
  <c r="IF38" i="13"/>
  <c r="HW37" i="13"/>
  <c r="HW36" i="13"/>
  <c r="HW35" i="13"/>
  <c r="IC31" i="13"/>
  <c r="II29" i="13"/>
  <c r="IF26" i="13"/>
  <c r="IF25" i="13"/>
  <c r="HZ21" i="13"/>
  <c r="IF18" i="13"/>
  <c r="HZ16" i="13"/>
  <c r="IC14" i="13"/>
  <c r="HZ12" i="13"/>
  <c r="IC10" i="13"/>
  <c r="HW9" i="13"/>
  <c r="IF8" i="13"/>
  <c r="IC5" i="13"/>
  <c r="AZ10" i="12"/>
  <c r="AZ8" i="12"/>
  <c r="II41" i="13"/>
  <c r="IC38" i="13"/>
  <c r="HZ30" i="13"/>
  <c r="IF29" i="13"/>
  <c r="IC26" i="13"/>
  <c r="IF19" i="13"/>
  <c r="IF16" i="13"/>
  <c r="HZ14" i="13"/>
  <c r="IF13" i="13"/>
  <c r="IF12" i="13"/>
  <c r="HZ10" i="13"/>
  <c r="HZ5" i="13"/>
  <c r="BE47" i="9"/>
  <c r="BE40" i="9"/>
  <c r="BE33" i="9"/>
  <c r="BE25" i="9"/>
  <c r="BE17" i="9"/>
  <c r="BE11" i="9"/>
  <c r="IV168" i="10"/>
  <c r="IV163" i="10"/>
  <c r="IV157" i="10"/>
  <c r="IV151" i="10"/>
  <c r="IV146" i="10"/>
  <c r="IV141" i="10"/>
  <c r="IV135" i="10"/>
  <c r="IV130" i="10"/>
  <c r="IV125" i="10"/>
  <c r="IV119" i="10"/>
  <c r="IV114" i="10"/>
  <c r="IV109" i="10"/>
  <c r="IV103" i="10"/>
  <c r="IV98" i="10"/>
  <c r="IV93" i="10"/>
  <c r="IV87" i="10"/>
  <c r="IV82" i="10"/>
  <c r="IV77" i="10"/>
  <c r="IV71" i="10"/>
  <c r="IV66" i="10"/>
  <c r="IV61" i="10"/>
  <c r="IV55" i="10"/>
  <c r="IV50" i="10"/>
  <c r="IV45" i="10"/>
  <c r="IV39" i="10"/>
  <c r="IV34" i="10"/>
  <c r="IV29" i="10"/>
  <c r="IV23" i="10"/>
  <c r="IV18" i="10"/>
  <c r="IV13" i="10"/>
  <c r="IV6" i="10"/>
  <c r="IR170" i="10"/>
  <c r="IR165" i="10"/>
  <c r="IR159" i="10"/>
  <c r="IR154" i="10"/>
  <c r="IR149" i="10"/>
  <c r="IR143" i="10"/>
  <c r="IR138" i="10"/>
  <c r="IR133" i="10"/>
  <c r="IR127" i="10"/>
  <c r="IR122" i="10"/>
  <c r="IR117" i="10"/>
  <c r="IR111" i="10"/>
  <c r="IR106" i="10"/>
  <c r="IR101" i="10"/>
  <c r="IR95" i="10"/>
  <c r="IR90" i="10"/>
  <c r="IR85" i="10"/>
  <c r="IR79" i="10"/>
  <c r="IR74" i="10"/>
  <c r="IR69" i="10"/>
  <c r="IR63" i="10"/>
  <c r="IR58" i="10"/>
  <c r="IR53" i="10"/>
  <c r="IR47" i="10"/>
  <c r="IR42" i="10"/>
  <c r="IR37" i="10"/>
  <c r="IR31" i="10"/>
  <c r="IR26" i="10"/>
  <c r="IR21" i="10"/>
  <c r="IR15" i="10"/>
  <c r="IR10" i="10"/>
  <c r="IR5" i="10"/>
  <c r="IN168" i="10"/>
  <c r="IN163" i="10"/>
  <c r="IN158" i="10"/>
  <c r="IN152" i="10"/>
  <c r="IN147" i="10"/>
  <c r="IN142" i="10"/>
  <c r="IN136" i="10"/>
  <c r="IN131" i="10"/>
  <c r="IN126" i="10"/>
  <c r="IN120" i="10"/>
  <c r="IN115" i="10"/>
  <c r="IN110" i="10"/>
  <c r="IN104" i="10"/>
  <c r="IN99" i="10"/>
  <c r="IN94" i="10"/>
  <c r="IN88" i="10"/>
  <c r="IN83" i="10"/>
  <c r="IN78" i="10"/>
  <c r="IN72" i="10"/>
  <c r="IN67" i="10"/>
  <c r="IN62" i="10"/>
  <c r="IN56" i="10"/>
  <c r="IN51" i="10"/>
  <c r="IN46" i="10"/>
  <c r="IN40" i="10"/>
  <c r="IN35" i="10"/>
  <c r="IN30" i="10"/>
  <c r="IN24" i="10"/>
  <c r="IN19" i="10"/>
  <c r="IN14" i="10"/>
  <c r="IN8" i="10"/>
  <c r="IJ172" i="10"/>
  <c r="IJ167" i="10"/>
  <c r="IJ161" i="10"/>
  <c r="IJ156" i="10"/>
  <c r="IJ151" i="10"/>
  <c r="IJ145" i="10"/>
  <c r="IJ140" i="10"/>
  <c r="IJ135" i="10"/>
  <c r="IJ129" i="10"/>
  <c r="IJ124" i="10"/>
  <c r="IJ119" i="10"/>
  <c r="IJ113" i="10"/>
  <c r="IJ108" i="10"/>
  <c r="IJ103" i="10"/>
  <c r="IJ97" i="10"/>
  <c r="IJ92" i="10"/>
  <c r="IJ87" i="10"/>
  <c r="IJ81" i="10"/>
  <c r="IJ76" i="10"/>
  <c r="IJ71" i="10"/>
  <c r="IJ65" i="10"/>
  <c r="IJ60" i="10"/>
  <c r="IJ55" i="10"/>
  <c r="IJ49" i="10"/>
  <c r="IJ44" i="10"/>
  <c r="IJ39" i="10"/>
  <c r="IJ33" i="10"/>
  <c r="IJ28" i="10"/>
  <c r="IJ23" i="10"/>
  <c r="IJ17" i="10"/>
  <c r="IJ12" i="10"/>
  <c r="IJ7" i="10"/>
  <c r="IJ159" i="10"/>
  <c r="IJ143" i="10"/>
  <c r="IJ132" i="10"/>
  <c r="IJ121" i="10"/>
  <c r="IJ111" i="10"/>
  <c r="IJ105" i="10"/>
  <c r="IJ95" i="10"/>
  <c r="IJ84" i="10"/>
  <c r="IJ73" i="10"/>
  <c r="IJ63" i="10"/>
  <c r="IJ52" i="10"/>
  <c r="IJ41" i="10"/>
  <c r="IJ31" i="10"/>
  <c r="IJ20" i="10"/>
  <c r="IJ9" i="10"/>
  <c r="HW46" i="13"/>
  <c r="IC30" i="13"/>
  <c r="HW25" i="13"/>
  <c r="BE51" i="9"/>
  <c r="BE34" i="9"/>
  <c r="BE19" i="9"/>
  <c r="BE5" i="9"/>
  <c r="HZ40" i="13"/>
  <c r="IF34" i="13"/>
  <c r="IC29" i="13"/>
  <c r="HZ26" i="13"/>
  <c r="HZ19" i="13"/>
  <c r="HW14" i="13"/>
  <c r="HZ13" i="13"/>
  <c r="HW10" i="13"/>
  <c r="IC8" i="13"/>
  <c r="IF7" i="13"/>
  <c r="HW5" i="13"/>
  <c r="AZ14" i="12"/>
  <c r="BE46" i="9"/>
  <c r="BE38" i="9"/>
  <c r="BE30" i="9"/>
  <c r="BE24" i="9"/>
  <c r="BE16" i="9"/>
  <c r="BE8" i="9"/>
  <c r="IV172" i="10"/>
  <c r="IV167" i="10"/>
  <c r="IV161" i="10"/>
  <c r="IV155" i="10"/>
  <c r="IV150" i="10"/>
  <c r="IV145" i="10"/>
  <c r="IV139" i="10"/>
  <c r="IV134" i="10"/>
  <c r="IV129" i="10"/>
  <c r="IV123" i="10"/>
  <c r="IV118" i="10"/>
  <c r="IV113" i="10"/>
  <c r="IV107" i="10"/>
  <c r="IV102" i="10"/>
  <c r="IV97" i="10"/>
  <c r="IV91" i="10"/>
  <c r="IV86" i="10"/>
  <c r="IV81" i="10"/>
  <c r="IV75" i="10"/>
  <c r="IV70" i="10"/>
  <c r="IV65" i="10"/>
  <c r="IV59" i="10"/>
  <c r="IV54" i="10"/>
  <c r="IV49" i="10"/>
  <c r="IV43" i="10"/>
  <c r="IV38" i="10"/>
  <c r="IV33" i="10"/>
  <c r="IV27" i="10"/>
  <c r="IV22" i="10"/>
  <c r="IV17" i="10"/>
  <c r="IV11" i="10"/>
  <c r="IV5" i="10"/>
  <c r="IR169" i="10"/>
  <c r="IR163" i="10"/>
  <c r="IR158" i="10"/>
  <c r="IR153" i="10"/>
  <c r="IR147" i="10"/>
  <c r="IR142" i="10"/>
  <c r="IR137" i="10"/>
  <c r="IR131" i="10"/>
  <c r="IR126" i="10"/>
  <c r="IR121" i="10"/>
  <c r="IR115" i="10"/>
  <c r="IR110" i="10"/>
  <c r="IR105" i="10"/>
  <c r="IR99" i="10"/>
  <c r="IR94" i="10"/>
  <c r="IR89" i="10"/>
  <c r="IR83" i="10"/>
  <c r="IR78" i="10"/>
  <c r="IR73" i="10"/>
  <c r="IR67" i="10"/>
  <c r="IR62" i="10"/>
  <c r="IR57" i="10"/>
  <c r="IR51" i="10"/>
  <c r="IR46" i="10"/>
  <c r="IR41" i="10"/>
  <c r="IR35" i="10"/>
  <c r="IR30" i="10"/>
  <c r="IR25" i="10"/>
  <c r="IR19" i="10"/>
  <c r="IR14" i="10"/>
  <c r="IR9" i="10"/>
  <c r="IN172" i="10"/>
  <c r="IN167" i="10"/>
  <c r="IN162" i="10"/>
  <c r="IN156" i="10"/>
  <c r="IN151" i="10"/>
  <c r="IN146" i="10"/>
  <c r="IN140" i="10"/>
  <c r="IN135" i="10"/>
  <c r="IN130" i="10"/>
  <c r="IN124" i="10"/>
  <c r="IN119" i="10"/>
  <c r="IN114" i="10"/>
  <c r="IN108" i="10"/>
  <c r="IN103" i="10"/>
  <c r="IN98" i="10"/>
  <c r="IN92" i="10"/>
  <c r="IN87" i="10"/>
  <c r="IN82" i="10"/>
  <c r="IN76" i="10"/>
  <c r="IN71" i="10"/>
  <c r="IN66" i="10"/>
  <c r="IN60" i="10"/>
  <c r="IN55" i="10"/>
  <c r="IN50" i="10"/>
  <c r="IN44" i="10"/>
  <c r="IN39" i="10"/>
  <c r="IN34" i="10"/>
  <c r="IN28" i="10"/>
  <c r="IN23" i="10"/>
  <c r="IN18" i="10"/>
  <c r="IN12" i="10"/>
  <c r="IN7" i="10"/>
  <c r="IJ171" i="10"/>
  <c r="IJ165" i="10"/>
  <c r="IJ160" i="10"/>
  <c r="IJ155" i="10"/>
  <c r="IJ149" i="10"/>
  <c r="IJ144" i="10"/>
  <c r="IJ139" i="10"/>
  <c r="IJ133" i="10"/>
  <c r="IJ128" i="10"/>
  <c r="IJ123" i="10"/>
  <c r="IJ117" i="10"/>
  <c r="IJ112" i="10"/>
  <c r="IJ107" i="10"/>
  <c r="IJ101" i="10"/>
  <c r="IJ96" i="10"/>
  <c r="IJ91" i="10"/>
  <c r="IJ85" i="10"/>
  <c r="IJ80" i="10"/>
  <c r="IJ75" i="10"/>
  <c r="IJ69" i="10"/>
  <c r="IJ64" i="10"/>
  <c r="IJ59" i="10"/>
  <c r="IJ53" i="10"/>
  <c r="IJ48" i="10"/>
  <c r="IJ43" i="10"/>
  <c r="IJ37" i="10"/>
  <c r="IJ32" i="10"/>
  <c r="IJ27" i="10"/>
  <c r="IJ21" i="10"/>
  <c r="IJ16" i="10"/>
  <c r="IJ11" i="10"/>
  <c r="IJ5" i="10"/>
  <c r="IC28" i="13"/>
  <c r="HZ25" i="13"/>
  <c r="IF23" i="13"/>
  <c r="IC18" i="13"/>
  <c r="IF9" i="13"/>
  <c r="HZ8" i="13"/>
  <c r="IC7" i="13"/>
  <c r="AZ16" i="12"/>
  <c r="AZ6" i="12"/>
  <c r="BE45" i="9"/>
  <c r="BE36" i="9"/>
  <c r="BE29" i="9"/>
  <c r="BE22" i="9"/>
  <c r="BE13" i="9"/>
  <c r="BE7" i="9"/>
  <c r="IV171" i="10"/>
  <c r="IV166" i="10"/>
  <c r="IV159" i="10"/>
  <c r="IV154" i="10"/>
  <c r="IV149" i="10"/>
  <c r="IV143" i="10"/>
  <c r="IV138" i="10"/>
  <c r="IV133" i="10"/>
  <c r="IV127" i="10"/>
  <c r="IV122" i="10"/>
  <c r="IV117" i="10"/>
  <c r="IV111" i="10"/>
  <c r="IV106" i="10"/>
  <c r="IV101" i="10"/>
  <c r="IV95" i="10"/>
  <c r="IV90" i="10"/>
  <c r="IV85" i="10"/>
  <c r="IV79" i="10"/>
  <c r="IV74" i="10"/>
  <c r="IV69" i="10"/>
  <c r="IV63" i="10"/>
  <c r="IV58" i="10"/>
  <c r="IV53" i="10"/>
  <c r="IV47" i="10"/>
  <c r="IV42" i="10"/>
  <c r="IV37" i="10"/>
  <c r="IV31" i="10"/>
  <c r="IV26" i="10"/>
  <c r="IV21" i="10"/>
  <c r="IV15" i="10"/>
  <c r="IV10" i="10"/>
  <c r="IR173" i="10"/>
  <c r="IR167" i="10"/>
  <c r="IR162" i="10"/>
  <c r="IR157" i="10"/>
  <c r="IR151" i="10"/>
  <c r="IR146" i="10"/>
  <c r="IR141" i="10"/>
  <c r="IR135" i="10"/>
  <c r="IR130" i="10"/>
  <c r="IR125" i="10"/>
  <c r="IR119" i="10"/>
  <c r="IR114" i="10"/>
  <c r="IR109" i="10"/>
  <c r="IR103" i="10"/>
  <c r="IR98" i="10"/>
  <c r="IR93" i="10"/>
  <c r="IR87" i="10"/>
  <c r="IR82" i="10"/>
  <c r="IR77" i="10"/>
  <c r="IR71" i="10"/>
  <c r="IR66" i="10"/>
  <c r="IR61" i="10"/>
  <c r="IR55" i="10"/>
  <c r="IR50" i="10"/>
  <c r="IR45" i="10"/>
  <c r="IR39" i="10"/>
  <c r="IR34" i="10"/>
  <c r="IR29" i="10"/>
  <c r="IR23" i="10"/>
  <c r="IR18" i="10"/>
  <c r="IR13" i="10"/>
  <c r="IR7" i="10"/>
  <c r="IN171" i="10"/>
  <c r="IN166" i="10"/>
  <c r="IN160" i="10"/>
  <c r="IN155" i="10"/>
  <c r="IN150" i="10"/>
  <c r="IN144" i="10"/>
  <c r="IN139" i="10"/>
  <c r="IN134" i="10"/>
  <c r="IN128" i="10"/>
  <c r="IN123" i="10"/>
  <c r="IN118" i="10"/>
  <c r="IN112" i="10"/>
  <c r="IN107" i="10"/>
  <c r="IN102" i="10"/>
  <c r="IN96" i="10"/>
  <c r="IN91" i="10"/>
  <c r="IN86" i="10"/>
  <c r="IN80" i="10"/>
  <c r="IN75" i="10"/>
  <c r="IN70" i="10"/>
  <c r="IN64" i="10"/>
  <c r="IN59" i="10"/>
  <c r="IN54" i="10"/>
  <c r="IN48" i="10"/>
  <c r="IN43" i="10"/>
  <c r="IN38" i="10"/>
  <c r="IN32" i="10"/>
  <c r="IN27" i="10"/>
  <c r="IN22" i="10"/>
  <c r="IN16" i="10"/>
  <c r="IN11" i="10"/>
  <c r="IN6" i="10"/>
  <c r="IJ169" i="10"/>
  <c r="IJ164" i="10"/>
  <c r="IJ153" i="10"/>
  <c r="IJ148" i="10"/>
  <c r="IJ137" i="10"/>
  <c r="IJ127" i="10"/>
  <c r="IJ116" i="10"/>
  <c r="IJ100" i="10"/>
  <c r="IJ89" i="10"/>
  <c r="IJ79" i="10"/>
  <c r="IJ68" i="10"/>
  <c r="IJ57" i="10"/>
  <c r="IJ47" i="10"/>
  <c r="IJ36" i="10"/>
  <c r="IJ25" i="10"/>
  <c r="IJ15" i="10"/>
  <c r="HW49" i="13"/>
  <c r="HW39" i="13"/>
  <c r="II35" i="13"/>
  <c r="HZ31" i="13"/>
  <c r="HZ28" i="13"/>
  <c r="IC23" i="13"/>
  <c r="HW21" i="13"/>
  <c r="HW18" i="13"/>
  <c r="AZ9" i="12"/>
  <c r="BE41" i="9"/>
  <c r="BE28" i="9"/>
  <c r="BE12" i="9"/>
  <c r="BI44" i="9"/>
  <c r="BT14" i="18"/>
  <c r="BU14" i="18" s="1"/>
  <c r="BT6" i="18"/>
  <c r="BU6" i="18" s="1"/>
  <c r="BT13" i="18"/>
  <c r="BU13" i="18" s="1"/>
  <c r="BT16" i="18"/>
  <c r="BT10" i="18"/>
  <c r="BU10" i="18" s="1"/>
  <c r="BT4" i="18"/>
  <c r="BU4" i="18" s="1"/>
  <c r="BT9" i="18"/>
  <c r="BU9" i="18" s="1"/>
  <c r="BT5" i="18"/>
  <c r="BU5" i="18" s="1"/>
  <c r="BT12" i="18"/>
  <c r="BU12" i="18" s="1"/>
  <c r="BT11" i="18"/>
  <c r="BU11" i="18" s="1"/>
  <c r="BT8" i="18"/>
  <c r="BU8" i="18" s="1"/>
  <c r="IR49" i="13"/>
  <c r="IR47" i="13"/>
  <c r="IR46" i="13"/>
  <c r="IO41" i="13"/>
  <c r="IR40" i="13"/>
  <c r="IO39" i="13"/>
  <c r="IR38" i="13"/>
  <c r="IO37" i="13"/>
  <c r="IO36" i="13"/>
  <c r="IX35" i="13"/>
  <c r="IL35" i="13"/>
  <c r="IU34" i="13"/>
  <c r="IR31" i="13"/>
  <c r="IO30" i="13"/>
  <c r="IX29" i="13"/>
  <c r="IL29" i="13"/>
  <c r="IO28" i="13"/>
  <c r="IR26" i="13"/>
  <c r="IO25" i="13"/>
  <c r="IR23" i="13"/>
  <c r="IO21" i="13"/>
  <c r="IL19" i="13"/>
  <c r="IU18" i="13"/>
  <c r="IR16" i="13"/>
  <c r="IO14" i="13"/>
  <c r="IX13" i="13"/>
  <c r="IL13" i="13"/>
  <c r="IR12" i="13"/>
  <c r="IO10" i="13"/>
  <c r="IL9" i="13"/>
  <c r="IU8" i="13"/>
  <c r="IR5" i="13"/>
  <c r="BC16" i="12"/>
  <c r="BC11" i="12"/>
  <c r="BC4" i="12"/>
  <c r="BI47" i="9"/>
  <c r="BI42" i="9"/>
  <c r="BI38" i="9"/>
  <c r="BI34" i="9"/>
  <c r="BI30" i="9"/>
  <c r="BI26" i="9"/>
  <c r="BI22" i="9"/>
  <c r="BI17" i="9"/>
  <c r="BI13" i="9"/>
  <c r="BI9" i="9"/>
  <c r="BI5" i="9"/>
  <c r="IO47" i="13"/>
  <c r="IX46" i="13"/>
  <c r="IU41" i="13"/>
  <c r="IU40" i="13"/>
  <c r="IX39" i="13"/>
  <c r="IR37" i="13"/>
  <c r="IR36" i="13"/>
  <c r="IU35" i="13"/>
  <c r="IL34" i="13"/>
  <c r="IU31" i="13"/>
  <c r="IU49" i="13"/>
  <c r="IL47" i="13"/>
  <c r="IU46" i="13"/>
  <c r="IR41" i="13"/>
  <c r="IO40" i="13"/>
  <c r="IU39" i="13"/>
  <c r="IU38" i="13"/>
  <c r="IL37" i="13"/>
  <c r="IL36" i="13"/>
  <c r="IR35" i="13"/>
  <c r="IX34" i="13"/>
  <c r="IO31" i="13"/>
  <c r="IO29" i="13"/>
  <c r="IU26" i="13"/>
  <c r="IX25" i="13"/>
  <c r="IR21" i="13"/>
  <c r="IR18" i="13"/>
  <c r="IL16" i="13"/>
  <c r="IU14" i="13"/>
  <c r="IL12" i="13"/>
  <c r="IU10" i="13"/>
  <c r="IO9" i="13"/>
  <c r="IL8" i="13"/>
  <c r="BC12" i="12"/>
  <c r="BC10" i="12"/>
  <c r="BC8" i="12"/>
  <c r="BI46" i="9"/>
  <c r="BI40" i="9"/>
  <c r="BI35" i="9"/>
  <c r="BI29" i="9"/>
  <c r="BI24" i="9"/>
  <c r="BI18" i="9"/>
  <c r="BI12" i="9"/>
  <c r="BI7" i="9"/>
  <c r="JL172" i="10"/>
  <c r="JL168" i="10"/>
  <c r="JL164" i="10"/>
  <c r="JL159" i="10"/>
  <c r="JL155" i="10"/>
  <c r="JL151" i="10"/>
  <c r="JL147" i="10"/>
  <c r="JL143" i="10"/>
  <c r="JL139" i="10"/>
  <c r="JL135" i="10"/>
  <c r="JL131" i="10"/>
  <c r="JL127" i="10"/>
  <c r="JL123" i="10"/>
  <c r="JL119" i="10"/>
  <c r="JL115" i="10"/>
  <c r="JL111" i="10"/>
  <c r="JL107" i="10"/>
  <c r="JL103" i="10"/>
  <c r="JL99" i="10"/>
  <c r="JL95" i="10"/>
  <c r="JL91" i="10"/>
  <c r="JL87" i="10"/>
  <c r="JL83" i="10"/>
  <c r="JL79" i="10"/>
  <c r="JL75" i="10"/>
  <c r="JL71" i="10"/>
  <c r="JL67" i="10"/>
  <c r="JL63" i="10"/>
  <c r="JL59" i="10"/>
  <c r="JL55" i="10"/>
  <c r="JL51" i="10"/>
  <c r="JL47" i="10"/>
  <c r="JL43" i="10"/>
  <c r="JL39" i="10"/>
  <c r="JL35" i="10"/>
  <c r="JL31" i="10"/>
  <c r="JL27" i="10"/>
  <c r="JL23" i="10"/>
  <c r="JL19" i="10"/>
  <c r="JL15" i="10"/>
  <c r="JL11" i="10"/>
  <c r="JL5" i="10"/>
  <c r="JH170" i="10"/>
  <c r="JH166" i="10"/>
  <c r="JH162" i="10"/>
  <c r="JH158" i="10"/>
  <c r="JH154" i="10"/>
  <c r="JH150" i="10"/>
  <c r="JH146" i="10"/>
  <c r="JH142" i="10"/>
  <c r="JH138" i="10"/>
  <c r="JH134" i="10"/>
  <c r="JH130" i="10"/>
  <c r="JH126" i="10"/>
  <c r="JH122" i="10"/>
  <c r="JH118" i="10"/>
  <c r="JH114" i="10"/>
  <c r="JH110" i="10"/>
  <c r="JH106" i="10"/>
  <c r="JH102" i="10"/>
  <c r="JH98" i="10"/>
  <c r="JH94" i="10"/>
  <c r="JH90" i="10"/>
  <c r="JH86" i="10"/>
  <c r="JH82" i="10"/>
  <c r="JH78" i="10"/>
  <c r="JH74" i="10"/>
  <c r="JH70" i="10"/>
  <c r="JH66" i="10"/>
  <c r="JH62" i="10"/>
  <c r="JH58" i="10"/>
  <c r="JH54" i="10"/>
  <c r="JH50" i="10"/>
  <c r="JH46" i="10"/>
  <c r="JH42" i="10"/>
  <c r="JH38" i="10"/>
  <c r="JH34" i="10"/>
  <c r="JH30" i="10"/>
  <c r="JH26" i="10"/>
  <c r="JH22" i="10"/>
  <c r="JH18" i="10"/>
  <c r="JH14" i="10"/>
  <c r="JH10" i="10"/>
  <c r="JH6" i="10"/>
  <c r="JD171" i="10"/>
  <c r="JD167" i="10"/>
  <c r="JD163" i="10"/>
  <c r="JD159" i="10"/>
  <c r="JD155" i="10"/>
  <c r="JD151" i="10"/>
  <c r="JD147" i="10"/>
  <c r="JD143" i="10"/>
  <c r="JD139" i="10"/>
  <c r="JD135" i="10"/>
  <c r="JD131" i="10"/>
  <c r="JD127" i="10"/>
  <c r="JD123" i="10"/>
  <c r="JD119" i="10"/>
  <c r="JD115" i="10"/>
  <c r="JD111" i="10"/>
  <c r="JD107" i="10"/>
  <c r="JD103" i="10"/>
  <c r="JD99" i="10"/>
  <c r="JD95" i="10"/>
  <c r="JD91" i="10"/>
  <c r="JD87" i="10"/>
  <c r="JD83" i="10"/>
  <c r="JD79" i="10"/>
  <c r="JD75" i="10"/>
  <c r="JD71" i="10"/>
  <c r="JD67" i="10"/>
  <c r="JD63" i="10"/>
  <c r="JD59" i="10"/>
  <c r="JD55" i="10"/>
  <c r="JD51" i="10"/>
  <c r="JD47" i="10"/>
  <c r="JD43" i="10"/>
  <c r="JD39" i="10"/>
  <c r="JD35" i="10"/>
  <c r="JD31" i="10"/>
  <c r="JD27" i="10"/>
  <c r="JD23" i="10"/>
  <c r="JD19" i="10"/>
  <c r="JD15" i="10"/>
  <c r="JD11" i="10"/>
  <c r="JD7" i="10"/>
  <c r="IZ172" i="10"/>
  <c r="IZ168" i="10"/>
  <c r="IZ164" i="10"/>
  <c r="IZ160" i="10"/>
  <c r="IZ156" i="10"/>
  <c r="IZ152" i="10"/>
  <c r="IZ148" i="10"/>
  <c r="IZ144" i="10"/>
  <c r="IZ140" i="10"/>
  <c r="IZ136" i="10"/>
  <c r="IZ132" i="10"/>
  <c r="IZ128" i="10"/>
  <c r="IZ124" i="10"/>
  <c r="IZ120" i="10"/>
  <c r="IZ116" i="10"/>
  <c r="IZ112" i="10"/>
  <c r="IZ108" i="10"/>
  <c r="IZ104" i="10"/>
  <c r="IZ100" i="10"/>
  <c r="IZ96" i="10"/>
  <c r="IZ92" i="10"/>
  <c r="IZ88" i="10"/>
  <c r="IZ84" i="10"/>
  <c r="IZ80" i="10"/>
  <c r="IZ76" i="10"/>
  <c r="IZ72" i="10"/>
  <c r="IZ68" i="10"/>
  <c r="IZ64" i="10"/>
  <c r="IZ60" i="10"/>
  <c r="IZ56" i="10"/>
  <c r="IZ52" i="10"/>
  <c r="IZ48" i="10"/>
  <c r="IZ44" i="10"/>
  <c r="IZ40" i="10"/>
  <c r="IZ36" i="10"/>
  <c r="IZ32" i="10"/>
  <c r="IZ28" i="10"/>
  <c r="IZ24" i="10"/>
  <c r="IZ20" i="10"/>
  <c r="IZ16" i="10"/>
  <c r="IZ12" i="10"/>
  <c r="IZ8" i="10"/>
  <c r="IO49" i="13"/>
  <c r="IO46" i="13"/>
  <c r="IL41" i="13"/>
  <c r="IL40" i="13"/>
  <c r="IR39" i="13"/>
  <c r="IO38" i="13"/>
  <c r="IO35" i="13"/>
  <c r="IR34" i="13"/>
  <c r="IL31" i="13"/>
  <c r="IU30" i="13"/>
  <c r="IU28" i="13"/>
  <c r="IO26" i="13"/>
  <c r="IU25" i="13"/>
  <c r="IU23" i="13"/>
  <c r="IL21" i="13"/>
  <c r="IU19" i="13"/>
  <c r="IO18" i="13"/>
  <c r="IR14" i="13"/>
  <c r="IU13" i="13"/>
  <c r="IR10" i="13"/>
  <c r="IX8" i="13"/>
  <c r="IR7" i="13"/>
  <c r="IO5" i="13"/>
  <c r="BC9" i="12"/>
  <c r="IU37" i="13"/>
  <c r="IU36" i="13"/>
  <c r="IL30" i="13"/>
  <c r="IR25" i="13"/>
  <c r="IU21" i="13"/>
  <c r="IR19" i="13"/>
  <c r="IU16" i="13"/>
  <c r="IR13" i="13"/>
  <c r="IU12" i="13"/>
  <c r="IO8" i="13"/>
  <c r="BC14" i="12"/>
  <c r="BC5" i="12"/>
  <c r="BI45" i="9"/>
  <c r="BI37" i="9"/>
  <c r="BI31" i="9"/>
  <c r="BI23" i="9"/>
  <c r="BI15" i="9"/>
  <c r="BI8" i="9"/>
  <c r="JL173" i="10"/>
  <c r="JL167" i="10"/>
  <c r="JL161" i="10"/>
  <c r="JL156" i="10"/>
  <c r="JL150" i="10"/>
  <c r="JL145" i="10"/>
  <c r="JL140" i="10"/>
  <c r="JL134" i="10"/>
  <c r="JL129" i="10"/>
  <c r="JL124" i="10"/>
  <c r="JL118" i="10"/>
  <c r="JL113" i="10"/>
  <c r="JL108" i="10"/>
  <c r="JL102" i="10"/>
  <c r="JL97" i="10"/>
  <c r="JL92" i="10"/>
  <c r="JL86" i="10"/>
  <c r="JL81" i="10"/>
  <c r="JL76" i="10"/>
  <c r="JL70" i="10"/>
  <c r="JL65" i="10"/>
  <c r="JL60" i="10"/>
  <c r="JL54" i="10"/>
  <c r="JL49" i="10"/>
  <c r="JL44" i="10"/>
  <c r="JL38" i="10"/>
  <c r="JL33" i="10"/>
  <c r="JL28" i="10"/>
  <c r="JL22" i="10"/>
  <c r="JL17" i="10"/>
  <c r="JL12" i="10"/>
  <c r="JH173" i="10"/>
  <c r="JH168" i="10"/>
  <c r="JH163" i="10"/>
  <c r="JH157" i="10"/>
  <c r="JH152" i="10"/>
  <c r="JH147" i="10"/>
  <c r="JH141" i="10"/>
  <c r="JH136" i="10"/>
  <c r="JH131" i="10"/>
  <c r="JH125" i="10"/>
  <c r="JH120" i="10"/>
  <c r="JH115" i="10"/>
  <c r="JH109" i="10"/>
  <c r="JH104" i="10"/>
  <c r="JH99" i="10"/>
  <c r="JH93" i="10"/>
  <c r="JH88" i="10"/>
  <c r="JH83" i="10"/>
  <c r="JH77" i="10"/>
  <c r="JH72" i="10"/>
  <c r="JH67" i="10"/>
  <c r="JH61" i="10"/>
  <c r="JH56" i="10"/>
  <c r="JH51" i="10"/>
  <c r="JH45" i="10"/>
  <c r="JH40" i="10"/>
  <c r="JH35" i="10"/>
  <c r="JH29" i="10"/>
  <c r="JH24" i="10"/>
  <c r="JH19" i="10"/>
  <c r="JH13" i="10"/>
  <c r="JH8" i="10"/>
  <c r="JD172" i="10"/>
  <c r="JD166" i="10"/>
  <c r="JD161" i="10"/>
  <c r="JD156" i="10"/>
  <c r="JD150" i="10"/>
  <c r="JD145" i="10"/>
  <c r="JD140" i="10"/>
  <c r="JD134" i="10"/>
  <c r="JD129" i="10"/>
  <c r="JD124" i="10"/>
  <c r="JD118" i="10"/>
  <c r="JD113" i="10"/>
  <c r="JD108" i="10"/>
  <c r="JD102" i="10"/>
  <c r="JD97" i="10"/>
  <c r="JD92" i="10"/>
  <c r="JD86" i="10"/>
  <c r="JD81" i="10"/>
  <c r="JD76" i="10"/>
  <c r="JD70" i="10"/>
  <c r="JD65" i="10"/>
  <c r="JD60" i="10"/>
  <c r="JD54" i="10"/>
  <c r="JD49" i="10"/>
  <c r="JD44" i="10"/>
  <c r="JD38" i="10"/>
  <c r="JD33" i="10"/>
  <c r="JD28" i="10"/>
  <c r="JD22" i="10"/>
  <c r="JD17" i="10"/>
  <c r="JD12" i="10"/>
  <c r="JD6" i="10"/>
  <c r="IZ170" i="10"/>
  <c r="IZ165" i="10"/>
  <c r="IZ159" i="10"/>
  <c r="IZ154" i="10"/>
  <c r="IZ149" i="10"/>
  <c r="IZ143" i="10"/>
  <c r="IZ138" i="10"/>
  <c r="IZ133" i="10"/>
  <c r="IZ127" i="10"/>
  <c r="IZ122" i="10"/>
  <c r="IZ117" i="10"/>
  <c r="IZ111" i="10"/>
  <c r="IZ106" i="10"/>
  <c r="IZ101" i="10"/>
  <c r="IZ95" i="10"/>
  <c r="IZ90" i="10"/>
  <c r="IZ85" i="10"/>
  <c r="IZ79" i="10"/>
  <c r="IZ74" i="10"/>
  <c r="IZ69" i="10"/>
  <c r="IZ63" i="10"/>
  <c r="IZ58" i="10"/>
  <c r="IZ53" i="10"/>
  <c r="IZ47" i="10"/>
  <c r="IZ42" i="10"/>
  <c r="IZ37" i="10"/>
  <c r="IZ31" i="10"/>
  <c r="IZ26" i="10"/>
  <c r="IZ21" i="10"/>
  <c r="IZ15" i="10"/>
  <c r="IZ10" i="10"/>
  <c r="IZ5" i="10"/>
  <c r="JL170" i="10"/>
  <c r="JL158" i="10"/>
  <c r="JL148" i="10"/>
  <c r="JL142" i="10"/>
  <c r="JL132" i="10"/>
  <c r="JL116" i="10"/>
  <c r="JL105" i="10"/>
  <c r="JL94" i="10"/>
  <c r="JL84" i="10"/>
  <c r="JL73" i="10"/>
  <c r="JL62" i="10"/>
  <c r="JL52" i="10"/>
  <c r="JL41" i="10"/>
  <c r="JL30" i="10"/>
  <c r="JL20" i="10"/>
  <c r="JL7" i="10"/>
  <c r="JH171" i="10"/>
  <c r="JH155" i="10"/>
  <c r="JH144" i="10"/>
  <c r="JH133" i="10"/>
  <c r="JH128" i="10"/>
  <c r="JH117" i="10"/>
  <c r="JH107" i="10"/>
  <c r="JH96" i="10"/>
  <c r="JH85" i="10"/>
  <c r="JH75" i="10"/>
  <c r="JH64" i="10"/>
  <c r="JH53" i="10"/>
  <c r="JH43" i="10"/>
  <c r="JH32" i="10"/>
  <c r="JH21" i="10"/>
  <c r="JH11" i="10"/>
  <c r="JH5" i="10"/>
  <c r="JD158" i="10"/>
  <c r="JD148" i="10"/>
  <c r="JD132" i="10"/>
  <c r="JD121" i="10"/>
  <c r="JD105" i="10"/>
  <c r="JD94" i="10"/>
  <c r="JD78" i="10"/>
  <c r="JD68" i="10"/>
  <c r="JD57" i="10"/>
  <c r="JD46" i="10"/>
  <c r="IL28" i="13"/>
  <c r="BI48" i="9"/>
  <c r="BI32" i="9"/>
  <c r="BI16" i="9"/>
  <c r="IL49" i="13"/>
  <c r="IL38" i="13"/>
  <c r="IL26" i="13"/>
  <c r="IL25" i="13"/>
  <c r="IO19" i="13"/>
  <c r="IO16" i="13"/>
  <c r="IL14" i="13"/>
  <c r="IO13" i="13"/>
  <c r="IO12" i="13"/>
  <c r="IL10" i="13"/>
  <c r="IO7" i="13"/>
  <c r="IL5" i="13"/>
  <c r="BC6" i="12"/>
  <c r="BI51" i="9"/>
  <c r="BI43" i="9"/>
  <c r="BI36" i="9"/>
  <c r="BI28" i="9"/>
  <c r="BI20" i="9"/>
  <c r="BI14" i="9"/>
  <c r="BI6" i="9"/>
  <c r="JL171" i="10"/>
  <c r="JL166" i="10"/>
  <c r="JL160" i="10"/>
  <c r="JL154" i="10"/>
  <c r="JL149" i="10"/>
  <c r="JL144" i="10"/>
  <c r="JL138" i="10"/>
  <c r="JL133" i="10"/>
  <c r="JL128" i="10"/>
  <c r="JL122" i="10"/>
  <c r="JL117" i="10"/>
  <c r="JL112" i="10"/>
  <c r="JL106" i="10"/>
  <c r="JL101" i="10"/>
  <c r="JL96" i="10"/>
  <c r="JL90" i="10"/>
  <c r="JL85" i="10"/>
  <c r="JL80" i="10"/>
  <c r="JL74" i="10"/>
  <c r="JL69" i="10"/>
  <c r="JL64" i="10"/>
  <c r="JL58" i="10"/>
  <c r="JL53" i="10"/>
  <c r="JL48" i="10"/>
  <c r="JL42" i="10"/>
  <c r="JL37" i="10"/>
  <c r="JL32" i="10"/>
  <c r="JL26" i="10"/>
  <c r="JL21" i="10"/>
  <c r="JL16" i="10"/>
  <c r="JL8" i="10"/>
  <c r="JH172" i="10"/>
  <c r="JH167" i="10"/>
  <c r="JH161" i="10"/>
  <c r="JH156" i="10"/>
  <c r="JH151" i="10"/>
  <c r="JH145" i="10"/>
  <c r="JH140" i="10"/>
  <c r="JH135" i="10"/>
  <c r="JH129" i="10"/>
  <c r="JH124" i="10"/>
  <c r="JH119" i="10"/>
  <c r="JH113" i="10"/>
  <c r="JH108" i="10"/>
  <c r="JH103" i="10"/>
  <c r="JH97" i="10"/>
  <c r="JH92" i="10"/>
  <c r="JH87" i="10"/>
  <c r="JH81" i="10"/>
  <c r="JH76" i="10"/>
  <c r="JH71" i="10"/>
  <c r="JH65" i="10"/>
  <c r="JH60" i="10"/>
  <c r="JH55" i="10"/>
  <c r="JH49" i="10"/>
  <c r="JH44" i="10"/>
  <c r="JH39" i="10"/>
  <c r="JH33" i="10"/>
  <c r="JH28" i="10"/>
  <c r="JH23" i="10"/>
  <c r="JH17" i="10"/>
  <c r="JH12" i="10"/>
  <c r="JH7" i="10"/>
  <c r="JD170" i="10"/>
  <c r="JD165" i="10"/>
  <c r="JD160" i="10"/>
  <c r="JD154" i="10"/>
  <c r="JD149" i="10"/>
  <c r="JD144" i="10"/>
  <c r="JD138" i="10"/>
  <c r="JD133" i="10"/>
  <c r="JD128" i="10"/>
  <c r="JD122" i="10"/>
  <c r="JD117" i="10"/>
  <c r="JD112" i="10"/>
  <c r="JD106" i="10"/>
  <c r="JD101" i="10"/>
  <c r="JD96" i="10"/>
  <c r="JD90" i="10"/>
  <c r="JD85" i="10"/>
  <c r="JD80" i="10"/>
  <c r="JD74" i="10"/>
  <c r="JD69" i="10"/>
  <c r="JD64" i="10"/>
  <c r="JD58" i="10"/>
  <c r="JD53" i="10"/>
  <c r="JD48" i="10"/>
  <c r="JD42" i="10"/>
  <c r="JD37" i="10"/>
  <c r="JD32" i="10"/>
  <c r="JD26" i="10"/>
  <c r="JD21" i="10"/>
  <c r="JD16" i="10"/>
  <c r="JD10" i="10"/>
  <c r="JD5" i="10"/>
  <c r="IZ169" i="10"/>
  <c r="IZ163" i="10"/>
  <c r="IZ158" i="10"/>
  <c r="IZ153" i="10"/>
  <c r="IZ147" i="10"/>
  <c r="IZ142" i="10"/>
  <c r="IZ137" i="10"/>
  <c r="IZ131" i="10"/>
  <c r="IZ126" i="10"/>
  <c r="IZ121" i="10"/>
  <c r="IZ115" i="10"/>
  <c r="IZ110" i="10"/>
  <c r="IZ105" i="10"/>
  <c r="IZ99" i="10"/>
  <c r="IZ94" i="10"/>
  <c r="IZ89" i="10"/>
  <c r="IZ83" i="10"/>
  <c r="IZ78" i="10"/>
  <c r="IZ73" i="10"/>
  <c r="IZ67" i="10"/>
  <c r="IZ62" i="10"/>
  <c r="IZ57" i="10"/>
  <c r="IZ51" i="10"/>
  <c r="IZ46" i="10"/>
  <c r="IZ41" i="10"/>
  <c r="IZ35" i="10"/>
  <c r="IZ30" i="10"/>
  <c r="IZ25" i="10"/>
  <c r="IZ19" i="10"/>
  <c r="IZ14" i="10"/>
  <c r="IZ9" i="10"/>
  <c r="IL46" i="13"/>
  <c r="IL39" i="13"/>
  <c r="IO34" i="13"/>
  <c r="IU29" i="13"/>
  <c r="IR28" i="13"/>
  <c r="IO23" i="13"/>
  <c r="IU9" i="13"/>
  <c r="IL7" i="13"/>
  <c r="BI49" i="9"/>
  <c r="BI41" i="9"/>
  <c r="BI33" i="9"/>
  <c r="BI27" i="9"/>
  <c r="BI19" i="9"/>
  <c r="BI11" i="9"/>
  <c r="BI4" i="9"/>
  <c r="JL165" i="10"/>
  <c r="JL153" i="10"/>
  <c r="JL137" i="10"/>
  <c r="JL126" i="10"/>
  <c r="JL121" i="10"/>
  <c r="JL110" i="10"/>
  <c r="JL100" i="10"/>
  <c r="JL89" i="10"/>
  <c r="JL78" i="10"/>
  <c r="JL68" i="10"/>
  <c r="JL57" i="10"/>
  <c r="JL46" i="10"/>
  <c r="JL36" i="10"/>
  <c r="JL25" i="10"/>
  <c r="JL14" i="10"/>
  <c r="JH165" i="10"/>
  <c r="JH160" i="10"/>
  <c r="JH149" i="10"/>
  <c r="JH139" i="10"/>
  <c r="JH123" i="10"/>
  <c r="JH112" i="10"/>
  <c r="JH101" i="10"/>
  <c r="JH91" i="10"/>
  <c r="JH80" i="10"/>
  <c r="JH69" i="10"/>
  <c r="JH59" i="10"/>
  <c r="JH48" i="10"/>
  <c r="JH37" i="10"/>
  <c r="JH27" i="10"/>
  <c r="JH16" i="10"/>
  <c r="JD169" i="10"/>
  <c r="JD164" i="10"/>
  <c r="JD153" i="10"/>
  <c r="JD142" i="10"/>
  <c r="JD137" i="10"/>
  <c r="JD126" i="10"/>
  <c r="JD116" i="10"/>
  <c r="JD110" i="10"/>
  <c r="JD100" i="10"/>
  <c r="JD89" i="10"/>
  <c r="JD84" i="10"/>
  <c r="JD73" i="10"/>
  <c r="JD62" i="10"/>
  <c r="JD52" i="10"/>
  <c r="JD41" i="10"/>
  <c r="JD36" i="10"/>
  <c r="JD30" i="10"/>
  <c r="JD25" i="10"/>
  <c r="JD20" i="10"/>
  <c r="JD14" i="10"/>
  <c r="JD9" i="10"/>
  <c r="IZ173" i="10"/>
  <c r="IZ167" i="10"/>
  <c r="IZ162" i="10"/>
  <c r="IZ157" i="10"/>
  <c r="IZ151" i="10"/>
  <c r="IZ146" i="10"/>
  <c r="IZ141" i="10"/>
  <c r="IZ135" i="10"/>
  <c r="IZ130" i="10"/>
  <c r="IZ125" i="10"/>
  <c r="IZ119" i="10"/>
  <c r="IZ114" i="10"/>
  <c r="IZ109" i="10"/>
  <c r="IZ103" i="10"/>
  <c r="IZ98" i="10"/>
  <c r="IZ93" i="10"/>
  <c r="IZ87" i="10"/>
  <c r="IZ82" i="10"/>
  <c r="IZ77" i="10"/>
  <c r="IZ71" i="10"/>
  <c r="IZ66" i="10"/>
  <c r="IZ61" i="10"/>
  <c r="IZ55" i="10"/>
  <c r="IZ50" i="10"/>
  <c r="IZ45" i="10"/>
  <c r="IZ39" i="10"/>
  <c r="IZ34" i="10"/>
  <c r="IZ29" i="10"/>
  <c r="IZ23" i="10"/>
  <c r="IZ18" i="10"/>
  <c r="IZ13" i="10"/>
  <c r="IZ7" i="10"/>
  <c r="IX41" i="13"/>
  <c r="IR30" i="13"/>
  <c r="IR29" i="13"/>
  <c r="IL23" i="13"/>
  <c r="IL18" i="13"/>
  <c r="IR9" i="13"/>
  <c r="IR8" i="13"/>
  <c r="BC13" i="12"/>
  <c r="BI39" i="9"/>
  <c r="BI25" i="9"/>
  <c r="BI10" i="9"/>
  <c r="IJ13" i="10"/>
  <c r="IJ35" i="10"/>
  <c r="IJ56" i="10"/>
  <c r="IJ77" i="10"/>
  <c r="IJ99" i="10"/>
  <c r="IJ120" i="10"/>
  <c r="IJ141" i="10"/>
  <c r="IJ163" i="10"/>
  <c r="IN15" i="10"/>
  <c r="IN36" i="10"/>
  <c r="IN58" i="10"/>
  <c r="IN79" i="10"/>
  <c r="IN100" i="10"/>
  <c r="IN122" i="10"/>
  <c r="IN143" i="10"/>
  <c r="IN164" i="10"/>
  <c r="IR17" i="10"/>
  <c r="IR38" i="10"/>
  <c r="IR59" i="10"/>
  <c r="IR81" i="10"/>
  <c r="IR102" i="10"/>
  <c r="IR123" i="10"/>
  <c r="IR145" i="10"/>
  <c r="IR166" i="10"/>
  <c r="IV19" i="10"/>
  <c r="IV41" i="10"/>
  <c r="IV62" i="10"/>
  <c r="IV83" i="10"/>
  <c r="IV105" i="10"/>
  <c r="IV126" i="10"/>
  <c r="IV147" i="10"/>
  <c r="IV170" i="10"/>
  <c r="IZ22" i="10"/>
  <c r="IZ43" i="10"/>
  <c r="IZ65" i="10"/>
  <c r="IZ86" i="10"/>
  <c r="IZ107" i="10"/>
  <c r="IZ129" i="10"/>
  <c r="IZ150" i="10"/>
  <c r="IZ171" i="10"/>
  <c r="JD24" i="10"/>
  <c r="JD45" i="10"/>
  <c r="JD66" i="10"/>
  <c r="JD88" i="10"/>
  <c r="JD109" i="10"/>
  <c r="JD130" i="10"/>
  <c r="JD152" i="10"/>
  <c r="JD173" i="10"/>
  <c r="JH25" i="10"/>
  <c r="JH47" i="10"/>
  <c r="JH68" i="10"/>
  <c r="JH89" i="10"/>
  <c r="JH111" i="10"/>
  <c r="JH132" i="10"/>
  <c r="JH153" i="10"/>
  <c r="JL6" i="10"/>
  <c r="JL29" i="10"/>
  <c r="JL50" i="10"/>
  <c r="JL72" i="10"/>
  <c r="JL93" i="10"/>
  <c r="JL114" i="10"/>
  <c r="JL136" i="10"/>
  <c r="JL157" i="10"/>
  <c r="KV45" i="10"/>
  <c r="KV87" i="10"/>
  <c r="KV130" i="10"/>
  <c r="KV151" i="10"/>
  <c r="KV173" i="10"/>
  <c r="KZ25" i="10"/>
  <c r="KZ68" i="10"/>
  <c r="KZ89" i="10"/>
  <c r="KZ110" i="10"/>
  <c r="KZ132" i="10"/>
  <c r="IJ40" i="10"/>
  <c r="IJ83" i="10"/>
  <c r="IJ125" i="10"/>
  <c r="IJ168" i="10"/>
  <c r="IN42" i="10"/>
  <c r="IN84" i="10"/>
  <c r="IN127" i="10"/>
  <c r="IR22" i="10"/>
  <c r="IR65" i="10"/>
  <c r="IR107" i="10"/>
  <c r="IR150" i="10"/>
  <c r="IV46" i="10"/>
  <c r="IV89" i="10"/>
  <c r="IV131" i="10"/>
  <c r="IZ6" i="10"/>
  <c r="IZ49" i="10"/>
  <c r="IZ91" i="10"/>
  <c r="IZ134" i="10"/>
  <c r="JD29" i="10"/>
  <c r="JD50" i="10"/>
  <c r="JD93" i="10"/>
  <c r="JD114" i="10"/>
  <c r="JD136" i="10"/>
  <c r="JD157" i="10"/>
  <c r="JH9" i="10"/>
  <c r="JH31" i="10"/>
  <c r="JH73" i="10"/>
  <c r="JH95" i="10"/>
  <c r="JH116" i="10"/>
  <c r="JH137" i="10"/>
  <c r="JH159" i="10"/>
  <c r="JL13" i="10"/>
  <c r="JL34" i="10"/>
  <c r="JL56" i="10"/>
  <c r="JL77" i="10"/>
  <c r="JL98" i="10"/>
  <c r="JL120" i="10"/>
  <c r="JL141" i="10"/>
  <c r="JL163" i="10"/>
  <c r="KV7" i="10"/>
  <c r="KV29" i="10"/>
  <c r="KV50" i="10"/>
  <c r="KV71" i="10"/>
  <c r="KV93" i="10"/>
  <c r="KV114" i="10"/>
  <c r="KV135" i="10"/>
  <c r="KV157" i="10"/>
  <c r="KZ9" i="10"/>
  <c r="KZ30" i="10"/>
  <c r="KZ52" i="10"/>
  <c r="KZ73" i="10"/>
  <c r="KZ94" i="10"/>
  <c r="KZ116" i="10"/>
  <c r="KZ137" i="10"/>
  <c r="IJ24" i="10"/>
  <c r="IJ45" i="10"/>
  <c r="IJ67" i="10"/>
  <c r="IJ88" i="10"/>
  <c r="IJ109" i="10"/>
  <c r="IJ131" i="10"/>
  <c r="IJ152" i="10"/>
  <c r="IJ173" i="10"/>
  <c r="IN26" i="10"/>
  <c r="IN47" i="10"/>
  <c r="IN68" i="10"/>
  <c r="IN90" i="10"/>
  <c r="IN111" i="10"/>
  <c r="IN132" i="10"/>
  <c r="IN154" i="10"/>
  <c r="IR6" i="10"/>
  <c r="IR27" i="10"/>
  <c r="IR49" i="10"/>
  <c r="IR70" i="10"/>
  <c r="IR91" i="10"/>
  <c r="IR113" i="10"/>
  <c r="IR134" i="10"/>
  <c r="IR155" i="10"/>
  <c r="IV8" i="10"/>
  <c r="IV30" i="10"/>
  <c r="IV51" i="10"/>
  <c r="IV73" i="10"/>
  <c r="IV94" i="10"/>
  <c r="IV115" i="10"/>
  <c r="IV137" i="10"/>
  <c r="IV158" i="10"/>
  <c r="IZ11" i="10"/>
  <c r="IZ33" i="10"/>
  <c r="IZ54" i="10"/>
  <c r="IZ75" i="10"/>
  <c r="IZ97" i="10"/>
  <c r="IZ118" i="10"/>
  <c r="IZ139" i="10"/>
  <c r="IZ161" i="10"/>
  <c r="JD13" i="10"/>
  <c r="JD34" i="10"/>
  <c r="JD56" i="10"/>
  <c r="JD77" i="10"/>
  <c r="JD98" i="10"/>
  <c r="JD120" i="10"/>
  <c r="JD141" i="10"/>
  <c r="JD162" i="10"/>
  <c r="JH15" i="10"/>
  <c r="JH36" i="10"/>
  <c r="JH57" i="10"/>
  <c r="JH79" i="10"/>
  <c r="JH100" i="10"/>
  <c r="JH121" i="10"/>
  <c r="JH143" i="10"/>
  <c r="JH164" i="10"/>
  <c r="JL18" i="10"/>
  <c r="JL40" i="10"/>
  <c r="JL61" i="10"/>
  <c r="JL82" i="10"/>
  <c r="JL104" i="10"/>
  <c r="JL125" i="10"/>
  <c r="JL146" i="10"/>
  <c r="JL169" i="10"/>
  <c r="KV13" i="10"/>
  <c r="KV34" i="10"/>
  <c r="KV55" i="10"/>
  <c r="KV77" i="10"/>
  <c r="KV98" i="10"/>
  <c r="KV119" i="10"/>
  <c r="KV141" i="10"/>
  <c r="KV162" i="10"/>
  <c r="KZ14" i="10"/>
  <c r="KZ36" i="10"/>
  <c r="KZ57" i="10"/>
  <c r="KZ78" i="10"/>
  <c r="KZ100" i="10"/>
  <c r="KZ121" i="10"/>
  <c r="KZ142" i="10"/>
  <c r="IU5" i="13"/>
  <c r="IX7" i="13"/>
  <c r="KQ21" i="13"/>
  <c r="II40" i="13"/>
  <c r="CQ44" i="9"/>
  <c r="DH12" i="18"/>
  <c r="DI12" i="18" s="1"/>
  <c r="DH10" i="18"/>
  <c r="DI10" i="18" s="1"/>
  <c r="DF46" i="17"/>
  <c r="DG46" i="17" s="1"/>
  <c r="DF37" i="17"/>
  <c r="DG37" i="17" s="1"/>
  <c r="DF33" i="17"/>
  <c r="DG33" i="17" s="1"/>
  <c r="DF27" i="17"/>
  <c r="DG27" i="17" s="1"/>
  <c r="DF19" i="17"/>
  <c r="DG19" i="17" s="1"/>
  <c r="DF13" i="17"/>
  <c r="DG13" i="17" s="1"/>
  <c r="DF8" i="17"/>
  <c r="DG8" i="17" s="1"/>
  <c r="DH16" i="18"/>
  <c r="DH13" i="18"/>
  <c r="DI13" i="18" s="1"/>
  <c r="DH4" i="18"/>
  <c r="DI4" i="18" s="1"/>
  <c r="DF49" i="17"/>
  <c r="DG49" i="17" s="1"/>
  <c r="DF38" i="17"/>
  <c r="DG38" i="17" s="1"/>
  <c r="DF30" i="17"/>
  <c r="DG30" i="17" s="1"/>
  <c r="DF23" i="17"/>
  <c r="DG23" i="17" s="1"/>
  <c r="DF14" i="17"/>
  <c r="DG14" i="17" s="1"/>
  <c r="DF7" i="17"/>
  <c r="DG7" i="17" s="1"/>
  <c r="DH9" i="18"/>
  <c r="DI9" i="18" s="1"/>
  <c r="DH7" i="18"/>
  <c r="DI7" i="18" s="1"/>
  <c r="DF47" i="17"/>
  <c r="DG47" i="17" s="1"/>
  <c r="DF36" i="17"/>
  <c r="DG36" i="17" s="1"/>
  <c r="DF29" i="17"/>
  <c r="DG29" i="17" s="1"/>
  <c r="DF21" i="17"/>
  <c r="DG21" i="17" s="1"/>
  <c r="DF12" i="17"/>
  <c r="DG12" i="17" s="1"/>
  <c r="DF5" i="17"/>
  <c r="DG5" i="17" s="1"/>
  <c r="DH8" i="18"/>
  <c r="DI8" i="18" s="1"/>
  <c r="DH5" i="18"/>
  <c r="DI5" i="18" s="1"/>
  <c r="DF35" i="17"/>
  <c r="DG35" i="17" s="1"/>
  <c r="DF18" i="17"/>
  <c r="DG18" i="17" s="1"/>
  <c r="DF50" i="17"/>
  <c r="DG50" i="17" s="1"/>
  <c r="DF34" i="17"/>
  <c r="DG34" i="17" s="1"/>
  <c r="DF16" i="17"/>
  <c r="DG16" i="17" s="1"/>
  <c r="DF40" i="17"/>
  <c r="DG40" i="17" s="1"/>
  <c r="DF10" i="17"/>
  <c r="DG10" i="17" s="1"/>
  <c r="DH14" i="18"/>
  <c r="DI14" i="18" s="1"/>
  <c r="DF25" i="17"/>
  <c r="DG25" i="17" s="1"/>
  <c r="DF28" i="17"/>
  <c r="DG28" i="17" s="1"/>
  <c r="DF9" i="17"/>
  <c r="DG9" i="17" s="1"/>
  <c r="DF39" i="17"/>
  <c r="DG39" i="17" s="1"/>
  <c r="LL49" i="13"/>
  <c r="LL40" i="13"/>
  <c r="LL38" i="13"/>
  <c r="LL31" i="13"/>
  <c r="LL23" i="13"/>
  <c r="LL16" i="13"/>
  <c r="LL12" i="13"/>
  <c r="LL5" i="13"/>
  <c r="CG13" i="12"/>
  <c r="CG9" i="12"/>
  <c r="CQ49" i="9"/>
  <c r="CQ45" i="9"/>
  <c r="CQ39" i="9"/>
  <c r="CQ35" i="9"/>
  <c r="CQ30" i="9"/>
  <c r="CQ26" i="9"/>
  <c r="CQ21" i="9"/>
  <c r="CQ16" i="9"/>
  <c r="CQ11" i="9"/>
  <c r="CQ7" i="9"/>
  <c r="ME172" i="10"/>
  <c r="ME168" i="10"/>
  <c r="ME164" i="10"/>
  <c r="ME159" i="10"/>
  <c r="ME155" i="10"/>
  <c r="ME150" i="10"/>
  <c r="ME146" i="10"/>
  <c r="ME142" i="10"/>
  <c r="ME138" i="10"/>
  <c r="ME134" i="10"/>
  <c r="ME130" i="10"/>
  <c r="ME126" i="10"/>
  <c r="ME122" i="10"/>
  <c r="ME118" i="10"/>
  <c r="ME114" i="10"/>
  <c r="ME110" i="10"/>
  <c r="ME106" i="10"/>
  <c r="ME102" i="10"/>
  <c r="ME98" i="10"/>
  <c r="ME94" i="10"/>
  <c r="ME90" i="10"/>
  <c r="ME86" i="10"/>
  <c r="ME82" i="10"/>
  <c r="ME78" i="10"/>
  <c r="ME74" i="10"/>
  <c r="ME70" i="10"/>
  <c r="ME66" i="10"/>
  <c r="ME62" i="10"/>
  <c r="ME55" i="10"/>
  <c r="ME51" i="10"/>
  <c r="ME47" i="10"/>
  <c r="ME43" i="10"/>
  <c r="ME39" i="10"/>
  <c r="ME35" i="10"/>
  <c r="ME31" i="10"/>
  <c r="ME27" i="10"/>
  <c r="ME23" i="10"/>
  <c r="ME19" i="10"/>
  <c r="ME15" i="10"/>
  <c r="ME10" i="10"/>
  <c r="ME6" i="10"/>
  <c r="LL39" i="13"/>
  <c r="LL47" i="13"/>
  <c r="LL37" i="13"/>
  <c r="LL36" i="13"/>
  <c r="LL25" i="13"/>
  <c r="LL13" i="13"/>
  <c r="LL9" i="13"/>
  <c r="CG12" i="12"/>
  <c r="CG4" i="12"/>
  <c r="CQ46" i="9"/>
  <c r="CQ38" i="9"/>
  <c r="CQ33" i="9"/>
  <c r="CQ27" i="9"/>
  <c r="CQ19" i="9"/>
  <c r="CQ14" i="9"/>
  <c r="CQ8" i="9"/>
  <c r="ME170" i="10"/>
  <c r="ME165" i="10"/>
  <c r="ME158" i="10"/>
  <c r="ME152" i="10"/>
  <c r="ME147" i="10"/>
  <c r="ME141" i="10"/>
  <c r="ME136" i="10"/>
  <c r="ME131" i="10"/>
  <c r="ME125" i="10"/>
  <c r="ME120" i="10"/>
  <c r="ME115" i="10"/>
  <c r="ME109" i="10"/>
  <c r="ME104" i="10"/>
  <c r="ME99" i="10"/>
  <c r="ME93" i="10"/>
  <c r="ME88" i="10"/>
  <c r="ME83" i="10"/>
  <c r="ME77" i="10"/>
  <c r="ME72" i="10"/>
  <c r="ME67" i="10"/>
  <c r="ME61" i="10"/>
  <c r="ME53" i="10"/>
  <c r="ME48" i="10"/>
  <c r="ME42" i="10"/>
  <c r="ME37" i="10"/>
  <c r="ME32" i="10"/>
  <c r="ME26" i="10"/>
  <c r="ME21" i="10"/>
  <c r="ME16" i="10"/>
  <c r="ME9" i="10"/>
  <c r="LL34" i="13"/>
  <c r="LL21" i="13"/>
  <c r="LL18" i="13"/>
  <c r="CG10" i="12"/>
  <c r="CQ51" i="9"/>
  <c r="CQ43" i="9"/>
  <c r="CQ37" i="9"/>
  <c r="CQ31" i="9"/>
  <c r="CQ25" i="9"/>
  <c r="CQ18" i="9"/>
  <c r="CQ12" i="9"/>
  <c r="CQ6" i="9"/>
  <c r="BX44" i="9"/>
  <c r="LL13" i="10"/>
  <c r="CJ14" i="18"/>
  <c r="CK14" i="18" s="1"/>
  <c r="CJ8" i="18"/>
  <c r="CK8" i="18" s="1"/>
  <c r="CJ7" i="18"/>
  <c r="CK7" i="18" s="1"/>
  <c r="CH46" i="17"/>
  <c r="CI46" i="17" s="1"/>
  <c r="CH37" i="17"/>
  <c r="CI37" i="17" s="1"/>
  <c r="CH33" i="17"/>
  <c r="CI33" i="17" s="1"/>
  <c r="CH27" i="17"/>
  <c r="CI27" i="17" s="1"/>
  <c r="CH19" i="17"/>
  <c r="CI19" i="17" s="1"/>
  <c r="CH13" i="17"/>
  <c r="CI13" i="17" s="1"/>
  <c r="CH8" i="17"/>
  <c r="CI8" i="17" s="1"/>
  <c r="CJ13" i="18"/>
  <c r="CK13" i="18" s="1"/>
  <c r="CH47" i="17"/>
  <c r="CI47" i="17" s="1"/>
  <c r="CH36" i="17"/>
  <c r="CI36" i="17" s="1"/>
  <c r="CH29" i="17"/>
  <c r="CI29" i="17" s="1"/>
  <c r="CH21" i="17"/>
  <c r="CI21" i="17" s="1"/>
  <c r="CH12" i="17"/>
  <c r="CI12" i="17" s="1"/>
  <c r="CH5" i="17"/>
  <c r="CI5" i="17" s="1"/>
  <c r="CJ10" i="18"/>
  <c r="CK10" i="18" s="1"/>
  <c r="CJ4" i="18"/>
  <c r="CK4" i="18" s="1"/>
  <c r="CH40" i="17"/>
  <c r="CI40" i="17" s="1"/>
  <c r="CH35" i="17"/>
  <c r="CI35" i="17" s="1"/>
  <c r="CH28" i="17"/>
  <c r="CI28" i="17" s="1"/>
  <c r="CH18" i="17"/>
  <c r="CI18" i="17" s="1"/>
  <c r="CH10" i="17"/>
  <c r="CI10" i="17" s="1"/>
  <c r="CJ12" i="18"/>
  <c r="CK12" i="18" s="1"/>
  <c r="CJ9" i="18"/>
  <c r="CK9" i="18" s="1"/>
  <c r="CH50" i="17"/>
  <c r="CI50" i="17" s="1"/>
  <c r="CH34" i="17"/>
  <c r="CI34" i="17" s="1"/>
  <c r="CH16" i="17"/>
  <c r="CI16" i="17" s="1"/>
  <c r="CH49" i="17"/>
  <c r="CI49" i="17" s="1"/>
  <c r="CH30" i="17"/>
  <c r="CI30" i="17" s="1"/>
  <c r="CH14" i="17"/>
  <c r="CI14" i="17" s="1"/>
  <c r="CH25" i="17"/>
  <c r="CI25" i="17" s="1"/>
  <c r="CH38" i="17"/>
  <c r="CI38" i="17" s="1"/>
  <c r="CH7" i="17"/>
  <c r="CI7" i="17" s="1"/>
  <c r="CJ5" i="18"/>
  <c r="CK5" i="18" s="1"/>
  <c r="CH39" i="17"/>
  <c r="CI39" i="17" s="1"/>
  <c r="CH23" i="17"/>
  <c r="CI23" i="17" s="1"/>
  <c r="CJ16" i="18"/>
  <c r="CH9" i="17"/>
  <c r="CI9" i="17" s="1"/>
  <c r="KT35" i="13"/>
  <c r="KT29" i="13"/>
  <c r="KT19" i="13"/>
  <c r="KT13" i="13"/>
  <c r="KT9" i="13"/>
  <c r="KT7" i="13"/>
  <c r="BO16" i="12"/>
  <c r="BO4" i="12"/>
  <c r="BX47" i="9"/>
  <c r="BX41" i="9"/>
  <c r="BX37" i="9"/>
  <c r="BX33" i="9"/>
  <c r="BX28" i="9"/>
  <c r="BX24" i="9"/>
  <c r="BX18" i="9"/>
  <c r="BX14" i="9"/>
  <c r="BX5" i="9"/>
  <c r="KT39" i="13"/>
  <c r="KT37" i="13"/>
  <c r="KT36" i="13"/>
  <c r="KT25" i="13"/>
  <c r="KT16" i="13"/>
  <c r="KT12" i="13"/>
  <c r="BO13" i="12"/>
  <c r="BO7" i="12"/>
  <c r="BO5" i="12"/>
  <c r="BX46" i="9"/>
  <c r="BX39" i="9"/>
  <c r="BX34" i="9"/>
  <c r="BX27" i="9"/>
  <c r="BX21" i="9"/>
  <c r="BX15" i="9"/>
  <c r="BX8" i="9"/>
  <c r="LL173" i="10"/>
  <c r="LL169" i="10"/>
  <c r="LL165" i="10"/>
  <c r="LL159" i="10"/>
  <c r="LL155" i="10"/>
  <c r="LL150" i="10"/>
  <c r="LL146" i="10"/>
  <c r="LL142" i="10"/>
  <c r="LL138" i="10"/>
  <c r="LL134" i="10"/>
  <c r="LL130" i="10"/>
  <c r="LL126" i="10"/>
  <c r="LL122" i="10"/>
  <c r="LL118" i="10"/>
  <c r="LL114" i="10"/>
  <c r="LL110" i="10"/>
  <c r="LL106" i="10"/>
  <c r="LL102" i="10"/>
  <c r="LL98" i="10"/>
  <c r="LL94" i="10"/>
  <c r="LL90" i="10"/>
  <c r="LL86" i="10"/>
  <c r="LL82" i="10"/>
  <c r="LL78" i="10"/>
  <c r="LL74" i="10"/>
  <c r="LL70" i="10"/>
  <c r="LL66" i="10"/>
  <c r="LL62" i="10"/>
  <c r="LL57" i="10"/>
  <c r="LL52" i="10"/>
  <c r="LL48" i="10"/>
  <c r="LL44" i="10"/>
  <c r="LL40" i="10"/>
  <c r="LL36" i="10"/>
  <c r="LL32" i="10"/>
  <c r="LL28" i="10"/>
  <c r="LL24" i="10"/>
  <c r="LL20" i="10"/>
  <c r="LL16" i="10"/>
  <c r="LL10" i="10"/>
  <c r="LL6" i="10"/>
  <c r="KT40" i="13"/>
  <c r="KT34" i="13"/>
  <c r="KT31" i="13"/>
  <c r="KT21" i="13"/>
  <c r="KT5" i="13"/>
  <c r="BO12" i="12"/>
  <c r="BO10" i="12"/>
  <c r="LL7" i="10"/>
  <c r="LL14" i="10"/>
  <c r="LL19" i="10"/>
  <c r="LL25" i="10"/>
  <c r="LL30" i="10"/>
  <c r="LL35" i="10"/>
  <c r="LL41" i="10"/>
  <c r="LL46" i="10"/>
  <c r="LL51" i="10"/>
  <c r="LL59" i="10"/>
  <c r="LL64" i="10"/>
  <c r="LL69" i="10"/>
  <c r="LL75" i="10"/>
  <c r="LL80" i="10"/>
  <c r="LL85" i="10"/>
  <c r="LL91" i="10"/>
  <c r="LL96" i="10"/>
  <c r="LL101" i="10"/>
  <c r="LL107" i="10"/>
  <c r="LL112" i="10"/>
  <c r="LL117" i="10"/>
  <c r="LL123" i="10"/>
  <c r="LL128" i="10"/>
  <c r="LL133" i="10"/>
  <c r="LL139" i="10"/>
  <c r="LL144" i="10"/>
  <c r="LL149" i="10"/>
  <c r="LL156" i="10"/>
  <c r="LL163" i="10"/>
  <c r="LL168" i="10"/>
  <c r="ME12" i="10"/>
  <c r="ME18" i="10"/>
  <c r="ME25" i="10"/>
  <c r="ME33" i="10"/>
  <c r="ME40" i="10"/>
  <c r="ME46" i="10"/>
  <c r="ME54" i="10"/>
  <c r="ME64" i="10"/>
  <c r="ME71" i="10"/>
  <c r="ME79" i="10"/>
  <c r="ME85" i="10"/>
  <c r="ME92" i="10"/>
  <c r="ME100" i="10"/>
  <c r="ME107" i="10"/>
  <c r="ME113" i="10"/>
  <c r="ME121" i="10"/>
  <c r="ME128" i="10"/>
  <c r="ME135" i="10"/>
  <c r="ME143" i="10"/>
  <c r="ME149" i="10"/>
  <c r="ME157" i="10"/>
  <c r="ME166" i="10"/>
  <c r="ME173" i="10"/>
  <c r="BP6" i="9"/>
  <c r="BP14" i="9"/>
  <c r="BP22" i="9"/>
  <c r="BP29" i="9"/>
  <c r="BP37" i="9"/>
  <c r="BP43" i="9"/>
  <c r="BX17" i="9"/>
  <c r="BX26" i="9"/>
  <c r="BX35" i="9"/>
  <c r="BX43" i="9"/>
  <c r="BX51" i="9"/>
  <c r="CQ9" i="9"/>
  <c r="CQ22" i="9"/>
  <c r="CQ34" i="9"/>
  <c r="CQ47" i="9"/>
  <c r="BU11" i="12"/>
  <c r="CG11" i="12"/>
  <c r="CG16" i="12"/>
  <c r="IF5" i="13"/>
  <c r="KN5" i="13"/>
  <c r="JY7" i="13"/>
  <c r="LL7" i="13"/>
  <c r="KZ8" i="13"/>
  <c r="LL8" i="13"/>
  <c r="II10" i="13"/>
  <c r="JY10" i="13"/>
  <c r="II14" i="13"/>
  <c r="JY14" i="13"/>
  <c r="IX19" i="13"/>
  <c r="JY19" i="13"/>
  <c r="II26" i="13"/>
  <c r="JY26" i="13"/>
  <c r="KB29" i="13"/>
  <c r="KT30" i="13"/>
  <c r="KQ31" i="13"/>
  <c r="JS34" i="13"/>
  <c r="LL35" i="13"/>
  <c r="JP36" i="13"/>
  <c r="JP37" i="13"/>
  <c r="KT38" i="13"/>
  <c r="JP41" i="13"/>
  <c r="JS47" i="13"/>
  <c r="DA44" i="9"/>
  <c r="DT13" i="18"/>
  <c r="DU13" i="18" s="1"/>
  <c r="DT5" i="18"/>
  <c r="DU5" i="18" s="1"/>
  <c r="DR49" i="17"/>
  <c r="DS49" i="17" s="1"/>
  <c r="DR39" i="17"/>
  <c r="DS39" i="17" s="1"/>
  <c r="DR35" i="17"/>
  <c r="DS35" i="17" s="1"/>
  <c r="DR29" i="17"/>
  <c r="DS29" i="17" s="1"/>
  <c r="DR23" i="17"/>
  <c r="DS23" i="17" s="1"/>
  <c r="DR16" i="17"/>
  <c r="DS16" i="17" s="1"/>
  <c r="DR10" i="17"/>
  <c r="DS10" i="17" s="1"/>
  <c r="DR5" i="17"/>
  <c r="DS5" i="17" s="1"/>
  <c r="DT12" i="18"/>
  <c r="DU12" i="18" s="1"/>
  <c r="DT8" i="18"/>
  <c r="DU8" i="18" s="1"/>
  <c r="DR50" i="17"/>
  <c r="DS50" i="17" s="1"/>
  <c r="DR38" i="17"/>
  <c r="DS38" i="17" s="1"/>
  <c r="DR33" i="17"/>
  <c r="DS33" i="17" s="1"/>
  <c r="DR25" i="17"/>
  <c r="DS25" i="17" s="1"/>
  <c r="DR14" i="17"/>
  <c r="DS14" i="17" s="1"/>
  <c r="DR8" i="17"/>
  <c r="DS8" i="17" s="1"/>
  <c r="DT16" i="18"/>
  <c r="DR47" i="17"/>
  <c r="DS47" i="17" s="1"/>
  <c r="DR37" i="17"/>
  <c r="DS37" i="17" s="1"/>
  <c r="DR30" i="17"/>
  <c r="DS30" i="17" s="1"/>
  <c r="DR21" i="17"/>
  <c r="DS21" i="17" s="1"/>
  <c r="DR13" i="17"/>
  <c r="DS13" i="17" s="1"/>
  <c r="DR7" i="17"/>
  <c r="DS7" i="17" s="1"/>
  <c r="DR46" i="17"/>
  <c r="DS46" i="17" s="1"/>
  <c r="DR28" i="17"/>
  <c r="DS28" i="17" s="1"/>
  <c r="DR12" i="17"/>
  <c r="DS12" i="17" s="1"/>
  <c r="DT14" i="18"/>
  <c r="DU14" i="18" s="1"/>
  <c r="DT9" i="18"/>
  <c r="DU9" i="18" s="1"/>
  <c r="DT7" i="18"/>
  <c r="DU7" i="18" s="1"/>
  <c r="DR40" i="17"/>
  <c r="DS40" i="17" s="1"/>
  <c r="DR27" i="17"/>
  <c r="DS27" i="17" s="1"/>
  <c r="DR9" i="17"/>
  <c r="DS9" i="17" s="1"/>
  <c r="DT4" i="18"/>
  <c r="DU4" i="18" s="1"/>
  <c r="DR36" i="17"/>
  <c r="DS36" i="17" s="1"/>
  <c r="DT10" i="18"/>
  <c r="DU10" i="18" s="1"/>
  <c r="DR18" i="17"/>
  <c r="DS18" i="17" s="1"/>
  <c r="DR19" i="17"/>
  <c r="DS19" i="17" s="1"/>
  <c r="LU39" i="13"/>
  <c r="LU37" i="13"/>
  <c r="LU34" i="13"/>
  <c r="LU30" i="13"/>
  <c r="LU25" i="13"/>
  <c r="LU21" i="13"/>
  <c r="LU14" i="13"/>
  <c r="LU10" i="13"/>
  <c r="CP14" i="12"/>
  <c r="CP10" i="12"/>
  <c r="DA51" i="9"/>
  <c r="DA46" i="9"/>
  <c r="DA41" i="9"/>
  <c r="DA37" i="9"/>
  <c r="DA33" i="9"/>
  <c r="DA28" i="9"/>
  <c r="DA24" i="9"/>
  <c r="DA17" i="9"/>
  <c r="DA12" i="9"/>
  <c r="DA8" i="9"/>
  <c r="DA4" i="9"/>
  <c r="MN173" i="10"/>
  <c r="MN169" i="10"/>
  <c r="MN165" i="10"/>
  <c r="MN160" i="10"/>
  <c r="MN156" i="10"/>
  <c r="MN151" i="10"/>
  <c r="MN147" i="10"/>
  <c r="MN143" i="10"/>
  <c r="MN139" i="10"/>
  <c r="MN135" i="10"/>
  <c r="MN131" i="10"/>
  <c r="MN127" i="10"/>
  <c r="MN123" i="10"/>
  <c r="MN119" i="10"/>
  <c r="MN115" i="10"/>
  <c r="MN111" i="10"/>
  <c r="MN107" i="10"/>
  <c r="MN103" i="10"/>
  <c r="MN99" i="10"/>
  <c r="MN95" i="10"/>
  <c r="MN91" i="10"/>
  <c r="MN87" i="10"/>
  <c r="MN82" i="10"/>
  <c r="MN78" i="10"/>
  <c r="MN74" i="10"/>
  <c r="MN70" i="10"/>
  <c r="MN66" i="10"/>
  <c r="MN62" i="10"/>
  <c r="MN57" i="10"/>
  <c r="MN52" i="10"/>
  <c r="MN48" i="10"/>
  <c r="MN44" i="10"/>
  <c r="MN40" i="10"/>
  <c r="MN36" i="10"/>
  <c r="MN32" i="10"/>
  <c r="MN28" i="10"/>
  <c r="MN24" i="10"/>
  <c r="MN20" i="10"/>
  <c r="MN16" i="10"/>
  <c r="MN12" i="10"/>
  <c r="MN7" i="10"/>
  <c r="LU49" i="13"/>
  <c r="LU38" i="13"/>
  <c r="DR34" i="17"/>
  <c r="DS34" i="17" s="1"/>
  <c r="LU47" i="13"/>
  <c r="LU35" i="13"/>
  <c r="LU23" i="13"/>
  <c r="CP16" i="12"/>
  <c r="CP8" i="12"/>
  <c r="DA45" i="9"/>
  <c r="DA39" i="9"/>
  <c r="DA34" i="9"/>
  <c r="DA27" i="9"/>
  <c r="DA21" i="9"/>
  <c r="DA14" i="9"/>
  <c r="DA7" i="9"/>
  <c r="MN170" i="10"/>
  <c r="MN164" i="10"/>
  <c r="MN158" i="10"/>
  <c r="MN152" i="10"/>
  <c r="MN146" i="10"/>
  <c r="MN141" i="10"/>
  <c r="MN136" i="10"/>
  <c r="MN130" i="10"/>
  <c r="MN125" i="10"/>
  <c r="MN120" i="10"/>
  <c r="MN114" i="10"/>
  <c r="MN109" i="10"/>
  <c r="MN104" i="10"/>
  <c r="MN98" i="10"/>
  <c r="MN93" i="10"/>
  <c r="MN88" i="10"/>
  <c r="MN81" i="10"/>
  <c r="MN76" i="10"/>
  <c r="MN71" i="10"/>
  <c r="MN65" i="10"/>
  <c r="MN60" i="10"/>
  <c r="MN53" i="10"/>
  <c r="MN47" i="10"/>
  <c r="MN42" i="10"/>
  <c r="MN37" i="10"/>
  <c r="MN31" i="10"/>
  <c r="MN26" i="10"/>
  <c r="MN21" i="10"/>
  <c r="MN15" i="10"/>
  <c r="MN9" i="10"/>
  <c r="LU19" i="13"/>
  <c r="LU16" i="13"/>
  <c r="LU12" i="13"/>
  <c r="LU7" i="13"/>
  <c r="CP13" i="12"/>
  <c r="CP7" i="12"/>
  <c r="CP5" i="12"/>
  <c r="DA49" i="9"/>
  <c r="DA43" i="9"/>
  <c r="DA38" i="9"/>
  <c r="DA31" i="9"/>
  <c r="DA26" i="9"/>
  <c r="DA18" i="9"/>
  <c r="DA11" i="9"/>
  <c r="DA6" i="9"/>
  <c r="CN44" i="9"/>
  <c r="DD13" i="18"/>
  <c r="DE13" i="18" s="1"/>
  <c r="DD5" i="18"/>
  <c r="DE5" i="18" s="1"/>
  <c r="DB49" i="17"/>
  <c r="DC49" i="17" s="1"/>
  <c r="DB39" i="17"/>
  <c r="DC39" i="17" s="1"/>
  <c r="DB35" i="17"/>
  <c r="DC35" i="17" s="1"/>
  <c r="DB29" i="17"/>
  <c r="DC29" i="17" s="1"/>
  <c r="DB23" i="17"/>
  <c r="DC23" i="17" s="1"/>
  <c r="DB16" i="17"/>
  <c r="DC16" i="17" s="1"/>
  <c r="DB10" i="17"/>
  <c r="DC10" i="17" s="1"/>
  <c r="DB5" i="17"/>
  <c r="DC5" i="17" s="1"/>
  <c r="DD12" i="18"/>
  <c r="DE12" i="18" s="1"/>
  <c r="DD14" i="18"/>
  <c r="DE14" i="18" s="1"/>
  <c r="DB46" i="17"/>
  <c r="DC46" i="17" s="1"/>
  <c r="DB36" i="17"/>
  <c r="DC36" i="17" s="1"/>
  <c r="DB28" i="17"/>
  <c r="DC28" i="17" s="1"/>
  <c r="DB19" i="17"/>
  <c r="DC19" i="17" s="1"/>
  <c r="DB12" i="17"/>
  <c r="DC12" i="17" s="1"/>
  <c r="DD10" i="18"/>
  <c r="DE10" i="18" s="1"/>
  <c r="DD4" i="18"/>
  <c r="DE4" i="18" s="1"/>
  <c r="DB40" i="17"/>
  <c r="DC40" i="17" s="1"/>
  <c r="DB34" i="17"/>
  <c r="DC34" i="17" s="1"/>
  <c r="DB27" i="17"/>
  <c r="DC27" i="17" s="1"/>
  <c r="DB18" i="17"/>
  <c r="DC18" i="17" s="1"/>
  <c r="DB9" i="17"/>
  <c r="DC9" i="17" s="1"/>
  <c r="DB50" i="17"/>
  <c r="DC50" i="17" s="1"/>
  <c r="DB33" i="17"/>
  <c r="DC33" i="17" s="1"/>
  <c r="DB14" i="17"/>
  <c r="DC14" i="17" s="1"/>
  <c r="DD8" i="18"/>
  <c r="DE8" i="18" s="1"/>
  <c r="DB47" i="17"/>
  <c r="DC47" i="17" s="1"/>
  <c r="DB30" i="17"/>
  <c r="DC30" i="17" s="1"/>
  <c r="DB13" i="17"/>
  <c r="DC13" i="17" s="1"/>
  <c r="DB25" i="17"/>
  <c r="DC25" i="17" s="1"/>
  <c r="DD9" i="18"/>
  <c r="DE9" i="18" s="1"/>
  <c r="DB37" i="17"/>
  <c r="DC37" i="17" s="1"/>
  <c r="DB7" i="17"/>
  <c r="DC7" i="17" s="1"/>
  <c r="DB8" i="17"/>
  <c r="DC8" i="17" s="1"/>
  <c r="DD16" i="18"/>
  <c r="DB21" i="17"/>
  <c r="DC21" i="17" s="1"/>
  <c r="DD7" i="18"/>
  <c r="DE7" i="18" s="1"/>
  <c r="DB38" i="17"/>
  <c r="DC38" i="17" s="1"/>
  <c r="LI39" i="13"/>
  <c r="LI37" i="13"/>
  <c r="LI36" i="13"/>
  <c r="LI34" i="13"/>
  <c r="LI30" i="13"/>
  <c r="LI25" i="13"/>
  <c r="LI21" i="13"/>
  <c r="LI14" i="13"/>
  <c r="LI10" i="13"/>
  <c r="CD14" i="12"/>
  <c r="CD10" i="12"/>
  <c r="CN51" i="9"/>
  <c r="CN46" i="9"/>
  <c r="CN40" i="9"/>
  <c r="CN36" i="9"/>
  <c r="CN31" i="9"/>
  <c r="CN27" i="9"/>
  <c r="CN22" i="9"/>
  <c r="CN17" i="9"/>
  <c r="CN12" i="9"/>
  <c r="CN8" i="9"/>
  <c r="CN4" i="9"/>
  <c r="MB172" i="10"/>
  <c r="MB168" i="10"/>
  <c r="MB164" i="10"/>
  <c r="MB158" i="10"/>
  <c r="MB153" i="10"/>
  <c r="MB149" i="10"/>
  <c r="MB145" i="10"/>
  <c r="MB141" i="10"/>
  <c r="MB137" i="10"/>
  <c r="MB133" i="10"/>
  <c r="MB129" i="10"/>
  <c r="MB125" i="10"/>
  <c r="MB121" i="10"/>
  <c r="MB117" i="10"/>
  <c r="MB113" i="10"/>
  <c r="MB109" i="10"/>
  <c r="MB105" i="10"/>
  <c r="MB101" i="10"/>
  <c r="MB97" i="10"/>
  <c r="MB93" i="10"/>
  <c r="MB89" i="10"/>
  <c r="MB85" i="10"/>
  <c r="MB81" i="10"/>
  <c r="MB77" i="10"/>
  <c r="MB73" i="10"/>
  <c r="MB69" i="10"/>
  <c r="MB65" i="10"/>
  <c r="MB61" i="10"/>
  <c r="MB54" i="10"/>
  <c r="MB50" i="10"/>
  <c r="MB46" i="10"/>
  <c r="MB42" i="10"/>
  <c r="MB38" i="10"/>
  <c r="MB34" i="10"/>
  <c r="MB30" i="10"/>
  <c r="MB26" i="10"/>
  <c r="MB22" i="10"/>
  <c r="MB18" i="10"/>
  <c r="MB14" i="10"/>
  <c r="MB9" i="10"/>
  <c r="MB5" i="10"/>
  <c r="LI35" i="13"/>
  <c r="LI19" i="13"/>
  <c r="LI16" i="13"/>
  <c r="LI12" i="13"/>
  <c r="LI7" i="13"/>
  <c r="CD13" i="12"/>
  <c r="CD7" i="12"/>
  <c r="CD5" i="12"/>
  <c r="CN49" i="9"/>
  <c r="CN43" i="9"/>
  <c r="CN37" i="9"/>
  <c r="CN30" i="9"/>
  <c r="CN25" i="9"/>
  <c r="CN18" i="9"/>
  <c r="CN11" i="9"/>
  <c r="CN6" i="9"/>
  <c r="MB169" i="10"/>
  <c r="MB163" i="10"/>
  <c r="MB156" i="10"/>
  <c r="MB150" i="10"/>
  <c r="MB144" i="10"/>
  <c r="MB139" i="10"/>
  <c r="MB134" i="10"/>
  <c r="MB128" i="10"/>
  <c r="MB123" i="10"/>
  <c r="MB118" i="10"/>
  <c r="MB112" i="10"/>
  <c r="MB107" i="10"/>
  <c r="MB102" i="10"/>
  <c r="MB96" i="10"/>
  <c r="MB91" i="10"/>
  <c r="MB86" i="10"/>
  <c r="MB80" i="10"/>
  <c r="MB75" i="10"/>
  <c r="MB70" i="10"/>
  <c r="MB64" i="10"/>
  <c r="MB57" i="10"/>
  <c r="MB51" i="10"/>
  <c r="MB45" i="10"/>
  <c r="MB40" i="10"/>
  <c r="MB35" i="10"/>
  <c r="MB29" i="10"/>
  <c r="MB24" i="10"/>
  <c r="MB19" i="10"/>
  <c r="MB13" i="10"/>
  <c r="MB7" i="10"/>
  <c r="LI40" i="13"/>
  <c r="LI31" i="13"/>
  <c r="LI13" i="13"/>
  <c r="LI9" i="13"/>
  <c r="LI5" i="13"/>
  <c r="CD12" i="12"/>
  <c r="CD4" i="12"/>
  <c r="CN48" i="9"/>
  <c r="CN41" i="9"/>
  <c r="CN35" i="9"/>
  <c r="CN29" i="9"/>
  <c r="CN24" i="9"/>
  <c r="CN16" i="9"/>
  <c r="CN10" i="9"/>
  <c r="CN5" i="9"/>
  <c r="CA44" i="9"/>
  <c r="CN13" i="18"/>
  <c r="CO13" i="18" s="1"/>
  <c r="CN5" i="18"/>
  <c r="CO5" i="18" s="1"/>
  <c r="CL49" i="17"/>
  <c r="CM49" i="17" s="1"/>
  <c r="CL39" i="17"/>
  <c r="CM39" i="17" s="1"/>
  <c r="CL35" i="17"/>
  <c r="CM35" i="17" s="1"/>
  <c r="CL29" i="17"/>
  <c r="CM29" i="17" s="1"/>
  <c r="CL23" i="17"/>
  <c r="CM23" i="17" s="1"/>
  <c r="CL16" i="17"/>
  <c r="CM16" i="17" s="1"/>
  <c r="CL10" i="17"/>
  <c r="CM10" i="17" s="1"/>
  <c r="CL5" i="17"/>
  <c r="CM5" i="17" s="1"/>
  <c r="CN12" i="18"/>
  <c r="CO12" i="18" s="1"/>
  <c r="CN10" i="18"/>
  <c r="CO10" i="18" s="1"/>
  <c r="CN4" i="18"/>
  <c r="CO4" i="18" s="1"/>
  <c r="CL50" i="17"/>
  <c r="CM50" i="17" s="1"/>
  <c r="CL38" i="17"/>
  <c r="CM38" i="17" s="1"/>
  <c r="CL33" i="17"/>
  <c r="CM33" i="17" s="1"/>
  <c r="CL25" i="17"/>
  <c r="CM25" i="17" s="1"/>
  <c r="CL14" i="17"/>
  <c r="CM14" i="17" s="1"/>
  <c r="CL8" i="17"/>
  <c r="CM8" i="17" s="1"/>
  <c r="CN16" i="18"/>
  <c r="CN9" i="18"/>
  <c r="CO9" i="18" s="1"/>
  <c r="CN7" i="18"/>
  <c r="CO7" i="18" s="1"/>
  <c r="CL47" i="17"/>
  <c r="CM47" i="17" s="1"/>
  <c r="CL37" i="17"/>
  <c r="CM37" i="17" s="1"/>
  <c r="CL30" i="17"/>
  <c r="CM30" i="17" s="1"/>
  <c r="CL21" i="17"/>
  <c r="CM21" i="17" s="1"/>
  <c r="CL13" i="17"/>
  <c r="CM13" i="17" s="1"/>
  <c r="CL7" i="17"/>
  <c r="CM7" i="17" s="1"/>
  <c r="CL36" i="17"/>
  <c r="CM36" i="17" s="1"/>
  <c r="CL19" i="17"/>
  <c r="CM19" i="17" s="1"/>
  <c r="CL34" i="17"/>
  <c r="CM34" i="17" s="1"/>
  <c r="CL18" i="17"/>
  <c r="CM18" i="17" s="1"/>
  <c r="CN14" i="18"/>
  <c r="CO14" i="18" s="1"/>
  <c r="CL46" i="17"/>
  <c r="CM46" i="17" s="1"/>
  <c r="CL12" i="17"/>
  <c r="CM12" i="17" s="1"/>
  <c r="CN8" i="18"/>
  <c r="CO8" i="18" s="1"/>
  <c r="CL27" i="17"/>
  <c r="CM27" i="17" s="1"/>
  <c r="CL40" i="17"/>
  <c r="CM40" i="17" s="1"/>
  <c r="CL28" i="17"/>
  <c r="CM28" i="17" s="1"/>
  <c r="CL9" i="17"/>
  <c r="CM9" i="17" s="1"/>
  <c r="KW39" i="13"/>
  <c r="KW37" i="13"/>
  <c r="KW36" i="13"/>
  <c r="KW34" i="13"/>
  <c r="KW30" i="13"/>
  <c r="KW25" i="13"/>
  <c r="KW21" i="13"/>
  <c r="KW14" i="13"/>
  <c r="KW10" i="13"/>
  <c r="BR14" i="12"/>
  <c r="BR10" i="12"/>
  <c r="CA51" i="9"/>
  <c r="CA46" i="9"/>
  <c r="CA40" i="9"/>
  <c r="CA36" i="9"/>
  <c r="CA31" i="9"/>
  <c r="CA27" i="9"/>
  <c r="CA22" i="9"/>
  <c r="CA17" i="9"/>
  <c r="CA12" i="9"/>
  <c r="CA8" i="9"/>
  <c r="CA4" i="9"/>
  <c r="KW40" i="13"/>
  <c r="KW31" i="13"/>
  <c r="KW13" i="13"/>
  <c r="KW9" i="13"/>
  <c r="KW5" i="13"/>
  <c r="BR12" i="12"/>
  <c r="BR4" i="12"/>
  <c r="CA48" i="9"/>
  <c r="CA41" i="9"/>
  <c r="CA35" i="9"/>
  <c r="CA29" i="9"/>
  <c r="CA24" i="9"/>
  <c r="CA16" i="9"/>
  <c r="CA10" i="9"/>
  <c r="CA5" i="9"/>
  <c r="LO170" i="10"/>
  <c r="LO166" i="10"/>
  <c r="LO160" i="10"/>
  <c r="LO156" i="10"/>
  <c r="LO151" i="10"/>
  <c r="LO147" i="10"/>
  <c r="LO143" i="10"/>
  <c r="LO139" i="10"/>
  <c r="LO135" i="10"/>
  <c r="LO131" i="10"/>
  <c r="LO127" i="10"/>
  <c r="LO123" i="10"/>
  <c r="LO119" i="10"/>
  <c r="LO115" i="10"/>
  <c r="LO111" i="10"/>
  <c r="LO107" i="10"/>
  <c r="LO103" i="10"/>
  <c r="LO99" i="10"/>
  <c r="LO95" i="10"/>
  <c r="LO91" i="10"/>
  <c r="LO87" i="10"/>
  <c r="LO83" i="10"/>
  <c r="LO79" i="10"/>
  <c r="LO75" i="10"/>
  <c r="LO71" i="10"/>
  <c r="LO67" i="10"/>
  <c r="LO63" i="10"/>
  <c r="LO59" i="10"/>
  <c r="LO53" i="10"/>
  <c r="LO49" i="10"/>
  <c r="LO45" i="10"/>
  <c r="LO41" i="10"/>
  <c r="LO37" i="10"/>
  <c r="LO33" i="10"/>
  <c r="LO29" i="10"/>
  <c r="LO25" i="10"/>
  <c r="LO21" i="10"/>
  <c r="LO17" i="10"/>
  <c r="LO13" i="10"/>
  <c r="LO8" i="10"/>
  <c r="KW49" i="13"/>
  <c r="KW38" i="13"/>
  <c r="KW29" i="13"/>
  <c r="KW18" i="13"/>
  <c r="BR9" i="12"/>
  <c r="BM44" i="9"/>
  <c r="BX13" i="18"/>
  <c r="BY13" i="18" s="1"/>
  <c r="BX11" i="18"/>
  <c r="BY11" i="18" s="1"/>
  <c r="BX8" i="18"/>
  <c r="BY8" i="18" s="1"/>
  <c r="BX5" i="18"/>
  <c r="BY5" i="18" s="1"/>
  <c r="BX14" i="18"/>
  <c r="BY14" i="18" s="1"/>
  <c r="BX9" i="18"/>
  <c r="BY9" i="18" s="1"/>
  <c r="BX6" i="18"/>
  <c r="BY6" i="18" s="1"/>
  <c r="BX12" i="18"/>
  <c r="BY12" i="18" s="1"/>
  <c r="BX16" i="18"/>
  <c r="BX4" i="18"/>
  <c r="BY4" i="18" s="1"/>
  <c r="BX10" i="18"/>
  <c r="BY10" i="18" s="1"/>
  <c r="JD49" i="13"/>
  <c r="JD47" i="13"/>
  <c r="JD46" i="13"/>
  <c r="JM41" i="13"/>
  <c r="JA41" i="13"/>
  <c r="JA40" i="13"/>
  <c r="JM39" i="13"/>
  <c r="JA39" i="13"/>
  <c r="JA38" i="13"/>
  <c r="JJ37" i="13"/>
  <c r="JJ36" i="13"/>
  <c r="JJ35" i="13"/>
  <c r="JG34" i="13"/>
  <c r="JA31" i="13"/>
  <c r="JJ30" i="13"/>
  <c r="JJ29" i="13"/>
  <c r="JJ28" i="13"/>
  <c r="JA26" i="13"/>
  <c r="JM25" i="13"/>
  <c r="JA25" i="13"/>
  <c r="JA23" i="13"/>
  <c r="JJ21" i="13"/>
  <c r="JG19" i="13"/>
  <c r="JD18" i="13"/>
  <c r="JA16" i="13"/>
  <c r="JJ14" i="13"/>
  <c r="JJ13" i="13"/>
  <c r="JA12" i="13"/>
  <c r="JJ10" i="13"/>
  <c r="JG9" i="13"/>
  <c r="JG8" i="13"/>
  <c r="JG7" i="13"/>
  <c r="JD5" i="13"/>
  <c r="BF14" i="12"/>
  <c r="BF10" i="12"/>
  <c r="BM51" i="9"/>
  <c r="BM46" i="9"/>
  <c r="BM41" i="9"/>
  <c r="BM37" i="9"/>
  <c r="BM33" i="9"/>
  <c r="BM29" i="9"/>
  <c r="BM25" i="9"/>
  <c r="BM20" i="9"/>
  <c r="BM16" i="9"/>
  <c r="BM12" i="9"/>
  <c r="BM8" i="9"/>
  <c r="BM4" i="9"/>
  <c r="JM46" i="13"/>
  <c r="JJ41" i="13"/>
  <c r="JG40" i="13"/>
  <c r="JJ38" i="13"/>
  <c r="JA37" i="13"/>
  <c r="JA36" i="13"/>
  <c r="JM35" i="13"/>
  <c r="JA34" i="13"/>
  <c r="JG31" i="13"/>
  <c r="JJ49" i="13"/>
  <c r="JA47" i="13"/>
  <c r="JJ46" i="13"/>
  <c r="JG41" i="13"/>
  <c r="JD40" i="13"/>
  <c r="JJ39" i="13"/>
  <c r="JG38" i="13"/>
  <c r="JG35" i="13"/>
  <c r="JD31" i="13"/>
  <c r="JG30" i="13"/>
  <c r="JD29" i="13"/>
  <c r="JG28" i="13"/>
  <c r="JG26" i="13"/>
  <c r="JJ23" i="13"/>
  <c r="JA21" i="13"/>
  <c r="JJ19" i="13"/>
  <c r="JG18" i="13"/>
  <c r="JD14" i="13"/>
  <c r="JA13" i="13"/>
  <c r="JD10" i="13"/>
  <c r="JA8" i="13"/>
  <c r="BF9" i="12"/>
  <c r="BM49" i="9"/>
  <c r="BM43" i="9"/>
  <c r="BM38" i="9"/>
  <c r="BM32" i="9"/>
  <c r="BM27" i="9"/>
  <c r="BM22" i="9"/>
  <c r="BM15" i="9"/>
  <c r="BM10" i="9"/>
  <c r="BM5" i="9"/>
  <c r="KB170" i="10"/>
  <c r="KB166" i="10"/>
  <c r="KB161" i="10"/>
  <c r="KB157" i="10"/>
  <c r="KB153" i="10"/>
  <c r="KB149" i="10"/>
  <c r="KB145" i="10"/>
  <c r="KB141" i="10"/>
  <c r="KB137" i="10"/>
  <c r="KB133" i="10"/>
  <c r="KB129" i="10"/>
  <c r="KB125" i="10"/>
  <c r="KB121" i="10"/>
  <c r="KB117" i="10"/>
  <c r="KB113" i="10"/>
  <c r="KB109" i="10"/>
  <c r="KB105" i="10"/>
  <c r="KB101" i="10"/>
  <c r="KB97" i="10"/>
  <c r="KB93" i="10"/>
  <c r="KB89" i="10"/>
  <c r="KB85" i="10"/>
  <c r="KB81" i="10"/>
  <c r="KB77" i="10"/>
  <c r="KB73" i="10"/>
  <c r="KB69" i="10"/>
  <c r="KB65" i="10"/>
  <c r="KB61" i="10"/>
  <c r="KB57" i="10"/>
  <c r="KB53" i="10"/>
  <c r="KB49" i="10"/>
  <c r="KB45" i="10"/>
  <c r="KB41" i="10"/>
  <c r="KB37" i="10"/>
  <c r="KB33" i="10"/>
  <c r="KB29" i="10"/>
  <c r="KB25" i="10"/>
  <c r="KB21" i="10"/>
  <c r="KB17" i="10"/>
  <c r="KB13" i="10"/>
  <c r="KB8" i="10"/>
  <c r="JX173" i="10"/>
  <c r="JX169" i="10"/>
  <c r="JX165" i="10"/>
  <c r="JX161" i="10"/>
  <c r="JX157" i="10"/>
  <c r="JX153" i="10"/>
  <c r="JX149" i="10"/>
  <c r="JX145" i="10"/>
  <c r="JX141" i="10"/>
  <c r="JX137" i="10"/>
  <c r="JX133" i="10"/>
  <c r="JX129" i="10"/>
  <c r="JX125" i="10"/>
  <c r="JX121" i="10"/>
  <c r="JX117" i="10"/>
  <c r="JX113" i="10"/>
  <c r="JX109" i="10"/>
  <c r="JX105" i="10"/>
  <c r="JX101" i="10"/>
  <c r="JX97" i="10"/>
  <c r="JX93" i="10"/>
  <c r="JX89" i="10"/>
  <c r="JX85" i="10"/>
  <c r="JX81" i="10"/>
  <c r="JX77" i="10"/>
  <c r="JX73" i="10"/>
  <c r="JX69" i="10"/>
  <c r="JX65" i="10"/>
  <c r="JX61" i="10"/>
  <c r="JX57" i="10"/>
  <c r="JX53" i="10"/>
  <c r="JX49" i="10"/>
  <c r="JX45" i="10"/>
  <c r="JX41" i="10"/>
  <c r="JX37" i="10"/>
  <c r="JX33" i="10"/>
  <c r="JX29" i="10"/>
  <c r="JX25" i="10"/>
  <c r="JX21" i="10"/>
  <c r="JX17" i="10"/>
  <c r="JX13" i="10"/>
  <c r="JX9" i="10"/>
  <c r="JX5" i="10"/>
  <c r="JT170" i="10"/>
  <c r="JT166" i="10"/>
  <c r="JT162" i="10"/>
  <c r="JT158" i="10"/>
  <c r="JT154" i="10"/>
  <c r="JT150" i="10"/>
  <c r="JT146" i="10"/>
  <c r="JT142" i="10"/>
  <c r="JT138" i="10"/>
  <c r="JT134" i="10"/>
  <c r="JT130" i="10"/>
  <c r="JT126" i="10"/>
  <c r="JT122" i="10"/>
  <c r="JT118" i="10"/>
  <c r="JT114" i="10"/>
  <c r="JT110" i="10"/>
  <c r="JT106" i="10"/>
  <c r="JT102" i="10"/>
  <c r="JT98" i="10"/>
  <c r="JT94" i="10"/>
  <c r="JT90" i="10"/>
  <c r="JT86" i="10"/>
  <c r="JT82" i="10"/>
  <c r="JT78" i="10"/>
  <c r="JT74" i="10"/>
  <c r="JT70" i="10"/>
  <c r="JT66" i="10"/>
  <c r="JT62" i="10"/>
  <c r="JT58" i="10"/>
  <c r="JT54" i="10"/>
  <c r="JT50" i="10"/>
  <c r="JT46" i="10"/>
  <c r="JT42" i="10"/>
  <c r="JT38" i="10"/>
  <c r="JT34" i="10"/>
  <c r="JT30" i="10"/>
  <c r="JT26" i="10"/>
  <c r="JT22" i="10"/>
  <c r="JT18" i="10"/>
  <c r="JT14" i="10"/>
  <c r="JT10" i="10"/>
  <c r="JT6" i="10"/>
  <c r="JP171" i="10"/>
  <c r="JP167" i="10"/>
  <c r="JP163" i="10"/>
  <c r="JP159" i="10"/>
  <c r="JP155" i="10"/>
  <c r="JP151" i="10"/>
  <c r="JP147" i="10"/>
  <c r="JP143" i="10"/>
  <c r="JP139" i="10"/>
  <c r="JP135" i="10"/>
  <c r="JP131" i="10"/>
  <c r="JP127" i="10"/>
  <c r="JP123" i="10"/>
  <c r="JP119" i="10"/>
  <c r="JP115" i="10"/>
  <c r="JP111" i="10"/>
  <c r="JP107" i="10"/>
  <c r="JP103" i="10"/>
  <c r="JP99" i="10"/>
  <c r="JP95" i="10"/>
  <c r="JP91" i="10"/>
  <c r="JP87" i="10"/>
  <c r="JP83" i="10"/>
  <c r="JP79" i="10"/>
  <c r="JP75" i="10"/>
  <c r="JP71" i="10"/>
  <c r="JP67" i="10"/>
  <c r="JP63" i="10"/>
  <c r="JP59" i="10"/>
  <c r="JP55" i="10"/>
  <c r="JP51" i="10"/>
  <c r="JP47" i="10"/>
  <c r="JP43" i="10"/>
  <c r="JP39" i="10"/>
  <c r="JP35" i="10"/>
  <c r="JP31" i="10"/>
  <c r="JP27" i="10"/>
  <c r="JP23" i="10"/>
  <c r="JP19" i="10"/>
  <c r="JP15" i="10"/>
  <c r="JP11" i="10"/>
  <c r="JP7" i="10"/>
  <c r="JG49" i="13"/>
  <c r="JG46" i="13"/>
  <c r="JD41" i="13"/>
  <c r="JG39" i="13"/>
  <c r="JD38" i="13"/>
  <c r="JG37" i="13"/>
  <c r="JG36" i="13"/>
  <c r="JD35" i="13"/>
  <c r="JJ34" i="13"/>
  <c r="JD30" i="13"/>
  <c r="JA29" i="13"/>
  <c r="JD28" i="13"/>
  <c r="JD26" i="13"/>
  <c r="JJ25" i="13"/>
  <c r="JG23" i="13"/>
  <c r="JD19" i="13"/>
  <c r="JA18" i="13"/>
  <c r="JJ16" i="13"/>
  <c r="JA14" i="13"/>
  <c r="JM13" i="13"/>
  <c r="JJ12" i="13"/>
  <c r="JA10" i="13"/>
  <c r="JJ9" i="13"/>
  <c r="JM8" i="13"/>
  <c r="JD7" i="13"/>
  <c r="JG5" i="13"/>
  <c r="BF16" i="12"/>
  <c r="BF6" i="12"/>
  <c r="DE44" i="9"/>
  <c r="DX12" i="18"/>
  <c r="DY12" i="18" s="1"/>
  <c r="DX10" i="18"/>
  <c r="DY10" i="18" s="1"/>
  <c r="DV46" i="17"/>
  <c r="DW46" i="17" s="1"/>
  <c r="DV37" i="17"/>
  <c r="DW37" i="17" s="1"/>
  <c r="DV33" i="17"/>
  <c r="DW33" i="17" s="1"/>
  <c r="DV27" i="17"/>
  <c r="DW27" i="17" s="1"/>
  <c r="DV19" i="17"/>
  <c r="DW19" i="17" s="1"/>
  <c r="DV13" i="17"/>
  <c r="DW13" i="17" s="1"/>
  <c r="DV8" i="17"/>
  <c r="DW8" i="17" s="1"/>
  <c r="DX16" i="18"/>
  <c r="DV40" i="17"/>
  <c r="DW40" i="17" s="1"/>
  <c r="DV35" i="17"/>
  <c r="DW35" i="17" s="1"/>
  <c r="DV28" i="17"/>
  <c r="DW28" i="17" s="1"/>
  <c r="DV18" i="17"/>
  <c r="DW18" i="17" s="1"/>
  <c r="DV10" i="17"/>
  <c r="DW10" i="17" s="1"/>
  <c r="DX14" i="18"/>
  <c r="DY14" i="18" s="1"/>
  <c r="DX4" i="18"/>
  <c r="DY4" i="18" s="1"/>
  <c r="DV50" i="17"/>
  <c r="DW50" i="17" s="1"/>
  <c r="DZ50" i="17" s="1"/>
  <c r="EC50" i="17" s="1"/>
  <c r="EF50" i="17" s="1"/>
  <c r="EI50" i="17" s="1"/>
  <c r="EL50" i="17" s="1"/>
  <c r="EO50" i="17" s="1"/>
  <c r="ER50" i="17" s="1"/>
  <c r="DV39" i="17"/>
  <c r="DW39" i="17" s="1"/>
  <c r="DV34" i="17"/>
  <c r="DW34" i="17" s="1"/>
  <c r="DV25" i="17"/>
  <c r="DW25" i="17" s="1"/>
  <c r="DV16" i="17"/>
  <c r="DW16" i="17" s="1"/>
  <c r="DV9" i="17"/>
  <c r="DW9" i="17" s="1"/>
  <c r="DX9" i="18"/>
  <c r="DY9" i="18" s="1"/>
  <c r="DX7" i="18"/>
  <c r="DY7" i="18" s="1"/>
  <c r="DV49" i="17"/>
  <c r="DW49" i="17" s="1"/>
  <c r="DV30" i="17"/>
  <c r="DW30" i="17" s="1"/>
  <c r="DV14" i="17"/>
  <c r="DW14" i="17" s="1"/>
  <c r="DX13" i="18"/>
  <c r="DY13" i="18" s="1"/>
  <c r="DV47" i="17"/>
  <c r="DW47" i="17" s="1"/>
  <c r="DV29" i="17"/>
  <c r="DW29" i="17" s="1"/>
  <c r="DV12" i="17"/>
  <c r="DW12" i="17" s="1"/>
  <c r="DX5" i="18"/>
  <c r="DY5" i="18" s="1"/>
  <c r="DV23" i="17"/>
  <c r="DW23" i="17" s="1"/>
  <c r="DV36" i="17"/>
  <c r="DW36" i="17" s="1"/>
  <c r="DV5" i="17"/>
  <c r="DW5" i="17" s="1"/>
  <c r="DV38" i="17"/>
  <c r="DW38" i="17" s="1"/>
  <c r="DV21" i="17"/>
  <c r="DW21" i="17" s="1"/>
  <c r="DV7" i="17"/>
  <c r="DW7" i="17" s="1"/>
  <c r="DX8" i="18"/>
  <c r="DY8" i="18" s="1"/>
  <c r="LX49" i="13"/>
  <c r="LX40" i="13"/>
  <c r="LX38" i="13"/>
  <c r="LX31" i="13"/>
  <c r="LX23" i="13"/>
  <c r="LX16" i="13"/>
  <c r="LX12" i="13"/>
  <c r="LX5" i="13"/>
  <c r="CS13" i="12"/>
  <c r="CS9" i="12"/>
  <c r="DE49" i="9"/>
  <c r="DE45" i="9"/>
  <c r="DE40" i="9"/>
  <c r="DE36" i="9"/>
  <c r="DE31" i="9"/>
  <c r="DE27" i="9"/>
  <c r="DE22" i="9"/>
  <c r="DE16" i="9"/>
  <c r="DE11" i="9"/>
  <c r="DE7" i="9"/>
  <c r="MR173" i="10"/>
  <c r="MR169" i="10"/>
  <c r="MR165" i="10"/>
  <c r="MR160" i="10"/>
  <c r="MR156" i="10"/>
  <c r="MR151" i="10"/>
  <c r="MR147" i="10"/>
  <c r="MR143" i="10"/>
  <c r="MR139" i="10"/>
  <c r="MR135" i="10"/>
  <c r="MR131" i="10"/>
  <c r="MR127" i="10"/>
  <c r="MR123" i="10"/>
  <c r="MR119" i="10"/>
  <c r="MR115" i="10"/>
  <c r="MR111" i="10"/>
  <c r="MR107" i="10"/>
  <c r="MR103" i="10"/>
  <c r="MR99" i="10"/>
  <c r="MR95" i="10"/>
  <c r="MR91" i="10"/>
  <c r="MR87" i="10"/>
  <c r="MR83" i="10"/>
  <c r="MR79" i="10"/>
  <c r="MR75" i="10"/>
  <c r="MR71" i="10"/>
  <c r="MR67" i="10"/>
  <c r="MR63" i="10"/>
  <c r="MR59" i="10"/>
  <c r="MR54" i="10"/>
  <c r="MR50" i="10"/>
  <c r="MR46" i="10"/>
  <c r="MR42" i="10"/>
  <c r="MR38" i="10"/>
  <c r="MR34" i="10"/>
  <c r="MR30" i="10"/>
  <c r="MR26" i="10"/>
  <c r="MR22" i="10"/>
  <c r="MR17" i="10"/>
  <c r="MR13" i="10"/>
  <c r="MR8" i="10"/>
  <c r="LX47" i="13"/>
  <c r="LX36" i="13"/>
  <c r="LX35" i="13"/>
  <c r="LX39" i="13"/>
  <c r="LX30" i="13"/>
  <c r="LX19" i="13"/>
  <c r="LX7" i="13"/>
  <c r="CS14" i="12"/>
  <c r="CS7" i="12"/>
  <c r="CS5" i="12"/>
  <c r="DE47" i="9"/>
  <c r="DE41" i="9"/>
  <c r="DE35" i="9"/>
  <c r="DE29" i="9"/>
  <c r="DE24" i="9"/>
  <c r="DE15" i="9"/>
  <c r="DE9" i="9"/>
  <c r="DE4" i="9"/>
  <c r="MR171" i="10"/>
  <c r="MR166" i="10"/>
  <c r="MR159" i="10"/>
  <c r="MR153" i="10"/>
  <c r="MR148" i="10"/>
  <c r="MR142" i="10"/>
  <c r="MR137" i="10"/>
  <c r="MR132" i="10"/>
  <c r="MR126" i="10"/>
  <c r="MR121" i="10"/>
  <c r="MR116" i="10"/>
  <c r="MR110" i="10"/>
  <c r="MR105" i="10"/>
  <c r="MR100" i="10"/>
  <c r="MR94" i="10"/>
  <c r="MR89" i="10"/>
  <c r="MR84" i="10"/>
  <c r="MR78" i="10"/>
  <c r="MR73" i="10"/>
  <c r="MR68" i="10"/>
  <c r="MR62" i="10"/>
  <c r="MR57" i="10"/>
  <c r="MR51" i="10"/>
  <c r="MR45" i="10"/>
  <c r="MR40" i="10"/>
  <c r="MR35" i="10"/>
  <c r="MR29" i="10"/>
  <c r="MR24" i="10"/>
  <c r="MR19" i="10"/>
  <c r="MR12" i="10"/>
  <c r="MR6" i="10"/>
  <c r="LX37" i="13"/>
  <c r="LX25" i="13"/>
  <c r="LX13" i="13"/>
  <c r="LX9" i="13"/>
  <c r="CS12" i="12"/>
  <c r="CS4" i="12"/>
  <c r="DE46" i="9"/>
  <c r="DE39" i="9"/>
  <c r="DE34" i="9"/>
  <c r="DE28" i="9"/>
  <c r="DE21" i="9"/>
  <c r="DE14" i="9"/>
  <c r="DE8" i="9"/>
  <c r="BB44" i="9"/>
  <c r="BL12" i="18"/>
  <c r="BM12" i="18" s="1"/>
  <c r="BL10" i="18"/>
  <c r="BM10" i="18" s="1"/>
  <c r="BL8" i="18"/>
  <c r="BL16" i="18"/>
  <c r="BL14" i="18"/>
  <c r="BM14" i="18" s="1"/>
  <c r="BL11" i="18"/>
  <c r="BM11" i="18" s="1"/>
  <c r="BL4" i="18"/>
  <c r="BM4" i="18" s="1"/>
  <c r="BL13" i="18"/>
  <c r="BM13" i="18" s="1"/>
  <c r="BL5" i="18"/>
  <c r="BM5" i="18" s="1"/>
  <c r="BL6" i="18"/>
  <c r="BM6" i="18" s="1"/>
  <c r="BL9" i="18"/>
  <c r="BM9" i="18" s="1"/>
  <c r="HQ41" i="13"/>
  <c r="HN40" i="13"/>
  <c r="HQ39" i="13"/>
  <c r="HN38" i="13"/>
  <c r="HK37" i="13"/>
  <c r="HK36" i="13"/>
  <c r="HN35" i="13"/>
  <c r="HQ34" i="13"/>
  <c r="HN31" i="13"/>
  <c r="HK30" i="13"/>
  <c r="HN29" i="13"/>
  <c r="HK28" i="13"/>
  <c r="HN26" i="13"/>
  <c r="HQ25" i="13"/>
  <c r="HN23" i="13"/>
  <c r="HK21" i="13"/>
  <c r="HQ18" i="13"/>
  <c r="HN16" i="13"/>
  <c r="HK14" i="13"/>
  <c r="HQ13" i="13"/>
  <c r="HN12" i="13"/>
  <c r="HK10" i="13"/>
  <c r="HK8" i="13"/>
  <c r="HQ7" i="13"/>
  <c r="AW13" i="12"/>
  <c r="AW9" i="12"/>
  <c r="AW6" i="12"/>
  <c r="BB8" i="9"/>
  <c r="BB12" i="9"/>
  <c r="BB16" i="9"/>
  <c r="BB20" i="9"/>
  <c r="BB25" i="9"/>
  <c r="BB29" i="9"/>
  <c r="BB33" i="9"/>
  <c r="BB37" i="9"/>
  <c r="BB41" i="9"/>
  <c r="BB46" i="9"/>
  <c r="BB4" i="9"/>
  <c r="HQ46" i="13"/>
  <c r="HN41" i="13"/>
  <c r="HT39" i="13"/>
  <c r="HK38" i="13"/>
  <c r="HQ35" i="13"/>
  <c r="HN34" i="13"/>
  <c r="HQ49" i="13"/>
  <c r="HN47" i="13"/>
  <c r="HN46" i="13"/>
  <c r="HK41" i="13"/>
  <c r="HN39" i="13"/>
  <c r="HQ37" i="13"/>
  <c r="HQ36" i="13"/>
  <c r="HK35" i="13"/>
  <c r="HK34" i="13"/>
  <c r="HN30" i="13"/>
  <c r="HN28" i="13"/>
  <c r="HT25" i="13"/>
  <c r="HK23" i="13"/>
  <c r="HN19" i="13"/>
  <c r="HQ16" i="13"/>
  <c r="HQ12" i="13"/>
  <c r="HQ9" i="13"/>
  <c r="HT8" i="13"/>
  <c r="HK7" i="13"/>
  <c r="AW14" i="12"/>
  <c r="AW5" i="12"/>
  <c r="BB11" i="9"/>
  <c r="BB17" i="9"/>
  <c r="BB23" i="9"/>
  <c r="BB28" i="9"/>
  <c r="BB34" i="9"/>
  <c r="BB39" i="9"/>
  <c r="BB45" i="9"/>
  <c r="BB5" i="9"/>
  <c r="IF171" i="10"/>
  <c r="IF167" i="10"/>
  <c r="IF163" i="10"/>
  <c r="IF158" i="10"/>
  <c r="IF154" i="10"/>
  <c r="IF150" i="10"/>
  <c r="IF146" i="10"/>
  <c r="IF142" i="10"/>
  <c r="IF138" i="10"/>
  <c r="IF134" i="10"/>
  <c r="IF130" i="10"/>
  <c r="IF126" i="10"/>
  <c r="IF122" i="10"/>
  <c r="IF118" i="10"/>
  <c r="IF114" i="10"/>
  <c r="IF110" i="10"/>
  <c r="IF106" i="10"/>
  <c r="IF102" i="10"/>
  <c r="IF98" i="10"/>
  <c r="IF94" i="10"/>
  <c r="IF90" i="10"/>
  <c r="IF86" i="10"/>
  <c r="IF82" i="10"/>
  <c r="IF78" i="10"/>
  <c r="IF74" i="10"/>
  <c r="IF70" i="10"/>
  <c r="IF66" i="10"/>
  <c r="IF62" i="10"/>
  <c r="IF58" i="10"/>
  <c r="IF54" i="10"/>
  <c r="IF50" i="10"/>
  <c r="IF46" i="10"/>
  <c r="IF42" i="10"/>
  <c r="IF38" i="10"/>
  <c r="IF34" i="10"/>
  <c r="IF30" i="10"/>
  <c r="IF26" i="10"/>
  <c r="IF22" i="10"/>
  <c r="IF18" i="10"/>
  <c r="IF14" i="10"/>
  <c r="IF10" i="10"/>
  <c r="IF5" i="10"/>
  <c r="IB170" i="10"/>
  <c r="IB166" i="10"/>
  <c r="IB162" i="10"/>
  <c r="IB158" i="10"/>
  <c r="IB154" i="10"/>
  <c r="IB150" i="10"/>
  <c r="IB146" i="10"/>
  <c r="IB142" i="10"/>
  <c r="IB138" i="10"/>
  <c r="IB134" i="10"/>
  <c r="IB130" i="10"/>
  <c r="IB126" i="10"/>
  <c r="IB122" i="10"/>
  <c r="IB118" i="10"/>
  <c r="IB114" i="10"/>
  <c r="IB110" i="10"/>
  <c r="IB106" i="10"/>
  <c r="IB102" i="10"/>
  <c r="IB98" i="10"/>
  <c r="IB94" i="10"/>
  <c r="IB90" i="10"/>
  <c r="IB86" i="10"/>
  <c r="IB82" i="10"/>
  <c r="IB78" i="10"/>
  <c r="IB74" i="10"/>
  <c r="IB70" i="10"/>
  <c r="IB66" i="10"/>
  <c r="IB62" i="10"/>
  <c r="IB58" i="10"/>
  <c r="IB54" i="10"/>
  <c r="IB50" i="10"/>
  <c r="IB46" i="10"/>
  <c r="IB42" i="10"/>
  <c r="IB38" i="10"/>
  <c r="IB34" i="10"/>
  <c r="IB30" i="10"/>
  <c r="IB26" i="10"/>
  <c r="IB22" i="10"/>
  <c r="IB18" i="10"/>
  <c r="IB14" i="10"/>
  <c r="IB10" i="10"/>
  <c r="IB6" i="10"/>
  <c r="HY171" i="10"/>
  <c r="HY167" i="10"/>
  <c r="HY163" i="10"/>
  <c r="HY159" i="10"/>
  <c r="HY155" i="10"/>
  <c r="HY151" i="10"/>
  <c r="HY147" i="10"/>
  <c r="HY143" i="10"/>
  <c r="HY139" i="10"/>
  <c r="HY135" i="10"/>
  <c r="HY131" i="10"/>
  <c r="HY127" i="10"/>
  <c r="HY123" i="10"/>
  <c r="HY119" i="10"/>
  <c r="HY115" i="10"/>
  <c r="HY111" i="10"/>
  <c r="HY107" i="10"/>
  <c r="HY103" i="10"/>
  <c r="HY99" i="10"/>
  <c r="HY95" i="10"/>
  <c r="HY91" i="10"/>
  <c r="HY87" i="10"/>
  <c r="HY83" i="10"/>
  <c r="HY79" i="10"/>
  <c r="HY75" i="10"/>
  <c r="HY71" i="10"/>
  <c r="HY67" i="10"/>
  <c r="HY63" i="10"/>
  <c r="HY59" i="10"/>
  <c r="HY55" i="10"/>
  <c r="HY51" i="10"/>
  <c r="HY47" i="10"/>
  <c r="HY43" i="10"/>
  <c r="HY39" i="10"/>
  <c r="HY35" i="10"/>
  <c r="HY31" i="10"/>
  <c r="HY27" i="10"/>
  <c r="HY23" i="10"/>
  <c r="HY19" i="10"/>
  <c r="HY15" i="10"/>
  <c r="HY11" i="10"/>
  <c r="HY7" i="10"/>
  <c r="HU6" i="10"/>
  <c r="HU10" i="10"/>
  <c r="HU14" i="10"/>
  <c r="HU18" i="10"/>
  <c r="HU22" i="10"/>
  <c r="HU26" i="10"/>
  <c r="HU30" i="10"/>
  <c r="HU34" i="10"/>
  <c r="HU38" i="10"/>
  <c r="HU42" i="10"/>
  <c r="HU46" i="10"/>
  <c r="HU50" i="10"/>
  <c r="HU54" i="10"/>
  <c r="HU58" i="10"/>
  <c r="HU62" i="10"/>
  <c r="HU66" i="10"/>
  <c r="HU70" i="10"/>
  <c r="HU74" i="10"/>
  <c r="HU78" i="10"/>
  <c r="HU82" i="10"/>
  <c r="HU86" i="10"/>
  <c r="HU90" i="10"/>
  <c r="HU94" i="10"/>
  <c r="HU98" i="10"/>
  <c r="HU102" i="10"/>
  <c r="HU106" i="10"/>
  <c r="HU110" i="10"/>
  <c r="HU114" i="10"/>
  <c r="HU118" i="10"/>
  <c r="HU122" i="10"/>
  <c r="HU126" i="10"/>
  <c r="HU130" i="10"/>
  <c r="HU134" i="10"/>
  <c r="HU138" i="10"/>
  <c r="HU142" i="10"/>
  <c r="HU146" i="10"/>
  <c r="HU150" i="10"/>
  <c r="HU154" i="10"/>
  <c r="HU158" i="10"/>
  <c r="HU162" i="10"/>
  <c r="HU166" i="10"/>
  <c r="HU170" i="10"/>
  <c r="HN49" i="13"/>
  <c r="HK47" i="13"/>
  <c r="HK46" i="13"/>
  <c r="HQ40" i="13"/>
  <c r="HK39" i="13"/>
  <c r="HN37" i="13"/>
  <c r="HN36" i="13"/>
  <c r="HQ31" i="13"/>
  <c r="HT29" i="13"/>
  <c r="HN25" i="13"/>
  <c r="HQ21" i="13"/>
  <c r="HK19" i="13"/>
  <c r="HK16" i="13"/>
  <c r="HT13" i="13"/>
  <c r="HK12" i="13"/>
  <c r="HN9" i="13"/>
  <c r="HQ8" i="13"/>
  <c r="AW12" i="12"/>
  <c r="AW11" i="12"/>
  <c r="AW4" i="12"/>
  <c r="HU171" i="10"/>
  <c r="HU165" i="10"/>
  <c r="HU160" i="10"/>
  <c r="HU155" i="10"/>
  <c r="HU149" i="10"/>
  <c r="HU144" i="10"/>
  <c r="HU139" i="10"/>
  <c r="HU133" i="10"/>
  <c r="HU128" i="10"/>
  <c r="HU123" i="10"/>
  <c r="HU117" i="10"/>
  <c r="HU112" i="10"/>
  <c r="HU107" i="10"/>
  <c r="HU101" i="10"/>
  <c r="HU96" i="10"/>
  <c r="HU91" i="10"/>
  <c r="HU85" i="10"/>
  <c r="HU80" i="10"/>
  <c r="HU75" i="10"/>
  <c r="HU69" i="10"/>
  <c r="HU64" i="10"/>
  <c r="HU59" i="10"/>
  <c r="HU53" i="10"/>
  <c r="HU48" i="10"/>
  <c r="HU43" i="10"/>
  <c r="HU37" i="10"/>
  <c r="HU32" i="10"/>
  <c r="HU27" i="10"/>
  <c r="HU21" i="10"/>
  <c r="HU16" i="10"/>
  <c r="HU11" i="10"/>
  <c r="HU5" i="10"/>
  <c r="HY9" i="10"/>
  <c r="HY14" i="10"/>
  <c r="HY20" i="10"/>
  <c r="HY25" i="10"/>
  <c r="HY30" i="10"/>
  <c r="HY36" i="10"/>
  <c r="HY41" i="10"/>
  <c r="HY46" i="10"/>
  <c r="HY52" i="10"/>
  <c r="HY57" i="10"/>
  <c r="HY62" i="10"/>
  <c r="HY68" i="10"/>
  <c r="HY73" i="10"/>
  <c r="HY78" i="10"/>
  <c r="HY84" i="10"/>
  <c r="HY89" i="10"/>
  <c r="HY94" i="10"/>
  <c r="HY100" i="10"/>
  <c r="HY105" i="10"/>
  <c r="HY110" i="10"/>
  <c r="HY116" i="10"/>
  <c r="HY121" i="10"/>
  <c r="HY126" i="10"/>
  <c r="HY132" i="10"/>
  <c r="HY137" i="10"/>
  <c r="HY142" i="10"/>
  <c r="HY148" i="10"/>
  <c r="HY153" i="10"/>
  <c r="HY158" i="10"/>
  <c r="HY164" i="10"/>
  <c r="HY169" i="10"/>
  <c r="IB5" i="10"/>
  <c r="IB11" i="10"/>
  <c r="IB16" i="10"/>
  <c r="IB21" i="10"/>
  <c r="IB27" i="10"/>
  <c r="IB32" i="10"/>
  <c r="IB37" i="10"/>
  <c r="IB43" i="10"/>
  <c r="IB48" i="10"/>
  <c r="IB53" i="10"/>
  <c r="IB59" i="10"/>
  <c r="IB64" i="10"/>
  <c r="IB69" i="10"/>
  <c r="IB75" i="10"/>
  <c r="IB80" i="10"/>
  <c r="IB85" i="10"/>
  <c r="IB91" i="10"/>
  <c r="IB96" i="10"/>
  <c r="IB101" i="10"/>
  <c r="IB107" i="10"/>
  <c r="IB112" i="10"/>
  <c r="IB117" i="10"/>
  <c r="IB123" i="10"/>
  <c r="IB128" i="10"/>
  <c r="IB133" i="10"/>
  <c r="IB139" i="10"/>
  <c r="IB144" i="10"/>
  <c r="IB149" i="10"/>
  <c r="IB155" i="10"/>
  <c r="IB160" i="10"/>
  <c r="IB165" i="10"/>
  <c r="IB171" i="10"/>
  <c r="IF7" i="10"/>
  <c r="IF13" i="10"/>
  <c r="IF19" i="10"/>
  <c r="IF24" i="10"/>
  <c r="IF29" i="10"/>
  <c r="IF35" i="10"/>
  <c r="IF40" i="10"/>
  <c r="IF45" i="10"/>
  <c r="IF51" i="10"/>
  <c r="IF56" i="10"/>
  <c r="IF61" i="10"/>
  <c r="IF67" i="10"/>
  <c r="IF72" i="10"/>
  <c r="IF77" i="10"/>
  <c r="IF83" i="10"/>
  <c r="IF88" i="10"/>
  <c r="IF93" i="10"/>
  <c r="IF99" i="10"/>
  <c r="IF104" i="10"/>
  <c r="IF109" i="10"/>
  <c r="IF115" i="10"/>
  <c r="IF120" i="10"/>
  <c r="IF125" i="10"/>
  <c r="IF131" i="10"/>
  <c r="IF136" i="10"/>
  <c r="IF141" i="10"/>
  <c r="IF147" i="10"/>
  <c r="IF152" i="10"/>
  <c r="IF157" i="10"/>
  <c r="IF164" i="10"/>
  <c r="IF169" i="10"/>
  <c r="JP8" i="10"/>
  <c r="JP13" i="10"/>
  <c r="JP18" i="10"/>
  <c r="JP24" i="10"/>
  <c r="JP29" i="10"/>
  <c r="JP34" i="10"/>
  <c r="JP40" i="10"/>
  <c r="JP45" i="10"/>
  <c r="JP50" i="10"/>
  <c r="JP56" i="10"/>
  <c r="JP61" i="10"/>
  <c r="JP66" i="10"/>
  <c r="JP72" i="10"/>
  <c r="JP77" i="10"/>
  <c r="JP82" i="10"/>
  <c r="JP88" i="10"/>
  <c r="JP93" i="10"/>
  <c r="JP98" i="10"/>
  <c r="JP104" i="10"/>
  <c r="JP109" i="10"/>
  <c r="JP114" i="10"/>
  <c r="JP120" i="10"/>
  <c r="JP125" i="10"/>
  <c r="JP130" i="10"/>
  <c r="JP136" i="10"/>
  <c r="JP141" i="10"/>
  <c r="JP146" i="10"/>
  <c r="JP152" i="10"/>
  <c r="JP157" i="10"/>
  <c r="JP162" i="10"/>
  <c r="JP168" i="10"/>
  <c r="JP173" i="10"/>
  <c r="JT9" i="10"/>
  <c r="JT15" i="10"/>
  <c r="JT20" i="10"/>
  <c r="JT25" i="10"/>
  <c r="JT31" i="10"/>
  <c r="JT36" i="10"/>
  <c r="JT41" i="10"/>
  <c r="JT47" i="10"/>
  <c r="JT52" i="10"/>
  <c r="JT57" i="10"/>
  <c r="JT63" i="10"/>
  <c r="JT68" i="10"/>
  <c r="JT73" i="10"/>
  <c r="JT79" i="10"/>
  <c r="JT84" i="10"/>
  <c r="JT89" i="10"/>
  <c r="JT95" i="10"/>
  <c r="JT100" i="10"/>
  <c r="JT105" i="10"/>
  <c r="JT111" i="10"/>
  <c r="JT116" i="10"/>
  <c r="JT121" i="10"/>
  <c r="JT127" i="10"/>
  <c r="JT132" i="10"/>
  <c r="JT137" i="10"/>
  <c r="JT143" i="10"/>
  <c r="JT148" i="10"/>
  <c r="JT153" i="10"/>
  <c r="JT159" i="10"/>
  <c r="JT164" i="10"/>
  <c r="JT169" i="10"/>
  <c r="JX6" i="10"/>
  <c r="JX11" i="10"/>
  <c r="JX16" i="10"/>
  <c r="JX22" i="10"/>
  <c r="JX27" i="10"/>
  <c r="JX32" i="10"/>
  <c r="JX38" i="10"/>
  <c r="JX43" i="10"/>
  <c r="JX48" i="10"/>
  <c r="JX54" i="10"/>
  <c r="JX59" i="10"/>
  <c r="JX64" i="10"/>
  <c r="JX70" i="10"/>
  <c r="JX75" i="10"/>
  <c r="JX80" i="10"/>
  <c r="JX86" i="10"/>
  <c r="JX91" i="10"/>
  <c r="JX96" i="10"/>
  <c r="JX102" i="10"/>
  <c r="JX107" i="10"/>
  <c r="JX112" i="10"/>
  <c r="JX118" i="10"/>
  <c r="JX123" i="10"/>
  <c r="JX128" i="10"/>
  <c r="JX134" i="10"/>
  <c r="JX139" i="10"/>
  <c r="JX144" i="10"/>
  <c r="JX150" i="10"/>
  <c r="JX155" i="10"/>
  <c r="JX160" i="10"/>
  <c r="JX166" i="10"/>
  <c r="JX171" i="10"/>
  <c r="KB7" i="10"/>
  <c r="KB14" i="10"/>
  <c r="KB19" i="10"/>
  <c r="KB24" i="10"/>
  <c r="KB30" i="10"/>
  <c r="KB35" i="10"/>
  <c r="KB40" i="10"/>
  <c r="KB46" i="10"/>
  <c r="KB51" i="10"/>
  <c r="KB56" i="10"/>
  <c r="KB62" i="10"/>
  <c r="KB67" i="10"/>
  <c r="KB72" i="10"/>
  <c r="KB78" i="10"/>
  <c r="KB83" i="10"/>
  <c r="KB88" i="10"/>
  <c r="KB94" i="10"/>
  <c r="KB99" i="10"/>
  <c r="KB104" i="10"/>
  <c r="KB110" i="10"/>
  <c r="KB115" i="10"/>
  <c r="KB120" i="10"/>
  <c r="KB126" i="10"/>
  <c r="KB131" i="10"/>
  <c r="KB136" i="10"/>
  <c r="KB142" i="10"/>
  <c r="KB147" i="10"/>
  <c r="KB152" i="10"/>
  <c r="KB158" i="10"/>
  <c r="KB164" i="10"/>
  <c r="KB169" i="10"/>
  <c r="KF6" i="10"/>
  <c r="KF11" i="10"/>
  <c r="KF16" i="10"/>
  <c r="KF22" i="10"/>
  <c r="KF27" i="10"/>
  <c r="KF32" i="10"/>
  <c r="KF38" i="10"/>
  <c r="KF43" i="10"/>
  <c r="KF48" i="10"/>
  <c r="KF54" i="10"/>
  <c r="KF59" i="10"/>
  <c r="KF64" i="10"/>
  <c r="KF70" i="10"/>
  <c r="KF75" i="10"/>
  <c r="KF80" i="10"/>
  <c r="KF86" i="10"/>
  <c r="KF91" i="10"/>
  <c r="KF96" i="10"/>
  <c r="KF102" i="10"/>
  <c r="KF107" i="10"/>
  <c r="KF112" i="10"/>
  <c r="KF118" i="10"/>
  <c r="KF123" i="10"/>
  <c r="KF128" i="10"/>
  <c r="KF134" i="10"/>
  <c r="KF139" i="10"/>
  <c r="KF144" i="10"/>
  <c r="KF150" i="10"/>
  <c r="KF155" i="10"/>
  <c r="KF160" i="10"/>
  <c r="KF166" i="10"/>
  <c r="KF171" i="10"/>
  <c r="KJ7" i="10"/>
  <c r="KJ13" i="10"/>
  <c r="KJ18" i="10"/>
  <c r="KJ23" i="10"/>
  <c r="KJ29" i="10"/>
  <c r="KJ34" i="10"/>
  <c r="KJ39" i="10"/>
  <c r="KJ45" i="10"/>
  <c r="KJ50" i="10"/>
  <c r="KJ55" i="10"/>
  <c r="KJ61" i="10"/>
  <c r="KJ66" i="10"/>
  <c r="KJ71" i="10"/>
  <c r="KJ77" i="10"/>
  <c r="KJ82" i="10"/>
  <c r="KJ87" i="10"/>
  <c r="KJ93" i="10"/>
  <c r="KJ98" i="10"/>
  <c r="KJ103" i="10"/>
  <c r="KJ109" i="10"/>
  <c r="KJ114" i="10"/>
  <c r="KJ119" i="10"/>
  <c r="KJ125" i="10"/>
  <c r="KJ130" i="10"/>
  <c r="KJ135" i="10"/>
  <c r="KJ141" i="10"/>
  <c r="KJ146" i="10"/>
  <c r="KJ151" i="10"/>
  <c r="KJ157" i="10"/>
  <c r="KJ162" i="10"/>
  <c r="KJ167" i="10"/>
  <c r="KJ173" i="10"/>
  <c r="KN9" i="10"/>
  <c r="KN14" i="10"/>
  <c r="KN20" i="10"/>
  <c r="KN25" i="10"/>
  <c r="KN30" i="10"/>
  <c r="KN36" i="10"/>
  <c r="KN41" i="10"/>
  <c r="KN46" i="10"/>
  <c r="KN52" i="10"/>
  <c r="KN57" i="10"/>
  <c r="KN62" i="10"/>
  <c r="KN68" i="10"/>
  <c r="KN73" i="10"/>
  <c r="KN78" i="10"/>
  <c r="KN84" i="10"/>
  <c r="KN89" i="10"/>
  <c r="KN94" i="10"/>
  <c r="KN100" i="10"/>
  <c r="KN105" i="10"/>
  <c r="KN110" i="10"/>
  <c r="KN116" i="10"/>
  <c r="KN121" i="10"/>
  <c r="KN126" i="10"/>
  <c r="KN132" i="10"/>
  <c r="KN137" i="10"/>
  <c r="KN142" i="10"/>
  <c r="KN148" i="10"/>
  <c r="KN153" i="10"/>
  <c r="KN158" i="10"/>
  <c r="KN164" i="10"/>
  <c r="KN169" i="10"/>
  <c r="KR5" i="10"/>
  <c r="KR12" i="10"/>
  <c r="KR17" i="10"/>
  <c r="KR22" i="10"/>
  <c r="KR28" i="10"/>
  <c r="KR33" i="10"/>
  <c r="KR38" i="10"/>
  <c r="KR44" i="10"/>
  <c r="KR49" i="10"/>
  <c r="KR54" i="10"/>
  <c r="KR60" i="10"/>
  <c r="KR65" i="10"/>
  <c r="KR70" i="10"/>
  <c r="KR76" i="10"/>
  <c r="KR81" i="10"/>
  <c r="KR86" i="10"/>
  <c r="KR93" i="10"/>
  <c r="KR98" i="10"/>
  <c r="KR103" i="10"/>
  <c r="KR109" i="10"/>
  <c r="KR114" i="10"/>
  <c r="KR119" i="10"/>
  <c r="KR125" i="10"/>
  <c r="KR130" i="10"/>
  <c r="KR135" i="10"/>
  <c r="KR141" i="10"/>
  <c r="KR146" i="10"/>
  <c r="KR151" i="10"/>
  <c r="KR157" i="10"/>
  <c r="KR163" i="10"/>
  <c r="KR168" i="10"/>
  <c r="LL8" i="10"/>
  <c r="LL15" i="10"/>
  <c r="LL21" i="10"/>
  <c r="LL26" i="10"/>
  <c r="LL31" i="10"/>
  <c r="LL37" i="10"/>
  <c r="LL42" i="10"/>
  <c r="LL47" i="10"/>
  <c r="LL53" i="10"/>
  <c r="LL60" i="10"/>
  <c r="LL65" i="10"/>
  <c r="LL71" i="10"/>
  <c r="LL76" i="10"/>
  <c r="LL81" i="10"/>
  <c r="LL87" i="10"/>
  <c r="LL92" i="10"/>
  <c r="LL97" i="10"/>
  <c r="LL103" i="10"/>
  <c r="LL108" i="10"/>
  <c r="LL113" i="10"/>
  <c r="LL119" i="10"/>
  <c r="LL124" i="10"/>
  <c r="LL129" i="10"/>
  <c r="LL135" i="10"/>
  <c r="LL140" i="10"/>
  <c r="LL145" i="10"/>
  <c r="LL151" i="10"/>
  <c r="LL157" i="10"/>
  <c r="LL164" i="10"/>
  <c r="LL170" i="10"/>
  <c r="LO6" i="10"/>
  <c r="LO12" i="10"/>
  <c r="LO18" i="10"/>
  <c r="LO23" i="10"/>
  <c r="LO28" i="10"/>
  <c r="LO34" i="10"/>
  <c r="LO39" i="10"/>
  <c r="LO44" i="10"/>
  <c r="LO50" i="10"/>
  <c r="LO55" i="10"/>
  <c r="LO62" i="10"/>
  <c r="LO68" i="10"/>
  <c r="LO73" i="10"/>
  <c r="LO78" i="10"/>
  <c r="LO84" i="10"/>
  <c r="LO89" i="10"/>
  <c r="LO94" i="10"/>
  <c r="LO100" i="10"/>
  <c r="LO105" i="10"/>
  <c r="LO110" i="10"/>
  <c r="LO116" i="10"/>
  <c r="LO121" i="10"/>
  <c r="LO126" i="10"/>
  <c r="LO132" i="10"/>
  <c r="LO137" i="10"/>
  <c r="LO142" i="10"/>
  <c r="LO148" i="10"/>
  <c r="LO153" i="10"/>
  <c r="LO159" i="10"/>
  <c r="LO167" i="10"/>
  <c r="LO172" i="10"/>
  <c r="MB6" i="10"/>
  <c r="MB15" i="10"/>
  <c r="MB21" i="10"/>
  <c r="MB28" i="10"/>
  <c r="MB36" i="10"/>
  <c r="MB43" i="10"/>
  <c r="MB49" i="10"/>
  <c r="MB60" i="10"/>
  <c r="MB67" i="10"/>
  <c r="MB74" i="10"/>
  <c r="MB82" i="10"/>
  <c r="MB88" i="10"/>
  <c r="MB95" i="10"/>
  <c r="MB103" i="10"/>
  <c r="MB110" i="10"/>
  <c r="MB116" i="10"/>
  <c r="MB124" i="10"/>
  <c r="MB131" i="10"/>
  <c r="MB138" i="10"/>
  <c r="MB146" i="10"/>
  <c r="MB152" i="10"/>
  <c r="MB160" i="10"/>
  <c r="MB170" i="10"/>
  <c r="ME5" i="10"/>
  <c r="ME13" i="10"/>
  <c r="ME20" i="10"/>
  <c r="ME28" i="10"/>
  <c r="ME34" i="10"/>
  <c r="ME41" i="10"/>
  <c r="ME49" i="10"/>
  <c r="ME57" i="10"/>
  <c r="ME65" i="10"/>
  <c r="ME73" i="10"/>
  <c r="ME80" i="10"/>
  <c r="ME87" i="10"/>
  <c r="ME95" i="10"/>
  <c r="ME101" i="10"/>
  <c r="ME108" i="10"/>
  <c r="ME116" i="10"/>
  <c r="ME123" i="10"/>
  <c r="ME129" i="10"/>
  <c r="ME137" i="10"/>
  <c r="ME144" i="10"/>
  <c r="ME151" i="10"/>
  <c r="ME160" i="10"/>
  <c r="ME167" i="10"/>
  <c r="MN5" i="10"/>
  <c r="MN13" i="10"/>
  <c r="MN19" i="10"/>
  <c r="MN27" i="10"/>
  <c r="MN34" i="10"/>
  <c r="MN41" i="10"/>
  <c r="MN49" i="10"/>
  <c r="MN55" i="10"/>
  <c r="MN64" i="10"/>
  <c r="MN72" i="10"/>
  <c r="MN79" i="10"/>
  <c r="MN86" i="10"/>
  <c r="MN94" i="10"/>
  <c r="MN101" i="10"/>
  <c r="MN108" i="10"/>
  <c r="MN116" i="10"/>
  <c r="MN122" i="10"/>
  <c r="MN129" i="10"/>
  <c r="MN137" i="10"/>
  <c r="MN144" i="10"/>
  <c r="MN150" i="10"/>
  <c r="MN159" i="10"/>
  <c r="MN167" i="10"/>
  <c r="MR5" i="10"/>
  <c r="MR14" i="10"/>
  <c r="MR21" i="10"/>
  <c r="MR28" i="10"/>
  <c r="MR36" i="10"/>
  <c r="MR43" i="10"/>
  <c r="MR49" i="10"/>
  <c r="MR58" i="10"/>
  <c r="MR65" i="10"/>
  <c r="MR72" i="10"/>
  <c r="MR80" i="10"/>
  <c r="MR86" i="10"/>
  <c r="MR93" i="10"/>
  <c r="MR101" i="10"/>
  <c r="MR108" i="10"/>
  <c r="MR114" i="10"/>
  <c r="MR122" i="10"/>
  <c r="MR129" i="10"/>
  <c r="MR136" i="10"/>
  <c r="MR144" i="10"/>
  <c r="MR150" i="10"/>
  <c r="MR158" i="10"/>
  <c r="MR167" i="10"/>
  <c r="BB7" i="9"/>
  <c r="BB47" i="9"/>
  <c r="BB38" i="9"/>
  <c r="BB31" i="9"/>
  <c r="BB24" i="9"/>
  <c r="BB15" i="9"/>
  <c r="BB9" i="9"/>
  <c r="BM11" i="9"/>
  <c r="BM18" i="9"/>
  <c r="BM26" i="9"/>
  <c r="BM34" i="9"/>
  <c r="BM40" i="9"/>
  <c r="BM48" i="9"/>
  <c r="BP9" i="9"/>
  <c r="BP16" i="9"/>
  <c r="BP23" i="9"/>
  <c r="BP31" i="9"/>
  <c r="BP38" i="9"/>
  <c r="BP46" i="9"/>
  <c r="BX4" i="9"/>
  <c r="BX11" i="9"/>
  <c r="BX19" i="9"/>
  <c r="BX29" i="9"/>
  <c r="BX36" i="9"/>
  <c r="BX45" i="9"/>
  <c r="CA6" i="9"/>
  <c r="CA14" i="9"/>
  <c r="CA21" i="9"/>
  <c r="CA30" i="9"/>
  <c r="CA38" i="9"/>
  <c r="CA47" i="9"/>
  <c r="CN9" i="9"/>
  <c r="CN21" i="9"/>
  <c r="CN34" i="9"/>
  <c r="CN47" i="9"/>
  <c r="CQ10" i="9"/>
  <c r="CQ24" i="9"/>
  <c r="CQ36" i="9"/>
  <c r="CQ48" i="9"/>
  <c r="DA5" i="9"/>
  <c r="DA16" i="9"/>
  <c r="DA30" i="9"/>
  <c r="DA42" i="9"/>
  <c r="DE6" i="9"/>
  <c r="DE18" i="9"/>
  <c r="DE33" i="9"/>
  <c r="DE43" i="9"/>
  <c r="BI4" i="12"/>
  <c r="CP4" i="12"/>
  <c r="BR7" i="12"/>
  <c r="CG8" i="12"/>
  <c r="BO9" i="12"/>
  <c r="AW10" i="12"/>
  <c r="BI11" i="12"/>
  <c r="BF12" i="12"/>
  <c r="BR13" i="12"/>
  <c r="CG14" i="12"/>
  <c r="CS16" i="12"/>
  <c r="HK5" i="13"/>
  <c r="HN7" i="13"/>
  <c r="JJ8" i="13"/>
  <c r="HK9" i="13"/>
  <c r="KB9" i="13"/>
  <c r="HN10" i="13"/>
  <c r="LL10" i="13"/>
  <c r="HT12" i="13"/>
  <c r="JD12" i="13"/>
  <c r="JP12" i="13"/>
  <c r="JS13" i="13"/>
  <c r="HN14" i="13"/>
  <c r="LL14" i="13"/>
  <c r="HT16" i="13"/>
  <c r="JD16" i="13"/>
  <c r="JP16" i="13"/>
  <c r="IX18" i="13"/>
  <c r="JS18" i="13"/>
  <c r="KT18" i="13"/>
  <c r="LX18" i="13"/>
  <c r="JA19" i="13"/>
  <c r="LL19" i="13"/>
  <c r="II21" i="13"/>
  <c r="JD21" i="13"/>
  <c r="JP21" i="13"/>
  <c r="JM23" i="13"/>
  <c r="KT23" i="13"/>
  <c r="JS25" i="13"/>
  <c r="HK26" i="13"/>
  <c r="JM28" i="13"/>
  <c r="LF28" i="13"/>
  <c r="LL28" i="13"/>
  <c r="JG29" i="13"/>
  <c r="LU29" i="13"/>
  <c r="JY30" i="13"/>
  <c r="II31" i="13"/>
  <c r="JD34" i="13"/>
  <c r="LX34" i="13"/>
  <c r="JP35" i="13"/>
  <c r="JD36" i="13"/>
  <c r="JD37" i="13"/>
  <c r="LI38" i="13"/>
  <c r="JD39" i="13"/>
  <c r="JS40" i="13"/>
  <c r="JA46" i="13"/>
  <c r="KW46" i="13"/>
  <c r="LI46" i="13"/>
  <c r="LX46" i="13"/>
  <c r="JG47" i="13"/>
  <c r="HK49" i="13"/>
  <c r="JS49" i="13"/>
  <c r="KT49" i="13"/>
  <c r="IX26" i="13"/>
  <c r="IX38" i="13"/>
  <c r="KR87" i="10"/>
  <c r="BP44" i="9"/>
  <c r="CB12" i="18"/>
  <c r="CC12" i="18" s="1"/>
  <c r="CB10" i="18"/>
  <c r="CC10" i="18" s="1"/>
  <c r="CB16" i="18"/>
  <c r="CB13" i="18"/>
  <c r="CC13" i="18" s="1"/>
  <c r="CB5" i="18"/>
  <c r="CC5" i="18" s="1"/>
  <c r="CB8" i="18"/>
  <c r="CC8" i="18" s="1"/>
  <c r="CB14" i="18"/>
  <c r="CC14" i="18" s="1"/>
  <c r="CB11" i="18"/>
  <c r="CC11" i="18" s="1"/>
  <c r="CB9" i="18"/>
  <c r="CC9" i="18" s="1"/>
  <c r="CB6" i="18"/>
  <c r="CC6" i="18" s="1"/>
  <c r="CB4" i="18"/>
  <c r="CC4" i="18" s="1"/>
  <c r="JP49" i="13"/>
  <c r="KB46" i="13"/>
  <c r="JP46" i="13"/>
  <c r="JY41" i="13"/>
  <c r="JV40" i="13"/>
  <c r="JY39" i="13"/>
  <c r="JV38" i="13"/>
  <c r="JS37" i="13"/>
  <c r="JS36" i="13"/>
  <c r="JV35" i="13"/>
  <c r="JP34" i="13"/>
  <c r="JV31" i="13"/>
  <c r="JS30" i="13"/>
  <c r="JV29" i="13"/>
  <c r="JS28" i="13"/>
  <c r="JV26" i="13"/>
  <c r="JY25" i="13"/>
  <c r="JV23" i="13"/>
  <c r="JS21" i="13"/>
  <c r="JP19" i="13"/>
  <c r="JY18" i="13"/>
  <c r="JV16" i="13"/>
  <c r="JS14" i="13"/>
  <c r="JV13" i="13"/>
  <c r="JV12" i="13"/>
  <c r="JS10" i="13"/>
  <c r="JP9" i="13"/>
  <c r="JS8" i="13"/>
  <c r="JP7" i="13"/>
  <c r="JP5" i="13"/>
  <c r="BI13" i="12"/>
  <c r="BI9" i="12"/>
  <c r="BI6" i="12"/>
  <c r="BP49" i="9"/>
  <c r="BP45" i="9"/>
  <c r="BP40" i="9"/>
  <c r="BP36" i="9"/>
  <c r="BP32" i="9"/>
  <c r="BP28" i="9"/>
  <c r="BP24" i="9"/>
  <c r="BP19" i="9"/>
  <c r="BP15" i="9"/>
  <c r="BP11" i="9"/>
  <c r="BP7" i="9"/>
  <c r="JP47" i="13"/>
  <c r="KB41" i="13"/>
  <c r="JP40" i="13"/>
  <c r="JP39" i="13"/>
  <c r="JS38" i="13"/>
  <c r="KB35" i="13"/>
  <c r="JP31" i="13"/>
  <c r="JY49" i="13"/>
  <c r="JY46" i="13"/>
  <c r="JV41" i="13"/>
  <c r="KB39" i="13"/>
  <c r="JP38" i="13"/>
  <c r="JY37" i="13"/>
  <c r="JY36" i="13"/>
  <c r="JY35" i="13"/>
  <c r="JY34" i="13"/>
  <c r="JV30" i="13"/>
  <c r="JS29" i="13"/>
  <c r="JV28" i="13"/>
  <c r="JP26" i="13"/>
  <c r="JP25" i="13"/>
  <c r="JS23" i="13"/>
  <c r="JV19" i="13"/>
  <c r="JP18" i="13"/>
  <c r="JY16" i="13"/>
  <c r="JP14" i="13"/>
  <c r="JP13" i="13"/>
  <c r="JY12" i="13"/>
  <c r="JP10" i="13"/>
  <c r="JY9" i="13"/>
  <c r="JP8" i="13"/>
  <c r="JV7" i="13"/>
  <c r="BI16" i="12"/>
  <c r="BP47" i="9"/>
  <c r="BP41" i="9"/>
  <c r="BP35" i="9"/>
  <c r="BP30" i="9"/>
  <c r="BP25" i="9"/>
  <c r="BP18" i="9"/>
  <c r="BP13" i="9"/>
  <c r="BP8" i="9"/>
  <c r="KR173" i="10"/>
  <c r="KR169" i="10"/>
  <c r="KR165" i="10"/>
  <c r="KR160" i="10"/>
  <c r="KR156" i="10"/>
  <c r="KR152" i="10"/>
  <c r="KR148" i="10"/>
  <c r="KR144" i="10"/>
  <c r="KR140" i="10"/>
  <c r="KR136" i="10"/>
  <c r="KR132" i="10"/>
  <c r="KR128" i="10"/>
  <c r="KR124" i="10"/>
  <c r="KR120" i="10"/>
  <c r="KR116" i="10"/>
  <c r="KR112" i="10"/>
  <c r="KR108" i="10"/>
  <c r="KR104" i="10"/>
  <c r="KR100" i="10"/>
  <c r="KR96" i="10"/>
  <c r="KR92" i="10"/>
  <c r="KR88" i="10"/>
  <c r="KR83" i="10"/>
  <c r="KR79" i="10"/>
  <c r="KR75" i="10"/>
  <c r="KR71" i="10"/>
  <c r="KR67" i="10"/>
  <c r="KR63" i="10"/>
  <c r="KR59" i="10"/>
  <c r="KR55" i="10"/>
  <c r="KR51" i="10"/>
  <c r="KR47" i="10"/>
  <c r="KR43" i="10"/>
  <c r="KR39" i="10"/>
  <c r="KR35" i="10"/>
  <c r="KR31" i="10"/>
  <c r="KR27" i="10"/>
  <c r="KR23" i="10"/>
  <c r="KR19" i="10"/>
  <c r="KR15" i="10"/>
  <c r="KR11" i="10"/>
  <c r="KR6" i="10"/>
  <c r="KN171" i="10"/>
  <c r="KN167" i="10"/>
  <c r="KN163" i="10"/>
  <c r="KN159" i="10"/>
  <c r="KN155" i="10"/>
  <c r="KN151" i="10"/>
  <c r="KN147" i="10"/>
  <c r="KN143" i="10"/>
  <c r="KN139" i="10"/>
  <c r="KN135" i="10"/>
  <c r="KN131" i="10"/>
  <c r="KN127" i="10"/>
  <c r="KN123" i="10"/>
  <c r="KN119" i="10"/>
  <c r="KN115" i="10"/>
  <c r="KN111" i="10"/>
  <c r="KN107" i="10"/>
  <c r="KN103" i="10"/>
  <c r="KN99" i="10"/>
  <c r="KN95" i="10"/>
  <c r="KN91" i="10"/>
  <c r="KN87" i="10"/>
  <c r="KN83" i="10"/>
  <c r="KN79" i="10"/>
  <c r="KN75" i="10"/>
  <c r="KN71" i="10"/>
  <c r="KN67" i="10"/>
  <c r="KN63" i="10"/>
  <c r="KN59" i="10"/>
  <c r="KN55" i="10"/>
  <c r="KN51" i="10"/>
  <c r="KN47" i="10"/>
  <c r="KN43" i="10"/>
  <c r="KN39" i="10"/>
  <c r="KN35" i="10"/>
  <c r="KN31" i="10"/>
  <c r="KN27" i="10"/>
  <c r="KN23" i="10"/>
  <c r="KN19" i="10"/>
  <c r="KN15" i="10"/>
  <c r="KN11" i="10"/>
  <c r="KN7" i="10"/>
  <c r="KJ172" i="10"/>
  <c r="KJ168" i="10"/>
  <c r="KJ164" i="10"/>
  <c r="KJ160" i="10"/>
  <c r="KJ156" i="10"/>
  <c r="KJ152" i="10"/>
  <c r="KJ148" i="10"/>
  <c r="KJ144" i="10"/>
  <c r="KJ140" i="10"/>
  <c r="KJ136" i="10"/>
  <c r="KJ132" i="10"/>
  <c r="KJ128" i="10"/>
  <c r="KJ124" i="10"/>
  <c r="KJ120" i="10"/>
  <c r="KJ116" i="10"/>
  <c r="KJ112" i="10"/>
  <c r="KJ108" i="10"/>
  <c r="KJ104" i="10"/>
  <c r="KJ100" i="10"/>
  <c r="KJ96" i="10"/>
  <c r="KJ92" i="10"/>
  <c r="KJ88" i="10"/>
  <c r="KJ84" i="10"/>
  <c r="KJ80" i="10"/>
  <c r="KJ76" i="10"/>
  <c r="KJ72" i="10"/>
  <c r="KJ68" i="10"/>
  <c r="KJ64" i="10"/>
  <c r="KJ60" i="10"/>
  <c r="KJ56" i="10"/>
  <c r="KJ52" i="10"/>
  <c r="KJ48" i="10"/>
  <c r="KJ44" i="10"/>
  <c r="KJ40" i="10"/>
  <c r="KJ36" i="10"/>
  <c r="KJ32" i="10"/>
  <c r="KJ28" i="10"/>
  <c r="KJ24" i="10"/>
  <c r="KJ20" i="10"/>
  <c r="KJ16" i="10"/>
  <c r="KJ12" i="10"/>
  <c r="KJ8" i="10"/>
  <c r="KF173" i="10"/>
  <c r="KF169" i="10"/>
  <c r="KF165" i="10"/>
  <c r="KF161" i="10"/>
  <c r="KF157" i="10"/>
  <c r="KF153" i="10"/>
  <c r="KF149" i="10"/>
  <c r="KF145" i="10"/>
  <c r="KF141" i="10"/>
  <c r="KF137" i="10"/>
  <c r="KF133" i="10"/>
  <c r="KF129" i="10"/>
  <c r="KF125" i="10"/>
  <c r="KF121" i="10"/>
  <c r="KF117" i="10"/>
  <c r="KF113" i="10"/>
  <c r="KF109" i="10"/>
  <c r="KF105" i="10"/>
  <c r="KF101" i="10"/>
  <c r="KF97" i="10"/>
  <c r="KF93" i="10"/>
  <c r="KF89" i="10"/>
  <c r="KF85" i="10"/>
  <c r="KF81" i="10"/>
  <c r="KF77" i="10"/>
  <c r="KF73" i="10"/>
  <c r="KF69" i="10"/>
  <c r="KF65" i="10"/>
  <c r="KF61" i="10"/>
  <c r="KF57" i="10"/>
  <c r="KF53" i="10"/>
  <c r="KF49" i="10"/>
  <c r="KF45" i="10"/>
  <c r="KF41" i="10"/>
  <c r="KF37" i="10"/>
  <c r="KF33" i="10"/>
  <c r="KF29" i="10"/>
  <c r="KF25" i="10"/>
  <c r="KF21" i="10"/>
  <c r="KF17" i="10"/>
  <c r="KF13" i="10"/>
  <c r="KF9" i="10"/>
  <c r="KF5" i="10"/>
  <c r="JV49" i="13"/>
  <c r="JV47" i="13"/>
  <c r="JV46" i="13"/>
  <c r="JS41" i="13"/>
  <c r="JY40" i="13"/>
  <c r="JV39" i="13"/>
  <c r="JV37" i="13"/>
  <c r="JV36" i="13"/>
  <c r="JS35" i="13"/>
  <c r="JV34" i="13"/>
  <c r="JY31" i="13"/>
  <c r="JP30" i="13"/>
  <c r="JP29" i="13"/>
  <c r="JP28" i="13"/>
  <c r="KB25" i="13"/>
  <c r="JP23" i="13"/>
  <c r="JY21" i="13"/>
  <c r="JS19" i="13"/>
  <c r="JS16" i="13"/>
  <c r="KB13" i="13"/>
  <c r="JS12" i="13"/>
  <c r="JV9" i="13"/>
  <c r="KB8" i="13"/>
  <c r="JS7" i="13"/>
  <c r="JV5" i="13"/>
  <c r="BI14" i="12"/>
  <c r="BI8" i="12"/>
  <c r="BI5" i="12"/>
  <c r="JX34" i="10"/>
  <c r="JX39" i="10"/>
  <c r="JX44" i="10"/>
  <c r="JX50" i="10"/>
  <c r="JX55" i="10"/>
  <c r="JX60" i="10"/>
  <c r="JX66" i="10"/>
  <c r="JX71" i="10"/>
  <c r="JX76" i="10"/>
  <c r="JX82" i="10"/>
  <c r="JX87" i="10"/>
  <c r="JX92" i="10"/>
  <c r="JX98" i="10"/>
  <c r="JX103" i="10"/>
  <c r="JX108" i="10"/>
  <c r="JX114" i="10"/>
  <c r="JX119" i="10"/>
  <c r="JX124" i="10"/>
  <c r="JX130" i="10"/>
  <c r="JX135" i="10"/>
  <c r="JX140" i="10"/>
  <c r="JX146" i="10"/>
  <c r="JX151" i="10"/>
  <c r="JX156" i="10"/>
  <c r="JX162" i="10"/>
  <c r="JX167" i="10"/>
  <c r="JX172" i="10"/>
  <c r="KB10" i="10"/>
  <c r="KB15" i="10"/>
  <c r="KB20" i="10"/>
  <c r="KB26" i="10"/>
  <c r="KB31" i="10"/>
  <c r="KB36" i="10"/>
  <c r="KB42" i="10"/>
  <c r="KB47" i="10"/>
  <c r="KB52" i="10"/>
  <c r="KB58" i="10"/>
  <c r="KB63" i="10"/>
  <c r="KB68" i="10"/>
  <c r="KB74" i="10"/>
  <c r="KB79" i="10"/>
  <c r="KB84" i="10"/>
  <c r="KB90" i="10"/>
  <c r="KB95" i="10"/>
  <c r="KB100" i="10"/>
  <c r="KB106" i="10"/>
  <c r="KB111" i="10"/>
  <c r="KB116" i="10"/>
  <c r="KB122" i="10"/>
  <c r="KB127" i="10"/>
  <c r="KB132" i="10"/>
  <c r="KB138" i="10"/>
  <c r="KB143" i="10"/>
  <c r="KB148" i="10"/>
  <c r="KB154" i="10"/>
  <c r="KB159" i="10"/>
  <c r="KB165" i="10"/>
  <c r="KB171" i="10"/>
  <c r="KF7" i="10"/>
  <c r="KF12" i="10"/>
  <c r="KF18" i="10"/>
  <c r="KF23" i="10"/>
  <c r="KF28" i="10"/>
  <c r="KF34" i="10"/>
  <c r="KF39" i="10"/>
  <c r="KF44" i="10"/>
  <c r="KF50" i="10"/>
  <c r="KF55" i="10"/>
  <c r="KF60" i="10"/>
  <c r="KF66" i="10"/>
  <c r="KF71" i="10"/>
  <c r="KF76" i="10"/>
  <c r="KF82" i="10"/>
  <c r="KF87" i="10"/>
  <c r="KF92" i="10"/>
  <c r="KF98" i="10"/>
  <c r="KF103" i="10"/>
  <c r="KF108" i="10"/>
  <c r="KF114" i="10"/>
  <c r="KF119" i="10"/>
  <c r="KF124" i="10"/>
  <c r="KF130" i="10"/>
  <c r="KF135" i="10"/>
  <c r="KF140" i="10"/>
  <c r="KF146" i="10"/>
  <c r="KF151" i="10"/>
  <c r="KF156" i="10"/>
  <c r="KF162" i="10"/>
  <c r="KF167" i="10"/>
  <c r="KF172" i="10"/>
  <c r="KJ9" i="10"/>
  <c r="KJ14" i="10"/>
  <c r="KJ19" i="10"/>
  <c r="KJ25" i="10"/>
  <c r="KJ30" i="10"/>
  <c r="KJ35" i="10"/>
  <c r="KJ41" i="10"/>
  <c r="KJ46" i="10"/>
  <c r="KJ51" i="10"/>
  <c r="KJ57" i="10"/>
  <c r="KJ62" i="10"/>
  <c r="KJ67" i="10"/>
  <c r="KJ73" i="10"/>
  <c r="KJ78" i="10"/>
  <c r="KJ83" i="10"/>
  <c r="KJ89" i="10"/>
  <c r="KJ94" i="10"/>
  <c r="KJ99" i="10"/>
  <c r="KJ105" i="10"/>
  <c r="KJ110" i="10"/>
  <c r="KJ115" i="10"/>
  <c r="KJ121" i="10"/>
  <c r="KJ126" i="10"/>
  <c r="KJ131" i="10"/>
  <c r="KJ137" i="10"/>
  <c r="KJ142" i="10"/>
  <c r="KJ147" i="10"/>
  <c r="KJ153" i="10"/>
  <c r="KJ158" i="10"/>
  <c r="KJ163" i="10"/>
  <c r="KJ169" i="10"/>
  <c r="KN5" i="10"/>
  <c r="KN10" i="10"/>
  <c r="KN16" i="10"/>
  <c r="KN21" i="10"/>
  <c r="KN26" i="10"/>
  <c r="KN32" i="10"/>
  <c r="KN37" i="10"/>
  <c r="KN42" i="10"/>
  <c r="KN48" i="10"/>
  <c r="KN53" i="10"/>
  <c r="KN58" i="10"/>
  <c r="KN64" i="10"/>
  <c r="KN69" i="10"/>
  <c r="KN74" i="10"/>
  <c r="KN80" i="10"/>
  <c r="KN85" i="10"/>
  <c r="KN90" i="10"/>
  <c r="KN96" i="10"/>
  <c r="KN101" i="10"/>
  <c r="KN106" i="10"/>
  <c r="KN112" i="10"/>
  <c r="KN117" i="10"/>
  <c r="KN122" i="10"/>
  <c r="KN128" i="10"/>
  <c r="KN133" i="10"/>
  <c r="KN138" i="10"/>
  <c r="KN144" i="10"/>
  <c r="KN149" i="10"/>
  <c r="KN154" i="10"/>
  <c r="KN160" i="10"/>
  <c r="KN165" i="10"/>
  <c r="KN170" i="10"/>
  <c r="KR7" i="10"/>
  <c r="KR13" i="10"/>
  <c r="KR18" i="10"/>
  <c r="KR24" i="10"/>
  <c r="KR29" i="10"/>
  <c r="KR34" i="10"/>
  <c r="KR40" i="10"/>
  <c r="KR45" i="10"/>
  <c r="KR50" i="10"/>
  <c r="KR56" i="10"/>
  <c r="KR61" i="10"/>
  <c r="KR66" i="10"/>
  <c r="KR72" i="10"/>
  <c r="KR77" i="10"/>
  <c r="KR82" i="10"/>
  <c r="KR89" i="10"/>
  <c r="KR94" i="10"/>
  <c r="KR99" i="10"/>
  <c r="KR105" i="10"/>
  <c r="KR110" i="10"/>
  <c r="KR115" i="10"/>
  <c r="KR121" i="10"/>
  <c r="KR126" i="10"/>
  <c r="KR131" i="10"/>
  <c r="KR137" i="10"/>
  <c r="KR142" i="10"/>
  <c r="KR147" i="10"/>
  <c r="KR153" i="10"/>
  <c r="KR158" i="10"/>
  <c r="KR164" i="10"/>
  <c r="KR170" i="10"/>
  <c r="LL9" i="10"/>
  <c r="LL17" i="10"/>
  <c r="LL22" i="10"/>
  <c r="LL27" i="10"/>
  <c r="LL33" i="10"/>
  <c r="LL38" i="10"/>
  <c r="LL43" i="10"/>
  <c r="LL49" i="10"/>
  <c r="LL54" i="10"/>
  <c r="LL61" i="10"/>
  <c r="LL67" i="10"/>
  <c r="LL72" i="10"/>
  <c r="LL77" i="10"/>
  <c r="LL83" i="10"/>
  <c r="LL88" i="10"/>
  <c r="LL93" i="10"/>
  <c r="LL99" i="10"/>
  <c r="LL104" i="10"/>
  <c r="LL109" i="10"/>
  <c r="LL115" i="10"/>
  <c r="LL120" i="10"/>
  <c r="LL125" i="10"/>
  <c r="LL131" i="10"/>
  <c r="LL136" i="10"/>
  <c r="LL141" i="10"/>
  <c r="LL147" i="10"/>
  <c r="LL152" i="10"/>
  <c r="LL158" i="10"/>
  <c r="LL166" i="10"/>
  <c r="LL171" i="10"/>
  <c r="LO7" i="10"/>
  <c r="LO14" i="10"/>
  <c r="LO19" i="10"/>
  <c r="LO24" i="10"/>
  <c r="LO30" i="10"/>
  <c r="LO35" i="10"/>
  <c r="LO40" i="10"/>
  <c r="LO46" i="10"/>
  <c r="LO51" i="10"/>
  <c r="LO57" i="10"/>
  <c r="LO64" i="10"/>
  <c r="LO69" i="10"/>
  <c r="LO74" i="10"/>
  <c r="LO80" i="10"/>
  <c r="LO85" i="10"/>
  <c r="LO90" i="10"/>
  <c r="LO96" i="10"/>
  <c r="LO101" i="10"/>
  <c r="LO106" i="10"/>
  <c r="LO112" i="10"/>
  <c r="LO117" i="10"/>
  <c r="LO122" i="10"/>
  <c r="LO128" i="10"/>
  <c r="LO133" i="10"/>
  <c r="LO138" i="10"/>
  <c r="LO144" i="10"/>
  <c r="LO149" i="10"/>
  <c r="LO155" i="10"/>
  <c r="LO163" i="10"/>
  <c r="LO168" i="10"/>
  <c r="LO173" i="10"/>
  <c r="MB8" i="10"/>
  <c r="MB16" i="10"/>
  <c r="MB23" i="10"/>
  <c r="MB31" i="10"/>
  <c r="MB37" i="10"/>
  <c r="MB44" i="10"/>
  <c r="MB52" i="10"/>
  <c r="MB62" i="10"/>
  <c r="MB68" i="10"/>
  <c r="MB76" i="10"/>
  <c r="MB83" i="10"/>
  <c r="MB90" i="10"/>
  <c r="MB98" i="10"/>
  <c r="MB104" i="10"/>
  <c r="MB111" i="10"/>
  <c r="MB119" i="10"/>
  <c r="MB126" i="10"/>
  <c r="MB132" i="10"/>
  <c r="MB140" i="10"/>
  <c r="MB147" i="10"/>
  <c r="MB155" i="10"/>
  <c r="MB165" i="10"/>
  <c r="MB171" i="10"/>
  <c r="ME7" i="10"/>
  <c r="ME14" i="10"/>
  <c r="ME22" i="10"/>
  <c r="ME29" i="10"/>
  <c r="ME36" i="10"/>
  <c r="ME44" i="10"/>
  <c r="ME50" i="10"/>
  <c r="ME60" i="10"/>
  <c r="ME68" i="10"/>
  <c r="ME75" i="10"/>
  <c r="ME81" i="10"/>
  <c r="ME89" i="10"/>
  <c r="ME96" i="10"/>
  <c r="ME103" i="10"/>
  <c r="ME111" i="10"/>
  <c r="ME117" i="10"/>
  <c r="ME124" i="10"/>
  <c r="ME132" i="10"/>
  <c r="ME139" i="10"/>
  <c r="ME145" i="10"/>
  <c r="ME153" i="10"/>
  <c r="ME162" i="10"/>
  <c r="ME169" i="10"/>
  <c r="MN6" i="10"/>
  <c r="MN14" i="10"/>
  <c r="MN22" i="10"/>
  <c r="MN29" i="10"/>
  <c r="MN35" i="10"/>
  <c r="MN43" i="10"/>
  <c r="MN50" i="10"/>
  <c r="MN59" i="10"/>
  <c r="MN67" i="10"/>
  <c r="MN73" i="10"/>
  <c r="MN80" i="10"/>
  <c r="MN89" i="10"/>
  <c r="MN96" i="10"/>
  <c r="MN102" i="10"/>
  <c r="MN110" i="10"/>
  <c r="MN117" i="10"/>
  <c r="MN124" i="10"/>
  <c r="MN132" i="10"/>
  <c r="MN138" i="10"/>
  <c r="MN145" i="10"/>
  <c r="MN153" i="10"/>
  <c r="MN162" i="10"/>
  <c r="MN168" i="10"/>
  <c r="MR7" i="10"/>
  <c r="MR15" i="10"/>
  <c r="MR23" i="10"/>
  <c r="MR31" i="10"/>
  <c r="MR37" i="10"/>
  <c r="MR44" i="10"/>
  <c r="MR52" i="10"/>
  <c r="MR60" i="10"/>
  <c r="MR66" i="10"/>
  <c r="MR74" i="10"/>
  <c r="MR81" i="10"/>
  <c r="MR88" i="10"/>
  <c r="MR96" i="10"/>
  <c r="MR102" i="10"/>
  <c r="MR109" i="10"/>
  <c r="MR117" i="10"/>
  <c r="MR124" i="10"/>
  <c r="MR130" i="10"/>
  <c r="MR138" i="10"/>
  <c r="MR145" i="10"/>
  <c r="MR152" i="10"/>
  <c r="MR162" i="10"/>
  <c r="MR168" i="10"/>
  <c r="BB6" i="9"/>
  <c r="BB43" i="9"/>
  <c r="BB36" i="9"/>
  <c r="BB30" i="9"/>
  <c r="BB22" i="9"/>
  <c r="BB14" i="9"/>
  <c r="BB51" i="9"/>
  <c r="BM6" i="9"/>
  <c r="BM13" i="9"/>
  <c r="BM19" i="9"/>
  <c r="BM28" i="9"/>
  <c r="BM35" i="9"/>
  <c r="BM42" i="9"/>
  <c r="BP4" i="9"/>
  <c r="BP10" i="9"/>
  <c r="BP17" i="9"/>
  <c r="BP26" i="9"/>
  <c r="BP33" i="9"/>
  <c r="BP39" i="9"/>
  <c r="BP48" i="9"/>
  <c r="BX6" i="9"/>
  <c r="BX12" i="9"/>
  <c r="BX22" i="9"/>
  <c r="BX30" i="9"/>
  <c r="BX38" i="9"/>
  <c r="BX48" i="9"/>
  <c r="CA7" i="9"/>
  <c r="CA15" i="9"/>
  <c r="CA25" i="9"/>
  <c r="CA33" i="9"/>
  <c r="CA39" i="9"/>
  <c r="CA49" i="9"/>
  <c r="CN14" i="9"/>
  <c r="CN26" i="9"/>
  <c r="CN38" i="9"/>
  <c r="CQ4" i="9"/>
  <c r="CQ15" i="9"/>
  <c r="CQ28" i="9"/>
  <c r="CQ40" i="9"/>
  <c r="DA9" i="9"/>
  <c r="DA22" i="9"/>
  <c r="DA35" i="9"/>
  <c r="DA47" i="9"/>
  <c r="DE10" i="9"/>
  <c r="DE25" i="9"/>
  <c r="DE37" i="9"/>
  <c r="DE48" i="9"/>
  <c r="CG5" i="12"/>
  <c r="CA6" i="12"/>
  <c r="CM6" i="12"/>
  <c r="AW7" i="12"/>
  <c r="BC7" i="12"/>
  <c r="BI7" i="12"/>
  <c r="AW8" i="12"/>
  <c r="BO8" i="12"/>
  <c r="CS8" i="12"/>
  <c r="BI10" i="12"/>
  <c r="BI12" i="12"/>
  <c r="CP12" i="12"/>
  <c r="BR16" i="12"/>
  <c r="HN5" i="13"/>
  <c r="JJ5" i="13"/>
  <c r="JJ7" i="13"/>
  <c r="KW7" i="13"/>
  <c r="JV8" i="13"/>
  <c r="JM9" i="13"/>
  <c r="HQ10" i="13"/>
  <c r="KQ10" i="13"/>
  <c r="LX10" i="13"/>
  <c r="JG12" i="13"/>
  <c r="JY13" i="13"/>
  <c r="HQ14" i="13"/>
  <c r="KQ14" i="13"/>
  <c r="LX14" i="13"/>
  <c r="JG16" i="13"/>
  <c r="JJ18" i="13"/>
  <c r="JV18" i="13"/>
  <c r="HQ19" i="13"/>
  <c r="JG21" i="13"/>
  <c r="JV21" i="13"/>
  <c r="IX23" i="13"/>
  <c r="JY23" i="13"/>
  <c r="KW23" i="13"/>
  <c r="HK25" i="13"/>
  <c r="JV25" i="13"/>
  <c r="HQ26" i="13"/>
  <c r="KQ26" i="13"/>
  <c r="KW26" i="13"/>
  <c r="LC26" i="13"/>
  <c r="LI26" i="13"/>
  <c r="LO26" i="13"/>
  <c r="LU26" i="13"/>
  <c r="JY28" i="13"/>
  <c r="JM29" i="13"/>
  <c r="LX29" i="13"/>
  <c r="JA30" i="13"/>
  <c r="LL30" i="13"/>
  <c r="LU31" i="13"/>
  <c r="KB34" i="13"/>
  <c r="HT35" i="13"/>
  <c r="JY38" i="13"/>
  <c r="JS39" i="13"/>
  <c r="HK40" i="13"/>
  <c r="JJ40" i="13"/>
  <c r="KQ40" i="13"/>
  <c r="LX41" i="13"/>
  <c r="JS46" i="13"/>
  <c r="LI49" i="13"/>
  <c r="BX11" i="12"/>
  <c r="CJ11" i="12"/>
  <c r="HT7" i="13"/>
  <c r="KB7" i="13"/>
  <c r="KT8" i="13"/>
  <c r="LF8" i="13"/>
  <c r="LR8" i="13"/>
  <c r="II9" i="13"/>
  <c r="KQ9" i="13"/>
  <c r="JM10" i="13"/>
  <c r="II12" i="13"/>
  <c r="KQ12" i="13"/>
  <c r="JM14" i="13"/>
  <c r="II16" i="13"/>
  <c r="KQ16" i="13"/>
  <c r="HT19" i="13"/>
  <c r="KB19" i="13"/>
  <c r="HT23" i="13"/>
  <c r="KB23" i="13"/>
  <c r="JM26" i="13"/>
  <c r="KT26" i="13"/>
  <c r="KZ26" i="13"/>
  <c r="LF26" i="13"/>
  <c r="LL26" i="13"/>
  <c r="LR26" i="13"/>
  <c r="LC28" i="13"/>
  <c r="LI28" i="13"/>
  <c r="LO28" i="13"/>
  <c r="LX28" i="13"/>
  <c r="LL29" i="13"/>
  <c r="IX31" i="13"/>
  <c r="HT34" i="13"/>
  <c r="II36" i="13"/>
  <c r="KQ36" i="13"/>
  <c r="II37" i="13"/>
  <c r="KQ37" i="13"/>
  <c r="JM38" i="13"/>
  <c r="IX40" i="13"/>
  <c r="IF47" i="13"/>
  <c r="IU47" i="13"/>
  <c r="DE13" i="9"/>
  <c r="DE32" i="9"/>
  <c r="BX6" i="12"/>
  <c r="CJ6" i="12"/>
  <c r="KQ7" i="13"/>
  <c r="KW8" i="13"/>
  <c r="LI8" i="13"/>
  <c r="LU8" i="13"/>
  <c r="IX9" i="13"/>
  <c r="IX12" i="13"/>
  <c r="II13" i="13"/>
  <c r="IX16" i="13"/>
  <c r="HT18" i="13"/>
  <c r="KB18" i="13"/>
  <c r="II19" i="13"/>
  <c r="KQ19" i="13"/>
  <c r="JM21" i="13"/>
  <c r="II23" i="13"/>
  <c r="KQ23" i="13"/>
  <c r="HT26" i="13"/>
  <c r="KB26" i="13"/>
  <c r="II28" i="13"/>
  <c r="KQ28" i="13"/>
  <c r="KW28" i="13"/>
  <c r="II30" i="13"/>
  <c r="KQ30" i="13"/>
  <c r="JM31" i="13"/>
  <c r="LU36" i="13"/>
  <c r="HT38" i="13"/>
  <c r="KB38" i="13"/>
  <c r="JM40" i="13"/>
  <c r="LC46" i="13"/>
  <c r="HT31" i="13"/>
  <c r="KB31" i="13"/>
  <c r="JM34" i="13"/>
  <c r="JM36" i="13"/>
  <c r="JM37" i="13"/>
  <c r="II38" i="13"/>
  <c r="KQ38" i="13"/>
  <c r="HT40" i="13"/>
  <c r="KB40" i="13"/>
  <c r="KW41" i="13"/>
  <c r="LC41" i="13"/>
  <c r="LI41" i="13"/>
  <c r="LO41" i="13"/>
  <c r="LU41" i="13"/>
  <c r="KT46" i="13"/>
  <c r="LF46" i="13"/>
  <c r="LO46" i="13"/>
  <c r="LU46" i="13"/>
  <c r="JY47" i="13"/>
  <c r="KN47" i="13"/>
  <c r="KW47" i="13"/>
  <c r="II49" i="13"/>
  <c r="IX49" i="13"/>
  <c r="JM49" i="13"/>
  <c r="KQ49" i="13"/>
  <c r="BU6" i="12"/>
  <c r="CG6" i="12"/>
  <c r="CS6" i="12"/>
  <c r="AZ7" i="12"/>
  <c r="BF7" i="12"/>
  <c r="BL7" i="12"/>
  <c r="BO11" i="12"/>
  <c r="CA11" i="12"/>
  <c r="CM11" i="12"/>
  <c r="HT5" i="13"/>
  <c r="KB5" i="13"/>
  <c r="II7" i="13"/>
  <c r="LC8" i="13"/>
  <c r="LO8" i="13"/>
  <c r="HT10" i="13"/>
  <c r="IX10" i="13"/>
  <c r="KB10" i="13"/>
  <c r="HT14" i="13"/>
  <c r="IX14" i="13"/>
  <c r="KB14" i="13"/>
  <c r="II18" i="13"/>
  <c r="JM18" i="13"/>
  <c r="KQ18" i="13"/>
  <c r="HT21" i="13"/>
  <c r="IX21" i="13"/>
  <c r="KB21" i="13"/>
  <c r="HT28" i="13"/>
  <c r="IX28" i="13"/>
  <c r="KB28" i="13"/>
  <c r="KT28" i="13"/>
  <c r="LU28" i="13"/>
  <c r="LI29" i="13"/>
  <c r="HT30" i="13"/>
  <c r="IX30" i="13"/>
  <c r="KB30" i="13"/>
  <c r="II34" i="13"/>
  <c r="HT36" i="13"/>
  <c r="IX36" i="13"/>
  <c r="KB36" i="13"/>
  <c r="HT37" i="13"/>
  <c r="IX37" i="13"/>
  <c r="KB37" i="13"/>
  <c r="KT41" i="13"/>
  <c r="KZ41" i="13"/>
  <c r="LF41" i="13"/>
  <c r="LL41" i="13"/>
  <c r="LR41" i="13"/>
  <c r="KZ46" i="13"/>
  <c r="LL46" i="13"/>
  <c r="LR46" i="13"/>
  <c r="HQ47" i="13"/>
  <c r="JJ47" i="13"/>
  <c r="KT47" i="13"/>
  <c r="LI47" i="13"/>
  <c r="LO47" i="13"/>
  <c r="HT49" i="13"/>
  <c r="KB49" i="13"/>
  <c r="CR6" i="18"/>
  <c r="DH6" i="18"/>
  <c r="DX6" i="18"/>
  <c r="DY6" i="18" s="1"/>
  <c r="CR11" i="18"/>
  <c r="CS11" i="18" s="1"/>
  <c r="DH11" i="18"/>
  <c r="DI11" i="18" s="1"/>
  <c r="DX11" i="18"/>
  <c r="DY11" i="18" s="1"/>
  <c r="CV6" i="18"/>
  <c r="CW6" i="18" s="1"/>
  <c r="DL6" i="18"/>
  <c r="DM6" i="18" s="1"/>
  <c r="BP7" i="18"/>
  <c r="BQ7" i="18" s="1"/>
  <c r="BX7" i="18"/>
  <c r="BY7" i="18" s="1"/>
  <c r="CF7" i="18"/>
  <c r="CG7" i="18" s="1"/>
  <c r="CV11" i="18"/>
  <c r="CW11" i="18" s="1"/>
  <c r="DL11" i="18"/>
  <c r="DM11" i="18" s="1"/>
  <c r="CN6" i="18"/>
  <c r="CO6" i="18" s="1"/>
  <c r="DD6" i="18"/>
  <c r="DE6" i="18" s="1"/>
  <c r="DT6" i="18"/>
  <c r="DU6" i="18" s="1"/>
  <c r="BL7" i="18"/>
  <c r="BM7" i="18" s="1"/>
  <c r="BT7" i="18"/>
  <c r="BU7" i="18" s="1"/>
  <c r="CB7" i="18"/>
  <c r="CC7" i="18" s="1"/>
  <c r="CJ11" i="18"/>
  <c r="CK11" i="18" s="1"/>
  <c r="CZ11" i="18"/>
  <c r="DA11" i="18" s="1"/>
  <c r="DP11" i="18"/>
  <c r="CZ6" i="18"/>
  <c r="DA6" i="18" s="1"/>
  <c r="DP6" i="18"/>
  <c r="DQ6" i="18" s="1"/>
  <c r="CN11" i="18"/>
  <c r="CO11" i="18" s="1"/>
  <c r="DD11" i="18"/>
  <c r="DE11" i="18" s="1"/>
  <c r="DT11" i="18"/>
  <c r="DU11" i="18" s="1"/>
  <c r="IH47" i="13"/>
  <c r="II47" i="13" s="1"/>
  <c r="IW5" i="13"/>
  <c r="IX5" i="13" s="1"/>
  <c r="KP47" i="13"/>
  <c r="KQ47" i="13" s="1"/>
  <c r="BM8" i="18"/>
  <c r="DQ11" i="18"/>
  <c r="CS6" i="18"/>
  <c r="DI6" i="18"/>
  <c r="KP5" i="13"/>
  <c r="KQ5" i="13" s="1"/>
  <c r="JL5" i="13"/>
  <c r="JM5" i="13" s="1"/>
  <c r="IW47" i="13"/>
  <c r="IX47" i="13" s="1"/>
  <c r="IU7" i="13"/>
  <c r="KA47" i="13"/>
  <c r="KB47" i="13" s="1"/>
  <c r="IH5" i="13"/>
  <c r="II5" i="13" s="1"/>
  <c r="JK47" i="13"/>
  <c r="JL47" i="13"/>
  <c r="JM47" i="13" s="1"/>
  <c r="CJ6" i="18"/>
  <c r="CK6" i="18" s="1"/>
  <c r="HS47" i="13"/>
  <c r="HT47" i="13" s="1"/>
  <c r="HQ5" i="13"/>
  <c r="JY5" i="13"/>
  <c r="BO6" i="12"/>
  <c r="ID162" i="10"/>
  <c r="LF162" i="10"/>
  <c r="KP162" i="10"/>
  <c r="JZ162" i="10"/>
  <c r="JV162" i="10"/>
  <c r="JJ162" i="10"/>
  <c r="IT162" i="10"/>
  <c r="ID9" i="10"/>
  <c r="IT9" i="10"/>
  <c r="JJ9" i="10"/>
  <c r="JZ9" i="10"/>
  <c r="KP9" i="10"/>
  <c r="LF9" i="10"/>
  <c r="MG162" i="10"/>
  <c r="MH162" i="10" s="1"/>
  <c r="MC162" i="10"/>
  <c r="MA162" i="10"/>
  <c r="MB162" i="10" s="1"/>
  <c r="LN162" i="10"/>
  <c r="LO162" i="10" s="1"/>
  <c r="LK162" i="10"/>
  <c r="LL162" i="10" s="1"/>
  <c r="LG162" i="10"/>
  <c r="LH162" i="10" s="1"/>
  <c r="KQ162" i="10"/>
  <c r="KR162" i="10" s="1"/>
  <c r="KA162" i="10"/>
  <c r="KB162" i="10" s="1"/>
  <c r="JK162" i="10"/>
  <c r="JL162" i="10" s="1"/>
  <c r="IU162" i="10"/>
  <c r="IV162" i="10" s="1"/>
  <c r="IE162" i="10"/>
  <c r="IF162" i="10" s="1"/>
  <c r="MM161" i="10"/>
  <c r="MN161" i="10" s="1"/>
  <c r="ML161" i="10"/>
  <c r="MJ161" i="10"/>
  <c r="MK161" i="10" s="1"/>
  <c r="MI161" i="10"/>
  <c r="MG161" i="10"/>
  <c r="MH161" i="10" s="1"/>
  <c r="MD161" i="10"/>
  <c r="ME161" i="10" s="1"/>
  <c r="MA161" i="10"/>
  <c r="MB161" i="10" s="1"/>
  <c r="LX161" i="10"/>
  <c r="LY161" i="10" s="1"/>
  <c r="LU161" i="10"/>
  <c r="LV161" i="10" s="1"/>
  <c r="LQ161" i="10"/>
  <c r="LR161" i="10" s="1"/>
  <c r="LN161" i="10"/>
  <c r="LO161" i="10" s="1"/>
  <c r="LK161" i="10"/>
  <c r="LL161" i="10" s="1"/>
  <c r="MM154" i="10"/>
  <c r="MN154" i="10" s="1"/>
  <c r="MJ154" i="10"/>
  <c r="MK154" i="10" s="1"/>
  <c r="MG154" i="10"/>
  <c r="MH154" i="10" s="1"/>
  <c r="MD154" i="10"/>
  <c r="ME154" i="10" s="1"/>
  <c r="MA154" i="10"/>
  <c r="MB154" i="10" s="1"/>
  <c r="LX154" i="10"/>
  <c r="LY154" i="10" s="1"/>
  <c r="LU154" i="10"/>
  <c r="LV154" i="10" s="1"/>
  <c r="LT154" i="10"/>
  <c r="LQ154" i="10"/>
  <c r="LR154" i="10" s="1"/>
  <c r="LP154" i="10"/>
  <c r="LN154" i="10"/>
  <c r="LO154" i="10" s="1"/>
  <c r="LM154" i="10"/>
  <c r="LK154" i="10"/>
  <c r="LL154" i="10" s="1"/>
  <c r="LJ154" i="10"/>
  <c r="MM84" i="10"/>
  <c r="MN84" i="10" s="1"/>
  <c r="ML84" i="10"/>
  <c r="MD59" i="10"/>
  <c r="ME59" i="10" s="1"/>
  <c r="MC59" i="10"/>
  <c r="MA59" i="10"/>
  <c r="MB59" i="10" s="1"/>
  <c r="LZ59" i="10"/>
  <c r="LW59" i="10"/>
  <c r="LT59" i="10"/>
  <c r="MM58" i="10"/>
  <c r="MN58" i="10" s="1"/>
  <c r="ML58" i="10"/>
  <c r="MG58" i="10"/>
  <c r="MH58" i="10" s="1"/>
  <c r="MD58" i="10"/>
  <c r="ME58" i="10" s="1"/>
  <c r="MC58" i="10"/>
  <c r="MA58" i="10"/>
  <c r="MB58" i="10" s="1"/>
  <c r="LZ58" i="10"/>
  <c r="LX58" i="10"/>
  <c r="LY58" i="10" s="1"/>
  <c r="LW58" i="10"/>
  <c r="LU58" i="10"/>
  <c r="LV58" i="10" s="1"/>
  <c r="LT58" i="10"/>
  <c r="LN58" i="10"/>
  <c r="LO58" i="10" s="1"/>
  <c r="LM58" i="10"/>
  <c r="LK58" i="10"/>
  <c r="LL58" i="10" s="1"/>
  <c r="LJ58" i="10"/>
  <c r="MM56" i="10"/>
  <c r="MN56" i="10" s="1"/>
  <c r="ML56" i="10"/>
  <c r="MJ56" i="10"/>
  <c r="MK56" i="10" s="1"/>
  <c r="MI56" i="10"/>
  <c r="MG56" i="10"/>
  <c r="MH56" i="10" s="1"/>
  <c r="MD56" i="10"/>
  <c r="ME56" i="10" s="1"/>
  <c r="MC56" i="10"/>
  <c r="MB56" i="10"/>
  <c r="LZ56" i="10"/>
  <c r="LX56" i="10"/>
  <c r="LY56" i="10" s="1"/>
  <c r="LW56" i="10"/>
  <c r="LU56" i="10"/>
  <c r="LV56" i="10" s="1"/>
  <c r="LT56" i="10"/>
  <c r="LQ56" i="10"/>
  <c r="LR56" i="10" s="1"/>
  <c r="LP56" i="10"/>
  <c r="LN56" i="10"/>
  <c r="LO56" i="10" s="1"/>
  <c r="LM56" i="10"/>
  <c r="LK56" i="10"/>
  <c r="LL56" i="10" s="1"/>
  <c r="LJ56" i="10"/>
  <c r="MM11" i="10"/>
  <c r="MN11" i="10" s="1"/>
  <c r="MJ11" i="10"/>
  <c r="MK11" i="10" s="1"/>
  <c r="MG11" i="10"/>
  <c r="MH11" i="10" s="1"/>
  <c r="MD11" i="10"/>
  <c r="ME11" i="10" s="1"/>
  <c r="MA11" i="10"/>
  <c r="MB11" i="10" s="1"/>
  <c r="LX11" i="10"/>
  <c r="LY11" i="10" s="1"/>
  <c r="LU11" i="10"/>
  <c r="LV11" i="10" s="1"/>
  <c r="LQ11" i="10"/>
  <c r="LR11" i="10" s="1"/>
  <c r="LN11" i="10"/>
  <c r="LO11" i="10" s="1"/>
  <c r="LK11" i="10"/>
  <c r="LL11" i="10" s="1"/>
  <c r="LF10" i="10"/>
  <c r="JZ10" i="10"/>
  <c r="JK10" i="10"/>
  <c r="JL10" i="10" s="1"/>
  <c r="JJ10" i="10"/>
  <c r="LG9" i="10"/>
  <c r="LH9" i="10" s="1"/>
  <c r="KQ9" i="10"/>
  <c r="KR9" i="10" s="1"/>
  <c r="KA9" i="10"/>
  <c r="KB9" i="10" s="1"/>
  <c r="JK9" i="10"/>
  <c r="JL9" i="10" s="1"/>
  <c r="IU9" i="10"/>
  <c r="IV9" i="10" s="1"/>
  <c r="IE9" i="10"/>
  <c r="IF9" i="10" s="1"/>
  <c r="BR22" i="9" l="1"/>
  <c r="BR21" i="9"/>
  <c r="BN21" i="9"/>
  <c r="BK22" i="9"/>
  <c r="BK21" i="9"/>
  <c r="CP42" i="9"/>
  <c r="CQ42" i="9" s="1"/>
  <c r="CO42" i="9"/>
  <c r="CM42" i="9"/>
  <c r="CN42" i="9" s="1"/>
  <c r="CL42" i="9"/>
  <c r="CJ42" i="9"/>
  <c r="CK42" i="9" s="1"/>
  <c r="CI42" i="9"/>
  <c r="CG42" i="9"/>
  <c r="CH42" i="9" s="1"/>
  <c r="CF42" i="9"/>
  <c r="CF40" i="9"/>
  <c r="CP32" i="9"/>
  <c r="CQ32" i="9" s="1"/>
  <c r="CM32" i="9"/>
  <c r="CN32" i="9" s="1"/>
  <c r="CJ32" i="9"/>
  <c r="CK32" i="9" s="1"/>
  <c r="CG32" i="9"/>
  <c r="CH32" i="9" s="1"/>
  <c r="CP23" i="9"/>
  <c r="CQ23" i="9" s="1"/>
  <c r="CO23" i="9"/>
  <c r="CM23" i="9"/>
  <c r="CN23" i="9" s="1"/>
  <c r="CL23" i="9"/>
  <c r="CJ23" i="9"/>
  <c r="CK23" i="9" s="1"/>
  <c r="CI23" i="9"/>
  <c r="CG23" i="9"/>
  <c r="CH23" i="9" s="1"/>
  <c r="CF23" i="9"/>
  <c r="CP20" i="9"/>
  <c r="CQ20" i="9" s="1"/>
  <c r="CM20" i="9"/>
  <c r="CN20" i="9" s="1"/>
  <c r="CJ20" i="9"/>
  <c r="CK20" i="9" s="1"/>
  <c r="CG20" i="9"/>
  <c r="CH20" i="9" s="1"/>
  <c r="CP13" i="9"/>
  <c r="CQ13" i="9" s="1"/>
  <c r="CM13" i="9"/>
  <c r="CN13" i="9" s="1"/>
  <c r="CJ13" i="9"/>
  <c r="CK13" i="9" s="1"/>
  <c r="CG13" i="9"/>
  <c r="CH13" i="9" s="1"/>
  <c r="BS21" i="9"/>
  <c r="BT21" i="9" s="1"/>
  <c r="BO21" i="9"/>
  <c r="BP21" i="9" s="1"/>
  <c r="BL21" i="9"/>
  <c r="BM21" i="9" s="1"/>
  <c r="HE162" i="1"/>
  <c r="HI162" i="1"/>
  <c r="HH162" i="1"/>
  <c r="HH10" i="1"/>
  <c r="HI9" i="1"/>
  <c r="HH9" i="1"/>
  <c r="HU162" i="1"/>
  <c r="HT162" i="1"/>
  <c r="HU9" i="1"/>
  <c r="HT9" i="1"/>
  <c r="IG162" i="1"/>
  <c r="IF162" i="1"/>
  <c r="IF10" i="1"/>
  <c r="IG9" i="1"/>
  <c r="IF9" i="1"/>
  <c r="AS21" i="2"/>
  <c r="AR21" i="2"/>
  <c r="AR22" i="2"/>
  <c r="AU21" i="2"/>
  <c r="AT21" i="2"/>
  <c r="AW22" i="2"/>
  <c r="AX21" i="2"/>
  <c r="AW21" i="2"/>
  <c r="IQ161" i="1"/>
  <c r="IQ154" i="1"/>
  <c r="IP154" i="1"/>
  <c r="IP59" i="1"/>
  <c r="IQ58" i="1"/>
  <c r="IP58" i="1"/>
  <c r="IQ56" i="1"/>
  <c r="IP56" i="1"/>
  <c r="IQ11" i="1"/>
  <c r="IP11" i="1"/>
  <c r="BH32" i="2"/>
  <c r="BG32" i="2"/>
  <c r="BG40" i="2"/>
  <c r="BH42" i="2"/>
  <c r="BG42" i="2"/>
  <c r="BH23" i="2"/>
  <c r="BG23" i="2"/>
  <c r="BH13" i="2"/>
  <c r="BG13" i="2"/>
  <c r="BH20" i="2"/>
  <c r="BG20" i="2"/>
  <c r="IW161" i="1"/>
  <c r="IU161" i="1"/>
  <c r="IS161" i="1"/>
  <c r="IV162" i="1"/>
  <c r="IU162" i="1"/>
  <c r="IW154" i="1"/>
  <c r="IU154" i="1"/>
  <c r="IS154" i="1"/>
  <c r="IW58" i="1"/>
  <c r="IV58" i="1"/>
  <c r="IU58" i="1"/>
  <c r="IT58" i="1"/>
  <c r="IS58" i="1"/>
  <c r="IR58" i="1"/>
  <c r="IW59" i="1"/>
  <c r="IV59" i="1"/>
  <c r="IU59" i="1"/>
  <c r="IT59" i="1"/>
  <c r="IR59" i="1"/>
  <c r="IW56" i="1"/>
  <c r="IV56" i="1"/>
  <c r="IT56" i="1"/>
  <c r="IS56" i="1"/>
  <c r="IR56" i="1"/>
  <c r="IW11" i="1"/>
  <c r="IV11" i="1"/>
  <c r="IU11" i="1"/>
  <c r="IT11" i="1"/>
  <c r="IS11" i="1"/>
  <c r="IR11" i="1"/>
  <c r="BN42" i="2"/>
  <c r="BM42" i="2"/>
  <c r="BL42" i="2"/>
  <c r="BK42" i="2"/>
  <c r="BJ42" i="2"/>
  <c r="BI42" i="2"/>
  <c r="BN32" i="2"/>
  <c r="BL32" i="2"/>
  <c r="BK32" i="2"/>
  <c r="BJ32" i="2"/>
  <c r="BI32" i="2"/>
  <c r="BL23" i="2"/>
  <c r="BN23" i="2"/>
  <c r="BM23" i="2"/>
  <c r="BK23" i="2"/>
  <c r="BJ23" i="2"/>
  <c r="BI23" i="2"/>
  <c r="BN13" i="2"/>
  <c r="BM13" i="2"/>
  <c r="BL13" i="2"/>
  <c r="BK13" i="2"/>
  <c r="BJ13" i="2"/>
  <c r="BI13" i="2"/>
  <c r="BN20" i="2"/>
  <c r="BM20" i="2"/>
  <c r="BL20" i="2"/>
  <c r="BK20" i="2"/>
  <c r="BJ20" i="2"/>
  <c r="BI20" i="2"/>
  <c r="AZ22" i="9"/>
  <c r="BG21" i="9"/>
  <c r="BC21" i="9"/>
  <c r="AZ21" i="9"/>
  <c r="CC42" i="9" l="1"/>
  <c r="CD42" i="9" s="1"/>
  <c r="CB42" i="9"/>
  <c r="BZ42" i="9"/>
  <c r="CA42" i="9" s="1"/>
  <c r="BY42" i="9"/>
  <c r="BW42" i="9"/>
  <c r="BX42" i="9" s="1"/>
  <c r="BV42" i="9"/>
  <c r="CZ32" i="9"/>
  <c r="DA32" i="9" s="1"/>
  <c r="CW32" i="9"/>
  <c r="CX32" i="9" s="1"/>
  <c r="CT32" i="9"/>
  <c r="CU32" i="9" s="1"/>
  <c r="CC32" i="9"/>
  <c r="CD32" i="9" s="1"/>
  <c r="BZ32" i="9"/>
  <c r="CA32" i="9" s="1"/>
  <c r="BW32" i="9"/>
  <c r="BX32" i="9" s="1"/>
  <c r="CZ23" i="9"/>
  <c r="DA23" i="9" s="1"/>
  <c r="CY23" i="9"/>
  <c r="CW23" i="9"/>
  <c r="CX23" i="9" s="1"/>
  <c r="CV23" i="9"/>
  <c r="CT23" i="9"/>
  <c r="CU23" i="9" s="1"/>
  <c r="CS23" i="9"/>
  <c r="CC23" i="9"/>
  <c r="CD23" i="9" s="1"/>
  <c r="CB23" i="9"/>
  <c r="BZ23" i="9"/>
  <c r="CA23" i="9" s="1"/>
  <c r="BY23" i="9"/>
  <c r="BW23" i="9"/>
  <c r="BX23" i="9" s="1"/>
  <c r="BV23" i="9"/>
  <c r="BH21" i="9"/>
  <c r="BI21" i="9" s="1"/>
  <c r="BD21" i="9"/>
  <c r="BE21" i="9" s="1"/>
  <c r="BA21" i="9"/>
  <c r="BB21" i="9" s="1"/>
  <c r="CZ20" i="9"/>
  <c r="DA20" i="9" s="1"/>
  <c r="CW20" i="9"/>
  <c r="CX20" i="9" s="1"/>
  <c r="CT20" i="9"/>
  <c r="CU20" i="9" s="1"/>
  <c r="CC20" i="9"/>
  <c r="CD20" i="9" s="1"/>
  <c r="BZ20" i="9"/>
  <c r="CA20" i="9" s="1"/>
  <c r="BW20" i="9"/>
  <c r="CZ19" i="9"/>
  <c r="DA19" i="9" s="1"/>
  <c r="CY19" i="9"/>
  <c r="CW19" i="9"/>
  <c r="CX19" i="9" s="1"/>
  <c r="CV19" i="9"/>
  <c r="CT19" i="9"/>
  <c r="CU19" i="9" s="1"/>
  <c r="CS19" i="9"/>
  <c r="CZ13" i="9"/>
  <c r="DA13" i="9" s="1"/>
  <c r="CW13" i="9"/>
  <c r="CX13" i="9" s="1"/>
  <c r="CT13" i="9"/>
  <c r="CU13" i="9" s="1"/>
  <c r="CC13" i="9"/>
  <c r="CD13" i="9" s="1"/>
  <c r="BZ13" i="9"/>
  <c r="CA13" i="9" s="1"/>
  <c r="BW13" i="9"/>
  <c r="BX13" i="9" s="1"/>
  <c r="BX20" i="9" l="1"/>
  <c r="AL21" i="2"/>
  <c r="AN21" i="2"/>
  <c r="AM21" i="2"/>
  <c r="AP21" i="2"/>
  <c r="AO21" i="2"/>
  <c r="FY162" i="1"/>
  <c r="FY9" i="1"/>
  <c r="FX9" i="1"/>
  <c r="GK162" i="1"/>
  <c r="GJ162" i="1"/>
  <c r="GK9" i="1"/>
  <c r="GJ9" i="1"/>
  <c r="GW162" i="1"/>
  <c r="GV162" i="1"/>
  <c r="GW10" i="1"/>
  <c r="GV10" i="1"/>
  <c r="GW9" i="1"/>
  <c r="GV9" i="1"/>
  <c r="BE32" i="2" l="1"/>
  <c r="BD32" i="2"/>
  <c r="BC32" i="2"/>
  <c r="BB32" i="2"/>
  <c r="BA32" i="2"/>
  <c r="AZ32" i="2"/>
  <c r="BE42" i="2"/>
  <c r="BD42" i="2"/>
  <c r="BC42" i="2"/>
  <c r="BB42" i="2"/>
  <c r="BA42" i="2"/>
  <c r="AZ42" i="2"/>
  <c r="BE23" i="2"/>
  <c r="BD23" i="2"/>
  <c r="BC23" i="2"/>
  <c r="BB23" i="2"/>
  <c r="BA23" i="2"/>
  <c r="AZ23" i="2"/>
  <c r="BE13" i="2"/>
  <c r="BD13" i="2"/>
  <c r="BC13" i="2"/>
  <c r="BB13" i="2"/>
  <c r="BA13" i="2"/>
  <c r="AZ13" i="2"/>
  <c r="BE20" i="2"/>
  <c r="BD20" i="2"/>
  <c r="BC20" i="2"/>
  <c r="BB20" i="2"/>
  <c r="BA20" i="2"/>
  <c r="AZ20" i="2"/>
  <c r="IN161" i="1"/>
  <c r="IL161" i="1"/>
  <c r="IJ161" i="1"/>
  <c r="IL162" i="1"/>
  <c r="IJ162" i="1"/>
  <c r="IN154" i="1"/>
  <c r="IM154" i="1"/>
  <c r="IL154" i="1"/>
  <c r="IK154" i="1"/>
  <c r="IJ154" i="1"/>
  <c r="II154" i="1"/>
  <c r="IL58" i="1"/>
  <c r="IK58" i="1"/>
  <c r="IJ58" i="1"/>
  <c r="II58" i="1"/>
  <c r="IN56" i="1"/>
  <c r="IM56" i="1"/>
  <c r="IL56" i="1"/>
  <c r="IK56" i="1"/>
  <c r="IJ56" i="1"/>
  <c r="II56" i="1"/>
  <c r="IN11" i="1"/>
  <c r="IM11" i="1"/>
  <c r="IL11" i="1"/>
  <c r="IK11" i="1"/>
  <c r="IJ11" i="1"/>
  <c r="II11" i="1"/>
  <c r="BT23" i="2"/>
  <c r="BU32" i="2"/>
  <c r="BT32" i="2"/>
  <c r="BS32" i="2"/>
  <c r="BR32" i="2"/>
  <c r="BQ32" i="2"/>
  <c r="BP32" i="2"/>
  <c r="BU23" i="2"/>
  <c r="BS23" i="2"/>
  <c r="BR23" i="2"/>
  <c r="BQ23" i="2"/>
  <c r="BP23" i="2"/>
  <c r="BU13" i="2"/>
  <c r="BT13" i="2"/>
  <c r="BS13" i="2"/>
  <c r="BR13" i="2"/>
  <c r="BQ13" i="2"/>
  <c r="BP13" i="2"/>
  <c r="BU19" i="2"/>
  <c r="BT19" i="2"/>
  <c r="BS19" i="2"/>
  <c r="BR19" i="2"/>
  <c r="BQ19" i="2"/>
  <c r="BP19" i="2"/>
  <c r="BU20" i="2"/>
  <c r="BT20" i="2"/>
  <c r="BS20" i="2"/>
  <c r="BR20" i="2"/>
  <c r="BQ20" i="2"/>
  <c r="BP20" i="2"/>
  <c r="JC161" i="1"/>
  <c r="JB161" i="1"/>
  <c r="JA161" i="1"/>
  <c r="IZ161" i="1"/>
  <c r="IY161" i="1"/>
  <c r="IX161" i="1"/>
  <c r="JC84" i="1"/>
  <c r="JB84" i="1"/>
  <c r="IY162" i="1"/>
  <c r="IX162" i="1"/>
  <c r="JC154" i="1"/>
  <c r="JA154" i="1"/>
  <c r="IY154" i="1"/>
  <c r="JC58" i="1"/>
  <c r="JB58" i="1"/>
  <c r="IY58" i="1"/>
  <c r="IX58" i="1"/>
  <c r="JA56" i="1"/>
  <c r="JC56" i="1"/>
  <c r="JB56" i="1"/>
  <c r="IZ56" i="1"/>
  <c r="IY56" i="1"/>
  <c r="IX56" i="1"/>
  <c r="JC11" i="1"/>
  <c r="JB11" i="1"/>
  <c r="JA11" i="1"/>
  <c r="IZ11" i="1"/>
  <c r="IY11" i="1"/>
  <c r="IX11" i="1"/>
</calcChain>
</file>

<file path=xl/comments1.xml><?xml version="1.0" encoding="utf-8"?>
<comments xmlns="http://schemas.openxmlformats.org/spreadsheetml/2006/main">
  <authors>
    <author>Author</author>
  </authors>
  <commentList>
    <comment ref="AM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For India, from 1888-89 onward.</t>
        </r>
      </text>
    </comment>
    <comment ref="AN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For Persian Gulf, Bussorah and Makran Coast from 1888-89 onward.</t>
        </r>
      </text>
    </comment>
    <comment ref="AP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For India, from 1888-89 onward.</t>
        </r>
      </text>
    </comment>
    <comment ref="AQ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For Persian Gulf, Bussorah and Makran Coast from 1888-89 onward.</t>
        </r>
      </text>
    </comment>
    <comment ref="AO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Re-verified from text, prices quoted as higher.</t>
        </r>
      </text>
    </comment>
    <comment ref="AO1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Re-verified from text, prices quoted as higher.</t>
        </r>
      </text>
    </comment>
    <comment ref="W2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This is because weight of Asiatic Turkey is more.</t>
        </r>
      </text>
    </comment>
    <comment ref="W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This is because weight of Asiatic Turkey is more.</t>
        </r>
      </text>
    </comment>
  </commentList>
</comments>
</file>

<file path=xl/comments10.xml><?xml version="1.0" encoding="utf-8"?>
<comments xmlns="http://schemas.openxmlformats.org/spreadsheetml/2006/main">
  <authors>
    <author>Author</author>
  </authors>
  <commentList>
    <comment ref="H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Kerosene.</t>
        </r>
      </text>
    </comment>
    <comment ref="Y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Kerosene.</t>
        </r>
      </text>
    </comment>
    <comment ref="AD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Kerosene.</t>
        </r>
      </text>
    </comment>
    <comment ref="AH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Kerosene.</t>
        </r>
      </text>
    </comment>
    <comment ref="AL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Kerosene.</t>
        </r>
      </text>
    </comment>
    <comment ref="AP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Kerosene.</t>
        </r>
      </text>
    </comment>
    <comment ref="AT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Kerosene.</t>
        </r>
      </text>
    </comment>
    <comment ref="AX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Kerosene.</t>
        </r>
      </text>
    </comment>
    <comment ref="BB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Kerosene.</t>
        </r>
      </text>
    </comment>
    <comment ref="BF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Kerosene.</t>
        </r>
      </text>
    </comment>
    <comment ref="AD1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This is in Bags.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N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Values confirmed from reports; inputs are correct, but still suspected.</t>
        </r>
      </text>
    </comment>
    <comment ref="I4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Should be ignored because quantity is very insignificant.</t>
        </r>
      </text>
    </comment>
    <comment ref="I4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Should be ignored because quantity is very insignificant.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A1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Type is Malabar.
</t>
        </r>
      </text>
    </comment>
    <comment ref="CF1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Added a suspectedly missing 0.
</t>
        </r>
      </text>
    </comment>
    <comment ref="BT1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Enterfed a suspected missing zero.
</t>
        </r>
      </text>
    </comment>
    <comment ref="DJ6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Removed a suspected 1 at the start.</t>
        </r>
      </text>
    </comment>
    <comment ref="HU6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Added a zero at the end taking into account preceding and succeeding values.</t>
        </r>
      </text>
    </comment>
    <comment ref="AJ6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Added a missing 0 at the end.
</t>
        </r>
      </text>
    </comment>
    <comment ref="DP10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Removed the last digit for a suspected error.
</t>
        </r>
      </text>
    </comment>
    <comment ref="IR15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Conversion to 1000 sq. yard suspectedly missing in the report.
</t>
        </r>
      </text>
    </comment>
    <comment ref="IT15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Conversion to 1000 sq. yard suspectedly missing in the report.</t>
        </r>
      </text>
    </comment>
    <comment ref="IV15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Conversion to 1000 sq. yard suspectedly missing in the report.</t>
        </r>
      </text>
    </comment>
    <comment ref="IX15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Conversion to 1000 sq. yard suspectedly missing in the report.</t>
        </r>
      </text>
    </comment>
    <comment ref="IZ15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Conversion to 1000 sq. yard suspectedly missing in the report.</t>
        </r>
      </text>
    </comment>
    <comment ref="JB15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Conversion to 1000 sq. yard suspectedly missing in the report.</t>
        </r>
      </text>
    </comment>
    <comment ref="JE15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Conversion to 1000 sq. yard suspectedly missing in the report.</t>
        </r>
      </text>
    </comment>
    <comment ref="II16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Corrected by removing 1 zero for suspecte4d to be quoted as tenth unit higher.</t>
        </r>
      </text>
    </comment>
    <comment ref="IK16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Corrected by removing 1 zero for suspecte4d to be quoted as tenth unit higher.</t>
        </r>
      </text>
    </comment>
    <comment ref="IM16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Corrected by removing 1 zero for suspecte4d to be quoted as tenth unit higher.</t>
        </r>
      </text>
    </comment>
    <comment ref="IP16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Corrected by removing 1 zero for suspecte4d to be quoted as tenth unit higher.</t>
        </r>
      </text>
    </comment>
    <comment ref="IR16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Corrected by removing 1 zero for suspecte4d to be quoted as tenth unit higher.</t>
        </r>
      </text>
    </comment>
    <comment ref="IT16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Corrected by removing 1 zero for suspecte4d to be quoted as tenth unit higher.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GJ1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Added a suspectedly missing 0.
</t>
        </r>
      </text>
    </comment>
    <comment ref="KQ6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Added a zero at the end taking into account preceding and succeeding values.</t>
        </r>
      </text>
    </comment>
    <comment ref="FC10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Removed the last digit for a suspected error.
</t>
        </r>
      </text>
    </comment>
  </commentList>
</comments>
</file>

<file path=xl/comments5.xml><?xml version="1.0" encoding="utf-8"?>
<comments xmlns="http://schemas.openxmlformats.org/spreadsheetml/2006/main">
  <authors>
    <author>Author</author>
  </authors>
  <commentList>
    <comment ref="O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This is quoted per cask.</t>
        </r>
      </text>
    </comment>
    <comment ref="AD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This is quoted per cask.</t>
        </r>
      </text>
    </comment>
    <comment ref="AS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This is quoted per cask.</t>
        </r>
      </text>
    </comment>
    <comment ref="BH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This is quoted per cask.</t>
        </r>
      </text>
    </comment>
    <comment ref="BW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This is quoted per cask.</t>
        </r>
      </text>
    </comment>
    <comment ref="CL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This is quoted per cask.</t>
        </r>
      </text>
    </comment>
    <comment ref="DA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This is quoted per cask.</t>
        </r>
      </text>
    </comment>
    <comment ref="DP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This is quoted per cask.</t>
        </r>
      </text>
    </comment>
    <comment ref="EE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This is quoted per cask.</t>
        </r>
      </text>
    </comment>
    <comment ref="ET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This is quoted per cask.</t>
        </r>
      </text>
    </comment>
    <comment ref="FI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This is quoted per cask.</t>
        </r>
      </text>
    </comment>
    <comment ref="FX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This is quoted per cask.</t>
        </r>
      </text>
    </comment>
    <comment ref="GM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This is quoted per cask.</t>
        </r>
      </text>
    </comment>
    <comment ref="HB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This is quoted per cask.</t>
        </r>
      </text>
    </comment>
    <comment ref="HR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This is quoted per cask.</t>
        </r>
      </text>
    </comment>
    <comment ref="EQ2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This is quoted in bundles.</t>
        </r>
      </text>
    </comment>
    <comment ref="FF2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This is quoted in cases.</t>
        </r>
      </text>
    </comment>
    <comment ref="MK2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This is quoted in cwts.</t>
        </r>
      </text>
    </comment>
    <comment ref="JX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Added a zero at the end taking into account preceding and succeeding values.</t>
        </r>
      </text>
    </comment>
    <comment ref="EQ4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Removed the last digit for a suspected error.
</t>
        </r>
      </text>
    </comment>
  </commentList>
</comments>
</file>

<file path=xl/comments6.xml><?xml version="1.0" encoding="utf-8"?>
<comments xmlns="http://schemas.openxmlformats.org/spreadsheetml/2006/main">
  <authors>
    <author>Author</author>
  </authors>
  <commentList>
    <comment ref="AN2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This is quoted in bundles.</t>
        </r>
      </text>
    </comment>
    <comment ref="AR2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This is quoted in cases.</t>
        </r>
      </text>
    </comment>
    <comment ref="EP2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This is quoted in cwts.</t>
        </r>
      </text>
    </comment>
    <comment ref="A4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For India, from 1888-89 onward.</t>
        </r>
      </text>
    </comment>
    <comment ref="A4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For India, from 1888-89 onward.</t>
        </r>
      </text>
    </comment>
    <comment ref="A4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For Persian Gulf, Bussorah and Makran Coast from 1888-89 onward.</t>
        </r>
      </text>
    </comment>
    <comment ref="A4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For Persian Gulf, Bussorah and Makran Coast from 1888-89 onward.</t>
        </r>
      </text>
    </comment>
    <comment ref="AB4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This is in Bags.
</t>
        </r>
      </text>
    </comment>
  </commentList>
</comments>
</file>

<file path=xl/comments7.xml><?xml version="1.0" encoding="utf-8"?>
<comments xmlns="http://schemas.openxmlformats.org/spreadsheetml/2006/main">
  <authors>
    <author>Author</author>
  </authors>
  <commentList>
    <comment ref="C1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Corrected by removing an additional 0.
</t>
        </r>
      </text>
    </comment>
    <comment ref="A2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Includes dates (black) and others</t>
        </r>
      </text>
    </comment>
    <comment ref="E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Kerosene.</t>
        </r>
      </text>
    </comment>
    <comment ref="P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Kerosene.</t>
        </r>
      </text>
    </comment>
    <comment ref="S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Kerosene.</t>
        </r>
      </text>
    </comment>
    <comment ref="U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Kerosene.</t>
        </r>
      </text>
    </comment>
    <comment ref="X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Kerosene. Corrected by adding a missing 0.</t>
        </r>
      </text>
    </comment>
    <comment ref="AA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Kerosene.</t>
        </r>
      </text>
    </comment>
    <comment ref="AC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Kerosene.</t>
        </r>
      </text>
    </comment>
    <comment ref="AE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Kerosene.</t>
        </r>
      </text>
    </comment>
    <comment ref="AG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Kerosene.</t>
        </r>
      </text>
    </comment>
    <comment ref="AI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Kerosene.</t>
        </r>
      </text>
    </comment>
    <comment ref="AR3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Added a zero for suspected error.
</t>
        </r>
      </text>
    </comment>
    <comment ref="A4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 Quoted as cotton and cotton fabrics.</t>
        </r>
      </text>
    </comment>
    <comment ref="AF4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Removed a zero due to suspected error.
</t>
        </r>
      </text>
    </comment>
    <comment ref="AA4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Added a zero suspected to be missing.
</t>
        </r>
      </text>
    </comment>
  </commentList>
</comments>
</file>

<file path=xl/comments8.xml><?xml version="1.0" encoding="utf-8"?>
<comments xmlns="http://schemas.openxmlformats.org/spreadsheetml/2006/main">
  <authors>
    <author>Author</author>
  </authors>
  <commentList>
    <comment ref="F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Kerosene.</t>
        </r>
      </text>
    </comment>
    <comment ref="U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Kerosene.</t>
        </r>
      </text>
    </comment>
    <comment ref="Y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Kerosene.</t>
        </r>
      </text>
    </comment>
    <comment ref="AB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Kerosene.</t>
        </r>
      </text>
    </comment>
    <comment ref="AF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Kerosene.</t>
        </r>
      </text>
    </comment>
    <comment ref="AJ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Kerosene.</t>
        </r>
      </text>
    </comment>
    <comment ref="AM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Kerosene.</t>
        </r>
      </text>
    </comment>
    <comment ref="AP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Kerosene.</t>
        </r>
      </text>
    </comment>
    <comment ref="AS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Kerosene.</t>
        </r>
      </text>
    </comment>
    <comment ref="AV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Kerosene.</t>
        </r>
      </text>
    </comment>
  </commentList>
</comments>
</file>

<file path=xl/comments9.xml><?xml version="1.0" encoding="utf-8"?>
<comments xmlns="http://schemas.openxmlformats.org/spreadsheetml/2006/main">
  <authors>
    <author>Author</author>
  </authors>
  <commentList>
    <comment ref="F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Kerosene.</t>
        </r>
      </text>
    </comment>
    <comment ref="S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Kerosene.</t>
        </r>
      </text>
    </comment>
    <comment ref="W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Kerosene.</t>
        </r>
      </text>
    </comment>
    <comment ref="Z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Kerosene.</t>
        </r>
      </text>
    </comment>
    <comment ref="AC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Kerosene.</t>
        </r>
      </text>
    </comment>
    <comment ref="AF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Kerosene.</t>
        </r>
      </text>
    </comment>
    <comment ref="AI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Kerosene.</t>
        </r>
      </text>
    </comment>
    <comment ref="AL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Kerosene.</t>
        </r>
      </text>
    </comment>
    <comment ref="AO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Kerosene.</t>
        </r>
      </text>
    </comment>
    <comment ref="AR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Kerosene.</t>
        </r>
      </text>
    </comment>
  </commentList>
</comments>
</file>

<file path=xl/sharedStrings.xml><?xml version="1.0" encoding="utf-8"?>
<sst xmlns="http://schemas.openxmlformats.org/spreadsheetml/2006/main" count="29209" uniqueCount="440">
  <si>
    <t>Articles</t>
  </si>
  <si>
    <t>Units</t>
  </si>
  <si>
    <t>Quantity</t>
  </si>
  <si>
    <t>Muscat, 1904-05</t>
  </si>
  <si>
    <t>Muscat, 1905-06</t>
  </si>
  <si>
    <t>Muscat, 1906-07</t>
  </si>
  <si>
    <t>Tons</t>
  </si>
  <si>
    <t>Cwts</t>
  </si>
  <si>
    <t>Gallons</t>
  </si>
  <si>
    <t>1000 yards</t>
  </si>
  <si>
    <t>Muscat, 1907-08</t>
  </si>
  <si>
    <t>Value (Dollars)</t>
  </si>
  <si>
    <t>Muscat, 1908-09</t>
  </si>
  <si>
    <t>Muscat, 1909-10</t>
  </si>
  <si>
    <t>Muscat, 1910-11</t>
  </si>
  <si>
    <t>Muscat, 1911-12</t>
  </si>
  <si>
    <t xml:space="preserve">   Rifles</t>
  </si>
  <si>
    <t xml:space="preserve">   Cartridges</t>
  </si>
  <si>
    <t>Number</t>
  </si>
  <si>
    <t>Bars</t>
  </si>
  <si>
    <t>Lbs</t>
  </si>
  <si>
    <t>Fruit</t>
  </si>
  <si>
    <t>Fish</t>
  </si>
  <si>
    <t>Scores</t>
  </si>
  <si>
    <t xml:space="preserve">   Camels</t>
  </si>
  <si>
    <t xml:space="preserve">   Horses</t>
  </si>
  <si>
    <t xml:space="preserve">   Other kinds</t>
  </si>
  <si>
    <t>Shells</t>
  </si>
  <si>
    <t>Muscat, 1903-04</t>
  </si>
  <si>
    <t>Muscat, 1902-03</t>
  </si>
  <si>
    <t>Muscat, 1901-02</t>
  </si>
  <si>
    <t>Muscat, 1896-97</t>
  </si>
  <si>
    <t>Muscat, 1895-96</t>
  </si>
  <si>
    <t>Muscat, 1894-95</t>
  </si>
  <si>
    <t>Total (to principal countries)</t>
  </si>
  <si>
    <t>Muscat, 1890-91</t>
  </si>
  <si>
    <t>India</t>
  </si>
  <si>
    <t>Rice</t>
  </si>
  <si>
    <t>Bag</t>
  </si>
  <si>
    <t>Moorah</t>
  </si>
  <si>
    <t>Box</t>
  </si>
  <si>
    <t>Bottle</t>
  </si>
  <si>
    <t>Cask</t>
  </si>
  <si>
    <t>Cotton</t>
  </si>
  <si>
    <t>Bale</t>
  </si>
  <si>
    <t>Bundle</t>
  </si>
  <si>
    <t xml:space="preserve"> Piece</t>
  </si>
  <si>
    <t>Piece</t>
  </si>
  <si>
    <t>Tin</t>
  </si>
  <si>
    <t>Packages</t>
  </si>
  <si>
    <t>Dubba</t>
  </si>
  <si>
    <t>Persian Gulf, Bussorah and Makran Coast</t>
  </si>
  <si>
    <t>Rolls</t>
  </si>
  <si>
    <t>Bahrs</t>
  </si>
  <si>
    <t>Karbas</t>
  </si>
  <si>
    <t>Chests</t>
  </si>
  <si>
    <t>South Arabia and Africa</t>
  </si>
  <si>
    <t>Score</t>
  </si>
  <si>
    <t>Horn</t>
  </si>
  <si>
    <t>Skin</t>
  </si>
  <si>
    <t>Candies</t>
  </si>
  <si>
    <t>Total (from regions)</t>
  </si>
  <si>
    <t>United States, Mauritius and Singapore</t>
  </si>
  <si>
    <t>Maund</t>
  </si>
  <si>
    <t>Bahr</t>
  </si>
  <si>
    <t>Chest</t>
  </si>
  <si>
    <t>Goat's hair</t>
  </si>
  <si>
    <t>Coffee</t>
  </si>
  <si>
    <t>Wheat</t>
  </si>
  <si>
    <t>Barley</t>
  </si>
  <si>
    <t>Sugar</t>
  </si>
  <si>
    <t xml:space="preserve">Weights </t>
  </si>
  <si>
    <t>Product</t>
  </si>
  <si>
    <t>bag</t>
  </si>
  <si>
    <t>Date</t>
  </si>
  <si>
    <t>case</t>
  </si>
  <si>
    <t>Opium</t>
  </si>
  <si>
    <t>Source</t>
  </si>
  <si>
    <t>United Nations. Department of Economic and Social Affairs. Statistical Office of the United Nations.
World Weights and Measures. Handbook for Statisticians.
Statistical Papers. Series M no. 21 Revision 1. (ST/STAT/SER.M/21/rev.1)
New York: United Nations, 1966.</t>
  </si>
  <si>
    <t>Salt</t>
  </si>
  <si>
    <t>bahr</t>
  </si>
  <si>
    <t>bale</t>
  </si>
  <si>
    <t>Cloth</t>
  </si>
  <si>
    <t>Muscat, 1900-01</t>
  </si>
  <si>
    <t>Muscat, 1898-99</t>
  </si>
  <si>
    <t>Muscat, 1899-00</t>
  </si>
  <si>
    <t>1000 yard</t>
  </si>
  <si>
    <t>Muscat, 1897-98</t>
  </si>
  <si>
    <t>Muscat, 1892-93</t>
  </si>
  <si>
    <t>Muscat, 1893-94</t>
  </si>
  <si>
    <t>Muscat, 1891-92</t>
  </si>
  <si>
    <t>Package</t>
  </si>
  <si>
    <t>Bundles</t>
  </si>
  <si>
    <t>Ghee</t>
  </si>
  <si>
    <t>Oil of all kinds</t>
  </si>
  <si>
    <t>Box/Dubba</t>
  </si>
  <si>
    <t>gallon</t>
  </si>
  <si>
    <t>Gallon</t>
  </si>
  <si>
    <t>Cwt</t>
  </si>
  <si>
    <t>lb</t>
  </si>
  <si>
    <t>Bar</t>
  </si>
  <si>
    <t>Gunpowder</t>
  </si>
  <si>
    <t>Grain, Flour</t>
  </si>
  <si>
    <t>Oil seeds</t>
  </si>
  <si>
    <t>Box/Dubba/Tin</t>
  </si>
  <si>
    <t>Wine</t>
  </si>
  <si>
    <t>Case/Cask</t>
  </si>
  <si>
    <t>Twist and yarn</t>
  </si>
  <si>
    <t>Wines and spirits</t>
  </si>
  <si>
    <t>Piece-goods</t>
  </si>
  <si>
    <t>Value (Sterling)</t>
  </si>
  <si>
    <t>x</t>
  </si>
  <si>
    <t>Forex</t>
  </si>
  <si>
    <t>Year</t>
  </si>
  <si>
    <t>Grams of pure silver per US$</t>
  </si>
  <si>
    <t>Grams of pure silver per rupee</t>
  </si>
  <si>
    <t>Price of sterling silver--pence per ounce troy--std</t>
  </si>
  <si>
    <t>Troy</t>
  </si>
  <si>
    <t>t oz</t>
  </si>
  <si>
    <t>gram</t>
  </si>
  <si>
    <t>sterling</t>
  </si>
  <si>
    <t>pence</t>
  </si>
  <si>
    <t>Grams of pure silver per d. (penny)</t>
  </si>
  <si>
    <t>Price of sterling in MT$</t>
  </si>
  <si>
    <t>MT$</t>
  </si>
  <si>
    <t>silver</t>
  </si>
  <si>
    <t xml:space="preserve">Grams of pure silver per sterling </t>
  </si>
  <si>
    <t>Price (Sterling)</t>
  </si>
  <si>
    <t/>
  </si>
  <si>
    <t>Units (Quantity)</t>
  </si>
  <si>
    <t>Units (Price)</t>
  </si>
  <si>
    <t>£/Cwt</t>
  </si>
  <si>
    <t>£/Moorah</t>
  </si>
  <si>
    <t>£/Cask</t>
  </si>
  <si>
    <t>£/Gallon</t>
  </si>
  <si>
    <t>£/1000 yards</t>
  </si>
  <si>
    <t>Prices and Wages in London &amp; Southern England, 1259-1914</t>
  </si>
  <si>
    <t>A1) Original Prices</t>
  </si>
  <si>
    <t>Currency/units</t>
  </si>
  <si>
    <t>Comment</t>
  </si>
  <si>
    <t>Place of Origin</t>
  </si>
  <si>
    <t>Good</t>
  </si>
  <si>
    <t>Cotton, raw</t>
  </si>
  <si>
    <t>Sugar, loaf</t>
  </si>
  <si>
    <t>1902-03</t>
  </si>
  <si>
    <t>1903-04</t>
  </si>
  <si>
    <t>1904-05</t>
  </si>
  <si>
    <t>1905-06</t>
  </si>
  <si>
    <t>1906-07</t>
  </si>
  <si>
    <t>1907-08</t>
  </si>
  <si>
    <t>1908-09</t>
  </si>
  <si>
    <t>1909-10</t>
  </si>
  <si>
    <t>1910-11</t>
  </si>
  <si>
    <t>1911-12</t>
  </si>
  <si>
    <t>1889-90</t>
  </si>
  <si>
    <t>Wheat and other grains</t>
  </si>
  <si>
    <t>Wheat flour</t>
  </si>
  <si>
    <t>Mung</t>
  </si>
  <si>
    <t>Kerosene oil</t>
  </si>
  <si>
    <t>Oil, sweet and coconut</t>
  </si>
  <si>
    <t>Sugar, candy</t>
  </si>
  <si>
    <t>Sugar, soft</t>
  </si>
  <si>
    <t>Dates</t>
  </si>
  <si>
    <t>Dates, dry</t>
  </si>
  <si>
    <t>Dates, wet</t>
  </si>
  <si>
    <t>1888-89</t>
  </si>
  <si>
    <t>1890-91</t>
  </si>
  <si>
    <t>1891-92</t>
  </si>
  <si>
    <t>1892-93</t>
  </si>
  <si>
    <t>1893-94</t>
  </si>
  <si>
    <t>1894-95</t>
  </si>
  <si>
    <t>1895-96</t>
  </si>
  <si>
    <t>1896-97</t>
  </si>
  <si>
    <t>1897-98</t>
  </si>
  <si>
    <t>1898-99</t>
  </si>
  <si>
    <t>1899-00</t>
  </si>
  <si>
    <t>1900-01</t>
  </si>
  <si>
    <t>1901-02</t>
  </si>
  <si>
    <t>American</t>
  </si>
  <si>
    <t>Gram, chick pea</t>
  </si>
  <si>
    <t>Middle East, Imports and Exports, 1824-1913</t>
  </si>
  <si>
    <t>This spreadsheet was put together by Robert Allen in April, 2018.</t>
  </si>
  <si>
    <r>
      <t xml:space="preserve">Prices and values are in </t>
    </r>
    <r>
      <rPr>
        <b/>
        <i/>
        <sz val="10"/>
        <rFont val="Arial"/>
        <family val="2"/>
      </rPr>
      <t>pounds sterling</t>
    </r>
    <r>
      <rPr>
        <sz val="10"/>
        <rFont val="Arial"/>
        <family val="2"/>
      </rPr>
      <t>.</t>
    </r>
  </si>
  <si>
    <t>There are important issues regarding the accuracy of the returns in view of their provencance and the incentives to underreport values and evade taxation.</t>
  </si>
  <si>
    <t>Some errors were detected in the process and corrected. Please note that observations not recorded for some of the years listed above were not available in the source reports.</t>
  </si>
  <si>
    <t>Sheets:</t>
  </si>
  <si>
    <t>- reduces the adjusted data on imports to prices in single series for each commodity.</t>
  </si>
  <si>
    <t>- reduces the adjusted data on exports to prices in single series for each commodity.</t>
  </si>
  <si>
    <t>Color Legend</t>
  </si>
  <si>
    <t>Sources:</t>
  </si>
  <si>
    <t>Robert White Stevens, On the Stowage of Ships and their Cargoes, London, Longmans, Green, &amp; Co., 7th edition, 1894.</t>
  </si>
  <si>
    <t xml:space="preserve"> </t>
  </si>
  <si>
    <t>Change in unit of quantity</t>
  </si>
  <si>
    <t>Suspected data entries or invalid / unavailable conversion units</t>
  </si>
  <si>
    <t xml:space="preserve">Muscat - Prices (Imports) </t>
  </si>
  <si>
    <t xml:space="preserve">Muscat - Prices (Exports) </t>
  </si>
  <si>
    <t>Oil, all kinds</t>
  </si>
  <si>
    <t>Reports of British consuls published in: the British House of Commons papers in the diplomatic &amp; consular reports on trade and finance and in the administration reports on the Persian Gulf Political Residency.</t>
  </si>
  <si>
    <t>Flour, American</t>
  </si>
  <si>
    <t>Bajri, pearl millet</t>
  </si>
  <si>
    <t>Jowari, broom corn</t>
  </si>
  <si>
    <t>Cloth, American</t>
  </si>
  <si>
    <t>Rifles</t>
  </si>
  <si>
    <t>Cartridges</t>
  </si>
  <si>
    <t>Fowling piece</t>
  </si>
  <si>
    <t>Other grains</t>
  </si>
  <si>
    <t>Dyes</t>
  </si>
  <si>
    <t>Indigo</t>
  </si>
  <si>
    <t>Waras, Ochre</t>
  </si>
  <si>
    <t>Brass</t>
  </si>
  <si>
    <t>Bar silver</t>
  </si>
  <si>
    <t>Copper</t>
  </si>
  <si>
    <t>Ironware</t>
  </si>
  <si>
    <t>Steel</t>
  </si>
  <si>
    <t>Tin and lead</t>
  </si>
  <si>
    <t>Pewterware</t>
  </si>
  <si>
    <t>Candles</t>
  </si>
  <si>
    <t>Fireworks</t>
  </si>
  <si>
    <t>Tobacco</t>
  </si>
  <si>
    <t>Budrbud</t>
  </si>
  <si>
    <t>Ganja, flax seeds</t>
  </si>
  <si>
    <t>Vinegar</t>
  </si>
  <si>
    <t>Lime, gitch</t>
  </si>
  <si>
    <t>Lime, dry</t>
  </si>
  <si>
    <t>Assafootida</t>
  </si>
  <si>
    <t>Madder</t>
  </si>
  <si>
    <t>Myrtle leaves</t>
  </si>
  <si>
    <t>Red ochre</t>
  </si>
  <si>
    <t>Sulphur</t>
  </si>
  <si>
    <t>Saltpetre</t>
  </si>
  <si>
    <t>Purwass</t>
  </si>
  <si>
    <t>Lucifer matches</t>
  </si>
  <si>
    <t>Wood</t>
  </si>
  <si>
    <t>Yellow wood</t>
  </si>
  <si>
    <t>Boxes, empty deal-wood</t>
  </si>
  <si>
    <t>Boxes, shooks</t>
  </si>
  <si>
    <t>Wood rafters</t>
  </si>
  <si>
    <t>Tea</t>
  </si>
  <si>
    <t>Oil, seeds</t>
  </si>
  <si>
    <t>Tallow</t>
  </si>
  <si>
    <t>Monkeynuts</t>
  </si>
  <si>
    <t>Musk</t>
  </si>
  <si>
    <t>Aloe's, wood</t>
  </si>
  <si>
    <t>Aloes</t>
  </si>
  <si>
    <t>Frankincense</t>
  </si>
  <si>
    <t>Dragon's blood</t>
  </si>
  <si>
    <t>Arabian gum</t>
  </si>
  <si>
    <t>Otto of roses</t>
  </si>
  <si>
    <t>Wild cypress seed</t>
  </si>
  <si>
    <t>Senna leaves</t>
  </si>
  <si>
    <t>Sandalwood chips</t>
  </si>
  <si>
    <t>Camphor</t>
  </si>
  <si>
    <t>Gooracco</t>
  </si>
  <si>
    <t>Coriander</t>
  </si>
  <si>
    <t>Garlic</t>
  </si>
  <si>
    <t>Onions</t>
  </si>
  <si>
    <t>Potatoes</t>
  </si>
  <si>
    <t>Jagree</t>
  </si>
  <si>
    <t>Cocoa</t>
  </si>
  <si>
    <t>Cocoanuts</t>
  </si>
  <si>
    <t>Cocoanuts, fresh</t>
  </si>
  <si>
    <t>Cocoanuts, dry</t>
  </si>
  <si>
    <t>Tamarind</t>
  </si>
  <si>
    <t>Syrups</t>
  </si>
  <si>
    <t>Rosewater</t>
  </si>
  <si>
    <t>Pomegranate skins</t>
  </si>
  <si>
    <t>Vegetables</t>
  </si>
  <si>
    <t>Almond</t>
  </si>
  <si>
    <t>Walnuts</t>
  </si>
  <si>
    <t>Pistachio nuts</t>
  </si>
  <si>
    <t>Figs</t>
  </si>
  <si>
    <t>Plums</t>
  </si>
  <si>
    <t>Raisins</t>
  </si>
  <si>
    <t>Vermicelli</t>
  </si>
  <si>
    <t>Tar</t>
  </si>
  <si>
    <t>Rum</t>
  </si>
  <si>
    <t>Soda</t>
  </si>
  <si>
    <t>Crockery</t>
  </si>
  <si>
    <t>Paper</t>
  </si>
  <si>
    <t>Wax paper</t>
  </si>
  <si>
    <t>Sal ammonise</t>
  </si>
  <si>
    <t>Hyacinth</t>
  </si>
  <si>
    <t>Caraway seed</t>
  </si>
  <si>
    <t>Sharkfins</t>
  </si>
  <si>
    <t>Fishmaws</t>
  </si>
  <si>
    <t>Prawns</t>
  </si>
  <si>
    <t>Sundries</t>
  </si>
  <si>
    <t>Toys and fancy works</t>
  </si>
  <si>
    <t>Civet</t>
  </si>
  <si>
    <t>Shunna</t>
  </si>
  <si>
    <t>Soap</t>
  </si>
  <si>
    <t>Hair combs</t>
  </si>
  <si>
    <t>Razors</t>
  </si>
  <si>
    <t>Fez Red Caps</t>
  </si>
  <si>
    <t>Pepper</t>
  </si>
  <si>
    <t>Turmeric</t>
  </si>
  <si>
    <t>Cardamoms</t>
  </si>
  <si>
    <t>Cinnamon</t>
  </si>
  <si>
    <t>Cloves</t>
  </si>
  <si>
    <t>Cummin seed</t>
  </si>
  <si>
    <t>Ginger, dry</t>
  </si>
  <si>
    <t>Nutmegs</t>
  </si>
  <si>
    <t>Betelnuts</t>
  </si>
  <si>
    <t>Saffron</t>
  </si>
  <si>
    <t>Alum</t>
  </si>
  <si>
    <t>Cotton, damaged</t>
  </si>
  <si>
    <t>Cotton, stuff</t>
  </si>
  <si>
    <t>Cotton, blue</t>
  </si>
  <si>
    <t>Turkey, red (dyeing color)</t>
  </si>
  <si>
    <t>Broadcloth</t>
  </si>
  <si>
    <t>Canvas</t>
  </si>
  <si>
    <t>Chintz</t>
  </si>
  <si>
    <t>Gold thread</t>
  </si>
  <si>
    <t>Cloaks</t>
  </si>
  <si>
    <t>Gunnies</t>
  </si>
  <si>
    <t>Handkerchiefs, coloured</t>
  </si>
  <si>
    <t>Mat bags</t>
  </si>
  <si>
    <t>Hemp</t>
  </si>
  <si>
    <t>Rope, coir</t>
  </si>
  <si>
    <t>Shawls and loongies</t>
  </si>
  <si>
    <t>Silk</t>
  </si>
  <si>
    <t>Silk, raw</t>
  </si>
  <si>
    <t>Twine</t>
  </si>
  <si>
    <t>Carpets and rugs</t>
  </si>
  <si>
    <t>Goats' hair</t>
  </si>
  <si>
    <t>Wool</t>
  </si>
  <si>
    <t>Hides</t>
  </si>
  <si>
    <t>Dates, pressed</t>
  </si>
  <si>
    <t>Mother-of-pearl</t>
  </si>
  <si>
    <t>Pearl</t>
  </si>
  <si>
    <t>Amber</t>
  </si>
  <si>
    <t>Antimony</t>
  </si>
  <si>
    <t>Waras, ochre</t>
  </si>
  <si>
    <t>Camels</t>
  </si>
  <si>
    <t>Horses</t>
  </si>
  <si>
    <t>Sardines, dry</t>
  </si>
  <si>
    <t>Fish, dry and salted</t>
  </si>
  <si>
    <t>Shark fins</t>
  </si>
  <si>
    <t>Cuttles</t>
  </si>
  <si>
    <t>Limes, dry</t>
  </si>
  <si>
    <t>Pomegranates and fruit, other kinds</t>
  </si>
  <si>
    <t>Pomegranates</t>
  </si>
  <si>
    <t>Cowries</t>
  </si>
  <si>
    <t>Pearls</t>
  </si>
  <si>
    <t>Animals, other than camels and horses</t>
  </si>
  <si>
    <t>Muscat, 1888-89</t>
  </si>
  <si>
    <t>Muscat, 1889-90</t>
  </si>
  <si>
    <t>Muscat, 1907-8</t>
  </si>
  <si>
    <t>Muscat, 1897-08</t>
  </si>
  <si>
    <t>Imports - Data (Raw)</t>
  </si>
  <si>
    <t>- contains the raw units for commodities and currencies of prices, quantities and values of imports taken from the sources described below.</t>
  </si>
  <si>
    <t>Exports - Data (Adjusted)</t>
  </si>
  <si>
    <t>- contains the raw units for commodities and currencies of prices, quantities and values of exports taken from the sources described below.</t>
  </si>
  <si>
    <t>Exports - Data (Raw)</t>
  </si>
  <si>
    <t>Imports - Data (Adjusted)</t>
  </si>
  <si>
    <t>- contains the adjusted units for commodities and currencies of prices, quantities and values of imports taken from the sources described below.</t>
  </si>
  <si>
    <t>- contains the adjusted units for commodities and currencies of prices, quantities and values of exports taken from the sources described below.</t>
  </si>
  <si>
    <t>Standardized quantity</t>
  </si>
  <si>
    <t>Dhall</t>
  </si>
  <si>
    <t>Price of sterling in Rupee</t>
  </si>
  <si>
    <t>Beans (France)</t>
  </si>
  <si>
    <t>France</t>
  </si>
  <si>
    <t>Silk, raw and goods</t>
  </si>
  <si>
    <t>Silk, goods</t>
  </si>
  <si>
    <t>Skins and hides</t>
  </si>
  <si>
    <t>Cotton, raw and manufactured</t>
  </si>
  <si>
    <t>Cotton, raw and manufactured (Muscat)</t>
  </si>
  <si>
    <t>Cotton, raw and manufactured (Europe)</t>
  </si>
  <si>
    <t>Cloth (America)</t>
  </si>
  <si>
    <t>Fish, maws</t>
  </si>
  <si>
    <t>Corn (India)</t>
  </si>
  <si>
    <t xml:space="preserve">long ton </t>
  </si>
  <si>
    <t>Muscat, 1874-75</t>
  </si>
  <si>
    <t>Load</t>
  </si>
  <si>
    <t>Kandies</t>
  </si>
  <si>
    <t>Muscat, 1887-88</t>
  </si>
  <si>
    <t>Muscat, 1886-87</t>
  </si>
  <si>
    <t>Muscat, 1885-86</t>
  </si>
  <si>
    <t>Muscat, 1884-85</t>
  </si>
  <si>
    <t>Muscat, 1883-84</t>
  </si>
  <si>
    <t>Muscat, 1882-83</t>
  </si>
  <si>
    <t>Muscat, 1881-82</t>
  </si>
  <si>
    <t>Muscat, 1880-81</t>
  </si>
  <si>
    <t>Muscat, 1879-80</t>
  </si>
  <si>
    <t>=100000+20000Pots</t>
  </si>
  <si>
    <t>Gunny</t>
  </si>
  <si>
    <t>Muscat, 1878-79</t>
  </si>
  <si>
    <t>=38000+10000Pots</t>
  </si>
  <si>
    <t>Muscat, 1877-78</t>
  </si>
  <si>
    <t>=5000+28000Pots</t>
  </si>
  <si>
    <t>Muscat, 1876-77</t>
  </si>
  <si>
    <t>=75000+16000Pots</t>
  </si>
  <si>
    <t>Muscat, 1875-76</t>
  </si>
  <si>
    <t>=50000+15000Pots</t>
  </si>
  <si>
    <t>=43200+10000Pots</t>
  </si>
  <si>
    <t>Bags</t>
  </si>
  <si>
    <t>Case</t>
  </si>
  <si>
    <t>lbs.</t>
  </si>
  <si>
    <t>cwts.</t>
  </si>
  <si>
    <t>Cwt.</t>
  </si>
  <si>
    <t xml:space="preserve">£/Cwt or £/Kandies </t>
  </si>
  <si>
    <t>1874-75</t>
  </si>
  <si>
    <t>1875-76</t>
  </si>
  <si>
    <t>1876-77</t>
  </si>
  <si>
    <t>1877-78</t>
  </si>
  <si>
    <t>1878-79</t>
  </si>
  <si>
    <t>1879-80</t>
  </si>
  <si>
    <t>1880-81</t>
  </si>
  <si>
    <t>1881-82</t>
  </si>
  <si>
    <t>1882-83</t>
  </si>
  <si>
    <t>1883-84</t>
  </si>
  <si>
    <t>1884-85</t>
  </si>
  <si>
    <t>1885-86</t>
  </si>
  <si>
    <t>1886-87</t>
  </si>
  <si>
    <t>1887-88</t>
  </si>
  <si>
    <t>£/Kandy</t>
  </si>
  <si>
    <t>£/Package</t>
  </si>
  <si>
    <t>bundle</t>
  </si>
  <si>
    <t>cases</t>
  </si>
  <si>
    <t>Silk (India)</t>
  </si>
  <si>
    <t>Silk, goods (India)</t>
  </si>
  <si>
    <t>Silk, raw (Persian Gulf, Bussorah and Makran Coast)</t>
  </si>
  <si>
    <t>Silk, goods  (Persian Gulf, Bussorah and Makran Coast)</t>
  </si>
  <si>
    <t>£/Box</t>
  </si>
  <si>
    <t>£/Kandies</t>
  </si>
  <si>
    <t>Silk, raw (combined)</t>
  </si>
  <si>
    <t>Beans</t>
  </si>
  <si>
    <t>Packages / Cwt.</t>
  </si>
  <si>
    <t>Silk, raw (all combined)</t>
  </si>
  <si>
    <t>1/10*50000</t>
  </si>
  <si>
    <r>
      <t xml:space="preserve">This spreadsheet lists the </t>
    </r>
    <r>
      <rPr>
        <b/>
        <i/>
        <sz val="10"/>
        <rFont val="Arial"/>
        <family val="2"/>
      </rPr>
      <t>prices, quantities</t>
    </r>
    <r>
      <rPr>
        <sz val="10"/>
        <rFont val="Arial"/>
        <family val="2"/>
      </rPr>
      <t xml:space="preserve"> and </t>
    </r>
    <r>
      <rPr>
        <b/>
        <i/>
        <sz val="10"/>
        <rFont val="Arial"/>
        <family val="2"/>
      </rPr>
      <t>values</t>
    </r>
    <r>
      <rPr>
        <sz val="10"/>
        <rFont val="Arial"/>
        <family val="2"/>
      </rPr>
      <t xml:space="preserve"> of </t>
    </r>
    <r>
      <rPr>
        <b/>
        <i/>
        <sz val="10"/>
        <rFont val="Arial"/>
        <family val="2"/>
      </rPr>
      <t xml:space="preserve">imports </t>
    </r>
    <r>
      <rPr>
        <sz val="10"/>
        <rFont val="Arial"/>
        <family val="2"/>
      </rPr>
      <t xml:space="preserve">and </t>
    </r>
    <r>
      <rPr>
        <b/>
        <i/>
        <sz val="10"/>
        <rFont val="Arial"/>
        <family val="2"/>
      </rPr>
      <t xml:space="preserve">exports </t>
    </r>
    <r>
      <rPr>
        <sz val="10"/>
        <rFont val="Arial"/>
        <family val="2"/>
      </rPr>
      <t xml:space="preserve">in the city of </t>
    </r>
    <r>
      <rPr>
        <b/>
        <i/>
        <sz val="10"/>
        <rFont val="Arial"/>
        <family val="2"/>
      </rPr>
      <t xml:space="preserve">Muscat </t>
    </r>
    <r>
      <rPr>
        <sz val="10"/>
        <rFont val="Arial"/>
        <family val="2"/>
      </rPr>
      <t>from</t>
    </r>
    <r>
      <rPr>
        <b/>
        <i/>
        <sz val="10"/>
        <rFont val="Arial"/>
        <family val="2"/>
      </rPr>
      <t xml:space="preserve"> 1874-75 to 1911-12</t>
    </r>
    <r>
      <rPr>
        <sz val="10"/>
        <rFont val="Arial"/>
        <family val="2"/>
      </rPr>
      <t>.  The data were compiled by British consuls.</t>
    </r>
  </si>
  <si>
    <t>Flour</t>
  </si>
  <si>
    <t>Cwt/Bag</t>
  </si>
  <si>
    <t>£/Bag</t>
  </si>
  <si>
    <t>£/Cwt or £/Bag</t>
  </si>
  <si>
    <t>Boxes</t>
  </si>
  <si>
    <t>Case/Box</t>
  </si>
  <si>
    <t>Cwt./Bundle</t>
  </si>
  <si>
    <t>£/Cwt or £/Bundle</t>
  </si>
  <si>
    <t>£/Bundle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</si>
</sst>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(* #,##0_);_(* \(#,##0\);_(* &quot;-&quot;??_);_(@_)"/>
    <numFmt numFmtId="165" formatCode="_(* #,##0.000_);_(* \(#,##0.000\);_(* &quot;-&quot;??_);_(@_)"/>
    <numFmt numFmtId="166" formatCode="_(* #,##0.0000_);_(* \(#,##0.0000\);_(* &quot;-&quot;??_);_(@_)"/>
    <numFmt numFmtId="167" formatCode="0_);\(0\)"/>
    <numFmt numFmtId="168" formatCode="0.0000"/>
    <numFmt numFmtId="169" formatCode="_(* #,##0.00000_);_(* \(#,##0.00000\);_(* &quot;-&quot;??_);_(@_)"/>
    <numFmt numFmtId="170" formatCode="#,##0.000"/>
  </numFmts>
  <fonts count="27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</font>
    <font>
      <b/>
      <sz val="12"/>
      <color rgb="FF000000"/>
      <name val="Calibri"/>
      <family val="2"/>
    </font>
    <font>
      <sz val="12"/>
      <color theme="1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name val="Courier"/>
    </font>
    <font>
      <b/>
      <u/>
      <sz val="10"/>
      <color indexed="9"/>
      <name val="Arial"/>
      <family val="2"/>
    </font>
    <font>
      <sz val="10"/>
      <color indexed="9"/>
      <name val="Courier"/>
    </font>
    <font>
      <b/>
      <u/>
      <sz val="8"/>
      <name val="Arial"/>
      <family val="2"/>
    </font>
    <font>
      <sz val="8"/>
      <color indexed="9"/>
      <name val="Arial"/>
      <family val="2"/>
    </font>
    <font>
      <i/>
      <sz val="8"/>
      <color indexed="9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58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3" fontId="10" fillId="0" borderId="0" applyFont="0" applyFill="0" applyBorder="0" applyAlignment="0" applyProtection="0"/>
    <xf numFmtId="0" fontId="14" fillId="0" borderId="0">
      <alignment vertical="top"/>
    </xf>
    <xf numFmtId="0" fontId="22" fillId="0" borderId="0">
      <alignment vertical="top"/>
    </xf>
  </cellStyleXfs>
  <cellXfs count="172">
    <xf numFmtId="0" fontId="0" fillId="0" borderId="0" xfId="0"/>
    <xf numFmtId="0" fontId="1" fillId="0" borderId="0" xfId="0" applyFont="1" applyFill="1" applyBorder="1"/>
    <xf numFmtId="0" fontId="2" fillId="0" borderId="0" xfId="0" applyFont="1" applyFill="1" applyBorder="1" applyAlignment="1">
      <alignment horizontal="center" vertical="center"/>
    </xf>
    <xf numFmtId="0" fontId="4" fillId="0" borderId="0" xfId="0" applyFont="1"/>
    <xf numFmtId="0" fontId="3" fillId="0" borderId="0" xfId="0" applyFont="1" applyBorder="1" applyAlignment="1">
      <alignment horizontal="center" vertical="center"/>
    </xf>
    <xf numFmtId="0" fontId="4" fillId="2" borderId="0" xfId="0" applyFont="1" applyFill="1" applyAlignment="1">
      <alignment horizontal="center"/>
    </xf>
    <xf numFmtId="0" fontId="0" fillId="2" borderId="0" xfId="0" applyFill="1"/>
    <xf numFmtId="3" fontId="0" fillId="0" borderId="0" xfId="0" applyNumberFormat="1"/>
    <xf numFmtId="0" fontId="4" fillId="0" borderId="0" xfId="0" applyFont="1" applyFill="1" applyAlignment="1">
      <alignment horizontal="center"/>
    </xf>
    <xf numFmtId="3" fontId="0" fillId="0" borderId="0" xfId="0" applyNumberFormat="1" applyFill="1"/>
    <xf numFmtId="0" fontId="0" fillId="0" borderId="0" xfId="0" applyFill="1"/>
    <xf numFmtId="0" fontId="4" fillId="0" borderId="0" xfId="0" applyFont="1" applyFill="1"/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5" fillId="0" borderId="0" xfId="0" applyFont="1"/>
    <xf numFmtId="3" fontId="0" fillId="0" borderId="0" xfId="0" quotePrefix="1" applyNumberFormat="1" applyFill="1"/>
    <xf numFmtId="0" fontId="6" fillId="0" borderId="0" xfId="0" applyFont="1"/>
    <xf numFmtId="0" fontId="6" fillId="0" borderId="0" xfId="0" applyFont="1" applyAlignment="1"/>
    <xf numFmtId="0" fontId="0" fillId="4" borderId="0" xfId="0" applyFill="1"/>
    <xf numFmtId="0" fontId="8" fillId="0" borderId="0" xfId="0" applyFont="1"/>
    <xf numFmtId="0" fontId="0" fillId="0" borderId="0" xfId="0" applyFont="1"/>
    <xf numFmtId="2" fontId="0" fillId="0" borderId="0" xfId="0" applyNumberFormat="1"/>
    <xf numFmtId="2" fontId="0" fillId="0" borderId="0" xfId="0" applyNumberFormat="1" applyFont="1"/>
    <xf numFmtId="0" fontId="12" fillId="0" borderId="0" xfId="0" applyFont="1"/>
    <xf numFmtId="0" fontId="13" fillId="0" borderId="0" xfId="0" applyFont="1"/>
    <xf numFmtId="0" fontId="13" fillId="0" borderId="0" xfId="0" applyFont="1" applyFill="1" applyAlignment="1">
      <alignment horizontal="center"/>
    </xf>
    <xf numFmtId="0" fontId="13" fillId="0" borderId="0" xfId="0" applyFont="1" applyFill="1"/>
    <xf numFmtId="0" fontId="13" fillId="2" borderId="0" xfId="0" applyFont="1" applyFill="1" applyAlignment="1">
      <alignment horizontal="center"/>
    </xf>
    <xf numFmtId="164" fontId="0" fillId="0" borderId="0" xfId="1" applyNumberFormat="1" applyFont="1"/>
    <xf numFmtId="164" fontId="13" fillId="0" borderId="0" xfId="1" applyNumberFormat="1" applyFont="1" applyFill="1" applyAlignment="1">
      <alignment horizontal="center"/>
    </xf>
    <xf numFmtId="164" fontId="11" fillId="0" borderId="0" xfId="1" applyNumberFormat="1" applyFont="1" applyFill="1" applyAlignment="1">
      <alignment horizontal="right"/>
    </xf>
    <xf numFmtId="164" fontId="12" fillId="0" borderId="0" xfId="1" applyNumberFormat="1" applyFont="1" applyAlignment="1">
      <alignment horizontal="center"/>
    </xf>
    <xf numFmtId="164" fontId="0" fillId="0" borderId="0" xfId="1" applyNumberFormat="1" applyFont="1" applyFill="1"/>
    <xf numFmtId="164" fontId="12" fillId="0" borderId="0" xfId="1" applyNumberFormat="1" applyFont="1"/>
    <xf numFmtId="164" fontId="12" fillId="0" borderId="0" xfId="1" applyNumberFormat="1" applyFont="1" applyFill="1"/>
    <xf numFmtId="164" fontId="12" fillId="0" borderId="0" xfId="1" applyNumberFormat="1" applyFont="1" applyFill="1" applyAlignment="1">
      <alignment horizontal="center" wrapText="1"/>
    </xf>
    <xf numFmtId="164" fontId="1" fillId="0" borderId="0" xfId="1" applyNumberFormat="1" applyFont="1" applyFill="1" applyBorder="1"/>
    <xf numFmtId="164" fontId="2" fillId="0" borderId="0" xfId="1" applyNumberFormat="1" applyFont="1" applyFill="1" applyBorder="1" applyAlignment="1">
      <alignment horizontal="center" vertical="center"/>
    </xf>
    <xf numFmtId="164" fontId="13" fillId="0" borderId="0" xfId="1" applyNumberFormat="1" applyFont="1"/>
    <xf numFmtId="164" fontId="13" fillId="0" borderId="0" xfId="1" applyNumberFormat="1" applyFont="1" applyFill="1"/>
    <xf numFmtId="164" fontId="13" fillId="2" borderId="0" xfId="1" applyNumberFormat="1" applyFont="1" applyFill="1" applyAlignment="1">
      <alignment horizontal="center"/>
    </xf>
    <xf numFmtId="164" fontId="3" fillId="0" borderId="0" xfId="1" applyNumberFormat="1" applyFont="1" applyFill="1" applyBorder="1" applyAlignment="1">
      <alignment horizontal="center" vertical="center"/>
    </xf>
    <xf numFmtId="164" fontId="4" fillId="0" borderId="0" xfId="1" applyNumberFormat="1" applyFont="1"/>
    <xf numFmtId="164" fontId="4" fillId="0" borderId="0" xfId="1" applyNumberFormat="1" applyFont="1" applyFill="1" applyAlignment="1">
      <alignment horizontal="center"/>
    </xf>
    <xf numFmtId="164" fontId="4" fillId="0" borderId="0" xfId="1" applyNumberFormat="1" applyFont="1" applyFill="1"/>
    <xf numFmtId="164" fontId="3" fillId="0" borderId="0" xfId="1" applyNumberFormat="1" applyFont="1" applyBorder="1" applyAlignment="1">
      <alignment horizontal="center" vertical="center"/>
    </xf>
    <xf numFmtId="164" fontId="0" fillId="3" borderId="0" xfId="1" applyNumberFormat="1" applyFont="1" applyFill="1"/>
    <xf numFmtId="164" fontId="0" fillId="2" borderId="0" xfId="1" applyNumberFormat="1" applyFont="1" applyFill="1"/>
    <xf numFmtId="164" fontId="0" fillId="0" borderId="0" xfId="1" quotePrefix="1" applyNumberFormat="1" applyFont="1" applyFill="1"/>
    <xf numFmtId="164" fontId="5" fillId="0" borderId="0" xfId="1" applyNumberFormat="1" applyFont="1"/>
    <xf numFmtId="164" fontId="0" fillId="0" borderId="0" xfId="1" applyNumberFormat="1" applyFont="1" applyFill="1" applyAlignment="1">
      <alignment horizontal="center" wrapText="1"/>
    </xf>
    <xf numFmtId="164" fontId="8" fillId="0" borderId="0" xfId="1" applyNumberFormat="1" applyFont="1" applyFill="1"/>
    <xf numFmtId="1" fontId="1" fillId="0" borderId="0" xfId="1" applyNumberFormat="1" applyFont="1" applyFill="1" applyBorder="1" applyAlignment="1">
      <alignment horizontal="center" vertical="center"/>
    </xf>
    <xf numFmtId="1" fontId="12" fillId="0" borderId="0" xfId="1" applyNumberFormat="1" applyFont="1" applyBorder="1" applyAlignment="1">
      <alignment horizontal="center" vertical="center"/>
    </xf>
    <xf numFmtId="1" fontId="12" fillId="0" borderId="0" xfId="1" applyNumberFormat="1" applyFont="1" applyAlignment="1">
      <alignment horizontal="center" vertical="center"/>
    </xf>
    <xf numFmtId="1" fontId="1" fillId="0" borderId="0" xfId="1" applyNumberFormat="1" applyFont="1" applyFill="1" applyBorder="1"/>
    <xf numFmtId="1" fontId="12" fillId="0" borderId="0" xfId="1" applyNumberFormat="1" applyFont="1" applyBorder="1" applyAlignment="1">
      <alignment horizontal="center"/>
    </xf>
    <xf numFmtId="1" fontId="12" fillId="0" borderId="0" xfId="1" applyNumberFormat="1" applyFont="1"/>
    <xf numFmtId="164" fontId="3" fillId="0" borderId="0" xfId="1" applyNumberFormat="1" applyFont="1" applyFill="1" applyAlignment="1">
      <alignment horizontal="center"/>
    </xf>
    <xf numFmtId="167" fontId="1" fillId="0" borderId="0" xfId="1" applyNumberFormat="1" applyFont="1" applyFill="1" applyBorder="1"/>
    <xf numFmtId="167" fontId="3" fillId="0" borderId="0" xfId="1" applyNumberFormat="1" applyFont="1" applyFill="1" applyBorder="1" applyAlignment="1">
      <alignment horizontal="center"/>
    </xf>
    <xf numFmtId="167" fontId="0" fillId="0" borderId="0" xfId="1" applyNumberFormat="1" applyFont="1" applyFill="1"/>
    <xf numFmtId="164" fontId="9" fillId="0" borderId="0" xfId="1" applyNumberFormat="1" applyFont="1" applyFill="1" applyAlignment="1">
      <alignment horizontal="right"/>
    </xf>
    <xf numFmtId="165" fontId="9" fillId="0" borderId="0" xfId="1" applyNumberFormat="1" applyFont="1" applyFill="1" applyAlignment="1">
      <alignment horizontal="right"/>
    </xf>
    <xf numFmtId="166" fontId="9" fillId="0" borderId="0" xfId="1" applyNumberFormat="1" applyFont="1" applyFill="1" applyAlignment="1">
      <alignment horizontal="right"/>
    </xf>
    <xf numFmtId="165" fontId="0" fillId="0" borderId="0" xfId="1" applyNumberFormat="1" applyFont="1"/>
    <xf numFmtId="165" fontId="13" fillId="0" borderId="0" xfId="1" applyNumberFormat="1" applyFont="1" applyFill="1" applyAlignment="1">
      <alignment horizontal="center"/>
    </xf>
    <xf numFmtId="165" fontId="11" fillId="0" borderId="0" xfId="1" applyNumberFormat="1" applyFont="1" applyFill="1" applyAlignment="1">
      <alignment horizontal="right"/>
    </xf>
    <xf numFmtId="0" fontId="15" fillId="0" borderId="0" xfId="2" applyFont="1" applyBorder="1" applyAlignment="1">
      <alignment horizontal="left" vertical="center"/>
    </xf>
    <xf numFmtId="0" fontId="14" fillId="0" borderId="0" xfId="2" applyAlignment="1"/>
    <xf numFmtId="0" fontId="16" fillId="0" borderId="0" xfId="2" applyFont="1" applyAlignment="1"/>
    <xf numFmtId="0" fontId="17" fillId="0" borderId="0" xfId="2" applyFont="1" applyFill="1" applyBorder="1" applyAlignment="1">
      <alignment horizontal="left" vertical="center"/>
    </xf>
    <xf numFmtId="0" fontId="18" fillId="0" borderId="0" xfId="2" applyFont="1" applyBorder="1" applyAlignment="1">
      <alignment horizontal="right"/>
    </xf>
    <xf numFmtId="0" fontId="19" fillId="5" borderId="0" xfId="2" applyFont="1" applyFill="1" applyBorder="1" applyAlignment="1">
      <alignment horizontal="left"/>
    </xf>
    <xf numFmtId="0" fontId="18" fillId="5" borderId="0" xfId="2" applyFont="1" applyFill="1" applyBorder="1" applyAlignment="1">
      <alignment horizontal="center"/>
    </xf>
    <xf numFmtId="0" fontId="19" fillId="5" borderId="0" xfId="2" applyFont="1" applyFill="1" applyBorder="1" applyAlignment="1">
      <alignment horizontal="left" vertical="center" wrapText="1"/>
    </xf>
    <xf numFmtId="0" fontId="18" fillId="0" borderId="0" xfId="2" applyFont="1" applyBorder="1" applyAlignment="1">
      <alignment horizontal="center"/>
    </xf>
    <xf numFmtId="0" fontId="19" fillId="5" borderId="0" xfId="2" applyFont="1" applyFill="1" applyBorder="1" applyAlignment="1">
      <alignment horizontal="left" wrapText="1"/>
    </xf>
    <xf numFmtId="0" fontId="18" fillId="5" borderId="0" xfId="2" applyFont="1" applyFill="1" applyBorder="1" applyAlignment="1">
      <alignment horizontal="left"/>
    </xf>
    <xf numFmtId="0" fontId="18" fillId="0" borderId="0" xfId="2" applyFont="1" applyBorder="1" applyAlignment="1">
      <alignment horizontal="left"/>
    </xf>
    <xf numFmtId="0" fontId="16" fillId="0" borderId="0" xfId="2" applyFont="1" applyAlignment="1">
      <alignment horizontal="left"/>
    </xf>
    <xf numFmtId="0" fontId="19" fillId="0" borderId="0" xfId="2" applyFont="1" applyBorder="1" applyAlignment="1">
      <alignment horizontal="right"/>
    </xf>
    <xf numFmtId="0" fontId="19" fillId="0" borderId="0" xfId="2" applyFont="1" applyBorder="1" applyAlignment="1">
      <alignment horizontal="center"/>
    </xf>
    <xf numFmtId="0" fontId="19" fillId="0" borderId="0" xfId="2" applyFont="1" applyAlignment="1"/>
    <xf numFmtId="0" fontId="19" fillId="5" borderId="0" xfId="2" applyFont="1" applyFill="1" applyBorder="1" applyAlignment="1">
      <alignment horizontal="right"/>
    </xf>
    <xf numFmtId="0" fontId="20" fillId="0" borderId="0" xfId="2" applyFont="1" applyBorder="1" applyAlignment="1">
      <alignment horizontal="right"/>
    </xf>
    <xf numFmtId="0" fontId="21" fillId="0" borderId="0" xfId="2" applyFont="1" applyBorder="1" applyAlignment="1">
      <alignment horizontal="center"/>
    </xf>
    <xf numFmtId="0" fontId="18" fillId="5" borderId="0" xfId="2" applyFont="1" applyFill="1" applyBorder="1" applyAlignment="1" applyProtection="1">
      <alignment horizontal="right"/>
    </xf>
    <xf numFmtId="168" fontId="21" fillId="0" borderId="0" xfId="2" applyNumberFormat="1" applyFont="1" applyBorder="1" applyAlignment="1" applyProtection="1">
      <alignment horizontal="center"/>
    </xf>
    <xf numFmtId="0" fontId="14" fillId="0" borderId="0" xfId="2" applyFill="1" applyAlignment="1"/>
    <xf numFmtId="0" fontId="21" fillId="0" borderId="0" xfId="2" applyFont="1" applyFill="1" applyBorder="1" applyAlignment="1">
      <alignment horizontal="center"/>
    </xf>
    <xf numFmtId="0" fontId="20" fillId="0" borderId="0" xfId="2" applyFont="1" applyFill="1" applyBorder="1" applyAlignment="1">
      <alignment horizontal="right"/>
    </xf>
    <xf numFmtId="0" fontId="22" fillId="0" borderId="0" xfId="3" applyFont="1" applyAlignment="1"/>
    <xf numFmtId="0" fontId="22" fillId="0" borderId="0" xfId="3" applyAlignment="1"/>
    <xf numFmtId="0" fontId="22" fillId="0" borderId="0" xfId="3" applyFont="1" applyBorder="1" applyAlignment="1"/>
    <xf numFmtId="0" fontId="22" fillId="0" borderId="0" xfId="3" applyBorder="1" applyAlignment="1"/>
    <xf numFmtId="0" fontId="24" fillId="0" borderId="0" xfId="3" applyFont="1" applyAlignment="1"/>
    <xf numFmtId="0" fontId="22" fillId="0" borderId="0" xfId="3" quotePrefix="1" applyFont="1" applyAlignment="1"/>
    <xf numFmtId="0" fontId="22" fillId="0" borderId="0" xfId="3" applyFont="1" applyAlignment="1">
      <alignment horizontal="left"/>
    </xf>
    <xf numFmtId="0" fontId="7" fillId="6" borderId="0" xfId="0" applyFont="1" applyFill="1" applyBorder="1" applyAlignment="1">
      <alignment horizontal="left" vertical="top"/>
    </xf>
    <xf numFmtId="0" fontId="12" fillId="4" borderId="0" xfId="2" applyFont="1" applyFill="1" applyBorder="1" applyAlignment="1">
      <alignment horizontal="left"/>
    </xf>
    <xf numFmtId="0" fontId="10" fillId="4" borderId="0" xfId="2" applyFont="1" applyFill="1" applyBorder="1" applyAlignment="1">
      <alignment horizontal="left"/>
    </xf>
    <xf numFmtId="0" fontId="10" fillId="0" borderId="0" xfId="2" applyFont="1" applyFill="1" applyBorder="1" applyAlignment="1">
      <alignment horizontal="left"/>
    </xf>
    <xf numFmtId="0" fontId="0" fillId="4" borderId="0" xfId="2" applyFont="1" applyFill="1" applyBorder="1" applyAlignment="1">
      <alignment horizontal="left"/>
    </xf>
    <xf numFmtId="0" fontId="0" fillId="0" borderId="0" xfId="2" applyFont="1" applyFill="1" applyBorder="1" applyAlignment="1">
      <alignment horizontal="left"/>
    </xf>
    <xf numFmtId="0" fontId="12" fillId="0" borderId="0" xfId="0" applyFont="1" applyFill="1" applyBorder="1"/>
    <xf numFmtId="0" fontId="12" fillId="0" borderId="0" xfId="0" applyFont="1" applyFill="1"/>
    <xf numFmtId="0" fontId="0" fillId="0" borderId="1" xfId="0" applyFill="1" applyBorder="1"/>
    <xf numFmtId="0" fontId="0" fillId="0" borderId="1" xfId="0" applyFont="1" applyFill="1" applyBorder="1"/>
    <xf numFmtId="0" fontId="0" fillId="0" borderId="1" xfId="0" applyFont="1" applyFill="1" applyBorder="1" applyAlignment="1">
      <alignment wrapText="1"/>
    </xf>
    <xf numFmtId="165" fontId="4" fillId="0" borderId="0" xfId="1" applyNumberFormat="1" applyFont="1"/>
    <xf numFmtId="164" fontId="11" fillId="0" borderId="0" xfId="1" applyNumberFormat="1" applyFont="1" applyFill="1" applyAlignment="1">
      <alignment horizontal="left"/>
    </xf>
    <xf numFmtId="168" fontId="21" fillId="0" borderId="0" xfId="2" applyNumberFormat="1" applyFont="1" applyFill="1" applyBorder="1" applyAlignment="1" applyProtection="1">
      <alignment horizontal="center"/>
    </xf>
    <xf numFmtId="0" fontId="19" fillId="0" borderId="0" xfId="2" applyFont="1" applyBorder="1" applyAlignment="1">
      <alignment horizontal="right" wrapText="1"/>
    </xf>
    <xf numFmtId="0" fontId="19" fillId="0" borderId="0" xfId="2" applyFont="1" applyAlignment="1">
      <alignment wrapText="1"/>
    </xf>
    <xf numFmtId="1" fontId="12" fillId="0" borderId="0" xfId="1" applyNumberFormat="1" applyFont="1" applyBorder="1" applyAlignment="1">
      <alignment horizontal="center" vertical="center"/>
    </xf>
    <xf numFmtId="164" fontId="12" fillId="0" borderId="0" xfId="1" applyNumberFormat="1" applyFont="1" applyAlignment="1">
      <alignment horizontal="center"/>
    </xf>
    <xf numFmtId="164" fontId="12" fillId="0" borderId="0" xfId="1" applyNumberFormat="1" applyFont="1" applyFill="1" applyAlignment="1">
      <alignment horizontal="center" wrapText="1"/>
    </xf>
    <xf numFmtId="164" fontId="0" fillId="0" borderId="0" xfId="1" applyNumberFormat="1" applyFont="1" applyFill="1" applyAlignment="1">
      <alignment horizontal="center" wrapText="1"/>
    </xf>
    <xf numFmtId="1" fontId="12" fillId="0" borderId="0" xfId="1" applyNumberFormat="1" applyFont="1" applyBorder="1" applyAlignment="1">
      <alignment horizontal="center"/>
    </xf>
    <xf numFmtId="164" fontId="12" fillId="0" borderId="0" xfId="1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164" fontId="3" fillId="0" borderId="0" xfId="1" applyNumberFormat="1" applyFont="1" applyFill="1" applyAlignment="1">
      <alignment horizontal="center"/>
    </xf>
    <xf numFmtId="167" fontId="3" fillId="0" borderId="0" xfId="1" applyNumberFormat="1" applyFont="1" applyFill="1" applyBorder="1" applyAlignment="1">
      <alignment horizontal="center"/>
    </xf>
    <xf numFmtId="164" fontId="3" fillId="0" borderId="0" xfId="1" applyNumberFormat="1" applyFont="1" applyFill="1" applyBorder="1" applyAlignment="1">
      <alignment horizontal="center" vertical="center"/>
    </xf>
    <xf numFmtId="0" fontId="0" fillId="6" borderId="0" xfId="0" quotePrefix="1" applyFill="1"/>
    <xf numFmtId="166" fontId="0" fillId="0" borderId="0" xfId="1" applyNumberFormat="1" applyFont="1"/>
    <xf numFmtId="169" fontId="0" fillId="0" borderId="0" xfId="1" applyNumberFormat="1" applyFont="1"/>
    <xf numFmtId="170" fontId="0" fillId="0" borderId="0" xfId="0" applyNumberFormat="1"/>
    <xf numFmtId="3" fontId="0" fillId="0" borderId="0" xfId="0" applyNumberFormat="1" applyFill="1" applyAlignment="1"/>
    <xf numFmtId="166" fontId="11" fillId="0" borderId="0" xfId="1" applyNumberFormat="1" applyFont="1" applyFill="1" applyAlignment="1">
      <alignment horizontal="right"/>
    </xf>
    <xf numFmtId="169" fontId="11" fillId="0" borderId="0" xfId="1" applyNumberFormat="1" applyFont="1" applyFill="1" applyAlignment="1">
      <alignment horizontal="right"/>
    </xf>
    <xf numFmtId="166" fontId="13" fillId="0" borderId="0" xfId="1" applyNumberFormat="1" applyFont="1" applyFill="1" applyAlignment="1">
      <alignment horizontal="center"/>
    </xf>
    <xf numFmtId="166" fontId="0" fillId="0" borderId="0" xfId="1" applyNumberFormat="1" applyFont="1" applyFill="1"/>
    <xf numFmtId="166" fontId="8" fillId="0" borderId="0" xfId="1" applyNumberFormat="1" applyFont="1"/>
    <xf numFmtId="0" fontId="8" fillId="0" borderId="0" xfId="0" applyFont="1" applyFill="1"/>
    <xf numFmtId="164" fontId="1" fillId="0" borderId="0" xfId="1" applyNumberFormat="1" applyFont="1" applyFill="1" applyBorder="1" applyAlignment="1"/>
    <xf numFmtId="0" fontId="0" fillId="0" borderId="0" xfId="0" applyAlignment="1"/>
    <xf numFmtId="0" fontId="3" fillId="0" borderId="0" xfId="0" applyFont="1" applyFill="1" applyBorder="1" applyAlignment="1">
      <alignment horizontal="center" vertical="center"/>
    </xf>
    <xf numFmtId="164" fontId="3" fillId="0" borderId="0" xfId="1" applyNumberFormat="1" applyFont="1" applyFill="1" applyBorder="1" applyAlignment="1">
      <alignment horizontal="center" vertical="center"/>
    </xf>
    <xf numFmtId="43" fontId="0" fillId="0" borderId="0" xfId="1" applyNumberFormat="1" applyFont="1"/>
    <xf numFmtId="0" fontId="22" fillId="0" borderId="0" xfId="3" applyFont="1" applyAlignment="1">
      <alignment horizontal="left"/>
    </xf>
    <xf numFmtId="0" fontId="22" fillId="0" borderId="0" xfId="3" applyFont="1" applyAlignment="1">
      <alignment horizontal="left" vertical="top" wrapText="1"/>
    </xf>
    <xf numFmtId="0" fontId="12" fillId="0" borderId="0" xfId="0" applyFont="1" applyAlignment="1">
      <alignment horizontal="center"/>
    </xf>
    <xf numFmtId="0" fontId="12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 wrapText="1"/>
    </xf>
    <xf numFmtId="0" fontId="12" fillId="0" borderId="0" xfId="0" applyFont="1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164" fontId="12" fillId="0" borderId="0" xfId="1" applyNumberFormat="1" applyFont="1" applyFill="1" applyAlignment="1">
      <alignment horizontal="center" wrapText="1"/>
    </xf>
    <xf numFmtId="164" fontId="12" fillId="0" borderId="0" xfId="1" applyNumberFormat="1" applyFont="1" applyFill="1" applyBorder="1" applyAlignment="1">
      <alignment horizontal="center" vertical="center"/>
    </xf>
    <xf numFmtId="164" fontId="12" fillId="0" borderId="0" xfId="1" applyNumberFormat="1" applyFont="1" applyAlignment="1">
      <alignment horizontal="center"/>
    </xf>
    <xf numFmtId="1" fontId="12" fillId="0" borderId="0" xfId="1" applyNumberFormat="1" applyFont="1" applyBorder="1" applyAlignment="1">
      <alignment horizontal="center" vertical="center"/>
    </xf>
    <xf numFmtId="164" fontId="12" fillId="0" borderId="0" xfId="1" applyNumberFormat="1" applyFont="1" applyBorder="1" applyAlignment="1">
      <alignment horizontal="center" vertical="center"/>
    </xf>
    <xf numFmtId="1" fontId="12" fillId="0" borderId="0" xfId="1" applyNumberFormat="1" applyFont="1" applyBorder="1" applyAlignment="1">
      <alignment horizontal="center"/>
    </xf>
    <xf numFmtId="164" fontId="0" fillId="0" borderId="0" xfId="1" applyNumberFormat="1" applyFont="1" applyFill="1" applyAlignment="1">
      <alignment horizontal="center" wrapText="1"/>
    </xf>
    <xf numFmtId="164" fontId="12" fillId="0" borderId="0" xfId="1" applyNumberFormat="1" applyFont="1" applyFill="1" applyAlignment="1">
      <alignment horizontal="center"/>
    </xf>
    <xf numFmtId="164" fontId="12" fillId="0" borderId="0" xfId="1" applyNumberFormat="1" applyFont="1" applyFill="1" applyBorder="1" applyAlignment="1">
      <alignment horizontal="center" wrapText="1"/>
    </xf>
    <xf numFmtId="164" fontId="12" fillId="0" borderId="0" xfId="1" applyNumberFormat="1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164" fontId="3" fillId="0" borderId="0" xfId="1" applyNumberFormat="1" applyFont="1" applyFill="1" applyAlignment="1">
      <alignment horizontal="center"/>
    </xf>
    <xf numFmtId="167" fontId="3" fillId="0" borderId="0" xfId="1" applyNumberFormat="1" applyFont="1" applyFill="1" applyBorder="1" applyAlignment="1">
      <alignment horizontal="center"/>
    </xf>
    <xf numFmtId="164" fontId="3" fillId="0" borderId="0" xfId="1" applyNumberFormat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6" xfId="0" applyFill="1" applyBorder="1" applyAlignment="1">
      <alignment horizontal="center"/>
    </xf>
  </cellXfs>
  <cellStyles count="4">
    <cellStyle name="Comma" xfId="1" builtinId="3"/>
    <cellStyle name="Normal" xfId="0" builtinId="0"/>
    <cellStyle name="Normal 3" xfId="2"/>
    <cellStyle name="Normal 4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P22"/>
  <sheetViews>
    <sheetView tabSelected="1" workbookViewId="0">
      <selection activeCell="K1" sqref="K1"/>
    </sheetView>
  </sheetViews>
  <sheetFormatPr defaultRowHeight="13.2" x14ac:dyDescent="0.25"/>
  <cols>
    <col min="1" max="2" width="8.88671875" style="94"/>
    <col min="3" max="3" width="5.77734375" style="94" customWidth="1"/>
    <col min="4" max="16384" width="8.88671875" style="94"/>
  </cols>
  <sheetData>
    <row r="1" spans="1:4" x14ac:dyDescent="0.25">
      <c r="A1" s="93" t="s">
        <v>180</v>
      </c>
    </row>
    <row r="2" spans="1:4" x14ac:dyDescent="0.25">
      <c r="A2" s="93" t="s">
        <v>181</v>
      </c>
    </row>
    <row r="4" spans="1:4" x14ac:dyDescent="0.25">
      <c r="A4" s="93" t="s">
        <v>430</v>
      </c>
    </row>
    <row r="5" spans="1:4" x14ac:dyDescent="0.25">
      <c r="A5" s="93" t="s">
        <v>182</v>
      </c>
    </row>
    <row r="6" spans="1:4" s="96" customFormat="1" x14ac:dyDescent="0.25">
      <c r="A6" s="95"/>
    </row>
    <row r="7" spans="1:4" x14ac:dyDescent="0.25">
      <c r="A7" s="93" t="s">
        <v>183</v>
      </c>
    </row>
    <row r="8" spans="1:4" x14ac:dyDescent="0.25">
      <c r="A8" s="93" t="s">
        <v>184</v>
      </c>
    </row>
    <row r="9" spans="1:4" x14ac:dyDescent="0.25">
      <c r="A9" s="93"/>
    </row>
    <row r="10" spans="1:4" x14ac:dyDescent="0.25">
      <c r="A10" s="97" t="s">
        <v>185</v>
      </c>
    </row>
    <row r="11" spans="1:4" x14ac:dyDescent="0.25">
      <c r="A11" s="142" t="s">
        <v>194</v>
      </c>
      <c r="B11" s="142"/>
      <c r="C11" s="142"/>
      <c r="D11" s="98" t="s">
        <v>186</v>
      </c>
    </row>
    <row r="12" spans="1:4" x14ac:dyDescent="0.25">
      <c r="A12" s="142" t="s">
        <v>195</v>
      </c>
      <c r="B12" s="142"/>
      <c r="C12" s="142"/>
      <c r="D12" s="98" t="s">
        <v>187</v>
      </c>
    </row>
    <row r="13" spans="1:4" x14ac:dyDescent="0.25">
      <c r="A13" s="142" t="s">
        <v>349</v>
      </c>
      <c r="B13" s="142"/>
      <c r="C13" s="142"/>
      <c r="D13" s="98" t="s">
        <v>350</v>
      </c>
    </row>
    <row r="14" spans="1:4" x14ac:dyDescent="0.25">
      <c r="A14" s="142" t="s">
        <v>353</v>
      </c>
      <c r="B14" s="142"/>
      <c r="C14" s="142"/>
      <c r="D14" s="98" t="s">
        <v>352</v>
      </c>
    </row>
    <row r="15" spans="1:4" x14ac:dyDescent="0.25">
      <c r="A15" s="142" t="s">
        <v>354</v>
      </c>
      <c r="B15" s="142"/>
      <c r="C15" s="142"/>
      <c r="D15" s="98" t="s">
        <v>355</v>
      </c>
    </row>
    <row r="16" spans="1:4" x14ac:dyDescent="0.25">
      <c r="A16" s="142" t="s">
        <v>351</v>
      </c>
      <c r="B16" s="142"/>
      <c r="C16" s="142"/>
      <c r="D16" s="98" t="s">
        <v>356</v>
      </c>
    </row>
    <row r="17" spans="1:16" x14ac:dyDescent="0.25">
      <c r="A17" s="99" t="s">
        <v>188</v>
      </c>
      <c r="B17" s="99"/>
      <c r="C17" s="99"/>
      <c r="D17" s="98"/>
    </row>
    <row r="19" spans="1:16" x14ac:dyDescent="0.25">
      <c r="A19" s="97" t="s">
        <v>189</v>
      </c>
    </row>
    <row r="20" spans="1:16" ht="25.8" customHeight="1" x14ac:dyDescent="0.25">
      <c r="A20" s="143" t="s">
        <v>197</v>
      </c>
      <c r="B20" s="14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</row>
    <row r="21" spans="1:16" x14ac:dyDescent="0.25">
      <c r="A21" s="94" t="s">
        <v>190</v>
      </c>
    </row>
    <row r="22" spans="1:16" x14ac:dyDescent="0.25">
      <c r="C22" s="93" t="s">
        <v>191</v>
      </c>
    </row>
  </sheetData>
  <mergeCells count="7">
    <mergeCell ref="A16:C16"/>
    <mergeCell ref="A20:P20"/>
    <mergeCell ref="A11:C11"/>
    <mergeCell ref="A12:C12"/>
    <mergeCell ref="A13:C13"/>
    <mergeCell ref="A14:C14"/>
    <mergeCell ref="A15:C15"/>
  </mergeCells>
  <pageMargins left="0.75" right="0.75" top="1" bottom="1" header="0.5" footer="0.5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Y331"/>
  <sheetViews>
    <sheetView zoomScale="70" zoomScaleNormal="7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9" sqref="C9"/>
    </sheetView>
  </sheetViews>
  <sheetFormatPr defaultRowHeight="14.4" x14ac:dyDescent="0.3"/>
  <cols>
    <col min="1" max="1" width="57.109375" style="29" bestFit="1" customWidth="1"/>
    <col min="2" max="2" width="9.21875" style="10" bestFit="1" customWidth="1"/>
    <col min="3" max="3" width="12.109375" style="10" customWidth="1"/>
    <col min="4" max="4" width="14" style="10" customWidth="1"/>
    <col min="5" max="5" width="15.33203125" style="29" bestFit="1" customWidth="1"/>
    <col min="6" max="6" width="9.77734375" bestFit="1" customWidth="1"/>
    <col min="7" max="7" width="16.77734375" bestFit="1" customWidth="1"/>
    <col min="8" max="8" width="15.33203125" style="29" bestFit="1" customWidth="1"/>
    <col min="9" max="9" width="9.21875" style="10" bestFit="1" customWidth="1"/>
    <col min="10" max="10" width="9.77734375" bestFit="1" customWidth="1"/>
    <col min="11" max="11" width="16.77734375" bestFit="1" customWidth="1"/>
    <col min="12" max="12" width="15.33203125" style="29" bestFit="1" customWidth="1"/>
    <col min="13" max="13" width="9.77734375" bestFit="1" customWidth="1"/>
    <col min="14" max="14" width="16.77734375" bestFit="1" customWidth="1"/>
    <col min="15" max="15" width="15.33203125" style="29" bestFit="1" customWidth="1"/>
    <col min="16" max="16" width="9.21875" style="10" bestFit="1" customWidth="1"/>
    <col min="17" max="17" width="9.77734375" bestFit="1" customWidth="1"/>
    <col min="18" max="18" width="16.77734375" bestFit="1" customWidth="1"/>
    <col min="19" max="19" width="15.33203125" style="29" bestFit="1" customWidth="1"/>
    <col min="20" max="20" width="9.21875" style="10" bestFit="1" customWidth="1"/>
    <col min="21" max="21" width="9.77734375" bestFit="1" customWidth="1"/>
    <col min="22" max="22" width="16.77734375" bestFit="1" customWidth="1"/>
    <col min="23" max="23" width="15.33203125" style="29" bestFit="1" customWidth="1"/>
    <col min="24" max="24" width="9.21875" style="10" bestFit="1" customWidth="1"/>
    <col min="25" max="25" width="9.77734375" bestFit="1" customWidth="1"/>
    <col min="26" max="26" width="16.77734375" bestFit="1" customWidth="1"/>
    <col min="27" max="27" width="15.33203125" style="29" bestFit="1" customWidth="1"/>
    <col min="28" max="28" width="9.77734375" bestFit="1" customWidth="1"/>
    <col min="29" max="29" width="16.77734375" bestFit="1" customWidth="1"/>
    <col min="30" max="30" width="15.33203125" style="29" bestFit="1" customWidth="1"/>
    <col min="31" max="31" width="9.21875" style="10" bestFit="1" customWidth="1"/>
    <col min="32" max="32" width="9.77734375" bestFit="1" customWidth="1"/>
    <col min="33" max="33" width="16.77734375" bestFit="1" customWidth="1"/>
    <col min="34" max="34" width="15.33203125" style="29" bestFit="1" customWidth="1"/>
    <col min="35" max="35" width="9.21875" style="10" bestFit="1" customWidth="1"/>
    <col min="36" max="36" width="9.77734375" bestFit="1" customWidth="1"/>
    <col min="37" max="37" width="16.77734375" bestFit="1" customWidth="1"/>
    <col min="38" max="38" width="15.33203125" style="29" bestFit="1" customWidth="1"/>
    <col min="39" max="39" width="9.77734375" bestFit="1" customWidth="1"/>
    <col min="40" max="40" width="16.77734375" bestFit="1" customWidth="1"/>
    <col min="41" max="41" width="15.33203125" style="29" bestFit="1" customWidth="1"/>
    <col min="42" max="42" width="9.77734375" bestFit="1" customWidth="1"/>
    <col min="43" max="43" width="16.77734375" bestFit="1" customWidth="1"/>
    <col min="44" max="44" width="15.33203125" style="29" bestFit="1" customWidth="1"/>
    <col min="45" max="45" width="9.77734375" bestFit="1" customWidth="1"/>
    <col min="46" max="46" width="16.77734375" bestFit="1" customWidth="1"/>
    <col min="47" max="47" width="15.33203125" style="29" bestFit="1" customWidth="1"/>
    <col min="48" max="48" width="9.77734375" bestFit="1" customWidth="1"/>
    <col min="49" max="49" width="16.77734375" bestFit="1" customWidth="1"/>
    <col min="50" max="50" width="15.33203125" style="29" bestFit="1" customWidth="1"/>
    <col min="51" max="51" width="9.21875" style="33" bestFit="1" customWidth="1"/>
    <col min="52" max="52" width="11.109375" style="29" bestFit="1" customWidth="1"/>
    <col min="53" max="53" width="16.88671875" style="29" bestFit="1" customWidth="1"/>
    <col min="54" max="54" width="15.33203125" style="29" bestFit="1" customWidth="1"/>
    <col min="55" max="55" width="11.109375" style="29" bestFit="1" customWidth="1"/>
    <col min="56" max="56" width="16.88671875" style="29" bestFit="1" customWidth="1"/>
    <col min="57" max="57" width="15.33203125" style="29" bestFit="1" customWidth="1"/>
    <col min="58" max="58" width="9.21875" style="29" bestFit="1" customWidth="1"/>
    <col min="59" max="59" width="11.109375" style="29" bestFit="1" customWidth="1"/>
    <col min="60" max="60" width="16.88671875" style="29" bestFit="1" customWidth="1"/>
    <col min="61" max="61" width="15.33203125" style="29" bestFit="1" customWidth="1"/>
    <col min="62" max="62" width="9.21875" style="29" bestFit="1" customWidth="1"/>
    <col min="63" max="63" width="11.109375" style="29" bestFit="1" customWidth="1"/>
    <col min="64" max="64" width="16.88671875" style="29" bestFit="1" customWidth="1"/>
    <col min="65" max="65" width="15.33203125" style="29" bestFit="1" customWidth="1"/>
    <col min="66" max="66" width="11.109375" style="29" bestFit="1" customWidth="1"/>
    <col min="67" max="67" width="16.88671875" style="29" bestFit="1" customWidth="1"/>
    <col min="68" max="68" width="15.33203125" style="29" bestFit="1" customWidth="1"/>
    <col min="69" max="69" width="9.21875" style="29" bestFit="1" customWidth="1"/>
    <col min="70" max="70" width="11.109375" style="29" bestFit="1" customWidth="1"/>
    <col min="71" max="71" width="16.88671875" style="29" bestFit="1" customWidth="1"/>
    <col min="72" max="72" width="15.33203125" style="29" bestFit="1" customWidth="1"/>
    <col min="73" max="73" width="11.21875" style="29" bestFit="1" customWidth="1"/>
    <col min="74" max="74" width="13.5546875" style="29" bestFit="1" customWidth="1"/>
    <col min="75" max="75" width="16.88671875" style="29" bestFit="1" customWidth="1"/>
    <col min="76" max="76" width="15.33203125" style="29" bestFit="1" customWidth="1"/>
    <col min="77" max="77" width="11.33203125" style="29" bestFit="1" customWidth="1"/>
    <col min="78" max="78" width="16.88671875" style="29" bestFit="1" customWidth="1"/>
    <col min="79" max="79" width="15.33203125" style="29" bestFit="1" customWidth="1"/>
    <col min="80" max="80" width="11.33203125" style="29" bestFit="1" customWidth="1"/>
    <col min="81" max="81" width="16.88671875" style="29" bestFit="1" customWidth="1"/>
    <col min="82" max="82" width="15.33203125" style="29" bestFit="1" customWidth="1"/>
    <col min="83" max="83" width="10.109375" style="29" bestFit="1" customWidth="1"/>
    <col min="84" max="84" width="11.109375" style="29" bestFit="1" customWidth="1"/>
    <col min="85" max="85" width="16.88671875" style="29" bestFit="1" customWidth="1"/>
    <col min="86" max="86" width="15.33203125" style="29" bestFit="1" customWidth="1"/>
    <col min="87" max="87" width="11.109375" style="29" bestFit="1" customWidth="1"/>
    <col min="88" max="88" width="16.88671875" style="29" bestFit="1" customWidth="1"/>
    <col min="89" max="89" width="15.33203125" style="29" bestFit="1" customWidth="1"/>
    <col min="90" max="90" width="11.109375" style="29" bestFit="1" customWidth="1"/>
    <col min="91" max="91" width="16.88671875" style="29" bestFit="1" customWidth="1"/>
    <col min="92" max="92" width="15.33203125" style="29" bestFit="1" customWidth="1"/>
    <col min="93" max="93" width="11.33203125" style="29" bestFit="1" customWidth="1"/>
    <col min="94" max="94" width="16.88671875" style="29" bestFit="1" customWidth="1"/>
    <col min="95" max="95" width="15.33203125" style="29" bestFit="1" customWidth="1"/>
    <col min="96" max="96" width="6.5546875" style="29" bestFit="1" customWidth="1"/>
    <col min="97" max="97" width="11.33203125" style="29" bestFit="1" customWidth="1"/>
    <col min="98" max="98" width="16.88671875" style="29" bestFit="1" customWidth="1"/>
    <col min="99" max="99" width="15.33203125" style="29" bestFit="1" customWidth="1"/>
    <col min="100" max="100" width="11.33203125" style="29" bestFit="1" customWidth="1"/>
    <col min="101" max="101" width="16.88671875" style="29" bestFit="1" customWidth="1"/>
    <col min="102" max="102" width="15.33203125" style="29" bestFit="1" customWidth="1"/>
    <col min="103" max="103" width="11.109375" style="29" bestFit="1" customWidth="1"/>
    <col min="104" max="104" width="16.88671875" style="29" bestFit="1" customWidth="1"/>
    <col min="105" max="105" width="15.33203125" style="29" bestFit="1" customWidth="1"/>
    <col min="106" max="106" width="7.88671875" style="29" bestFit="1" customWidth="1"/>
    <col min="107" max="107" width="10.109375" style="29" bestFit="1" customWidth="1"/>
    <col min="108" max="108" width="16.88671875" style="29" bestFit="1" customWidth="1"/>
    <col min="109" max="109" width="15.33203125" style="29" bestFit="1" customWidth="1"/>
    <col min="110" max="110" width="7.88671875" style="29" bestFit="1" customWidth="1"/>
    <col min="111" max="111" width="11.109375" style="29" bestFit="1" customWidth="1"/>
    <col min="112" max="112" width="17.21875" style="29" bestFit="1" customWidth="1"/>
    <col min="113" max="113" width="11.109375" style="29" bestFit="1" customWidth="1"/>
    <col min="114" max="114" width="17.21875" style="29" bestFit="1" customWidth="1"/>
    <col min="115" max="115" width="11.109375" style="29" bestFit="1" customWidth="1"/>
    <col min="116" max="116" width="17.21875" style="29" bestFit="1" customWidth="1"/>
    <col min="117" max="117" width="7.88671875" style="29" bestFit="1" customWidth="1"/>
    <col min="118" max="118" width="11.109375" style="29" bestFit="1" customWidth="1"/>
    <col min="119" max="119" width="17.21875" style="29" bestFit="1" customWidth="1"/>
    <col min="120" max="120" width="11.109375" style="29" bestFit="1" customWidth="1"/>
    <col min="121" max="121" width="17.21875" style="29" bestFit="1" customWidth="1"/>
    <col min="122" max="122" width="9" style="29" bestFit="1" customWidth="1"/>
    <col min="123" max="123" width="11.33203125" style="29" bestFit="1" customWidth="1"/>
    <col min="124" max="124" width="17.21875" style="29" bestFit="1" customWidth="1"/>
    <col min="125" max="125" width="11.33203125" style="29" bestFit="1" customWidth="1"/>
    <col min="126" max="126" width="17.21875" style="29" bestFit="1" customWidth="1"/>
    <col min="127" max="16384" width="8.88671875" style="29"/>
  </cols>
  <sheetData>
    <row r="1" spans="1:126" s="33" customFormat="1" ht="15.6" x14ac:dyDescent="0.3">
      <c r="A1" s="37"/>
      <c r="B1" s="162" t="s">
        <v>1</v>
      </c>
      <c r="C1" s="163" t="s">
        <v>372</v>
      </c>
      <c r="D1" s="163"/>
      <c r="E1" s="123"/>
      <c r="F1" s="161" t="s">
        <v>392</v>
      </c>
      <c r="G1" s="161"/>
      <c r="H1" s="123"/>
      <c r="I1" s="162" t="s">
        <v>1</v>
      </c>
      <c r="J1" s="161" t="s">
        <v>390</v>
      </c>
      <c r="K1" s="161"/>
      <c r="L1" s="123"/>
      <c r="M1" s="161" t="s">
        <v>388</v>
      </c>
      <c r="N1" s="161"/>
      <c r="O1" s="123"/>
      <c r="P1" s="162" t="s">
        <v>1</v>
      </c>
      <c r="Q1" s="161" t="s">
        <v>386</v>
      </c>
      <c r="R1" s="161"/>
      <c r="S1" s="123"/>
      <c r="T1" s="162" t="s">
        <v>1</v>
      </c>
      <c r="U1" s="161" t="s">
        <v>383</v>
      </c>
      <c r="V1" s="161"/>
      <c r="W1" s="123"/>
      <c r="X1" s="162" t="s">
        <v>1</v>
      </c>
      <c r="Y1" s="161" t="s">
        <v>382</v>
      </c>
      <c r="Z1" s="161"/>
      <c r="AA1" s="123"/>
      <c r="AB1" s="161" t="s">
        <v>381</v>
      </c>
      <c r="AC1" s="161"/>
      <c r="AD1" s="123"/>
      <c r="AE1" s="162" t="s">
        <v>1</v>
      </c>
      <c r="AF1" s="161" t="s">
        <v>380</v>
      </c>
      <c r="AG1" s="161"/>
      <c r="AH1" s="123"/>
      <c r="AI1" s="162" t="s">
        <v>1</v>
      </c>
      <c r="AJ1" s="161" t="s">
        <v>379</v>
      </c>
      <c r="AK1" s="161"/>
      <c r="AL1" s="123"/>
      <c r="AM1" s="161" t="s">
        <v>378</v>
      </c>
      <c r="AN1" s="161"/>
      <c r="AO1" s="123"/>
      <c r="AP1" s="161" t="s">
        <v>377</v>
      </c>
      <c r="AQ1" s="161"/>
      <c r="AR1" s="123"/>
      <c r="AS1" s="161" t="s">
        <v>376</v>
      </c>
      <c r="AT1" s="161"/>
      <c r="AU1" s="123"/>
      <c r="AV1" s="161" t="s">
        <v>375</v>
      </c>
      <c r="AW1" s="161"/>
      <c r="AX1" s="123"/>
      <c r="AY1" s="166" t="s">
        <v>1</v>
      </c>
      <c r="AZ1" s="164" t="s">
        <v>345</v>
      </c>
      <c r="BA1" s="164"/>
      <c r="BB1" s="59"/>
      <c r="BC1" s="164" t="s">
        <v>346</v>
      </c>
      <c r="BD1" s="164"/>
      <c r="BE1" s="59"/>
      <c r="BF1" s="166" t="s">
        <v>1</v>
      </c>
      <c r="BG1" s="164" t="s">
        <v>35</v>
      </c>
      <c r="BH1" s="164"/>
      <c r="BI1" s="59"/>
      <c r="BJ1" s="166" t="s">
        <v>1</v>
      </c>
      <c r="BK1" s="164" t="s">
        <v>90</v>
      </c>
      <c r="BL1" s="164"/>
      <c r="BM1" s="59"/>
      <c r="BN1" s="164" t="s">
        <v>88</v>
      </c>
      <c r="BO1" s="164"/>
      <c r="BP1" s="59"/>
      <c r="BQ1" s="166" t="s">
        <v>1</v>
      </c>
      <c r="BR1" s="164" t="s">
        <v>89</v>
      </c>
      <c r="BS1" s="164"/>
      <c r="BT1" s="59"/>
      <c r="BU1" s="166" t="s">
        <v>1</v>
      </c>
      <c r="BV1" s="164" t="s">
        <v>33</v>
      </c>
      <c r="BW1" s="164"/>
      <c r="BX1" s="59"/>
      <c r="BY1" s="164" t="s">
        <v>32</v>
      </c>
      <c r="BZ1" s="164"/>
      <c r="CA1" s="59"/>
      <c r="CB1" s="164" t="s">
        <v>31</v>
      </c>
      <c r="CC1" s="164"/>
      <c r="CD1" s="59"/>
      <c r="CE1" s="166" t="s">
        <v>1</v>
      </c>
      <c r="CF1" s="164" t="s">
        <v>87</v>
      </c>
      <c r="CG1" s="164"/>
      <c r="CH1" s="59"/>
      <c r="CI1" s="164" t="s">
        <v>84</v>
      </c>
      <c r="CJ1" s="164"/>
      <c r="CK1" s="59"/>
      <c r="CL1" s="164" t="s">
        <v>85</v>
      </c>
      <c r="CM1" s="164"/>
      <c r="CN1" s="59"/>
      <c r="CO1" s="164" t="s">
        <v>83</v>
      </c>
      <c r="CP1" s="164"/>
      <c r="CQ1" s="59"/>
      <c r="CR1" s="166" t="s">
        <v>1</v>
      </c>
      <c r="CS1" s="164" t="s">
        <v>30</v>
      </c>
      <c r="CT1" s="164"/>
      <c r="CU1" s="59"/>
      <c r="CV1" s="164" t="s">
        <v>29</v>
      </c>
      <c r="CW1" s="164"/>
      <c r="CX1" s="59"/>
      <c r="CY1" s="164" t="s">
        <v>28</v>
      </c>
      <c r="CZ1" s="164"/>
      <c r="DA1" s="59"/>
      <c r="DB1" s="166" t="s">
        <v>1</v>
      </c>
      <c r="DC1" s="164" t="s">
        <v>3</v>
      </c>
      <c r="DD1" s="164"/>
      <c r="DE1" s="59"/>
      <c r="DF1" s="166" t="s">
        <v>1</v>
      </c>
      <c r="DG1" s="164" t="s">
        <v>4</v>
      </c>
      <c r="DH1" s="164"/>
      <c r="DI1" s="164" t="s">
        <v>5</v>
      </c>
      <c r="DJ1" s="164"/>
      <c r="DK1" s="164" t="s">
        <v>10</v>
      </c>
      <c r="DL1" s="164"/>
      <c r="DM1" s="166" t="s">
        <v>1</v>
      </c>
      <c r="DN1" s="164" t="s">
        <v>12</v>
      </c>
      <c r="DO1" s="164"/>
      <c r="DP1" s="164" t="s">
        <v>13</v>
      </c>
      <c r="DQ1" s="164"/>
      <c r="DR1" s="166" t="s">
        <v>1</v>
      </c>
      <c r="DS1" s="164" t="s">
        <v>14</v>
      </c>
      <c r="DT1" s="164"/>
      <c r="DU1" s="164" t="s">
        <v>15</v>
      </c>
      <c r="DV1" s="164"/>
    </row>
    <row r="2" spans="1:126" s="62" customFormat="1" ht="16.8" customHeight="1" x14ac:dyDescent="0.3">
      <c r="A2" s="60"/>
      <c r="B2" s="162"/>
      <c r="C2" s="159">
        <v>1874</v>
      </c>
      <c r="D2" s="159"/>
      <c r="E2" s="124"/>
      <c r="F2" s="159">
        <v>1875</v>
      </c>
      <c r="G2" s="159"/>
      <c r="H2" s="124"/>
      <c r="I2" s="162"/>
      <c r="J2" s="159">
        <v>1876</v>
      </c>
      <c r="K2" s="159"/>
      <c r="L2" s="124"/>
      <c r="M2" s="159">
        <v>1877</v>
      </c>
      <c r="N2" s="159"/>
      <c r="O2" s="124"/>
      <c r="P2" s="162"/>
      <c r="Q2" s="159">
        <v>1878</v>
      </c>
      <c r="R2" s="159"/>
      <c r="S2" s="124"/>
      <c r="T2" s="162"/>
      <c r="U2" s="159">
        <v>1879</v>
      </c>
      <c r="V2" s="159"/>
      <c r="W2" s="124"/>
      <c r="X2" s="162"/>
      <c r="Y2" s="159">
        <v>1880</v>
      </c>
      <c r="Z2" s="159"/>
      <c r="AA2" s="124"/>
      <c r="AB2" s="159">
        <v>1881</v>
      </c>
      <c r="AC2" s="159"/>
      <c r="AD2" s="124"/>
      <c r="AE2" s="162"/>
      <c r="AF2" s="159">
        <v>1882</v>
      </c>
      <c r="AG2" s="159"/>
      <c r="AH2" s="124"/>
      <c r="AI2" s="162"/>
      <c r="AJ2" s="159">
        <v>1883</v>
      </c>
      <c r="AK2" s="159"/>
      <c r="AL2" s="124"/>
      <c r="AM2" s="159">
        <v>1884</v>
      </c>
      <c r="AN2" s="159"/>
      <c r="AO2" s="124"/>
      <c r="AP2" s="159">
        <v>1885</v>
      </c>
      <c r="AQ2" s="159"/>
      <c r="AR2" s="124"/>
      <c r="AS2" s="159">
        <v>1886</v>
      </c>
      <c r="AT2" s="159"/>
      <c r="AU2" s="124"/>
      <c r="AV2" s="159">
        <v>1887</v>
      </c>
      <c r="AW2" s="159"/>
      <c r="AX2" s="124"/>
      <c r="AY2" s="166"/>
      <c r="AZ2" s="165">
        <v>1888</v>
      </c>
      <c r="BA2" s="165"/>
      <c r="BB2" s="61"/>
      <c r="BC2" s="165">
        <v>1889</v>
      </c>
      <c r="BD2" s="165"/>
      <c r="BE2" s="61"/>
      <c r="BF2" s="166"/>
      <c r="BG2" s="165">
        <v>1890</v>
      </c>
      <c r="BH2" s="165"/>
      <c r="BI2" s="61"/>
      <c r="BJ2" s="166"/>
      <c r="BK2" s="165">
        <v>1891</v>
      </c>
      <c r="BL2" s="165"/>
      <c r="BM2" s="61"/>
      <c r="BN2" s="165">
        <v>1892</v>
      </c>
      <c r="BO2" s="165"/>
      <c r="BP2" s="61"/>
      <c r="BQ2" s="166"/>
      <c r="BR2" s="165">
        <v>1893</v>
      </c>
      <c r="BS2" s="165"/>
      <c r="BT2" s="61"/>
      <c r="BU2" s="166"/>
      <c r="BV2" s="165">
        <v>1894</v>
      </c>
      <c r="BW2" s="165"/>
      <c r="BX2" s="61"/>
      <c r="BY2" s="165">
        <v>1895</v>
      </c>
      <c r="BZ2" s="165"/>
      <c r="CA2" s="61"/>
      <c r="CB2" s="165">
        <v>1896</v>
      </c>
      <c r="CC2" s="165"/>
      <c r="CD2" s="61"/>
      <c r="CE2" s="166"/>
      <c r="CF2" s="165">
        <v>1897</v>
      </c>
      <c r="CG2" s="165"/>
      <c r="CH2" s="61"/>
      <c r="CI2" s="165">
        <v>1898</v>
      </c>
      <c r="CJ2" s="165"/>
      <c r="CK2" s="61"/>
      <c r="CL2" s="165">
        <v>1899</v>
      </c>
      <c r="CM2" s="165"/>
      <c r="CN2" s="61"/>
      <c r="CO2" s="165">
        <v>1900</v>
      </c>
      <c r="CP2" s="165"/>
      <c r="CQ2" s="61"/>
      <c r="CR2" s="166"/>
      <c r="CS2" s="165">
        <v>1901</v>
      </c>
      <c r="CT2" s="165"/>
      <c r="CU2" s="61"/>
      <c r="CV2" s="165">
        <v>1902</v>
      </c>
      <c r="CW2" s="165"/>
      <c r="CX2" s="61"/>
      <c r="CY2" s="165">
        <v>1903</v>
      </c>
      <c r="CZ2" s="165"/>
      <c r="DA2" s="61"/>
      <c r="DB2" s="166"/>
      <c r="DC2" s="165">
        <v>1904</v>
      </c>
      <c r="DD2" s="165"/>
      <c r="DE2" s="61"/>
      <c r="DF2" s="166"/>
      <c r="DG2" s="165">
        <v>1905</v>
      </c>
      <c r="DH2" s="165"/>
      <c r="DI2" s="165">
        <v>1906</v>
      </c>
      <c r="DJ2" s="165"/>
      <c r="DK2" s="165">
        <v>1907</v>
      </c>
      <c r="DL2" s="165"/>
      <c r="DM2" s="166"/>
      <c r="DN2" s="165">
        <v>1908</v>
      </c>
      <c r="DO2" s="165"/>
      <c r="DP2" s="165">
        <v>1909</v>
      </c>
      <c r="DQ2" s="165"/>
      <c r="DR2" s="166"/>
      <c r="DS2" s="165">
        <v>1910</v>
      </c>
      <c r="DT2" s="165"/>
      <c r="DU2" s="165">
        <v>1911</v>
      </c>
      <c r="DV2" s="165"/>
    </row>
    <row r="3" spans="1:126" s="33" customFormat="1" ht="15.6" x14ac:dyDescent="0.3">
      <c r="A3" s="38" t="s">
        <v>0</v>
      </c>
      <c r="B3" s="162"/>
      <c r="C3" s="3" t="s">
        <v>2</v>
      </c>
      <c r="D3" s="8" t="s">
        <v>11</v>
      </c>
      <c r="E3" s="30" t="s">
        <v>110</v>
      </c>
      <c r="F3" s="3" t="s">
        <v>2</v>
      </c>
      <c r="G3" s="8" t="s">
        <v>11</v>
      </c>
      <c r="H3" s="30" t="s">
        <v>110</v>
      </c>
      <c r="I3" s="162"/>
      <c r="J3" s="3" t="s">
        <v>2</v>
      </c>
      <c r="K3" s="8" t="s">
        <v>11</v>
      </c>
      <c r="L3" s="30" t="s">
        <v>110</v>
      </c>
      <c r="M3" s="3" t="s">
        <v>2</v>
      </c>
      <c r="N3" s="8" t="s">
        <v>11</v>
      </c>
      <c r="O3" s="30" t="s">
        <v>110</v>
      </c>
      <c r="P3" s="162"/>
      <c r="Q3" s="3" t="s">
        <v>2</v>
      </c>
      <c r="R3" s="8" t="s">
        <v>11</v>
      </c>
      <c r="S3" s="30" t="s">
        <v>110</v>
      </c>
      <c r="T3" s="162"/>
      <c r="U3" s="3" t="s">
        <v>2</v>
      </c>
      <c r="V3" s="8" t="s">
        <v>11</v>
      </c>
      <c r="W3" s="30" t="s">
        <v>110</v>
      </c>
      <c r="X3" s="162"/>
      <c r="Y3" s="3" t="s">
        <v>2</v>
      </c>
      <c r="Z3" s="8" t="s">
        <v>11</v>
      </c>
      <c r="AA3" s="30" t="s">
        <v>110</v>
      </c>
      <c r="AB3" s="3" t="s">
        <v>2</v>
      </c>
      <c r="AC3" s="8" t="s">
        <v>11</v>
      </c>
      <c r="AD3" s="30" t="s">
        <v>110</v>
      </c>
      <c r="AE3" s="162"/>
      <c r="AF3" s="3" t="s">
        <v>2</v>
      </c>
      <c r="AG3" s="8" t="s">
        <v>11</v>
      </c>
      <c r="AH3" s="30" t="s">
        <v>110</v>
      </c>
      <c r="AI3" s="162"/>
      <c r="AJ3" s="3" t="s">
        <v>2</v>
      </c>
      <c r="AK3" s="8" t="s">
        <v>11</v>
      </c>
      <c r="AL3" s="30" t="s">
        <v>110</v>
      </c>
      <c r="AM3" s="3" t="s">
        <v>2</v>
      </c>
      <c r="AN3" s="8" t="s">
        <v>11</v>
      </c>
      <c r="AO3" s="30" t="s">
        <v>110</v>
      </c>
      <c r="AP3" s="3" t="s">
        <v>2</v>
      </c>
      <c r="AQ3" s="8" t="s">
        <v>11</v>
      </c>
      <c r="AR3" s="30" t="s">
        <v>110</v>
      </c>
      <c r="AS3" s="3" t="s">
        <v>2</v>
      </c>
      <c r="AT3" s="8" t="s">
        <v>11</v>
      </c>
      <c r="AU3" s="30" t="s">
        <v>110</v>
      </c>
      <c r="AV3" s="3" t="s">
        <v>2</v>
      </c>
      <c r="AW3" s="8" t="s">
        <v>11</v>
      </c>
      <c r="AX3" s="30" t="s">
        <v>110</v>
      </c>
      <c r="AY3" s="166"/>
      <c r="AZ3" s="45" t="s">
        <v>2</v>
      </c>
      <c r="BA3" s="44" t="s">
        <v>11</v>
      </c>
      <c r="BB3" s="30" t="s">
        <v>110</v>
      </c>
      <c r="BC3" s="45" t="s">
        <v>2</v>
      </c>
      <c r="BD3" s="44" t="s">
        <v>11</v>
      </c>
      <c r="BE3" s="30" t="s">
        <v>110</v>
      </c>
      <c r="BF3" s="166"/>
      <c r="BG3" s="45" t="s">
        <v>2</v>
      </c>
      <c r="BH3" s="44" t="s">
        <v>11</v>
      </c>
      <c r="BI3" s="30" t="s">
        <v>110</v>
      </c>
      <c r="BJ3" s="166"/>
      <c r="BK3" s="45" t="s">
        <v>2</v>
      </c>
      <c r="BL3" s="44" t="s">
        <v>11</v>
      </c>
      <c r="BM3" s="30" t="s">
        <v>110</v>
      </c>
      <c r="BN3" s="45" t="s">
        <v>2</v>
      </c>
      <c r="BO3" s="44" t="s">
        <v>11</v>
      </c>
      <c r="BP3" s="30" t="s">
        <v>110</v>
      </c>
      <c r="BQ3" s="166"/>
      <c r="BR3" s="45" t="s">
        <v>2</v>
      </c>
      <c r="BS3" s="44" t="s">
        <v>11</v>
      </c>
      <c r="BT3" s="30" t="s">
        <v>110</v>
      </c>
      <c r="BU3" s="166"/>
      <c r="BV3" s="45" t="s">
        <v>2</v>
      </c>
      <c r="BW3" s="44" t="s">
        <v>11</v>
      </c>
      <c r="BX3" s="30" t="s">
        <v>110</v>
      </c>
      <c r="BY3" s="45" t="s">
        <v>2</v>
      </c>
      <c r="BZ3" s="44" t="s">
        <v>11</v>
      </c>
      <c r="CA3" s="30" t="s">
        <v>110</v>
      </c>
      <c r="CB3" s="45" t="s">
        <v>2</v>
      </c>
      <c r="CC3" s="44" t="s">
        <v>11</v>
      </c>
      <c r="CD3" s="30" t="s">
        <v>110</v>
      </c>
      <c r="CE3" s="166"/>
      <c r="CF3" s="45" t="s">
        <v>2</v>
      </c>
      <c r="CG3" s="44" t="s">
        <v>11</v>
      </c>
      <c r="CH3" s="30" t="s">
        <v>110</v>
      </c>
      <c r="CI3" s="45" t="s">
        <v>2</v>
      </c>
      <c r="CJ3" s="44" t="s">
        <v>11</v>
      </c>
      <c r="CK3" s="30" t="s">
        <v>110</v>
      </c>
      <c r="CL3" s="45" t="s">
        <v>2</v>
      </c>
      <c r="CM3" s="44" t="s">
        <v>11</v>
      </c>
      <c r="CN3" s="30" t="s">
        <v>110</v>
      </c>
      <c r="CO3" s="45" t="s">
        <v>2</v>
      </c>
      <c r="CP3" s="44" t="s">
        <v>11</v>
      </c>
      <c r="CQ3" s="30" t="s">
        <v>110</v>
      </c>
      <c r="CR3" s="166"/>
      <c r="CS3" s="45" t="s">
        <v>2</v>
      </c>
      <c r="CT3" s="44" t="s">
        <v>11</v>
      </c>
      <c r="CU3" s="30" t="s">
        <v>110</v>
      </c>
      <c r="CV3" s="45" t="s">
        <v>2</v>
      </c>
      <c r="CW3" s="44" t="s">
        <v>11</v>
      </c>
      <c r="CX3" s="30" t="s">
        <v>110</v>
      </c>
      <c r="CY3" s="45" t="s">
        <v>2</v>
      </c>
      <c r="CZ3" s="44" t="s">
        <v>11</v>
      </c>
      <c r="DA3" s="30" t="s">
        <v>110</v>
      </c>
      <c r="DB3" s="166"/>
      <c r="DC3" s="45" t="s">
        <v>2</v>
      </c>
      <c r="DD3" s="44" t="s">
        <v>11</v>
      </c>
      <c r="DE3" s="30" t="s">
        <v>110</v>
      </c>
      <c r="DF3" s="166"/>
      <c r="DG3" s="45" t="s">
        <v>2</v>
      </c>
      <c r="DH3" s="44" t="s">
        <v>110</v>
      </c>
      <c r="DI3" s="45" t="s">
        <v>2</v>
      </c>
      <c r="DJ3" s="44" t="s">
        <v>110</v>
      </c>
      <c r="DK3" s="45" t="s">
        <v>2</v>
      </c>
      <c r="DL3" s="44" t="s">
        <v>110</v>
      </c>
      <c r="DM3" s="166"/>
      <c r="DN3" s="45" t="s">
        <v>2</v>
      </c>
      <c r="DO3" s="44" t="s">
        <v>110</v>
      </c>
      <c r="DP3" s="45" t="s">
        <v>2</v>
      </c>
      <c r="DQ3" s="44" t="s">
        <v>110</v>
      </c>
      <c r="DR3" s="166"/>
      <c r="DS3" s="45" t="s">
        <v>2</v>
      </c>
      <c r="DT3" s="44" t="s">
        <v>110</v>
      </c>
      <c r="DU3" s="45" t="s">
        <v>2</v>
      </c>
      <c r="DV3" s="44" t="s">
        <v>110</v>
      </c>
    </row>
    <row r="4" spans="1:126" ht="15.6" hidden="1" x14ac:dyDescent="0.3">
      <c r="A4" s="29" t="s">
        <v>24</v>
      </c>
      <c r="B4" s="122"/>
      <c r="C4" s="122"/>
      <c r="D4" s="122"/>
      <c r="E4" s="31" t="str">
        <f>IF(D4/(INDEX('Standards for Conversions'!$H$34:$H$73,MATCH(C$2,'Standards for Conversions'!$A$34:$A$73,0)))=0,"",D4/(INDEX('Standards for Conversions'!$H$34:$H$73,MATCH(C$2,'Standards for Conversions'!$A$34:$A$73,0))))</f>
        <v/>
      </c>
      <c r="F4" s="7"/>
      <c r="G4" s="7"/>
      <c r="H4" s="31" t="str">
        <f>IF(G4/(INDEX('Standards for Conversions'!$H$34:$H$73,MATCH(F$2,'Standards for Conversions'!$A$34:$A$73,0)))=0,"",G4/(INDEX('Standards for Conversions'!$H$34:$H$73,MATCH(F$2,'Standards for Conversions'!$A$34:$A$73,0))))</f>
        <v/>
      </c>
      <c r="I4" s="122"/>
      <c r="J4" s="7"/>
      <c r="K4" s="7"/>
      <c r="L4" s="31" t="str">
        <f>IF(K4/(INDEX('Standards for Conversions'!$H$34:$H$73,MATCH(J$2,'Standards for Conversions'!$A$34:$A$73,0)))=0,"",K4/(INDEX('Standards for Conversions'!$H$34:$H$73,MATCH(J$2,'Standards for Conversions'!$A$34:$A$73,0))))</f>
        <v/>
      </c>
      <c r="M4" s="7"/>
      <c r="N4" s="7"/>
      <c r="O4" s="31" t="str">
        <f>IF(N4/(INDEX('Standards for Conversions'!$H$34:$H$73,MATCH(M$2,'Standards for Conversions'!$A$34:$A$73,0)))=0,"",N4/(INDEX('Standards for Conversions'!$H$34:$H$73,MATCH(M$2,'Standards for Conversions'!$A$34:$A$73,0))))</f>
        <v/>
      </c>
      <c r="P4" s="122"/>
      <c r="Q4" s="7"/>
      <c r="R4" s="7"/>
      <c r="S4" s="31" t="str">
        <f>IF(R4/(INDEX('Standards for Conversions'!$H$34:$H$73,MATCH(Q$2,'Standards for Conversions'!$A$34:$A$73,0)))=0,"",R4/(INDEX('Standards for Conversions'!$H$34:$H$73,MATCH(Q$2,'Standards for Conversions'!$A$34:$A$73,0))))</f>
        <v/>
      </c>
      <c r="T4" s="122"/>
      <c r="U4" s="7"/>
      <c r="V4" s="7"/>
      <c r="W4" s="31" t="str">
        <f>IF(V4/(INDEX('Standards for Conversions'!$H$34:$H$73,MATCH(U$2,'Standards for Conversions'!$A$34:$A$73,0)))=0,"",V4/(INDEX('Standards for Conversions'!$H$34:$H$73,MATCH(U$2,'Standards for Conversions'!$A$34:$A$73,0))))</f>
        <v/>
      </c>
      <c r="X4" s="122"/>
      <c r="Y4" s="7"/>
      <c r="Z4" s="7"/>
      <c r="AA4" s="31" t="str">
        <f>IF(Z4/(INDEX('Standards for Conversions'!$H$34:$H$73,MATCH(Y$2,'Standards for Conversions'!$A$34:$A$73,0)))=0,"",Z4/(INDEX('Standards for Conversions'!$H$34:$H$73,MATCH(Y$2,'Standards for Conversions'!$A$34:$A$73,0))))</f>
        <v/>
      </c>
      <c r="AB4" s="7"/>
      <c r="AC4" s="7"/>
      <c r="AD4" s="31" t="str">
        <f>IF(AC4/(INDEX('Standards for Conversions'!$H$34:$H$73,MATCH(AB$2,'Standards for Conversions'!$A$34:$A$73,0)))=0,"",AC4/(INDEX('Standards for Conversions'!$H$34:$H$73,MATCH(AB$2,'Standards for Conversions'!$A$34:$A$73,0))))</f>
        <v/>
      </c>
      <c r="AE4" s="122"/>
      <c r="AF4" s="7"/>
      <c r="AG4" s="7"/>
      <c r="AH4" s="31" t="str">
        <f>IF(AG4/(INDEX('Standards for Conversions'!$H$34:$H$73,MATCH(AF$2,'Standards for Conversions'!$A$34:$A$73,0)))=0,"",AG4/(INDEX('Standards for Conversions'!$H$34:$H$73,MATCH(AF$2,'Standards for Conversions'!$A$34:$A$73,0))))</f>
        <v/>
      </c>
      <c r="AI4" s="122"/>
      <c r="AJ4" s="7"/>
      <c r="AK4" s="7"/>
      <c r="AL4" s="31" t="str">
        <f>IF(AK4/(INDEX('Standards for Conversions'!$H$34:$H$73,MATCH(AJ$2,'Standards for Conversions'!$A$34:$A$73,0)))=0,"",AK4/(INDEX('Standards for Conversions'!$H$34:$H$73,MATCH(AJ$2,'Standards for Conversions'!$A$34:$A$73,0))))</f>
        <v/>
      </c>
      <c r="AM4" s="7"/>
      <c r="AN4" s="7"/>
      <c r="AO4" s="31" t="str">
        <f>IF(AN4/(INDEX('Standards for Conversions'!$H$34:$H$73,MATCH(AM$2,'Standards for Conversions'!$A$34:$A$73,0)))=0,"",AN4/(INDEX('Standards for Conversions'!$H$34:$H$73,MATCH(AM$2,'Standards for Conversions'!$A$34:$A$73,0))))</f>
        <v/>
      </c>
      <c r="AP4" s="7"/>
      <c r="AQ4" s="7"/>
      <c r="AR4" s="31" t="str">
        <f>IF(AQ4/(INDEX('Standards for Conversions'!$H$34:$H$73,MATCH(AP$2,'Standards for Conversions'!$A$34:$A$73,0)))=0,"",AQ4/(INDEX('Standards for Conversions'!$H$34:$H$73,MATCH(AP$2,'Standards for Conversions'!$A$34:$A$73,0))))</f>
        <v/>
      </c>
      <c r="AS4" s="7"/>
      <c r="AT4" s="7"/>
      <c r="AU4" s="31" t="str">
        <f>IF(AT4/(INDEX('Standards for Conversions'!$H$34:$H$73,MATCH(AS$2,'Standards for Conversions'!$A$34:$A$73,0)))=0,"",AT4/(INDEX('Standards for Conversions'!$H$34:$H$73,MATCH(AS$2,'Standards for Conversions'!$A$34:$A$73,0))))</f>
        <v/>
      </c>
      <c r="AV4" s="7"/>
      <c r="AW4" s="7"/>
      <c r="AX4" s="31" t="str">
        <f>IF(AW4/(INDEX('Standards for Conversions'!$H$47:$H$73,MATCH(AV$2,'Standards for Conversions'!$A$47:$A$73,0)))=0,"",AW4/(INDEX('Standards for Conversions'!$H$47:$H$73,MATCH(AV$2,'Standards for Conversions'!$A$47:$A$73,0))))</f>
        <v/>
      </c>
      <c r="AY4" s="42"/>
      <c r="BB4" s="31" t="str">
        <f>IF(BA4/(INDEX('Standards for Conversions'!$H$47:$H$73,MATCH(AZ$2,'Standards for Conversions'!$A$47:$A$73,0)))=0,"",BA4/(INDEX('Standards for Conversions'!$H$47:$H$73,MATCH(AZ$2,'Standards for Conversions'!$A$47:$A$73,0))))</f>
        <v/>
      </c>
      <c r="BE4" s="31" t="str">
        <f>IF(BD4/(INDEX('Standards for Conversions'!$H$47:$H$73,MATCH(BC$2,'Standards for Conversions'!$A$47:$A$73,0)))=0,"",BD4/(INDEX('Standards for Conversions'!$H$47:$H$73,MATCH(BC$2,'Standards for Conversions'!$A$47:$A$73,0))))</f>
        <v/>
      </c>
      <c r="BF4" s="46"/>
      <c r="BI4" s="31" t="str">
        <f>IF(BH4/(INDEX('Standards for Conversions'!$H$47:$H$73,MATCH(BG$2,'Standards for Conversions'!$A$47:$A$73,0)))=0,"",BH4/(INDEX('Standards for Conversions'!$H$47:$H$73,MATCH(BG$2,'Standards for Conversions'!$A$47:$A$73,0))))</f>
        <v/>
      </c>
      <c r="BJ4" s="42"/>
      <c r="BM4" s="31" t="str">
        <f>IF(BL4/(INDEX('Standards for Conversions'!$H$47:$H$73,MATCH(BK$2,'Standards for Conversions'!$A$47:$A$73,0)))=0,"",BL4/(INDEX('Standards for Conversions'!$H$47:$H$73,MATCH(BK$2,'Standards for Conversions'!$A$47:$A$73,0))))</f>
        <v/>
      </c>
      <c r="BP4" s="31" t="str">
        <f>IF(BO4/(INDEX('Standards for Conversions'!$H$47:$H$73,MATCH(BN$2,'Standards for Conversions'!$A$47:$A$73,0)))=0,"",BO4/(INDEX('Standards for Conversions'!$H$47:$H$73,MATCH(BN$2,'Standards for Conversions'!$A$47:$A$73,0))))</f>
        <v/>
      </c>
      <c r="BQ4" s="46"/>
      <c r="BT4" s="31" t="str">
        <f>IF(BS4/(INDEX('Standards for Conversions'!$H$47:$H$73,MATCH(BR$2,'Standards for Conversions'!$A$47:$A$73,0)))=0,"",BS4/(INDEX('Standards for Conversions'!$H$47:$H$73,MATCH(BR$2,'Standards for Conversions'!$A$47:$A$73,0))))</f>
        <v/>
      </c>
      <c r="BU4" s="46"/>
      <c r="BV4" s="45"/>
      <c r="BW4" s="44"/>
      <c r="BX4" s="31" t="str">
        <f>IF(BW4/(INDEX('Standards for Conversions'!$H$47:$H$73,MATCH(BV$2,'Standards for Conversions'!$A$47:$A$73,0)))=0,"",BW4/(INDEX('Standards for Conversions'!$H$47:$H$73,MATCH(BV$2,'Standards for Conversions'!$A$47:$A$73,0))))</f>
        <v/>
      </c>
      <c r="BY4" s="45"/>
      <c r="BZ4" s="44"/>
      <c r="CA4" s="31" t="str">
        <f>IF(BZ4/(INDEX('Standards for Conversions'!$H$47:$H$73,MATCH(BY$2,'Standards for Conversions'!$A$47:$A$73,0)))=0,"",BZ4/(INDEX('Standards for Conversions'!$H$47:$H$73,MATCH(BY$2,'Standards for Conversions'!$A$47:$A$73,0))))</f>
        <v/>
      </c>
      <c r="CB4" s="45"/>
      <c r="CC4" s="44"/>
      <c r="CD4" s="31" t="str">
        <f>IF(CC4/(INDEX('Standards for Conversions'!$H$47:$H$73,MATCH(CB$2,'Standards for Conversions'!$A$47:$A$73,0)))=0,"",CC4/(INDEX('Standards for Conversions'!$H$47:$H$73,MATCH(CB$2,'Standards for Conversions'!$A$47:$A$73,0))))</f>
        <v/>
      </c>
      <c r="CE4" s="46"/>
      <c r="CF4" s="45"/>
      <c r="CG4" s="44"/>
      <c r="CH4" s="31" t="str">
        <f>IF(CG4/(INDEX('Standards for Conversions'!$H$47:$H$73,MATCH(CF$2,'Standards for Conversions'!$A$47:$A$73,0)))=0,"",CG4/(INDEX('Standards for Conversions'!$H$47:$H$73,MATCH(CF$2,'Standards for Conversions'!$A$47:$A$73,0))))</f>
        <v/>
      </c>
      <c r="CI4" s="45"/>
      <c r="CJ4" s="44"/>
      <c r="CK4" s="31" t="str">
        <f>IF(CJ4/(INDEX('Standards for Conversions'!$H$47:$H$73,MATCH(CI$2,'Standards for Conversions'!$A$47:$A$73,0)))=0,"",CJ4/(INDEX('Standards for Conversions'!$H$47:$H$73,MATCH(CI$2,'Standards for Conversions'!$A$47:$A$73,0))))</f>
        <v/>
      </c>
      <c r="CL4" s="45"/>
      <c r="CM4" s="44"/>
      <c r="CN4" s="31" t="str">
        <f>IF(CM4/(INDEX('Standards for Conversions'!$H$47:$H$73,MATCH(CL$2,'Standards for Conversions'!$A$47:$A$73,0)))=0,"",CM4/(INDEX('Standards for Conversions'!$H$47:$H$73,MATCH(CL$2,'Standards for Conversions'!$A$47:$A$73,0))))</f>
        <v/>
      </c>
      <c r="CO4" s="45"/>
      <c r="CP4" s="44"/>
      <c r="CQ4" s="31" t="str">
        <f>IF(CP4/(INDEX('Standards for Conversions'!$H$47:$H$73,MATCH(CO$2,'Standards for Conversions'!$A$47:$A$73,0)))=0,"",CP4/(INDEX('Standards for Conversions'!$H$47:$H$73,MATCH(CO$2,'Standards for Conversions'!$A$47:$A$73,0))))</f>
        <v/>
      </c>
      <c r="CR4" s="46"/>
      <c r="CS4" s="45"/>
      <c r="CT4" s="44"/>
      <c r="CU4" s="31" t="str">
        <f>IF(CT4/(INDEX('Standards for Conversions'!$H$47:$H$73,MATCH(CS$2,'Standards for Conversions'!$A$47:$A$73,0)))=0,"",CT4/(INDEX('Standards for Conversions'!$H$47:$H$73,MATCH(CS$2,'Standards for Conversions'!$A$47:$A$73,0))))</f>
        <v/>
      </c>
      <c r="CV4" s="45"/>
      <c r="CW4" s="44"/>
      <c r="CX4" s="31" t="str">
        <f>IF(CW4/(INDEX('Standards for Conversions'!$H$47:$H$73,MATCH(CV$2,'Standards for Conversions'!$A$47:$A$73,0)))=0,"",CW4/(INDEX('Standards for Conversions'!$H$47:$H$73,MATCH(CV$2,'Standards for Conversions'!$A$47:$A$73,0))))</f>
        <v/>
      </c>
      <c r="CY4" s="45"/>
      <c r="CZ4" s="44"/>
      <c r="DA4" s="31" t="str">
        <f>IF(CZ4/(INDEX('Standards for Conversions'!$H$47:$H$73,MATCH(CY$2,'Standards for Conversions'!$A$47:$A$73,0)))=0,"",CZ4/(INDEX('Standards for Conversions'!$H$47:$H$73,MATCH(CY$2,'Standards for Conversions'!$A$47:$A$73,0))))</f>
        <v/>
      </c>
      <c r="DB4" s="42"/>
      <c r="DC4" s="45"/>
      <c r="DD4" s="44"/>
      <c r="DE4" s="31" t="str">
        <f>IF(DD4/(INDEX('Standards for Conversions'!$H$47:$H$73,MATCH(DC$2,'Standards for Conversions'!$A$47:$A$73,0)))=0,"",DD4/(INDEX('Standards for Conversions'!$H$47:$H$73,MATCH(DC$2,'Standards for Conversions'!$A$47:$A$73,0))))</f>
        <v/>
      </c>
      <c r="DF4" s="42"/>
      <c r="DG4" s="45"/>
      <c r="DH4" s="44"/>
      <c r="DI4" s="43"/>
      <c r="DJ4" s="44"/>
      <c r="DK4" s="43"/>
      <c r="DL4" s="44"/>
      <c r="DR4" s="29" t="s">
        <v>18</v>
      </c>
      <c r="DS4" s="29">
        <v>5</v>
      </c>
      <c r="DT4" s="29">
        <v>133</v>
      </c>
    </row>
    <row r="5" spans="1:126" ht="15.6" hidden="1" x14ac:dyDescent="0.3">
      <c r="A5" s="29" t="s">
        <v>25</v>
      </c>
      <c r="B5" s="122"/>
      <c r="C5" s="122"/>
      <c r="D5" s="122"/>
      <c r="E5" s="31" t="str">
        <f>IF(D5/(INDEX('Standards for Conversions'!$H$34:$H$73,MATCH(C$2,'Standards for Conversions'!$A$34:$A$73,0)))=0,"",D5/(INDEX('Standards for Conversions'!$H$34:$H$73,MATCH(C$2,'Standards for Conversions'!$A$34:$A$73,0))))</f>
        <v/>
      </c>
      <c r="F5" s="7"/>
      <c r="G5" s="7"/>
      <c r="H5" s="31" t="str">
        <f>IF(G5/(INDEX('Standards for Conversions'!$H$34:$H$73,MATCH(F$2,'Standards for Conversions'!$A$34:$A$73,0)))=0,"",G5/(INDEX('Standards for Conversions'!$H$34:$H$73,MATCH(F$2,'Standards for Conversions'!$A$34:$A$73,0))))</f>
        <v/>
      </c>
      <c r="I5" s="122"/>
      <c r="J5" s="7"/>
      <c r="K5" s="7"/>
      <c r="L5" s="31" t="str">
        <f>IF(K5/(INDEX('Standards for Conversions'!$H$34:$H$73,MATCH(J$2,'Standards for Conversions'!$A$34:$A$73,0)))=0,"",K5/(INDEX('Standards for Conversions'!$H$34:$H$73,MATCH(J$2,'Standards for Conversions'!$A$34:$A$73,0))))</f>
        <v/>
      </c>
      <c r="M5" s="7"/>
      <c r="N5" s="7"/>
      <c r="O5" s="31" t="str">
        <f>IF(N5/(INDEX('Standards for Conversions'!$H$34:$H$73,MATCH(M$2,'Standards for Conversions'!$A$34:$A$73,0)))=0,"",N5/(INDEX('Standards for Conversions'!$H$34:$H$73,MATCH(M$2,'Standards for Conversions'!$A$34:$A$73,0))))</f>
        <v/>
      </c>
      <c r="P5" s="122"/>
      <c r="Q5" s="7"/>
      <c r="R5" s="7"/>
      <c r="S5" s="31" t="str">
        <f>IF(R5/(INDEX('Standards for Conversions'!$H$34:$H$73,MATCH(Q$2,'Standards for Conversions'!$A$34:$A$73,0)))=0,"",R5/(INDEX('Standards for Conversions'!$H$34:$H$73,MATCH(Q$2,'Standards for Conversions'!$A$34:$A$73,0))))</f>
        <v/>
      </c>
      <c r="T5" s="122"/>
      <c r="U5" s="7"/>
      <c r="V5" s="7"/>
      <c r="W5" s="31" t="str">
        <f>IF(V5/(INDEX('Standards for Conversions'!$H$34:$H$73,MATCH(U$2,'Standards for Conversions'!$A$34:$A$73,0)))=0,"",V5/(INDEX('Standards for Conversions'!$H$34:$H$73,MATCH(U$2,'Standards for Conversions'!$A$34:$A$73,0))))</f>
        <v/>
      </c>
      <c r="X5" s="122"/>
      <c r="Y5" s="7"/>
      <c r="Z5" s="7"/>
      <c r="AA5" s="31" t="str">
        <f>IF(Z5/(INDEX('Standards for Conversions'!$H$34:$H$73,MATCH(Y$2,'Standards for Conversions'!$A$34:$A$73,0)))=0,"",Z5/(INDEX('Standards for Conversions'!$H$34:$H$73,MATCH(Y$2,'Standards for Conversions'!$A$34:$A$73,0))))</f>
        <v/>
      </c>
      <c r="AB5" s="7"/>
      <c r="AC5" s="7"/>
      <c r="AD5" s="31" t="str">
        <f>IF(AC5/(INDEX('Standards for Conversions'!$H$34:$H$73,MATCH(AB$2,'Standards for Conversions'!$A$34:$A$73,0)))=0,"",AC5/(INDEX('Standards for Conversions'!$H$34:$H$73,MATCH(AB$2,'Standards for Conversions'!$A$34:$A$73,0))))</f>
        <v/>
      </c>
      <c r="AE5" s="122"/>
      <c r="AF5" s="7"/>
      <c r="AG5" s="7"/>
      <c r="AH5" s="31" t="str">
        <f>IF(AG5/(INDEX('Standards for Conversions'!$H$34:$H$73,MATCH(AF$2,'Standards for Conversions'!$A$34:$A$73,0)))=0,"",AG5/(INDEX('Standards for Conversions'!$H$34:$H$73,MATCH(AF$2,'Standards for Conversions'!$A$34:$A$73,0))))</f>
        <v/>
      </c>
      <c r="AI5" s="122"/>
      <c r="AJ5" s="7"/>
      <c r="AK5" s="7"/>
      <c r="AL5" s="31" t="str">
        <f>IF(AK5/(INDEX('Standards for Conversions'!$H$34:$H$73,MATCH(AJ$2,'Standards for Conversions'!$A$34:$A$73,0)))=0,"",AK5/(INDEX('Standards for Conversions'!$H$34:$H$73,MATCH(AJ$2,'Standards for Conversions'!$A$34:$A$73,0))))</f>
        <v/>
      </c>
      <c r="AM5" s="7"/>
      <c r="AN5" s="7"/>
      <c r="AO5" s="31" t="str">
        <f>IF(AN5/(INDEX('Standards for Conversions'!$H$34:$H$73,MATCH(AM$2,'Standards for Conversions'!$A$34:$A$73,0)))=0,"",AN5/(INDEX('Standards for Conversions'!$H$34:$H$73,MATCH(AM$2,'Standards for Conversions'!$A$34:$A$73,0))))</f>
        <v/>
      </c>
      <c r="AP5" s="7"/>
      <c r="AQ5" s="7"/>
      <c r="AR5" s="31" t="str">
        <f>IF(AQ5/(INDEX('Standards for Conversions'!$H$34:$H$73,MATCH(AP$2,'Standards for Conversions'!$A$34:$A$73,0)))=0,"",AQ5/(INDEX('Standards for Conversions'!$H$34:$H$73,MATCH(AP$2,'Standards for Conversions'!$A$34:$A$73,0))))</f>
        <v/>
      </c>
      <c r="AS5" s="7"/>
      <c r="AT5" s="7"/>
      <c r="AU5" s="31" t="str">
        <f>IF(AT5/(INDEX('Standards for Conversions'!$H$34:$H$73,MATCH(AS$2,'Standards for Conversions'!$A$34:$A$73,0)))=0,"",AT5/(INDEX('Standards for Conversions'!$H$34:$H$73,MATCH(AS$2,'Standards for Conversions'!$A$34:$A$73,0))))</f>
        <v/>
      </c>
      <c r="AV5" s="7"/>
      <c r="AW5" s="7"/>
      <c r="AX5" s="31" t="str">
        <f>IF(AW5/(INDEX('Standards for Conversions'!$H$47:$H$73,MATCH(AV$2,'Standards for Conversions'!$A$47:$A$73,0)))=0,"",AW5/(INDEX('Standards for Conversions'!$H$47:$H$73,MATCH(AV$2,'Standards for Conversions'!$A$47:$A$73,0))))</f>
        <v/>
      </c>
      <c r="AY5" s="42"/>
      <c r="BB5" s="31" t="str">
        <f>IF(BA5/(INDEX('Standards for Conversions'!$H$47:$H$73,MATCH(AZ$2,'Standards for Conversions'!$A$47:$A$73,0)))=0,"",BA5/(INDEX('Standards for Conversions'!$H$47:$H$73,MATCH(AZ$2,'Standards for Conversions'!$A$47:$A$73,0))))</f>
        <v/>
      </c>
      <c r="BE5" s="31" t="str">
        <f>IF(BD5/(INDEX('Standards for Conversions'!$H$47:$H$73,MATCH(BC$2,'Standards for Conversions'!$A$47:$A$73,0)))=0,"",BD5/(INDEX('Standards for Conversions'!$H$47:$H$73,MATCH(BC$2,'Standards for Conversions'!$A$47:$A$73,0))))</f>
        <v/>
      </c>
      <c r="BF5" s="46"/>
      <c r="BI5" s="31" t="str">
        <f>IF(BH5/(INDEX('Standards for Conversions'!$H$47:$H$73,MATCH(BG$2,'Standards for Conversions'!$A$47:$A$73,0)))=0,"",BH5/(INDEX('Standards for Conversions'!$H$47:$H$73,MATCH(BG$2,'Standards for Conversions'!$A$47:$A$73,0))))</f>
        <v/>
      </c>
      <c r="BJ5" s="42"/>
      <c r="BM5" s="31" t="str">
        <f>IF(BL5/(INDEX('Standards for Conversions'!$H$47:$H$73,MATCH(BK$2,'Standards for Conversions'!$A$47:$A$73,0)))=0,"",BL5/(INDEX('Standards for Conversions'!$H$47:$H$73,MATCH(BK$2,'Standards for Conversions'!$A$47:$A$73,0))))</f>
        <v/>
      </c>
      <c r="BP5" s="31" t="str">
        <f>IF(BO5/(INDEX('Standards for Conversions'!$H$47:$H$73,MATCH(BN$2,'Standards for Conversions'!$A$47:$A$73,0)))=0,"",BO5/(INDEX('Standards for Conversions'!$H$47:$H$73,MATCH(BN$2,'Standards for Conversions'!$A$47:$A$73,0))))</f>
        <v/>
      </c>
      <c r="BQ5" s="46"/>
      <c r="BT5" s="31" t="str">
        <f>IF(BS5/(INDEX('Standards for Conversions'!$H$47:$H$73,MATCH(BR$2,'Standards for Conversions'!$A$47:$A$73,0)))=0,"",BS5/(INDEX('Standards for Conversions'!$H$47:$H$73,MATCH(BR$2,'Standards for Conversions'!$A$47:$A$73,0))))</f>
        <v/>
      </c>
      <c r="BU5" s="46"/>
      <c r="BV5" s="45"/>
      <c r="BW5" s="44"/>
      <c r="BX5" s="31" t="str">
        <f>IF(BW5/(INDEX('Standards for Conversions'!$H$47:$H$73,MATCH(BV$2,'Standards for Conversions'!$A$47:$A$73,0)))=0,"",BW5/(INDEX('Standards for Conversions'!$H$47:$H$73,MATCH(BV$2,'Standards for Conversions'!$A$47:$A$73,0))))</f>
        <v/>
      </c>
      <c r="BY5" s="45"/>
      <c r="BZ5" s="44"/>
      <c r="CA5" s="31" t="str">
        <f>IF(BZ5/(INDEX('Standards for Conversions'!$H$47:$H$73,MATCH(BY$2,'Standards for Conversions'!$A$47:$A$73,0)))=0,"",BZ5/(INDEX('Standards for Conversions'!$H$47:$H$73,MATCH(BY$2,'Standards for Conversions'!$A$47:$A$73,0))))</f>
        <v/>
      </c>
      <c r="CB5" s="45"/>
      <c r="CC5" s="44"/>
      <c r="CD5" s="31" t="str">
        <f>IF(CC5/(INDEX('Standards for Conversions'!$H$47:$H$73,MATCH(CB$2,'Standards for Conversions'!$A$47:$A$73,0)))=0,"",CC5/(INDEX('Standards for Conversions'!$H$47:$H$73,MATCH(CB$2,'Standards for Conversions'!$A$47:$A$73,0))))</f>
        <v/>
      </c>
      <c r="CE5" s="46"/>
      <c r="CF5" s="45"/>
      <c r="CG5" s="44"/>
      <c r="CH5" s="31" t="str">
        <f>IF(CG5/(INDEX('Standards for Conversions'!$H$47:$H$73,MATCH(CF$2,'Standards for Conversions'!$A$47:$A$73,0)))=0,"",CG5/(INDEX('Standards for Conversions'!$H$47:$H$73,MATCH(CF$2,'Standards for Conversions'!$A$47:$A$73,0))))</f>
        <v/>
      </c>
      <c r="CI5" s="45"/>
      <c r="CJ5" s="44"/>
      <c r="CK5" s="31" t="str">
        <f>IF(CJ5/(INDEX('Standards for Conversions'!$H$47:$H$73,MATCH(CI$2,'Standards for Conversions'!$A$47:$A$73,0)))=0,"",CJ5/(INDEX('Standards for Conversions'!$H$47:$H$73,MATCH(CI$2,'Standards for Conversions'!$A$47:$A$73,0))))</f>
        <v/>
      </c>
      <c r="CL5" s="45"/>
      <c r="CM5" s="44"/>
      <c r="CN5" s="31" t="str">
        <f>IF(CM5/(INDEX('Standards for Conversions'!$H$47:$H$73,MATCH(CL$2,'Standards for Conversions'!$A$47:$A$73,0)))=0,"",CM5/(INDEX('Standards for Conversions'!$H$47:$H$73,MATCH(CL$2,'Standards for Conversions'!$A$47:$A$73,0))))</f>
        <v/>
      </c>
      <c r="CO5" s="45"/>
      <c r="CP5" s="44"/>
      <c r="CQ5" s="31" t="str">
        <f>IF(CP5/(INDEX('Standards for Conversions'!$H$47:$H$73,MATCH(CO$2,'Standards for Conversions'!$A$47:$A$73,0)))=0,"",CP5/(INDEX('Standards for Conversions'!$H$47:$H$73,MATCH(CO$2,'Standards for Conversions'!$A$47:$A$73,0))))</f>
        <v/>
      </c>
      <c r="CR5" s="46"/>
      <c r="CS5" s="45"/>
      <c r="CT5" s="44"/>
      <c r="CU5" s="31" t="str">
        <f>IF(CT5/(INDEX('Standards for Conversions'!$H$47:$H$73,MATCH(CS$2,'Standards for Conversions'!$A$47:$A$73,0)))=0,"",CT5/(INDEX('Standards for Conversions'!$H$47:$H$73,MATCH(CS$2,'Standards for Conversions'!$A$47:$A$73,0))))</f>
        <v/>
      </c>
      <c r="CV5" s="45"/>
      <c r="CW5" s="44"/>
      <c r="CX5" s="31" t="str">
        <f>IF(CW5/(INDEX('Standards for Conversions'!$H$47:$H$73,MATCH(CV$2,'Standards for Conversions'!$A$47:$A$73,0)))=0,"",CW5/(INDEX('Standards for Conversions'!$H$47:$H$73,MATCH(CV$2,'Standards for Conversions'!$A$47:$A$73,0))))</f>
        <v/>
      </c>
      <c r="CY5" s="45"/>
      <c r="CZ5" s="44"/>
      <c r="DA5" s="31" t="str">
        <f>IF(CZ5/(INDEX('Standards for Conversions'!$H$47:$H$73,MATCH(CY$2,'Standards for Conversions'!$A$47:$A$73,0)))=0,"",CZ5/(INDEX('Standards for Conversions'!$H$47:$H$73,MATCH(CY$2,'Standards for Conversions'!$A$47:$A$73,0))))</f>
        <v/>
      </c>
      <c r="DB5" s="42"/>
      <c r="DC5" s="45"/>
      <c r="DD5" s="44"/>
      <c r="DE5" s="31" t="str">
        <f>IF(DD5/(INDEX('Standards for Conversions'!$H$47:$H$73,MATCH(DC$2,'Standards for Conversions'!$A$47:$A$73,0)))=0,"",DD5/(INDEX('Standards for Conversions'!$H$47:$H$73,MATCH(DC$2,'Standards for Conversions'!$A$47:$A$73,0))))</f>
        <v/>
      </c>
      <c r="DF5" s="42"/>
      <c r="DG5" s="45"/>
      <c r="DH5" s="44"/>
      <c r="DI5" s="43"/>
      <c r="DJ5" s="44"/>
      <c r="DK5" s="43"/>
      <c r="DL5" s="44"/>
      <c r="DR5" s="29" t="s">
        <v>18</v>
      </c>
      <c r="DS5" s="29">
        <v>3</v>
      </c>
      <c r="DT5" s="29">
        <v>100</v>
      </c>
      <c r="DU5" s="29">
        <v>2</v>
      </c>
      <c r="DV5" s="29">
        <v>67</v>
      </c>
    </row>
    <row r="6" spans="1:126" ht="15.6" hidden="1" x14ac:dyDescent="0.3">
      <c r="A6" s="29" t="s">
        <v>26</v>
      </c>
      <c r="B6" s="122"/>
      <c r="C6" s="122"/>
      <c r="D6" s="122"/>
      <c r="E6" s="31" t="str">
        <f>IF(D6/(INDEX('Standards for Conversions'!$H$34:$H$73,MATCH(C$2,'Standards for Conversions'!$A$34:$A$73,0)))=0,"",D6/(INDEX('Standards for Conversions'!$H$34:$H$73,MATCH(C$2,'Standards for Conversions'!$A$34:$A$73,0))))</f>
        <v/>
      </c>
      <c r="F6" s="7"/>
      <c r="G6" s="7"/>
      <c r="H6" s="31" t="str">
        <f>IF(G6/(INDEX('Standards for Conversions'!$H$34:$H$73,MATCH(F$2,'Standards for Conversions'!$A$34:$A$73,0)))=0,"",G6/(INDEX('Standards for Conversions'!$H$34:$H$73,MATCH(F$2,'Standards for Conversions'!$A$34:$A$73,0))))</f>
        <v/>
      </c>
      <c r="I6" s="122"/>
      <c r="J6" s="7"/>
      <c r="K6" s="7"/>
      <c r="L6" s="31" t="str">
        <f>IF(K6/(INDEX('Standards for Conversions'!$H$34:$H$73,MATCH(J$2,'Standards for Conversions'!$A$34:$A$73,0)))=0,"",K6/(INDEX('Standards for Conversions'!$H$34:$H$73,MATCH(J$2,'Standards for Conversions'!$A$34:$A$73,0))))</f>
        <v/>
      </c>
      <c r="M6" s="7"/>
      <c r="N6" s="7"/>
      <c r="O6" s="31" t="str">
        <f>IF(N6/(INDEX('Standards for Conversions'!$H$34:$H$73,MATCH(M$2,'Standards for Conversions'!$A$34:$A$73,0)))=0,"",N6/(INDEX('Standards for Conversions'!$H$34:$H$73,MATCH(M$2,'Standards for Conversions'!$A$34:$A$73,0))))</f>
        <v/>
      </c>
      <c r="P6" s="122"/>
      <c r="Q6" s="7"/>
      <c r="R6" s="7"/>
      <c r="S6" s="31" t="str">
        <f>IF(R6/(INDEX('Standards for Conversions'!$H$34:$H$73,MATCH(Q$2,'Standards for Conversions'!$A$34:$A$73,0)))=0,"",R6/(INDEX('Standards for Conversions'!$H$34:$H$73,MATCH(Q$2,'Standards for Conversions'!$A$34:$A$73,0))))</f>
        <v/>
      </c>
      <c r="T6" s="122"/>
      <c r="U6" s="7"/>
      <c r="V6" s="7"/>
      <c r="W6" s="31" t="str">
        <f>IF(V6/(INDEX('Standards for Conversions'!$H$34:$H$73,MATCH(U$2,'Standards for Conversions'!$A$34:$A$73,0)))=0,"",V6/(INDEX('Standards for Conversions'!$H$34:$H$73,MATCH(U$2,'Standards for Conversions'!$A$34:$A$73,0))))</f>
        <v/>
      </c>
      <c r="X6" s="122"/>
      <c r="Y6" s="7"/>
      <c r="Z6" s="7"/>
      <c r="AA6" s="31" t="str">
        <f>IF(Z6/(INDEX('Standards for Conversions'!$H$34:$H$73,MATCH(Y$2,'Standards for Conversions'!$A$34:$A$73,0)))=0,"",Z6/(INDEX('Standards for Conversions'!$H$34:$H$73,MATCH(Y$2,'Standards for Conversions'!$A$34:$A$73,0))))</f>
        <v/>
      </c>
      <c r="AB6" s="7"/>
      <c r="AC6" s="7"/>
      <c r="AD6" s="31" t="str">
        <f>IF(AC6/(INDEX('Standards for Conversions'!$H$34:$H$73,MATCH(AB$2,'Standards for Conversions'!$A$34:$A$73,0)))=0,"",AC6/(INDEX('Standards for Conversions'!$H$34:$H$73,MATCH(AB$2,'Standards for Conversions'!$A$34:$A$73,0))))</f>
        <v/>
      </c>
      <c r="AE6" s="122"/>
      <c r="AF6" s="7"/>
      <c r="AG6" s="7"/>
      <c r="AH6" s="31" t="str">
        <f>IF(AG6/(INDEX('Standards for Conversions'!$H$34:$H$73,MATCH(AF$2,'Standards for Conversions'!$A$34:$A$73,0)))=0,"",AG6/(INDEX('Standards for Conversions'!$H$34:$H$73,MATCH(AF$2,'Standards for Conversions'!$A$34:$A$73,0))))</f>
        <v/>
      </c>
      <c r="AI6" s="122"/>
      <c r="AJ6" s="7"/>
      <c r="AK6" s="7"/>
      <c r="AL6" s="31" t="str">
        <f>IF(AK6/(INDEX('Standards for Conversions'!$H$34:$H$73,MATCH(AJ$2,'Standards for Conversions'!$A$34:$A$73,0)))=0,"",AK6/(INDEX('Standards for Conversions'!$H$34:$H$73,MATCH(AJ$2,'Standards for Conversions'!$A$34:$A$73,0))))</f>
        <v/>
      </c>
      <c r="AM6" s="7"/>
      <c r="AN6" s="7"/>
      <c r="AO6" s="31" t="str">
        <f>IF(AN6/(INDEX('Standards for Conversions'!$H$34:$H$73,MATCH(AM$2,'Standards for Conversions'!$A$34:$A$73,0)))=0,"",AN6/(INDEX('Standards for Conversions'!$H$34:$H$73,MATCH(AM$2,'Standards for Conversions'!$A$34:$A$73,0))))</f>
        <v/>
      </c>
      <c r="AP6" s="7"/>
      <c r="AQ6" s="7"/>
      <c r="AR6" s="31" t="str">
        <f>IF(AQ6/(INDEX('Standards for Conversions'!$H$34:$H$73,MATCH(AP$2,'Standards for Conversions'!$A$34:$A$73,0)))=0,"",AQ6/(INDEX('Standards for Conversions'!$H$34:$H$73,MATCH(AP$2,'Standards for Conversions'!$A$34:$A$73,0))))</f>
        <v/>
      </c>
      <c r="AS6" s="7"/>
      <c r="AT6" s="7"/>
      <c r="AU6" s="31" t="str">
        <f>IF(AT6/(INDEX('Standards for Conversions'!$H$34:$H$73,MATCH(AS$2,'Standards for Conversions'!$A$34:$A$73,0)))=0,"",AT6/(INDEX('Standards for Conversions'!$H$34:$H$73,MATCH(AS$2,'Standards for Conversions'!$A$34:$A$73,0))))</f>
        <v/>
      </c>
      <c r="AV6" s="7"/>
      <c r="AW6" s="7"/>
      <c r="AX6" s="31" t="str">
        <f>IF(AW6/(INDEX('Standards for Conversions'!$H$47:$H$73,MATCH(AV$2,'Standards for Conversions'!$A$47:$A$73,0)))=0,"",AW6/(INDEX('Standards for Conversions'!$H$47:$H$73,MATCH(AV$2,'Standards for Conversions'!$A$47:$A$73,0))))</f>
        <v/>
      </c>
      <c r="AY6" s="42"/>
      <c r="BB6" s="31" t="str">
        <f>IF(BA6/(INDEX('Standards for Conversions'!$H$47:$H$73,MATCH(AZ$2,'Standards for Conversions'!$A$47:$A$73,0)))=0,"",BA6/(INDEX('Standards for Conversions'!$H$47:$H$73,MATCH(AZ$2,'Standards for Conversions'!$A$47:$A$73,0))))</f>
        <v/>
      </c>
      <c r="BE6" s="31" t="str">
        <f>IF(BD6/(INDEX('Standards for Conversions'!$H$47:$H$73,MATCH(BC$2,'Standards for Conversions'!$A$47:$A$73,0)))=0,"",BD6/(INDEX('Standards for Conversions'!$H$47:$H$73,MATCH(BC$2,'Standards for Conversions'!$A$47:$A$73,0))))</f>
        <v/>
      </c>
      <c r="BF6" s="46"/>
      <c r="BI6" s="31" t="str">
        <f>IF(BH6/(INDEX('Standards for Conversions'!$H$47:$H$73,MATCH(BG$2,'Standards for Conversions'!$A$47:$A$73,0)))=0,"",BH6/(INDEX('Standards for Conversions'!$H$47:$H$73,MATCH(BG$2,'Standards for Conversions'!$A$47:$A$73,0))))</f>
        <v/>
      </c>
      <c r="BJ6" s="42"/>
      <c r="BM6" s="31" t="str">
        <f>IF(BL6/(INDEX('Standards for Conversions'!$H$47:$H$73,MATCH(BK$2,'Standards for Conversions'!$A$47:$A$73,0)))=0,"",BL6/(INDEX('Standards for Conversions'!$H$47:$H$73,MATCH(BK$2,'Standards for Conversions'!$A$47:$A$73,0))))</f>
        <v/>
      </c>
      <c r="BP6" s="31" t="str">
        <f>IF(BO6/(INDEX('Standards for Conversions'!$H$47:$H$73,MATCH(BN$2,'Standards for Conversions'!$A$47:$A$73,0)))=0,"",BO6/(INDEX('Standards for Conversions'!$H$47:$H$73,MATCH(BN$2,'Standards for Conversions'!$A$47:$A$73,0))))</f>
        <v/>
      </c>
      <c r="BQ6" s="46"/>
      <c r="BT6" s="31" t="str">
        <f>IF(BS6/(INDEX('Standards for Conversions'!$H$47:$H$73,MATCH(BR$2,'Standards for Conversions'!$A$47:$A$73,0)))=0,"",BS6/(INDEX('Standards for Conversions'!$H$47:$H$73,MATCH(BR$2,'Standards for Conversions'!$A$47:$A$73,0))))</f>
        <v/>
      </c>
      <c r="BU6" s="46"/>
      <c r="BV6" s="45"/>
      <c r="BW6" s="44"/>
      <c r="BX6" s="31" t="str">
        <f>IF(BW6/(INDEX('Standards for Conversions'!$H$47:$H$73,MATCH(BV$2,'Standards for Conversions'!$A$47:$A$73,0)))=0,"",BW6/(INDEX('Standards for Conversions'!$H$47:$H$73,MATCH(BV$2,'Standards for Conversions'!$A$47:$A$73,0))))</f>
        <v/>
      </c>
      <c r="BY6" s="45"/>
      <c r="BZ6" s="44"/>
      <c r="CA6" s="31" t="str">
        <f>IF(BZ6/(INDEX('Standards for Conversions'!$H$47:$H$73,MATCH(BY$2,'Standards for Conversions'!$A$47:$A$73,0)))=0,"",BZ6/(INDEX('Standards for Conversions'!$H$47:$H$73,MATCH(BY$2,'Standards for Conversions'!$A$47:$A$73,0))))</f>
        <v/>
      </c>
      <c r="CB6" s="45"/>
      <c r="CC6" s="44"/>
      <c r="CD6" s="31" t="str">
        <f>IF(CC6/(INDEX('Standards for Conversions'!$H$47:$H$73,MATCH(CB$2,'Standards for Conversions'!$A$47:$A$73,0)))=0,"",CC6/(INDEX('Standards for Conversions'!$H$47:$H$73,MATCH(CB$2,'Standards for Conversions'!$A$47:$A$73,0))))</f>
        <v/>
      </c>
      <c r="CE6" s="46"/>
      <c r="CF6" s="45"/>
      <c r="CG6" s="44"/>
      <c r="CH6" s="31" t="str">
        <f>IF(CG6/(INDEX('Standards for Conversions'!$H$47:$H$73,MATCH(CF$2,'Standards for Conversions'!$A$47:$A$73,0)))=0,"",CG6/(INDEX('Standards for Conversions'!$H$47:$H$73,MATCH(CF$2,'Standards for Conversions'!$A$47:$A$73,0))))</f>
        <v/>
      </c>
      <c r="CI6" s="45"/>
      <c r="CJ6" s="44"/>
      <c r="CK6" s="31" t="str">
        <f>IF(CJ6/(INDEX('Standards for Conversions'!$H$47:$H$73,MATCH(CI$2,'Standards for Conversions'!$A$47:$A$73,0)))=0,"",CJ6/(INDEX('Standards for Conversions'!$H$47:$H$73,MATCH(CI$2,'Standards for Conversions'!$A$47:$A$73,0))))</f>
        <v/>
      </c>
      <c r="CL6" s="45"/>
      <c r="CM6" s="44"/>
      <c r="CN6" s="31" t="str">
        <f>IF(CM6/(INDEX('Standards for Conversions'!$H$47:$H$73,MATCH(CL$2,'Standards for Conversions'!$A$47:$A$73,0)))=0,"",CM6/(INDEX('Standards for Conversions'!$H$47:$H$73,MATCH(CL$2,'Standards for Conversions'!$A$47:$A$73,0))))</f>
        <v/>
      </c>
      <c r="CO6" s="45"/>
      <c r="CP6" s="44"/>
      <c r="CQ6" s="31" t="str">
        <f>IF(CP6/(INDEX('Standards for Conversions'!$H$47:$H$73,MATCH(CO$2,'Standards for Conversions'!$A$47:$A$73,0)))=0,"",CP6/(INDEX('Standards for Conversions'!$H$47:$H$73,MATCH(CO$2,'Standards for Conversions'!$A$47:$A$73,0))))</f>
        <v/>
      </c>
      <c r="CR6" s="46"/>
      <c r="CS6" s="45"/>
      <c r="CT6" s="44"/>
      <c r="CU6" s="31" t="str">
        <f>IF(CT6/(INDEX('Standards for Conversions'!$H$47:$H$73,MATCH(CS$2,'Standards for Conversions'!$A$47:$A$73,0)))=0,"",CT6/(INDEX('Standards for Conversions'!$H$47:$H$73,MATCH(CS$2,'Standards for Conversions'!$A$47:$A$73,0))))</f>
        <v/>
      </c>
      <c r="CV6" s="45"/>
      <c r="CW6" s="44"/>
      <c r="CX6" s="31" t="str">
        <f>IF(CW6/(INDEX('Standards for Conversions'!$H$47:$H$73,MATCH(CV$2,'Standards for Conversions'!$A$47:$A$73,0)))=0,"",CW6/(INDEX('Standards for Conversions'!$H$47:$H$73,MATCH(CV$2,'Standards for Conversions'!$A$47:$A$73,0))))</f>
        <v/>
      </c>
      <c r="CY6" s="45"/>
      <c r="CZ6" s="44"/>
      <c r="DA6" s="31" t="str">
        <f>IF(CZ6/(INDEX('Standards for Conversions'!$H$47:$H$73,MATCH(CY$2,'Standards for Conversions'!$A$47:$A$73,0)))=0,"",CZ6/(INDEX('Standards for Conversions'!$H$47:$H$73,MATCH(CY$2,'Standards for Conversions'!$A$47:$A$73,0))))</f>
        <v/>
      </c>
      <c r="DB6" s="42"/>
      <c r="DC6" s="45"/>
      <c r="DD6" s="44"/>
      <c r="DE6" s="31" t="str">
        <f>IF(DD6/(INDEX('Standards for Conversions'!$H$47:$H$73,MATCH(DC$2,'Standards for Conversions'!$A$47:$A$73,0)))=0,"",DD6/(INDEX('Standards for Conversions'!$H$47:$H$73,MATCH(DC$2,'Standards for Conversions'!$A$47:$A$73,0))))</f>
        <v/>
      </c>
      <c r="DF6" s="42"/>
      <c r="DG6" s="45"/>
      <c r="DH6" s="44"/>
      <c r="DI6" s="43"/>
      <c r="DJ6" s="44"/>
      <c r="DK6" s="43"/>
      <c r="DL6" s="44"/>
      <c r="DR6" s="29" t="s">
        <v>18</v>
      </c>
      <c r="DS6" s="29">
        <v>37</v>
      </c>
      <c r="DT6" s="29">
        <v>22</v>
      </c>
      <c r="DU6" s="29">
        <v>201</v>
      </c>
      <c r="DV6" s="29">
        <v>113</v>
      </c>
    </row>
    <row r="7" spans="1:126" ht="15.6" hidden="1" x14ac:dyDescent="0.3">
      <c r="A7" s="29" t="s">
        <v>16</v>
      </c>
      <c r="B7" s="10" t="s">
        <v>40</v>
      </c>
      <c r="E7" s="31" t="str">
        <f>IF(D7/(INDEX('Standards for Conversions'!$H$34:$H$73,MATCH(C$2,'Standards for Conversions'!$A$34:$A$73,0)))=0,"",D7/(INDEX('Standards for Conversions'!$H$34:$H$73,MATCH(C$2,'Standards for Conversions'!$A$34:$A$73,0))))</f>
        <v/>
      </c>
      <c r="F7" s="7"/>
      <c r="G7" s="7"/>
      <c r="H7" s="31" t="str">
        <f>IF(G7/(INDEX('Standards for Conversions'!$H$34:$H$73,MATCH(F$2,'Standards for Conversions'!$A$34:$A$73,0)))=0,"",G7/(INDEX('Standards for Conversions'!$H$34:$H$73,MATCH(F$2,'Standards for Conversions'!$A$34:$A$73,0))))</f>
        <v/>
      </c>
      <c r="I7" s="10" t="s">
        <v>40</v>
      </c>
      <c r="J7" s="7"/>
      <c r="K7" s="7"/>
      <c r="L7" s="31" t="str">
        <f>IF(K7/(INDEX('Standards for Conversions'!$H$34:$H$73,MATCH(J$2,'Standards for Conversions'!$A$34:$A$73,0)))=0,"",K7/(INDEX('Standards for Conversions'!$H$34:$H$73,MATCH(J$2,'Standards for Conversions'!$A$34:$A$73,0))))</f>
        <v/>
      </c>
      <c r="M7" s="7"/>
      <c r="N7" s="7"/>
      <c r="O7" s="31" t="str">
        <f>IF(N7/(INDEX('Standards for Conversions'!$H$34:$H$73,MATCH(M$2,'Standards for Conversions'!$A$34:$A$73,0)))=0,"",N7/(INDEX('Standards for Conversions'!$H$34:$H$73,MATCH(M$2,'Standards for Conversions'!$A$34:$A$73,0))))</f>
        <v/>
      </c>
      <c r="P7" s="10" t="s">
        <v>40</v>
      </c>
      <c r="Q7" s="7"/>
      <c r="R7" s="7"/>
      <c r="S7" s="31" t="str">
        <f>IF(R7/(INDEX('Standards for Conversions'!$H$34:$H$73,MATCH(Q$2,'Standards for Conversions'!$A$34:$A$73,0)))=0,"",R7/(INDEX('Standards for Conversions'!$H$34:$H$73,MATCH(Q$2,'Standards for Conversions'!$A$34:$A$73,0))))</f>
        <v/>
      </c>
      <c r="T7" s="10" t="s">
        <v>40</v>
      </c>
      <c r="U7" s="7"/>
      <c r="V7" s="7"/>
      <c r="W7" s="31" t="str">
        <f>IF(V7/(INDEX('Standards for Conversions'!$H$34:$H$73,MATCH(U$2,'Standards for Conversions'!$A$34:$A$73,0)))=0,"",V7/(INDEX('Standards for Conversions'!$H$34:$H$73,MATCH(U$2,'Standards for Conversions'!$A$34:$A$73,0))))</f>
        <v/>
      </c>
      <c r="X7" s="10" t="s">
        <v>40</v>
      </c>
      <c r="Y7" s="7"/>
      <c r="Z7" s="7"/>
      <c r="AA7" s="31" t="str">
        <f>IF(Z7/(INDEX('Standards for Conversions'!$H$34:$H$73,MATCH(Y$2,'Standards for Conversions'!$A$34:$A$73,0)))=0,"",Z7/(INDEX('Standards for Conversions'!$H$34:$H$73,MATCH(Y$2,'Standards for Conversions'!$A$34:$A$73,0))))</f>
        <v/>
      </c>
      <c r="AB7" s="7"/>
      <c r="AC7" s="7"/>
      <c r="AD7" s="31" t="str">
        <f>IF(AC7/(INDEX('Standards for Conversions'!$H$34:$H$73,MATCH(AB$2,'Standards for Conversions'!$A$34:$A$73,0)))=0,"",AC7/(INDEX('Standards for Conversions'!$H$34:$H$73,MATCH(AB$2,'Standards for Conversions'!$A$34:$A$73,0))))</f>
        <v/>
      </c>
      <c r="AE7" s="10" t="s">
        <v>40</v>
      </c>
      <c r="AF7" s="7"/>
      <c r="AG7" s="7"/>
      <c r="AH7" s="31" t="str">
        <f>IF(AG7/(INDEX('Standards for Conversions'!$H$34:$H$73,MATCH(AF$2,'Standards for Conversions'!$A$34:$A$73,0)))=0,"",AG7/(INDEX('Standards for Conversions'!$H$34:$H$73,MATCH(AF$2,'Standards for Conversions'!$A$34:$A$73,0))))</f>
        <v/>
      </c>
      <c r="AI7" s="10" t="s">
        <v>40</v>
      </c>
      <c r="AJ7" s="7"/>
      <c r="AK7" s="7"/>
      <c r="AL7" s="31" t="str">
        <f>IF(AK7/(INDEX('Standards for Conversions'!$H$34:$H$73,MATCH(AJ$2,'Standards for Conversions'!$A$34:$A$73,0)))=0,"",AK7/(INDEX('Standards for Conversions'!$H$34:$H$73,MATCH(AJ$2,'Standards for Conversions'!$A$34:$A$73,0))))</f>
        <v/>
      </c>
      <c r="AM7" s="7"/>
      <c r="AN7" s="7"/>
      <c r="AO7" s="31" t="str">
        <f>IF(AN7/(INDEX('Standards for Conversions'!$H$34:$H$73,MATCH(AM$2,'Standards for Conversions'!$A$34:$A$73,0)))=0,"",AN7/(INDEX('Standards for Conversions'!$H$34:$H$73,MATCH(AM$2,'Standards for Conversions'!$A$34:$A$73,0))))</f>
        <v/>
      </c>
      <c r="AP7" s="7"/>
      <c r="AQ7" s="7"/>
      <c r="AR7" s="31" t="str">
        <f>IF(AQ7/(INDEX('Standards for Conversions'!$H$34:$H$73,MATCH(AP$2,'Standards for Conversions'!$A$34:$A$73,0)))=0,"",AQ7/(INDEX('Standards for Conversions'!$H$34:$H$73,MATCH(AP$2,'Standards for Conversions'!$A$34:$A$73,0))))</f>
        <v/>
      </c>
      <c r="AS7" s="7"/>
      <c r="AT7" s="7"/>
      <c r="AU7" s="31" t="str">
        <f>IF(AT7/(INDEX('Standards for Conversions'!$H$34:$H$73,MATCH(AS$2,'Standards for Conversions'!$A$34:$A$73,0)))=0,"",AT7/(INDEX('Standards for Conversions'!$H$34:$H$73,MATCH(AS$2,'Standards for Conversions'!$A$34:$A$73,0))))</f>
        <v/>
      </c>
      <c r="AV7" s="7"/>
      <c r="AW7" s="7"/>
      <c r="AX7" s="31" t="str">
        <f>IF(AW7/(INDEX('Standards for Conversions'!$H$47:$H$73,MATCH(AV$2,'Standards for Conversions'!$A$47:$A$73,0)))=0,"",AW7/(INDEX('Standards for Conversions'!$H$47:$H$73,MATCH(AV$2,'Standards for Conversions'!$A$47:$A$73,0))))</f>
        <v/>
      </c>
      <c r="AY7" s="47" t="s">
        <v>40</v>
      </c>
      <c r="AZ7" s="29">
        <v>4</v>
      </c>
      <c r="BA7" s="29">
        <v>250</v>
      </c>
      <c r="BB7" s="31">
        <f>IF(BA7/(INDEX('Standards for Conversions'!$H$47:$H$73,MATCH(AZ$2,'Standards for Conversions'!$A$47:$A$73,0)))=0,"",BA7/(INDEX('Standards for Conversions'!$H$47:$H$73,MATCH(AZ$2,'Standards for Conversions'!$A$47:$A$73,0))))</f>
        <v>36.311353053213992</v>
      </c>
      <c r="BC7" s="29">
        <v>5</v>
      </c>
      <c r="BD7" s="29">
        <v>300</v>
      </c>
      <c r="BE7" s="31">
        <f>IF(BD7/(INDEX('Standards for Conversions'!$H$47:$H$73,MATCH(BC$2,'Standards for Conversions'!$A$47:$A$73,0)))=0,"",BD7/(INDEX('Standards for Conversions'!$H$47:$H$73,MATCH(BC$2,'Standards for Conversions'!$A$47:$A$73,0))))</f>
        <v>43.38306845832971</v>
      </c>
      <c r="BF7" s="47" t="s">
        <v>40</v>
      </c>
      <c r="BG7" s="29">
        <v>100</v>
      </c>
      <c r="BH7" s="29">
        <v>10000</v>
      </c>
      <c r="BI7" s="31">
        <f>IF(BH7/(INDEX('Standards for Conversions'!$H$47:$H$73,MATCH(BG$2,'Standards for Conversions'!$A$47:$A$73,0)))=0,"",BH7/(INDEX('Standards for Conversions'!$H$47:$H$73,MATCH(BG$2,'Standards for Conversions'!$A$47:$A$73,0))))</f>
        <v>1617.6019669186869</v>
      </c>
      <c r="BJ7" s="47" t="s">
        <v>40</v>
      </c>
      <c r="BK7" s="29">
        <v>200</v>
      </c>
      <c r="BL7" s="29">
        <v>20000</v>
      </c>
      <c r="BM7" s="31">
        <f>IF(BL7/(INDEX('Standards for Conversions'!$H$47:$H$73,MATCH(BK$2,'Standards for Conversions'!$A$47:$A$73,0)))=0,"",BL7/(INDEX('Standards for Conversions'!$H$47:$H$73,MATCH(BK$2,'Standards for Conversions'!$A$47:$A$73,0))))</f>
        <v>3053.1178485559512</v>
      </c>
      <c r="BN7" s="29">
        <v>100</v>
      </c>
      <c r="BO7" s="29">
        <v>10000</v>
      </c>
      <c r="BP7" s="31">
        <f>IF(BO7/(INDEX('Standards for Conversions'!$H$47:$H$73,MATCH(BN$2,'Standards for Conversions'!$A$47:$A$73,0)))=0,"",BO7/(INDEX('Standards for Conversions'!$H$47:$H$73,MATCH(BN$2,'Standards for Conversions'!$A$47:$A$73,0))))</f>
        <v>1346.5901190579646</v>
      </c>
      <c r="BQ7" s="47" t="s">
        <v>40</v>
      </c>
      <c r="BR7" s="29">
        <v>150</v>
      </c>
      <c r="BS7" s="29">
        <v>15000</v>
      </c>
      <c r="BT7" s="31">
        <f>IF(BS7/(INDEX('Standards for Conversions'!$H$47:$H$73,MATCH(BR$2,'Standards for Conversions'!$A$47:$A$73,0)))=0,"",BS7/(INDEX('Standards for Conversions'!$H$47:$H$73,MATCH(BR$2,'Standards for Conversions'!$A$47:$A$73,0))))</f>
        <v>1824.2485009124878</v>
      </c>
      <c r="BU7" s="46"/>
      <c r="BV7" s="45"/>
      <c r="BW7" s="44"/>
      <c r="BX7" s="31" t="str">
        <f>IF(BW7/(INDEX('Standards for Conversions'!$H$47:$H$73,MATCH(BV$2,'Standards for Conversions'!$A$47:$A$73,0)))=0,"",BW7/(INDEX('Standards for Conversions'!$H$47:$H$73,MATCH(BV$2,'Standards for Conversions'!$A$47:$A$73,0))))</f>
        <v/>
      </c>
      <c r="BY7" s="45"/>
      <c r="BZ7" s="44"/>
      <c r="CA7" s="31" t="str">
        <f>IF(BZ7/(INDEX('Standards for Conversions'!$H$47:$H$73,MATCH(BY$2,'Standards for Conversions'!$A$47:$A$73,0)))=0,"",BZ7/(INDEX('Standards for Conversions'!$H$47:$H$73,MATCH(BY$2,'Standards for Conversions'!$A$47:$A$73,0))))</f>
        <v/>
      </c>
      <c r="CB7" s="45"/>
      <c r="CC7" s="44"/>
      <c r="CD7" s="31" t="str">
        <f>IF(CC7/(INDEX('Standards for Conversions'!$H$47:$H$73,MATCH(CB$2,'Standards for Conversions'!$A$47:$A$73,0)))=0,"",CC7/(INDEX('Standards for Conversions'!$H$47:$H$73,MATCH(CB$2,'Standards for Conversions'!$A$47:$A$73,0))))</f>
        <v/>
      </c>
      <c r="CE7" s="46"/>
      <c r="CF7" s="45"/>
      <c r="CG7" s="44"/>
      <c r="CH7" s="31" t="str">
        <f>IF(CG7/(INDEX('Standards for Conversions'!$H$47:$H$73,MATCH(CF$2,'Standards for Conversions'!$A$47:$A$73,0)))=0,"",CG7/(INDEX('Standards for Conversions'!$H$47:$H$73,MATCH(CF$2,'Standards for Conversions'!$A$47:$A$73,0))))</f>
        <v/>
      </c>
      <c r="CI7" s="45"/>
      <c r="CJ7" s="44"/>
      <c r="CK7" s="31" t="str">
        <f>IF(CJ7/(INDEX('Standards for Conversions'!$H$47:$H$73,MATCH(CI$2,'Standards for Conversions'!$A$47:$A$73,0)))=0,"",CJ7/(INDEX('Standards for Conversions'!$H$47:$H$73,MATCH(CI$2,'Standards for Conversions'!$A$47:$A$73,0))))</f>
        <v/>
      </c>
      <c r="CL7" s="45"/>
      <c r="CM7" s="44"/>
      <c r="CN7" s="31" t="str">
        <f>IF(CM7/(INDEX('Standards for Conversions'!$H$47:$H$73,MATCH(CL$2,'Standards for Conversions'!$A$47:$A$73,0)))=0,"",CM7/(INDEX('Standards for Conversions'!$H$47:$H$73,MATCH(CL$2,'Standards for Conversions'!$A$47:$A$73,0))))</f>
        <v/>
      </c>
      <c r="CO7" s="45"/>
      <c r="CP7" s="44"/>
      <c r="CQ7" s="31" t="str">
        <f>IF(CP7/(INDEX('Standards for Conversions'!$H$47:$H$73,MATCH(CO$2,'Standards for Conversions'!$A$47:$A$73,0)))=0,"",CP7/(INDEX('Standards for Conversions'!$H$47:$H$73,MATCH(CO$2,'Standards for Conversions'!$A$47:$A$73,0))))</f>
        <v/>
      </c>
      <c r="CR7" s="46"/>
      <c r="CS7" s="45"/>
      <c r="CT7" s="44"/>
      <c r="CU7" s="31" t="str">
        <f>IF(CT7/(INDEX('Standards for Conversions'!$H$47:$H$73,MATCH(CS$2,'Standards for Conversions'!$A$47:$A$73,0)))=0,"",CT7/(INDEX('Standards for Conversions'!$H$47:$H$73,MATCH(CS$2,'Standards for Conversions'!$A$47:$A$73,0))))</f>
        <v/>
      </c>
      <c r="CV7" s="45"/>
      <c r="CW7" s="44"/>
      <c r="CX7" s="31" t="str">
        <f>IF(CW7/(INDEX('Standards for Conversions'!$H$47:$H$73,MATCH(CV$2,'Standards for Conversions'!$A$47:$A$73,0)))=0,"",CW7/(INDEX('Standards for Conversions'!$H$47:$H$73,MATCH(CV$2,'Standards for Conversions'!$A$47:$A$73,0))))</f>
        <v/>
      </c>
      <c r="CY7" s="45"/>
      <c r="CZ7" s="44"/>
      <c r="DA7" s="31" t="str">
        <f>IF(CZ7/(INDEX('Standards for Conversions'!$H$47:$H$73,MATCH(CY$2,'Standards for Conversions'!$A$47:$A$73,0)))=0,"",CZ7/(INDEX('Standards for Conversions'!$H$47:$H$73,MATCH(CY$2,'Standards for Conversions'!$A$47:$A$73,0))))</f>
        <v/>
      </c>
      <c r="DB7" s="42"/>
      <c r="DC7" s="45"/>
      <c r="DD7" s="44"/>
      <c r="DE7" s="31" t="str">
        <f>IF(DD7/(INDEX('Standards for Conversions'!$H$47:$H$73,MATCH(DC$2,'Standards for Conversions'!$A$47:$A$73,0)))=0,"",DD7/(INDEX('Standards for Conversions'!$H$47:$H$73,MATCH(DC$2,'Standards for Conversions'!$A$47:$A$73,0))))</f>
        <v/>
      </c>
      <c r="DF7" s="42"/>
      <c r="DG7" s="45"/>
      <c r="DH7" s="44"/>
      <c r="DI7" s="43"/>
      <c r="DJ7" s="44"/>
      <c r="DK7" s="43"/>
      <c r="DL7" s="44"/>
      <c r="DR7" s="29" t="s">
        <v>18</v>
      </c>
      <c r="DS7" s="29">
        <v>766</v>
      </c>
      <c r="DT7" s="29">
        <v>1850</v>
      </c>
      <c r="DU7" s="29">
        <v>188</v>
      </c>
      <c r="DV7" s="29">
        <v>3423</v>
      </c>
    </row>
    <row r="8" spans="1:126" ht="15.6" hidden="1" x14ac:dyDescent="0.3">
      <c r="A8" s="29" t="s">
        <v>17</v>
      </c>
      <c r="B8" s="122"/>
      <c r="C8" s="122"/>
      <c r="D8" s="122"/>
      <c r="E8" s="31" t="str">
        <f>IF(D8/(INDEX('Standards for Conversions'!$H$34:$H$73,MATCH(C$2,'Standards for Conversions'!$A$34:$A$73,0)))=0,"",D8/(INDEX('Standards for Conversions'!$H$34:$H$73,MATCH(C$2,'Standards for Conversions'!$A$34:$A$73,0))))</f>
        <v/>
      </c>
      <c r="F8" s="7"/>
      <c r="G8" s="7"/>
      <c r="H8" s="31" t="str">
        <f>IF(G8/(INDEX('Standards for Conversions'!$H$34:$H$73,MATCH(F$2,'Standards for Conversions'!$A$34:$A$73,0)))=0,"",G8/(INDEX('Standards for Conversions'!$H$34:$H$73,MATCH(F$2,'Standards for Conversions'!$A$34:$A$73,0))))</f>
        <v/>
      </c>
      <c r="I8" s="122"/>
      <c r="J8" s="7"/>
      <c r="K8" s="7"/>
      <c r="L8" s="31" t="str">
        <f>IF(K8/(INDEX('Standards for Conversions'!$H$34:$H$73,MATCH(J$2,'Standards for Conversions'!$A$34:$A$73,0)))=0,"",K8/(INDEX('Standards for Conversions'!$H$34:$H$73,MATCH(J$2,'Standards for Conversions'!$A$34:$A$73,0))))</f>
        <v/>
      </c>
      <c r="M8" s="7"/>
      <c r="N8" s="7"/>
      <c r="O8" s="31" t="str">
        <f>IF(N8/(INDEX('Standards for Conversions'!$H$34:$H$73,MATCH(M$2,'Standards for Conversions'!$A$34:$A$73,0)))=0,"",N8/(INDEX('Standards for Conversions'!$H$34:$H$73,MATCH(M$2,'Standards for Conversions'!$A$34:$A$73,0))))</f>
        <v/>
      </c>
      <c r="P8" s="122"/>
      <c r="Q8" s="7"/>
      <c r="R8" s="7"/>
      <c r="S8" s="31" t="str">
        <f>IF(R8/(INDEX('Standards for Conversions'!$H$34:$H$73,MATCH(Q$2,'Standards for Conversions'!$A$34:$A$73,0)))=0,"",R8/(INDEX('Standards for Conversions'!$H$34:$H$73,MATCH(Q$2,'Standards for Conversions'!$A$34:$A$73,0))))</f>
        <v/>
      </c>
      <c r="T8" s="122"/>
      <c r="U8" s="7"/>
      <c r="V8" s="7"/>
      <c r="W8" s="31" t="str">
        <f>IF(V8/(INDEX('Standards for Conversions'!$H$34:$H$73,MATCH(U$2,'Standards for Conversions'!$A$34:$A$73,0)))=0,"",V8/(INDEX('Standards for Conversions'!$H$34:$H$73,MATCH(U$2,'Standards for Conversions'!$A$34:$A$73,0))))</f>
        <v/>
      </c>
      <c r="X8" s="122"/>
      <c r="Y8" s="7"/>
      <c r="Z8" s="7"/>
      <c r="AA8" s="31" t="str">
        <f>IF(Z8/(INDEX('Standards for Conversions'!$H$34:$H$73,MATCH(Y$2,'Standards for Conversions'!$A$34:$A$73,0)))=0,"",Z8/(INDEX('Standards for Conversions'!$H$34:$H$73,MATCH(Y$2,'Standards for Conversions'!$A$34:$A$73,0))))</f>
        <v/>
      </c>
      <c r="AB8" s="7"/>
      <c r="AC8" s="7"/>
      <c r="AD8" s="31" t="str">
        <f>IF(AC8/(INDEX('Standards for Conversions'!$H$34:$H$73,MATCH(AB$2,'Standards for Conversions'!$A$34:$A$73,0)))=0,"",AC8/(INDEX('Standards for Conversions'!$H$34:$H$73,MATCH(AB$2,'Standards for Conversions'!$A$34:$A$73,0))))</f>
        <v/>
      </c>
      <c r="AE8" s="122"/>
      <c r="AF8" s="7"/>
      <c r="AG8" s="7"/>
      <c r="AH8" s="31" t="str">
        <f>IF(AG8/(INDEX('Standards for Conversions'!$H$34:$H$73,MATCH(AF$2,'Standards for Conversions'!$A$34:$A$73,0)))=0,"",AG8/(INDEX('Standards for Conversions'!$H$34:$H$73,MATCH(AF$2,'Standards for Conversions'!$A$34:$A$73,0))))</f>
        <v/>
      </c>
      <c r="AI8" s="122"/>
      <c r="AJ8" s="7"/>
      <c r="AK8" s="7"/>
      <c r="AL8" s="31" t="str">
        <f>IF(AK8/(INDEX('Standards for Conversions'!$H$34:$H$73,MATCH(AJ$2,'Standards for Conversions'!$A$34:$A$73,0)))=0,"",AK8/(INDEX('Standards for Conversions'!$H$34:$H$73,MATCH(AJ$2,'Standards for Conversions'!$A$34:$A$73,0))))</f>
        <v/>
      </c>
      <c r="AM8" s="7"/>
      <c r="AN8" s="7"/>
      <c r="AO8" s="31" t="str">
        <f>IF(AN8/(INDEX('Standards for Conversions'!$H$34:$H$73,MATCH(AM$2,'Standards for Conversions'!$A$34:$A$73,0)))=0,"",AN8/(INDEX('Standards for Conversions'!$H$34:$H$73,MATCH(AM$2,'Standards for Conversions'!$A$34:$A$73,0))))</f>
        <v/>
      </c>
      <c r="AP8" s="7"/>
      <c r="AQ8" s="7"/>
      <c r="AR8" s="31" t="str">
        <f>IF(AQ8/(INDEX('Standards for Conversions'!$H$34:$H$73,MATCH(AP$2,'Standards for Conversions'!$A$34:$A$73,0)))=0,"",AQ8/(INDEX('Standards for Conversions'!$H$34:$H$73,MATCH(AP$2,'Standards for Conversions'!$A$34:$A$73,0))))</f>
        <v/>
      </c>
      <c r="AS8" s="7"/>
      <c r="AT8" s="7"/>
      <c r="AU8" s="31" t="str">
        <f>IF(AT8/(INDEX('Standards for Conversions'!$H$34:$H$73,MATCH(AS$2,'Standards for Conversions'!$A$34:$A$73,0)))=0,"",AT8/(INDEX('Standards for Conversions'!$H$34:$H$73,MATCH(AS$2,'Standards for Conversions'!$A$34:$A$73,0))))</f>
        <v/>
      </c>
      <c r="AV8" s="7"/>
      <c r="AW8" s="7"/>
      <c r="AX8" s="31" t="str">
        <f>IF(AW8/(INDEX('Standards for Conversions'!$H$47:$H$73,MATCH(AV$2,'Standards for Conversions'!$A$47:$A$73,0)))=0,"",AW8/(INDEX('Standards for Conversions'!$H$47:$H$73,MATCH(AV$2,'Standards for Conversions'!$A$47:$A$73,0))))</f>
        <v/>
      </c>
      <c r="AY8" s="42"/>
      <c r="BB8" s="31" t="str">
        <f>IF(BA8/(INDEX('Standards for Conversions'!$H$47:$H$73,MATCH(AZ$2,'Standards for Conversions'!$A$47:$A$73,0)))=0,"",BA8/(INDEX('Standards for Conversions'!$H$47:$H$73,MATCH(AZ$2,'Standards for Conversions'!$A$47:$A$73,0))))</f>
        <v/>
      </c>
      <c r="BE8" s="31" t="str">
        <f>IF(BD8/(INDEX('Standards for Conversions'!$H$47:$H$73,MATCH(BC$2,'Standards for Conversions'!$A$47:$A$73,0)))=0,"",BD8/(INDEX('Standards for Conversions'!$H$47:$H$73,MATCH(BC$2,'Standards for Conversions'!$A$47:$A$73,0))))</f>
        <v/>
      </c>
      <c r="BF8" s="46"/>
      <c r="BI8" s="31" t="str">
        <f>IF(BH8/(INDEX('Standards for Conversions'!$H$47:$H$73,MATCH(BG$2,'Standards for Conversions'!$A$47:$A$73,0)))=0,"",BH8/(INDEX('Standards for Conversions'!$H$47:$H$73,MATCH(BG$2,'Standards for Conversions'!$A$47:$A$73,0))))</f>
        <v/>
      </c>
      <c r="BJ8" s="42"/>
      <c r="BM8" s="31" t="str">
        <f>IF(BL8/(INDEX('Standards for Conversions'!$H$47:$H$73,MATCH(BK$2,'Standards for Conversions'!$A$47:$A$73,0)))=0,"",BL8/(INDEX('Standards for Conversions'!$H$47:$H$73,MATCH(BK$2,'Standards for Conversions'!$A$47:$A$73,0))))</f>
        <v/>
      </c>
      <c r="BP8" s="31" t="str">
        <f>IF(BO8/(INDEX('Standards for Conversions'!$H$47:$H$73,MATCH(BN$2,'Standards for Conversions'!$A$47:$A$73,0)))=0,"",BO8/(INDEX('Standards for Conversions'!$H$47:$H$73,MATCH(BN$2,'Standards for Conversions'!$A$47:$A$73,0))))</f>
        <v/>
      </c>
      <c r="BQ8" s="46"/>
      <c r="BT8" s="31" t="str">
        <f>IF(BS8/(INDEX('Standards for Conversions'!$H$47:$H$73,MATCH(BR$2,'Standards for Conversions'!$A$47:$A$73,0)))=0,"",BS8/(INDEX('Standards for Conversions'!$H$47:$H$73,MATCH(BR$2,'Standards for Conversions'!$A$47:$A$73,0))))</f>
        <v/>
      </c>
      <c r="BU8" s="46"/>
      <c r="BV8" s="45"/>
      <c r="BW8" s="44"/>
      <c r="BX8" s="31" t="str">
        <f>IF(BW8/(INDEX('Standards for Conversions'!$H$47:$H$73,MATCH(BV$2,'Standards for Conversions'!$A$47:$A$73,0)))=0,"",BW8/(INDEX('Standards for Conversions'!$H$47:$H$73,MATCH(BV$2,'Standards for Conversions'!$A$47:$A$73,0))))</f>
        <v/>
      </c>
      <c r="BY8" s="45"/>
      <c r="BZ8" s="44"/>
      <c r="CA8" s="31" t="str">
        <f>IF(BZ8/(INDEX('Standards for Conversions'!$H$47:$H$73,MATCH(BY$2,'Standards for Conversions'!$A$47:$A$73,0)))=0,"",BZ8/(INDEX('Standards for Conversions'!$H$47:$H$73,MATCH(BY$2,'Standards for Conversions'!$A$47:$A$73,0))))</f>
        <v/>
      </c>
      <c r="CB8" s="45"/>
      <c r="CC8" s="44"/>
      <c r="CD8" s="31" t="str">
        <f>IF(CC8/(INDEX('Standards for Conversions'!$H$47:$H$73,MATCH(CB$2,'Standards for Conversions'!$A$47:$A$73,0)))=0,"",CC8/(INDEX('Standards for Conversions'!$H$47:$H$73,MATCH(CB$2,'Standards for Conversions'!$A$47:$A$73,0))))</f>
        <v/>
      </c>
      <c r="CE8" s="46"/>
      <c r="CF8" s="45"/>
      <c r="CG8" s="44"/>
      <c r="CH8" s="31" t="str">
        <f>IF(CG8/(INDEX('Standards for Conversions'!$H$47:$H$73,MATCH(CF$2,'Standards for Conversions'!$A$47:$A$73,0)))=0,"",CG8/(INDEX('Standards for Conversions'!$H$47:$H$73,MATCH(CF$2,'Standards for Conversions'!$A$47:$A$73,0))))</f>
        <v/>
      </c>
      <c r="CI8" s="45"/>
      <c r="CJ8" s="44"/>
      <c r="CK8" s="31" t="str">
        <f>IF(CJ8/(INDEX('Standards for Conversions'!$H$47:$H$73,MATCH(CI$2,'Standards for Conversions'!$A$47:$A$73,0)))=0,"",CJ8/(INDEX('Standards for Conversions'!$H$47:$H$73,MATCH(CI$2,'Standards for Conversions'!$A$47:$A$73,0))))</f>
        <v/>
      </c>
      <c r="CL8" s="45"/>
      <c r="CM8" s="44"/>
      <c r="CN8" s="31" t="str">
        <f>IF(CM8/(INDEX('Standards for Conversions'!$H$47:$H$73,MATCH(CL$2,'Standards for Conversions'!$A$47:$A$73,0)))=0,"",CM8/(INDEX('Standards for Conversions'!$H$47:$H$73,MATCH(CL$2,'Standards for Conversions'!$A$47:$A$73,0))))</f>
        <v/>
      </c>
      <c r="CO8" s="45"/>
      <c r="CP8" s="44"/>
      <c r="CQ8" s="31" t="str">
        <f>IF(CP8/(INDEX('Standards for Conversions'!$H$47:$H$73,MATCH(CO$2,'Standards for Conversions'!$A$47:$A$73,0)))=0,"",CP8/(INDEX('Standards for Conversions'!$H$47:$H$73,MATCH(CO$2,'Standards for Conversions'!$A$47:$A$73,0))))</f>
        <v/>
      </c>
      <c r="CR8" s="46"/>
      <c r="CS8" s="45"/>
      <c r="CT8" s="44"/>
      <c r="CU8" s="31" t="str">
        <f>IF(CT8/(INDEX('Standards for Conversions'!$H$47:$H$73,MATCH(CS$2,'Standards for Conversions'!$A$47:$A$73,0)))=0,"",CT8/(INDEX('Standards for Conversions'!$H$47:$H$73,MATCH(CS$2,'Standards for Conversions'!$A$47:$A$73,0))))</f>
        <v/>
      </c>
      <c r="CV8" s="45"/>
      <c r="CW8" s="44"/>
      <c r="CX8" s="31" t="str">
        <f>IF(CW8/(INDEX('Standards for Conversions'!$H$47:$H$73,MATCH(CV$2,'Standards for Conversions'!$A$47:$A$73,0)))=0,"",CW8/(INDEX('Standards for Conversions'!$H$47:$H$73,MATCH(CV$2,'Standards for Conversions'!$A$47:$A$73,0))))</f>
        <v/>
      </c>
      <c r="CY8" s="45"/>
      <c r="CZ8" s="44"/>
      <c r="DA8" s="31" t="str">
        <f>IF(CZ8/(INDEX('Standards for Conversions'!$H$47:$H$73,MATCH(CY$2,'Standards for Conversions'!$A$47:$A$73,0)))=0,"",CZ8/(INDEX('Standards for Conversions'!$H$47:$H$73,MATCH(CY$2,'Standards for Conversions'!$A$47:$A$73,0))))</f>
        <v/>
      </c>
      <c r="DB8" s="42"/>
      <c r="DC8" s="45"/>
      <c r="DD8" s="44"/>
      <c r="DE8" s="31" t="str">
        <f>IF(DD8/(INDEX('Standards for Conversions'!$H$47:$H$73,MATCH(DC$2,'Standards for Conversions'!$A$47:$A$73,0)))=0,"",DD8/(INDEX('Standards for Conversions'!$H$47:$H$73,MATCH(DC$2,'Standards for Conversions'!$A$47:$A$73,0))))</f>
        <v/>
      </c>
      <c r="DF8" s="42"/>
      <c r="DG8" s="45"/>
      <c r="DH8" s="44"/>
      <c r="DI8" s="43"/>
      <c r="DJ8" s="44"/>
      <c r="DK8" s="43"/>
      <c r="DL8" s="44"/>
      <c r="DR8" s="29" t="s">
        <v>18</v>
      </c>
      <c r="DS8" s="29">
        <v>191500</v>
      </c>
      <c r="DT8" s="29">
        <v>732</v>
      </c>
      <c r="DU8" s="29">
        <v>195000</v>
      </c>
      <c r="DV8" s="29">
        <v>878</v>
      </c>
    </row>
    <row r="9" spans="1:126" ht="15.6" x14ac:dyDescent="0.3">
      <c r="A9" s="19" t="s">
        <v>37</v>
      </c>
      <c r="B9" s="10" t="s">
        <v>374</v>
      </c>
      <c r="E9" s="31" t="str">
        <f>IF(D9/(INDEX('Standards for Conversions'!$H$34:$H$73,MATCH(C$2,'Standards for Conversions'!$A$34:$A$73,0)))=0,"",D9/(INDEX('Standards for Conversions'!$H$34:$H$73,MATCH(C$2,'Standards for Conversions'!$A$34:$A$73,0))))</f>
        <v/>
      </c>
      <c r="F9" s="7"/>
      <c r="G9" s="7"/>
      <c r="H9" s="31" t="str">
        <f>IF(G9/(INDEX('Standards for Conversions'!$H$34:$H$73,MATCH(F$2,'Standards for Conversions'!$A$34:$A$73,0)))=0,"",G9/(INDEX('Standards for Conversions'!$H$34:$H$73,MATCH(F$2,'Standards for Conversions'!$A$34:$A$73,0))))</f>
        <v/>
      </c>
      <c r="I9" s="10" t="s">
        <v>374</v>
      </c>
      <c r="J9" s="7"/>
      <c r="K9" s="7"/>
      <c r="L9" s="31" t="str">
        <f>IF(K9/(INDEX('Standards for Conversions'!$H$34:$H$73,MATCH(J$2,'Standards for Conversions'!$A$34:$A$73,0)))=0,"",K9/(INDEX('Standards for Conversions'!$H$34:$H$73,MATCH(J$2,'Standards for Conversions'!$A$34:$A$73,0))))</f>
        <v/>
      </c>
      <c r="M9" s="7"/>
      <c r="N9" s="7"/>
      <c r="O9" s="31" t="str">
        <f>IF(N9/(INDEX('Standards for Conversions'!$H$34:$H$73,MATCH(M$2,'Standards for Conversions'!$A$34:$A$73,0)))=0,"",N9/(INDEX('Standards for Conversions'!$H$34:$H$73,MATCH(M$2,'Standards for Conversions'!$A$34:$A$73,0))))</f>
        <v/>
      </c>
      <c r="P9" s="6" t="s">
        <v>374</v>
      </c>
      <c r="Q9" s="7">
        <v>100</v>
      </c>
      <c r="R9" s="7">
        <v>2000</v>
      </c>
      <c r="S9" s="31">
        <f>IF(R9/(INDEX('Standards for Conversions'!$H$34:$H$73,MATCH(Q$2,'Standards for Conversions'!$A$34:$A$73,0)))=0,"",R9/(INDEX('Standards for Conversions'!$H$34:$H$73,MATCH(Q$2,'Standards for Conversions'!$A$34:$A$73,0))))</f>
        <v>356.12650632948055</v>
      </c>
      <c r="T9" s="10" t="s">
        <v>399</v>
      </c>
      <c r="U9" s="7">
        <f>2.23*8000</f>
        <v>17840</v>
      </c>
      <c r="V9" s="7">
        <v>35000</v>
      </c>
      <c r="W9" s="31">
        <f>IF(V9/(INDEX('Standards for Conversions'!$H$34:$H$73,MATCH(U$2,'Standards for Conversions'!$A$34:$A$73,0)))=0,"",V9/(INDEX('Standards for Conversions'!$H$34:$H$73,MATCH(U$2,'Standards for Conversions'!$A$34:$A$73,0))))</f>
        <v>6076.5937762521362</v>
      </c>
      <c r="X9" s="10" t="s">
        <v>98</v>
      </c>
      <c r="Y9" s="7">
        <f>1.5*3000</f>
        <v>4500</v>
      </c>
      <c r="Z9" s="7">
        <v>10500</v>
      </c>
      <c r="AA9" s="31">
        <f>IF(Z9/(INDEX('Standards for Conversions'!$H$34:$H$73,MATCH(Y$2,'Standards for Conversions'!$A$34:$A$73,0)))=0,"",Z9/(INDEX('Standards for Conversions'!$H$34:$H$73,MATCH(Y$2,'Standards for Conversions'!$A$34:$A$73,0))))</f>
        <v>1858.5484379073607</v>
      </c>
      <c r="AB9" s="7">
        <f>1.5*2000</f>
        <v>3000</v>
      </c>
      <c r="AC9" s="7">
        <v>6000</v>
      </c>
      <c r="AD9" s="31">
        <f>IF(AC9/(INDEX('Standards for Conversions'!$H$34:$H$73,MATCH(AB$2,'Standards for Conversions'!$A$34:$A$73,0)))=0,"",AC9/(INDEX('Standards for Conversions'!$H$34:$H$73,MATCH(AB$2,'Standards for Conversions'!$A$34:$A$73,0))))</f>
        <v>1050.5943664725819</v>
      </c>
      <c r="AE9" s="10" t="s">
        <v>98</v>
      </c>
      <c r="AF9" s="7">
        <f>1.5*300</f>
        <v>450</v>
      </c>
      <c r="AG9" s="7">
        <v>800</v>
      </c>
      <c r="AH9" s="31">
        <f>IF(AG9/(INDEX('Standards for Conversions'!$H$34:$H$73,MATCH(AF$2,'Standards for Conversions'!$A$34:$A$73,0)))=0,"",AG9/(INDEX('Standards for Conversions'!$H$34:$H$73,MATCH(AF$2,'Standards for Conversions'!$A$34:$A$73,0))))</f>
        <v>139.90986645809795</v>
      </c>
      <c r="AI9" s="10" t="s">
        <v>98</v>
      </c>
      <c r="AJ9" s="7">
        <f>1.5*55000</f>
        <v>82500</v>
      </c>
      <c r="AK9" s="7">
        <v>186900</v>
      </c>
      <c r="AL9" s="31">
        <f>IF(AK9/(INDEX('Standards for Conversions'!$H$34:$H$73,MATCH(AJ$2,'Standards for Conversions'!$A$34:$A$73,0)))=0,"",AK9/(INDEX('Standards for Conversions'!$H$34:$H$73,MATCH(AJ$2,'Standards for Conversions'!$A$34:$A$73,0))))</f>
        <v>32013.719157360731</v>
      </c>
      <c r="AM9" s="7">
        <f>1.5*50000</f>
        <v>75000</v>
      </c>
      <c r="AN9" s="7">
        <v>180000</v>
      </c>
      <c r="AO9" s="31">
        <f>IF(AN9/(INDEX('Standards for Conversions'!$H$34:$H$73,MATCH(AM$2,'Standards for Conversions'!$A$34:$A$73,0)))=0,"",AN9/(INDEX('Standards for Conversions'!$H$34:$H$73,MATCH(AM$2,'Standards for Conversions'!$A$34:$A$73,0))))</f>
        <v>30869.943295385412</v>
      </c>
      <c r="AP9" s="7">
        <f>1.5*50000</f>
        <v>75000</v>
      </c>
      <c r="AQ9" s="7">
        <v>200000</v>
      </c>
      <c r="AR9" s="31">
        <f>IF(AQ9/(INDEX('Standards for Conversions'!$H$34:$H$73,MATCH(AP$2,'Standards for Conversions'!$A$34:$A$73,0)))=0,"",AQ9/(INDEX('Standards for Conversions'!$H$34:$H$73,MATCH(AP$2,'Standards for Conversions'!$A$34:$A$73,0))))</f>
        <v>32902.532154340835</v>
      </c>
      <c r="AS9" s="7">
        <f>1.5*48000</f>
        <v>72000</v>
      </c>
      <c r="AT9" s="7">
        <v>180000</v>
      </c>
      <c r="AU9" s="31">
        <f>IF(AT9/(INDEX('Standards for Conversions'!$H$34:$H$73,MATCH(AS$2,'Standards for Conversions'!$A$34:$A$73,0)))=0,"",AT9/(INDEX('Standards for Conversions'!$H$34:$H$73,MATCH(AS$2,'Standards for Conversions'!$A$34:$A$73,0))))</f>
        <v>27668.615842530635</v>
      </c>
      <c r="AV9" s="7">
        <f>1.5*40000</f>
        <v>60000</v>
      </c>
      <c r="AW9" s="7">
        <v>150000</v>
      </c>
      <c r="AX9" s="31">
        <f>IF(AW9/(INDEX('Standards for Conversions'!$H$47:$H$73,MATCH(AV$2,'Standards for Conversions'!$A$47:$A$73,0)))=0,"",AW9/(INDEX('Standards for Conversions'!$H$47:$H$73,MATCH(AV$2,'Standards for Conversions'!$A$47:$A$73,0))))</f>
        <v>22707.82865864256</v>
      </c>
      <c r="AY9" s="33" t="s">
        <v>98</v>
      </c>
      <c r="AZ9" s="29">
        <v>37500</v>
      </c>
      <c r="BA9" s="29">
        <v>90000</v>
      </c>
      <c r="BB9" s="31">
        <f>IF(BA9/(INDEX('Standards for Conversions'!$H$47:$H$73,MATCH(AZ$2,'Standards for Conversions'!$A$47:$A$73,0)))=0,"",BA9/(INDEX('Standards for Conversions'!$H$47:$H$73,MATCH(AZ$2,'Standards for Conversions'!$A$47:$A$73,0))))</f>
        <v>13072.087099157035</v>
      </c>
      <c r="BC9" s="29">
        <v>22500</v>
      </c>
      <c r="BD9" s="29">
        <v>60000</v>
      </c>
      <c r="BE9" s="31">
        <f>IF(BD9/(INDEX('Standards for Conversions'!$H$47:$H$73,MATCH(BC$2,'Standards for Conversions'!$A$47:$A$73,0)))=0,"",BD9/(INDEX('Standards for Conversions'!$H$47:$H$73,MATCH(BC$2,'Standards for Conversions'!$A$47:$A$73,0))))</f>
        <v>8676.6136916659416</v>
      </c>
      <c r="BF9" s="33" t="s">
        <v>98</v>
      </c>
      <c r="BG9" s="29">
        <v>27000</v>
      </c>
      <c r="BH9" s="29">
        <v>70000</v>
      </c>
      <c r="BI9" s="31">
        <f>IF(BH9/(INDEX('Standards for Conversions'!$H$47:$H$73,MATCH(BG$2,'Standards for Conversions'!$A$47:$A$73,0)))=0,"",BH9/(INDEX('Standards for Conversions'!$H$47:$H$73,MATCH(BG$2,'Standards for Conversions'!$A$47:$A$73,0))))</f>
        <v>11323.213768430809</v>
      </c>
      <c r="BJ9" s="33" t="s">
        <v>98</v>
      </c>
      <c r="BK9" s="29">
        <v>15000</v>
      </c>
      <c r="BL9" s="29">
        <v>45000</v>
      </c>
      <c r="BM9" s="31">
        <f>IF(BL9/(INDEX('Standards for Conversions'!$H$47:$H$73,MATCH(BK$2,'Standards for Conversions'!$A$47:$A$73,0)))=0,"",BL9/(INDEX('Standards for Conversions'!$H$47:$H$73,MATCH(BK$2,'Standards for Conversions'!$A$47:$A$73,0))))</f>
        <v>6869.5151592508901</v>
      </c>
      <c r="BN9" s="29">
        <v>12000</v>
      </c>
      <c r="BO9" s="29">
        <v>40000</v>
      </c>
      <c r="BP9" s="31">
        <f>IF(BO9/(INDEX('Standards for Conversions'!$H$47:$H$73,MATCH(BN$2,'Standards for Conversions'!$A$47:$A$73,0)))=0,"",BO9/(INDEX('Standards for Conversions'!$H$47:$H$73,MATCH(BN$2,'Standards for Conversions'!$A$47:$A$73,0))))</f>
        <v>5386.3604762318582</v>
      </c>
      <c r="BQ9" s="33" t="s">
        <v>98</v>
      </c>
      <c r="BR9" s="29">
        <v>9000</v>
      </c>
      <c r="BS9" s="29">
        <v>30000</v>
      </c>
      <c r="BT9" s="31">
        <f>IF(BS9/(INDEX('Standards for Conversions'!$H$47:$H$73,MATCH(BR$2,'Standards for Conversions'!$A$47:$A$73,0)))=0,"",BS9/(INDEX('Standards for Conversions'!$H$47:$H$73,MATCH(BR$2,'Standards for Conversions'!$A$47:$A$73,0))))</f>
        <v>3648.4970018249755</v>
      </c>
      <c r="BU9" s="33" t="s">
        <v>98</v>
      </c>
      <c r="BV9" s="7">
        <f>5000*1.5</f>
        <v>7500</v>
      </c>
      <c r="BW9" s="7">
        <v>28000</v>
      </c>
      <c r="BX9" s="31">
        <f>IF(BW9/(INDEX('Standards for Conversions'!$H$47:$H$73,MATCH(BV$2,'Standards for Conversions'!$A$47:$A$73,0)))=0,"",BW9/(INDEX('Standards for Conversions'!$H$47:$H$73,MATCH(BV$2,'Standards for Conversions'!$A$47:$A$73,0))))</f>
        <v>2744.8418716143792</v>
      </c>
      <c r="BY9" s="45"/>
      <c r="BZ9" s="44"/>
      <c r="CA9" s="31" t="str">
        <f>IF(BZ9/(INDEX('Standards for Conversions'!$H$47:$H$73,MATCH(BY$2,'Standards for Conversions'!$A$47:$A$73,0)))=0,"",BZ9/(INDEX('Standards for Conversions'!$H$47:$H$73,MATCH(BY$2,'Standards for Conversions'!$A$47:$A$73,0))))</f>
        <v/>
      </c>
      <c r="CB9" s="45"/>
      <c r="CC9" s="44"/>
      <c r="CD9" s="31" t="str">
        <f>IF(CC9/(INDEX('Standards for Conversions'!$H$47:$H$73,MATCH(CB$2,'Standards for Conversions'!$A$47:$A$73,0)))=0,"",CC9/(INDEX('Standards for Conversions'!$H$47:$H$73,MATCH(CB$2,'Standards for Conversions'!$A$47:$A$73,0))))</f>
        <v/>
      </c>
      <c r="CE9" s="46"/>
      <c r="CF9" s="45"/>
      <c r="CG9" s="44"/>
      <c r="CH9" s="31" t="str">
        <f>IF(CG9/(INDEX('Standards for Conversions'!$H$47:$H$73,MATCH(CF$2,'Standards for Conversions'!$A$47:$A$73,0)))=0,"",CG9/(INDEX('Standards for Conversions'!$H$47:$H$73,MATCH(CF$2,'Standards for Conversions'!$A$47:$A$73,0))))</f>
        <v/>
      </c>
      <c r="CI9" s="45"/>
      <c r="CJ9" s="44"/>
      <c r="CK9" s="31" t="str">
        <f>IF(CJ9/(INDEX('Standards for Conversions'!$H$47:$H$73,MATCH(CI$2,'Standards for Conversions'!$A$47:$A$73,0)))=0,"",CJ9/(INDEX('Standards for Conversions'!$H$47:$H$73,MATCH(CI$2,'Standards for Conversions'!$A$47:$A$73,0))))</f>
        <v/>
      </c>
      <c r="CL9" s="45"/>
      <c r="CM9" s="44"/>
      <c r="CN9" s="31" t="str">
        <f>IF(CM9/(INDEX('Standards for Conversions'!$H$47:$H$73,MATCH(CL$2,'Standards for Conversions'!$A$47:$A$73,0)))=0,"",CM9/(INDEX('Standards for Conversions'!$H$47:$H$73,MATCH(CL$2,'Standards for Conversions'!$A$47:$A$73,0))))</f>
        <v/>
      </c>
      <c r="CO9" s="45"/>
      <c r="CP9" s="44"/>
      <c r="CQ9" s="31" t="str">
        <f>IF(CP9/(INDEX('Standards for Conversions'!$H$47:$H$73,MATCH(CO$2,'Standards for Conversions'!$A$47:$A$73,0)))=0,"",CP9/(INDEX('Standards for Conversions'!$H$47:$H$73,MATCH(CO$2,'Standards for Conversions'!$A$47:$A$73,0))))</f>
        <v/>
      </c>
      <c r="CR9" s="46"/>
      <c r="CS9" s="45"/>
      <c r="CT9" s="44"/>
      <c r="CU9" s="31" t="str">
        <f>IF(CT9/(INDEX('Standards for Conversions'!$H$47:$H$73,MATCH(CS$2,'Standards for Conversions'!$A$47:$A$73,0)))=0,"",CT9/(INDEX('Standards for Conversions'!$H$47:$H$73,MATCH(CS$2,'Standards for Conversions'!$A$47:$A$73,0))))</f>
        <v/>
      </c>
      <c r="CV9" s="45"/>
      <c r="CW9" s="44"/>
      <c r="CX9" s="31" t="str">
        <f>IF(CW9/(INDEX('Standards for Conversions'!$H$47:$H$73,MATCH(CV$2,'Standards for Conversions'!$A$47:$A$73,0)))=0,"",CW9/(INDEX('Standards for Conversions'!$H$47:$H$73,MATCH(CV$2,'Standards for Conversions'!$A$47:$A$73,0))))</f>
        <v/>
      </c>
      <c r="CY9" s="45"/>
      <c r="CZ9" s="44"/>
      <c r="DA9" s="31" t="str">
        <f>IF(CZ9/(INDEX('Standards for Conversions'!$H$47:$H$73,MATCH(CY$2,'Standards for Conversions'!$A$47:$A$73,0)))=0,"",CZ9/(INDEX('Standards for Conversions'!$H$47:$H$73,MATCH(CY$2,'Standards for Conversions'!$A$47:$A$73,0))))</f>
        <v/>
      </c>
      <c r="DB9" s="42"/>
      <c r="DC9" s="45"/>
      <c r="DD9" s="44"/>
      <c r="DE9" s="31" t="str">
        <f>IF(DD9/(INDEX('Standards for Conversions'!$H$47:$H$73,MATCH(DC$2,'Standards for Conversions'!$A$47:$A$73,0)))=0,"",DD9/(INDEX('Standards for Conversions'!$H$47:$H$73,MATCH(DC$2,'Standards for Conversions'!$A$47:$A$73,0))))</f>
        <v/>
      </c>
      <c r="DF9" s="42"/>
      <c r="DG9" s="45"/>
      <c r="DH9" s="44"/>
      <c r="DI9" s="43"/>
      <c r="DJ9" s="44"/>
      <c r="DK9" s="43"/>
      <c r="DL9" s="44"/>
      <c r="DR9" s="29" t="s">
        <v>98</v>
      </c>
      <c r="DS9" s="29">
        <f>(6)*20</f>
        <v>120</v>
      </c>
      <c r="DT9" s="29">
        <v>54</v>
      </c>
    </row>
    <row r="10" spans="1:126" ht="15.6" x14ac:dyDescent="0.3">
      <c r="A10" s="19" t="s">
        <v>68</v>
      </c>
      <c r="B10" s="10" t="s">
        <v>374</v>
      </c>
      <c r="C10" s="10">
        <v>600</v>
      </c>
      <c r="D10" s="10">
        <v>13000</v>
      </c>
      <c r="E10" s="31">
        <f>IF(D10/(INDEX('Standards for Conversions'!$H$34:$H$73,MATCH(C$2,'Standards for Conversions'!$A$34:$A$73,0)))=0,"",D10/(INDEX('Standards for Conversions'!$H$34:$H$73,MATCH(C$2,'Standards for Conversions'!$A$34:$A$73,0))))</f>
        <v>2568.0489864864862</v>
      </c>
      <c r="F10" s="7">
        <v>1200</v>
      </c>
      <c r="G10" s="7">
        <v>20000</v>
      </c>
      <c r="H10" s="31">
        <f>IF(G10/(INDEX('Standards for Conversions'!$H$34:$H$73,MATCH(F$2,'Standards for Conversions'!$A$34:$A$73,0)))=0,"",G10/(INDEX('Standards for Conversions'!$H$34:$H$73,MATCH(F$2,'Standards for Conversions'!$A$34:$A$73,0))))</f>
        <v>3853.4497117696469</v>
      </c>
      <c r="I10" s="10" t="s">
        <v>374</v>
      </c>
      <c r="J10" s="7">
        <v>1500</v>
      </c>
      <c r="K10" s="7">
        <v>22000</v>
      </c>
      <c r="L10" s="31">
        <f>IF(K10/(INDEX('Standards for Conversions'!$H$34:$H$73,MATCH(J$2,'Standards for Conversions'!$A$34:$A$73,0)))=0,"",K10/(INDEX('Standards for Conversions'!$H$34:$H$73,MATCH(J$2,'Standards for Conversions'!$A$34:$A$73,0))))</f>
        <v>3931.3656180296048</v>
      </c>
      <c r="M10" s="7">
        <v>3000</v>
      </c>
      <c r="N10" s="7">
        <v>70000</v>
      </c>
      <c r="O10" s="31">
        <f>IF(N10/(INDEX('Standards for Conversions'!$H$34:$H$73,MATCH(M$2,'Standards for Conversions'!$A$34:$A$73,0)))=0,"",N10/(INDEX('Standards for Conversions'!$H$34:$H$73,MATCH(M$2,'Standards for Conversions'!$A$34:$A$73,0))))</f>
        <v>12997.982297007618</v>
      </c>
      <c r="P10" s="10" t="s">
        <v>374</v>
      </c>
      <c r="Q10" s="7">
        <v>300</v>
      </c>
      <c r="R10" s="7">
        <v>7500</v>
      </c>
      <c r="S10" s="31">
        <f>IF(R10/(INDEX('Standards for Conversions'!$H$34:$H$73,MATCH(Q$2,'Standards for Conversions'!$A$34:$A$73,0)))=0,"",R10/(INDEX('Standards for Conversions'!$H$34:$H$73,MATCH(Q$2,'Standards for Conversions'!$A$34:$A$73,0))))</f>
        <v>1335.4743987355521</v>
      </c>
      <c r="T10" s="6" t="s">
        <v>374</v>
      </c>
      <c r="U10" s="7">
        <f>400</f>
        <v>400</v>
      </c>
      <c r="V10" s="7">
        <v>11000</v>
      </c>
      <c r="W10" s="31">
        <f>IF(V10/(INDEX('Standards for Conversions'!$H$34:$H$73,MATCH(U$2,'Standards for Conversions'!$A$34:$A$73,0)))=0,"",V10/(INDEX('Standards for Conversions'!$H$34:$H$73,MATCH(U$2,'Standards for Conversions'!$A$34:$A$73,0))))</f>
        <v>1909.7866153935286</v>
      </c>
      <c r="X10" s="10" t="s">
        <v>98</v>
      </c>
      <c r="Y10" s="7">
        <f>1.75*1000</f>
        <v>1750</v>
      </c>
      <c r="Z10" s="7">
        <v>3500</v>
      </c>
      <c r="AA10" s="31">
        <f>IF(Z10/(INDEX('Standards for Conversions'!$H$34:$H$73,MATCH(Y$2,'Standards for Conversions'!$A$34:$A$73,0)))=0,"",Z10/(INDEX('Standards for Conversions'!$H$34:$H$73,MATCH(Y$2,'Standards for Conversions'!$A$34:$A$73,0))))</f>
        <v>619.51614596912032</v>
      </c>
      <c r="AB10" s="7">
        <f>1.75*5000</f>
        <v>8750</v>
      </c>
      <c r="AC10" s="7">
        <v>15000</v>
      </c>
      <c r="AD10" s="31">
        <f>IF(AC10/(INDEX('Standards for Conversions'!$H$34:$H$73,MATCH(AB$2,'Standards for Conversions'!$A$34:$A$73,0)))=0,"",AC10/(INDEX('Standards for Conversions'!$H$34:$H$73,MATCH(AB$2,'Standards for Conversions'!$A$34:$A$73,0))))</f>
        <v>2626.4859161814547</v>
      </c>
      <c r="AE10" s="10" t="s">
        <v>98</v>
      </c>
      <c r="AF10" s="7">
        <f>1.75*1000</f>
        <v>1750</v>
      </c>
      <c r="AG10" s="7">
        <v>3000</v>
      </c>
      <c r="AH10" s="31">
        <f>IF(AG10/(INDEX('Standards for Conversions'!$H$34:$H$73,MATCH(AF$2,'Standards for Conversions'!$A$34:$A$73,0)))=0,"",AG10/(INDEX('Standards for Conversions'!$H$34:$H$73,MATCH(AF$2,'Standards for Conversions'!$A$34:$A$73,0))))</f>
        <v>524.66199921786733</v>
      </c>
      <c r="AI10" s="10" t="s">
        <v>98</v>
      </c>
      <c r="AJ10" s="7">
        <f>1.75*4000</f>
        <v>7000</v>
      </c>
      <c r="AK10" s="7">
        <v>12000</v>
      </c>
      <c r="AL10" s="31">
        <f>IF(AK10/(INDEX('Standards for Conversions'!$H$34:$H$73,MATCH(AJ$2,'Standards for Conversions'!$A$34:$A$73,0)))=0,"",AK10/(INDEX('Standards for Conversions'!$H$34:$H$73,MATCH(AJ$2,'Standards for Conversions'!$A$34:$A$73,0))))</f>
        <v>2055.4554836186667</v>
      </c>
      <c r="AM10" s="7">
        <f>1.75*5000</f>
        <v>8750</v>
      </c>
      <c r="AN10" s="7">
        <v>15000</v>
      </c>
      <c r="AO10" s="31">
        <f>IF(AN10/(INDEX('Standards for Conversions'!$H$34:$H$73,MATCH(AM$2,'Standards for Conversions'!$A$34:$A$73,0)))=0,"",AN10/(INDEX('Standards for Conversions'!$H$34:$H$73,MATCH(AM$2,'Standards for Conversions'!$A$34:$A$73,0))))</f>
        <v>2572.4952746154509</v>
      </c>
      <c r="AP10" s="7">
        <f>1.75*4500</f>
        <v>7875</v>
      </c>
      <c r="AQ10" s="7">
        <v>12500</v>
      </c>
      <c r="AR10" s="31">
        <f>IF(AQ10/(INDEX('Standards for Conversions'!$H$34:$H$73,MATCH(AP$2,'Standards for Conversions'!$A$34:$A$73,0)))=0,"",AQ10/(INDEX('Standards for Conversions'!$H$34:$H$73,MATCH(AP$2,'Standards for Conversions'!$A$34:$A$73,0))))</f>
        <v>2056.4082596463022</v>
      </c>
      <c r="AS10" s="7">
        <f>1.75*4700</f>
        <v>8225</v>
      </c>
      <c r="AT10" s="7">
        <v>14000</v>
      </c>
      <c r="AU10" s="31">
        <f>IF(AT10/(INDEX('Standards for Conversions'!$H$34:$H$73,MATCH(AS$2,'Standards for Conversions'!$A$34:$A$73,0)))=0,"",AT10/(INDEX('Standards for Conversions'!$H$34:$H$73,MATCH(AS$2,'Standards for Conversions'!$A$34:$A$73,0))))</f>
        <v>2152.0034544190494</v>
      </c>
      <c r="AV10" s="7">
        <f>1.75*4000</f>
        <v>7000</v>
      </c>
      <c r="AW10" s="7">
        <v>12000</v>
      </c>
      <c r="AX10" s="31">
        <f>IF(AW10/(INDEX('Standards for Conversions'!$H$47:$H$73,MATCH(AV$2,'Standards for Conversions'!$A$47:$A$73,0)))=0,"",AW10/(INDEX('Standards for Conversions'!$H$47:$H$73,MATCH(AV$2,'Standards for Conversions'!$A$47:$A$73,0))))</f>
        <v>1816.6262926914048</v>
      </c>
      <c r="AY10" s="33" t="s">
        <v>98</v>
      </c>
      <c r="AZ10" s="29">
        <v>6125</v>
      </c>
      <c r="BA10" s="29">
        <v>10000</v>
      </c>
      <c r="BB10" s="31">
        <f>IF(BA10/(INDEX('Standards for Conversions'!$H$47:$H$73,MATCH(AZ$2,'Standards for Conversions'!$A$47:$A$73,0)))=0,"",BA10/(INDEX('Standards for Conversions'!$H$47:$H$73,MATCH(AZ$2,'Standards for Conversions'!$A$47:$A$73,0))))</f>
        <v>1452.4541221285597</v>
      </c>
      <c r="BC10" s="29">
        <v>5250</v>
      </c>
      <c r="BD10" s="29">
        <v>8500</v>
      </c>
      <c r="BE10" s="31">
        <f>IF(BD10/(INDEX('Standards for Conversions'!$H$47:$H$73,MATCH(BC$2,'Standards for Conversions'!$A$47:$A$73,0)))=0,"",BD10/(INDEX('Standards for Conversions'!$H$47:$H$73,MATCH(BC$2,'Standards for Conversions'!$A$47:$A$73,0))))</f>
        <v>1229.1869396526752</v>
      </c>
      <c r="BF10" s="33" t="s">
        <v>98</v>
      </c>
      <c r="BG10" s="29">
        <v>6125</v>
      </c>
      <c r="BH10" s="29">
        <v>9000</v>
      </c>
      <c r="BI10" s="31">
        <f>IF(BH10/(INDEX('Standards for Conversions'!$H$47:$H$73,MATCH(BG$2,'Standards for Conversions'!$A$47:$A$73,0)))=0,"",BH10/(INDEX('Standards for Conversions'!$H$47:$H$73,MATCH(BG$2,'Standards for Conversions'!$A$47:$A$73,0))))</f>
        <v>1455.8417702268182</v>
      </c>
      <c r="BJ10" s="33" t="s">
        <v>98</v>
      </c>
      <c r="BK10" s="29">
        <v>7000</v>
      </c>
      <c r="BL10" s="29">
        <v>12000</v>
      </c>
      <c r="BM10" s="31">
        <f>IF(BL10/(INDEX('Standards for Conversions'!$H$47:$H$73,MATCH(BK$2,'Standards for Conversions'!$A$47:$A$73,0)))=0,"",BL10/(INDEX('Standards for Conversions'!$H$47:$H$73,MATCH(BK$2,'Standards for Conversions'!$A$47:$A$73,0))))</f>
        <v>1831.8707091335707</v>
      </c>
      <c r="BN10" s="29">
        <v>5250</v>
      </c>
      <c r="BO10" s="29">
        <v>11000</v>
      </c>
      <c r="BP10" s="31">
        <f>IF(BO10/(INDEX('Standards for Conversions'!$H$47:$H$73,MATCH(BN$2,'Standards for Conversions'!$A$47:$A$73,0)))=0,"",BO10/(INDEX('Standards for Conversions'!$H$47:$H$73,MATCH(BN$2,'Standards for Conversions'!$A$47:$A$73,0))))</f>
        <v>1481.249130963761</v>
      </c>
      <c r="BQ10" s="33" t="s">
        <v>98</v>
      </c>
      <c r="BR10" s="29">
        <v>3500</v>
      </c>
      <c r="BS10" s="29">
        <v>6000</v>
      </c>
      <c r="BT10" s="31">
        <f>IF(BS10/(INDEX('Standards for Conversions'!$H$47:$H$73,MATCH(BR$2,'Standards for Conversions'!$A$47:$A$73,0)))=0,"",BS10/(INDEX('Standards for Conversions'!$H$47:$H$73,MATCH(BR$2,'Standards for Conversions'!$A$47:$A$73,0))))</f>
        <v>729.69940036499509</v>
      </c>
      <c r="BU10" s="33" t="s">
        <v>98</v>
      </c>
      <c r="BV10" s="7">
        <f>1800*1.75</f>
        <v>3150</v>
      </c>
      <c r="BW10" s="7">
        <v>5000</v>
      </c>
      <c r="BX10" s="31">
        <f>IF(BW10/(INDEX('Standards for Conversions'!$H$47:$H$73,MATCH(BV$2,'Standards for Conversions'!$A$47:$A$73,0)))=0,"",BW10/(INDEX('Standards for Conversions'!$H$47:$H$73,MATCH(BV$2,'Standards for Conversions'!$A$47:$A$73,0))))</f>
        <v>490.15033421685348</v>
      </c>
      <c r="BY10" s="45"/>
      <c r="BZ10" s="44"/>
      <c r="CA10" s="31" t="str">
        <f>IF(BZ10/(INDEX('Standards for Conversions'!$H$47:$H$73,MATCH(BY$2,'Standards for Conversions'!$A$47:$A$73,0)))=0,"",BZ10/(INDEX('Standards for Conversions'!$H$47:$H$73,MATCH(BY$2,'Standards for Conversions'!$A$47:$A$73,0))))</f>
        <v/>
      </c>
      <c r="CB10" s="45"/>
      <c r="CC10" s="44"/>
      <c r="CD10" s="31" t="str">
        <f>IF(CC10/(INDEX('Standards for Conversions'!$H$47:$H$73,MATCH(CB$2,'Standards for Conversions'!$A$47:$A$73,0)))=0,"",CC10/(INDEX('Standards for Conversions'!$H$47:$H$73,MATCH(CB$2,'Standards for Conversions'!$A$47:$A$73,0))))</f>
        <v/>
      </c>
      <c r="CE10" s="46"/>
      <c r="CF10" s="45"/>
      <c r="CG10" s="44"/>
      <c r="CH10" s="31" t="str">
        <f>IF(CG10/(INDEX('Standards for Conversions'!$H$47:$H$73,MATCH(CF$2,'Standards for Conversions'!$A$47:$A$73,0)))=0,"",CG10/(INDEX('Standards for Conversions'!$H$47:$H$73,MATCH(CF$2,'Standards for Conversions'!$A$47:$A$73,0))))</f>
        <v/>
      </c>
      <c r="CI10" s="45"/>
      <c r="CJ10" s="44"/>
      <c r="CK10" s="31" t="str">
        <f>IF(CJ10/(INDEX('Standards for Conversions'!$H$47:$H$73,MATCH(CI$2,'Standards for Conversions'!$A$47:$A$73,0)))=0,"",CJ10/(INDEX('Standards for Conversions'!$H$47:$H$73,MATCH(CI$2,'Standards for Conversions'!$A$47:$A$73,0))))</f>
        <v/>
      </c>
      <c r="CL10" s="45"/>
      <c r="CM10" s="44"/>
      <c r="CN10" s="31" t="str">
        <f>IF(CM10/(INDEX('Standards for Conversions'!$H$47:$H$73,MATCH(CL$2,'Standards for Conversions'!$A$47:$A$73,0)))=0,"",CM10/(INDEX('Standards for Conversions'!$H$47:$H$73,MATCH(CL$2,'Standards for Conversions'!$A$47:$A$73,0))))</f>
        <v/>
      </c>
      <c r="CO10" s="45"/>
      <c r="CP10" s="44"/>
      <c r="CQ10" s="31" t="str">
        <f>IF(CP10/(INDEX('Standards for Conversions'!$H$47:$H$73,MATCH(CO$2,'Standards for Conversions'!$A$47:$A$73,0)))=0,"",CP10/(INDEX('Standards for Conversions'!$H$47:$H$73,MATCH(CO$2,'Standards for Conversions'!$A$47:$A$73,0))))</f>
        <v/>
      </c>
      <c r="CR10" s="46"/>
      <c r="CS10" s="45"/>
      <c r="CT10" s="44"/>
      <c r="CU10" s="31" t="str">
        <f>IF(CT10/(INDEX('Standards for Conversions'!$H$47:$H$73,MATCH(CS$2,'Standards for Conversions'!$A$47:$A$73,0)))=0,"",CT10/(INDEX('Standards for Conversions'!$H$47:$H$73,MATCH(CS$2,'Standards for Conversions'!$A$47:$A$73,0))))</f>
        <v/>
      </c>
      <c r="CV10" s="45"/>
      <c r="CW10" s="44"/>
      <c r="CX10" s="31" t="str">
        <f>IF(CW10/(INDEX('Standards for Conversions'!$H$47:$H$73,MATCH(CV$2,'Standards for Conversions'!$A$47:$A$73,0)))=0,"",CW10/(INDEX('Standards for Conversions'!$H$47:$H$73,MATCH(CV$2,'Standards for Conversions'!$A$47:$A$73,0))))</f>
        <v/>
      </c>
      <c r="CY10" s="45"/>
      <c r="CZ10" s="44"/>
      <c r="DA10" s="31" t="str">
        <f>IF(CZ10/(INDEX('Standards for Conversions'!$H$47:$H$73,MATCH(CY$2,'Standards for Conversions'!$A$47:$A$73,0)))=0,"",CZ10/(INDEX('Standards for Conversions'!$H$47:$H$73,MATCH(CY$2,'Standards for Conversions'!$A$47:$A$73,0))))</f>
        <v/>
      </c>
      <c r="DB10" s="42"/>
      <c r="DC10" s="45"/>
      <c r="DD10" s="44"/>
      <c r="DE10" s="31" t="str">
        <f>IF(DD10/(INDEX('Standards for Conversions'!$H$47:$H$73,MATCH(DC$2,'Standards for Conversions'!$A$47:$A$73,0)))=0,"",DD10/(INDEX('Standards for Conversions'!$H$47:$H$73,MATCH(DC$2,'Standards for Conversions'!$A$47:$A$73,0))))</f>
        <v/>
      </c>
      <c r="DF10" s="42"/>
      <c r="DG10" s="45"/>
      <c r="DH10" s="44"/>
      <c r="DI10" s="43"/>
      <c r="DJ10" s="44"/>
      <c r="DK10" s="43"/>
      <c r="DL10" s="44"/>
      <c r="DR10" s="29" t="s">
        <v>98</v>
      </c>
      <c r="DS10" s="29">
        <v>147</v>
      </c>
      <c r="DT10" s="29">
        <v>56</v>
      </c>
      <c r="DU10" s="29">
        <v>1876</v>
      </c>
      <c r="DV10" s="29">
        <v>702</v>
      </c>
    </row>
    <row r="11" spans="1:126" ht="15.6" hidden="1" x14ac:dyDescent="0.3">
      <c r="A11" t="s">
        <v>156</v>
      </c>
      <c r="B11" s="122"/>
      <c r="C11" s="122"/>
      <c r="D11" s="122"/>
      <c r="E11" s="31" t="str">
        <f>IF(D11/(INDEX('Standards for Conversions'!$H$34:$H$73,MATCH(C$2,'Standards for Conversions'!$A$34:$A$73,0)))=0,"",D11/(INDEX('Standards for Conversions'!$H$34:$H$73,MATCH(C$2,'Standards for Conversions'!$A$34:$A$73,0))))</f>
        <v/>
      </c>
      <c r="F11" s="7"/>
      <c r="G11" s="7"/>
      <c r="H11" s="31" t="str">
        <f>IF(G11/(INDEX('Standards for Conversions'!$H$34:$H$73,MATCH(F$2,'Standards for Conversions'!$A$34:$A$73,0)))=0,"",G11/(INDEX('Standards for Conversions'!$H$34:$H$73,MATCH(F$2,'Standards for Conversions'!$A$34:$A$73,0))))</f>
        <v/>
      </c>
      <c r="I11" s="122"/>
      <c r="J11" s="7"/>
      <c r="K11" s="7"/>
      <c r="L11" s="31" t="str">
        <f>IF(K11/(INDEX('Standards for Conversions'!$H$34:$H$73,MATCH(J$2,'Standards for Conversions'!$A$34:$A$73,0)))=0,"",K11/(INDEX('Standards for Conversions'!$H$34:$H$73,MATCH(J$2,'Standards for Conversions'!$A$34:$A$73,0))))</f>
        <v/>
      </c>
      <c r="M11" s="7"/>
      <c r="N11" s="7"/>
      <c r="O11" s="31" t="str">
        <f>IF(N11/(INDEX('Standards for Conversions'!$H$34:$H$73,MATCH(M$2,'Standards for Conversions'!$A$34:$A$73,0)))=0,"",N11/(INDEX('Standards for Conversions'!$H$34:$H$73,MATCH(M$2,'Standards for Conversions'!$A$34:$A$73,0))))</f>
        <v/>
      </c>
      <c r="P11" s="122"/>
      <c r="Q11" s="7"/>
      <c r="R11" s="7"/>
      <c r="S11" s="31" t="str">
        <f>IF(R11/(INDEX('Standards for Conversions'!$H$34:$H$73,MATCH(Q$2,'Standards for Conversions'!$A$34:$A$73,0)))=0,"",R11/(INDEX('Standards for Conversions'!$H$34:$H$73,MATCH(Q$2,'Standards for Conversions'!$A$34:$A$73,0))))</f>
        <v/>
      </c>
      <c r="T11" s="122"/>
      <c r="U11" s="7"/>
      <c r="V11" s="7"/>
      <c r="W11" s="31" t="str">
        <f>IF(V11/(INDEX('Standards for Conversions'!$H$34:$H$73,MATCH(U$2,'Standards for Conversions'!$A$34:$A$73,0)))=0,"",V11/(INDEX('Standards for Conversions'!$H$34:$H$73,MATCH(U$2,'Standards for Conversions'!$A$34:$A$73,0))))</f>
        <v/>
      </c>
      <c r="X11" s="122"/>
      <c r="Y11" s="7"/>
      <c r="Z11" s="7"/>
      <c r="AA11" s="31" t="str">
        <f>IF(Z11/(INDEX('Standards for Conversions'!$H$34:$H$73,MATCH(Y$2,'Standards for Conversions'!$A$34:$A$73,0)))=0,"",Z11/(INDEX('Standards for Conversions'!$H$34:$H$73,MATCH(Y$2,'Standards for Conversions'!$A$34:$A$73,0))))</f>
        <v/>
      </c>
      <c r="AB11" s="7"/>
      <c r="AC11" s="7"/>
      <c r="AD11" s="31" t="str">
        <f>IF(AC11/(INDEX('Standards for Conversions'!$H$34:$H$73,MATCH(AB$2,'Standards for Conversions'!$A$34:$A$73,0)))=0,"",AC11/(INDEX('Standards for Conversions'!$H$34:$H$73,MATCH(AB$2,'Standards for Conversions'!$A$34:$A$73,0))))</f>
        <v/>
      </c>
      <c r="AE11" s="122"/>
      <c r="AF11" s="7"/>
      <c r="AG11" s="7"/>
      <c r="AH11" s="31" t="str">
        <f>IF(AG11/(INDEX('Standards for Conversions'!$H$34:$H$73,MATCH(AF$2,'Standards for Conversions'!$A$34:$A$73,0)))=0,"",AG11/(INDEX('Standards for Conversions'!$H$34:$H$73,MATCH(AF$2,'Standards for Conversions'!$A$34:$A$73,0))))</f>
        <v/>
      </c>
      <c r="AI11" s="122"/>
      <c r="AJ11" s="7"/>
      <c r="AK11" s="7"/>
      <c r="AL11" s="31" t="str">
        <f>IF(AK11/(INDEX('Standards for Conversions'!$H$34:$H$73,MATCH(AJ$2,'Standards for Conversions'!$A$34:$A$73,0)))=0,"",AK11/(INDEX('Standards for Conversions'!$H$34:$H$73,MATCH(AJ$2,'Standards for Conversions'!$A$34:$A$73,0))))</f>
        <v/>
      </c>
      <c r="AM11" s="7"/>
      <c r="AN11" s="7"/>
      <c r="AO11" s="31" t="str">
        <f>IF(AN11/(INDEX('Standards for Conversions'!$H$34:$H$73,MATCH(AM$2,'Standards for Conversions'!$A$34:$A$73,0)))=0,"",AN11/(INDEX('Standards for Conversions'!$H$34:$H$73,MATCH(AM$2,'Standards for Conversions'!$A$34:$A$73,0))))</f>
        <v/>
      </c>
      <c r="AP11" s="7"/>
      <c r="AQ11" s="7"/>
      <c r="AR11" s="31" t="str">
        <f>IF(AQ11/(INDEX('Standards for Conversions'!$H$34:$H$73,MATCH(AP$2,'Standards for Conversions'!$A$34:$A$73,0)))=0,"",AQ11/(INDEX('Standards for Conversions'!$H$34:$H$73,MATCH(AP$2,'Standards for Conversions'!$A$34:$A$73,0))))</f>
        <v/>
      </c>
      <c r="AS11" s="7"/>
      <c r="AT11" s="7"/>
      <c r="AU11" s="31" t="str">
        <f>IF(AT11/(INDEX('Standards for Conversions'!$H$34:$H$73,MATCH(AS$2,'Standards for Conversions'!$A$34:$A$73,0)))=0,"",AT11/(INDEX('Standards for Conversions'!$H$34:$H$73,MATCH(AS$2,'Standards for Conversions'!$A$34:$A$73,0))))</f>
        <v/>
      </c>
      <c r="AV11" s="7"/>
      <c r="AW11" s="7"/>
      <c r="AX11" s="31" t="str">
        <f>IF(AW11/(INDEX('Standards for Conversions'!$H$47:$H$73,MATCH(AV$2,'Standards for Conversions'!$A$47:$A$73,0)))=0,"",AW11/(INDEX('Standards for Conversions'!$H$47:$H$73,MATCH(AV$2,'Standards for Conversions'!$A$47:$A$73,0))))</f>
        <v/>
      </c>
      <c r="AY11" s="42"/>
      <c r="BB11" s="31" t="str">
        <f>IF(BA11/(INDEX('Standards for Conversions'!$H$47:$H$73,MATCH(AZ$2,'Standards for Conversions'!$A$47:$A$73,0)))=0,"",BA11/(INDEX('Standards for Conversions'!$H$47:$H$73,MATCH(AZ$2,'Standards for Conversions'!$A$47:$A$73,0))))</f>
        <v/>
      </c>
      <c r="BE11" s="31" t="str">
        <f>IF(BD11/(INDEX('Standards for Conversions'!$H$47:$H$73,MATCH(BC$2,'Standards for Conversions'!$A$47:$A$73,0)))=0,"",BD11/(INDEX('Standards for Conversions'!$H$47:$H$73,MATCH(BC$2,'Standards for Conversions'!$A$47:$A$73,0))))</f>
        <v/>
      </c>
      <c r="BF11" s="46"/>
      <c r="BI11" s="31" t="str">
        <f>IF(BH11/(INDEX('Standards for Conversions'!$H$47:$H$73,MATCH(BG$2,'Standards for Conversions'!$A$47:$A$73,0)))=0,"",BH11/(INDEX('Standards for Conversions'!$H$47:$H$73,MATCH(BG$2,'Standards for Conversions'!$A$47:$A$73,0))))</f>
        <v/>
      </c>
      <c r="BJ11" s="42"/>
      <c r="BM11" s="31" t="str">
        <f>IF(BL11/(INDEX('Standards for Conversions'!$H$47:$H$73,MATCH(BK$2,'Standards for Conversions'!$A$47:$A$73,0)))=0,"",BL11/(INDEX('Standards for Conversions'!$H$47:$H$73,MATCH(BK$2,'Standards for Conversions'!$A$47:$A$73,0))))</f>
        <v/>
      </c>
      <c r="BP11" s="31" t="str">
        <f>IF(BO11/(INDEX('Standards for Conversions'!$H$47:$H$73,MATCH(BN$2,'Standards for Conversions'!$A$47:$A$73,0)))=0,"",BO11/(INDEX('Standards for Conversions'!$H$47:$H$73,MATCH(BN$2,'Standards for Conversions'!$A$47:$A$73,0))))</f>
        <v/>
      </c>
      <c r="BQ11" s="46"/>
      <c r="BT11" s="31" t="str">
        <f>IF(BS11/(INDEX('Standards for Conversions'!$H$47:$H$73,MATCH(BR$2,'Standards for Conversions'!$A$47:$A$73,0)))=0,"",BS11/(INDEX('Standards for Conversions'!$H$47:$H$73,MATCH(BR$2,'Standards for Conversions'!$A$47:$A$73,0))))</f>
        <v/>
      </c>
      <c r="BU11" s="46"/>
      <c r="BV11" s="45"/>
      <c r="BW11" s="44"/>
      <c r="BX11" s="31" t="str">
        <f>IF(BW11/(INDEX('Standards for Conversions'!$H$47:$H$73,MATCH(BV$2,'Standards for Conversions'!$A$47:$A$73,0)))=0,"",BW11/(INDEX('Standards for Conversions'!$H$47:$H$73,MATCH(BV$2,'Standards for Conversions'!$A$47:$A$73,0))))</f>
        <v/>
      </c>
      <c r="BY11" s="45"/>
      <c r="BZ11" s="44"/>
      <c r="CA11" s="31" t="str">
        <f>IF(BZ11/(INDEX('Standards for Conversions'!$H$47:$H$73,MATCH(BY$2,'Standards for Conversions'!$A$47:$A$73,0)))=0,"",BZ11/(INDEX('Standards for Conversions'!$H$47:$H$73,MATCH(BY$2,'Standards for Conversions'!$A$47:$A$73,0))))</f>
        <v/>
      </c>
      <c r="CB11" s="45"/>
      <c r="CC11" s="44"/>
      <c r="CD11" s="31" t="str">
        <f>IF(CC11/(INDEX('Standards for Conversions'!$H$47:$H$73,MATCH(CB$2,'Standards for Conversions'!$A$47:$A$73,0)))=0,"",CC11/(INDEX('Standards for Conversions'!$H$47:$H$73,MATCH(CB$2,'Standards for Conversions'!$A$47:$A$73,0))))</f>
        <v/>
      </c>
      <c r="CE11" s="46"/>
      <c r="CF11" s="45"/>
      <c r="CG11" s="44"/>
      <c r="CH11" s="31" t="str">
        <f>IF(CG11/(INDEX('Standards for Conversions'!$H$47:$H$73,MATCH(CF$2,'Standards for Conversions'!$A$47:$A$73,0)))=0,"",CG11/(INDEX('Standards for Conversions'!$H$47:$H$73,MATCH(CF$2,'Standards for Conversions'!$A$47:$A$73,0))))</f>
        <v/>
      </c>
      <c r="CI11" s="45"/>
      <c r="CJ11" s="44"/>
      <c r="CK11" s="31" t="str">
        <f>IF(CJ11/(INDEX('Standards for Conversions'!$H$47:$H$73,MATCH(CI$2,'Standards for Conversions'!$A$47:$A$73,0)))=0,"",CJ11/(INDEX('Standards for Conversions'!$H$47:$H$73,MATCH(CI$2,'Standards for Conversions'!$A$47:$A$73,0))))</f>
        <v/>
      </c>
      <c r="CL11" s="45"/>
      <c r="CM11" s="44"/>
      <c r="CN11" s="31" t="str">
        <f>IF(CM11/(INDEX('Standards for Conversions'!$H$47:$H$73,MATCH(CL$2,'Standards for Conversions'!$A$47:$A$73,0)))=0,"",CM11/(INDEX('Standards for Conversions'!$H$47:$H$73,MATCH(CL$2,'Standards for Conversions'!$A$47:$A$73,0))))</f>
        <v/>
      </c>
      <c r="CO11" s="45"/>
      <c r="CP11" s="44"/>
      <c r="CQ11" s="31" t="str">
        <f>IF(CP11/(INDEX('Standards for Conversions'!$H$47:$H$73,MATCH(CO$2,'Standards for Conversions'!$A$47:$A$73,0)))=0,"",CP11/(INDEX('Standards for Conversions'!$H$47:$H$73,MATCH(CO$2,'Standards for Conversions'!$A$47:$A$73,0))))</f>
        <v/>
      </c>
      <c r="CR11" s="46"/>
      <c r="CS11" s="45"/>
      <c r="CT11" s="44"/>
      <c r="CU11" s="31" t="str">
        <f>IF(CT11/(INDEX('Standards for Conversions'!$H$47:$H$73,MATCH(CS$2,'Standards for Conversions'!$A$47:$A$73,0)))=0,"",CT11/(INDEX('Standards for Conversions'!$H$47:$H$73,MATCH(CS$2,'Standards for Conversions'!$A$47:$A$73,0))))</f>
        <v/>
      </c>
      <c r="CV11" s="45"/>
      <c r="CW11" s="44"/>
      <c r="CX11" s="31" t="str">
        <f>IF(CW11/(INDEX('Standards for Conversions'!$H$47:$H$73,MATCH(CV$2,'Standards for Conversions'!$A$47:$A$73,0)))=0,"",CW11/(INDEX('Standards for Conversions'!$H$47:$H$73,MATCH(CV$2,'Standards for Conversions'!$A$47:$A$73,0))))</f>
        <v/>
      </c>
      <c r="CY11" s="45"/>
      <c r="CZ11" s="44"/>
      <c r="DA11" s="31" t="str">
        <f>IF(CZ11/(INDEX('Standards for Conversions'!$H$47:$H$73,MATCH(CY$2,'Standards for Conversions'!$A$47:$A$73,0)))=0,"",CZ11/(INDEX('Standards for Conversions'!$H$47:$H$73,MATCH(CY$2,'Standards for Conversions'!$A$47:$A$73,0))))</f>
        <v/>
      </c>
      <c r="DB11" s="42"/>
      <c r="DC11" s="45"/>
      <c r="DD11" s="44"/>
      <c r="DE11" s="31" t="str">
        <f>IF(DD11/(INDEX('Standards for Conversions'!$H$47:$H$73,MATCH(DC$2,'Standards for Conversions'!$A$47:$A$73,0)))=0,"",DD11/(INDEX('Standards for Conversions'!$H$47:$H$73,MATCH(DC$2,'Standards for Conversions'!$A$47:$A$73,0))))</f>
        <v/>
      </c>
      <c r="DF11" s="42"/>
      <c r="DG11" s="45"/>
      <c r="DH11" s="44"/>
      <c r="DI11" s="43"/>
      <c r="DJ11" s="44"/>
      <c r="DK11" s="43"/>
      <c r="DL11" s="44"/>
      <c r="DR11" s="29" t="s">
        <v>98</v>
      </c>
      <c r="DS11" s="29">
        <v>527</v>
      </c>
      <c r="DT11" s="29">
        <v>276</v>
      </c>
      <c r="DU11" s="29">
        <v>569</v>
      </c>
      <c r="DV11" s="29">
        <v>324</v>
      </c>
    </row>
    <row r="12" spans="1:126" ht="15.6" hidden="1" x14ac:dyDescent="0.3">
      <c r="A12" t="s">
        <v>205</v>
      </c>
      <c r="B12" s="122"/>
      <c r="C12" s="122"/>
      <c r="D12" s="122"/>
      <c r="E12" s="31" t="str">
        <f>IF(D12/(INDEX('Standards for Conversions'!$H$34:$H$73,MATCH(C$2,'Standards for Conversions'!$A$34:$A$73,0)))=0,"",D12/(INDEX('Standards for Conversions'!$H$34:$H$73,MATCH(C$2,'Standards for Conversions'!$A$34:$A$73,0))))</f>
        <v/>
      </c>
      <c r="F12" s="7"/>
      <c r="G12" s="7"/>
      <c r="H12" s="31" t="str">
        <f>IF(G12/(INDEX('Standards for Conversions'!$H$34:$H$73,MATCH(F$2,'Standards for Conversions'!$A$34:$A$73,0)))=0,"",G12/(INDEX('Standards for Conversions'!$H$34:$H$73,MATCH(F$2,'Standards for Conversions'!$A$34:$A$73,0))))</f>
        <v/>
      </c>
      <c r="I12" s="122"/>
      <c r="J12" s="7"/>
      <c r="K12" s="7"/>
      <c r="L12" s="31" t="str">
        <f>IF(K12/(INDEX('Standards for Conversions'!$H$34:$H$73,MATCH(J$2,'Standards for Conversions'!$A$34:$A$73,0)))=0,"",K12/(INDEX('Standards for Conversions'!$H$34:$H$73,MATCH(J$2,'Standards for Conversions'!$A$34:$A$73,0))))</f>
        <v/>
      </c>
      <c r="M12" s="7"/>
      <c r="N12" s="7"/>
      <c r="O12" s="31" t="str">
        <f>IF(N12/(INDEX('Standards for Conversions'!$H$34:$H$73,MATCH(M$2,'Standards for Conversions'!$A$34:$A$73,0)))=0,"",N12/(INDEX('Standards for Conversions'!$H$34:$H$73,MATCH(M$2,'Standards for Conversions'!$A$34:$A$73,0))))</f>
        <v/>
      </c>
      <c r="P12" s="122"/>
      <c r="Q12" s="7"/>
      <c r="R12" s="7"/>
      <c r="S12" s="31" t="str">
        <f>IF(R12/(INDEX('Standards for Conversions'!$H$34:$H$73,MATCH(Q$2,'Standards for Conversions'!$A$34:$A$73,0)))=0,"",R12/(INDEX('Standards for Conversions'!$H$34:$H$73,MATCH(Q$2,'Standards for Conversions'!$A$34:$A$73,0))))</f>
        <v/>
      </c>
      <c r="T12" s="122"/>
      <c r="U12" s="7"/>
      <c r="V12" s="7"/>
      <c r="W12" s="31" t="str">
        <f>IF(V12/(INDEX('Standards for Conversions'!$H$34:$H$73,MATCH(U$2,'Standards for Conversions'!$A$34:$A$73,0)))=0,"",V12/(INDEX('Standards for Conversions'!$H$34:$H$73,MATCH(U$2,'Standards for Conversions'!$A$34:$A$73,0))))</f>
        <v/>
      </c>
      <c r="X12" s="122"/>
      <c r="Y12" s="7"/>
      <c r="Z12" s="7"/>
      <c r="AA12" s="31" t="str">
        <f>IF(Z12/(INDEX('Standards for Conversions'!$H$34:$H$73,MATCH(Y$2,'Standards for Conversions'!$A$34:$A$73,0)))=0,"",Z12/(INDEX('Standards for Conversions'!$H$34:$H$73,MATCH(Y$2,'Standards for Conversions'!$A$34:$A$73,0))))</f>
        <v/>
      </c>
      <c r="AB12" s="7"/>
      <c r="AC12" s="7"/>
      <c r="AD12" s="31" t="str">
        <f>IF(AC12/(INDEX('Standards for Conversions'!$H$34:$H$73,MATCH(AB$2,'Standards for Conversions'!$A$34:$A$73,0)))=0,"",AC12/(INDEX('Standards for Conversions'!$H$34:$H$73,MATCH(AB$2,'Standards for Conversions'!$A$34:$A$73,0))))</f>
        <v/>
      </c>
      <c r="AE12" s="122"/>
      <c r="AF12" s="7"/>
      <c r="AG12" s="7"/>
      <c r="AH12" s="31" t="str">
        <f>IF(AG12/(INDEX('Standards for Conversions'!$H$34:$H$73,MATCH(AF$2,'Standards for Conversions'!$A$34:$A$73,0)))=0,"",AG12/(INDEX('Standards for Conversions'!$H$34:$H$73,MATCH(AF$2,'Standards for Conversions'!$A$34:$A$73,0))))</f>
        <v/>
      </c>
      <c r="AI12" s="122"/>
      <c r="AJ12" s="7"/>
      <c r="AK12" s="7"/>
      <c r="AL12" s="31" t="str">
        <f>IF(AK12/(INDEX('Standards for Conversions'!$H$34:$H$73,MATCH(AJ$2,'Standards for Conversions'!$A$34:$A$73,0)))=0,"",AK12/(INDEX('Standards for Conversions'!$H$34:$H$73,MATCH(AJ$2,'Standards for Conversions'!$A$34:$A$73,0))))</f>
        <v/>
      </c>
      <c r="AM12" s="7"/>
      <c r="AN12" s="7"/>
      <c r="AO12" s="31" t="str">
        <f>IF(AN12/(INDEX('Standards for Conversions'!$H$34:$H$73,MATCH(AM$2,'Standards for Conversions'!$A$34:$A$73,0)))=0,"",AN12/(INDEX('Standards for Conversions'!$H$34:$H$73,MATCH(AM$2,'Standards for Conversions'!$A$34:$A$73,0))))</f>
        <v/>
      </c>
      <c r="AP12" s="7"/>
      <c r="AQ12" s="7"/>
      <c r="AR12" s="31" t="str">
        <f>IF(AQ12/(INDEX('Standards for Conversions'!$H$34:$H$73,MATCH(AP$2,'Standards for Conversions'!$A$34:$A$73,0)))=0,"",AQ12/(INDEX('Standards for Conversions'!$H$34:$H$73,MATCH(AP$2,'Standards for Conversions'!$A$34:$A$73,0))))</f>
        <v/>
      </c>
      <c r="AS12" s="7"/>
      <c r="AT12" s="7"/>
      <c r="AU12" s="31" t="str">
        <f>IF(AT12/(INDEX('Standards for Conversions'!$H$34:$H$73,MATCH(AS$2,'Standards for Conversions'!$A$34:$A$73,0)))=0,"",AT12/(INDEX('Standards for Conversions'!$H$34:$H$73,MATCH(AS$2,'Standards for Conversions'!$A$34:$A$73,0))))</f>
        <v/>
      </c>
      <c r="AV12" s="7"/>
      <c r="AW12" s="7"/>
      <c r="AX12" s="31" t="str">
        <f>IF(AW12/(INDEX('Standards for Conversions'!$H$47:$H$73,MATCH(AV$2,'Standards for Conversions'!$A$47:$A$73,0)))=0,"",AW12/(INDEX('Standards for Conversions'!$H$47:$H$73,MATCH(AV$2,'Standards for Conversions'!$A$47:$A$73,0))))</f>
        <v/>
      </c>
      <c r="AY12" s="42"/>
      <c r="BB12" s="31" t="str">
        <f>IF(BA12/(INDEX('Standards for Conversions'!$H$47:$H$73,MATCH(AZ$2,'Standards for Conversions'!$A$47:$A$73,0)))=0,"",BA12/(INDEX('Standards for Conversions'!$H$47:$H$73,MATCH(AZ$2,'Standards for Conversions'!$A$47:$A$73,0))))</f>
        <v/>
      </c>
      <c r="BE12" s="31" t="str">
        <f>IF(BD12/(INDEX('Standards for Conversions'!$H$47:$H$73,MATCH(BC$2,'Standards for Conversions'!$A$47:$A$73,0)))=0,"",BD12/(INDEX('Standards for Conversions'!$H$47:$H$73,MATCH(BC$2,'Standards for Conversions'!$A$47:$A$73,0))))</f>
        <v/>
      </c>
      <c r="BF12" s="46"/>
      <c r="BI12" s="31" t="str">
        <f>IF(BH12/(INDEX('Standards for Conversions'!$H$47:$H$73,MATCH(BG$2,'Standards for Conversions'!$A$47:$A$73,0)))=0,"",BH12/(INDEX('Standards for Conversions'!$H$47:$H$73,MATCH(BG$2,'Standards for Conversions'!$A$47:$A$73,0))))</f>
        <v/>
      </c>
      <c r="BJ12" s="42"/>
      <c r="BM12" s="31" t="str">
        <f>IF(BL12/(INDEX('Standards for Conversions'!$H$47:$H$73,MATCH(BK$2,'Standards for Conversions'!$A$47:$A$73,0)))=0,"",BL12/(INDEX('Standards for Conversions'!$H$47:$H$73,MATCH(BK$2,'Standards for Conversions'!$A$47:$A$73,0))))</f>
        <v/>
      </c>
      <c r="BP12" s="31" t="str">
        <f>IF(BO12/(INDEX('Standards for Conversions'!$H$47:$H$73,MATCH(BN$2,'Standards for Conversions'!$A$47:$A$73,0)))=0,"",BO12/(INDEX('Standards for Conversions'!$H$47:$H$73,MATCH(BN$2,'Standards for Conversions'!$A$47:$A$73,0))))</f>
        <v/>
      </c>
      <c r="BQ12" s="46"/>
      <c r="BT12" s="31" t="str">
        <f>IF(BS12/(INDEX('Standards for Conversions'!$H$47:$H$73,MATCH(BR$2,'Standards for Conversions'!$A$47:$A$73,0)))=0,"",BS12/(INDEX('Standards for Conversions'!$H$47:$H$73,MATCH(BR$2,'Standards for Conversions'!$A$47:$A$73,0))))</f>
        <v/>
      </c>
      <c r="BU12" s="46"/>
      <c r="BV12" s="45"/>
      <c r="BW12" s="44"/>
      <c r="BX12" s="31" t="str">
        <f>IF(BW12/(INDEX('Standards for Conversions'!$H$47:$H$73,MATCH(BV$2,'Standards for Conversions'!$A$47:$A$73,0)))=0,"",BW12/(INDEX('Standards for Conversions'!$H$47:$H$73,MATCH(BV$2,'Standards for Conversions'!$A$47:$A$73,0))))</f>
        <v/>
      </c>
      <c r="BY12" s="45"/>
      <c r="BZ12" s="44"/>
      <c r="CA12" s="31" t="str">
        <f>IF(BZ12/(INDEX('Standards for Conversions'!$H$47:$H$73,MATCH(BY$2,'Standards for Conversions'!$A$47:$A$73,0)))=0,"",BZ12/(INDEX('Standards for Conversions'!$H$47:$H$73,MATCH(BY$2,'Standards for Conversions'!$A$47:$A$73,0))))</f>
        <v/>
      </c>
      <c r="CB12" s="45"/>
      <c r="CC12" s="44"/>
      <c r="CD12" s="31" t="str">
        <f>IF(CC12/(INDEX('Standards for Conversions'!$H$47:$H$73,MATCH(CB$2,'Standards for Conversions'!$A$47:$A$73,0)))=0,"",CC12/(INDEX('Standards for Conversions'!$H$47:$H$73,MATCH(CB$2,'Standards for Conversions'!$A$47:$A$73,0))))</f>
        <v/>
      </c>
      <c r="CE12" s="46"/>
      <c r="CF12" s="45"/>
      <c r="CG12" s="44"/>
      <c r="CH12" s="31" t="str">
        <f>IF(CG12/(INDEX('Standards for Conversions'!$H$47:$H$73,MATCH(CF$2,'Standards for Conversions'!$A$47:$A$73,0)))=0,"",CG12/(INDEX('Standards for Conversions'!$H$47:$H$73,MATCH(CF$2,'Standards for Conversions'!$A$47:$A$73,0))))</f>
        <v/>
      </c>
      <c r="CI12" s="45"/>
      <c r="CJ12" s="44"/>
      <c r="CK12" s="31" t="str">
        <f>IF(CJ12/(INDEX('Standards for Conversions'!$H$47:$H$73,MATCH(CI$2,'Standards for Conversions'!$A$47:$A$73,0)))=0,"",CJ12/(INDEX('Standards for Conversions'!$H$47:$H$73,MATCH(CI$2,'Standards for Conversions'!$A$47:$A$73,0))))</f>
        <v/>
      </c>
      <c r="CL12" s="45"/>
      <c r="CM12" s="44"/>
      <c r="CN12" s="31" t="str">
        <f>IF(CM12/(INDEX('Standards for Conversions'!$H$47:$H$73,MATCH(CL$2,'Standards for Conversions'!$A$47:$A$73,0)))=0,"",CM12/(INDEX('Standards for Conversions'!$H$47:$H$73,MATCH(CL$2,'Standards for Conversions'!$A$47:$A$73,0))))</f>
        <v/>
      </c>
      <c r="CO12" s="45"/>
      <c r="CP12" s="44"/>
      <c r="CQ12" s="31" t="str">
        <f>IF(CP12/(INDEX('Standards for Conversions'!$H$47:$H$73,MATCH(CO$2,'Standards for Conversions'!$A$47:$A$73,0)))=0,"",CP12/(INDEX('Standards for Conversions'!$H$47:$H$73,MATCH(CO$2,'Standards for Conversions'!$A$47:$A$73,0))))</f>
        <v/>
      </c>
      <c r="CR12" s="46"/>
      <c r="CS12" s="45"/>
      <c r="CT12" s="44"/>
      <c r="CU12" s="31" t="str">
        <f>IF(CT12/(INDEX('Standards for Conversions'!$H$47:$H$73,MATCH(CS$2,'Standards for Conversions'!$A$47:$A$73,0)))=0,"",CT12/(INDEX('Standards for Conversions'!$H$47:$H$73,MATCH(CS$2,'Standards for Conversions'!$A$47:$A$73,0))))</f>
        <v/>
      </c>
      <c r="CV12" s="45"/>
      <c r="CW12" s="44"/>
      <c r="CX12" s="31" t="str">
        <f>IF(CW12/(INDEX('Standards for Conversions'!$H$47:$H$73,MATCH(CV$2,'Standards for Conversions'!$A$47:$A$73,0)))=0,"",CW12/(INDEX('Standards for Conversions'!$H$47:$H$73,MATCH(CV$2,'Standards for Conversions'!$A$47:$A$73,0))))</f>
        <v/>
      </c>
      <c r="CY12" s="45"/>
      <c r="CZ12" s="44"/>
      <c r="DA12" s="31" t="str">
        <f>IF(CZ12/(INDEX('Standards for Conversions'!$H$47:$H$73,MATCH(CY$2,'Standards for Conversions'!$A$47:$A$73,0)))=0,"",CZ12/(INDEX('Standards for Conversions'!$H$47:$H$73,MATCH(CY$2,'Standards for Conversions'!$A$47:$A$73,0))))</f>
        <v/>
      </c>
      <c r="DB12" s="42"/>
      <c r="DC12" s="45"/>
      <c r="DD12" s="44"/>
      <c r="DE12" s="31" t="str">
        <f>IF(DD12/(INDEX('Standards for Conversions'!$H$47:$H$73,MATCH(DC$2,'Standards for Conversions'!$A$47:$A$73,0)))=0,"",DD12/(INDEX('Standards for Conversions'!$H$47:$H$73,MATCH(DC$2,'Standards for Conversions'!$A$47:$A$73,0))))</f>
        <v/>
      </c>
      <c r="DF12" s="42"/>
      <c r="DG12" s="45"/>
      <c r="DH12" s="44"/>
      <c r="DI12" s="43"/>
      <c r="DJ12" s="44"/>
      <c r="DK12" s="43"/>
      <c r="DL12" s="44"/>
      <c r="DR12" s="29" t="s">
        <v>98</v>
      </c>
      <c r="DS12" s="29">
        <v>67</v>
      </c>
      <c r="DT12" s="29">
        <v>29</v>
      </c>
      <c r="DU12" s="29">
        <v>135</v>
      </c>
      <c r="DV12" s="29">
        <v>83</v>
      </c>
    </row>
    <row r="13" spans="1:126" hidden="1" x14ac:dyDescent="0.3">
      <c r="A13" t="s">
        <v>22</v>
      </c>
      <c r="B13" s="10" t="s">
        <v>18</v>
      </c>
      <c r="C13" s="7"/>
      <c r="D13" s="7"/>
      <c r="E13" s="31" t="str">
        <f>IF(D13/(INDEX('Standards for Conversions'!$H$34:$H$73,MATCH(C$2,'Standards for Conversions'!$A$34:$A$73,0)))=0,"",D13/(INDEX('Standards for Conversions'!$H$34:$H$73,MATCH(C$2,'Standards for Conversions'!$A$34:$A$73,0))))</f>
        <v/>
      </c>
      <c r="F13" s="7"/>
      <c r="G13" s="7"/>
      <c r="H13" s="31" t="str">
        <f>IF(G13/(INDEX('Standards for Conversions'!$H$34:$H$73,MATCH(F$2,'Standards for Conversions'!$A$34:$A$73,0)))=0,"",G13/(INDEX('Standards for Conversions'!$H$34:$H$73,MATCH(F$2,'Standards for Conversions'!$A$34:$A$73,0))))</f>
        <v/>
      </c>
      <c r="I13" s="10" t="s">
        <v>18</v>
      </c>
      <c r="J13" s="7"/>
      <c r="K13" s="7"/>
      <c r="L13" s="31" t="str">
        <f>IF(K13/(INDEX('Standards for Conversions'!$H$34:$H$73,MATCH(J$2,'Standards for Conversions'!$A$34:$A$73,0)))=0,"",K13/(INDEX('Standards for Conversions'!$H$34:$H$73,MATCH(J$2,'Standards for Conversions'!$A$34:$A$73,0))))</f>
        <v/>
      </c>
      <c r="M13" s="7"/>
      <c r="N13" s="7"/>
      <c r="O13" s="31" t="str">
        <f>IF(N13/(INDEX('Standards for Conversions'!$H$34:$H$73,MATCH(M$2,'Standards for Conversions'!$A$34:$A$73,0)))=0,"",N13/(INDEX('Standards for Conversions'!$H$34:$H$73,MATCH(M$2,'Standards for Conversions'!$A$34:$A$73,0))))</f>
        <v/>
      </c>
      <c r="P13" s="10" t="s">
        <v>18</v>
      </c>
      <c r="Q13" s="7"/>
      <c r="R13" s="7"/>
      <c r="S13" s="31" t="str">
        <f>IF(R13/(INDEX('Standards for Conversions'!$H$34:$H$73,MATCH(Q$2,'Standards for Conversions'!$A$34:$A$73,0)))=0,"",R13/(INDEX('Standards for Conversions'!$H$34:$H$73,MATCH(Q$2,'Standards for Conversions'!$A$34:$A$73,0))))</f>
        <v/>
      </c>
      <c r="T13" s="10" t="s">
        <v>18</v>
      </c>
      <c r="U13" s="7"/>
      <c r="V13" s="7"/>
      <c r="W13" s="31" t="str">
        <f>IF(V13/(INDEX('Standards for Conversions'!$H$34:$H$73,MATCH(U$2,'Standards for Conversions'!$A$34:$A$73,0)))=0,"",V13/(INDEX('Standards for Conversions'!$H$34:$H$73,MATCH(U$2,'Standards for Conversions'!$A$34:$A$73,0))))</f>
        <v/>
      </c>
      <c r="X13" s="10" t="s">
        <v>18</v>
      </c>
      <c r="Y13" s="7"/>
      <c r="Z13" s="7"/>
      <c r="AA13" s="31" t="str">
        <f>IF(Z13/(INDEX('Standards for Conversions'!$H$34:$H$73,MATCH(Y$2,'Standards for Conversions'!$A$34:$A$73,0)))=0,"",Z13/(INDEX('Standards for Conversions'!$H$34:$H$73,MATCH(Y$2,'Standards for Conversions'!$A$34:$A$73,0))))</f>
        <v/>
      </c>
      <c r="AB13" s="7"/>
      <c r="AC13" s="7"/>
      <c r="AD13" s="31" t="str">
        <f>IF(AC13/(INDEX('Standards for Conversions'!$H$34:$H$73,MATCH(AB$2,'Standards for Conversions'!$A$34:$A$73,0)))=0,"",AC13/(INDEX('Standards for Conversions'!$H$34:$H$73,MATCH(AB$2,'Standards for Conversions'!$A$34:$A$73,0))))</f>
        <v/>
      </c>
      <c r="AE13" s="10" t="s">
        <v>18</v>
      </c>
      <c r="AF13" s="7"/>
      <c r="AG13" s="7"/>
      <c r="AH13" s="31" t="str">
        <f>IF(AG13/(INDEX('Standards for Conversions'!$H$34:$H$73,MATCH(AF$2,'Standards for Conversions'!$A$34:$A$73,0)))=0,"",AG13/(INDEX('Standards for Conversions'!$H$34:$H$73,MATCH(AF$2,'Standards for Conversions'!$A$34:$A$73,0))))</f>
        <v/>
      </c>
      <c r="AI13" s="10" t="s">
        <v>18</v>
      </c>
      <c r="AJ13" s="7"/>
      <c r="AK13" s="7"/>
      <c r="AL13" s="31" t="str">
        <f>IF(AK13/(INDEX('Standards for Conversions'!$H$34:$H$73,MATCH(AJ$2,'Standards for Conversions'!$A$34:$A$73,0)))=0,"",AK13/(INDEX('Standards for Conversions'!$H$34:$H$73,MATCH(AJ$2,'Standards for Conversions'!$A$34:$A$73,0))))</f>
        <v/>
      </c>
      <c r="AM13" s="7"/>
      <c r="AN13" s="7"/>
      <c r="AO13" s="31" t="str">
        <f>IF(AN13/(INDEX('Standards for Conversions'!$H$34:$H$73,MATCH(AM$2,'Standards for Conversions'!$A$34:$A$73,0)))=0,"",AN13/(INDEX('Standards for Conversions'!$H$34:$H$73,MATCH(AM$2,'Standards for Conversions'!$A$34:$A$73,0))))</f>
        <v/>
      </c>
      <c r="AP13" s="7"/>
      <c r="AQ13" s="7"/>
      <c r="AR13" s="31" t="str">
        <f>IF(AQ13/(INDEX('Standards for Conversions'!$H$34:$H$73,MATCH(AP$2,'Standards for Conversions'!$A$34:$A$73,0)))=0,"",AQ13/(INDEX('Standards for Conversions'!$H$34:$H$73,MATCH(AP$2,'Standards for Conversions'!$A$34:$A$73,0))))</f>
        <v/>
      </c>
      <c r="AS13" s="7"/>
      <c r="AT13" s="7"/>
      <c r="AU13" s="31" t="str">
        <f>IF(AT13/(INDEX('Standards for Conversions'!$H$34:$H$73,MATCH(AS$2,'Standards for Conversions'!$A$34:$A$73,0)))=0,"",AT13/(INDEX('Standards for Conversions'!$H$34:$H$73,MATCH(AS$2,'Standards for Conversions'!$A$34:$A$73,0))))</f>
        <v/>
      </c>
      <c r="AV13" s="7"/>
      <c r="AW13" s="7"/>
      <c r="AX13" s="31" t="str">
        <f>IF(AW13/(INDEX('Standards for Conversions'!$H$47:$H$73,MATCH(AV$2,'Standards for Conversions'!$A$47:$A$73,0)))=0,"",AW13/(INDEX('Standards for Conversions'!$H$47:$H$73,MATCH(AV$2,'Standards for Conversions'!$A$47:$A$73,0))))</f>
        <v/>
      </c>
      <c r="AY13" s="47" t="s">
        <v>18</v>
      </c>
      <c r="AZ13" s="29">
        <v>80000</v>
      </c>
      <c r="BA13" s="29">
        <v>15000</v>
      </c>
      <c r="BB13" s="31">
        <f>IF(BA13/(INDEX('Standards for Conversions'!$H$47:$H$73,MATCH(AZ$2,'Standards for Conversions'!$A$47:$A$73,0)))=0,"",BA13/(INDEX('Standards for Conversions'!$H$47:$H$73,MATCH(AZ$2,'Standards for Conversions'!$A$47:$A$73,0))))</f>
        <v>2178.6811831928394</v>
      </c>
      <c r="BC13" s="29">
        <v>100000</v>
      </c>
      <c r="BD13" s="29">
        <v>20000</v>
      </c>
      <c r="BE13" s="31">
        <f>IF(BD13/(INDEX('Standards for Conversions'!$H$47:$H$73,MATCH(BC$2,'Standards for Conversions'!$A$47:$A$73,0)))=0,"",BD13/(INDEX('Standards for Conversions'!$H$47:$H$73,MATCH(BC$2,'Standards for Conversions'!$A$47:$A$73,0))))</f>
        <v>2892.204563888647</v>
      </c>
      <c r="BF13" s="47" t="s">
        <v>18</v>
      </c>
      <c r="BG13" s="29">
        <v>110000</v>
      </c>
      <c r="BH13" s="29">
        <v>23000</v>
      </c>
      <c r="BI13" s="31">
        <f>IF(BH13/(INDEX('Standards for Conversions'!$H$47:$H$73,MATCH(BG$2,'Standards for Conversions'!$A$47:$A$73,0)))=0,"",BH13/(INDEX('Standards for Conversions'!$H$47:$H$73,MATCH(BG$2,'Standards for Conversions'!$A$47:$A$73,0))))</f>
        <v>3720.48452391298</v>
      </c>
      <c r="BJ13" s="47" t="s">
        <v>18</v>
      </c>
      <c r="BK13" s="29">
        <v>120000</v>
      </c>
      <c r="BL13" s="29">
        <v>18000</v>
      </c>
      <c r="BM13" s="31">
        <f>IF(BL13/(INDEX('Standards for Conversions'!$H$47:$H$73,MATCH(BK$2,'Standards for Conversions'!$A$47:$A$73,0)))=0,"",BL13/(INDEX('Standards for Conversions'!$H$47:$H$73,MATCH(BK$2,'Standards for Conversions'!$A$47:$A$73,0))))</f>
        <v>2747.8060637003559</v>
      </c>
      <c r="BN13" s="29">
        <v>100000</v>
      </c>
      <c r="BO13" s="29">
        <v>16000</v>
      </c>
      <c r="BP13" s="31">
        <f>IF(BO13/(INDEX('Standards for Conversions'!$H$47:$H$73,MATCH(BN$2,'Standards for Conversions'!$A$47:$A$73,0)))=0,"",BO13/(INDEX('Standards for Conversions'!$H$47:$H$73,MATCH(BN$2,'Standards for Conversions'!$A$47:$A$73,0))))</f>
        <v>2154.5441904927434</v>
      </c>
      <c r="BQ13" s="47" t="s">
        <v>18</v>
      </c>
      <c r="BR13" s="29">
        <v>90000</v>
      </c>
      <c r="BS13" s="29">
        <v>25000</v>
      </c>
      <c r="BT13" s="31">
        <f>IF(BS13/(INDEX('Standards for Conversions'!$H$47:$H$73,MATCH(BR$2,'Standards for Conversions'!$A$47:$A$73,0)))=0,"",BS13/(INDEX('Standards for Conversions'!$H$47:$H$73,MATCH(BR$2,'Standards for Conversions'!$A$47:$A$73,0))))</f>
        <v>3040.4141681874794</v>
      </c>
      <c r="BU13" s="47" t="s">
        <v>18</v>
      </c>
      <c r="BV13" s="29">
        <f>(2933+333)*20</f>
        <v>65320</v>
      </c>
      <c r="BW13" s="29">
        <f>50000+8000</f>
        <v>58000</v>
      </c>
      <c r="BX13" s="31">
        <f>IF(BW13/(INDEX('Standards for Conversions'!$H$47:$H$73,MATCH(BV$2,'Standards for Conversions'!$A$47:$A$73,0)))=0,"",BW13/(INDEX('Standards for Conversions'!$H$47:$H$73,MATCH(BV$2,'Standards for Conversions'!$A$47:$A$73,0))))</f>
        <v>5685.7438769155006</v>
      </c>
      <c r="BY13" s="29">
        <f>(3500+417)*20</f>
        <v>78340</v>
      </c>
      <c r="BZ13" s="29">
        <f>60000+10000</f>
        <v>70000</v>
      </c>
      <c r="CA13" s="31">
        <f>IF(BZ13/(INDEX('Standards for Conversions'!$H$47:$H$73,MATCH(BY$2,'Standards for Conversions'!$A$47:$A$73,0)))=0,"",BZ13/(INDEX('Standards for Conversions'!$H$47:$H$73,MATCH(BY$2,'Standards for Conversions'!$A$47:$A$73,0))))</f>
        <v>7069.5981250543127</v>
      </c>
      <c r="CB13" s="29">
        <f>(4400+250)*20</f>
        <v>93000</v>
      </c>
      <c r="CC13" s="29">
        <f>75000+6000</f>
        <v>81000</v>
      </c>
      <c r="CD13" s="31">
        <f>IF(CC13/(INDEX('Standards for Conversions'!$H$47:$H$73,MATCH(CB$2,'Standards for Conversions'!$A$47:$A$73,0)))=0,"",CC13/(INDEX('Standards for Conversions'!$H$47:$H$73,MATCH(CB$2,'Standards for Conversions'!$A$47:$A$73,0))))</f>
        <v>8454.9344692361155</v>
      </c>
      <c r="CE13" s="29" t="s">
        <v>98</v>
      </c>
      <c r="CF13" s="29">
        <f>(4000+200)*20</f>
        <v>84000</v>
      </c>
      <c r="CG13" s="29">
        <f>90000+6000</f>
        <v>96000</v>
      </c>
      <c r="CH13" s="31">
        <f>IF(CG13/(INDEX('Standards for Conversions'!$H$47:$H$73,MATCH(CF$2,'Standards for Conversions'!$A$47:$A$73,0)))=0,"",CG13/(INDEX('Standards for Conversions'!$H$47:$H$73,MATCH(CF$2,'Standards for Conversions'!$A$47:$A$73,0))))</f>
        <v>8963.716867993393</v>
      </c>
      <c r="CI13" s="29">
        <f>(5000+150)*20</f>
        <v>103000</v>
      </c>
      <c r="CJ13" s="29">
        <f>100000+4000</f>
        <v>104000</v>
      </c>
      <c r="CK13" s="31">
        <f>IF(CJ13/(INDEX('Standards for Conversions'!$H$47:$H$73,MATCH(CI$2,'Standards for Conversions'!$A$47:$A$73,0)))=0,"",CJ13/(INDEX('Standards for Conversions'!$H$47:$H$73,MATCH(CI$2,'Standards for Conversions'!$A$47:$A$73,0))))</f>
        <v>9490.4961472726718</v>
      </c>
      <c r="CL13" s="29">
        <f>(4500+100)*20</f>
        <v>92000</v>
      </c>
      <c r="CM13" s="29">
        <f>90000+2800</f>
        <v>92800</v>
      </c>
      <c r="CN13" s="31">
        <f>IF(CM13/(INDEX('Standards for Conversions'!$H$47:$H$73,MATCH(CL$2,'Standards for Conversions'!$A$47:$A$73,0)))=0,"",CM13/(INDEX('Standards for Conversions'!$H$47:$H$73,MATCH(CL$2,'Standards for Conversions'!$A$47:$A$73,0))))</f>
        <v>8625.6295877871416</v>
      </c>
      <c r="CO13" s="29">
        <f>(200+150)*20</f>
        <v>7000</v>
      </c>
      <c r="CP13" s="29">
        <f>4000+2992</f>
        <v>6992</v>
      </c>
      <c r="CQ13" s="31">
        <f>IF(CP13/(INDEX('Standards for Conversions'!$H$47:$H$73,MATCH(CO$2,'Standards for Conversions'!$A$47:$A$73,0)))=0,"",CP13/(INDEX('Standards for Conversions'!$H$47:$H$73,MATCH(CO$2,'Standards for Conversions'!$A$47:$A$73,0))))</f>
        <v>670.62220517945593</v>
      </c>
      <c r="CR13" s="29" t="s">
        <v>98</v>
      </c>
      <c r="CS13" s="29">
        <f>(1091+11)*20</f>
        <v>22040</v>
      </c>
      <c r="CT13" s="29">
        <f>21558+220</f>
        <v>21778</v>
      </c>
      <c r="CU13" s="31">
        <f>IF(CT13/(INDEX('Standards for Conversions'!$H$47:$H$73,MATCH(CS$2,'Standards for Conversions'!$A$47:$A$73,0)))=0,"",CT13/(INDEX('Standards for Conversions'!$H$47:$H$73,MATCH(CS$2,'Standards for Conversions'!$A$47:$A$73,0))))</f>
        <v>2005.7904452181278</v>
      </c>
      <c r="CV13" s="29">
        <f>(1231+49)*20</f>
        <v>25600</v>
      </c>
      <c r="CW13" s="29">
        <f>24400+975</f>
        <v>25375</v>
      </c>
      <c r="CX13" s="31">
        <f>IF(CW13/(INDEX('Standards for Conversions'!$H$47:$H$73,MATCH(CV$2,'Standards for Conversions'!$A$47:$A$73,0)))=0,"",CW13/(INDEX('Standards for Conversions'!$H$47:$H$73,MATCH(CV$2,'Standards for Conversions'!$A$47:$A$73,0))))</f>
        <v>2068.4502899955819</v>
      </c>
      <c r="CY13" s="29">
        <f>(1325+42)*20</f>
        <v>27340</v>
      </c>
      <c r="CZ13" s="29">
        <f>25640+910</f>
        <v>26550</v>
      </c>
      <c r="DA13" s="31">
        <f>IF(CZ13/(INDEX('Standards for Conversions'!$H$47:$H$73,MATCH(CY$2,'Standards for Conversions'!$A$47:$A$73,0)))=0,"",CZ13/(INDEX('Standards for Conversions'!$H$47:$H$73,MATCH(CY$2,'Standards for Conversions'!$A$47:$A$73,0))))</f>
        <v>2226.065910967237</v>
      </c>
      <c r="DB13" s="29" t="s">
        <v>98</v>
      </c>
      <c r="DC13" s="29">
        <f>1420*20</f>
        <v>28400</v>
      </c>
      <c r="DD13" s="29">
        <f>22000+4000</f>
        <v>26000</v>
      </c>
      <c r="DE13" s="29">
        <f>IF(DD13/(INDEX('Standards for Conversions'!$H$47:$H$73,MATCH(DC$2,'Standards for Conversions'!$A$47:$A$73,0)))=0,"",DD13/(INDEX('Standards for Conversions'!$H$47:$H$73,MATCH(DC$2,'Standards for Conversions'!$A$47:$A$73,0))))</f>
        <v>2325.8321474609656</v>
      </c>
      <c r="DF13" s="29" t="s">
        <v>98</v>
      </c>
      <c r="DG13" s="29">
        <f>1550*20</f>
        <v>31000</v>
      </c>
      <c r="DH13" s="29">
        <v>3100</v>
      </c>
      <c r="DI13" s="29">
        <f>2580*20</f>
        <v>51600</v>
      </c>
      <c r="DJ13" s="29">
        <v>6880</v>
      </c>
      <c r="DK13" s="29">
        <f>1750*20</f>
        <v>35000</v>
      </c>
      <c r="DL13" s="29">
        <v>4667</v>
      </c>
      <c r="DM13" s="33" t="s">
        <v>98</v>
      </c>
      <c r="DN13" s="29">
        <v>38400</v>
      </c>
      <c r="DO13" s="29">
        <v>5120</v>
      </c>
      <c r="DP13" s="29">
        <v>36200</v>
      </c>
      <c r="DQ13" s="29">
        <v>5068</v>
      </c>
    </row>
    <row r="14" spans="1:126" ht="15.6" hidden="1" x14ac:dyDescent="0.3">
      <c r="A14" t="s">
        <v>335</v>
      </c>
      <c r="B14" s="122"/>
      <c r="C14" s="7"/>
      <c r="D14" s="7"/>
      <c r="E14" s="31" t="str">
        <f>IF(D14/(INDEX('Standards for Conversions'!$H$34:$H$73,MATCH(C$2,'Standards for Conversions'!$A$34:$A$73,0)))=0,"",D14/(INDEX('Standards for Conversions'!$H$34:$H$73,MATCH(C$2,'Standards for Conversions'!$A$34:$A$73,0))))</f>
        <v/>
      </c>
      <c r="F14" s="7"/>
      <c r="G14" s="7"/>
      <c r="H14" s="31" t="str">
        <f>IF(G14/(INDEX('Standards for Conversions'!$H$34:$H$73,MATCH(F$2,'Standards for Conversions'!$A$34:$A$73,0)))=0,"",G14/(INDEX('Standards for Conversions'!$H$34:$H$73,MATCH(F$2,'Standards for Conversions'!$A$34:$A$73,0))))</f>
        <v/>
      </c>
      <c r="I14" s="122"/>
      <c r="J14" s="7"/>
      <c r="K14" s="7"/>
      <c r="L14" s="31" t="str">
        <f>IF(K14/(INDEX('Standards for Conversions'!$H$34:$H$73,MATCH(J$2,'Standards for Conversions'!$A$34:$A$73,0)))=0,"",K14/(INDEX('Standards for Conversions'!$H$34:$H$73,MATCH(J$2,'Standards for Conversions'!$A$34:$A$73,0))))</f>
        <v/>
      </c>
      <c r="M14" s="7"/>
      <c r="N14" s="7"/>
      <c r="O14" s="31" t="str">
        <f>IF(N14/(INDEX('Standards for Conversions'!$H$34:$H$73,MATCH(M$2,'Standards for Conversions'!$A$34:$A$73,0)))=0,"",N14/(INDEX('Standards for Conversions'!$H$34:$H$73,MATCH(M$2,'Standards for Conversions'!$A$34:$A$73,0))))</f>
        <v/>
      </c>
      <c r="P14" s="122"/>
      <c r="Q14" s="7"/>
      <c r="R14" s="7"/>
      <c r="S14" s="31" t="str">
        <f>IF(R14/(INDEX('Standards for Conversions'!$H$34:$H$73,MATCH(Q$2,'Standards for Conversions'!$A$34:$A$73,0)))=0,"",R14/(INDEX('Standards for Conversions'!$H$34:$H$73,MATCH(Q$2,'Standards for Conversions'!$A$34:$A$73,0))))</f>
        <v/>
      </c>
      <c r="T14" s="122"/>
      <c r="U14" s="7"/>
      <c r="V14" s="7"/>
      <c r="W14" s="31" t="str">
        <f>IF(V14/(INDEX('Standards for Conversions'!$H$34:$H$73,MATCH(U$2,'Standards for Conversions'!$A$34:$A$73,0)))=0,"",V14/(INDEX('Standards for Conversions'!$H$34:$H$73,MATCH(U$2,'Standards for Conversions'!$A$34:$A$73,0))))</f>
        <v/>
      </c>
      <c r="X14" s="122"/>
      <c r="Y14" s="7"/>
      <c r="Z14" s="7"/>
      <c r="AA14" s="31" t="str">
        <f>IF(Z14/(INDEX('Standards for Conversions'!$H$34:$H$73,MATCH(Y$2,'Standards for Conversions'!$A$34:$A$73,0)))=0,"",Z14/(INDEX('Standards for Conversions'!$H$34:$H$73,MATCH(Y$2,'Standards for Conversions'!$A$34:$A$73,0))))</f>
        <v/>
      </c>
      <c r="AB14" s="7"/>
      <c r="AC14" s="7"/>
      <c r="AD14" s="31" t="str">
        <f>IF(AC14/(INDEX('Standards for Conversions'!$H$34:$H$73,MATCH(AB$2,'Standards for Conversions'!$A$34:$A$73,0)))=0,"",AC14/(INDEX('Standards for Conversions'!$H$34:$H$73,MATCH(AB$2,'Standards for Conversions'!$A$34:$A$73,0))))</f>
        <v/>
      </c>
      <c r="AE14" s="122"/>
      <c r="AF14" s="7"/>
      <c r="AG14" s="7"/>
      <c r="AH14" s="31" t="str">
        <f>IF(AG14/(INDEX('Standards for Conversions'!$H$34:$H$73,MATCH(AF$2,'Standards for Conversions'!$A$34:$A$73,0)))=0,"",AG14/(INDEX('Standards for Conversions'!$H$34:$H$73,MATCH(AF$2,'Standards for Conversions'!$A$34:$A$73,0))))</f>
        <v/>
      </c>
      <c r="AI14" s="122"/>
      <c r="AJ14" s="7"/>
      <c r="AK14" s="7"/>
      <c r="AL14" s="31" t="str">
        <f>IF(AK14/(INDEX('Standards for Conversions'!$H$34:$H$73,MATCH(AJ$2,'Standards for Conversions'!$A$34:$A$73,0)))=0,"",AK14/(INDEX('Standards for Conversions'!$H$34:$H$73,MATCH(AJ$2,'Standards for Conversions'!$A$34:$A$73,0))))</f>
        <v/>
      </c>
      <c r="AM14" s="7"/>
      <c r="AN14" s="7"/>
      <c r="AO14" s="31" t="str">
        <f>IF(AN14/(INDEX('Standards for Conversions'!$H$34:$H$73,MATCH(AM$2,'Standards for Conversions'!$A$34:$A$73,0)))=0,"",AN14/(INDEX('Standards for Conversions'!$H$34:$H$73,MATCH(AM$2,'Standards for Conversions'!$A$34:$A$73,0))))</f>
        <v/>
      </c>
      <c r="AP14" s="7"/>
      <c r="AQ14" s="7"/>
      <c r="AR14" s="31" t="str">
        <f>IF(AQ14/(INDEX('Standards for Conversions'!$H$34:$H$73,MATCH(AP$2,'Standards for Conversions'!$A$34:$A$73,0)))=0,"",AQ14/(INDEX('Standards for Conversions'!$H$34:$H$73,MATCH(AP$2,'Standards for Conversions'!$A$34:$A$73,0))))</f>
        <v/>
      </c>
      <c r="AS14" s="7"/>
      <c r="AT14" s="7"/>
      <c r="AU14" s="31" t="str">
        <f>IF(AT14/(INDEX('Standards for Conversions'!$H$34:$H$73,MATCH(AS$2,'Standards for Conversions'!$A$34:$A$73,0)))=0,"",AT14/(INDEX('Standards for Conversions'!$H$34:$H$73,MATCH(AS$2,'Standards for Conversions'!$A$34:$A$73,0))))</f>
        <v/>
      </c>
      <c r="AV14" s="7"/>
      <c r="AW14" s="7"/>
      <c r="AX14" s="31" t="str">
        <f>IF(AW14/(INDEX('Standards for Conversions'!$H$47:$H$73,MATCH(AV$2,'Standards for Conversions'!$A$47:$A$73,0)))=0,"",AW14/(INDEX('Standards for Conversions'!$H$47:$H$73,MATCH(AV$2,'Standards for Conversions'!$A$47:$A$73,0))))</f>
        <v/>
      </c>
      <c r="AY14" s="42"/>
      <c r="BB14" s="31" t="str">
        <f>IF(BA14/(INDEX('Standards for Conversions'!$H$47:$H$73,MATCH(AZ$2,'Standards for Conversions'!$A$47:$A$73,0)))=0,"",BA14/(INDEX('Standards for Conversions'!$H$47:$H$73,MATCH(AZ$2,'Standards for Conversions'!$A$47:$A$73,0))))</f>
        <v/>
      </c>
      <c r="BE14" s="31" t="str">
        <f>IF(BD14/(INDEX('Standards for Conversions'!$H$47:$H$73,MATCH(BC$2,'Standards for Conversions'!$A$47:$A$73,0)))=0,"",BD14/(INDEX('Standards for Conversions'!$H$47:$H$73,MATCH(BC$2,'Standards for Conversions'!$A$47:$A$73,0))))</f>
        <v/>
      </c>
      <c r="BF14" s="42"/>
      <c r="BI14" s="31" t="str">
        <f>IF(BH14/(INDEX('Standards for Conversions'!$H$47:$H$73,MATCH(BG$2,'Standards for Conversions'!$A$47:$A$73,0)))=0,"",BH14/(INDEX('Standards for Conversions'!$H$47:$H$73,MATCH(BG$2,'Standards for Conversions'!$A$47:$A$73,0))))</f>
        <v/>
      </c>
      <c r="BJ14" s="42"/>
      <c r="BM14" s="31" t="str">
        <f>IF(BL14/(INDEX('Standards for Conversions'!$H$47:$H$73,MATCH(BK$2,'Standards for Conversions'!$A$47:$A$73,0)))=0,"",BL14/(INDEX('Standards for Conversions'!$H$47:$H$73,MATCH(BK$2,'Standards for Conversions'!$A$47:$A$73,0))))</f>
        <v/>
      </c>
      <c r="BP14" s="31" t="str">
        <f>IF(BO14/(INDEX('Standards for Conversions'!$H$47:$H$73,MATCH(BN$2,'Standards for Conversions'!$A$47:$A$73,0)))=0,"",BO14/(INDEX('Standards for Conversions'!$H$47:$H$73,MATCH(BN$2,'Standards for Conversions'!$A$47:$A$73,0))))</f>
        <v/>
      </c>
      <c r="BQ14" s="42"/>
      <c r="BT14" s="31" t="str">
        <f>IF(BS14/(INDEX('Standards for Conversions'!$H$47:$H$73,MATCH(BR$2,'Standards for Conversions'!$A$47:$A$73,0)))=0,"",BS14/(INDEX('Standards for Conversions'!$H$47:$H$73,MATCH(BR$2,'Standards for Conversions'!$A$47:$A$73,0))))</f>
        <v/>
      </c>
      <c r="BU14" s="140"/>
      <c r="BV14" s="43"/>
      <c r="BW14" s="44"/>
      <c r="BX14" s="31" t="str">
        <f>IF(BW14/(INDEX('Standards for Conversions'!$H$47:$H$73,MATCH(BV$2,'Standards for Conversions'!$A$47:$A$73,0)))=0,"",BW14/(INDEX('Standards for Conversions'!$H$47:$H$73,MATCH(BV$2,'Standards for Conversions'!$A$47:$A$73,0))))</f>
        <v/>
      </c>
      <c r="BY14" s="43"/>
      <c r="BZ14" s="44"/>
      <c r="CA14" s="31" t="str">
        <f>IF(BZ14/(INDEX('Standards for Conversions'!$H$47:$H$73,MATCH(BY$2,'Standards for Conversions'!$A$47:$A$73,0)))=0,"",BZ14/(INDEX('Standards for Conversions'!$H$47:$H$73,MATCH(BY$2,'Standards for Conversions'!$A$47:$A$73,0))))</f>
        <v/>
      </c>
      <c r="CB14" s="43"/>
      <c r="CC14" s="44"/>
      <c r="CD14" s="31" t="str">
        <f>IF(CC14/(INDEX('Standards for Conversions'!$H$47:$H$73,MATCH(CB$2,'Standards for Conversions'!$A$47:$A$73,0)))=0,"",CC14/(INDEX('Standards for Conversions'!$H$47:$H$73,MATCH(CB$2,'Standards for Conversions'!$A$47:$A$73,0))))</f>
        <v/>
      </c>
      <c r="CE14" s="46"/>
      <c r="CF14" s="43"/>
      <c r="CG14" s="44"/>
      <c r="CH14" s="31" t="str">
        <f>IF(CG14/(INDEX('Standards for Conversions'!$H$47:$H$73,MATCH(CF$2,'Standards for Conversions'!$A$47:$A$73,0)))=0,"",CG14/(INDEX('Standards for Conversions'!$H$47:$H$73,MATCH(CF$2,'Standards for Conversions'!$A$47:$A$73,0))))</f>
        <v/>
      </c>
      <c r="CI14" s="43"/>
      <c r="CJ14" s="44"/>
      <c r="CK14" s="31" t="str">
        <f>IF(CJ14/(INDEX('Standards for Conversions'!$H$47:$H$73,MATCH(CI$2,'Standards for Conversions'!$A$47:$A$73,0)))=0,"",CJ14/(INDEX('Standards for Conversions'!$H$47:$H$73,MATCH(CI$2,'Standards for Conversions'!$A$47:$A$73,0))))</f>
        <v/>
      </c>
      <c r="CL14" s="43"/>
      <c r="CM14" s="44"/>
      <c r="CN14" s="31" t="str">
        <f>IF(CM14/(INDEX('Standards for Conversions'!$H$47:$H$73,MATCH(CL$2,'Standards for Conversions'!$A$47:$A$73,0)))=0,"",CM14/(INDEX('Standards for Conversions'!$H$47:$H$73,MATCH(CL$2,'Standards for Conversions'!$A$47:$A$73,0))))</f>
        <v/>
      </c>
      <c r="CO14" s="43"/>
      <c r="CP14" s="44"/>
      <c r="CQ14" s="31" t="str">
        <f>IF(CP14/(INDEX('Standards for Conversions'!$H$47:$H$73,MATCH(CO$2,'Standards for Conversions'!$A$47:$A$73,0)))=0,"",CP14/(INDEX('Standards for Conversions'!$H$47:$H$73,MATCH(CO$2,'Standards for Conversions'!$A$47:$A$73,0))))</f>
        <v/>
      </c>
      <c r="CR14" s="46"/>
      <c r="CS14" s="43"/>
      <c r="CT14" s="44"/>
      <c r="CU14" s="31" t="str">
        <f>IF(CT14/(INDEX('Standards for Conversions'!$H$47:$H$73,MATCH(CS$2,'Standards for Conversions'!$A$47:$A$73,0)))=0,"",CT14/(INDEX('Standards for Conversions'!$H$47:$H$73,MATCH(CS$2,'Standards for Conversions'!$A$47:$A$73,0))))</f>
        <v/>
      </c>
      <c r="CV14" s="43"/>
      <c r="CW14" s="44"/>
      <c r="CX14" s="31" t="str">
        <f>IF(CW14/(INDEX('Standards for Conversions'!$H$47:$H$73,MATCH(CV$2,'Standards for Conversions'!$A$47:$A$73,0)))=0,"",CW14/(INDEX('Standards for Conversions'!$H$47:$H$73,MATCH(CV$2,'Standards for Conversions'!$A$47:$A$73,0))))</f>
        <v/>
      </c>
      <c r="CY14" s="43"/>
      <c r="CZ14" s="44"/>
      <c r="DA14" s="31" t="str">
        <f>IF(CZ14/(INDEX('Standards for Conversions'!$H$47:$H$73,MATCH(CY$2,'Standards for Conversions'!$A$47:$A$73,0)))=0,"",CZ14/(INDEX('Standards for Conversions'!$H$47:$H$73,MATCH(CY$2,'Standards for Conversions'!$A$47:$A$73,0))))</f>
        <v/>
      </c>
      <c r="DB14" s="42"/>
      <c r="DC14" s="45"/>
      <c r="DD14" s="44"/>
      <c r="DE14" s="31" t="str">
        <f>IF(DD14/(INDEX('Standards for Conversions'!$H$47:$H$73,MATCH(DC$2,'Standards for Conversions'!$A$47:$A$73,0)))=0,"",DD14/(INDEX('Standards for Conversions'!$H$47:$H$73,MATCH(DC$2,'Standards for Conversions'!$A$47:$A$73,0))))</f>
        <v/>
      </c>
      <c r="DF14" s="42"/>
      <c r="DG14" s="45"/>
      <c r="DH14" s="44"/>
      <c r="DI14" s="43"/>
      <c r="DJ14" s="44"/>
      <c r="DK14" s="43"/>
      <c r="DL14" s="44"/>
      <c r="DR14" s="29" t="s">
        <v>98</v>
      </c>
      <c r="DS14" s="29">
        <v>4960</v>
      </c>
      <c r="DT14" s="29">
        <v>1111</v>
      </c>
    </row>
    <row r="15" spans="1:126" ht="15.6" hidden="1" x14ac:dyDescent="0.3">
      <c r="A15" t="s">
        <v>336</v>
      </c>
      <c r="B15" s="122"/>
      <c r="C15" s="7"/>
      <c r="D15" s="7"/>
      <c r="E15" s="31" t="str">
        <f>IF(D15/(INDEX('Standards for Conversions'!$H$34:$H$73,MATCH(C$2,'Standards for Conversions'!$A$34:$A$73,0)))=0,"",D15/(INDEX('Standards for Conversions'!$H$34:$H$73,MATCH(C$2,'Standards for Conversions'!$A$34:$A$73,0))))</f>
        <v/>
      </c>
      <c r="F15" s="7"/>
      <c r="G15" s="7"/>
      <c r="H15" s="31" t="str">
        <f>IF(G15/(INDEX('Standards for Conversions'!$H$34:$H$73,MATCH(F$2,'Standards for Conversions'!$A$34:$A$73,0)))=0,"",G15/(INDEX('Standards for Conversions'!$H$34:$H$73,MATCH(F$2,'Standards for Conversions'!$A$34:$A$73,0))))</f>
        <v/>
      </c>
      <c r="I15" s="122"/>
      <c r="J15" s="7"/>
      <c r="K15" s="7"/>
      <c r="L15" s="31" t="str">
        <f>IF(K15/(INDEX('Standards for Conversions'!$H$34:$H$73,MATCH(J$2,'Standards for Conversions'!$A$34:$A$73,0)))=0,"",K15/(INDEX('Standards for Conversions'!$H$34:$H$73,MATCH(J$2,'Standards for Conversions'!$A$34:$A$73,0))))</f>
        <v/>
      </c>
      <c r="M15" s="7"/>
      <c r="N15" s="7"/>
      <c r="O15" s="31" t="str">
        <f>IF(N15/(INDEX('Standards for Conversions'!$H$34:$H$73,MATCH(M$2,'Standards for Conversions'!$A$34:$A$73,0)))=0,"",N15/(INDEX('Standards for Conversions'!$H$34:$H$73,MATCH(M$2,'Standards for Conversions'!$A$34:$A$73,0))))</f>
        <v/>
      </c>
      <c r="P15" s="122"/>
      <c r="Q15" s="7"/>
      <c r="R15" s="7"/>
      <c r="S15" s="31" t="str">
        <f>IF(R15/(INDEX('Standards for Conversions'!$H$34:$H$73,MATCH(Q$2,'Standards for Conversions'!$A$34:$A$73,0)))=0,"",R15/(INDEX('Standards for Conversions'!$H$34:$H$73,MATCH(Q$2,'Standards for Conversions'!$A$34:$A$73,0))))</f>
        <v/>
      </c>
      <c r="T15" s="122"/>
      <c r="U15" s="7"/>
      <c r="V15" s="7"/>
      <c r="W15" s="31" t="str">
        <f>IF(V15/(INDEX('Standards for Conversions'!$H$34:$H$73,MATCH(U$2,'Standards for Conversions'!$A$34:$A$73,0)))=0,"",V15/(INDEX('Standards for Conversions'!$H$34:$H$73,MATCH(U$2,'Standards for Conversions'!$A$34:$A$73,0))))</f>
        <v/>
      </c>
      <c r="X15" s="122"/>
      <c r="Y15" s="7"/>
      <c r="Z15" s="7"/>
      <c r="AA15" s="31" t="str">
        <f>IF(Z15/(INDEX('Standards for Conversions'!$H$34:$H$73,MATCH(Y$2,'Standards for Conversions'!$A$34:$A$73,0)))=0,"",Z15/(INDEX('Standards for Conversions'!$H$34:$H$73,MATCH(Y$2,'Standards for Conversions'!$A$34:$A$73,0))))</f>
        <v/>
      </c>
      <c r="AB15" s="7"/>
      <c r="AC15" s="7"/>
      <c r="AD15" s="31" t="str">
        <f>IF(AC15/(INDEX('Standards for Conversions'!$H$34:$H$73,MATCH(AB$2,'Standards for Conversions'!$A$34:$A$73,0)))=0,"",AC15/(INDEX('Standards for Conversions'!$H$34:$H$73,MATCH(AB$2,'Standards for Conversions'!$A$34:$A$73,0))))</f>
        <v/>
      </c>
      <c r="AE15" s="122"/>
      <c r="AF15" s="7"/>
      <c r="AG15" s="7"/>
      <c r="AH15" s="31" t="str">
        <f>IF(AG15/(INDEX('Standards for Conversions'!$H$34:$H$73,MATCH(AF$2,'Standards for Conversions'!$A$34:$A$73,0)))=0,"",AG15/(INDEX('Standards for Conversions'!$H$34:$H$73,MATCH(AF$2,'Standards for Conversions'!$A$34:$A$73,0))))</f>
        <v/>
      </c>
      <c r="AI15" s="122"/>
      <c r="AJ15" s="7"/>
      <c r="AK15" s="7"/>
      <c r="AL15" s="31" t="str">
        <f>IF(AK15/(INDEX('Standards for Conversions'!$H$34:$H$73,MATCH(AJ$2,'Standards for Conversions'!$A$34:$A$73,0)))=0,"",AK15/(INDEX('Standards for Conversions'!$H$34:$H$73,MATCH(AJ$2,'Standards for Conversions'!$A$34:$A$73,0))))</f>
        <v/>
      </c>
      <c r="AM15" s="7"/>
      <c r="AN15" s="7"/>
      <c r="AO15" s="31" t="str">
        <f>IF(AN15/(INDEX('Standards for Conversions'!$H$34:$H$73,MATCH(AM$2,'Standards for Conversions'!$A$34:$A$73,0)))=0,"",AN15/(INDEX('Standards for Conversions'!$H$34:$H$73,MATCH(AM$2,'Standards for Conversions'!$A$34:$A$73,0))))</f>
        <v/>
      </c>
      <c r="AP15" s="7"/>
      <c r="AQ15" s="7"/>
      <c r="AR15" s="31" t="str">
        <f>IF(AQ15/(INDEX('Standards for Conversions'!$H$34:$H$73,MATCH(AP$2,'Standards for Conversions'!$A$34:$A$73,0)))=0,"",AQ15/(INDEX('Standards for Conversions'!$H$34:$H$73,MATCH(AP$2,'Standards for Conversions'!$A$34:$A$73,0))))</f>
        <v/>
      </c>
      <c r="AS15" s="7"/>
      <c r="AT15" s="7"/>
      <c r="AU15" s="31" t="str">
        <f>IF(AT15/(INDEX('Standards for Conversions'!$H$34:$H$73,MATCH(AS$2,'Standards for Conversions'!$A$34:$A$73,0)))=0,"",AT15/(INDEX('Standards for Conversions'!$H$34:$H$73,MATCH(AS$2,'Standards for Conversions'!$A$34:$A$73,0))))</f>
        <v/>
      </c>
      <c r="AV15" s="7"/>
      <c r="AW15" s="7"/>
      <c r="AX15" s="31" t="str">
        <f>IF(AW15/(INDEX('Standards for Conversions'!$H$47:$H$73,MATCH(AV$2,'Standards for Conversions'!$A$47:$A$73,0)))=0,"",AW15/(INDEX('Standards for Conversions'!$H$47:$H$73,MATCH(AV$2,'Standards for Conversions'!$A$47:$A$73,0))))</f>
        <v/>
      </c>
      <c r="AY15" s="42"/>
      <c r="BB15" s="31" t="str">
        <f>IF(BA15/(INDEX('Standards for Conversions'!$H$47:$H$73,MATCH(AZ$2,'Standards for Conversions'!$A$47:$A$73,0)))=0,"",BA15/(INDEX('Standards for Conversions'!$H$47:$H$73,MATCH(AZ$2,'Standards for Conversions'!$A$47:$A$73,0))))</f>
        <v/>
      </c>
      <c r="BE15" s="31" t="str">
        <f>IF(BD15/(INDEX('Standards for Conversions'!$H$47:$H$73,MATCH(BC$2,'Standards for Conversions'!$A$47:$A$73,0)))=0,"",BD15/(INDEX('Standards for Conversions'!$H$47:$H$73,MATCH(BC$2,'Standards for Conversions'!$A$47:$A$73,0))))</f>
        <v/>
      </c>
      <c r="BF15" s="42"/>
      <c r="BI15" s="31" t="str">
        <f>IF(BH15/(INDEX('Standards for Conversions'!$H$47:$H$73,MATCH(BG$2,'Standards for Conversions'!$A$47:$A$73,0)))=0,"",BH15/(INDEX('Standards for Conversions'!$H$47:$H$73,MATCH(BG$2,'Standards for Conversions'!$A$47:$A$73,0))))</f>
        <v/>
      </c>
      <c r="BJ15" s="42"/>
      <c r="BM15" s="31" t="str">
        <f>IF(BL15/(INDEX('Standards for Conversions'!$H$47:$H$73,MATCH(BK$2,'Standards for Conversions'!$A$47:$A$73,0)))=0,"",BL15/(INDEX('Standards for Conversions'!$H$47:$H$73,MATCH(BK$2,'Standards for Conversions'!$A$47:$A$73,0))))</f>
        <v/>
      </c>
      <c r="BP15" s="31" t="str">
        <f>IF(BO15/(INDEX('Standards for Conversions'!$H$47:$H$73,MATCH(BN$2,'Standards for Conversions'!$A$47:$A$73,0)))=0,"",BO15/(INDEX('Standards for Conversions'!$H$47:$H$73,MATCH(BN$2,'Standards for Conversions'!$A$47:$A$73,0))))</f>
        <v/>
      </c>
      <c r="BQ15" s="42"/>
      <c r="BT15" s="31" t="str">
        <f>IF(BS15/(INDEX('Standards for Conversions'!$H$47:$H$73,MATCH(BR$2,'Standards for Conversions'!$A$47:$A$73,0)))=0,"",BS15/(INDEX('Standards for Conversions'!$H$47:$H$73,MATCH(BR$2,'Standards for Conversions'!$A$47:$A$73,0))))</f>
        <v/>
      </c>
      <c r="BU15" s="140"/>
      <c r="BV15" s="43"/>
      <c r="BW15" s="44"/>
      <c r="BX15" s="31" t="str">
        <f>IF(BW15/(INDEX('Standards for Conversions'!$H$47:$H$73,MATCH(BV$2,'Standards for Conversions'!$A$47:$A$73,0)))=0,"",BW15/(INDEX('Standards for Conversions'!$H$47:$H$73,MATCH(BV$2,'Standards for Conversions'!$A$47:$A$73,0))))</f>
        <v/>
      </c>
      <c r="BY15" s="43"/>
      <c r="BZ15" s="44"/>
      <c r="CA15" s="31" t="str">
        <f>IF(BZ15/(INDEX('Standards for Conversions'!$H$47:$H$73,MATCH(BY$2,'Standards for Conversions'!$A$47:$A$73,0)))=0,"",BZ15/(INDEX('Standards for Conversions'!$H$47:$H$73,MATCH(BY$2,'Standards for Conversions'!$A$47:$A$73,0))))</f>
        <v/>
      </c>
      <c r="CB15" s="43"/>
      <c r="CC15" s="44"/>
      <c r="CD15" s="31" t="str">
        <f>IF(CC15/(INDEX('Standards for Conversions'!$H$47:$H$73,MATCH(CB$2,'Standards for Conversions'!$A$47:$A$73,0)))=0,"",CC15/(INDEX('Standards for Conversions'!$H$47:$H$73,MATCH(CB$2,'Standards for Conversions'!$A$47:$A$73,0))))</f>
        <v/>
      </c>
      <c r="CE15" s="46"/>
      <c r="CF15" s="43"/>
      <c r="CG15" s="44"/>
      <c r="CH15" s="31" t="str">
        <f>IF(CG15/(INDEX('Standards for Conversions'!$H$47:$H$73,MATCH(CF$2,'Standards for Conversions'!$A$47:$A$73,0)))=0,"",CG15/(INDEX('Standards for Conversions'!$H$47:$H$73,MATCH(CF$2,'Standards for Conversions'!$A$47:$A$73,0))))</f>
        <v/>
      </c>
      <c r="CI15" s="43"/>
      <c r="CJ15" s="44"/>
      <c r="CK15" s="31" t="str">
        <f>IF(CJ15/(INDEX('Standards for Conversions'!$H$47:$H$73,MATCH(CI$2,'Standards for Conversions'!$A$47:$A$73,0)))=0,"",CJ15/(INDEX('Standards for Conversions'!$H$47:$H$73,MATCH(CI$2,'Standards for Conversions'!$A$47:$A$73,0))))</f>
        <v/>
      </c>
      <c r="CL15" s="43"/>
      <c r="CM15" s="44"/>
      <c r="CN15" s="31" t="str">
        <f>IF(CM15/(INDEX('Standards for Conversions'!$H$47:$H$73,MATCH(CL$2,'Standards for Conversions'!$A$47:$A$73,0)))=0,"",CM15/(INDEX('Standards for Conversions'!$H$47:$H$73,MATCH(CL$2,'Standards for Conversions'!$A$47:$A$73,0))))</f>
        <v/>
      </c>
      <c r="CO15" s="43"/>
      <c r="CP15" s="44"/>
      <c r="CQ15" s="31" t="str">
        <f>IF(CP15/(INDEX('Standards for Conversions'!$H$47:$H$73,MATCH(CO$2,'Standards for Conversions'!$A$47:$A$73,0)))=0,"",CP15/(INDEX('Standards for Conversions'!$H$47:$H$73,MATCH(CO$2,'Standards for Conversions'!$A$47:$A$73,0))))</f>
        <v/>
      </c>
      <c r="CR15" s="46"/>
      <c r="CS15" s="43"/>
      <c r="CT15" s="44"/>
      <c r="CU15" s="31" t="str">
        <f>IF(CT15/(INDEX('Standards for Conversions'!$H$47:$H$73,MATCH(CS$2,'Standards for Conversions'!$A$47:$A$73,0)))=0,"",CT15/(INDEX('Standards for Conversions'!$H$47:$H$73,MATCH(CS$2,'Standards for Conversions'!$A$47:$A$73,0))))</f>
        <v/>
      </c>
      <c r="CV15" s="43"/>
      <c r="CW15" s="44"/>
      <c r="CX15" s="31" t="str">
        <f>IF(CW15/(INDEX('Standards for Conversions'!$H$47:$H$73,MATCH(CV$2,'Standards for Conversions'!$A$47:$A$73,0)))=0,"",CW15/(INDEX('Standards for Conversions'!$H$47:$H$73,MATCH(CV$2,'Standards for Conversions'!$A$47:$A$73,0))))</f>
        <v/>
      </c>
      <c r="CY15" s="43"/>
      <c r="CZ15" s="44"/>
      <c r="DA15" s="31" t="str">
        <f>IF(CZ15/(INDEX('Standards for Conversions'!$H$47:$H$73,MATCH(CY$2,'Standards for Conversions'!$A$47:$A$73,0)))=0,"",CZ15/(INDEX('Standards for Conversions'!$H$47:$H$73,MATCH(CY$2,'Standards for Conversions'!$A$47:$A$73,0))))</f>
        <v/>
      </c>
      <c r="DB15" s="42"/>
      <c r="DC15" s="45"/>
      <c r="DD15" s="44"/>
      <c r="DE15" s="31" t="str">
        <f>IF(DD15/(INDEX('Standards for Conversions'!$H$47:$H$73,MATCH(DC$2,'Standards for Conversions'!$A$47:$A$73,0)))=0,"",DD15/(INDEX('Standards for Conversions'!$H$47:$H$73,MATCH(DC$2,'Standards for Conversions'!$A$47:$A$73,0))))</f>
        <v/>
      </c>
      <c r="DF15" s="42"/>
      <c r="DG15" s="45"/>
      <c r="DH15" s="44"/>
      <c r="DI15" s="43"/>
      <c r="DJ15" s="44"/>
      <c r="DK15" s="43"/>
      <c r="DL15" s="44"/>
      <c r="DR15" s="29" t="s">
        <v>98</v>
      </c>
      <c r="DS15" s="29">
        <v>1193</v>
      </c>
      <c r="DT15" s="29">
        <v>491</v>
      </c>
      <c r="DU15" s="29">
        <v>558</v>
      </c>
      <c r="DV15" s="29">
        <v>291</v>
      </c>
    </row>
    <row r="16" spans="1:126" ht="15.6" hidden="1" x14ac:dyDescent="0.3">
      <c r="A16" t="s">
        <v>369</v>
      </c>
      <c r="B16" s="122"/>
      <c r="C16" s="7"/>
      <c r="D16" s="7"/>
      <c r="E16" s="31" t="str">
        <f>IF(D16/(INDEX('Standards for Conversions'!$H$34:$H$73,MATCH(C$2,'Standards for Conversions'!$A$34:$A$73,0)))=0,"",D16/(INDEX('Standards for Conversions'!$H$34:$H$73,MATCH(C$2,'Standards for Conversions'!$A$34:$A$73,0))))</f>
        <v/>
      </c>
      <c r="F16" s="7"/>
      <c r="G16" s="7"/>
      <c r="H16" s="31" t="str">
        <f>IF(G16/(INDEX('Standards for Conversions'!$H$34:$H$73,MATCH(F$2,'Standards for Conversions'!$A$34:$A$73,0)))=0,"",G16/(INDEX('Standards for Conversions'!$H$34:$H$73,MATCH(F$2,'Standards for Conversions'!$A$34:$A$73,0))))</f>
        <v/>
      </c>
      <c r="I16" s="122"/>
      <c r="J16" s="7"/>
      <c r="K16" s="7"/>
      <c r="L16" s="31" t="str">
        <f>IF(K16/(INDEX('Standards for Conversions'!$H$34:$H$73,MATCH(J$2,'Standards for Conversions'!$A$34:$A$73,0)))=0,"",K16/(INDEX('Standards for Conversions'!$H$34:$H$73,MATCH(J$2,'Standards for Conversions'!$A$34:$A$73,0))))</f>
        <v/>
      </c>
      <c r="M16" s="7"/>
      <c r="N16" s="7"/>
      <c r="O16" s="31" t="str">
        <f>IF(N16/(INDEX('Standards for Conversions'!$H$34:$H$73,MATCH(M$2,'Standards for Conversions'!$A$34:$A$73,0)))=0,"",N16/(INDEX('Standards for Conversions'!$H$34:$H$73,MATCH(M$2,'Standards for Conversions'!$A$34:$A$73,0))))</f>
        <v/>
      </c>
      <c r="P16" s="122"/>
      <c r="Q16" s="7"/>
      <c r="R16" s="7"/>
      <c r="S16" s="31" t="str">
        <f>IF(R16/(INDEX('Standards for Conversions'!$H$34:$H$73,MATCH(Q$2,'Standards for Conversions'!$A$34:$A$73,0)))=0,"",R16/(INDEX('Standards for Conversions'!$H$34:$H$73,MATCH(Q$2,'Standards for Conversions'!$A$34:$A$73,0))))</f>
        <v/>
      </c>
      <c r="T16" s="122"/>
      <c r="U16" s="7"/>
      <c r="V16" s="7"/>
      <c r="W16" s="31" t="str">
        <f>IF(V16/(INDEX('Standards for Conversions'!$H$34:$H$73,MATCH(U$2,'Standards for Conversions'!$A$34:$A$73,0)))=0,"",V16/(INDEX('Standards for Conversions'!$H$34:$H$73,MATCH(U$2,'Standards for Conversions'!$A$34:$A$73,0))))</f>
        <v/>
      </c>
      <c r="X16" s="122"/>
      <c r="Y16" s="7"/>
      <c r="Z16" s="7"/>
      <c r="AA16" s="31" t="str">
        <f>IF(Z16/(INDEX('Standards for Conversions'!$H$34:$H$73,MATCH(Y$2,'Standards for Conversions'!$A$34:$A$73,0)))=0,"",Z16/(INDEX('Standards for Conversions'!$H$34:$H$73,MATCH(Y$2,'Standards for Conversions'!$A$34:$A$73,0))))</f>
        <v/>
      </c>
      <c r="AB16" s="7"/>
      <c r="AC16" s="7"/>
      <c r="AD16" s="31" t="str">
        <f>IF(AC16/(INDEX('Standards for Conversions'!$H$34:$H$73,MATCH(AB$2,'Standards for Conversions'!$A$34:$A$73,0)))=0,"",AC16/(INDEX('Standards for Conversions'!$H$34:$H$73,MATCH(AB$2,'Standards for Conversions'!$A$34:$A$73,0))))</f>
        <v/>
      </c>
      <c r="AE16" s="122"/>
      <c r="AF16" s="7"/>
      <c r="AG16" s="7"/>
      <c r="AH16" s="31" t="str">
        <f>IF(AG16/(INDEX('Standards for Conversions'!$H$34:$H$73,MATCH(AF$2,'Standards for Conversions'!$A$34:$A$73,0)))=0,"",AG16/(INDEX('Standards for Conversions'!$H$34:$H$73,MATCH(AF$2,'Standards for Conversions'!$A$34:$A$73,0))))</f>
        <v/>
      </c>
      <c r="AI16" s="122"/>
      <c r="AJ16" s="7"/>
      <c r="AK16" s="7"/>
      <c r="AL16" s="31" t="str">
        <f>IF(AK16/(INDEX('Standards for Conversions'!$H$34:$H$73,MATCH(AJ$2,'Standards for Conversions'!$A$34:$A$73,0)))=0,"",AK16/(INDEX('Standards for Conversions'!$H$34:$H$73,MATCH(AJ$2,'Standards for Conversions'!$A$34:$A$73,0))))</f>
        <v/>
      </c>
      <c r="AM16" s="7"/>
      <c r="AN16" s="7"/>
      <c r="AO16" s="31" t="str">
        <f>IF(AN16/(INDEX('Standards for Conversions'!$H$34:$H$73,MATCH(AM$2,'Standards for Conversions'!$A$34:$A$73,0)))=0,"",AN16/(INDEX('Standards for Conversions'!$H$34:$H$73,MATCH(AM$2,'Standards for Conversions'!$A$34:$A$73,0))))</f>
        <v/>
      </c>
      <c r="AP16" s="7"/>
      <c r="AQ16" s="7"/>
      <c r="AR16" s="31" t="str">
        <f>IF(AQ16/(INDEX('Standards for Conversions'!$H$34:$H$73,MATCH(AP$2,'Standards for Conversions'!$A$34:$A$73,0)))=0,"",AQ16/(INDEX('Standards for Conversions'!$H$34:$H$73,MATCH(AP$2,'Standards for Conversions'!$A$34:$A$73,0))))</f>
        <v/>
      </c>
      <c r="AS16" s="7"/>
      <c r="AT16" s="7"/>
      <c r="AU16" s="31" t="str">
        <f>IF(AT16/(INDEX('Standards for Conversions'!$H$34:$H$73,MATCH(AS$2,'Standards for Conversions'!$A$34:$A$73,0)))=0,"",AT16/(INDEX('Standards for Conversions'!$H$34:$H$73,MATCH(AS$2,'Standards for Conversions'!$A$34:$A$73,0))))</f>
        <v/>
      </c>
      <c r="AV16" s="7"/>
      <c r="AW16" s="7"/>
      <c r="AX16" s="31" t="str">
        <f>IF(AW16/(INDEX('Standards for Conversions'!$H$47:$H$73,MATCH(AV$2,'Standards for Conversions'!$A$47:$A$73,0)))=0,"",AW16/(INDEX('Standards for Conversions'!$H$47:$H$73,MATCH(AV$2,'Standards for Conversions'!$A$47:$A$73,0))))</f>
        <v/>
      </c>
      <c r="AY16" s="42"/>
      <c r="BB16" s="31" t="str">
        <f>IF(BA16/(INDEX('Standards for Conversions'!$H$47:$H$73,MATCH(AZ$2,'Standards for Conversions'!$A$47:$A$73,0)))=0,"",BA16/(INDEX('Standards for Conversions'!$H$47:$H$73,MATCH(AZ$2,'Standards for Conversions'!$A$47:$A$73,0))))</f>
        <v/>
      </c>
      <c r="BE16" s="31" t="str">
        <f>IF(BD16/(INDEX('Standards for Conversions'!$H$47:$H$73,MATCH(BC$2,'Standards for Conversions'!$A$47:$A$73,0)))=0,"",BD16/(INDEX('Standards for Conversions'!$H$47:$H$73,MATCH(BC$2,'Standards for Conversions'!$A$47:$A$73,0))))</f>
        <v/>
      </c>
      <c r="BF16" s="42"/>
      <c r="BI16" s="31" t="str">
        <f>IF(BH16/(INDEX('Standards for Conversions'!$H$47:$H$73,MATCH(BG$2,'Standards for Conversions'!$A$47:$A$73,0)))=0,"",BH16/(INDEX('Standards for Conversions'!$H$47:$H$73,MATCH(BG$2,'Standards for Conversions'!$A$47:$A$73,0))))</f>
        <v/>
      </c>
      <c r="BJ16" s="42"/>
      <c r="BM16" s="31" t="str">
        <f>IF(BL16/(INDEX('Standards for Conversions'!$H$47:$H$73,MATCH(BK$2,'Standards for Conversions'!$A$47:$A$73,0)))=0,"",BL16/(INDEX('Standards for Conversions'!$H$47:$H$73,MATCH(BK$2,'Standards for Conversions'!$A$47:$A$73,0))))</f>
        <v/>
      </c>
      <c r="BP16" s="31" t="str">
        <f>IF(BO16/(INDEX('Standards for Conversions'!$H$47:$H$73,MATCH(BN$2,'Standards for Conversions'!$A$47:$A$73,0)))=0,"",BO16/(INDEX('Standards for Conversions'!$H$47:$H$73,MATCH(BN$2,'Standards for Conversions'!$A$47:$A$73,0))))</f>
        <v/>
      </c>
      <c r="BQ16" s="42"/>
      <c r="BT16" s="31" t="str">
        <f>IF(BS16/(INDEX('Standards for Conversions'!$H$47:$H$73,MATCH(BR$2,'Standards for Conversions'!$A$47:$A$73,0)))=0,"",BS16/(INDEX('Standards for Conversions'!$H$47:$H$73,MATCH(BR$2,'Standards for Conversions'!$A$47:$A$73,0))))</f>
        <v/>
      </c>
      <c r="BU16" s="140"/>
      <c r="BV16" s="43"/>
      <c r="BW16" s="44"/>
      <c r="BX16" s="31" t="str">
        <f>IF(BW16/(INDEX('Standards for Conversions'!$H$47:$H$73,MATCH(BV$2,'Standards for Conversions'!$A$47:$A$73,0)))=0,"",BW16/(INDEX('Standards for Conversions'!$H$47:$H$73,MATCH(BV$2,'Standards for Conversions'!$A$47:$A$73,0))))</f>
        <v/>
      </c>
      <c r="BY16" s="43"/>
      <c r="BZ16" s="44"/>
      <c r="CA16" s="31" t="str">
        <f>IF(BZ16/(INDEX('Standards for Conversions'!$H$47:$H$73,MATCH(BY$2,'Standards for Conversions'!$A$47:$A$73,0)))=0,"",BZ16/(INDEX('Standards for Conversions'!$H$47:$H$73,MATCH(BY$2,'Standards for Conversions'!$A$47:$A$73,0))))</f>
        <v/>
      </c>
      <c r="CB16" s="43"/>
      <c r="CC16" s="44"/>
      <c r="CD16" s="31" t="str">
        <f>IF(CC16/(INDEX('Standards for Conversions'!$H$47:$H$73,MATCH(CB$2,'Standards for Conversions'!$A$47:$A$73,0)))=0,"",CC16/(INDEX('Standards for Conversions'!$H$47:$H$73,MATCH(CB$2,'Standards for Conversions'!$A$47:$A$73,0))))</f>
        <v/>
      </c>
      <c r="CE16" s="46"/>
      <c r="CF16" s="43"/>
      <c r="CG16" s="44"/>
      <c r="CH16" s="31" t="str">
        <f>IF(CG16/(INDEX('Standards for Conversions'!$H$47:$H$73,MATCH(CF$2,'Standards for Conversions'!$A$47:$A$73,0)))=0,"",CG16/(INDEX('Standards for Conversions'!$H$47:$H$73,MATCH(CF$2,'Standards for Conversions'!$A$47:$A$73,0))))</f>
        <v/>
      </c>
      <c r="CI16" s="43"/>
      <c r="CJ16" s="44"/>
      <c r="CK16" s="31" t="str">
        <f>IF(CJ16/(INDEX('Standards for Conversions'!$H$47:$H$73,MATCH(CI$2,'Standards for Conversions'!$A$47:$A$73,0)))=0,"",CJ16/(INDEX('Standards for Conversions'!$H$47:$H$73,MATCH(CI$2,'Standards for Conversions'!$A$47:$A$73,0))))</f>
        <v/>
      </c>
      <c r="CL16" s="43"/>
      <c r="CM16" s="44"/>
      <c r="CN16" s="31" t="str">
        <f>IF(CM16/(INDEX('Standards for Conversions'!$H$47:$H$73,MATCH(CL$2,'Standards for Conversions'!$A$47:$A$73,0)))=0,"",CM16/(INDEX('Standards for Conversions'!$H$47:$H$73,MATCH(CL$2,'Standards for Conversions'!$A$47:$A$73,0))))</f>
        <v/>
      </c>
      <c r="CO16" s="43"/>
      <c r="CP16" s="44"/>
      <c r="CQ16" s="31" t="str">
        <f>IF(CP16/(INDEX('Standards for Conversions'!$H$47:$H$73,MATCH(CO$2,'Standards for Conversions'!$A$47:$A$73,0)))=0,"",CP16/(INDEX('Standards for Conversions'!$H$47:$H$73,MATCH(CO$2,'Standards for Conversions'!$A$47:$A$73,0))))</f>
        <v/>
      </c>
      <c r="CR16" s="46"/>
      <c r="CS16" s="43"/>
      <c r="CT16" s="44"/>
      <c r="CU16" s="31" t="str">
        <f>IF(CT16/(INDEX('Standards for Conversions'!$H$47:$H$73,MATCH(CS$2,'Standards for Conversions'!$A$47:$A$73,0)))=0,"",CT16/(INDEX('Standards for Conversions'!$H$47:$H$73,MATCH(CS$2,'Standards for Conversions'!$A$47:$A$73,0))))</f>
        <v/>
      </c>
      <c r="CV16" s="43"/>
      <c r="CW16" s="44"/>
      <c r="CX16" s="31" t="str">
        <f>IF(CW16/(INDEX('Standards for Conversions'!$H$47:$H$73,MATCH(CV$2,'Standards for Conversions'!$A$47:$A$73,0)))=0,"",CW16/(INDEX('Standards for Conversions'!$H$47:$H$73,MATCH(CV$2,'Standards for Conversions'!$A$47:$A$73,0))))</f>
        <v/>
      </c>
      <c r="CY16" s="43"/>
      <c r="CZ16" s="44"/>
      <c r="DA16" s="31" t="str">
        <f>IF(CZ16/(INDEX('Standards for Conversions'!$H$47:$H$73,MATCH(CY$2,'Standards for Conversions'!$A$47:$A$73,0)))=0,"",CZ16/(INDEX('Standards for Conversions'!$H$47:$H$73,MATCH(CY$2,'Standards for Conversions'!$A$47:$A$73,0))))</f>
        <v/>
      </c>
      <c r="DB16" s="42"/>
      <c r="DC16" s="45"/>
      <c r="DD16" s="44"/>
      <c r="DE16" s="31" t="str">
        <f>IF(DD16/(INDEX('Standards for Conversions'!$H$47:$H$73,MATCH(DC$2,'Standards for Conversions'!$A$47:$A$73,0)))=0,"",DD16/(INDEX('Standards for Conversions'!$H$47:$H$73,MATCH(DC$2,'Standards for Conversions'!$A$47:$A$73,0))))</f>
        <v/>
      </c>
      <c r="DF16" s="42"/>
      <c r="DG16" s="45"/>
      <c r="DH16" s="44"/>
      <c r="DI16" s="43"/>
      <c r="DJ16" s="44"/>
      <c r="DK16" s="43"/>
      <c r="DL16" s="44"/>
      <c r="DR16" s="29" t="s">
        <v>98</v>
      </c>
      <c r="DS16" s="29">
        <v>30</v>
      </c>
      <c r="DT16" s="29">
        <v>133</v>
      </c>
    </row>
    <row r="17" spans="1:129" ht="15.6" hidden="1" x14ac:dyDescent="0.3">
      <c r="A17" t="s">
        <v>337</v>
      </c>
      <c r="B17" s="10" t="s">
        <v>38</v>
      </c>
      <c r="C17" s="7"/>
      <c r="D17" s="7"/>
      <c r="E17" s="31" t="str">
        <f>IF(D17/(INDEX('Standards for Conversions'!$H$34:$H$73,MATCH(C$2,'Standards for Conversions'!$A$34:$A$73,0)))=0,"",D17/(INDEX('Standards for Conversions'!$H$34:$H$73,MATCH(C$2,'Standards for Conversions'!$A$34:$A$73,0))))</f>
        <v/>
      </c>
      <c r="F17" s="7"/>
      <c r="G17" s="7"/>
      <c r="H17" s="31" t="str">
        <f>IF(G17/(INDEX('Standards for Conversions'!$H$34:$H$73,MATCH(F$2,'Standards for Conversions'!$A$34:$A$73,0)))=0,"",G17/(INDEX('Standards for Conversions'!$H$34:$H$73,MATCH(F$2,'Standards for Conversions'!$A$34:$A$73,0))))</f>
        <v/>
      </c>
      <c r="I17" s="10" t="s">
        <v>38</v>
      </c>
      <c r="J17" s="7"/>
      <c r="K17" s="7"/>
      <c r="L17" s="31" t="str">
        <f>IF(K17/(INDEX('Standards for Conversions'!$H$34:$H$73,MATCH(J$2,'Standards for Conversions'!$A$34:$A$73,0)))=0,"",K17/(INDEX('Standards for Conversions'!$H$34:$H$73,MATCH(J$2,'Standards for Conversions'!$A$34:$A$73,0))))</f>
        <v/>
      </c>
      <c r="M17" s="7"/>
      <c r="N17" s="7"/>
      <c r="O17" s="31" t="str">
        <f>IF(N17/(INDEX('Standards for Conversions'!$H$34:$H$73,MATCH(M$2,'Standards for Conversions'!$A$34:$A$73,0)))=0,"",N17/(INDEX('Standards for Conversions'!$H$34:$H$73,MATCH(M$2,'Standards for Conversions'!$A$34:$A$73,0))))</f>
        <v/>
      </c>
      <c r="P17" s="10" t="s">
        <v>38</v>
      </c>
      <c r="Q17" s="7"/>
      <c r="R17" s="7"/>
      <c r="S17" s="31" t="str">
        <f>IF(R17/(INDEX('Standards for Conversions'!$H$34:$H$73,MATCH(Q$2,'Standards for Conversions'!$A$34:$A$73,0)))=0,"",R17/(INDEX('Standards for Conversions'!$H$34:$H$73,MATCH(Q$2,'Standards for Conversions'!$A$34:$A$73,0))))</f>
        <v/>
      </c>
      <c r="T17" s="10" t="s">
        <v>38</v>
      </c>
      <c r="U17" s="7"/>
      <c r="V17" s="7"/>
      <c r="W17" s="31" t="str">
        <f>IF(V17/(INDEX('Standards for Conversions'!$H$34:$H$73,MATCH(U$2,'Standards for Conversions'!$A$34:$A$73,0)))=0,"",V17/(INDEX('Standards for Conversions'!$H$34:$H$73,MATCH(U$2,'Standards for Conversions'!$A$34:$A$73,0))))</f>
        <v/>
      </c>
      <c r="X17" s="10" t="s">
        <v>38</v>
      </c>
      <c r="Y17" s="7"/>
      <c r="Z17" s="7"/>
      <c r="AA17" s="31" t="str">
        <f>IF(Z17/(INDEX('Standards for Conversions'!$H$34:$H$73,MATCH(Y$2,'Standards for Conversions'!$A$34:$A$73,0)))=0,"",Z17/(INDEX('Standards for Conversions'!$H$34:$H$73,MATCH(Y$2,'Standards for Conversions'!$A$34:$A$73,0))))</f>
        <v/>
      </c>
      <c r="AB17" s="7"/>
      <c r="AC17" s="7"/>
      <c r="AD17" s="31" t="str">
        <f>IF(AC17/(INDEX('Standards for Conversions'!$H$34:$H$73,MATCH(AB$2,'Standards for Conversions'!$A$34:$A$73,0)))=0,"",AC17/(INDEX('Standards for Conversions'!$H$34:$H$73,MATCH(AB$2,'Standards for Conversions'!$A$34:$A$73,0))))</f>
        <v/>
      </c>
      <c r="AE17" s="10" t="s">
        <v>38</v>
      </c>
      <c r="AF17" s="7"/>
      <c r="AG17" s="7"/>
      <c r="AH17" s="31" t="str">
        <f>IF(AG17/(INDEX('Standards for Conversions'!$H$34:$H$73,MATCH(AF$2,'Standards for Conversions'!$A$34:$A$73,0)))=0,"",AG17/(INDEX('Standards for Conversions'!$H$34:$H$73,MATCH(AF$2,'Standards for Conversions'!$A$34:$A$73,0))))</f>
        <v/>
      </c>
      <c r="AI17" s="10" t="s">
        <v>38</v>
      </c>
      <c r="AJ17" s="7"/>
      <c r="AK17" s="7"/>
      <c r="AL17" s="31" t="str">
        <f>IF(AK17/(INDEX('Standards for Conversions'!$H$34:$H$73,MATCH(AJ$2,'Standards for Conversions'!$A$34:$A$73,0)))=0,"",AK17/(INDEX('Standards for Conversions'!$H$34:$H$73,MATCH(AJ$2,'Standards for Conversions'!$A$34:$A$73,0))))</f>
        <v/>
      </c>
      <c r="AM17" s="7"/>
      <c r="AN17" s="7"/>
      <c r="AO17" s="31" t="str">
        <f>IF(AN17/(INDEX('Standards for Conversions'!$H$34:$H$73,MATCH(AM$2,'Standards for Conversions'!$A$34:$A$73,0)))=0,"",AN17/(INDEX('Standards for Conversions'!$H$34:$H$73,MATCH(AM$2,'Standards for Conversions'!$A$34:$A$73,0))))</f>
        <v/>
      </c>
      <c r="AP17" s="7"/>
      <c r="AQ17" s="7"/>
      <c r="AR17" s="31" t="str">
        <f>IF(AQ17/(INDEX('Standards for Conversions'!$H$34:$H$73,MATCH(AP$2,'Standards for Conversions'!$A$34:$A$73,0)))=0,"",AQ17/(INDEX('Standards for Conversions'!$H$34:$H$73,MATCH(AP$2,'Standards for Conversions'!$A$34:$A$73,0))))</f>
        <v/>
      </c>
      <c r="AS17" s="7"/>
      <c r="AT17" s="7"/>
      <c r="AU17" s="31" t="str">
        <f>IF(AT17/(INDEX('Standards for Conversions'!$H$34:$H$73,MATCH(AS$2,'Standards for Conversions'!$A$34:$A$73,0)))=0,"",AT17/(INDEX('Standards for Conversions'!$H$34:$H$73,MATCH(AS$2,'Standards for Conversions'!$A$34:$A$73,0))))</f>
        <v/>
      </c>
      <c r="AV17" s="7"/>
      <c r="AW17" s="7"/>
      <c r="AX17" s="31" t="str">
        <f>IF(AW17/(INDEX('Standards for Conversions'!$H$47:$H$73,MATCH(AV$2,'Standards for Conversions'!$A$47:$A$73,0)))=0,"",AW17/(INDEX('Standards for Conversions'!$H$47:$H$73,MATCH(AV$2,'Standards for Conversions'!$A$47:$A$73,0))))</f>
        <v/>
      </c>
      <c r="AY17" s="47" t="s">
        <v>38</v>
      </c>
      <c r="AZ17" s="29">
        <v>800</v>
      </c>
      <c r="BA17" s="29">
        <v>3200</v>
      </c>
      <c r="BB17" s="31">
        <f>IF(BA17/(INDEX('Standards for Conversions'!$H$47:$H$73,MATCH(AZ$2,'Standards for Conversions'!$A$47:$A$73,0)))=0,"",BA17/(INDEX('Standards for Conversions'!$H$47:$H$73,MATCH(AZ$2,'Standards for Conversions'!$A$47:$A$73,0))))</f>
        <v>464.78531908113905</v>
      </c>
      <c r="BC17" s="29">
        <v>850</v>
      </c>
      <c r="BD17" s="29">
        <v>3500</v>
      </c>
      <c r="BE17" s="31">
        <f>IF(BD17/(INDEX('Standards for Conversions'!$H$47:$H$73,MATCH(BC$2,'Standards for Conversions'!$A$47:$A$73,0)))=0,"",BD17/(INDEX('Standards for Conversions'!$H$47:$H$73,MATCH(BC$2,'Standards for Conversions'!$A$47:$A$73,0))))</f>
        <v>506.13579868051329</v>
      </c>
      <c r="BF17" s="47" t="s">
        <v>38</v>
      </c>
      <c r="BG17" s="29">
        <v>700</v>
      </c>
      <c r="BH17" s="29">
        <v>3000</v>
      </c>
      <c r="BI17" s="31">
        <f>IF(BH17/(INDEX('Standards for Conversions'!$H$47:$H$73,MATCH(BG$2,'Standards for Conversions'!$A$47:$A$73,0)))=0,"",BH17/(INDEX('Standards for Conversions'!$H$47:$H$73,MATCH(BG$2,'Standards for Conversions'!$A$47:$A$73,0))))</f>
        <v>485.28059007560609</v>
      </c>
      <c r="BJ17" s="47" t="s">
        <v>38</v>
      </c>
      <c r="BK17" s="29">
        <v>750</v>
      </c>
      <c r="BL17" s="29">
        <v>3000</v>
      </c>
      <c r="BM17" s="31">
        <f>IF(BL17/(INDEX('Standards for Conversions'!$H$47:$H$73,MATCH(BK$2,'Standards for Conversions'!$A$47:$A$73,0)))=0,"",BL17/(INDEX('Standards for Conversions'!$H$47:$H$73,MATCH(BK$2,'Standards for Conversions'!$A$47:$A$73,0))))</f>
        <v>457.96767728339267</v>
      </c>
      <c r="BN17" s="29">
        <v>700</v>
      </c>
      <c r="BO17" s="29">
        <v>2500</v>
      </c>
      <c r="BP17" s="31">
        <f>IF(BO17/(INDEX('Standards for Conversions'!$H$47:$H$73,MATCH(BN$2,'Standards for Conversions'!$A$47:$A$73,0)))=0,"",BO17/(INDEX('Standards for Conversions'!$H$47:$H$73,MATCH(BN$2,'Standards for Conversions'!$A$47:$A$73,0))))</f>
        <v>336.64752976449114</v>
      </c>
      <c r="BQ17" s="47" t="s">
        <v>38</v>
      </c>
      <c r="BR17" s="29">
        <v>800</v>
      </c>
      <c r="BS17" s="29">
        <v>3000</v>
      </c>
      <c r="BT17" s="31">
        <f>IF(BS17/(INDEX('Standards for Conversions'!$H$47:$H$73,MATCH(BR$2,'Standards for Conversions'!$A$47:$A$73,0)))=0,"",BS17/(INDEX('Standards for Conversions'!$H$47:$H$73,MATCH(BR$2,'Standards for Conversions'!$A$47:$A$73,0))))</f>
        <v>364.84970018249754</v>
      </c>
      <c r="BU17" s="47" t="s">
        <v>38</v>
      </c>
      <c r="BV17" s="43"/>
      <c r="BW17" s="44"/>
      <c r="BX17" s="31" t="str">
        <f>IF(BW17/(INDEX('Standards for Conversions'!$H$47:$H$73,MATCH(BV$2,'Standards for Conversions'!$A$47:$A$73,0)))=0,"",BW17/(INDEX('Standards for Conversions'!$H$47:$H$73,MATCH(BV$2,'Standards for Conversions'!$A$47:$A$73,0))))</f>
        <v/>
      </c>
      <c r="BY17" s="43"/>
      <c r="BZ17" s="44"/>
      <c r="CA17" s="31" t="str">
        <f>IF(BZ17/(INDEX('Standards for Conversions'!$H$47:$H$73,MATCH(BY$2,'Standards for Conversions'!$A$47:$A$73,0)))=0,"",BZ17/(INDEX('Standards for Conversions'!$H$47:$H$73,MATCH(BY$2,'Standards for Conversions'!$A$47:$A$73,0))))</f>
        <v/>
      </c>
      <c r="CB17" s="43"/>
      <c r="CC17" s="44"/>
      <c r="CD17" s="31" t="str">
        <f>IF(CC17/(INDEX('Standards for Conversions'!$H$47:$H$73,MATCH(CB$2,'Standards for Conversions'!$A$47:$A$73,0)))=0,"",CC17/(INDEX('Standards for Conversions'!$H$47:$H$73,MATCH(CB$2,'Standards for Conversions'!$A$47:$A$73,0))))</f>
        <v/>
      </c>
      <c r="CE17" s="46"/>
      <c r="CF17" s="43"/>
      <c r="CG17" s="44"/>
      <c r="CH17" s="31" t="str">
        <f>IF(CG17/(INDEX('Standards for Conversions'!$H$47:$H$73,MATCH(CF$2,'Standards for Conversions'!$A$47:$A$73,0)))=0,"",CG17/(INDEX('Standards for Conversions'!$H$47:$H$73,MATCH(CF$2,'Standards for Conversions'!$A$47:$A$73,0))))</f>
        <v/>
      </c>
      <c r="CI17" s="43"/>
      <c r="CJ17" s="44"/>
      <c r="CK17" s="31" t="str">
        <f>IF(CJ17/(INDEX('Standards for Conversions'!$H$47:$H$73,MATCH(CI$2,'Standards for Conversions'!$A$47:$A$73,0)))=0,"",CJ17/(INDEX('Standards for Conversions'!$H$47:$H$73,MATCH(CI$2,'Standards for Conversions'!$A$47:$A$73,0))))</f>
        <v/>
      </c>
      <c r="CL17" s="43"/>
      <c r="CM17" s="44"/>
      <c r="CN17" s="31" t="str">
        <f>IF(CM17/(INDEX('Standards for Conversions'!$H$47:$H$73,MATCH(CL$2,'Standards for Conversions'!$A$47:$A$73,0)))=0,"",CM17/(INDEX('Standards for Conversions'!$H$47:$H$73,MATCH(CL$2,'Standards for Conversions'!$A$47:$A$73,0))))</f>
        <v/>
      </c>
      <c r="CO17" s="43"/>
      <c r="CP17" s="44"/>
      <c r="CQ17" s="31" t="str">
        <f>IF(CP17/(INDEX('Standards for Conversions'!$H$47:$H$73,MATCH(CO$2,'Standards for Conversions'!$A$47:$A$73,0)))=0,"",CP17/(INDEX('Standards for Conversions'!$H$47:$H$73,MATCH(CO$2,'Standards for Conversions'!$A$47:$A$73,0))))</f>
        <v/>
      </c>
      <c r="CR17" s="46"/>
      <c r="CS17" s="43"/>
      <c r="CT17" s="44"/>
      <c r="CU17" s="31" t="str">
        <f>IF(CT17/(INDEX('Standards for Conversions'!$H$47:$H$73,MATCH(CS$2,'Standards for Conversions'!$A$47:$A$73,0)))=0,"",CT17/(INDEX('Standards for Conversions'!$H$47:$H$73,MATCH(CS$2,'Standards for Conversions'!$A$47:$A$73,0))))</f>
        <v/>
      </c>
      <c r="CV17" s="43"/>
      <c r="CW17" s="44"/>
      <c r="CX17" s="31" t="str">
        <f>IF(CW17/(INDEX('Standards for Conversions'!$H$47:$H$73,MATCH(CV$2,'Standards for Conversions'!$A$47:$A$73,0)))=0,"",CW17/(INDEX('Standards for Conversions'!$H$47:$H$73,MATCH(CV$2,'Standards for Conversions'!$A$47:$A$73,0))))</f>
        <v/>
      </c>
      <c r="CY17" s="43"/>
      <c r="CZ17" s="44"/>
      <c r="DA17" s="31" t="str">
        <f>IF(CZ17/(INDEX('Standards for Conversions'!$H$47:$H$73,MATCH(CY$2,'Standards for Conversions'!$A$47:$A$73,0)))=0,"",CZ17/(INDEX('Standards for Conversions'!$H$47:$H$73,MATCH(CY$2,'Standards for Conversions'!$A$47:$A$73,0))))</f>
        <v/>
      </c>
      <c r="DB17" s="42"/>
      <c r="DC17" s="45"/>
      <c r="DD17" s="44"/>
      <c r="DE17" s="31" t="str">
        <f>IF(DD17/(INDEX('Standards for Conversions'!$H$47:$H$73,MATCH(DC$2,'Standards for Conversions'!$A$47:$A$73,0)))=0,"",DD17/(INDEX('Standards for Conversions'!$H$47:$H$73,MATCH(DC$2,'Standards for Conversions'!$A$47:$A$73,0))))</f>
        <v/>
      </c>
      <c r="DF17" s="42"/>
      <c r="DG17" s="45"/>
      <c r="DH17" s="44"/>
      <c r="DI17" s="43"/>
      <c r="DJ17" s="44"/>
      <c r="DK17" s="43"/>
      <c r="DL17" s="44"/>
      <c r="DR17" s="29" t="s">
        <v>98</v>
      </c>
      <c r="DS17" s="29">
        <v>161</v>
      </c>
      <c r="DT17" s="29">
        <v>1113</v>
      </c>
      <c r="DU17" s="29">
        <v>246</v>
      </c>
      <c r="DV17" s="29">
        <v>507</v>
      </c>
    </row>
    <row r="18" spans="1:129" ht="15.6" hidden="1" x14ac:dyDescent="0.3">
      <c r="A18" t="s">
        <v>338</v>
      </c>
      <c r="B18" s="122"/>
      <c r="C18" s="7"/>
      <c r="D18" s="7"/>
      <c r="E18" s="31" t="str">
        <f>IF(D18/(INDEX('Standards for Conversions'!$H$34:$H$73,MATCH(C$2,'Standards for Conversions'!$A$34:$A$73,0)))=0,"",D18/(INDEX('Standards for Conversions'!$H$34:$H$73,MATCH(C$2,'Standards for Conversions'!$A$34:$A$73,0))))</f>
        <v/>
      </c>
      <c r="F18" s="7"/>
      <c r="G18" s="7"/>
      <c r="H18" s="31" t="str">
        <f>IF(G18/(INDEX('Standards for Conversions'!$H$34:$H$73,MATCH(F$2,'Standards for Conversions'!$A$34:$A$73,0)))=0,"",G18/(INDEX('Standards for Conversions'!$H$34:$H$73,MATCH(F$2,'Standards for Conversions'!$A$34:$A$73,0))))</f>
        <v/>
      </c>
      <c r="I18" s="122"/>
      <c r="J18" s="7"/>
      <c r="K18" s="7"/>
      <c r="L18" s="31" t="str">
        <f>IF(K18/(INDEX('Standards for Conversions'!$H$34:$H$73,MATCH(J$2,'Standards for Conversions'!$A$34:$A$73,0)))=0,"",K18/(INDEX('Standards for Conversions'!$H$34:$H$73,MATCH(J$2,'Standards for Conversions'!$A$34:$A$73,0))))</f>
        <v/>
      </c>
      <c r="M18" s="7"/>
      <c r="N18" s="7"/>
      <c r="O18" s="31" t="str">
        <f>IF(N18/(INDEX('Standards for Conversions'!$H$34:$H$73,MATCH(M$2,'Standards for Conversions'!$A$34:$A$73,0)))=0,"",N18/(INDEX('Standards for Conversions'!$H$34:$H$73,MATCH(M$2,'Standards for Conversions'!$A$34:$A$73,0))))</f>
        <v/>
      </c>
      <c r="P18" s="122"/>
      <c r="Q18" s="7"/>
      <c r="R18" s="7"/>
      <c r="S18" s="31" t="str">
        <f>IF(R18/(INDEX('Standards for Conversions'!$H$34:$H$73,MATCH(Q$2,'Standards for Conversions'!$A$34:$A$73,0)))=0,"",R18/(INDEX('Standards for Conversions'!$H$34:$H$73,MATCH(Q$2,'Standards for Conversions'!$A$34:$A$73,0))))</f>
        <v/>
      </c>
      <c r="T18" s="122"/>
      <c r="U18" s="7"/>
      <c r="V18" s="7"/>
      <c r="W18" s="31" t="str">
        <f>IF(V18/(INDEX('Standards for Conversions'!$H$34:$H$73,MATCH(U$2,'Standards for Conversions'!$A$34:$A$73,0)))=0,"",V18/(INDEX('Standards for Conversions'!$H$34:$H$73,MATCH(U$2,'Standards for Conversions'!$A$34:$A$73,0))))</f>
        <v/>
      </c>
      <c r="X18" s="122"/>
      <c r="Y18" s="7"/>
      <c r="Z18" s="7"/>
      <c r="AA18" s="31" t="str">
        <f>IF(Z18/(INDEX('Standards for Conversions'!$H$34:$H$73,MATCH(Y$2,'Standards for Conversions'!$A$34:$A$73,0)))=0,"",Z18/(INDEX('Standards for Conversions'!$H$34:$H$73,MATCH(Y$2,'Standards for Conversions'!$A$34:$A$73,0))))</f>
        <v/>
      </c>
      <c r="AB18" s="7"/>
      <c r="AC18" s="7"/>
      <c r="AD18" s="31" t="str">
        <f>IF(AC18/(INDEX('Standards for Conversions'!$H$34:$H$73,MATCH(AB$2,'Standards for Conversions'!$A$34:$A$73,0)))=0,"",AC18/(INDEX('Standards for Conversions'!$H$34:$H$73,MATCH(AB$2,'Standards for Conversions'!$A$34:$A$73,0))))</f>
        <v/>
      </c>
      <c r="AE18" s="122"/>
      <c r="AF18" s="7"/>
      <c r="AG18" s="7"/>
      <c r="AH18" s="31" t="str">
        <f>IF(AG18/(INDEX('Standards for Conversions'!$H$34:$H$73,MATCH(AF$2,'Standards for Conversions'!$A$34:$A$73,0)))=0,"",AG18/(INDEX('Standards for Conversions'!$H$34:$H$73,MATCH(AF$2,'Standards for Conversions'!$A$34:$A$73,0))))</f>
        <v/>
      </c>
      <c r="AI18" s="122"/>
      <c r="AJ18" s="7"/>
      <c r="AK18" s="7"/>
      <c r="AL18" s="31" t="str">
        <f>IF(AK18/(INDEX('Standards for Conversions'!$H$34:$H$73,MATCH(AJ$2,'Standards for Conversions'!$A$34:$A$73,0)))=0,"",AK18/(INDEX('Standards for Conversions'!$H$34:$H$73,MATCH(AJ$2,'Standards for Conversions'!$A$34:$A$73,0))))</f>
        <v/>
      </c>
      <c r="AM18" s="7"/>
      <c r="AN18" s="7"/>
      <c r="AO18" s="31" t="str">
        <f>IF(AN18/(INDEX('Standards for Conversions'!$H$34:$H$73,MATCH(AM$2,'Standards for Conversions'!$A$34:$A$73,0)))=0,"",AN18/(INDEX('Standards for Conversions'!$H$34:$H$73,MATCH(AM$2,'Standards for Conversions'!$A$34:$A$73,0))))</f>
        <v/>
      </c>
      <c r="AP18" s="7"/>
      <c r="AQ18" s="7"/>
      <c r="AR18" s="31" t="str">
        <f>IF(AQ18/(INDEX('Standards for Conversions'!$H$34:$H$73,MATCH(AP$2,'Standards for Conversions'!$A$34:$A$73,0)))=0,"",AQ18/(INDEX('Standards for Conversions'!$H$34:$H$73,MATCH(AP$2,'Standards for Conversions'!$A$34:$A$73,0))))</f>
        <v/>
      </c>
      <c r="AS18" s="7"/>
      <c r="AT18" s="7"/>
      <c r="AU18" s="31" t="str">
        <f>IF(AT18/(INDEX('Standards for Conversions'!$H$34:$H$73,MATCH(AS$2,'Standards for Conversions'!$A$34:$A$73,0)))=0,"",AT18/(INDEX('Standards for Conversions'!$H$34:$H$73,MATCH(AS$2,'Standards for Conversions'!$A$34:$A$73,0))))</f>
        <v/>
      </c>
      <c r="AV18" s="7"/>
      <c r="AW18" s="7"/>
      <c r="AX18" s="31" t="str">
        <f>IF(AW18/(INDEX('Standards for Conversions'!$H$47:$H$73,MATCH(AV$2,'Standards for Conversions'!$A$47:$A$73,0)))=0,"",AW18/(INDEX('Standards for Conversions'!$H$47:$H$73,MATCH(AV$2,'Standards for Conversions'!$A$47:$A$73,0))))</f>
        <v/>
      </c>
      <c r="AY18" s="42"/>
      <c r="BB18" s="31" t="str">
        <f>IF(BA18/(INDEX('Standards for Conversions'!$H$47:$H$73,MATCH(AZ$2,'Standards for Conversions'!$A$47:$A$73,0)))=0,"",BA18/(INDEX('Standards for Conversions'!$H$47:$H$73,MATCH(AZ$2,'Standards for Conversions'!$A$47:$A$73,0))))</f>
        <v/>
      </c>
      <c r="BE18" s="31" t="str">
        <f>IF(BD18/(INDEX('Standards for Conversions'!$H$47:$H$73,MATCH(BC$2,'Standards for Conversions'!$A$47:$A$73,0)))=0,"",BD18/(INDEX('Standards for Conversions'!$H$47:$H$73,MATCH(BC$2,'Standards for Conversions'!$A$47:$A$73,0))))</f>
        <v/>
      </c>
      <c r="BF18" s="42"/>
      <c r="BI18" s="31" t="str">
        <f>IF(BH18/(INDEX('Standards for Conversions'!$H$47:$H$73,MATCH(BG$2,'Standards for Conversions'!$A$47:$A$73,0)))=0,"",BH18/(INDEX('Standards for Conversions'!$H$47:$H$73,MATCH(BG$2,'Standards for Conversions'!$A$47:$A$73,0))))</f>
        <v/>
      </c>
      <c r="BJ18" s="42"/>
      <c r="BL18" s="29">
        <v>0</v>
      </c>
      <c r="BM18" s="31" t="str">
        <f>IF(BL18/(INDEX('Standards for Conversions'!$H$47:$H$73,MATCH(BK$2,'Standards for Conversions'!$A$47:$A$73,0)))=0,"",BL18/(INDEX('Standards for Conversions'!$H$47:$H$73,MATCH(BK$2,'Standards for Conversions'!$A$47:$A$73,0))))</f>
        <v/>
      </c>
      <c r="BP18" s="31" t="str">
        <f>IF(BO18/(INDEX('Standards for Conversions'!$H$47:$H$73,MATCH(BN$2,'Standards for Conversions'!$A$47:$A$73,0)))=0,"",BO18/(INDEX('Standards for Conversions'!$H$47:$H$73,MATCH(BN$2,'Standards for Conversions'!$A$47:$A$73,0))))</f>
        <v/>
      </c>
      <c r="BQ18" s="42"/>
      <c r="BT18" s="31" t="str">
        <f>IF(BS18/(INDEX('Standards for Conversions'!$H$47:$H$73,MATCH(BR$2,'Standards for Conversions'!$A$47:$A$73,0)))=0,"",BS18/(INDEX('Standards for Conversions'!$H$47:$H$73,MATCH(BR$2,'Standards for Conversions'!$A$47:$A$73,0))))</f>
        <v/>
      </c>
      <c r="BU18" s="140"/>
      <c r="BV18" s="43"/>
      <c r="BW18" s="44"/>
      <c r="BX18" s="31" t="str">
        <f>IF(BW18/(INDEX('Standards for Conversions'!$H$47:$H$73,MATCH(BV$2,'Standards for Conversions'!$A$47:$A$73,0)))=0,"",BW18/(INDEX('Standards for Conversions'!$H$47:$H$73,MATCH(BV$2,'Standards for Conversions'!$A$47:$A$73,0))))</f>
        <v/>
      </c>
      <c r="BY18" s="43"/>
      <c r="BZ18" s="44"/>
      <c r="CA18" s="31" t="str">
        <f>IF(BZ18/(INDEX('Standards for Conversions'!$H$47:$H$73,MATCH(BY$2,'Standards for Conversions'!$A$47:$A$73,0)))=0,"",BZ18/(INDEX('Standards for Conversions'!$H$47:$H$73,MATCH(BY$2,'Standards for Conversions'!$A$47:$A$73,0))))</f>
        <v/>
      </c>
      <c r="CB18" s="43"/>
      <c r="CC18" s="44"/>
      <c r="CD18" s="31" t="str">
        <f>IF(CC18/(INDEX('Standards for Conversions'!$H$47:$H$73,MATCH(CB$2,'Standards for Conversions'!$A$47:$A$73,0)))=0,"",CC18/(INDEX('Standards for Conversions'!$H$47:$H$73,MATCH(CB$2,'Standards for Conversions'!$A$47:$A$73,0))))</f>
        <v/>
      </c>
      <c r="CE18" s="46"/>
      <c r="CF18" s="43"/>
      <c r="CG18" s="44"/>
      <c r="CH18" s="31" t="str">
        <f>IF(CG18/(INDEX('Standards for Conversions'!$H$47:$H$73,MATCH(CF$2,'Standards for Conversions'!$A$47:$A$73,0)))=0,"",CG18/(INDEX('Standards for Conversions'!$H$47:$H$73,MATCH(CF$2,'Standards for Conversions'!$A$47:$A$73,0))))</f>
        <v/>
      </c>
      <c r="CI18" s="43"/>
      <c r="CJ18" s="44"/>
      <c r="CK18" s="31" t="str">
        <f>IF(CJ18/(INDEX('Standards for Conversions'!$H$47:$H$73,MATCH(CI$2,'Standards for Conversions'!$A$47:$A$73,0)))=0,"",CJ18/(INDEX('Standards for Conversions'!$H$47:$H$73,MATCH(CI$2,'Standards for Conversions'!$A$47:$A$73,0))))</f>
        <v/>
      </c>
      <c r="CL18" s="43"/>
      <c r="CM18" s="44"/>
      <c r="CN18" s="31" t="str">
        <f>IF(CM18/(INDEX('Standards for Conversions'!$H$47:$H$73,MATCH(CL$2,'Standards for Conversions'!$A$47:$A$73,0)))=0,"",CM18/(INDEX('Standards for Conversions'!$H$47:$H$73,MATCH(CL$2,'Standards for Conversions'!$A$47:$A$73,0))))</f>
        <v/>
      </c>
      <c r="CO18" s="43"/>
      <c r="CP18" s="44"/>
      <c r="CQ18" s="31" t="str">
        <f>IF(CP18/(INDEX('Standards for Conversions'!$H$47:$H$73,MATCH(CO$2,'Standards for Conversions'!$A$47:$A$73,0)))=0,"",CP18/(INDEX('Standards for Conversions'!$H$47:$H$73,MATCH(CO$2,'Standards for Conversions'!$A$47:$A$73,0))))</f>
        <v/>
      </c>
      <c r="CR18" s="46"/>
      <c r="CS18" s="43"/>
      <c r="CT18" s="44"/>
      <c r="CU18" s="31" t="str">
        <f>IF(CT18/(INDEX('Standards for Conversions'!$H$47:$H$73,MATCH(CS$2,'Standards for Conversions'!$A$47:$A$73,0)))=0,"",CT18/(INDEX('Standards for Conversions'!$H$47:$H$73,MATCH(CS$2,'Standards for Conversions'!$A$47:$A$73,0))))</f>
        <v/>
      </c>
      <c r="CV18" s="43"/>
      <c r="CW18" s="44"/>
      <c r="CX18" s="31" t="str">
        <f>IF(CW18/(INDEX('Standards for Conversions'!$H$47:$H$73,MATCH(CV$2,'Standards for Conversions'!$A$47:$A$73,0)))=0,"",CW18/(INDEX('Standards for Conversions'!$H$47:$H$73,MATCH(CV$2,'Standards for Conversions'!$A$47:$A$73,0))))</f>
        <v/>
      </c>
      <c r="CY18" s="43"/>
      <c r="CZ18" s="44"/>
      <c r="DA18" s="31" t="str">
        <f>IF(CZ18/(INDEX('Standards for Conversions'!$H$47:$H$73,MATCH(CY$2,'Standards for Conversions'!$A$47:$A$73,0)))=0,"",CZ18/(INDEX('Standards for Conversions'!$H$47:$H$73,MATCH(CY$2,'Standards for Conversions'!$A$47:$A$73,0))))</f>
        <v/>
      </c>
      <c r="DB18" s="42"/>
      <c r="DC18" s="45"/>
      <c r="DD18" s="44"/>
      <c r="DE18" s="31" t="str">
        <f>IF(DD18/(INDEX('Standards for Conversions'!$H$47:$H$73,MATCH(DC$2,'Standards for Conversions'!$A$47:$A$73,0)))=0,"",DD18/(INDEX('Standards for Conversions'!$H$47:$H$73,MATCH(DC$2,'Standards for Conversions'!$A$47:$A$73,0))))</f>
        <v/>
      </c>
      <c r="DF18" s="42"/>
      <c r="DG18" s="45"/>
      <c r="DH18" s="44"/>
      <c r="DI18" s="43"/>
      <c r="DJ18" s="44"/>
      <c r="DK18" s="43"/>
      <c r="DL18" s="44"/>
      <c r="DR18" s="29" t="s">
        <v>98</v>
      </c>
      <c r="DS18" s="29">
        <v>972</v>
      </c>
      <c r="DT18" s="29">
        <v>259</v>
      </c>
      <c r="DU18" s="29">
        <v>352</v>
      </c>
      <c r="DV18" s="29">
        <v>118</v>
      </c>
    </row>
    <row r="19" spans="1:129" hidden="1" x14ac:dyDescent="0.3">
      <c r="A19" t="s">
        <v>21</v>
      </c>
      <c r="C19" s="7"/>
      <c r="D19" s="7"/>
      <c r="E19" s="31" t="str">
        <f>IF(D19/(INDEX('Standards for Conversions'!$H$34:$H$73,MATCH(C$2,'Standards for Conversions'!$A$34:$A$73,0)))=0,"",D19/(INDEX('Standards for Conversions'!$H$34:$H$73,MATCH(C$2,'Standards for Conversions'!$A$34:$A$73,0))))</f>
        <v/>
      </c>
      <c r="F19" s="7"/>
      <c r="G19" s="7"/>
      <c r="H19" s="31" t="str">
        <f>IF(G19/(INDEX('Standards for Conversions'!$H$34:$H$73,MATCH(F$2,'Standards for Conversions'!$A$34:$A$73,0)))=0,"",G19/(INDEX('Standards for Conversions'!$H$34:$H$73,MATCH(F$2,'Standards for Conversions'!$A$34:$A$73,0))))</f>
        <v/>
      </c>
      <c r="J19" s="7"/>
      <c r="K19" s="7"/>
      <c r="L19" s="31" t="str">
        <f>IF(K19/(INDEX('Standards for Conversions'!$H$34:$H$73,MATCH(J$2,'Standards for Conversions'!$A$34:$A$73,0)))=0,"",K19/(INDEX('Standards for Conversions'!$H$34:$H$73,MATCH(J$2,'Standards for Conversions'!$A$34:$A$73,0))))</f>
        <v/>
      </c>
      <c r="M19" s="7"/>
      <c r="N19" s="7"/>
      <c r="O19" s="31" t="str">
        <f>IF(N19/(INDEX('Standards for Conversions'!$H$34:$H$73,MATCH(M$2,'Standards for Conversions'!$A$34:$A$73,0)))=0,"",N19/(INDEX('Standards for Conversions'!$H$34:$H$73,MATCH(M$2,'Standards for Conversions'!$A$34:$A$73,0))))</f>
        <v/>
      </c>
      <c r="Q19" s="7"/>
      <c r="R19" s="7"/>
      <c r="S19" s="31" t="str">
        <f>IF(R19/(INDEX('Standards for Conversions'!$H$34:$H$73,MATCH(Q$2,'Standards for Conversions'!$A$34:$A$73,0)))=0,"",R19/(INDEX('Standards for Conversions'!$H$34:$H$73,MATCH(Q$2,'Standards for Conversions'!$A$34:$A$73,0))))</f>
        <v/>
      </c>
      <c r="U19" s="7"/>
      <c r="V19" s="7"/>
      <c r="W19" s="31" t="str">
        <f>IF(V19/(INDEX('Standards for Conversions'!$H$34:$H$73,MATCH(U$2,'Standards for Conversions'!$A$34:$A$73,0)))=0,"",V19/(INDEX('Standards for Conversions'!$H$34:$H$73,MATCH(U$2,'Standards for Conversions'!$A$34:$A$73,0))))</f>
        <v/>
      </c>
      <c r="Y19" s="7"/>
      <c r="Z19" s="7"/>
      <c r="AA19" s="31" t="str">
        <f>IF(Z19/(INDEX('Standards for Conversions'!$H$34:$H$73,MATCH(Y$2,'Standards for Conversions'!$A$34:$A$73,0)))=0,"",Z19/(INDEX('Standards for Conversions'!$H$34:$H$73,MATCH(Y$2,'Standards for Conversions'!$A$34:$A$73,0))))</f>
        <v/>
      </c>
      <c r="AB19" s="7"/>
      <c r="AC19" s="7"/>
      <c r="AD19" s="31" t="str">
        <f>IF(AC19/(INDEX('Standards for Conversions'!$H$34:$H$73,MATCH(AB$2,'Standards for Conversions'!$A$34:$A$73,0)))=0,"",AC19/(INDEX('Standards for Conversions'!$H$34:$H$73,MATCH(AB$2,'Standards for Conversions'!$A$34:$A$73,0))))</f>
        <v/>
      </c>
      <c r="AF19" s="7"/>
      <c r="AG19" s="7"/>
      <c r="AH19" s="31" t="str">
        <f>IF(AG19/(INDEX('Standards for Conversions'!$H$34:$H$73,MATCH(AF$2,'Standards for Conversions'!$A$34:$A$73,0)))=0,"",AG19/(INDEX('Standards for Conversions'!$H$34:$H$73,MATCH(AF$2,'Standards for Conversions'!$A$34:$A$73,0))))</f>
        <v/>
      </c>
      <c r="AJ19" s="7"/>
      <c r="AK19" s="7"/>
      <c r="AL19" s="31" t="str">
        <f>IF(AK19/(INDEX('Standards for Conversions'!$H$34:$H$73,MATCH(AJ$2,'Standards for Conversions'!$A$34:$A$73,0)))=0,"",AK19/(INDEX('Standards for Conversions'!$H$34:$H$73,MATCH(AJ$2,'Standards for Conversions'!$A$34:$A$73,0))))</f>
        <v/>
      </c>
      <c r="AM19" s="7"/>
      <c r="AN19" s="7"/>
      <c r="AO19" s="31" t="str">
        <f>IF(AN19/(INDEX('Standards for Conversions'!$H$34:$H$73,MATCH(AM$2,'Standards for Conversions'!$A$34:$A$73,0)))=0,"",AN19/(INDEX('Standards for Conversions'!$H$34:$H$73,MATCH(AM$2,'Standards for Conversions'!$A$34:$A$73,0))))</f>
        <v/>
      </c>
      <c r="AP19" s="7"/>
      <c r="AQ19" s="7"/>
      <c r="AR19" s="31" t="str">
        <f>IF(AQ19/(INDEX('Standards for Conversions'!$H$34:$H$73,MATCH(AP$2,'Standards for Conversions'!$A$34:$A$73,0)))=0,"",AQ19/(INDEX('Standards for Conversions'!$H$34:$H$73,MATCH(AP$2,'Standards for Conversions'!$A$34:$A$73,0))))</f>
        <v/>
      </c>
      <c r="AS19" s="7"/>
      <c r="AT19" s="7"/>
      <c r="AU19" s="31" t="str">
        <f>IF(AT19/(INDEX('Standards for Conversions'!$H$34:$H$73,MATCH(AS$2,'Standards for Conversions'!$A$34:$A$73,0)))=0,"",AT19/(INDEX('Standards for Conversions'!$H$34:$H$73,MATCH(AS$2,'Standards for Conversions'!$A$34:$A$73,0))))</f>
        <v/>
      </c>
      <c r="AV19" s="7"/>
      <c r="AW19" s="7"/>
      <c r="AX19" s="31" t="str">
        <f>IF(AW19/(INDEX('Standards for Conversions'!$H$47:$H$73,MATCH(AV$2,'Standards for Conversions'!$A$47:$A$73,0)))=0,"",AW19/(INDEX('Standards for Conversions'!$H$47:$H$73,MATCH(AV$2,'Standards for Conversions'!$A$47:$A$73,0))))</f>
        <v/>
      </c>
      <c r="BA19" s="29">
        <v>35000</v>
      </c>
      <c r="BB19" s="31">
        <f>IF(BA19/(INDEX('Standards for Conversions'!$H$47:$H$73,MATCH(AZ$2,'Standards for Conversions'!$A$47:$A$73,0)))=0,"",BA19/(INDEX('Standards for Conversions'!$H$47:$H$73,MATCH(AZ$2,'Standards for Conversions'!$A$47:$A$73,0))))</f>
        <v>5083.5894274499587</v>
      </c>
      <c r="BD19" s="29">
        <v>30000</v>
      </c>
      <c r="BE19" s="31">
        <f>IF(BD19/(INDEX('Standards for Conversions'!$H$47:$H$73,MATCH(BC$2,'Standards for Conversions'!$A$47:$A$73,0)))=0,"",BD19/(INDEX('Standards for Conversions'!$H$47:$H$73,MATCH(BC$2,'Standards for Conversions'!$A$47:$A$73,0))))</f>
        <v>4338.3068458329708</v>
      </c>
      <c r="BF19" s="33"/>
      <c r="BH19" s="29">
        <v>25000</v>
      </c>
      <c r="BI19" s="31">
        <f>IF(BH19/(INDEX('Standards for Conversions'!$H$47:$H$73,MATCH(BG$2,'Standards for Conversions'!$A$47:$A$73,0)))=0,"",BH19/(INDEX('Standards for Conversions'!$H$47:$H$73,MATCH(BG$2,'Standards for Conversions'!$A$47:$A$73,0))))</f>
        <v>4044.0049172967174</v>
      </c>
      <c r="BJ19" s="33"/>
      <c r="BM19" s="31" t="str">
        <f>IF(BL19/(INDEX('Standards for Conversions'!$H$47:$H$73,MATCH(BK$2,'Standards for Conversions'!$A$47:$A$73,0)))=0,"",BL19/(INDEX('Standards for Conversions'!$H$47:$H$73,MATCH(BK$2,'Standards for Conversions'!$A$47:$A$73,0))))</f>
        <v/>
      </c>
      <c r="BO19" s="29">
        <v>35000</v>
      </c>
      <c r="BP19" s="31">
        <f>IF(BO19/(INDEX('Standards for Conversions'!$H$47:$H$73,MATCH(BN$2,'Standards for Conversions'!$A$47:$A$73,0)))=0,"",BO19/(INDEX('Standards for Conversions'!$H$47:$H$73,MATCH(BN$2,'Standards for Conversions'!$A$47:$A$73,0))))</f>
        <v>4713.0654167028761</v>
      </c>
      <c r="BQ19" s="33"/>
      <c r="BS19" s="29">
        <v>40000</v>
      </c>
      <c r="BT19" s="31">
        <f>IF(BS19/(INDEX('Standards for Conversions'!$H$47:$H$73,MATCH(BR$2,'Standards for Conversions'!$A$47:$A$73,0)))=0,"",BS19/(INDEX('Standards for Conversions'!$H$47:$H$73,MATCH(BR$2,'Standards for Conversions'!$A$47:$A$73,0))))</f>
        <v>4864.6626690999674</v>
      </c>
      <c r="BU19" s="33"/>
      <c r="BV19" s="29">
        <v>8000</v>
      </c>
      <c r="BW19" s="29">
        <v>80000</v>
      </c>
      <c r="BX19" s="31">
        <f>IF(BW19/(INDEX('Standards for Conversions'!$H$47:$H$73,MATCH(BV$2,'Standards for Conversions'!$A$47:$A$73,0)))=0,"",BW19/(INDEX('Standards for Conversions'!$H$47:$H$73,MATCH(BV$2,'Standards for Conversions'!$A$47:$A$73,0))))</f>
        <v>7842.4053474696557</v>
      </c>
      <c r="BY19" s="29">
        <v>8600</v>
      </c>
      <c r="BZ19" s="29">
        <v>86000</v>
      </c>
      <c r="CA19" s="31">
        <f>IF(BZ19/(INDEX('Standards for Conversions'!$H$47:$H$73,MATCH(BY$2,'Standards for Conversions'!$A$47:$A$73,0)))=0,"",BZ19/(INDEX('Standards for Conversions'!$H$47:$H$73,MATCH(BY$2,'Standards for Conversions'!$A$47:$A$73,0))))</f>
        <v>8685.5062679238708</v>
      </c>
      <c r="CB19" s="29">
        <v>5000</v>
      </c>
      <c r="CC19" s="29">
        <v>50000</v>
      </c>
      <c r="CD19" s="31">
        <f>IF(CC19/(INDEX('Standards for Conversions'!$H$47:$H$73,MATCH(CB$2,'Standards for Conversions'!$A$47:$A$73,0)))=0,"",CC19/(INDEX('Standards for Conversions'!$H$47:$H$73,MATCH(CB$2,'Standards for Conversions'!$A$47:$A$73,0))))</f>
        <v>5219.0953513803188</v>
      </c>
      <c r="CE19" s="29" t="s">
        <v>98</v>
      </c>
      <c r="CF19" s="29">
        <v>6000</v>
      </c>
      <c r="CG19" s="29">
        <v>6500</v>
      </c>
      <c r="CH19" s="31">
        <f>IF(CG19/(INDEX('Standards for Conversions'!$H$47:$H$73,MATCH(CF$2,'Standards for Conversions'!$A$47:$A$73,0)))=0,"",CG19/(INDEX('Standards for Conversions'!$H$47:$H$73,MATCH(CF$2,'Standards for Conversions'!$A$47:$A$73,0))))</f>
        <v>606.91832960371937</v>
      </c>
      <c r="CI19" s="29">
        <v>6500</v>
      </c>
      <c r="CJ19" s="29">
        <v>70000</v>
      </c>
      <c r="CK19" s="31">
        <f>IF(CJ19/(INDEX('Standards for Conversions'!$H$47:$H$73,MATCH(CI$2,'Standards for Conversions'!$A$47:$A$73,0)))=0,"",CJ19/(INDEX('Standards for Conversions'!$H$47:$H$73,MATCH(CI$2,'Standards for Conversions'!$A$47:$A$73,0))))</f>
        <v>6387.8339452796836</v>
      </c>
      <c r="CL19" s="29">
        <v>6000</v>
      </c>
      <c r="CM19" s="29">
        <v>65000</v>
      </c>
      <c r="CN19" s="31">
        <f>IF(CM19/(INDEX('Standards for Conversions'!$H$47:$H$73,MATCH(CL$2,'Standards for Conversions'!$A$47:$A$73,0)))=0,"",CM19/(INDEX('Standards for Conversions'!$H$47:$H$73,MATCH(CL$2,'Standards for Conversions'!$A$47:$A$73,0))))</f>
        <v>6041.6586552388389</v>
      </c>
      <c r="CO19" s="29">
        <v>3716</v>
      </c>
      <c r="CP19" s="29">
        <v>40000</v>
      </c>
      <c r="CQ19" s="31">
        <f>IF(CP19/(INDEX('Standards for Conversions'!$H$47:$H$73,MATCH(CO$2,'Standards for Conversions'!$A$47:$A$73,0)))=0,"",CP19/(INDEX('Standards for Conversions'!$H$47:$H$73,MATCH(CO$2,'Standards for Conversions'!$A$47:$A$73,0))))</f>
        <v>3836.511471278352</v>
      </c>
      <c r="CR19" s="29" t="s">
        <v>98</v>
      </c>
      <c r="CS19" s="29">
        <f>3340+70</f>
        <v>3410</v>
      </c>
      <c r="CT19" s="29">
        <f>27354+570</f>
        <v>27924</v>
      </c>
      <c r="CU19" s="31">
        <f>IF(CT19/(INDEX('Standards for Conversions'!$H$47:$H$73,MATCH(CS$2,'Standards for Conversions'!$A$47:$A$73,0)))=0,"",CT19/(INDEX('Standards for Conversions'!$H$47:$H$73,MATCH(CS$2,'Standards for Conversions'!$A$47:$A$73,0))))</f>
        <v>2571.8473869166592</v>
      </c>
      <c r="CV19" s="29">
        <f>3130+90</f>
        <v>3220</v>
      </c>
      <c r="CW19" s="29">
        <f>25000+730</f>
        <v>25730</v>
      </c>
      <c r="CX19" s="31">
        <f>IF(CW19/(INDEX('Standards for Conversions'!$H$47:$H$73,MATCH(CV$2,'Standards for Conversions'!$A$47:$A$73,0)))=0,"",CW19/(INDEX('Standards for Conversions'!$H$47:$H$73,MATCH(CV$2,'Standards for Conversions'!$A$47:$A$73,0))))</f>
        <v>2097.3882152349288</v>
      </c>
      <c r="CY19" s="29">
        <f>3580+70</f>
        <v>3650</v>
      </c>
      <c r="CZ19" s="29">
        <f>35800+880</f>
        <v>36680</v>
      </c>
      <c r="DA19" s="31">
        <f>IF(CZ19/(INDEX('Standards for Conversions'!$H$47:$H$73,MATCH(CY$2,'Standards for Conversions'!$A$47:$A$73,0)))=0,"",CZ19/(INDEX('Standards for Conversions'!$H$47:$H$73,MATCH(CY$2,'Standards for Conversions'!$A$47:$A$73,0))))</f>
        <v>3075.4085730424949</v>
      </c>
      <c r="DB19" s="29" t="s">
        <v>98</v>
      </c>
      <c r="DC19" s="29">
        <v>2900</v>
      </c>
      <c r="DD19" s="29">
        <f>24000+1500</f>
        <v>25500</v>
      </c>
      <c r="DE19" s="31">
        <f>IF(DD19/(INDEX('Standards for Conversions'!$H$47:$H$73,MATCH(DC$2,'Standards for Conversions'!$A$47:$A$73,0)))=0,"",DD19/(INDEX('Standards for Conversions'!$H$47:$H$73,MATCH(DC$2,'Standards for Conversions'!$A$47:$A$73,0))))</f>
        <v>2281.1046061636393</v>
      </c>
      <c r="DF19" s="29" t="s">
        <v>98</v>
      </c>
      <c r="DG19" s="29">
        <v>3300</v>
      </c>
      <c r="DH19" s="29">
        <v>4000</v>
      </c>
      <c r="DI19" s="29">
        <v>2900</v>
      </c>
      <c r="DJ19" s="29">
        <v>3974</v>
      </c>
      <c r="DK19" s="29">
        <v>2190</v>
      </c>
      <c r="DL19" s="29">
        <v>2813</v>
      </c>
    </row>
    <row r="20" spans="1:129" x14ac:dyDescent="0.3">
      <c r="A20" s="19" t="s">
        <v>162</v>
      </c>
      <c r="B20" s="10" t="s">
        <v>98</v>
      </c>
      <c r="C20" s="7"/>
      <c r="D20" s="7"/>
      <c r="E20" s="31" t="str">
        <f>IF(D20/(INDEX('Standards for Conversions'!$H$34:$H$73,MATCH(C$2,'Standards for Conversions'!$A$34:$A$73,0)))=0,"",D20/(INDEX('Standards for Conversions'!$H$34:$H$73,MATCH(C$2,'Standards for Conversions'!$A$34:$A$73,0))))</f>
        <v/>
      </c>
      <c r="F20" s="7"/>
      <c r="G20" s="7"/>
      <c r="H20" s="31" t="str">
        <f>IF(G20/(INDEX('Standards for Conversions'!$H$34:$H$73,MATCH(F$2,'Standards for Conversions'!$A$34:$A$73,0)))=0,"",G20/(INDEX('Standards for Conversions'!$H$34:$H$73,MATCH(F$2,'Standards for Conversions'!$A$34:$A$73,0))))</f>
        <v/>
      </c>
      <c r="I20" s="10" t="s">
        <v>98</v>
      </c>
      <c r="J20" s="7"/>
      <c r="K20" s="7"/>
      <c r="L20" s="31" t="str">
        <f>IF(K20/(INDEX('Standards for Conversions'!$H$34:$H$73,MATCH(J$2,'Standards for Conversions'!$A$34:$A$73,0)))=0,"",K20/(INDEX('Standards for Conversions'!$H$34:$H$73,MATCH(J$2,'Standards for Conversions'!$A$34:$A$73,0))))</f>
        <v/>
      </c>
      <c r="M20" s="7"/>
      <c r="N20" s="7"/>
      <c r="O20" s="31" t="str">
        <f>IF(N20/(INDEX('Standards for Conversions'!$H$34:$H$73,MATCH(M$2,'Standards for Conversions'!$A$34:$A$73,0)))=0,"",N20/(INDEX('Standards for Conversions'!$H$34:$H$73,MATCH(M$2,'Standards for Conversions'!$A$34:$A$73,0))))</f>
        <v/>
      </c>
      <c r="P20" s="10" t="s">
        <v>98</v>
      </c>
      <c r="Q20" s="7"/>
      <c r="R20" s="7"/>
      <c r="S20" s="31" t="str">
        <f>IF(R20/(INDEX('Standards for Conversions'!$H$34:$H$73,MATCH(Q$2,'Standards for Conversions'!$A$34:$A$73,0)))=0,"",R20/(INDEX('Standards for Conversions'!$H$34:$H$73,MATCH(Q$2,'Standards for Conversions'!$A$34:$A$73,0))))</f>
        <v/>
      </c>
      <c r="T20" s="10" t="s">
        <v>98</v>
      </c>
      <c r="U20" s="7"/>
      <c r="V20" s="7"/>
      <c r="W20" s="31" t="str">
        <f>IF(V20/(INDEX('Standards for Conversions'!$H$34:$H$73,MATCH(U$2,'Standards for Conversions'!$A$34:$A$73,0)))=0,"",V20/(INDEX('Standards for Conversions'!$H$34:$H$73,MATCH(U$2,'Standards for Conversions'!$A$34:$A$73,0))))</f>
        <v/>
      </c>
      <c r="X20" s="10" t="s">
        <v>98</v>
      </c>
      <c r="Y20" s="7"/>
      <c r="Z20" s="7"/>
      <c r="AA20" s="31" t="str">
        <f>IF(Z20/(INDEX('Standards for Conversions'!$H$34:$H$73,MATCH(Y$2,'Standards for Conversions'!$A$34:$A$73,0)))=0,"",Z20/(INDEX('Standards for Conversions'!$H$34:$H$73,MATCH(Y$2,'Standards for Conversions'!$A$34:$A$73,0))))</f>
        <v/>
      </c>
      <c r="AB20" s="7"/>
      <c r="AC20" s="7"/>
      <c r="AD20" s="31" t="str">
        <f>IF(AC20/(INDEX('Standards for Conversions'!$H$34:$H$73,MATCH(AB$2,'Standards for Conversions'!$A$34:$A$73,0)))=0,"",AC20/(INDEX('Standards for Conversions'!$H$34:$H$73,MATCH(AB$2,'Standards for Conversions'!$A$34:$A$73,0))))</f>
        <v/>
      </c>
      <c r="AE20" s="10" t="s">
        <v>98</v>
      </c>
      <c r="AF20" s="7"/>
      <c r="AG20" s="7"/>
      <c r="AH20" s="31" t="str">
        <f>IF(AG20/(INDEX('Standards for Conversions'!$H$34:$H$73,MATCH(AF$2,'Standards for Conversions'!$A$34:$A$73,0)))=0,"",AG20/(INDEX('Standards for Conversions'!$H$34:$H$73,MATCH(AF$2,'Standards for Conversions'!$A$34:$A$73,0))))</f>
        <v/>
      </c>
      <c r="AI20" s="10" t="s">
        <v>98</v>
      </c>
      <c r="AJ20" s="7"/>
      <c r="AK20" s="7"/>
      <c r="AL20" s="31" t="str">
        <f>IF(AK20/(INDEX('Standards for Conversions'!$H$34:$H$73,MATCH(AJ$2,'Standards for Conversions'!$A$34:$A$73,0)))=0,"",AK20/(INDEX('Standards for Conversions'!$H$34:$H$73,MATCH(AJ$2,'Standards for Conversions'!$A$34:$A$73,0))))</f>
        <v/>
      </c>
      <c r="AM20" s="7"/>
      <c r="AN20" s="7"/>
      <c r="AO20" s="31" t="str">
        <f>IF(AN20/(INDEX('Standards for Conversions'!$H$34:$H$73,MATCH(AM$2,'Standards for Conversions'!$A$34:$A$73,0)))=0,"",AN20/(INDEX('Standards for Conversions'!$H$34:$H$73,MATCH(AM$2,'Standards for Conversions'!$A$34:$A$73,0))))</f>
        <v/>
      </c>
      <c r="AP20" s="7"/>
      <c r="AQ20" s="7"/>
      <c r="AR20" s="31" t="str">
        <f>IF(AQ20/(INDEX('Standards for Conversions'!$H$34:$H$73,MATCH(AP$2,'Standards for Conversions'!$A$34:$A$73,0)))=0,"",AQ20/(INDEX('Standards for Conversions'!$H$34:$H$73,MATCH(AP$2,'Standards for Conversions'!$A$34:$A$73,0))))</f>
        <v/>
      </c>
      <c r="AS20" s="7"/>
      <c r="AT20" s="7"/>
      <c r="AU20" s="31" t="str">
        <f>IF(AT20/(INDEX('Standards for Conversions'!$H$34:$H$73,MATCH(AS$2,'Standards for Conversions'!$A$34:$A$73,0)))=0,"",AT20/(INDEX('Standards for Conversions'!$H$34:$H$73,MATCH(AS$2,'Standards for Conversions'!$A$34:$A$73,0))))</f>
        <v/>
      </c>
      <c r="AV20" s="7"/>
      <c r="AW20" s="7"/>
      <c r="AX20" s="31" t="str">
        <f>IF(AW20/(INDEX('Standards for Conversions'!$H$47:$H$73,MATCH(AV$2,'Standards for Conversions'!$A$47:$A$73,0)))=0,"",AW20/(INDEX('Standards for Conversions'!$H$47:$H$73,MATCH(AV$2,'Standards for Conversions'!$A$47:$A$73,0))))</f>
        <v/>
      </c>
      <c r="AY20" s="33" t="s">
        <v>98</v>
      </c>
      <c r="BB20" s="31" t="str">
        <f>IF(BA20/(INDEX('Standards for Conversions'!$H$47:$H$73,MATCH(AZ$2,'Standards for Conversions'!$A$47:$A$73,0)))=0,"",BA20/(INDEX('Standards for Conversions'!$H$47:$H$73,MATCH(AZ$2,'Standards for Conversions'!$A$47:$A$73,0))))</f>
        <v/>
      </c>
      <c r="BE20" s="31" t="str">
        <f>IF(BD20/(INDEX('Standards for Conversions'!$H$47:$H$73,MATCH(BC$2,'Standards for Conversions'!$A$47:$A$73,0)))=0,"",BD20/(INDEX('Standards for Conversions'!$H$47:$H$73,MATCH(BC$2,'Standards for Conversions'!$A$47:$A$73,0))))</f>
        <v/>
      </c>
      <c r="BF20" s="33" t="s">
        <v>98</v>
      </c>
      <c r="BI20" s="31" t="str">
        <f>IF(BH20/(INDEX('Standards for Conversions'!$H$47:$H$73,MATCH(BG$2,'Standards for Conversions'!$A$47:$A$73,0)))=0,"",BH20/(INDEX('Standards for Conversions'!$H$47:$H$73,MATCH(BG$2,'Standards for Conversions'!$A$47:$A$73,0))))</f>
        <v/>
      </c>
      <c r="BJ20" s="33" t="s">
        <v>98</v>
      </c>
      <c r="BM20" s="31" t="str">
        <f>IF(BL20/(INDEX('Standards for Conversions'!$H$47:$H$73,MATCH(BK$2,'Standards for Conversions'!$A$47:$A$73,0)))=0,"",BL20/(INDEX('Standards for Conversions'!$H$47:$H$73,MATCH(BK$2,'Standards for Conversions'!$A$47:$A$73,0))))</f>
        <v/>
      </c>
      <c r="BP20" s="31" t="str">
        <f>IF(BO20/(INDEX('Standards for Conversions'!$H$47:$H$73,MATCH(BN$2,'Standards for Conversions'!$A$47:$A$73,0)))=0,"",BO20/(INDEX('Standards for Conversions'!$H$47:$H$73,MATCH(BN$2,'Standards for Conversions'!$A$47:$A$73,0))))</f>
        <v/>
      </c>
      <c r="BQ20" s="33" t="s">
        <v>98</v>
      </c>
      <c r="BT20" s="31" t="str">
        <f>IF(BS20/(INDEX('Standards for Conversions'!$H$47:$H$73,MATCH(BR$2,'Standards for Conversions'!$A$47:$A$73,0)))=0,"",BS20/(INDEX('Standards for Conversions'!$H$47:$H$73,MATCH(BR$2,'Standards for Conversions'!$A$47:$A$73,0))))</f>
        <v/>
      </c>
      <c r="BU20" s="33" t="s">
        <v>98</v>
      </c>
      <c r="BV20" s="29">
        <f>(11250+2500+728.5+75+80)*20</f>
        <v>292670</v>
      </c>
      <c r="BW20" s="29">
        <f>450000+100000+30000+3000+2000</f>
        <v>585000</v>
      </c>
      <c r="BX20" s="31">
        <f>IF(BW20/(INDEX('Standards for Conversions'!$H$47:$H$73,MATCH(BV$2,'Standards for Conversions'!$A$47:$A$73,0)))=0,"",BW20/(INDEX('Standards for Conversions'!$H$47:$H$73,MATCH(BV$2,'Standards for Conversions'!$A$47:$A$73,0))))</f>
        <v>57347.589103371858</v>
      </c>
      <c r="BY20" s="29">
        <f>(12500+2625+801+100+75)*20</f>
        <v>322020</v>
      </c>
      <c r="BZ20" s="29">
        <f>500000+105000+33000+4000+3000</f>
        <v>645000</v>
      </c>
      <c r="CA20" s="31">
        <f>IF(BZ20/(INDEX('Standards for Conversions'!$H$47:$H$73,MATCH(BY$2,'Standards for Conversions'!$A$47:$A$73,0)))=0,"",BZ20/(INDEX('Standards for Conversions'!$H$47:$H$73,MATCH(BY$2,'Standards for Conversions'!$A$47:$A$73,0))))</f>
        <v>65141.297009429029</v>
      </c>
      <c r="CB20" s="29">
        <f>(16083+1414+850+75+100)*20</f>
        <v>370440</v>
      </c>
      <c r="CC20" s="29">
        <f>643340+66660+35000+3000+4000</f>
        <v>752000</v>
      </c>
      <c r="CD20" s="31">
        <f>IF(CC20/(INDEX('Standards for Conversions'!$H$47:$H$73,MATCH(CB$2,'Standards for Conversions'!$A$47:$A$73,0)))=0,"",CC20/(INDEX('Standards for Conversions'!$H$47:$H$73,MATCH(CB$2,'Standards for Conversions'!$A$47:$A$73,0))))</f>
        <v>78495.194084759991</v>
      </c>
      <c r="CE20" s="29" t="s">
        <v>98</v>
      </c>
      <c r="CF20" s="29">
        <f>(14000+1200+700+50+100)*20</f>
        <v>321000</v>
      </c>
      <c r="CG20" s="29">
        <f>750000+70000+40000+2500+5000</f>
        <v>867500</v>
      </c>
      <c r="CH20" s="31">
        <f>IF(CG20/(INDEX('Standards for Conversions'!$H$47:$H$73,MATCH(CF$2,'Standards for Conversions'!$A$47:$A$73,0)))=0,"",CG20/(INDEX('Standards for Conversions'!$H$47:$H$73,MATCH(CF$2,'Standards for Conversions'!$A$47:$A$73,0))))</f>
        <v>81000.253989419463</v>
      </c>
      <c r="CI20" s="29">
        <f>(12000+1000+600+175+125)*20</f>
        <v>278000</v>
      </c>
      <c r="CJ20" s="29">
        <f>600000+60000+30000+35000+6000</f>
        <v>731000</v>
      </c>
      <c r="CK20" s="31">
        <f>IF(CJ20/(INDEX('Standards for Conversions'!$H$47:$H$73,MATCH(CI$2,'Standards for Conversions'!$A$47:$A$73,0)))=0,"",CJ20/(INDEX('Standards for Conversions'!$H$47:$H$73,MATCH(CI$2,'Standards for Conversions'!$A$47:$A$73,0))))</f>
        <v>66707.237342849272</v>
      </c>
      <c r="CL20" s="29">
        <f>(11000+800+500+70+100)*20</f>
        <v>249400</v>
      </c>
      <c r="CM20" s="29">
        <f>550000+48000+24000+3200+5000</f>
        <v>630200</v>
      </c>
      <c r="CN20" s="31">
        <f>IF(CM20/(INDEX('Standards for Conversions'!$H$47:$H$73,MATCH(CL$2,'Standards for Conversions'!$A$47:$A$73,0)))=0,"",CM20/(INDEX('Standards for Conversions'!$H$47:$H$73,MATCH(CL$2,'Standards for Conversions'!$A$47:$A$73,0))))</f>
        <v>58576.204377407943</v>
      </c>
      <c r="CO20" s="29">
        <f>(12000+1500+1000+100+3566)*20</f>
        <v>363320</v>
      </c>
      <c r="CP20" s="29">
        <f>600000+75000+50000+5000+78297</f>
        <v>808297</v>
      </c>
      <c r="CQ20" s="31">
        <f>IF(CP20/(INDEX('Standards for Conversions'!$H$47:$H$73,MATCH(CO$2,'Standards for Conversions'!$A$47:$A$73,0)))=0,"",CP20/(INDEX('Standards for Conversions'!$H$47:$H$73,MATCH(CO$2,'Standards for Conversions'!$A$47:$A$73,0))))</f>
        <v>77526.017817496948</v>
      </c>
      <c r="CR20" s="29" t="s">
        <v>98</v>
      </c>
      <c r="CS20" s="29">
        <f>(14700+1576+548+403+1987)*20</f>
        <v>384280</v>
      </c>
      <c r="CT20" s="29">
        <f>734860+59865+27223+26590+98370</f>
        <v>946908</v>
      </c>
      <c r="CU20" s="31">
        <f>IF(CT20/(INDEX('Standards for Conversions'!$H$47:$H$73,MATCH(CS$2,'Standards for Conversions'!$A$47:$A$73,0)))=0,"",CT20/(INDEX('Standards for Conversions'!$H$47:$H$73,MATCH(CS$2,'Standards for Conversions'!$A$47:$A$73,0))))</f>
        <v>87211.820135026486</v>
      </c>
      <c r="CV20" s="29">
        <f>(20100+3180+664+622+2360)*20</f>
        <v>538520</v>
      </c>
      <c r="CW20" s="29">
        <f>826880+191240+40040+37640+142700</f>
        <v>1238500</v>
      </c>
      <c r="CX20" s="31">
        <f>IF(CW20/(INDEX('Standards for Conversions'!$H$47:$H$73,MATCH(CV$2,'Standards for Conversions'!$A$47:$A$73,0)))=0,"",CW20/(INDEX('Standards for Conversions'!$H$47:$H$73,MATCH(CV$2,'Standards for Conversions'!$A$47:$A$73,0))))</f>
        <v>100956.67720825727</v>
      </c>
      <c r="CY20" s="29">
        <f>(15200+2800+420+250+2200)*20</f>
        <v>417400</v>
      </c>
      <c r="CZ20" s="29">
        <f>768500+168000+21250+11300+110000</f>
        <v>1079050</v>
      </c>
      <c r="DA20" s="31">
        <f>IF(CZ20/(INDEX('Standards for Conversions'!$H$47:$H$73,MATCH(CY$2,'Standards for Conversions'!$A$47:$A$73,0)))=0,"",CZ20/(INDEX('Standards for Conversions'!$H$47:$H$73,MATCH(CY$2,'Standards for Conversions'!$A$47:$A$73,0))))</f>
        <v>90472.181590553548</v>
      </c>
      <c r="DB20" s="29" t="s">
        <v>98</v>
      </c>
      <c r="DC20" s="29">
        <f>22800*20</f>
        <v>456000</v>
      </c>
      <c r="DD20" s="29">
        <f>120000+572000+10000+20000+80000</f>
        <v>802000</v>
      </c>
      <c r="DE20" s="31">
        <f>IF(DD20/(INDEX('Standards for Conversions'!$H$47:$H$73,MATCH(DC$2,'Standards for Conversions'!$A$47:$A$73,0)))=0,"",DD20/(INDEX('Standards for Conversions'!$H$47:$H$73,MATCH(DC$2,'Standards for Conversions'!$A$47:$A$73,0))))</f>
        <v>71742.976240911332</v>
      </c>
      <c r="DF20" s="29" t="s">
        <v>98</v>
      </c>
      <c r="DG20" s="29">
        <f>15400*20</f>
        <v>308000</v>
      </c>
      <c r="DH20" s="29">
        <v>92500</v>
      </c>
      <c r="DI20" s="29">
        <f>25400*20</f>
        <v>508000</v>
      </c>
      <c r="DJ20" s="29">
        <v>129333</v>
      </c>
      <c r="DK20" s="29">
        <f>15525*20</f>
        <v>310500</v>
      </c>
      <c r="DL20" s="29">
        <v>115420</v>
      </c>
      <c r="DM20" s="29" t="s">
        <v>98</v>
      </c>
      <c r="DN20" s="29">
        <f>15515*20</f>
        <v>310300</v>
      </c>
      <c r="DO20" s="29">
        <v>115297</v>
      </c>
      <c r="DP20" s="29">
        <f>15150*20</f>
        <v>303000</v>
      </c>
      <c r="DQ20" s="29">
        <v>114709</v>
      </c>
    </row>
    <row r="21" spans="1:129" ht="15.6" x14ac:dyDescent="0.3">
      <c r="A21" s="19" t="s">
        <v>163</v>
      </c>
      <c r="B21" s="122"/>
      <c r="C21" s="126" t="s">
        <v>394</v>
      </c>
      <c r="D21" s="7">
        <f>220000+1400</f>
        <v>221400</v>
      </c>
      <c r="E21" s="31">
        <f>IF(D21/(INDEX('Standards for Conversions'!$H$34:$H$73,MATCH(C$2,'Standards for Conversions'!$A$34:$A$73,0)))=0,"",D21/(INDEX('Standards for Conversions'!$H$34:$H$73,MATCH(C$2,'Standards for Conversions'!$A$34:$A$73,0))))</f>
        <v>43735.84966216216</v>
      </c>
      <c r="F21" s="126" t="s">
        <v>393</v>
      </c>
      <c r="G21" s="7">
        <f>50000+2000</f>
        <v>52000</v>
      </c>
      <c r="H21" s="31">
        <f>IF(G21/(INDEX('Standards for Conversions'!$H$34:$H$73,MATCH(F$2,'Standards for Conversions'!$A$34:$A$73,0)))=0,"",G21/(INDEX('Standards for Conversions'!$H$34:$H$73,MATCH(F$2,'Standards for Conversions'!$A$34:$A$73,0))))</f>
        <v>10018.969250601083</v>
      </c>
      <c r="I21" s="122"/>
      <c r="J21" s="126" t="s">
        <v>391</v>
      </c>
      <c r="K21" s="7">
        <v>375000</v>
      </c>
      <c r="L21" s="31">
        <f>IF(K21/(INDEX('Standards for Conversions'!$H$34:$H$73,MATCH(J$2,'Standards for Conversions'!$A$34:$A$73,0)))=0,"",K21/(INDEX('Standards for Conversions'!$H$34:$H$73,MATCH(J$2,'Standards for Conversions'!$A$34:$A$73,0))))</f>
        <v>67011.913943686435</v>
      </c>
      <c r="M21" s="126" t="s">
        <v>389</v>
      </c>
      <c r="N21" s="7">
        <f>350000+3000</f>
        <v>353000</v>
      </c>
      <c r="O21" s="31">
        <f>IF(N21/(INDEX('Standards for Conversions'!$H$34:$H$73,MATCH(M$2,'Standards for Conversions'!$A$34:$A$73,0)))=0,"",N21/(INDEX('Standards for Conversions'!$H$34:$H$73,MATCH(M$2,'Standards for Conversions'!$A$34:$A$73,0))))</f>
        <v>65546.967869195563</v>
      </c>
      <c r="P21" s="122"/>
      <c r="Q21" s="126" t="s">
        <v>387</v>
      </c>
      <c r="R21" s="7">
        <f>228000+1500</f>
        <v>229500</v>
      </c>
      <c r="S21" s="31">
        <f>IF(R21/(INDEX('Standards for Conversions'!$H$34:$H$73,MATCH(Q$2,'Standards for Conversions'!$A$34:$A$73,0)))=0,"",R21/(INDEX('Standards for Conversions'!$H$34:$H$73,MATCH(Q$2,'Standards for Conversions'!$A$34:$A$73,0))))</f>
        <v>40865.516601307892</v>
      </c>
      <c r="T21" s="122"/>
      <c r="U21" s="126" t="s">
        <v>384</v>
      </c>
      <c r="V21" s="7">
        <f>500000+4000</f>
        <v>504000</v>
      </c>
      <c r="W21" s="31">
        <f>IF(V21/(INDEX('Standards for Conversions'!$H$34:$H$73,MATCH(U$2,'Standards for Conversions'!$A$34:$A$73,0)))=0,"",V21/(INDEX('Standards for Conversions'!$H$34:$H$73,MATCH(U$2,'Standards for Conversions'!$A$34:$A$73,0))))</f>
        <v>87502.950378030757</v>
      </c>
      <c r="X21" s="122"/>
      <c r="Y21">
        <f>1.5*(75000+15000)</f>
        <v>135000</v>
      </c>
      <c r="Z21" s="7">
        <f>450000+2500</f>
        <v>452500</v>
      </c>
      <c r="AA21" s="31">
        <f>IF(Z21/(INDEX('Standards for Conversions'!$H$34:$H$73,MATCH(Y$2,'Standards for Conversions'!$A$34:$A$73,0)))=0,"",Z21/(INDEX('Standards for Conversions'!$H$34:$H$73,MATCH(Y$2,'Standards for Conversions'!$A$34:$A$73,0))))</f>
        <v>80094.587443150551</v>
      </c>
      <c r="AB21">
        <f>1.5*(40000+15000)</f>
        <v>82500</v>
      </c>
      <c r="AC21" s="7">
        <f>200000+10000</f>
        <v>210000</v>
      </c>
      <c r="AD21" s="31">
        <f>IF(AC21/(INDEX('Standards for Conversions'!$H$34:$H$73,MATCH(AB$2,'Standards for Conversions'!$A$34:$A$73,0)))=0,"",AC21/(INDEX('Standards for Conversions'!$H$34:$H$73,MATCH(AB$2,'Standards for Conversions'!$A$34:$A$73,0))))</f>
        <v>36770.802826540363</v>
      </c>
      <c r="AE21" s="122"/>
      <c r="AF21" s="7">
        <f>1.5*(52000+110200)</f>
        <v>243300</v>
      </c>
      <c r="AG21" s="7">
        <f>222300+232500</f>
        <v>454800</v>
      </c>
      <c r="AH21" s="31">
        <f>IF(AG21/(INDEX('Standards for Conversions'!$H$34:$H$73,MATCH(AF$2,'Standards for Conversions'!$A$34:$A$73,0)))=0,"",AG21/(INDEX('Standards for Conversions'!$H$34:$H$73,MATCH(AF$2,'Standards for Conversions'!$A$34:$A$73,0))))</f>
        <v>79538.759081428681</v>
      </c>
      <c r="AI21" s="122"/>
      <c r="AJ21">
        <f>1.5*(37370+39780)</f>
        <v>115725</v>
      </c>
      <c r="AK21" s="7">
        <f>250720+83690</f>
        <v>334410</v>
      </c>
      <c r="AL21" s="31">
        <f>IF(AK21/(INDEX('Standards for Conversions'!$H$34:$H$73,MATCH(AJ$2,'Standards for Conversions'!$A$34:$A$73,0)))=0,"",AK21/(INDEX('Standards for Conversions'!$H$34:$H$73,MATCH(AJ$2,'Standards for Conversions'!$A$34:$A$73,0))))</f>
        <v>57280.405689743187</v>
      </c>
      <c r="AM21">
        <f>1.5*(42100+32000+23900)</f>
        <v>147000</v>
      </c>
      <c r="AN21" s="7">
        <f>268400+90000+62300</f>
        <v>420700</v>
      </c>
      <c r="AO21" s="31">
        <f>IF(AN21/(INDEX('Standards for Conversions'!$H$34:$H$73,MATCH(AM$2,'Standards for Conversions'!$A$34:$A$73,0)))=0,"",AN21/(INDEX('Standards for Conversions'!$H$34:$H$73,MATCH(AM$2,'Standards for Conversions'!$A$34:$A$73,0))))</f>
        <v>72149.917468714688</v>
      </c>
      <c r="AP21">
        <f>1.5*(41225+22700+20000)</f>
        <v>125887.5</v>
      </c>
      <c r="AQ21" s="7">
        <f>150800+56000+50000</f>
        <v>256800</v>
      </c>
      <c r="AR21" s="31">
        <f>IF(AQ21/(INDEX('Standards for Conversions'!$H$34:$H$73,MATCH(AP$2,'Standards for Conversions'!$A$34:$A$73,0)))=0,"",AQ21/(INDEX('Standards for Conversions'!$H$34:$H$73,MATCH(AP$2,'Standards for Conversions'!$A$34:$A$73,0))))</f>
        <v>42246.851286173631</v>
      </c>
      <c r="AS21" s="7">
        <f>1.5*(40850+28056+25000)</f>
        <v>140859</v>
      </c>
      <c r="AT21" s="7">
        <f>155600+70450+56000</f>
        <v>282050</v>
      </c>
      <c r="AU21" s="31">
        <f>IF(AT21/(INDEX('Standards for Conversions'!$H$34:$H$73,MATCH(AS$2,'Standards for Conversions'!$A$34:$A$73,0)))=0,"",AT21/(INDEX('Standards for Conversions'!$H$34:$H$73,MATCH(AS$2,'Standards for Conversions'!$A$34:$A$73,0))))</f>
        <v>43355.183879920922</v>
      </c>
      <c r="AV21" s="7">
        <f>1.5*(50000+30000+25000)</f>
        <v>157500</v>
      </c>
      <c r="AW21" s="7">
        <f>160000+75000+60000</f>
        <v>295000</v>
      </c>
      <c r="AX21" s="31">
        <f>IF(AW21/(INDEX('Standards for Conversions'!$H$47:$H$73,MATCH(AV$2,'Standards for Conversions'!$A$47:$A$73,0)))=0,"",AW21/(INDEX('Standards for Conversions'!$H$47:$H$73,MATCH(AV$2,'Standards for Conversions'!$A$47:$A$73,0))))</f>
        <v>44658.729695330367</v>
      </c>
      <c r="AY21" s="42"/>
      <c r="AZ21" s="29">
        <f>(55000+35000+35000)*1.5</f>
        <v>187500</v>
      </c>
      <c r="BA21" s="29">
        <f>170000+80000+70000</f>
        <v>320000</v>
      </c>
      <c r="BB21" s="31">
        <f>IF(BA21/(INDEX('Standards for Conversions'!$H$47:$H$73,MATCH(AZ$2,'Standards for Conversions'!$A$47:$A$73,0)))=0,"",BA21/(INDEX('Standards for Conversions'!$H$47:$H$73,MATCH(AZ$2,'Standards for Conversions'!$A$47:$A$73,0))))</f>
        <v>46478.53190811391</v>
      </c>
      <c r="BC21" s="29">
        <f>(60000+30000+40000)*1.5</f>
        <v>195000</v>
      </c>
      <c r="BD21" s="29">
        <f>190000+78000+80000</f>
        <v>348000</v>
      </c>
      <c r="BE21" s="31">
        <f>IF(BD21/(INDEX('Standards for Conversions'!$H$47:$H$73,MATCH(BC$2,'Standards for Conversions'!$A$47:$A$73,0)))=0,"",BD21/(INDEX('Standards for Conversions'!$H$47:$H$73,MATCH(BC$2,'Standards for Conversions'!$A$47:$A$73,0))))</f>
        <v>50324.359411662459</v>
      </c>
      <c r="BF21" s="33" t="s">
        <v>98</v>
      </c>
      <c r="BG21" s="29">
        <f>(50000+20000+30000)*1.5</f>
        <v>150000</v>
      </c>
      <c r="BH21" s="29">
        <f>180000+60000+70000</f>
        <v>310000</v>
      </c>
      <c r="BI21" s="31">
        <f>IF(BH21/(INDEX('Standards for Conversions'!$H$47:$H$73,MATCH(BG$2,'Standards for Conversions'!$A$47:$A$73,0)))=0,"",BH21/(INDEX('Standards for Conversions'!$H$47:$H$73,MATCH(BG$2,'Standards for Conversions'!$A$47:$A$73,0))))</f>
        <v>50145.660974479295</v>
      </c>
      <c r="BJ21" s="42"/>
      <c r="BK21" s="29">
        <f>(70000+30000+35000)*1.5</f>
        <v>202500</v>
      </c>
      <c r="BL21" s="29">
        <f>250000+65000+70000</f>
        <v>385000</v>
      </c>
      <c r="BM21" s="31">
        <f>IF(BL21/(INDEX('Standards for Conversions'!$H$47:$H$73,MATCH(BK$2,'Standards for Conversions'!$A$47:$A$73,0)))=0,"",BL21/(INDEX('Standards for Conversions'!$H$47:$H$73,MATCH(BK$2,'Standards for Conversions'!$A$47:$A$73,0))))</f>
        <v>58772.518584702062</v>
      </c>
      <c r="BN21" s="29">
        <f>(60000+25000+30000)*1.5</f>
        <v>172500</v>
      </c>
      <c r="BO21" s="29">
        <f>250000+60000+65000</f>
        <v>375000</v>
      </c>
      <c r="BP21" s="31">
        <f>IF(BO21/(INDEX('Standards for Conversions'!$H$47:$H$73,MATCH(BN$2,'Standards for Conversions'!$A$47:$A$73,0)))=0,"",BO21/(INDEX('Standards for Conversions'!$H$47:$H$73,MATCH(BN$2,'Standards for Conversions'!$A$47:$A$73,0))))</f>
        <v>50497.129464673671</v>
      </c>
      <c r="BQ21" s="42"/>
      <c r="BR21" s="29">
        <f>(60000+20000+20000)*1.5</f>
        <v>150000</v>
      </c>
      <c r="BS21" s="29">
        <f>300000+60000+60000</f>
        <v>420000</v>
      </c>
      <c r="BT21" s="31">
        <f>IF(BS21/(INDEX('Standards for Conversions'!$H$47:$H$73,MATCH(BR$2,'Standards for Conversions'!$A$47:$A$73,0)))=0,"",BS21/(INDEX('Standards for Conversions'!$H$47:$H$73,MATCH(BR$2,'Standards for Conversions'!$A$47:$A$73,0))))</f>
        <v>51078.958025549655</v>
      </c>
      <c r="BU21" s="140"/>
      <c r="BV21" s="43"/>
      <c r="BW21" s="44"/>
      <c r="BX21" s="31" t="str">
        <f>IF(BW21/(INDEX('Standards for Conversions'!$H$47:$H$73,MATCH(BV$2,'Standards for Conversions'!$A$47:$A$73,0)))=0,"",BW21/(INDEX('Standards for Conversions'!$H$47:$H$73,MATCH(BV$2,'Standards for Conversions'!$A$47:$A$73,0))))</f>
        <v/>
      </c>
      <c r="BY21" s="43"/>
      <c r="BZ21" s="44"/>
      <c r="CA21" s="31" t="str">
        <f>IF(BZ21/(INDEX('Standards for Conversions'!$H$47:$H$73,MATCH(BY$2,'Standards for Conversions'!$A$47:$A$73,0)))=0,"",BZ21/(INDEX('Standards for Conversions'!$H$47:$H$73,MATCH(BY$2,'Standards for Conversions'!$A$47:$A$73,0))))</f>
        <v/>
      </c>
      <c r="CB21" s="43"/>
      <c r="CC21" s="44"/>
      <c r="CD21" s="31" t="str">
        <f>IF(CC21/(INDEX('Standards for Conversions'!$H$47:$H$73,MATCH(CB$2,'Standards for Conversions'!$A$47:$A$73,0)))=0,"",CC21/(INDEX('Standards for Conversions'!$H$47:$H$73,MATCH(CB$2,'Standards for Conversions'!$A$47:$A$73,0))))</f>
        <v/>
      </c>
      <c r="CE21" s="46"/>
      <c r="CF21" s="43"/>
      <c r="CG21" s="44"/>
      <c r="CH21" s="31" t="str">
        <f>IF(CG21/(INDEX('Standards for Conversions'!$H$47:$H$73,MATCH(CF$2,'Standards for Conversions'!$A$47:$A$73,0)))=0,"",CG21/(INDEX('Standards for Conversions'!$H$47:$H$73,MATCH(CF$2,'Standards for Conversions'!$A$47:$A$73,0))))</f>
        <v/>
      </c>
      <c r="CI21" s="43"/>
      <c r="CJ21" s="44"/>
      <c r="CK21" s="31" t="str">
        <f>IF(CJ21/(INDEX('Standards for Conversions'!$H$47:$H$73,MATCH(CI$2,'Standards for Conversions'!$A$47:$A$73,0)))=0,"",CJ21/(INDEX('Standards for Conversions'!$H$47:$H$73,MATCH(CI$2,'Standards for Conversions'!$A$47:$A$73,0))))</f>
        <v/>
      </c>
      <c r="CL21" s="43"/>
      <c r="CM21" s="44"/>
      <c r="CN21" s="31" t="str">
        <f>IF(CM21/(INDEX('Standards for Conversions'!$H$47:$H$73,MATCH(CL$2,'Standards for Conversions'!$A$47:$A$73,0)))=0,"",CM21/(INDEX('Standards for Conversions'!$H$47:$H$73,MATCH(CL$2,'Standards for Conversions'!$A$47:$A$73,0))))</f>
        <v/>
      </c>
      <c r="CO21" s="43"/>
      <c r="CP21" s="44"/>
      <c r="CQ21" s="31" t="str">
        <f>IF(CP21/(INDEX('Standards for Conversions'!$H$47:$H$73,MATCH(CO$2,'Standards for Conversions'!$A$47:$A$73,0)))=0,"",CP21/(INDEX('Standards for Conversions'!$H$47:$H$73,MATCH(CO$2,'Standards for Conversions'!$A$47:$A$73,0))))</f>
        <v/>
      </c>
      <c r="CR21" s="46"/>
      <c r="CS21" s="43"/>
      <c r="CT21" s="44"/>
      <c r="CU21" s="31" t="str">
        <f>IF(CT21/(INDEX('Standards for Conversions'!$H$47:$H$73,MATCH(CS$2,'Standards for Conversions'!$A$47:$A$73,0)))=0,"",CT21/(INDEX('Standards for Conversions'!$H$47:$H$73,MATCH(CS$2,'Standards for Conversions'!$A$47:$A$73,0))))</f>
        <v/>
      </c>
      <c r="CV21" s="43"/>
      <c r="CW21" s="44"/>
      <c r="CX21" s="31" t="str">
        <f>IF(CW21/(INDEX('Standards for Conversions'!$H$47:$H$73,MATCH(CV$2,'Standards for Conversions'!$A$47:$A$73,0)))=0,"",CW21/(INDEX('Standards for Conversions'!$H$47:$H$73,MATCH(CV$2,'Standards for Conversions'!$A$47:$A$73,0))))</f>
        <v/>
      </c>
      <c r="CY21" s="43"/>
      <c r="CZ21" s="44"/>
      <c r="DA21" s="31" t="str">
        <f>IF(CZ21/(INDEX('Standards for Conversions'!$H$47:$H$73,MATCH(CY$2,'Standards for Conversions'!$A$47:$A$73,0)))=0,"",CZ21/(INDEX('Standards for Conversions'!$H$47:$H$73,MATCH(CY$2,'Standards for Conversions'!$A$47:$A$73,0))))</f>
        <v/>
      </c>
      <c r="DB21" s="42"/>
      <c r="DC21" s="45"/>
      <c r="DD21" s="44"/>
      <c r="DE21" s="31" t="str">
        <f>IF(DD21/(INDEX('Standards for Conversions'!$H$47:$H$73,MATCH(DC$2,'Standards for Conversions'!$A$47:$A$73,0)))=0,"",DD21/(INDEX('Standards for Conversions'!$H$47:$H$73,MATCH(DC$2,'Standards for Conversions'!$A$47:$A$73,0))))</f>
        <v/>
      </c>
      <c r="DF21" s="42"/>
      <c r="DR21" s="29" t="s">
        <v>98</v>
      </c>
      <c r="DS21" s="7">
        <f>20*7135</f>
        <v>142700</v>
      </c>
      <c r="DT21" s="29">
        <v>74547</v>
      </c>
      <c r="DU21" s="7">
        <f>20*6617</f>
        <v>132340</v>
      </c>
      <c r="DV21" s="29">
        <v>55066</v>
      </c>
    </row>
    <row r="22" spans="1:129" ht="15.6" x14ac:dyDescent="0.3">
      <c r="A22" s="19" t="s">
        <v>164</v>
      </c>
      <c r="B22" s="122"/>
      <c r="C22" s="7">
        <f>1.5*94000</f>
        <v>141000</v>
      </c>
      <c r="D22" s="7">
        <v>221000</v>
      </c>
      <c r="E22" s="31">
        <f>IF(D22/(INDEX('Standards for Conversions'!$H$34:$H$73,MATCH(C$2,'Standards for Conversions'!$A$34:$A$73,0)))=0,"",D22/(INDEX('Standards for Conversions'!$H$34:$H$73,MATCH(C$2,'Standards for Conversions'!$A$34:$A$73,0))))</f>
        <v>43656.832770270266</v>
      </c>
      <c r="F22" s="7">
        <f>1.5*125000</f>
        <v>187500</v>
      </c>
      <c r="G22" s="7">
        <v>250000</v>
      </c>
      <c r="H22" s="31">
        <f>IF(G22/(INDEX('Standards for Conversions'!$H$34:$H$73,MATCH(F$2,'Standards for Conversions'!$A$34:$A$73,0)))=0,"",G22/(INDEX('Standards for Conversions'!$H$34:$H$73,MATCH(F$2,'Standards for Conversions'!$A$34:$A$73,0))))</f>
        <v>48168.121397120587</v>
      </c>
      <c r="I22" s="122"/>
      <c r="J22" s="7">
        <f>1.5*175000</f>
        <v>262500</v>
      </c>
      <c r="K22" s="7">
        <v>350000</v>
      </c>
      <c r="L22" s="31">
        <f>IF(K22/(INDEX('Standards for Conversions'!$H$34:$H$73,MATCH(J$2,'Standards for Conversions'!$A$34:$A$73,0)))=0,"",K22/(INDEX('Standards for Conversions'!$H$34:$H$73,MATCH(J$2,'Standards for Conversions'!$A$34:$A$73,0))))</f>
        <v>62544.453014107348</v>
      </c>
      <c r="M22" s="7">
        <f>1.5*170000</f>
        <v>255000</v>
      </c>
      <c r="N22" s="7">
        <v>300000</v>
      </c>
      <c r="O22" s="31">
        <f>IF(N22/(INDEX('Standards for Conversions'!$H$34:$H$73,MATCH(M$2,'Standards for Conversions'!$A$34:$A$73,0)))=0,"",N22/(INDEX('Standards for Conversions'!$H$34:$H$73,MATCH(M$2,'Standards for Conversions'!$A$34:$A$73,0))))</f>
        <v>55705.638415746937</v>
      </c>
      <c r="P22" s="122"/>
      <c r="Q22" s="7">
        <f>1.5*55000</f>
        <v>82500</v>
      </c>
      <c r="R22" s="7">
        <v>165000</v>
      </c>
      <c r="S22" s="31">
        <f>IF(R22/(INDEX('Standards for Conversions'!$H$34:$H$73,MATCH(Q$2,'Standards for Conversions'!$A$34:$A$73,0)))=0,"",R22/(INDEX('Standards for Conversions'!$H$34:$H$73,MATCH(Q$2,'Standards for Conversions'!$A$34:$A$73,0))))</f>
        <v>29380.436772182144</v>
      </c>
      <c r="T22" s="122"/>
      <c r="U22" s="7">
        <f>1.5*125000</f>
        <v>187500</v>
      </c>
      <c r="V22" s="7">
        <v>350000</v>
      </c>
      <c r="W22" s="31">
        <f>IF(V22/(INDEX('Standards for Conversions'!$H$34:$H$73,MATCH(U$2,'Standards for Conversions'!$A$34:$A$73,0)))=0,"",V22/(INDEX('Standards for Conversions'!$H$34:$H$73,MATCH(U$2,'Standards for Conversions'!$A$34:$A$73,0))))</f>
        <v>60765.93776252136</v>
      </c>
      <c r="X22" s="122"/>
      <c r="Y22" s="7">
        <f>1.5*100000</f>
        <v>150000</v>
      </c>
      <c r="Z22" s="7">
        <v>350000</v>
      </c>
      <c r="AA22" s="31">
        <f>IF(Z22/(INDEX('Standards for Conversions'!$H$34:$H$73,MATCH(Y$2,'Standards for Conversions'!$A$34:$A$73,0)))=0,"",Z22/(INDEX('Standards for Conversions'!$H$34:$H$73,MATCH(Y$2,'Standards for Conversions'!$A$34:$A$73,0))))</f>
        <v>61951.614596912026</v>
      </c>
      <c r="AB22" s="7">
        <f>1.5*110000</f>
        <v>165000</v>
      </c>
      <c r="AC22" s="7">
        <v>400000</v>
      </c>
      <c r="AD22" s="31">
        <f>IF(AC22/(INDEX('Standards for Conversions'!$H$34:$H$73,MATCH(AB$2,'Standards for Conversions'!$A$34:$A$73,0)))=0,"",AC22/(INDEX('Standards for Conversions'!$H$34:$H$73,MATCH(AB$2,'Standards for Conversions'!$A$34:$A$73,0))))</f>
        <v>70039.624431505465</v>
      </c>
      <c r="AE22" s="122"/>
      <c r="AF22" s="7">
        <f>1.5*142216</f>
        <v>213324</v>
      </c>
      <c r="AG22" s="7">
        <v>330615</v>
      </c>
      <c r="AH22" s="31">
        <f>IF(AG22/(INDEX('Standards for Conversions'!$H$34:$H$73,MATCH(AF$2,'Standards for Conversions'!$A$34:$A$73,0)))=0,"",AG22/(INDEX('Standards for Conversions'!$H$34:$H$73,MATCH(AF$2,'Standards for Conversions'!$A$34:$A$73,0))))</f>
        <v>57820.37562380507</v>
      </c>
      <c r="AI22" s="122"/>
      <c r="AJ22" s="7">
        <f>1.5*82655</f>
        <v>123982.5</v>
      </c>
      <c r="AK22" s="7">
        <v>462985</v>
      </c>
      <c r="AL22" s="31">
        <f>IF(AK22/(INDEX('Standards for Conversions'!$H$34:$H$73,MATCH(AJ$2,'Standards for Conversions'!$A$34:$A$73,0)))=0,"",AK22/(INDEX('Standards for Conversions'!$H$34:$H$73,MATCH(AJ$2,'Standards for Conversions'!$A$34:$A$73,0))))</f>
        <v>79303.754756932365</v>
      </c>
      <c r="AM22" s="7">
        <f>1.5*80500</f>
        <v>120750</v>
      </c>
      <c r="AN22" s="7">
        <v>250000</v>
      </c>
      <c r="AO22" s="31">
        <f>IF(AN22/(INDEX('Standards for Conversions'!$H$34:$H$73,MATCH(AM$2,'Standards for Conversions'!$A$34:$A$73,0)))=0,"",AN22/(INDEX('Standards for Conversions'!$H$34:$H$73,MATCH(AM$2,'Standards for Conversions'!$A$34:$A$73,0))))</f>
        <v>42874.921243590848</v>
      </c>
      <c r="AP22" s="7">
        <f>1.5*78792</f>
        <v>118188</v>
      </c>
      <c r="AQ22" s="7">
        <v>175000</v>
      </c>
      <c r="AR22" s="31">
        <f>IF(AQ22/(INDEX('Standards for Conversions'!$H$34:$H$73,MATCH(AP$2,'Standards for Conversions'!$A$34:$A$73,0)))=0,"",AQ22/(INDEX('Standards for Conversions'!$H$34:$H$73,MATCH(AP$2,'Standards for Conversions'!$A$34:$A$73,0))))</f>
        <v>28789.715635048229</v>
      </c>
      <c r="AS22" s="7">
        <f>1.5*80885</f>
        <v>121327.5</v>
      </c>
      <c r="AT22" s="7">
        <v>198700</v>
      </c>
      <c r="AU22" s="31">
        <f>IF(AT22/(INDEX('Standards for Conversions'!$H$34:$H$73,MATCH(AS$2,'Standards for Conversions'!$A$34:$A$73,0)))=0,"",AT22/(INDEX('Standards for Conversions'!$H$34:$H$73,MATCH(AS$2,'Standards for Conversions'!$A$34:$A$73,0))))</f>
        <v>30543.07759950465</v>
      </c>
      <c r="AV22" s="7">
        <f>1.5*90000</f>
        <v>135000</v>
      </c>
      <c r="AW22" s="7">
        <v>180000</v>
      </c>
      <c r="AX22" s="31">
        <f>IF(AW22/(INDEX('Standards for Conversions'!$H$47:$H$73,MATCH(AV$2,'Standards for Conversions'!$A$47:$A$73,0)))=0,"",AW22/(INDEX('Standards for Conversions'!$H$47:$H$73,MATCH(AV$2,'Standards for Conversions'!$A$47:$A$73,0))))</f>
        <v>27249.394390371071</v>
      </c>
      <c r="AY22" s="42"/>
      <c r="AZ22" s="29">
        <f>(100000)*1.5</f>
        <v>150000</v>
      </c>
      <c r="BA22" s="29">
        <v>190000</v>
      </c>
      <c r="BB22" s="31">
        <f>IF(BA22/(INDEX('Standards for Conversions'!$H$47:$H$73,MATCH(AZ$2,'Standards for Conversions'!$A$47:$A$73,0)))=0,"",BA22/(INDEX('Standards for Conversions'!$H$47:$H$73,MATCH(AZ$2,'Standards for Conversions'!$A$47:$A$73,0))))</f>
        <v>27596.628320442633</v>
      </c>
      <c r="BC22" s="29">
        <v>165000</v>
      </c>
      <c r="BD22" s="29">
        <v>200000</v>
      </c>
      <c r="BE22" s="31">
        <f>IF(BD22/(INDEX('Standards for Conversions'!$H$47:$H$73,MATCH(BC$2,'Standards for Conversions'!$A$47:$A$73,0)))=0,"",BD22/(INDEX('Standards for Conversions'!$H$47:$H$73,MATCH(BC$2,'Standards for Conversions'!$A$47:$A$73,0))))</f>
        <v>28922.045638886473</v>
      </c>
      <c r="BF22" s="33" t="s">
        <v>98</v>
      </c>
      <c r="BG22" s="29">
        <v>135000</v>
      </c>
      <c r="BH22" s="29">
        <v>180000</v>
      </c>
      <c r="BI22" s="31">
        <f>IF(BH22/(INDEX('Standards for Conversions'!$H$47:$H$73,MATCH(BG$2,'Standards for Conversions'!$A$47:$A$73,0)))=0,"",BH22/(INDEX('Standards for Conversions'!$H$47:$H$73,MATCH(BG$2,'Standards for Conversions'!$A$47:$A$73,0))))</f>
        <v>29116.835404536367</v>
      </c>
      <c r="BJ22" s="42"/>
      <c r="BK22" s="29">
        <f>(100000)*1.5</f>
        <v>150000</v>
      </c>
      <c r="BL22" s="29">
        <v>150000</v>
      </c>
      <c r="BM22" s="31">
        <f>IF(BL22/(INDEX('Standards for Conversions'!$H$47:$H$73,MATCH(BK$2,'Standards for Conversions'!$A$47:$A$73,0)))=0,"",BL22/(INDEX('Standards for Conversions'!$H$47:$H$73,MATCH(BK$2,'Standards for Conversions'!$A$47:$A$73,0))))</f>
        <v>22898.383864169635</v>
      </c>
      <c r="BN22" s="29">
        <v>135000</v>
      </c>
      <c r="BO22" s="29">
        <v>140000</v>
      </c>
      <c r="BP22" s="31">
        <f>IF(BO22/(INDEX('Standards for Conversions'!$H$47:$H$73,MATCH(BN$2,'Standards for Conversions'!$A$47:$A$73,0)))=0,"",BO22/(INDEX('Standards for Conversions'!$H$47:$H$73,MATCH(BN$2,'Standards for Conversions'!$A$47:$A$73,0))))</f>
        <v>18852.261666811504</v>
      </c>
      <c r="BQ22" s="42"/>
      <c r="BR22" s="29">
        <f>(80000)*1.5</f>
        <v>120000</v>
      </c>
      <c r="BS22" s="29">
        <v>130000</v>
      </c>
      <c r="BT22" s="31">
        <f>IF(BS22/(INDEX('Standards for Conversions'!$H$47:$H$73,MATCH(BR$2,'Standards for Conversions'!$A$47:$A$73,0)))=0,"",BS22/(INDEX('Standards for Conversions'!$H$47:$H$73,MATCH(BR$2,'Standards for Conversions'!$A$47:$A$73,0))))</f>
        <v>15810.153674574893</v>
      </c>
      <c r="BU22" s="140"/>
      <c r="BV22" s="43"/>
      <c r="BW22" s="44"/>
      <c r="BX22" s="31" t="str">
        <f>IF(BW22/(INDEX('Standards for Conversions'!$H$47:$H$73,MATCH(BV$2,'Standards for Conversions'!$A$47:$A$73,0)))=0,"",BW22/(INDEX('Standards for Conversions'!$H$47:$H$73,MATCH(BV$2,'Standards for Conversions'!$A$47:$A$73,0))))</f>
        <v/>
      </c>
      <c r="BY22" s="43"/>
      <c r="BZ22" s="44"/>
      <c r="CA22" s="31" t="str">
        <f>IF(BZ22/(INDEX('Standards for Conversions'!$H$47:$H$73,MATCH(BY$2,'Standards for Conversions'!$A$47:$A$73,0)))=0,"",BZ22/(INDEX('Standards for Conversions'!$H$47:$H$73,MATCH(BY$2,'Standards for Conversions'!$A$47:$A$73,0))))</f>
        <v/>
      </c>
      <c r="CB22" s="43"/>
      <c r="CC22" s="44"/>
      <c r="CD22" s="31" t="str">
        <f>IF(CC22/(INDEX('Standards for Conversions'!$H$47:$H$73,MATCH(CB$2,'Standards for Conversions'!$A$47:$A$73,0)))=0,"",CC22/(INDEX('Standards for Conversions'!$H$47:$H$73,MATCH(CB$2,'Standards for Conversions'!$A$47:$A$73,0))))</f>
        <v/>
      </c>
      <c r="CE22" s="46"/>
      <c r="CF22" s="43"/>
      <c r="CG22" s="44"/>
      <c r="CH22" s="31" t="str">
        <f>IF(CG22/(INDEX('Standards for Conversions'!$H$47:$H$73,MATCH(CF$2,'Standards for Conversions'!$A$47:$A$73,0)))=0,"",CG22/(INDEX('Standards for Conversions'!$H$47:$H$73,MATCH(CF$2,'Standards for Conversions'!$A$47:$A$73,0))))</f>
        <v/>
      </c>
      <c r="CI22" s="43"/>
      <c r="CJ22" s="44"/>
      <c r="CK22" s="31" t="str">
        <f>IF(CJ22/(INDEX('Standards for Conversions'!$H$47:$H$73,MATCH(CI$2,'Standards for Conversions'!$A$47:$A$73,0)))=0,"",CJ22/(INDEX('Standards for Conversions'!$H$47:$H$73,MATCH(CI$2,'Standards for Conversions'!$A$47:$A$73,0))))</f>
        <v/>
      </c>
      <c r="CL22" s="43"/>
      <c r="CM22" s="44"/>
      <c r="CN22" s="31" t="str">
        <f>IF(CM22/(INDEX('Standards for Conversions'!$H$47:$H$73,MATCH(CL$2,'Standards for Conversions'!$A$47:$A$73,0)))=0,"",CM22/(INDEX('Standards for Conversions'!$H$47:$H$73,MATCH(CL$2,'Standards for Conversions'!$A$47:$A$73,0))))</f>
        <v/>
      </c>
      <c r="CO22" s="43"/>
      <c r="CP22" s="44"/>
      <c r="CQ22" s="31" t="str">
        <f>IF(CP22/(INDEX('Standards for Conversions'!$H$47:$H$73,MATCH(CO$2,'Standards for Conversions'!$A$47:$A$73,0)))=0,"",CP22/(INDEX('Standards for Conversions'!$H$47:$H$73,MATCH(CO$2,'Standards for Conversions'!$A$47:$A$73,0))))</f>
        <v/>
      </c>
      <c r="CR22" s="46"/>
      <c r="CS22" s="43"/>
      <c r="CT22" s="44"/>
      <c r="CU22" s="31" t="str">
        <f>IF(CT22/(INDEX('Standards for Conversions'!$H$47:$H$73,MATCH(CS$2,'Standards for Conversions'!$A$47:$A$73,0)))=0,"",CT22/(INDEX('Standards for Conversions'!$H$47:$H$73,MATCH(CS$2,'Standards for Conversions'!$A$47:$A$73,0))))</f>
        <v/>
      </c>
      <c r="CV22" s="43"/>
      <c r="CW22" s="44"/>
      <c r="CX22" s="31" t="str">
        <f>IF(CW22/(INDEX('Standards for Conversions'!$H$47:$H$73,MATCH(CV$2,'Standards for Conversions'!$A$47:$A$73,0)))=0,"",CW22/(INDEX('Standards for Conversions'!$H$47:$H$73,MATCH(CV$2,'Standards for Conversions'!$A$47:$A$73,0))))</f>
        <v/>
      </c>
      <c r="CY22" s="43"/>
      <c r="CZ22" s="44"/>
      <c r="DA22" s="31" t="str">
        <f>IF(CZ22/(INDEX('Standards for Conversions'!$H$47:$H$73,MATCH(CY$2,'Standards for Conversions'!$A$47:$A$73,0)))=0,"",CZ22/(INDEX('Standards for Conversions'!$H$47:$H$73,MATCH(CY$2,'Standards for Conversions'!$A$47:$A$73,0))))</f>
        <v/>
      </c>
      <c r="DB22" s="42"/>
      <c r="DC22" s="45"/>
      <c r="DD22" s="44"/>
      <c r="DE22" s="31" t="str">
        <f>IF(DD22/(INDEX('Standards for Conversions'!$H$47:$H$73,MATCH(DC$2,'Standards for Conversions'!$A$47:$A$73,0)))=0,"",DD22/(INDEX('Standards for Conversions'!$H$47:$H$73,MATCH(DC$2,'Standards for Conversions'!$A$47:$A$73,0))))</f>
        <v/>
      </c>
      <c r="DF22" s="42"/>
      <c r="DR22" s="29" t="s">
        <v>98</v>
      </c>
      <c r="DS22" s="7">
        <f>20*5752</f>
        <v>115040</v>
      </c>
      <c r="DT22" s="29">
        <v>57194</v>
      </c>
      <c r="DU22" s="7">
        <f>20*4857</f>
        <v>97140</v>
      </c>
      <c r="DV22" s="29">
        <v>52609</v>
      </c>
    </row>
    <row r="23" spans="1:129" hidden="1" x14ac:dyDescent="0.3">
      <c r="A23" t="s">
        <v>339</v>
      </c>
      <c r="B23" s="10" t="s">
        <v>38</v>
      </c>
      <c r="C23" s="7"/>
      <c r="D23" s="7"/>
      <c r="E23" s="31" t="str">
        <f>IF(D23/(INDEX('Standards for Conversions'!$H$34:$H$73,MATCH(C$2,'Standards for Conversions'!$A$34:$A$73,0)))=0,"",D23/(INDEX('Standards for Conversions'!$H$34:$H$73,MATCH(C$2,'Standards for Conversions'!$A$34:$A$73,0))))</f>
        <v/>
      </c>
      <c r="F23" s="7"/>
      <c r="G23" s="7"/>
      <c r="H23" s="31" t="str">
        <f>IF(G23/(INDEX('Standards for Conversions'!$H$34:$H$73,MATCH(F$2,'Standards for Conversions'!$A$34:$A$73,0)))=0,"",G23/(INDEX('Standards for Conversions'!$H$34:$H$73,MATCH(F$2,'Standards for Conversions'!$A$34:$A$73,0))))</f>
        <v/>
      </c>
      <c r="I23" s="10" t="s">
        <v>38</v>
      </c>
      <c r="J23" s="7"/>
      <c r="K23" s="7"/>
      <c r="L23" s="31" t="str">
        <f>IF(K23/(INDEX('Standards for Conversions'!$H$34:$H$73,MATCH(J$2,'Standards for Conversions'!$A$34:$A$73,0)))=0,"",K23/(INDEX('Standards for Conversions'!$H$34:$H$73,MATCH(J$2,'Standards for Conversions'!$A$34:$A$73,0))))</f>
        <v/>
      </c>
      <c r="M23" s="7"/>
      <c r="N23" s="7"/>
      <c r="O23" s="31" t="str">
        <f>IF(N23/(INDEX('Standards for Conversions'!$H$34:$H$73,MATCH(M$2,'Standards for Conversions'!$A$34:$A$73,0)))=0,"",N23/(INDEX('Standards for Conversions'!$H$34:$H$73,MATCH(M$2,'Standards for Conversions'!$A$34:$A$73,0))))</f>
        <v/>
      </c>
      <c r="P23" s="10" t="s">
        <v>38</v>
      </c>
      <c r="Q23" s="7"/>
      <c r="R23" s="7"/>
      <c r="S23" s="31" t="str">
        <f>IF(R23/(INDEX('Standards for Conversions'!$H$34:$H$73,MATCH(Q$2,'Standards for Conversions'!$A$34:$A$73,0)))=0,"",R23/(INDEX('Standards for Conversions'!$H$34:$H$73,MATCH(Q$2,'Standards for Conversions'!$A$34:$A$73,0))))</f>
        <v/>
      </c>
      <c r="T23" s="10" t="s">
        <v>38</v>
      </c>
      <c r="U23" s="7"/>
      <c r="V23" s="7"/>
      <c r="W23" s="31" t="str">
        <f>IF(V23/(INDEX('Standards for Conversions'!$H$34:$H$73,MATCH(U$2,'Standards for Conversions'!$A$34:$A$73,0)))=0,"",V23/(INDEX('Standards for Conversions'!$H$34:$H$73,MATCH(U$2,'Standards for Conversions'!$A$34:$A$73,0))))</f>
        <v/>
      </c>
      <c r="X23" s="10" t="s">
        <v>38</v>
      </c>
      <c r="Y23" s="7"/>
      <c r="Z23" s="7"/>
      <c r="AA23" s="31" t="str">
        <f>IF(Z23/(INDEX('Standards for Conversions'!$H$34:$H$73,MATCH(Y$2,'Standards for Conversions'!$A$34:$A$73,0)))=0,"",Z23/(INDEX('Standards for Conversions'!$H$34:$H$73,MATCH(Y$2,'Standards for Conversions'!$A$34:$A$73,0))))</f>
        <v/>
      </c>
      <c r="AB23" s="7"/>
      <c r="AC23" s="7"/>
      <c r="AD23" s="31" t="str">
        <f>IF(AC23/(INDEX('Standards for Conversions'!$H$34:$H$73,MATCH(AB$2,'Standards for Conversions'!$A$34:$A$73,0)))=0,"",AC23/(INDEX('Standards for Conversions'!$H$34:$H$73,MATCH(AB$2,'Standards for Conversions'!$A$34:$A$73,0))))</f>
        <v/>
      </c>
      <c r="AE23" s="10" t="s">
        <v>38</v>
      </c>
      <c r="AH23" s="31" t="str">
        <f>IF(AG23/(INDEX('Standards for Conversions'!$H$34:$H$73,MATCH(AF$2,'Standards for Conversions'!$A$34:$A$73,0)))=0,"",AG23/(INDEX('Standards for Conversions'!$H$34:$H$73,MATCH(AF$2,'Standards for Conversions'!$A$34:$A$73,0))))</f>
        <v/>
      </c>
      <c r="AI23" s="10" t="s">
        <v>38</v>
      </c>
      <c r="AJ23" s="7"/>
      <c r="AK23" s="7"/>
      <c r="AL23" s="31" t="str">
        <f>IF(AK23/(INDEX('Standards for Conversions'!$H$34:$H$73,MATCH(AJ$2,'Standards for Conversions'!$A$34:$A$73,0)))=0,"",AK23/(INDEX('Standards for Conversions'!$H$34:$H$73,MATCH(AJ$2,'Standards for Conversions'!$A$34:$A$73,0))))</f>
        <v/>
      </c>
      <c r="AM23" s="7"/>
      <c r="AN23" s="7"/>
      <c r="AO23" s="31" t="str">
        <f>IF(AN23/(INDEX('Standards for Conversions'!$H$34:$H$73,MATCH(AM$2,'Standards for Conversions'!$A$34:$A$73,0)))=0,"",AN23/(INDEX('Standards for Conversions'!$H$34:$H$73,MATCH(AM$2,'Standards for Conversions'!$A$34:$A$73,0))))</f>
        <v/>
      </c>
      <c r="AP23" s="7"/>
      <c r="AQ23" s="7"/>
      <c r="AR23" s="31" t="str">
        <f>IF(AQ23/(INDEX('Standards for Conversions'!$H$34:$H$73,MATCH(AP$2,'Standards for Conversions'!$A$34:$A$73,0)))=0,"",AQ23/(INDEX('Standards for Conversions'!$H$34:$H$73,MATCH(AP$2,'Standards for Conversions'!$A$34:$A$73,0))))</f>
        <v/>
      </c>
      <c r="AS23" s="7"/>
      <c r="AT23" s="7"/>
      <c r="AU23" s="31" t="str">
        <f>IF(AT23/(INDEX('Standards for Conversions'!$H$34:$H$73,MATCH(AS$2,'Standards for Conversions'!$A$34:$A$73,0)))=0,"",AT23/(INDEX('Standards for Conversions'!$H$34:$H$73,MATCH(AS$2,'Standards for Conversions'!$A$34:$A$73,0))))</f>
        <v/>
      </c>
      <c r="AV23" s="7"/>
      <c r="AW23" s="7"/>
      <c r="AX23" s="31" t="str">
        <f>IF(AW23/(INDEX('Standards for Conversions'!$H$47:$H$73,MATCH(AV$2,'Standards for Conversions'!$A$47:$A$73,0)))=0,"",AW23/(INDEX('Standards for Conversions'!$H$47:$H$73,MATCH(AV$2,'Standards for Conversions'!$A$47:$A$73,0))))</f>
        <v/>
      </c>
      <c r="AY23" s="47" t="s">
        <v>38</v>
      </c>
      <c r="AZ23" s="29">
        <v>2300</v>
      </c>
      <c r="BA23" s="29">
        <v>20000</v>
      </c>
      <c r="BB23" s="31">
        <f>IF(BA23/(INDEX('Standards for Conversions'!$H$47:$H$73,MATCH(AZ$2,'Standards for Conversions'!$A$47:$A$73,0)))=0,"",BA23/(INDEX('Standards for Conversions'!$H$47:$H$73,MATCH(AZ$2,'Standards for Conversions'!$A$47:$A$73,0))))</f>
        <v>2904.9082442571193</v>
      </c>
      <c r="BC23" s="29">
        <v>2000</v>
      </c>
      <c r="BD23" s="29">
        <v>20000</v>
      </c>
      <c r="BE23" s="31">
        <f>IF(BD23/(INDEX('Standards for Conversions'!$H$47:$H$73,MATCH(BC$2,'Standards for Conversions'!$A$47:$A$73,0)))=0,"",BD23/(INDEX('Standards for Conversions'!$H$47:$H$73,MATCH(BC$2,'Standards for Conversions'!$A$47:$A$73,0))))</f>
        <v>2892.204563888647</v>
      </c>
      <c r="BF23" s="47" t="s">
        <v>38</v>
      </c>
      <c r="BG23" s="29">
        <v>1500</v>
      </c>
      <c r="BH23" s="29">
        <v>18000</v>
      </c>
      <c r="BI23" s="31">
        <f>IF(BH23/(INDEX('Standards for Conversions'!$H$47:$H$73,MATCH(BG$2,'Standards for Conversions'!$A$47:$A$73,0)))=0,"",BH23/(INDEX('Standards for Conversions'!$H$47:$H$73,MATCH(BG$2,'Standards for Conversions'!$A$47:$A$73,0))))</f>
        <v>2911.6835404536364</v>
      </c>
      <c r="BJ23" s="47" t="s">
        <v>38</v>
      </c>
      <c r="BK23" s="29">
        <v>1200</v>
      </c>
      <c r="BL23" s="29">
        <v>18000</v>
      </c>
      <c r="BM23" s="31">
        <f>IF(BL23/(INDEX('Standards for Conversions'!$H$47:$H$73,MATCH(BK$2,'Standards for Conversions'!$A$47:$A$73,0)))=0,"",BL23/(INDEX('Standards for Conversions'!$H$47:$H$73,MATCH(BK$2,'Standards for Conversions'!$A$47:$A$73,0))))</f>
        <v>2747.8060637003559</v>
      </c>
      <c r="BN23" s="29">
        <v>1000</v>
      </c>
      <c r="BO23" s="29">
        <v>17000</v>
      </c>
      <c r="BP23" s="31">
        <f>IF(BO23/(INDEX('Standards for Conversions'!$H$47:$H$73,MATCH(BN$2,'Standards for Conversions'!$A$47:$A$73,0)))=0,"",BO23/(INDEX('Standards for Conversions'!$H$47:$H$73,MATCH(BN$2,'Standards for Conversions'!$A$47:$A$73,0))))</f>
        <v>2289.2032023985398</v>
      </c>
      <c r="BQ23" s="47" t="s">
        <v>38</v>
      </c>
      <c r="BR23" s="29">
        <v>900</v>
      </c>
      <c r="BS23" s="29">
        <v>25000</v>
      </c>
      <c r="BT23" s="31">
        <f>IF(BS23/(INDEX('Standards for Conversions'!$H$47:$H$73,MATCH(BR$2,'Standards for Conversions'!$A$47:$A$73,0)))=0,"",BS23/(INDEX('Standards for Conversions'!$H$47:$H$73,MATCH(BR$2,'Standards for Conversions'!$A$47:$A$73,0))))</f>
        <v>3040.4141681874794</v>
      </c>
      <c r="BU23" s="47" t="s">
        <v>38</v>
      </c>
      <c r="BV23" s="29">
        <f>75+2375+1925</f>
        <v>4375</v>
      </c>
      <c r="BW23" s="29">
        <f>600+19000+15400</f>
        <v>35000</v>
      </c>
      <c r="BX23" s="31">
        <f>IF(BW23/(INDEX('Standards for Conversions'!$H$47:$H$73,MATCH(BV$2,'Standards for Conversions'!$A$47:$A$73,0)))=0,"",BW23/(INDEX('Standards for Conversions'!$H$47:$H$73,MATCH(BV$2,'Standards for Conversions'!$A$47:$A$73,0))))</f>
        <v>3431.0523395179744</v>
      </c>
      <c r="BY23" s="29">
        <f>87.5+2437+1975</f>
        <v>4499.5</v>
      </c>
      <c r="BZ23" s="29">
        <f>700+19500+15800</f>
        <v>36000</v>
      </c>
      <c r="CA23" s="31">
        <f>IF(BZ23/(INDEX('Standards for Conversions'!$H$47:$H$73,MATCH(BY$2,'Standards for Conversions'!$A$47:$A$73,0)))=0,"",BZ23/(INDEX('Standards for Conversions'!$H$47:$H$73,MATCH(BY$2,'Standards for Conversions'!$A$47:$A$73,0))))</f>
        <v>3635.7933214565037</v>
      </c>
      <c r="CB23" s="29">
        <f>100+2500+2000</f>
        <v>4600</v>
      </c>
      <c r="CC23" s="29">
        <f>800+20000+16000</f>
        <v>36800</v>
      </c>
      <c r="CD23" s="31">
        <f>IF(CC23/(INDEX('Standards for Conversions'!$H$47:$H$73,MATCH(CB$2,'Standards for Conversions'!$A$47:$A$73,0)))=0,"",CC23/(INDEX('Standards for Conversions'!$H$47:$H$73,MATCH(CB$2,'Standards for Conversions'!$A$47:$A$73,0))))</f>
        <v>3841.2541786159145</v>
      </c>
      <c r="CE23" s="29" t="s">
        <v>98</v>
      </c>
      <c r="CF23" s="29">
        <f>125+2200+1800</f>
        <v>4125</v>
      </c>
      <c r="CG23" s="29">
        <f>1200+22000+18000</f>
        <v>41200</v>
      </c>
      <c r="CH23" s="31">
        <f>IF(CG23/(INDEX('Standards for Conversions'!$H$47:$H$73,MATCH(CF$2,'Standards for Conversions'!$A$47:$A$73,0)))=0,"",CG23/(INDEX('Standards for Conversions'!$H$47:$H$73,MATCH(CF$2,'Standards for Conversions'!$A$47:$A$73,0))))</f>
        <v>3846.9284891804978</v>
      </c>
      <c r="CI23" s="29">
        <f>100+2500+2000</f>
        <v>4600</v>
      </c>
      <c r="CJ23" s="29">
        <f>1200+30000+22000</f>
        <v>53200</v>
      </c>
      <c r="CK23" s="31">
        <f>IF(CJ23/(INDEX('Standards for Conversions'!$H$47:$H$73,MATCH(CI$2,'Standards for Conversions'!$A$47:$A$73,0)))=0,"",CJ23/(INDEX('Standards for Conversions'!$H$47:$H$73,MATCH(CI$2,'Standards for Conversions'!$A$47:$A$73,0))))</f>
        <v>4854.7537984125593</v>
      </c>
      <c r="CL23" s="29">
        <f>50+2200+1800</f>
        <v>4050</v>
      </c>
      <c r="CM23" s="29">
        <f>700+28000+21000</f>
        <v>49700</v>
      </c>
      <c r="CN23" s="31">
        <f>IF(CM23/(INDEX('Standards for Conversions'!$H$47:$H$73,MATCH(CL$2,'Standards for Conversions'!$A$47:$A$73,0)))=0,"",CM23/(INDEX('Standards for Conversions'!$H$47:$H$73,MATCH(CL$2,'Standards for Conversions'!$A$47:$A$73,0))))</f>
        <v>4619.5451563903125</v>
      </c>
      <c r="CO23" s="29">
        <f>2132+500+10000</f>
        <v>12632</v>
      </c>
      <c r="CP23" s="29">
        <f>2665+625+12500</f>
        <v>15790</v>
      </c>
      <c r="CQ23" s="31">
        <f>IF(CP23/(INDEX('Standards for Conversions'!$H$47:$H$73,MATCH(CO$2,'Standards for Conversions'!$A$47:$A$73,0)))=0,"",CP23/(INDEX('Standards for Conversions'!$H$47:$H$73,MATCH(CO$2,'Standards for Conversions'!$A$47:$A$73,0))))</f>
        <v>1514.4629032871294</v>
      </c>
      <c r="CR23" s="29" t="s">
        <v>98</v>
      </c>
      <c r="CS23" s="33">
        <f>12205+554+9528</f>
        <v>22287</v>
      </c>
      <c r="CT23" s="29">
        <f>12663+700+12040</f>
        <v>25403</v>
      </c>
      <c r="CU23" s="31">
        <f>IF(CT23/(INDEX('Standards for Conversions'!$H$47:$H$73,MATCH(CS$2,'Standards for Conversions'!$A$47:$A$73,0)))=0,"",CT23/(INDEX('Standards for Conversions'!$H$47:$H$73,MATCH(CS$2,'Standards for Conversions'!$A$47:$A$73,0))))</f>
        <v>2339.6590449020159</v>
      </c>
      <c r="CV23" s="29">
        <f>2000+1110+20000</f>
        <v>23110</v>
      </c>
      <c r="CW23" s="29">
        <f>4000+1620+31360</f>
        <v>36980</v>
      </c>
      <c r="CX23" s="31">
        <f>IF(CW23/(INDEX('Standards for Conversions'!$H$47:$H$73,MATCH(CV$2,'Standards for Conversions'!$A$47:$A$73,0)))=0,"",CW23/(INDEX('Standards for Conversions'!$H$47:$H$73,MATCH(CV$2,'Standards for Conversions'!$A$47:$A$73,0))))</f>
        <v>3014.4351418339556</v>
      </c>
      <c r="CY23" s="33">
        <f>1540+950+2500</f>
        <v>4990</v>
      </c>
      <c r="CZ23" s="29">
        <f>18480+9750+30000</f>
        <v>58230</v>
      </c>
      <c r="DA23" s="31">
        <f>IF(CZ23/(INDEX('Standards for Conversions'!$H$47:$H$73,MATCH(CY$2,'Standards for Conversions'!$A$47:$A$73,0)))=0,"",CZ23/(INDEX('Standards for Conversions'!$H$47:$H$73,MATCH(CY$2,'Standards for Conversions'!$A$47:$A$73,0))))</f>
        <v>4882.2530318501767</v>
      </c>
      <c r="DB23" s="29" t="s">
        <v>98</v>
      </c>
      <c r="DC23" s="29">
        <v>4420</v>
      </c>
      <c r="DD23" s="29">
        <f>8400+35000</f>
        <v>43400</v>
      </c>
      <c r="DE23" s="31">
        <f>IF(DD23/(INDEX('Standards for Conversions'!$H$47:$H$73,MATCH(DC$2,'Standards for Conversions'!$A$47:$A$73,0)))=0,"",DD23/(INDEX('Standards for Conversions'!$H$47:$H$73,MATCH(DC$2,'Standards for Conversions'!$A$47:$A$73,0))))</f>
        <v>3882.3505846079197</v>
      </c>
      <c r="DF23" s="29" t="s">
        <v>98</v>
      </c>
      <c r="DG23" s="29">
        <v>1210</v>
      </c>
      <c r="DH23" s="29">
        <v>2300</v>
      </c>
      <c r="DI23" s="29">
        <v>2620</v>
      </c>
      <c r="DJ23" s="29">
        <v>5833</v>
      </c>
      <c r="DK23" s="29">
        <v>3375</v>
      </c>
      <c r="DL23" s="29">
        <v>5597</v>
      </c>
      <c r="DM23" s="29" t="s">
        <v>98</v>
      </c>
      <c r="DN23" s="29">
        <v>3155</v>
      </c>
      <c r="DO23" s="29">
        <v>5258</v>
      </c>
      <c r="DP23" s="29">
        <v>3246</v>
      </c>
      <c r="DQ23" s="29">
        <v>6059</v>
      </c>
      <c r="DR23" s="29" t="s">
        <v>98</v>
      </c>
      <c r="DS23" s="29">
        <v>5521</v>
      </c>
      <c r="DT23" s="29">
        <v>5355</v>
      </c>
      <c r="DU23" s="29">
        <v>4055</v>
      </c>
      <c r="DV23" s="29">
        <v>5869</v>
      </c>
    </row>
    <row r="24" spans="1:129" hidden="1" x14ac:dyDescent="0.3">
      <c r="A24" t="s">
        <v>340</v>
      </c>
      <c r="C24" s="7"/>
      <c r="D24" s="7"/>
      <c r="E24" s="31" t="str">
        <f>IF(D24/(INDEX('Standards for Conversions'!$H$34:$H$73,MATCH(C$2,'Standards for Conversions'!$A$34:$A$73,0)))=0,"",D24/(INDEX('Standards for Conversions'!$H$34:$H$73,MATCH(C$2,'Standards for Conversions'!$A$34:$A$73,0))))</f>
        <v/>
      </c>
      <c r="F24" s="7"/>
      <c r="G24" s="7"/>
      <c r="H24" s="31" t="str">
        <f>IF(G24/(INDEX('Standards for Conversions'!$H$34:$H$73,MATCH(F$2,'Standards for Conversions'!$A$34:$A$73,0)))=0,"",G24/(INDEX('Standards for Conversions'!$H$34:$H$73,MATCH(F$2,'Standards for Conversions'!$A$34:$A$73,0))))</f>
        <v/>
      </c>
      <c r="J24" s="7"/>
      <c r="K24" s="7"/>
      <c r="L24" s="31" t="str">
        <f>IF(K24/(INDEX('Standards for Conversions'!$H$34:$H$73,MATCH(J$2,'Standards for Conversions'!$A$34:$A$73,0)))=0,"",K24/(INDEX('Standards for Conversions'!$H$34:$H$73,MATCH(J$2,'Standards for Conversions'!$A$34:$A$73,0))))</f>
        <v/>
      </c>
      <c r="M24" s="7"/>
      <c r="N24" s="7"/>
      <c r="O24" s="31" t="str">
        <f>IF(N24/(INDEX('Standards for Conversions'!$H$34:$H$73,MATCH(M$2,'Standards for Conversions'!$A$34:$A$73,0)))=0,"",N24/(INDEX('Standards for Conversions'!$H$34:$H$73,MATCH(M$2,'Standards for Conversions'!$A$34:$A$73,0))))</f>
        <v/>
      </c>
      <c r="Q24" s="7"/>
      <c r="R24" s="7"/>
      <c r="S24" s="31" t="str">
        <f>IF(R24/(INDEX('Standards for Conversions'!$H$34:$H$73,MATCH(Q$2,'Standards for Conversions'!$A$34:$A$73,0)))=0,"",R24/(INDEX('Standards for Conversions'!$H$34:$H$73,MATCH(Q$2,'Standards for Conversions'!$A$34:$A$73,0))))</f>
        <v/>
      </c>
      <c r="U24" s="7"/>
      <c r="V24" s="7"/>
      <c r="W24" s="31" t="str">
        <f>IF(V24/(INDEX('Standards for Conversions'!$H$34:$H$73,MATCH(U$2,'Standards for Conversions'!$A$34:$A$73,0)))=0,"",V24/(INDEX('Standards for Conversions'!$H$34:$H$73,MATCH(U$2,'Standards for Conversions'!$A$34:$A$73,0))))</f>
        <v/>
      </c>
      <c r="Y24" s="7"/>
      <c r="Z24" s="7"/>
      <c r="AA24" s="31" t="str">
        <f>IF(Z24/(INDEX('Standards for Conversions'!$H$34:$H$73,MATCH(Y$2,'Standards for Conversions'!$A$34:$A$73,0)))=0,"",Z24/(INDEX('Standards for Conversions'!$H$34:$H$73,MATCH(Y$2,'Standards for Conversions'!$A$34:$A$73,0))))</f>
        <v/>
      </c>
      <c r="AB24" s="7"/>
      <c r="AC24" s="7"/>
      <c r="AD24" s="31" t="str">
        <f>IF(AC24/(INDEX('Standards for Conversions'!$H$34:$H$73,MATCH(AB$2,'Standards for Conversions'!$A$34:$A$73,0)))=0,"",AC24/(INDEX('Standards for Conversions'!$H$34:$H$73,MATCH(AB$2,'Standards for Conversions'!$A$34:$A$73,0))))</f>
        <v/>
      </c>
      <c r="AF24" s="7"/>
      <c r="AG24" s="7"/>
      <c r="AH24" s="31" t="str">
        <f>IF(AG24/(INDEX('Standards for Conversions'!$H$34:$H$73,MATCH(AF$2,'Standards for Conversions'!$A$34:$A$73,0)))=0,"",AG24/(INDEX('Standards for Conversions'!$H$34:$H$73,MATCH(AF$2,'Standards for Conversions'!$A$34:$A$73,0))))</f>
        <v/>
      </c>
      <c r="AJ24" s="7"/>
      <c r="AK24" s="7"/>
      <c r="AL24" s="31" t="str">
        <f>IF(AK24/(INDEX('Standards for Conversions'!$H$34:$H$73,MATCH(AJ$2,'Standards for Conversions'!$A$34:$A$73,0)))=0,"",AK24/(INDEX('Standards for Conversions'!$H$34:$H$73,MATCH(AJ$2,'Standards for Conversions'!$A$34:$A$73,0))))</f>
        <v/>
      </c>
      <c r="AM24" s="7"/>
      <c r="AN24" s="7"/>
      <c r="AO24" s="31" t="str">
        <f>IF(AN24/(INDEX('Standards for Conversions'!$H$34:$H$73,MATCH(AM$2,'Standards for Conversions'!$A$34:$A$73,0)))=0,"",AN24/(INDEX('Standards for Conversions'!$H$34:$H$73,MATCH(AM$2,'Standards for Conversions'!$A$34:$A$73,0))))</f>
        <v/>
      </c>
      <c r="AP24" s="7"/>
      <c r="AQ24" s="7"/>
      <c r="AR24" s="31" t="str">
        <f>IF(AQ24/(INDEX('Standards for Conversions'!$H$34:$H$73,MATCH(AP$2,'Standards for Conversions'!$A$34:$A$73,0)))=0,"",AQ24/(INDEX('Standards for Conversions'!$H$34:$H$73,MATCH(AP$2,'Standards for Conversions'!$A$34:$A$73,0))))</f>
        <v/>
      </c>
      <c r="AS24" s="7"/>
      <c r="AT24" s="7"/>
      <c r="AU24" s="31" t="str">
        <f>IF(AT24/(INDEX('Standards for Conversions'!$H$34:$H$73,MATCH(AS$2,'Standards for Conversions'!$A$34:$A$73,0)))=0,"",AT24/(INDEX('Standards for Conversions'!$H$34:$H$73,MATCH(AS$2,'Standards for Conversions'!$A$34:$A$73,0))))</f>
        <v/>
      </c>
      <c r="AV24" s="7"/>
      <c r="AW24" s="7"/>
      <c r="AX24" s="31" t="str">
        <f>IF(AW24/(INDEX('Standards for Conversions'!$H$47:$H$73,MATCH(AV$2,'Standards for Conversions'!$A$47:$A$73,0)))=0,"",AW24/(INDEX('Standards for Conversions'!$H$47:$H$73,MATCH(AV$2,'Standards for Conversions'!$A$47:$A$73,0))))</f>
        <v/>
      </c>
      <c r="BB24" s="31" t="str">
        <f>IF(BA24/(INDEX('Standards for Conversions'!$H$47:$H$73,MATCH(AZ$2,'Standards for Conversions'!$A$47:$A$73,0)))=0,"",BA24/(INDEX('Standards for Conversions'!$H$47:$H$73,MATCH(AZ$2,'Standards for Conversions'!$A$47:$A$73,0))))</f>
        <v/>
      </c>
      <c r="BE24" s="31" t="str">
        <f>IF(BD24/(INDEX('Standards for Conversions'!$H$47:$H$73,MATCH(BC$2,'Standards for Conversions'!$A$47:$A$73,0)))=0,"",BD24/(INDEX('Standards for Conversions'!$H$47:$H$73,MATCH(BC$2,'Standards for Conversions'!$A$47:$A$73,0))))</f>
        <v/>
      </c>
      <c r="BF24" s="33"/>
      <c r="BI24" s="31" t="str">
        <f>IF(BH24/(INDEX('Standards for Conversions'!$H$47:$H$73,MATCH(BG$2,'Standards for Conversions'!$A$47:$A$73,0)))=0,"",BH24/(INDEX('Standards for Conversions'!$H$47:$H$73,MATCH(BG$2,'Standards for Conversions'!$A$47:$A$73,0))))</f>
        <v/>
      </c>
      <c r="BJ24" s="33"/>
      <c r="BM24" s="31" t="str">
        <f>IF(BL24/(INDEX('Standards for Conversions'!$H$47:$H$73,MATCH(BK$2,'Standards for Conversions'!$A$47:$A$73,0)))=0,"",BL24/(INDEX('Standards for Conversions'!$H$47:$H$73,MATCH(BK$2,'Standards for Conversions'!$A$47:$A$73,0))))</f>
        <v/>
      </c>
      <c r="BP24" s="31" t="str">
        <f>IF(BO24/(INDEX('Standards for Conversions'!$H$47:$H$73,MATCH(BN$2,'Standards for Conversions'!$A$47:$A$73,0)))=0,"",BO24/(INDEX('Standards for Conversions'!$H$47:$H$73,MATCH(BN$2,'Standards for Conversions'!$A$47:$A$73,0))))</f>
        <v/>
      </c>
      <c r="BQ24" s="33"/>
      <c r="BT24" s="31" t="str">
        <f>IF(BS24/(INDEX('Standards for Conversions'!$H$47:$H$73,MATCH(BR$2,'Standards for Conversions'!$A$47:$A$73,0)))=0,"",BS24/(INDEX('Standards for Conversions'!$H$47:$H$73,MATCH(BR$2,'Standards for Conversions'!$A$47:$A$73,0))))</f>
        <v/>
      </c>
      <c r="BU24" s="33"/>
      <c r="BX24" s="31" t="str">
        <f>IF(BW24/(INDEX('Standards for Conversions'!$H$47:$H$73,MATCH(BV$2,'Standards for Conversions'!$A$47:$A$73,0)))=0,"",BW24/(INDEX('Standards for Conversions'!$H$47:$H$73,MATCH(BV$2,'Standards for Conversions'!$A$47:$A$73,0))))</f>
        <v/>
      </c>
      <c r="CA24" s="31" t="str">
        <f>IF(BZ24/(INDEX('Standards for Conversions'!$H$47:$H$73,MATCH(BY$2,'Standards for Conversions'!$A$47:$A$73,0)))=0,"",BZ24/(INDEX('Standards for Conversions'!$H$47:$H$73,MATCH(BY$2,'Standards for Conversions'!$A$47:$A$73,0))))</f>
        <v/>
      </c>
      <c r="CD24" s="31" t="str">
        <f>IF(CC24/(INDEX('Standards for Conversions'!$H$47:$H$73,MATCH(CB$2,'Standards for Conversions'!$A$47:$A$73,0)))=0,"",CC24/(INDEX('Standards for Conversions'!$H$47:$H$73,MATCH(CB$2,'Standards for Conversions'!$A$47:$A$73,0))))</f>
        <v/>
      </c>
      <c r="CH24" s="31" t="str">
        <f>IF(CG24/(INDEX('Standards for Conversions'!$H$47:$H$73,MATCH(CF$2,'Standards for Conversions'!$A$47:$A$73,0)))=0,"",CG24/(INDEX('Standards for Conversions'!$H$47:$H$73,MATCH(CF$2,'Standards for Conversions'!$A$47:$A$73,0))))</f>
        <v/>
      </c>
      <c r="CK24" s="31" t="str">
        <f>IF(CJ24/(INDEX('Standards for Conversions'!$H$47:$H$73,MATCH(CI$2,'Standards for Conversions'!$A$47:$A$73,0)))=0,"",CJ24/(INDEX('Standards for Conversions'!$H$47:$H$73,MATCH(CI$2,'Standards for Conversions'!$A$47:$A$73,0))))</f>
        <v/>
      </c>
      <c r="CN24" s="31" t="str">
        <f>IF(CM24/(INDEX('Standards for Conversions'!$H$47:$H$73,MATCH(CL$2,'Standards for Conversions'!$A$47:$A$73,0)))=0,"",CM24/(INDEX('Standards for Conversions'!$H$47:$H$73,MATCH(CL$2,'Standards for Conversions'!$A$47:$A$73,0))))</f>
        <v/>
      </c>
      <c r="CQ24" s="31" t="str">
        <f>IF(CP24/(INDEX('Standards for Conversions'!$H$47:$H$73,MATCH(CO$2,'Standards for Conversions'!$A$47:$A$73,0)))=0,"",CP24/(INDEX('Standards for Conversions'!$H$47:$H$73,MATCH(CO$2,'Standards for Conversions'!$A$47:$A$73,0))))</f>
        <v/>
      </c>
      <c r="CU24" s="31" t="str">
        <f>IF(CT24/(INDEX('Standards for Conversions'!$H$47:$H$73,MATCH(CS$2,'Standards for Conversions'!$A$47:$A$73,0)))=0,"",CT24/(INDEX('Standards for Conversions'!$H$47:$H$73,MATCH(CS$2,'Standards for Conversions'!$A$47:$A$73,0))))</f>
        <v/>
      </c>
      <c r="CX24" s="31" t="str">
        <f>IF(CW24/(INDEX('Standards for Conversions'!$H$47:$H$73,MATCH(CV$2,'Standards for Conversions'!$A$47:$A$73,0)))=0,"",CW24/(INDEX('Standards for Conversions'!$H$47:$H$73,MATCH(CV$2,'Standards for Conversions'!$A$47:$A$73,0))))</f>
        <v/>
      </c>
      <c r="DA24" s="31" t="str">
        <f>IF(CZ24/(INDEX('Standards for Conversions'!$H$47:$H$73,MATCH(CY$2,'Standards for Conversions'!$A$47:$A$73,0)))=0,"",CZ24/(INDEX('Standards for Conversions'!$H$47:$H$73,MATCH(CY$2,'Standards for Conversions'!$A$47:$A$73,0))))</f>
        <v/>
      </c>
      <c r="DE24" s="31" t="str">
        <f>IF(DD24/(INDEX('Standards for Conversions'!$H$47:$H$73,MATCH(DC$2,'Standards for Conversions'!$A$47:$A$73,0)))=0,"",DD24/(INDEX('Standards for Conversions'!$H$47:$H$73,MATCH(DC$2,'Standards for Conversions'!$A$47:$A$73,0))))</f>
        <v/>
      </c>
      <c r="DM24" s="29" t="s">
        <v>98</v>
      </c>
      <c r="DN24" s="29">
        <v>2340</v>
      </c>
      <c r="DO24" s="29">
        <v>2726</v>
      </c>
      <c r="DP24" s="29">
        <v>2402</v>
      </c>
      <c r="DQ24" s="29">
        <v>2959</v>
      </c>
    </row>
    <row r="25" spans="1:129" ht="15.6" hidden="1" x14ac:dyDescent="0.3">
      <c r="A25" t="s">
        <v>341</v>
      </c>
      <c r="B25" s="122"/>
      <c r="C25" s="7"/>
      <c r="D25" s="7"/>
      <c r="E25" s="31" t="str">
        <f>IF(D25/(INDEX('Standards for Conversions'!$H$34:$H$73,MATCH(C$2,'Standards for Conversions'!$A$34:$A$73,0)))=0,"",D25/(INDEX('Standards for Conversions'!$H$34:$H$73,MATCH(C$2,'Standards for Conversions'!$A$34:$A$73,0))))</f>
        <v/>
      </c>
      <c r="F25" s="7"/>
      <c r="G25" s="7"/>
      <c r="H25" s="31" t="str">
        <f>IF(G25/(INDEX('Standards for Conversions'!$H$34:$H$73,MATCH(F$2,'Standards for Conversions'!$A$34:$A$73,0)))=0,"",G25/(INDEX('Standards for Conversions'!$H$34:$H$73,MATCH(F$2,'Standards for Conversions'!$A$34:$A$73,0))))</f>
        <v/>
      </c>
      <c r="I25" s="122"/>
      <c r="J25" s="7"/>
      <c r="K25" s="7"/>
      <c r="L25" s="31" t="str">
        <f>IF(K25/(INDEX('Standards for Conversions'!$H$34:$H$73,MATCH(J$2,'Standards for Conversions'!$A$34:$A$73,0)))=0,"",K25/(INDEX('Standards for Conversions'!$H$34:$H$73,MATCH(J$2,'Standards for Conversions'!$A$34:$A$73,0))))</f>
        <v/>
      </c>
      <c r="M25" s="7"/>
      <c r="N25" s="7"/>
      <c r="O25" s="31" t="str">
        <f>IF(N25/(INDEX('Standards for Conversions'!$H$34:$H$73,MATCH(M$2,'Standards for Conversions'!$A$34:$A$73,0)))=0,"",N25/(INDEX('Standards for Conversions'!$H$34:$H$73,MATCH(M$2,'Standards for Conversions'!$A$34:$A$73,0))))</f>
        <v/>
      </c>
      <c r="P25" s="122"/>
      <c r="Q25" s="7"/>
      <c r="R25" s="7"/>
      <c r="S25" s="31" t="str">
        <f>IF(R25/(INDEX('Standards for Conversions'!$H$34:$H$73,MATCH(Q$2,'Standards for Conversions'!$A$34:$A$73,0)))=0,"",R25/(INDEX('Standards for Conversions'!$H$34:$H$73,MATCH(Q$2,'Standards for Conversions'!$A$34:$A$73,0))))</f>
        <v/>
      </c>
      <c r="T25" s="122"/>
      <c r="U25" s="7"/>
      <c r="V25" s="7"/>
      <c r="W25" s="31" t="str">
        <f>IF(V25/(INDEX('Standards for Conversions'!$H$34:$H$73,MATCH(U$2,'Standards for Conversions'!$A$34:$A$73,0)))=0,"",V25/(INDEX('Standards for Conversions'!$H$34:$H$73,MATCH(U$2,'Standards for Conversions'!$A$34:$A$73,0))))</f>
        <v/>
      </c>
      <c r="X25" s="122"/>
      <c r="Y25" s="7"/>
      <c r="Z25" s="7"/>
      <c r="AA25" s="31" t="str">
        <f>IF(Z25/(INDEX('Standards for Conversions'!$H$34:$H$73,MATCH(Y$2,'Standards for Conversions'!$A$34:$A$73,0)))=0,"",Z25/(INDEX('Standards for Conversions'!$H$34:$H$73,MATCH(Y$2,'Standards for Conversions'!$A$34:$A$73,0))))</f>
        <v/>
      </c>
      <c r="AB25" s="7"/>
      <c r="AC25" s="7"/>
      <c r="AD25" s="31" t="str">
        <f>IF(AC25/(INDEX('Standards for Conversions'!$H$34:$H$73,MATCH(AB$2,'Standards for Conversions'!$A$34:$A$73,0)))=0,"",AC25/(INDEX('Standards for Conversions'!$H$34:$H$73,MATCH(AB$2,'Standards for Conversions'!$A$34:$A$73,0))))</f>
        <v/>
      </c>
      <c r="AE25" s="122"/>
      <c r="AF25" s="7"/>
      <c r="AG25" s="7"/>
      <c r="AH25" s="31" t="str">
        <f>IF(AG25/(INDEX('Standards for Conversions'!$H$34:$H$73,MATCH(AF$2,'Standards for Conversions'!$A$34:$A$73,0)))=0,"",AG25/(INDEX('Standards for Conversions'!$H$34:$H$73,MATCH(AF$2,'Standards for Conversions'!$A$34:$A$73,0))))</f>
        <v/>
      </c>
      <c r="AI25" s="122"/>
      <c r="AJ25" s="7"/>
      <c r="AK25" s="7"/>
      <c r="AL25" s="31" t="str">
        <f>IF(AK25/(INDEX('Standards for Conversions'!$H$34:$H$73,MATCH(AJ$2,'Standards for Conversions'!$A$34:$A$73,0)))=0,"",AK25/(INDEX('Standards for Conversions'!$H$34:$H$73,MATCH(AJ$2,'Standards for Conversions'!$A$34:$A$73,0))))</f>
        <v/>
      </c>
      <c r="AM25" s="7"/>
      <c r="AN25" s="7"/>
      <c r="AO25" s="31" t="str">
        <f>IF(AN25/(INDEX('Standards for Conversions'!$H$34:$H$73,MATCH(AM$2,'Standards for Conversions'!$A$34:$A$73,0)))=0,"",AN25/(INDEX('Standards for Conversions'!$H$34:$H$73,MATCH(AM$2,'Standards for Conversions'!$A$34:$A$73,0))))</f>
        <v/>
      </c>
      <c r="AP25" s="7"/>
      <c r="AQ25" s="7"/>
      <c r="AR25" s="31" t="str">
        <f>IF(AQ25/(INDEX('Standards for Conversions'!$H$34:$H$73,MATCH(AP$2,'Standards for Conversions'!$A$34:$A$73,0)))=0,"",AQ25/(INDEX('Standards for Conversions'!$H$34:$H$73,MATCH(AP$2,'Standards for Conversions'!$A$34:$A$73,0))))</f>
        <v/>
      </c>
      <c r="AS25" s="7"/>
      <c r="AT25" s="7"/>
      <c r="AU25" s="31" t="str">
        <f>IF(AT25/(INDEX('Standards for Conversions'!$H$34:$H$73,MATCH(AS$2,'Standards for Conversions'!$A$34:$A$73,0)))=0,"",AT25/(INDEX('Standards for Conversions'!$H$34:$H$73,MATCH(AS$2,'Standards for Conversions'!$A$34:$A$73,0))))</f>
        <v/>
      </c>
      <c r="AV25" s="7"/>
      <c r="AW25" s="7"/>
      <c r="AX25" s="31" t="str">
        <f>IF(AW25/(INDEX('Standards for Conversions'!$H$47:$H$73,MATCH(AV$2,'Standards for Conversions'!$A$47:$A$73,0)))=0,"",AW25/(INDEX('Standards for Conversions'!$H$47:$H$73,MATCH(AV$2,'Standards for Conversions'!$A$47:$A$73,0))))</f>
        <v/>
      </c>
      <c r="AY25" s="42"/>
      <c r="BB25" s="31" t="str">
        <f>IF(BA25/(INDEX('Standards for Conversions'!$H$47:$H$73,MATCH(AZ$2,'Standards for Conversions'!$A$47:$A$73,0)))=0,"",BA25/(INDEX('Standards for Conversions'!$H$47:$H$73,MATCH(AZ$2,'Standards for Conversions'!$A$47:$A$73,0))))</f>
        <v/>
      </c>
      <c r="BE25" s="31" t="str">
        <f>IF(BD25/(INDEX('Standards for Conversions'!$H$47:$H$73,MATCH(BC$2,'Standards for Conversions'!$A$47:$A$73,0)))=0,"",BD25/(INDEX('Standards for Conversions'!$H$47:$H$73,MATCH(BC$2,'Standards for Conversions'!$A$47:$A$73,0))))</f>
        <v/>
      </c>
      <c r="BF25" s="42"/>
      <c r="BI25" s="31" t="str">
        <f>IF(BH25/(INDEX('Standards for Conversions'!$H$47:$H$73,MATCH(BG$2,'Standards for Conversions'!$A$47:$A$73,0)))=0,"",BH25/(INDEX('Standards for Conversions'!$H$47:$H$73,MATCH(BG$2,'Standards for Conversions'!$A$47:$A$73,0))))</f>
        <v/>
      </c>
      <c r="BJ25" s="42"/>
      <c r="BM25" s="31" t="str">
        <f>IF(BL25/(INDEX('Standards for Conversions'!$H$47:$H$73,MATCH(BK$2,'Standards for Conversions'!$A$47:$A$73,0)))=0,"",BL25/(INDEX('Standards for Conversions'!$H$47:$H$73,MATCH(BK$2,'Standards for Conversions'!$A$47:$A$73,0))))</f>
        <v/>
      </c>
      <c r="BP25" s="31" t="str">
        <f>IF(BO25/(INDEX('Standards for Conversions'!$H$47:$H$73,MATCH(BN$2,'Standards for Conversions'!$A$47:$A$73,0)))=0,"",BO25/(INDEX('Standards for Conversions'!$H$47:$H$73,MATCH(BN$2,'Standards for Conversions'!$A$47:$A$73,0))))</f>
        <v/>
      </c>
      <c r="BQ25" s="42"/>
      <c r="BT25" s="31" t="str">
        <f>IF(BS25/(INDEX('Standards for Conversions'!$H$47:$H$73,MATCH(BR$2,'Standards for Conversions'!$A$47:$A$73,0)))=0,"",BS25/(INDEX('Standards for Conversions'!$H$47:$H$73,MATCH(BR$2,'Standards for Conversions'!$A$47:$A$73,0))))</f>
        <v/>
      </c>
      <c r="BU25" s="140"/>
      <c r="BV25" s="45"/>
      <c r="BW25" s="44"/>
      <c r="BX25" s="31" t="str">
        <f>IF(BW25/(INDEX('Standards for Conversions'!$H$47:$H$73,MATCH(BV$2,'Standards for Conversions'!$A$47:$A$73,0)))=0,"",BW25/(INDEX('Standards for Conversions'!$H$47:$H$73,MATCH(BV$2,'Standards for Conversions'!$A$47:$A$73,0))))</f>
        <v/>
      </c>
      <c r="BY25" s="45"/>
      <c r="BZ25" s="44"/>
      <c r="CA25" s="31" t="str">
        <f>IF(BZ25/(INDEX('Standards for Conversions'!$H$47:$H$73,MATCH(BY$2,'Standards for Conversions'!$A$47:$A$73,0)))=0,"",BZ25/(INDEX('Standards for Conversions'!$H$47:$H$73,MATCH(BY$2,'Standards for Conversions'!$A$47:$A$73,0))))</f>
        <v/>
      </c>
      <c r="CB25" s="45"/>
      <c r="CC25" s="44"/>
      <c r="CD25" s="31" t="str">
        <f>IF(CC25/(INDEX('Standards for Conversions'!$H$47:$H$73,MATCH(CB$2,'Standards for Conversions'!$A$47:$A$73,0)))=0,"",CC25/(INDEX('Standards for Conversions'!$H$47:$H$73,MATCH(CB$2,'Standards for Conversions'!$A$47:$A$73,0))))</f>
        <v/>
      </c>
      <c r="CE25" s="46"/>
      <c r="CF25" s="45"/>
      <c r="CG25" s="44"/>
      <c r="CH25" s="31" t="str">
        <f>IF(CG25/(INDEX('Standards for Conversions'!$H$47:$H$73,MATCH(CF$2,'Standards for Conversions'!$A$47:$A$73,0)))=0,"",CG25/(INDEX('Standards for Conversions'!$H$47:$H$73,MATCH(CF$2,'Standards for Conversions'!$A$47:$A$73,0))))</f>
        <v/>
      </c>
      <c r="CI25" s="45"/>
      <c r="CJ25" s="44"/>
      <c r="CK25" s="31" t="str">
        <f>IF(CJ25/(INDEX('Standards for Conversions'!$H$47:$H$73,MATCH(CI$2,'Standards for Conversions'!$A$47:$A$73,0)))=0,"",CJ25/(INDEX('Standards for Conversions'!$H$47:$H$73,MATCH(CI$2,'Standards for Conversions'!$A$47:$A$73,0))))</f>
        <v/>
      </c>
      <c r="CL25" s="45"/>
      <c r="CM25" s="44"/>
      <c r="CN25" s="31" t="str">
        <f>IF(CM25/(INDEX('Standards for Conversions'!$H$47:$H$73,MATCH(CL$2,'Standards for Conversions'!$A$47:$A$73,0)))=0,"",CM25/(INDEX('Standards for Conversions'!$H$47:$H$73,MATCH(CL$2,'Standards for Conversions'!$A$47:$A$73,0))))</f>
        <v/>
      </c>
      <c r="CO25" s="45"/>
      <c r="CP25" s="44"/>
      <c r="CQ25" s="31" t="str">
        <f>IF(CP25/(INDEX('Standards for Conversions'!$H$47:$H$73,MATCH(CO$2,'Standards for Conversions'!$A$47:$A$73,0)))=0,"",CP25/(INDEX('Standards for Conversions'!$H$47:$H$73,MATCH(CO$2,'Standards for Conversions'!$A$47:$A$73,0))))</f>
        <v/>
      </c>
      <c r="CR25" s="46"/>
      <c r="CS25" s="45"/>
      <c r="CT25" s="44"/>
      <c r="CU25" s="31" t="str">
        <f>IF(CT25/(INDEX('Standards for Conversions'!$H$47:$H$73,MATCH(CS$2,'Standards for Conversions'!$A$47:$A$73,0)))=0,"",CT25/(INDEX('Standards for Conversions'!$H$47:$H$73,MATCH(CS$2,'Standards for Conversions'!$A$47:$A$73,0))))</f>
        <v/>
      </c>
      <c r="CV25" s="45"/>
      <c r="CW25" s="44"/>
      <c r="CX25" s="31" t="str">
        <f>IF(CW25/(INDEX('Standards for Conversions'!$H$47:$H$73,MATCH(CV$2,'Standards for Conversions'!$A$47:$A$73,0)))=0,"",CW25/(INDEX('Standards for Conversions'!$H$47:$H$73,MATCH(CV$2,'Standards for Conversions'!$A$47:$A$73,0))))</f>
        <v/>
      </c>
      <c r="CY25" s="45"/>
      <c r="CZ25" s="44"/>
      <c r="DA25" s="31" t="str">
        <f>IF(CZ25/(INDEX('Standards for Conversions'!$H$47:$H$73,MATCH(CY$2,'Standards for Conversions'!$A$47:$A$73,0)))=0,"",CZ25/(INDEX('Standards for Conversions'!$H$47:$H$73,MATCH(CY$2,'Standards for Conversions'!$A$47:$A$73,0))))</f>
        <v/>
      </c>
      <c r="DB25" s="42"/>
      <c r="DC25" s="45"/>
      <c r="DD25" s="44"/>
      <c r="DE25" s="31" t="str">
        <f>IF(DD25/(INDEX('Standards for Conversions'!$H$47:$H$73,MATCH(DC$2,'Standards for Conversions'!$A$47:$A$73,0)))=0,"",DD25/(INDEX('Standards for Conversions'!$H$47:$H$73,MATCH(DC$2,'Standards for Conversions'!$A$47:$A$73,0))))</f>
        <v/>
      </c>
      <c r="DF25" s="42"/>
      <c r="DR25" s="29" t="s">
        <v>98</v>
      </c>
      <c r="DS25" s="29">
        <v>341</v>
      </c>
      <c r="DT25" s="29">
        <v>2746</v>
      </c>
      <c r="DU25" s="29">
        <v>2496</v>
      </c>
      <c r="DV25" s="29">
        <v>4916</v>
      </c>
    </row>
    <row r="26" spans="1:129" ht="15.6" hidden="1" x14ac:dyDescent="0.3">
      <c r="A26" t="s">
        <v>245</v>
      </c>
      <c r="B26" s="10" t="s">
        <v>42</v>
      </c>
      <c r="C26" s="7"/>
      <c r="D26" s="7"/>
      <c r="E26" s="31" t="str">
        <f>IF(D26/(INDEX('Standards for Conversions'!$H$34:$H$73,MATCH(C$2,'Standards for Conversions'!$A$34:$A$73,0)))=0,"",D26/(INDEX('Standards for Conversions'!$H$34:$H$73,MATCH(C$2,'Standards for Conversions'!$A$34:$A$73,0))))</f>
        <v/>
      </c>
      <c r="F26" s="7"/>
      <c r="G26" s="7"/>
      <c r="H26" s="31" t="str">
        <f>IF(G26/(INDEX('Standards for Conversions'!$H$34:$H$73,MATCH(F$2,'Standards for Conversions'!$A$34:$A$73,0)))=0,"",G26/(INDEX('Standards for Conversions'!$H$34:$H$73,MATCH(F$2,'Standards for Conversions'!$A$34:$A$73,0))))</f>
        <v/>
      </c>
      <c r="I26" s="10" t="s">
        <v>42</v>
      </c>
      <c r="J26" s="7"/>
      <c r="K26" s="7"/>
      <c r="L26" s="31" t="str">
        <f>IF(K26/(INDEX('Standards for Conversions'!$H$34:$H$73,MATCH(J$2,'Standards for Conversions'!$A$34:$A$73,0)))=0,"",K26/(INDEX('Standards for Conversions'!$H$34:$H$73,MATCH(J$2,'Standards for Conversions'!$A$34:$A$73,0))))</f>
        <v/>
      </c>
      <c r="M26" s="7"/>
      <c r="N26" s="7"/>
      <c r="O26" s="31" t="str">
        <f>IF(N26/(INDEX('Standards for Conversions'!$H$34:$H$73,MATCH(M$2,'Standards for Conversions'!$A$34:$A$73,0)))=0,"",N26/(INDEX('Standards for Conversions'!$H$34:$H$73,MATCH(M$2,'Standards for Conversions'!$A$34:$A$73,0))))</f>
        <v/>
      </c>
      <c r="P26" s="10" t="s">
        <v>42</v>
      </c>
      <c r="Q26" s="7"/>
      <c r="R26" s="7"/>
      <c r="S26" s="31" t="str">
        <f>IF(R26/(INDEX('Standards for Conversions'!$H$34:$H$73,MATCH(Q$2,'Standards for Conversions'!$A$34:$A$73,0)))=0,"",R26/(INDEX('Standards for Conversions'!$H$34:$H$73,MATCH(Q$2,'Standards for Conversions'!$A$34:$A$73,0))))</f>
        <v/>
      </c>
      <c r="T26" s="10" t="s">
        <v>42</v>
      </c>
      <c r="U26" s="7"/>
      <c r="V26" s="7"/>
      <c r="W26" s="31" t="str">
        <f>IF(V26/(INDEX('Standards for Conversions'!$H$34:$H$73,MATCH(U$2,'Standards for Conversions'!$A$34:$A$73,0)))=0,"",V26/(INDEX('Standards for Conversions'!$H$34:$H$73,MATCH(U$2,'Standards for Conversions'!$A$34:$A$73,0))))</f>
        <v/>
      </c>
      <c r="X26" s="10" t="s">
        <v>42</v>
      </c>
      <c r="Y26" s="7"/>
      <c r="Z26" s="7"/>
      <c r="AA26" s="31" t="str">
        <f>IF(Z26/(INDEX('Standards for Conversions'!$H$34:$H$73,MATCH(Y$2,'Standards for Conversions'!$A$34:$A$73,0)))=0,"",Z26/(INDEX('Standards for Conversions'!$H$34:$H$73,MATCH(Y$2,'Standards for Conversions'!$A$34:$A$73,0))))</f>
        <v/>
      </c>
      <c r="AB26" s="7"/>
      <c r="AC26" s="7"/>
      <c r="AD26" s="31" t="str">
        <f>IF(AC26/(INDEX('Standards for Conversions'!$H$34:$H$73,MATCH(AB$2,'Standards for Conversions'!$A$34:$A$73,0)))=0,"",AC26/(INDEX('Standards for Conversions'!$H$34:$H$73,MATCH(AB$2,'Standards for Conversions'!$A$34:$A$73,0))))</f>
        <v/>
      </c>
      <c r="AE26" s="10" t="s">
        <v>42</v>
      </c>
      <c r="AF26" s="7"/>
      <c r="AG26" s="7"/>
      <c r="AH26" s="31" t="str">
        <f>IF(AG26/(INDEX('Standards for Conversions'!$H$34:$H$73,MATCH(AF$2,'Standards for Conversions'!$A$34:$A$73,0)))=0,"",AG26/(INDEX('Standards for Conversions'!$H$34:$H$73,MATCH(AF$2,'Standards for Conversions'!$A$34:$A$73,0))))</f>
        <v/>
      </c>
      <c r="AI26" s="10" t="s">
        <v>42</v>
      </c>
      <c r="AJ26" s="7"/>
      <c r="AK26" s="7"/>
      <c r="AL26" s="31" t="str">
        <f>IF(AK26/(INDEX('Standards for Conversions'!$H$34:$H$73,MATCH(AJ$2,'Standards for Conversions'!$A$34:$A$73,0)))=0,"",AK26/(INDEX('Standards for Conversions'!$H$34:$H$73,MATCH(AJ$2,'Standards for Conversions'!$A$34:$A$73,0))))</f>
        <v/>
      </c>
      <c r="AM26" s="7"/>
      <c r="AN26" s="7"/>
      <c r="AO26" s="31" t="str">
        <f>IF(AN26/(INDEX('Standards for Conversions'!$H$34:$H$73,MATCH(AM$2,'Standards for Conversions'!$A$34:$A$73,0)))=0,"",AN26/(INDEX('Standards for Conversions'!$H$34:$H$73,MATCH(AM$2,'Standards for Conversions'!$A$34:$A$73,0))))</f>
        <v/>
      </c>
      <c r="AP26" s="7"/>
      <c r="AQ26" s="7"/>
      <c r="AR26" s="31" t="str">
        <f>IF(AQ26/(INDEX('Standards for Conversions'!$H$34:$H$73,MATCH(AP$2,'Standards for Conversions'!$A$34:$A$73,0)))=0,"",AQ26/(INDEX('Standards for Conversions'!$H$34:$H$73,MATCH(AP$2,'Standards for Conversions'!$A$34:$A$73,0))))</f>
        <v/>
      </c>
      <c r="AS26" s="7"/>
      <c r="AT26" s="7"/>
      <c r="AU26" s="31" t="str">
        <f>IF(AT26/(INDEX('Standards for Conversions'!$H$34:$H$73,MATCH(AS$2,'Standards for Conversions'!$A$34:$A$73,0)))=0,"",AT26/(INDEX('Standards for Conversions'!$H$34:$H$73,MATCH(AS$2,'Standards for Conversions'!$A$34:$A$73,0))))</f>
        <v/>
      </c>
      <c r="AV26" s="7"/>
      <c r="AW26" s="7"/>
      <c r="AX26" s="31" t="str">
        <f>IF(AW26/(INDEX('Standards for Conversions'!$H$47:$H$73,MATCH(AV$2,'Standards for Conversions'!$A$47:$A$73,0)))=0,"",AW26/(INDEX('Standards for Conversions'!$H$47:$H$73,MATCH(AV$2,'Standards for Conversions'!$A$47:$A$73,0))))</f>
        <v/>
      </c>
      <c r="AY26" s="47" t="s">
        <v>42</v>
      </c>
      <c r="AZ26" s="29">
        <v>200</v>
      </c>
      <c r="BA26" s="29">
        <v>800</v>
      </c>
      <c r="BB26" s="31">
        <f>IF(BA26/(INDEX('Standards for Conversions'!$H$47:$H$73,MATCH(AZ$2,'Standards for Conversions'!$A$47:$A$73,0)))=0,"",BA26/(INDEX('Standards for Conversions'!$H$47:$H$73,MATCH(AZ$2,'Standards for Conversions'!$A$47:$A$73,0))))</f>
        <v>116.19632977028476</v>
      </c>
      <c r="BC26" s="29">
        <v>250</v>
      </c>
      <c r="BD26" s="29">
        <v>1500</v>
      </c>
      <c r="BE26" s="31">
        <f>IF(BD26/(INDEX('Standards for Conversions'!$H$47:$H$73,MATCH(BC$2,'Standards for Conversions'!$A$47:$A$73,0)))=0,"",BD26/(INDEX('Standards for Conversions'!$H$47:$H$73,MATCH(BC$2,'Standards for Conversions'!$A$47:$A$73,0))))</f>
        <v>216.91534229164856</v>
      </c>
      <c r="BF26" s="47" t="s">
        <v>42</v>
      </c>
      <c r="BG26" s="29">
        <v>200</v>
      </c>
      <c r="BH26" s="29">
        <v>1200</v>
      </c>
      <c r="BI26" s="31">
        <f>IF(BH26/(INDEX('Standards for Conversions'!$H$47:$H$73,MATCH(BG$2,'Standards for Conversions'!$A$47:$A$73,0)))=0,"",BH26/(INDEX('Standards for Conversions'!$H$47:$H$73,MATCH(BG$2,'Standards for Conversions'!$A$47:$A$73,0))))</f>
        <v>194.11223603024243</v>
      </c>
      <c r="BJ26" s="47" t="s">
        <v>42</v>
      </c>
      <c r="BK26" s="29">
        <v>200</v>
      </c>
      <c r="BL26" s="29">
        <v>1000</v>
      </c>
      <c r="BM26" s="31">
        <f>IF(BL26/(INDEX('Standards for Conversions'!$H$47:$H$73,MATCH(BK$2,'Standards for Conversions'!$A$47:$A$73,0)))=0,"",BL26/(INDEX('Standards for Conversions'!$H$47:$H$73,MATCH(BK$2,'Standards for Conversions'!$A$47:$A$73,0))))</f>
        <v>152.65589242779757</v>
      </c>
      <c r="BN26" s="29">
        <v>150</v>
      </c>
      <c r="BO26" s="29">
        <v>1000</v>
      </c>
      <c r="BP26" s="31">
        <f>IF(BO26/(INDEX('Standards for Conversions'!$H$47:$H$73,MATCH(BN$2,'Standards for Conversions'!$A$47:$A$73,0)))=0,"",BO26/(INDEX('Standards for Conversions'!$H$47:$H$73,MATCH(BN$2,'Standards for Conversions'!$A$47:$A$73,0))))</f>
        <v>134.65901190579646</v>
      </c>
      <c r="BQ26" s="47" t="s">
        <v>40</v>
      </c>
      <c r="BR26" s="29">
        <v>200</v>
      </c>
      <c r="BS26" s="29">
        <v>1500</v>
      </c>
      <c r="BT26" s="31">
        <f>IF(BS26/(INDEX('Standards for Conversions'!$H$47:$H$73,MATCH(BR$2,'Standards for Conversions'!$A$47:$A$73,0)))=0,"",BS26/(INDEX('Standards for Conversions'!$H$47:$H$73,MATCH(BR$2,'Standards for Conversions'!$A$47:$A$73,0))))</f>
        <v>182.42485009124877</v>
      </c>
      <c r="BU26" s="47" t="s">
        <v>40</v>
      </c>
      <c r="BV26" s="45"/>
      <c r="BW26" s="44"/>
      <c r="BX26" s="31" t="str">
        <f>IF(BW26/(INDEX('Standards for Conversions'!$H$47:$H$73,MATCH(BV$2,'Standards for Conversions'!$A$47:$A$73,0)))=0,"",BW26/(INDEX('Standards for Conversions'!$H$47:$H$73,MATCH(BV$2,'Standards for Conversions'!$A$47:$A$73,0))))</f>
        <v/>
      </c>
      <c r="BY26" s="45"/>
      <c r="BZ26" s="44"/>
      <c r="CA26" s="31" t="str">
        <f>IF(BZ26/(INDEX('Standards for Conversions'!$H$47:$H$73,MATCH(BY$2,'Standards for Conversions'!$A$47:$A$73,0)))=0,"",BZ26/(INDEX('Standards for Conversions'!$H$47:$H$73,MATCH(BY$2,'Standards for Conversions'!$A$47:$A$73,0))))</f>
        <v/>
      </c>
      <c r="CB26" s="45"/>
      <c r="CC26" s="44"/>
      <c r="CD26" s="31" t="str">
        <f>IF(CC26/(INDEX('Standards for Conversions'!$H$47:$H$73,MATCH(CB$2,'Standards for Conversions'!$A$47:$A$73,0)))=0,"",CC26/(INDEX('Standards for Conversions'!$H$47:$H$73,MATCH(CB$2,'Standards for Conversions'!$A$47:$A$73,0))))</f>
        <v/>
      </c>
      <c r="CE26" s="46"/>
      <c r="CF26" s="45"/>
      <c r="CG26" s="44"/>
      <c r="CH26" s="31" t="str">
        <f>IF(CG26/(INDEX('Standards for Conversions'!$H$47:$H$73,MATCH(CF$2,'Standards for Conversions'!$A$47:$A$73,0)))=0,"",CG26/(INDEX('Standards for Conversions'!$H$47:$H$73,MATCH(CF$2,'Standards for Conversions'!$A$47:$A$73,0))))</f>
        <v/>
      </c>
      <c r="CI26" s="45"/>
      <c r="CJ26" s="44"/>
      <c r="CK26" s="31" t="str">
        <f>IF(CJ26/(INDEX('Standards for Conversions'!$H$47:$H$73,MATCH(CI$2,'Standards for Conversions'!$A$47:$A$73,0)))=0,"",CJ26/(INDEX('Standards for Conversions'!$H$47:$H$73,MATCH(CI$2,'Standards for Conversions'!$A$47:$A$73,0))))</f>
        <v/>
      </c>
      <c r="CL26" s="45"/>
      <c r="CM26" s="44"/>
      <c r="CN26" s="31" t="str">
        <f>IF(CM26/(INDEX('Standards for Conversions'!$H$47:$H$73,MATCH(CL$2,'Standards for Conversions'!$A$47:$A$73,0)))=0,"",CM26/(INDEX('Standards for Conversions'!$H$47:$H$73,MATCH(CL$2,'Standards for Conversions'!$A$47:$A$73,0))))</f>
        <v/>
      </c>
      <c r="CO26" s="45"/>
      <c r="CP26" s="44"/>
      <c r="CQ26" s="31" t="str">
        <f>IF(CP26/(INDEX('Standards for Conversions'!$H$47:$H$73,MATCH(CO$2,'Standards for Conversions'!$A$47:$A$73,0)))=0,"",CP26/(INDEX('Standards for Conversions'!$H$47:$H$73,MATCH(CO$2,'Standards for Conversions'!$A$47:$A$73,0))))</f>
        <v/>
      </c>
      <c r="CR26" s="46"/>
      <c r="CS26" s="45"/>
      <c r="CT26" s="44"/>
      <c r="CU26" s="31" t="str">
        <f>IF(CT26/(INDEX('Standards for Conversions'!$H$47:$H$73,MATCH(CS$2,'Standards for Conversions'!$A$47:$A$73,0)))=0,"",CT26/(INDEX('Standards for Conversions'!$H$47:$H$73,MATCH(CS$2,'Standards for Conversions'!$A$47:$A$73,0))))</f>
        <v/>
      </c>
      <c r="CV26" s="45"/>
      <c r="CW26" s="44"/>
      <c r="CX26" s="31" t="str">
        <f>IF(CW26/(INDEX('Standards for Conversions'!$H$47:$H$73,MATCH(CV$2,'Standards for Conversions'!$A$47:$A$73,0)))=0,"",CW26/(INDEX('Standards for Conversions'!$H$47:$H$73,MATCH(CV$2,'Standards for Conversions'!$A$47:$A$73,0))))</f>
        <v/>
      </c>
      <c r="CY26" s="45"/>
      <c r="CZ26" s="44"/>
      <c r="DA26" s="31" t="str">
        <f>IF(CZ26/(INDEX('Standards for Conversions'!$H$47:$H$73,MATCH(CY$2,'Standards for Conversions'!$A$47:$A$73,0)))=0,"",CZ26/(INDEX('Standards for Conversions'!$H$47:$H$73,MATCH(CY$2,'Standards for Conversions'!$A$47:$A$73,0))))</f>
        <v/>
      </c>
      <c r="DB26" s="42"/>
      <c r="DC26" s="45"/>
      <c r="DD26" s="44"/>
      <c r="DE26" s="31" t="str">
        <f>IF(DD26/(INDEX('Standards for Conversions'!$H$47:$H$73,MATCH(DC$2,'Standards for Conversions'!$A$47:$A$73,0)))=0,"",DD26/(INDEX('Standards for Conversions'!$H$47:$H$73,MATCH(DC$2,'Standards for Conversions'!$A$47:$A$73,0))))</f>
        <v/>
      </c>
      <c r="DF26" s="42"/>
      <c r="DR26" s="29" t="s">
        <v>98</v>
      </c>
      <c r="DS26" s="29">
        <v>150</v>
      </c>
      <c r="DT26" s="29">
        <v>350</v>
      </c>
      <c r="DU26" s="29">
        <v>5</v>
      </c>
      <c r="DV26" s="29">
        <v>57</v>
      </c>
    </row>
    <row r="27" spans="1:129" ht="15.6" hidden="1" x14ac:dyDescent="0.3">
      <c r="A27" t="s">
        <v>332</v>
      </c>
      <c r="B27" s="122"/>
      <c r="C27" s="7"/>
      <c r="D27" s="7"/>
      <c r="E27" s="31" t="str">
        <f>IF(D27/(INDEX('Standards for Conversions'!$H$34:$H$73,MATCH(C$2,'Standards for Conversions'!$A$34:$A$73,0)))=0,"",D27/(INDEX('Standards for Conversions'!$H$34:$H$73,MATCH(C$2,'Standards for Conversions'!$A$34:$A$73,0))))</f>
        <v/>
      </c>
      <c r="F27" s="7"/>
      <c r="G27" s="7"/>
      <c r="H27" s="31" t="str">
        <f>IF(G27/(INDEX('Standards for Conversions'!$H$34:$H$73,MATCH(F$2,'Standards for Conversions'!$A$34:$A$73,0)))=0,"",G27/(INDEX('Standards for Conversions'!$H$34:$H$73,MATCH(F$2,'Standards for Conversions'!$A$34:$A$73,0))))</f>
        <v/>
      </c>
      <c r="I27" s="122"/>
      <c r="J27" s="7"/>
      <c r="K27" s="7"/>
      <c r="L27" s="31" t="str">
        <f>IF(K27/(INDEX('Standards for Conversions'!$H$34:$H$73,MATCH(J$2,'Standards for Conversions'!$A$34:$A$73,0)))=0,"",K27/(INDEX('Standards for Conversions'!$H$34:$H$73,MATCH(J$2,'Standards for Conversions'!$A$34:$A$73,0))))</f>
        <v/>
      </c>
      <c r="M27" s="7"/>
      <c r="N27" s="7"/>
      <c r="O27" s="31" t="str">
        <f>IF(N27/(INDEX('Standards for Conversions'!$H$34:$H$73,MATCH(M$2,'Standards for Conversions'!$A$34:$A$73,0)))=0,"",N27/(INDEX('Standards for Conversions'!$H$34:$H$73,MATCH(M$2,'Standards for Conversions'!$A$34:$A$73,0))))</f>
        <v/>
      </c>
      <c r="P27" s="122"/>
      <c r="Q27" s="7"/>
      <c r="R27" s="7"/>
      <c r="S27" s="31" t="str">
        <f>IF(R27/(INDEX('Standards for Conversions'!$H$34:$H$73,MATCH(Q$2,'Standards for Conversions'!$A$34:$A$73,0)))=0,"",R27/(INDEX('Standards for Conversions'!$H$34:$H$73,MATCH(Q$2,'Standards for Conversions'!$A$34:$A$73,0))))</f>
        <v/>
      </c>
      <c r="T27" s="122"/>
      <c r="U27" s="7"/>
      <c r="V27" s="7"/>
      <c r="W27" s="31" t="str">
        <f>IF(V27/(INDEX('Standards for Conversions'!$H$34:$H$73,MATCH(U$2,'Standards for Conversions'!$A$34:$A$73,0)))=0,"",V27/(INDEX('Standards for Conversions'!$H$34:$H$73,MATCH(U$2,'Standards for Conversions'!$A$34:$A$73,0))))</f>
        <v/>
      </c>
      <c r="X27" s="122"/>
      <c r="Y27" s="7"/>
      <c r="Z27" s="7"/>
      <c r="AA27" s="31" t="str">
        <f>IF(Z27/(INDEX('Standards for Conversions'!$H$34:$H$73,MATCH(Y$2,'Standards for Conversions'!$A$34:$A$73,0)))=0,"",Z27/(INDEX('Standards for Conversions'!$H$34:$H$73,MATCH(Y$2,'Standards for Conversions'!$A$34:$A$73,0))))</f>
        <v/>
      </c>
      <c r="AB27" s="7"/>
      <c r="AC27" s="7"/>
      <c r="AD27" s="31" t="str">
        <f>IF(AC27/(INDEX('Standards for Conversions'!$H$34:$H$73,MATCH(AB$2,'Standards for Conversions'!$A$34:$A$73,0)))=0,"",AC27/(INDEX('Standards for Conversions'!$H$34:$H$73,MATCH(AB$2,'Standards for Conversions'!$A$34:$A$73,0))))</f>
        <v/>
      </c>
      <c r="AE27" s="122"/>
      <c r="AF27" s="7"/>
      <c r="AG27" s="7"/>
      <c r="AH27" s="31" t="str">
        <f>IF(AG27/(INDEX('Standards for Conversions'!$H$34:$H$73,MATCH(AF$2,'Standards for Conversions'!$A$34:$A$73,0)))=0,"",AG27/(INDEX('Standards for Conversions'!$H$34:$H$73,MATCH(AF$2,'Standards for Conversions'!$A$34:$A$73,0))))</f>
        <v/>
      </c>
      <c r="AI27" s="122"/>
      <c r="AJ27" s="7"/>
      <c r="AK27" s="7"/>
      <c r="AL27" s="31" t="str">
        <f>IF(AK27/(INDEX('Standards for Conversions'!$H$34:$H$73,MATCH(AJ$2,'Standards for Conversions'!$A$34:$A$73,0)))=0,"",AK27/(INDEX('Standards for Conversions'!$H$34:$H$73,MATCH(AJ$2,'Standards for Conversions'!$A$34:$A$73,0))))</f>
        <v/>
      </c>
      <c r="AM27" s="7"/>
      <c r="AN27" s="7"/>
      <c r="AO27" s="31" t="str">
        <f>IF(AN27/(INDEX('Standards for Conversions'!$H$34:$H$73,MATCH(AM$2,'Standards for Conversions'!$A$34:$A$73,0)))=0,"",AN27/(INDEX('Standards for Conversions'!$H$34:$H$73,MATCH(AM$2,'Standards for Conversions'!$A$34:$A$73,0))))</f>
        <v/>
      </c>
      <c r="AP27" s="7"/>
      <c r="AQ27" s="7"/>
      <c r="AR27" s="31" t="str">
        <f>IF(AQ27/(INDEX('Standards for Conversions'!$H$34:$H$73,MATCH(AP$2,'Standards for Conversions'!$A$34:$A$73,0)))=0,"",AQ27/(INDEX('Standards for Conversions'!$H$34:$H$73,MATCH(AP$2,'Standards for Conversions'!$A$34:$A$73,0))))</f>
        <v/>
      </c>
      <c r="AS27" s="7"/>
      <c r="AT27" s="7"/>
      <c r="AU27" s="31" t="str">
        <f>IF(AT27/(INDEX('Standards for Conversions'!$H$34:$H$73,MATCH(AS$2,'Standards for Conversions'!$A$34:$A$73,0)))=0,"",AT27/(INDEX('Standards for Conversions'!$H$34:$H$73,MATCH(AS$2,'Standards for Conversions'!$A$34:$A$73,0))))</f>
        <v/>
      </c>
      <c r="AV27" s="7"/>
      <c r="AW27" s="7"/>
      <c r="AX27" s="31" t="str">
        <f>IF(AW27/(INDEX('Standards for Conversions'!$H$47:$H$73,MATCH(AV$2,'Standards for Conversions'!$A$47:$A$73,0)))=0,"",AW27/(INDEX('Standards for Conversions'!$H$47:$H$73,MATCH(AV$2,'Standards for Conversions'!$A$47:$A$73,0))))</f>
        <v/>
      </c>
      <c r="AY27" s="42"/>
      <c r="BB27" s="31" t="str">
        <f>IF(BA27/(INDEX('Standards for Conversions'!$H$47:$H$73,MATCH(AZ$2,'Standards for Conversions'!$A$47:$A$73,0)))=0,"",BA27/(INDEX('Standards for Conversions'!$H$47:$H$73,MATCH(AZ$2,'Standards for Conversions'!$A$47:$A$73,0))))</f>
        <v/>
      </c>
      <c r="BE27" s="31" t="str">
        <f>IF(BD27/(INDEX('Standards for Conversions'!$H$47:$H$73,MATCH(BC$2,'Standards for Conversions'!$A$47:$A$73,0)))=0,"",BD27/(INDEX('Standards for Conversions'!$H$47:$H$73,MATCH(BC$2,'Standards for Conversions'!$A$47:$A$73,0))))</f>
        <v/>
      </c>
      <c r="BF27" s="42"/>
      <c r="BI27" s="31" t="str">
        <f>IF(BH27/(INDEX('Standards for Conversions'!$H$47:$H$73,MATCH(BG$2,'Standards for Conversions'!$A$47:$A$73,0)))=0,"",BH27/(INDEX('Standards for Conversions'!$H$47:$H$73,MATCH(BG$2,'Standards for Conversions'!$A$47:$A$73,0))))</f>
        <v/>
      </c>
      <c r="BJ27" s="42"/>
      <c r="BM27" s="31" t="str">
        <f>IF(BL27/(INDEX('Standards for Conversions'!$H$47:$H$73,MATCH(BK$2,'Standards for Conversions'!$A$47:$A$73,0)))=0,"",BL27/(INDEX('Standards for Conversions'!$H$47:$H$73,MATCH(BK$2,'Standards for Conversions'!$A$47:$A$73,0))))</f>
        <v/>
      </c>
      <c r="BP27" s="31" t="str">
        <f>IF(BO27/(INDEX('Standards for Conversions'!$H$47:$H$73,MATCH(BN$2,'Standards for Conversions'!$A$47:$A$73,0)))=0,"",BO27/(INDEX('Standards for Conversions'!$H$47:$H$73,MATCH(BN$2,'Standards for Conversions'!$A$47:$A$73,0))))</f>
        <v/>
      </c>
      <c r="BQ27" s="42"/>
      <c r="BT27" s="31" t="str">
        <f>IF(BS27/(INDEX('Standards for Conversions'!$H$47:$H$73,MATCH(BR$2,'Standards for Conversions'!$A$47:$A$73,0)))=0,"",BS27/(INDEX('Standards for Conversions'!$H$47:$H$73,MATCH(BR$2,'Standards for Conversions'!$A$47:$A$73,0))))</f>
        <v/>
      </c>
      <c r="BU27" s="140"/>
      <c r="BV27" s="45"/>
      <c r="BW27" s="44"/>
      <c r="BX27" s="31" t="str">
        <f>IF(BW27/(INDEX('Standards for Conversions'!$H$47:$H$73,MATCH(BV$2,'Standards for Conversions'!$A$47:$A$73,0)))=0,"",BW27/(INDEX('Standards for Conversions'!$H$47:$H$73,MATCH(BV$2,'Standards for Conversions'!$A$47:$A$73,0))))</f>
        <v/>
      </c>
      <c r="BY27" s="45"/>
      <c r="BZ27" s="44"/>
      <c r="CA27" s="31" t="str">
        <f>IF(BZ27/(INDEX('Standards for Conversions'!$H$47:$H$73,MATCH(BY$2,'Standards for Conversions'!$A$47:$A$73,0)))=0,"",BZ27/(INDEX('Standards for Conversions'!$H$47:$H$73,MATCH(BY$2,'Standards for Conversions'!$A$47:$A$73,0))))</f>
        <v/>
      </c>
      <c r="CB27" s="45"/>
      <c r="CC27" s="44"/>
      <c r="CD27" s="31" t="str">
        <f>IF(CC27/(INDEX('Standards for Conversions'!$H$47:$H$73,MATCH(CB$2,'Standards for Conversions'!$A$47:$A$73,0)))=0,"",CC27/(INDEX('Standards for Conversions'!$H$47:$H$73,MATCH(CB$2,'Standards for Conversions'!$A$47:$A$73,0))))</f>
        <v/>
      </c>
      <c r="CE27" s="46"/>
      <c r="CF27" s="45"/>
      <c r="CG27" s="44"/>
      <c r="CH27" s="31" t="str">
        <f>IF(CG27/(INDEX('Standards for Conversions'!$H$47:$H$73,MATCH(CF$2,'Standards for Conversions'!$A$47:$A$73,0)))=0,"",CG27/(INDEX('Standards for Conversions'!$H$47:$H$73,MATCH(CF$2,'Standards for Conversions'!$A$47:$A$73,0))))</f>
        <v/>
      </c>
      <c r="CI27" s="45"/>
      <c r="CJ27" s="44"/>
      <c r="CK27" s="31" t="str">
        <f>IF(CJ27/(INDEX('Standards for Conversions'!$H$47:$H$73,MATCH(CI$2,'Standards for Conversions'!$A$47:$A$73,0)))=0,"",CJ27/(INDEX('Standards for Conversions'!$H$47:$H$73,MATCH(CI$2,'Standards for Conversions'!$A$47:$A$73,0))))</f>
        <v/>
      </c>
      <c r="CL27" s="45"/>
      <c r="CM27" s="44"/>
      <c r="CN27" s="31" t="str">
        <f>IF(CM27/(INDEX('Standards for Conversions'!$H$47:$H$73,MATCH(CL$2,'Standards for Conversions'!$A$47:$A$73,0)))=0,"",CM27/(INDEX('Standards for Conversions'!$H$47:$H$73,MATCH(CL$2,'Standards for Conversions'!$A$47:$A$73,0))))</f>
        <v/>
      </c>
      <c r="CO27" s="45"/>
      <c r="CP27" s="44"/>
      <c r="CQ27" s="31" t="str">
        <f>IF(CP27/(INDEX('Standards for Conversions'!$H$47:$H$73,MATCH(CO$2,'Standards for Conversions'!$A$47:$A$73,0)))=0,"",CP27/(INDEX('Standards for Conversions'!$H$47:$H$73,MATCH(CO$2,'Standards for Conversions'!$A$47:$A$73,0))))</f>
        <v/>
      </c>
      <c r="CR27" s="46"/>
      <c r="CS27" s="45"/>
      <c r="CT27" s="44"/>
      <c r="CU27" s="31" t="str">
        <f>IF(CT27/(INDEX('Standards for Conversions'!$H$47:$H$73,MATCH(CS$2,'Standards for Conversions'!$A$47:$A$73,0)))=0,"",CT27/(INDEX('Standards for Conversions'!$H$47:$H$73,MATCH(CS$2,'Standards for Conversions'!$A$47:$A$73,0))))</f>
        <v/>
      </c>
      <c r="CV27" s="45"/>
      <c r="CW27" s="44"/>
      <c r="CX27" s="31" t="str">
        <f>IF(CW27/(INDEX('Standards for Conversions'!$H$47:$H$73,MATCH(CV$2,'Standards for Conversions'!$A$47:$A$73,0)))=0,"",CW27/(INDEX('Standards for Conversions'!$H$47:$H$73,MATCH(CV$2,'Standards for Conversions'!$A$47:$A$73,0))))</f>
        <v/>
      </c>
      <c r="CY27" s="45"/>
      <c r="CZ27" s="44"/>
      <c r="DA27" s="31" t="str">
        <f>IF(CZ27/(INDEX('Standards for Conversions'!$H$47:$H$73,MATCH(CY$2,'Standards for Conversions'!$A$47:$A$73,0)))=0,"",CZ27/(INDEX('Standards for Conversions'!$H$47:$H$73,MATCH(CY$2,'Standards for Conversions'!$A$47:$A$73,0))))</f>
        <v/>
      </c>
      <c r="DB27" s="42"/>
      <c r="DC27" s="45"/>
      <c r="DD27" s="44"/>
      <c r="DE27" s="31" t="str">
        <f>IF(DD27/(INDEX('Standards for Conversions'!$H$47:$H$73,MATCH(DC$2,'Standards for Conversions'!$A$47:$A$73,0)))=0,"",DD27/(INDEX('Standards for Conversions'!$H$47:$H$73,MATCH(DC$2,'Standards for Conversions'!$A$47:$A$73,0))))</f>
        <v/>
      </c>
      <c r="DF27" s="42"/>
      <c r="DR27" s="29" t="s">
        <v>98</v>
      </c>
      <c r="DS27" s="29">
        <v>10</v>
      </c>
      <c r="DT27" s="29">
        <v>46</v>
      </c>
    </row>
    <row r="28" spans="1:129" hidden="1" x14ac:dyDescent="0.3">
      <c r="A28" t="s">
        <v>67</v>
      </c>
      <c r="C28" s="7"/>
      <c r="D28" s="7"/>
      <c r="E28" s="31" t="str">
        <f>IF(D28/(INDEX('Standards for Conversions'!$H$34:$H$73,MATCH(C$2,'Standards for Conversions'!$A$34:$A$73,0)))=0,"",D28/(INDEX('Standards for Conversions'!$H$34:$H$73,MATCH(C$2,'Standards for Conversions'!$A$34:$A$73,0))))</f>
        <v/>
      </c>
      <c r="F28" s="7"/>
      <c r="G28" s="7"/>
      <c r="H28" s="31" t="str">
        <f>IF(G28/(INDEX('Standards for Conversions'!$H$34:$H$73,MATCH(F$2,'Standards for Conversions'!$A$34:$A$73,0)))=0,"",G28/(INDEX('Standards for Conversions'!$H$34:$H$73,MATCH(F$2,'Standards for Conversions'!$A$34:$A$73,0))))</f>
        <v/>
      </c>
      <c r="J28" s="7"/>
      <c r="K28" s="7"/>
      <c r="L28" s="31" t="str">
        <f>IF(K28/(INDEX('Standards for Conversions'!$H$34:$H$73,MATCH(J$2,'Standards for Conversions'!$A$34:$A$73,0)))=0,"",K28/(INDEX('Standards for Conversions'!$H$34:$H$73,MATCH(J$2,'Standards for Conversions'!$A$34:$A$73,0))))</f>
        <v/>
      </c>
      <c r="M28" s="7"/>
      <c r="N28" s="7"/>
      <c r="O28" s="31" t="str">
        <f>IF(N28/(INDEX('Standards for Conversions'!$H$34:$H$73,MATCH(M$2,'Standards for Conversions'!$A$34:$A$73,0)))=0,"",N28/(INDEX('Standards for Conversions'!$H$34:$H$73,MATCH(M$2,'Standards for Conversions'!$A$34:$A$73,0))))</f>
        <v/>
      </c>
      <c r="Q28" s="7"/>
      <c r="R28" s="7"/>
      <c r="S28" s="31" t="str">
        <f>IF(R28/(INDEX('Standards for Conversions'!$H$34:$H$73,MATCH(Q$2,'Standards for Conversions'!$A$34:$A$73,0)))=0,"",R28/(INDEX('Standards for Conversions'!$H$34:$H$73,MATCH(Q$2,'Standards for Conversions'!$A$34:$A$73,0))))</f>
        <v/>
      </c>
      <c r="U28" s="7"/>
      <c r="V28" s="7"/>
      <c r="W28" s="31" t="str">
        <f>IF(V28/(INDEX('Standards for Conversions'!$H$34:$H$73,MATCH(U$2,'Standards for Conversions'!$A$34:$A$73,0)))=0,"",V28/(INDEX('Standards for Conversions'!$H$34:$H$73,MATCH(U$2,'Standards for Conversions'!$A$34:$A$73,0))))</f>
        <v/>
      </c>
      <c r="Y28" s="7"/>
      <c r="Z28" s="7"/>
      <c r="AA28" s="31" t="str">
        <f>IF(Z28/(INDEX('Standards for Conversions'!$H$34:$H$73,MATCH(Y$2,'Standards for Conversions'!$A$34:$A$73,0)))=0,"",Z28/(INDEX('Standards for Conversions'!$H$34:$H$73,MATCH(Y$2,'Standards for Conversions'!$A$34:$A$73,0))))</f>
        <v/>
      </c>
      <c r="AB28" s="7"/>
      <c r="AC28" s="7"/>
      <c r="AD28" s="31" t="str">
        <f>IF(AC28/(INDEX('Standards for Conversions'!$H$34:$H$73,MATCH(AB$2,'Standards for Conversions'!$A$34:$A$73,0)))=0,"",AC28/(INDEX('Standards for Conversions'!$H$34:$H$73,MATCH(AB$2,'Standards for Conversions'!$A$34:$A$73,0))))</f>
        <v/>
      </c>
      <c r="AF28" s="7"/>
      <c r="AG28" s="7"/>
      <c r="AH28" s="31" t="str">
        <f>IF(AG28/(INDEX('Standards for Conversions'!$H$34:$H$73,MATCH(AF$2,'Standards for Conversions'!$A$34:$A$73,0)))=0,"",AG28/(INDEX('Standards for Conversions'!$H$34:$H$73,MATCH(AF$2,'Standards for Conversions'!$A$34:$A$73,0))))</f>
        <v/>
      </c>
      <c r="AJ28" s="7"/>
      <c r="AK28" s="7"/>
      <c r="AL28" s="31" t="str">
        <f>IF(AK28/(INDEX('Standards for Conversions'!$H$34:$H$73,MATCH(AJ$2,'Standards for Conversions'!$A$34:$A$73,0)))=0,"",AK28/(INDEX('Standards for Conversions'!$H$34:$H$73,MATCH(AJ$2,'Standards for Conversions'!$A$34:$A$73,0))))</f>
        <v/>
      </c>
      <c r="AM28" s="7"/>
      <c r="AN28" s="7"/>
      <c r="AO28" s="31" t="str">
        <f>IF(AN28/(INDEX('Standards for Conversions'!$H$34:$H$73,MATCH(AM$2,'Standards for Conversions'!$A$34:$A$73,0)))=0,"",AN28/(INDEX('Standards for Conversions'!$H$34:$H$73,MATCH(AM$2,'Standards for Conversions'!$A$34:$A$73,0))))</f>
        <v/>
      </c>
      <c r="AP28" s="7"/>
      <c r="AQ28" s="7"/>
      <c r="AR28" s="31" t="str">
        <f>IF(AQ28/(INDEX('Standards for Conversions'!$H$34:$H$73,MATCH(AP$2,'Standards for Conversions'!$A$34:$A$73,0)))=0,"",AQ28/(INDEX('Standards for Conversions'!$H$34:$H$73,MATCH(AP$2,'Standards for Conversions'!$A$34:$A$73,0))))</f>
        <v/>
      </c>
      <c r="AS28" s="7"/>
      <c r="AT28" s="7"/>
      <c r="AU28" s="31" t="str">
        <f>IF(AT28/(INDEX('Standards for Conversions'!$H$34:$H$73,MATCH(AS$2,'Standards for Conversions'!$A$34:$A$73,0)))=0,"",AT28/(INDEX('Standards for Conversions'!$H$34:$H$73,MATCH(AS$2,'Standards for Conversions'!$A$34:$A$73,0))))</f>
        <v/>
      </c>
      <c r="AV28" s="7"/>
      <c r="AW28" s="7"/>
      <c r="AX28" s="31" t="str">
        <f>IF(AW28/(INDEX('Standards for Conversions'!$H$47:$H$73,MATCH(AV$2,'Standards for Conversions'!$A$47:$A$73,0)))=0,"",AW28/(INDEX('Standards for Conversions'!$H$47:$H$73,MATCH(AV$2,'Standards for Conversions'!$A$47:$A$73,0))))</f>
        <v/>
      </c>
      <c r="BB28" s="31" t="str">
        <f>IF(BA28/(INDEX('Standards for Conversions'!$H$47:$H$73,MATCH(AZ$2,'Standards for Conversions'!$A$47:$A$73,0)))=0,"",BA28/(INDEX('Standards for Conversions'!$H$47:$H$73,MATCH(AZ$2,'Standards for Conversions'!$A$47:$A$73,0))))</f>
        <v/>
      </c>
      <c r="BE28" s="31" t="str">
        <f>IF(BD28/(INDEX('Standards for Conversions'!$H$47:$H$73,MATCH(BC$2,'Standards for Conversions'!$A$47:$A$73,0)))=0,"",BD28/(INDEX('Standards for Conversions'!$H$47:$H$73,MATCH(BC$2,'Standards for Conversions'!$A$47:$A$73,0))))</f>
        <v/>
      </c>
      <c r="BF28" s="33"/>
      <c r="BI28" s="31" t="str">
        <f>IF(BH28/(INDEX('Standards for Conversions'!$H$47:$H$73,MATCH(BG$2,'Standards for Conversions'!$A$47:$A$73,0)))=0,"",BH28/(INDEX('Standards for Conversions'!$H$47:$H$73,MATCH(BG$2,'Standards for Conversions'!$A$47:$A$73,0))))</f>
        <v/>
      </c>
      <c r="BJ28" s="33"/>
      <c r="BM28" s="31" t="str">
        <f>IF(BL28/(INDEX('Standards for Conversions'!$H$47:$H$73,MATCH(BK$2,'Standards for Conversions'!$A$47:$A$73,0)))=0,"",BL28/(INDEX('Standards for Conversions'!$H$47:$H$73,MATCH(BK$2,'Standards for Conversions'!$A$47:$A$73,0))))</f>
        <v/>
      </c>
      <c r="BP28" s="31" t="str">
        <f>IF(BO28/(INDEX('Standards for Conversions'!$H$47:$H$73,MATCH(BN$2,'Standards for Conversions'!$A$47:$A$73,0)))=0,"",BO28/(INDEX('Standards for Conversions'!$H$47:$H$73,MATCH(BN$2,'Standards for Conversions'!$A$47:$A$73,0))))</f>
        <v/>
      </c>
      <c r="BQ28" s="33"/>
      <c r="BT28" s="31" t="str">
        <f>IF(BS28/(INDEX('Standards for Conversions'!$H$47:$H$73,MATCH(BR$2,'Standards for Conversions'!$A$47:$A$73,0)))=0,"",BS28/(INDEX('Standards for Conversions'!$H$47:$H$73,MATCH(BR$2,'Standards for Conversions'!$A$47:$A$73,0))))</f>
        <v/>
      </c>
      <c r="BU28" s="33"/>
      <c r="BX28" s="31" t="str">
        <f>IF(BW28/(INDEX('Standards for Conversions'!$H$47:$H$73,MATCH(BV$2,'Standards for Conversions'!$A$47:$A$73,0)))=0,"",BW28/(INDEX('Standards for Conversions'!$H$47:$H$73,MATCH(BV$2,'Standards for Conversions'!$A$47:$A$73,0))))</f>
        <v/>
      </c>
      <c r="CA28" s="31" t="str">
        <f>IF(BZ28/(INDEX('Standards for Conversions'!$H$47:$H$73,MATCH(BY$2,'Standards for Conversions'!$A$47:$A$73,0)))=0,"",BZ28/(INDEX('Standards for Conversions'!$H$47:$H$73,MATCH(BY$2,'Standards for Conversions'!$A$47:$A$73,0))))</f>
        <v/>
      </c>
      <c r="CD28" s="31" t="str">
        <f>IF(CC28/(INDEX('Standards for Conversions'!$H$47:$H$73,MATCH(CB$2,'Standards for Conversions'!$A$47:$A$73,0)))=0,"",CC28/(INDEX('Standards for Conversions'!$H$47:$H$73,MATCH(CB$2,'Standards for Conversions'!$A$47:$A$73,0))))</f>
        <v/>
      </c>
      <c r="CH28" s="31" t="str">
        <f>IF(CG28/(INDEX('Standards for Conversions'!$H$47:$H$73,MATCH(CF$2,'Standards for Conversions'!$A$47:$A$73,0)))=0,"",CG28/(INDEX('Standards for Conversions'!$H$47:$H$73,MATCH(CF$2,'Standards for Conversions'!$A$47:$A$73,0))))</f>
        <v/>
      </c>
      <c r="CK28" s="31" t="str">
        <f>IF(CJ28/(INDEX('Standards for Conversions'!$H$47:$H$73,MATCH(CI$2,'Standards for Conversions'!$A$47:$A$73,0)))=0,"",CJ28/(INDEX('Standards for Conversions'!$H$47:$H$73,MATCH(CI$2,'Standards for Conversions'!$A$47:$A$73,0))))</f>
        <v/>
      </c>
      <c r="CN28" s="31" t="str">
        <f>IF(CM28/(INDEX('Standards for Conversions'!$H$47:$H$73,MATCH(CL$2,'Standards for Conversions'!$A$47:$A$73,0)))=0,"",CM28/(INDEX('Standards for Conversions'!$H$47:$H$73,MATCH(CL$2,'Standards for Conversions'!$A$47:$A$73,0))))</f>
        <v/>
      </c>
      <c r="CQ28" s="31" t="str">
        <f>IF(CP28/(INDEX('Standards for Conversions'!$H$47:$H$73,MATCH(CO$2,'Standards for Conversions'!$A$47:$A$73,0)))=0,"",CP28/(INDEX('Standards for Conversions'!$H$47:$H$73,MATCH(CO$2,'Standards for Conversions'!$A$47:$A$73,0))))</f>
        <v/>
      </c>
      <c r="CU28" s="31" t="str">
        <f>IF(CT28/(INDEX('Standards for Conversions'!$H$47:$H$73,MATCH(CS$2,'Standards for Conversions'!$A$47:$A$73,0)))=0,"",CT28/(INDEX('Standards for Conversions'!$H$47:$H$73,MATCH(CS$2,'Standards for Conversions'!$A$47:$A$73,0))))</f>
        <v/>
      </c>
      <c r="CX28" s="31" t="str">
        <f>IF(CW28/(INDEX('Standards for Conversions'!$H$47:$H$73,MATCH(CV$2,'Standards for Conversions'!$A$47:$A$73,0)))=0,"",CW28/(INDEX('Standards for Conversions'!$H$47:$H$73,MATCH(CV$2,'Standards for Conversions'!$A$47:$A$73,0))))</f>
        <v/>
      </c>
      <c r="DA28" s="31" t="str">
        <f>IF(CZ28/(INDEX('Standards for Conversions'!$H$47:$H$73,MATCH(CY$2,'Standards for Conversions'!$A$47:$A$73,0)))=0,"",CZ28/(INDEX('Standards for Conversions'!$H$47:$H$73,MATCH(CY$2,'Standards for Conversions'!$A$47:$A$73,0))))</f>
        <v/>
      </c>
      <c r="DE28" s="31" t="str">
        <f>IF(DD28/(INDEX('Standards for Conversions'!$H$47:$H$73,MATCH(DC$2,'Standards for Conversions'!$A$47:$A$73,0)))=0,"",DD28/(INDEX('Standards for Conversions'!$H$47:$H$73,MATCH(DC$2,'Standards for Conversions'!$A$47:$A$73,0))))</f>
        <v/>
      </c>
      <c r="DR28" s="29" t="s">
        <v>98</v>
      </c>
      <c r="DS28" s="29">
        <v>502</v>
      </c>
      <c r="DT28" s="33">
        <v>1556</v>
      </c>
    </row>
    <row r="29" spans="1:129" hidden="1" x14ac:dyDescent="0.3">
      <c r="A29" t="s">
        <v>93</v>
      </c>
      <c r="B29" s="10" t="s">
        <v>59</v>
      </c>
      <c r="C29" s="7"/>
      <c r="D29" s="7"/>
      <c r="E29" s="31" t="str">
        <f>IF(D29/(INDEX('Standards for Conversions'!$H$34:$H$73,MATCH(C$2,'Standards for Conversions'!$A$34:$A$73,0)))=0,"",D29/(INDEX('Standards for Conversions'!$H$34:$H$73,MATCH(C$2,'Standards for Conversions'!$A$34:$A$73,0))))</f>
        <v/>
      </c>
      <c r="F29" s="7"/>
      <c r="G29" s="7"/>
      <c r="H29" s="31" t="str">
        <f>IF(G29/(INDEX('Standards for Conversions'!$H$34:$H$73,MATCH(F$2,'Standards for Conversions'!$A$34:$A$73,0)))=0,"",G29/(INDEX('Standards for Conversions'!$H$34:$H$73,MATCH(F$2,'Standards for Conversions'!$A$34:$A$73,0))))</f>
        <v/>
      </c>
      <c r="I29" s="10" t="s">
        <v>59</v>
      </c>
      <c r="J29" s="7"/>
      <c r="K29" s="7"/>
      <c r="L29" s="31" t="str">
        <f>IF(K29/(INDEX('Standards for Conversions'!$H$34:$H$73,MATCH(J$2,'Standards for Conversions'!$A$34:$A$73,0)))=0,"",K29/(INDEX('Standards for Conversions'!$H$34:$H$73,MATCH(J$2,'Standards for Conversions'!$A$34:$A$73,0))))</f>
        <v/>
      </c>
      <c r="M29" s="7"/>
      <c r="N29" s="7"/>
      <c r="O29" s="31" t="str">
        <f>IF(N29/(INDEX('Standards for Conversions'!$H$34:$H$73,MATCH(M$2,'Standards for Conversions'!$A$34:$A$73,0)))=0,"",N29/(INDEX('Standards for Conversions'!$H$34:$H$73,MATCH(M$2,'Standards for Conversions'!$A$34:$A$73,0))))</f>
        <v/>
      </c>
      <c r="P29" s="10" t="s">
        <v>59</v>
      </c>
      <c r="Q29" s="7"/>
      <c r="R29" s="7"/>
      <c r="S29" s="31" t="str">
        <f>IF(R29/(INDEX('Standards for Conversions'!$H$34:$H$73,MATCH(Q$2,'Standards for Conversions'!$A$34:$A$73,0)))=0,"",R29/(INDEX('Standards for Conversions'!$H$34:$H$73,MATCH(Q$2,'Standards for Conversions'!$A$34:$A$73,0))))</f>
        <v/>
      </c>
      <c r="T29" s="10" t="s">
        <v>59</v>
      </c>
      <c r="U29" s="7"/>
      <c r="V29" s="7"/>
      <c r="W29" s="31" t="str">
        <f>IF(V29/(INDEX('Standards for Conversions'!$H$34:$H$73,MATCH(U$2,'Standards for Conversions'!$A$34:$A$73,0)))=0,"",V29/(INDEX('Standards for Conversions'!$H$34:$H$73,MATCH(U$2,'Standards for Conversions'!$A$34:$A$73,0))))</f>
        <v/>
      </c>
      <c r="X29" s="10" t="s">
        <v>59</v>
      </c>
      <c r="Y29" s="7"/>
      <c r="Z29" s="7"/>
      <c r="AA29" s="31" t="str">
        <f>IF(Z29/(INDEX('Standards for Conversions'!$H$34:$H$73,MATCH(Y$2,'Standards for Conversions'!$A$34:$A$73,0)))=0,"",Z29/(INDEX('Standards for Conversions'!$H$34:$H$73,MATCH(Y$2,'Standards for Conversions'!$A$34:$A$73,0))))</f>
        <v/>
      </c>
      <c r="AB29" s="7"/>
      <c r="AC29" s="7"/>
      <c r="AD29" s="31" t="str">
        <f>IF(AC29/(INDEX('Standards for Conversions'!$H$34:$H$73,MATCH(AB$2,'Standards for Conversions'!$A$34:$A$73,0)))=0,"",AC29/(INDEX('Standards for Conversions'!$H$34:$H$73,MATCH(AB$2,'Standards for Conversions'!$A$34:$A$73,0))))</f>
        <v/>
      </c>
      <c r="AE29" s="10" t="s">
        <v>59</v>
      </c>
      <c r="AF29" s="7"/>
      <c r="AG29" s="7"/>
      <c r="AH29" s="31" t="str">
        <f>IF(AG29/(INDEX('Standards for Conversions'!$H$34:$H$73,MATCH(AF$2,'Standards for Conversions'!$A$34:$A$73,0)))=0,"",AG29/(INDEX('Standards for Conversions'!$H$34:$H$73,MATCH(AF$2,'Standards for Conversions'!$A$34:$A$73,0))))</f>
        <v/>
      </c>
      <c r="AI29" s="10" t="s">
        <v>59</v>
      </c>
      <c r="AJ29" s="7"/>
      <c r="AK29" s="7"/>
      <c r="AL29" s="31" t="str">
        <f>IF(AK29/(INDEX('Standards for Conversions'!$H$34:$H$73,MATCH(AJ$2,'Standards for Conversions'!$A$34:$A$73,0)))=0,"",AK29/(INDEX('Standards for Conversions'!$H$34:$H$73,MATCH(AJ$2,'Standards for Conversions'!$A$34:$A$73,0))))</f>
        <v/>
      </c>
      <c r="AM29" s="7"/>
      <c r="AN29" s="7"/>
      <c r="AO29" s="31" t="str">
        <f>IF(AN29/(INDEX('Standards for Conversions'!$H$34:$H$73,MATCH(AM$2,'Standards for Conversions'!$A$34:$A$73,0)))=0,"",AN29/(INDEX('Standards for Conversions'!$H$34:$H$73,MATCH(AM$2,'Standards for Conversions'!$A$34:$A$73,0))))</f>
        <v/>
      </c>
      <c r="AP29" s="7"/>
      <c r="AQ29" s="7"/>
      <c r="AR29" s="31" t="str">
        <f>IF(AQ29/(INDEX('Standards for Conversions'!$H$34:$H$73,MATCH(AP$2,'Standards for Conversions'!$A$34:$A$73,0)))=0,"",AQ29/(INDEX('Standards for Conversions'!$H$34:$H$73,MATCH(AP$2,'Standards for Conversions'!$A$34:$A$73,0))))</f>
        <v/>
      </c>
      <c r="AS29" s="7"/>
      <c r="AT29" s="7"/>
      <c r="AU29" s="31" t="str">
        <f>IF(AT29/(INDEX('Standards for Conversions'!$H$34:$H$73,MATCH(AS$2,'Standards for Conversions'!$A$34:$A$73,0)))=0,"",AT29/(INDEX('Standards for Conversions'!$H$34:$H$73,MATCH(AS$2,'Standards for Conversions'!$A$34:$A$73,0))))</f>
        <v/>
      </c>
      <c r="AV29" s="7"/>
      <c r="AW29" s="7"/>
      <c r="AX29" s="31" t="str">
        <f>IF(AW29/(INDEX('Standards for Conversions'!$H$47:$H$73,MATCH(AV$2,'Standards for Conversions'!$A$47:$A$73,0)))=0,"",AW29/(INDEX('Standards for Conversions'!$H$47:$H$73,MATCH(AV$2,'Standards for Conversions'!$A$47:$A$73,0))))</f>
        <v/>
      </c>
      <c r="AY29" s="47" t="s">
        <v>59</v>
      </c>
      <c r="AZ29" s="29">
        <v>200</v>
      </c>
      <c r="BA29" s="29">
        <v>3000</v>
      </c>
      <c r="BB29" s="31">
        <f>IF(BA29/(INDEX('Standards for Conversions'!$H$47:$H$73,MATCH(AZ$2,'Standards for Conversions'!$A$47:$A$73,0)))=0,"",BA29/(INDEX('Standards for Conversions'!$H$47:$H$73,MATCH(AZ$2,'Standards for Conversions'!$A$47:$A$73,0))))</f>
        <v>435.7362366385679</v>
      </c>
      <c r="BC29" s="29">
        <v>250</v>
      </c>
      <c r="BD29" s="29">
        <v>4000</v>
      </c>
      <c r="BE29" s="31">
        <f>IF(BD29/(INDEX('Standards for Conversions'!$H$47:$H$73,MATCH(BC$2,'Standards for Conversions'!$A$47:$A$73,0)))=0,"",BD29/(INDEX('Standards for Conversions'!$H$47:$H$73,MATCH(BC$2,'Standards for Conversions'!$A$47:$A$73,0))))</f>
        <v>578.44091277772941</v>
      </c>
      <c r="BF29" s="47" t="s">
        <v>59</v>
      </c>
      <c r="BG29" s="29">
        <v>200</v>
      </c>
      <c r="BH29" s="29">
        <v>3500</v>
      </c>
      <c r="BI29" s="31">
        <f>IF(BH29/(INDEX('Standards for Conversions'!$H$47:$H$73,MATCH(BG$2,'Standards for Conversions'!$A$47:$A$73,0)))=0,"",BH29/(INDEX('Standards for Conversions'!$H$47:$H$73,MATCH(BG$2,'Standards for Conversions'!$A$47:$A$73,0))))</f>
        <v>566.16068842154039</v>
      </c>
      <c r="BJ29" s="47" t="s">
        <v>59</v>
      </c>
      <c r="BK29" s="29">
        <v>250</v>
      </c>
      <c r="BL29" s="29">
        <v>4000</v>
      </c>
      <c r="BM29" s="31">
        <f>IF(BL29/(INDEX('Standards for Conversions'!$H$47:$H$73,MATCH(BK$2,'Standards for Conversions'!$A$47:$A$73,0)))=0,"",BL29/(INDEX('Standards for Conversions'!$H$47:$H$73,MATCH(BK$2,'Standards for Conversions'!$A$47:$A$73,0))))</f>
        <v>610.62356971119027</v>
      </c>
      <c r="BN29" s="29">
        <v>300</v>
      </c>
      <c r="BO29" s="29">
        <v>5000</v>
      </c>
      <c r="BP29" s="31">
        <f>IF(BO29/(INDEX('Standards for Conversions'!$H$47:$H$73,MATCH(BN$2,'Standards for Conversions'!$A$47:$A$73,0)))=0,"",BO29/(INDEX('Standards for Conversions'!$H$47:$H$73,MATCH(BN$2,'Standards for Conversions'!$A$47:$A$73,0))))</f>
        <v>673.29505952898228</v>
      </c>
      <c r="BQ29" s="33" t="s">
        <v>97</v>
      </c>
      <c r="BR29" s="29">
        <v>3600</v>
      </c>
      <c r="BS29" s="29">
        <v>6500</v>
      </c>
      <c r="BT29" s="31">
        <f>IF(BS29/(INDEX('Standards for Conversions'!$H$47:$H$73,MATCH(BR$2,'Standards for Conversions'!$A$47:$A$73,0)))=0,"",BS29/(INDEX('Standards for Conversions'!$H$47:$H$73,MATCH(BR$2,'Standards for Conversions'!$A$47:$A$73,0))))</f>
        <v>790.50768372874461</v>
      </c>
      <c r="BU29" s="33" t="s">
        <v>97</v>
      </c>
      <c r="BX29" s="31" t="str">
        <f>IF(BW29/(INDEX('Standards for Conversions'!$H$47:$H$73,MATCH(BV$2,'Standards for Conversions'!$A$47:$A$73,0)))=0,"",BW29/(INDEX('Standards for Conversions'!$H$47:$H$73,MATCH(BV$2,'Standards for Conversions'!$A$47:$A$73,0))))</f>
        <v/>
      </c>
      <c r="CA29" s="31" t="str">
        <f>IF(BZ29/(INDEX('Standards for Conversions'!$H$47:$H$73,MATCH(BY$2,'Standards for Conversions'!$A$47:$A$73,0)))=0,"",BZ29/(INDEX('Standards for Conversions'!$H$47:$H$73,MATCH(BY$2,'Standards for Conversions'!$A$47:$A$73,0))))</f>
        <v/>
      </c>
      <c r="CD29" s="31" t="str">
        <f>IF(CC29/(INDEX('Standards for Conversions'!$H$47:$H$73,MATCH(CB$2,'Standards for Conversions'!$A$47:$A$73,0)))=0,"",CC29/(INDEX('Standards for Conversions'!$H$47:$H$73,MATCH(CB$2,'Standards for Conversions'!$A$47:$A$73,0))))</f>
        <v/>
      </c>
      <c r="CH29" s="31" t="str">
        <f>IF(CG29/(INDEX('Standards for Conversions'!$H$47:$H$73,MATCH(CF$2,'Standards for Conversions'!$A$47:$A$73,0)))=0,"",CG29/(INDEX('Standards for Conversions'!$H$47:$H$73,MATCH(CF$2,'Standards for Conversions'!$A$47:$A$73,0))))</f>
        <v/>
      </c>
      <c r="CK29" s="31" t="str">
        <f>IF(CJ29/(INDEX('Standards for Conversions'!$H$47:$H$73,MATCH(CI$2,'Standards for Conversions'!$A$47:$A$73,0)))=0,"",CJ29/(INDEX('Standards for Conversions'!$H$47:$H$73,MATCH(CI$2,'Standards for Conversions'!$A$47:$A$73,0))))</f>
        <v/>
      </c>
      <c r="CN29" s="31" t="str">
        <f>IF(CM29/(INDEX('Standards for Conversions'!$H$47:$H$73,MATCH(CL$2,'Standards for Conversions'!$A$47:$A$73,0)))=0,"",CM29/(INDEX('Standards for Conversions'!$H$47:$H$73,MATCH(CL$2,'Standards for Conversions'!$A$47:$A$73,0))))</f>
        <v/>
      </c>
      <c r="CQ29" s="31" t="str">
        <f>IF(CP29/(INDEX('Standards for Conversions'!$H$47:$H$73,MATCH(CO$2,'Standards for Conversions'!$A$47:$A$73,0)))=0,"",CP29/(INDEX('Standards for Conversions'!$H$47:$H$73,MATCH(CO$2,'Standards for Conversions'!$A$47:$A$73,0))))</f>
        <v/>
      </c>
      <c r="CU29" s="31" t="str">
        <f>IF(CT29/(INDEX('Standards for Conversions'!$H$47:$H$73,MATCH(CS$2,'Standards for Conversions'!$A$47:$A$73,0)))=0,"",CT29/(INDEX('Standards for Conversions'!$H$47:$H$73,MATCH(CS$2,'Standards for Conversions'!$A$47:$A$73,0))))</f>
        <v/>
      </c>
      <c r="CX29" s="31" t="str">
        <f>IF(CW29/(INDEX('Standards for Conversions'!$H$47:$H$73,MATCH(CV$2,'Standards for Conversions'!$A$47:$A$73,0)))=0,"",CW29/(INDEX('Standards for Conversions'!$H$47:$H$73,MATCH(CV$2,'Standards for Conversions'!$A$47:$A$73,0))))</f>
        <v/>
      </c>
      <c r="DA29" s="31" t="str">
        <f>IF(CZ29/(INDEX('Standards for Conversions'!$H$47:$H$73,MATCH(CY$2,'Standards for Conversions'!$A$47:$A$73,0)))=0,"",CZ29/(INDEX('Standards for Conversions'!$H$47:$H$73,MATCH(CY$2,'Standards for Conversions'!$A$47:$A$73,0))))</f>
        <v/>
      </c>
      <c r="DE29" s="31" t="str">
        <f>IF(DD29/(INDEX('Standards for Conversions'!$H$47:$H$73,MATCH(DC$2,'Standards for Conversions'!$A$47:$A$73,0)))=0,"",DD29/(INDEX('Standards for Conversions'!$H$47:$H$73,MATCH(DC$2,'Standards for Conversions'!$A$47:$A$73,0))))</f>
        <v/>
      </c>
      <c r="DR29" s="29" t="s">
        <v>8</v>
      </c>
      <c r="DS29" s="29">
        <v>104</v>
      </c>
      <c r="DT29" s="29">
        <v>29</v>
      </c>
      <c r="DU29" s="29">
        <v>5192</v>
      </c>
      <c r="DV29" s="29">
        <v>1942</v>
      </c>
    </row>
    <row r="30" spans="1:129" x14ac:dyDescent="0.3">
      <c r="A30" s="19" t="s">
        <v>196</v>
      </c>
      <c r="B30" s="10" t="s">
        <v>97</v>
      </c>
      <c r="C30" s="7"/>
      <c r="D30" s="7"/>
      <c r="E30" s="31" t="str">
        <f>IF(D30/(INDEX('Standards for Conversions'!$H$34:$H$73,MATCH(C$2,'Standards for Conversions'!$A$34:$A$73,0)))=0,"",D30/(INDEX('Standards for Conversions'!$H$34:$H$73,MATCH(C$2,'Standards for Conversions'!$A$34:$A$73,0))))</f>
        <v/>
      </c>
      <c r="F30" s="7">
        <f>9*700</f>
        <v>6300</v>
      </c>
      <c r="G30" s="7">
        <v>2100</v>
      </c>
      <c r="H30" s="31">
        <f>IF(G30/(INDEX('Standards for Conversions'!$H$34:$H$73,MATCH(F$2,'Standards for Conversions'!$A$34:$A$73,0)))=0,"",G30/(INDEX('Standards for Conversions'!$H$34:$H$73,MATCH(F$2,'Standards for Conversions'!$A$34:$A$73,0))))</f>
        <v>404.61221973581297</v>
      </c>
      <c r="I30" s="10" t="s">
        <v>97</v>
      </c>
      <c r="J30" s="7"/>
      <c r="K30" s="7"/>
      <c r="L30" s="31" t="str">
        <f>IF(K30/(INDEX('Standards for Conversions'!$H$34:$H$73,MATCH(J$2,'Standards for Conversions'!$A$34:$A$73,0)))=0,"",K30/(INDEX('Standards for Conversions'!$H$34:$H$73,MATCH(J$2,'Standards for Conversions'!$A$34:$A$73,0))))</f>
        <v/>
      </c>
      <c r="M30" s="7"/>
      <c r="N30" s="7"/>
      <c r="O30" s="31" t="str">
        <f>IF(N30/(INDEX('Standards for Conversions'!$H$34:$H$73,MATCH(M$2,'Standards for Conversions'!$A$34:$A$73,0)))=0,"",N30/(INDEX('Standards for Conversions'!$H$34:$H$73,MATCH(M$2,'Standards for Conversions'!$A$34:$A$73,0))))</f>
        <v/>
      </c>
      <c r="P30" s="10" t="s">
        <v>97</v>
      </c>
      <c r="Q30" s="7"/>
      <c r="R30" s="7"/>
      <c r="S30" s="31" t="str">
        <f>IF(R30/(INDEX('Standards for Conversions'!$H$34:$H$73,MATCH(Q$2,'Standards for Conversions'!$A$34:$A$73,0)))=0,"",R30/(INDEX('Standards for Conversions'!$H$34:$H$73,MATCH(Q$2,'Standards for Conversions'!$A$34:$A$73,0))))</f>
        <v/>
      </c>
      <c r="T30" s="10" t="s">
        <v>97</v>
      </c>
      <c r="U30" s="7">
        <f>9*1500</f>
        <v>13500</v>
      </c>
      <c r="V30" s="7">
        <v>3000</v>
      </c>
      <c r="W30" s="31">
        <f>IF(V30/(INDEX('Standards for Conversions'!$H$34:$H$73,MATCH(U$2,'Standards for Conversions'!$A$34:$A$73,0)))=0,"",V30/(INDEX('Standards for Conversions'!$H$34:$H$73,MATCH(U$2,'Standards for Conversions'!$A$34:$A$73,0))))</f>
        <v>520.85089510732598</v>
      </c>
      <c r="X30" s="10" t="s">
        <v>97</v>
      </c>
      <c r="Y30" s="7">
        <f>9*4000</f>
        <v>36000</v>
      </c>
      <c r="Z30" s="7">
        <v>8000</v>
      </c>
      <c r="AA30" s="31">
        <f>IF(Z30/(INDEX('Standards for Conversions'!$H$34:$H$73,MATCH(Y$2,'Standards for Conversions'!$A$34:$A$73,0)))=0,"",Z30/(INDEX('Standards for Conversions'!$H$34:$H$73,MATCH(Y$2,'Standards for Conversions'!$A$34:$A$73,0))))</f>
        <v>1416.036905072275</v>
      </c>
      <c r="AB30" s="7">
        <f>9*1000</f>
        <v>9000</v>
      </c>
      <c r="AC30" s="7">
        <v>2500</v>
      </c>
      <c r="AD30" s="31">
        <f>IF(AC30/(INDEX('Standards for Conversions'!$H$34:$H$73,MATCH(AB$2,'Standards for Conversions'!$A$34:$A$73,0)))=0,"",AC30/(INDEX('Standards for Conversions'!$H$34:$H$73,MATCH(AB$2,'Standards for Conversions'!$A$34:$A$73,0))))</f>
        <v>437.74765269690914</v>
      </c>
      <c r="AE30" s="10" t="s">
        <v>97</v>
      </c>
      <c r="AF30" s="7">
        <f>9*8000</f>
        <v>72000</v>
      </c>
      <c r="AG30" s="7">
        <v>14000</v>
      </c>
      <c r="AH30" s="31">
        <f>IF(AG30/(INDEX('Standards for Conversions'!$H$34:$H$73,MATCH(AF$2,'Standards for Conversions'!$A$34:$A$73,0)))=0,"",AG30/(INDEX('Standards for Conversions'!$H$34:$H$73,MATCH(AF$2,'Standards for Conversions'!$A$34:$A$73,0))))</f>
        <v>2448.4226630167141</v>
      </c>
      <c r="AI30" s="10" t="s">
        <v>97</v>
      </c>
      <c r="AJ30" s="7">
        <f>9*10930</f>
        <v>98370</v>
      </c>
      <c r="AK30" s="7">
        <v>17200</v>
      </c>
      <c r="AL30" s="31">
        <f>IF(AK30/(INDEX('Standards for Conversions'!$H$34:$H$73,MATCH(AJ$2,'Standards for Conversions'!$A$34:$A$73,0)))=0,"",AK30/(INDEX('Standards for Conversions'!$H$34:$H$73,MATCH(AJ$2,'Standards for Conversions'!$A$34:$A$73,0))))</f>
        <v>2946.1528598534219</v>
      </c>
      <c r="AM30" s="7">
        <f>9*10000</f>
        <v>90000</v>
      </c>
      <c r="AN30" s="7">
        <v>12000</v>
      </c>
      <c r="AO30" s="31">
        <f>IF(AN30/(INDEX('Standards for Conversions'!$H$34:$H$73,MATCH(AM$2,'Standards for Conversions'!$A$34:$A$73,0)))=0,"",AN30/(INDEX('Standards for Conversions'!$H$34:$H$73,MATCH(AM$2,'Standards for Conversions'!$A$34:$A$73,0))))</f>
        <v>2057.9962196923607</v>
      </c>
      <c r="AP30" s="7">
        <f>9*9000</f>
        <v>81000</v>
      </c>
      <c r="AQ30" s="7">
        <v>15000</v>
      </c>
      <c r="AR30" s="31">
        <f>IF(AQ30/(INDEX('Standards for Conversions'!$H$34:$H$73,MATCH(AP$2,'Standards for Conversions'!$A$34:$A$73,0)))=0,"",AQ30/(INDEX('Standards for Conversions'!$H$34:$H$73,MATCH(AP$2,'Standards for Conversions'!$A$34:$A$73,0))))</f>
        <v>2467.6899115755627</v>
      </c>
      <c r="AS30" s="7">
        <f>9*8500</f>
        <v>76500</v>
      </c>
      <c r="AT30" s="7">
        <v>14000</v>
      </c>
      <c r="AU30" s="31">
        <f>IF(AT30/(INDEX('Standards for Conversions'!$H$34:$H$73,MATCH(AS$2,'Standards for Conversions'!$A$34:$A$73,0)))=0,"",AT30/(INDEX('Standards for Conversions'!$H$34:$H$73,MATCH(AS$2,'Standards for Conversions'!$A$34:$A$73,0))))</f>
        <v>2152.0034544190494</v>
      </c>
      <c r="AV30" s="7">
        <f>9*8000</f>
        <v>72000</v>
      </c>
      <c r="AW30" s="7">
        <v>14000</v>
      </c>
      <c r="AX30" s="31">
        <f>IF(AW30/(INDEX('Standards for Conversions'!$H$47:$H$73,MATCH(AV$2,'Standards for Conversions'!$A$47:$A$73,0)))=0,"",AW30/(INDEX('Standards for Conversions'!$H$47:$H$73,MATCH(AV$2,'Standards for Conversions'!$A$47:$A$73,0))))</f>
        <v>2119.3973414733059</v>
      </c>
      <c r="AY30" s="33" t="s">
        <v>97</v>
      </c>
      <c r="AZ30" s="29">
        <v>18000</v>
      </c>
      <c r="BA30" s="29">
        <v>4000</v>
      </c>
      <c r="BB30" s="31">
        <f>IF(BA30/(INDEX('Standards for Conversions'!$H$47:$H$73,MATCH(AZ$2,'Standards for Conversions'!$A$47:$A$73,0)))=0,"",BA30/(INDEX('Standards for Conversions'!$H$47:$H$73,MATCH(AZ$2,'Standards for Conversions'!$A$47:$A$73,0))))</f>
        <v>580.98164885142387</v>
      </c>
      <c r="BC30" s="29">
        <v>13500</v>
      </c>
      <c r="BD30" s="29">
        <v>3000</v>
      </c>
      <c r="BE30" s="31">
        <f>IF(BD30/(INDEX('Standards for Conversions'!$H$47:$H$73,MATCH(BC$2,'Standards for Conversions'!$A$47:$A$73,0)))=0,"",BD30/(INDEX('Standards for Conversions'!$H$47:$H$73,MATCH(BC$2,'Standards for Conversions'!$A$47:$A$73,0))))</f>
        <v>433.83068458329711</v>
      </c>
      <c r="BF30" s="33" t="s">
        <v>97</v>
      </c>
      <c r="BG30" s="29">
        <v>18000</v>
      </c>
      <c r="BH30" s="29">
        <v>4000</v>
      </c>
      <c r="BI30" s="31">
        <f>IF(BH30/(INDEX('Standards for Conversions'!$H$47:$H$73,MATCH(BG$2,'Standards for Conversions'!$A$47:$A$73,0)))=0,"",BH30/(INDEX('Standards for Conversions'!$H$47:$H$73,MATCH(BG$2,'Standards for Conversions'!$A$47:$A$73,0))))</f>
        <v>647.04078676747474</v>
      </c>
      <c r="BJ30" s="33" t="s">
        <v>97</v>
      </c>
      <c r="BK30" s="29">
        <v>13500</v>
      </c>
      <c r="BL30" s="29">
        <v>3000</v>
      </c>
      <c r="BM30" s="31">
        <f>IF(BL30/(INDEX('Standards for Conversions'!$H$47:$H$73,MATCH(BK$2,'Standards for Conversions'!$A$47:$A$73,0)))=0,"",BL30/(INDEX('Standards for Conversions'!$H$47:$H$73,MATCH(BK$2,'Standards for Conversions'!$A$47:$A$73,0))))</f>
        <v>457.96767728339267</v>
      </c>
      <c r="BN30" s="29">
        <v>14400</v>
      </c>
      <c r="BO30" s="29">
        <v>3000</v>
      </c>
      <c r="BP30" s="31">
        <f>IF(BO30/(INDEX('Standards for Conversions'!$H$47:$H$73,MATCH(BN$2,'Standards for Conversions'!$A$47:$A$73,0)))=0,"",BO30/(INDEX('Standards for Conversions'!$H$47:$H$73,MATCH(BN$2,'Standards for Conversions'!$A$47:$A$73,0))))</f>
        <v>403.97703571738941</v>
      </c>
      <c r="BQ30" s="33" t="s">
        <v>97</v>
      </c>
      <c r="BR30" s="29">
        <v>13500</v>
      </c>
      <c r="BS30" s="29">
        <v>2500</v>
      </c>
      <c r="BT30" s="31">
        <f>IF(BS30/(INDEX('Standards for Conversions'!$H$47:$H$73,MATCH(BR$2,'Standards for Conversions'!$A$47:$A$73,0)))=0,"",BS30/(INDEX('Standards for Conversions'!$H$47:$H$73,MATCH(BR$2,'Standards for Conversions'!$A$47:$A$73,0))))</f>
        <v>304.04141681874796</v>
      </c>
      <c r="BU30" s="33" t="s">
        <v>97</v>
      </c>
      <c r="BV30" s="7">
        <f>1200*9</f>
        <v>10800</v>
      </c>
      <c r="BW30" s="7">
        <v>2200</v>
      </c>
      <c r="BX30" s="31">
        <f>IF(BW30/(INDEX('Standards for Conversions'!$H$47:$H$73,MATCH(BV$2,'Standards for Conversions'!$A$47:$A$73,0)))=0,"",BW30/(INDEX('Standards for Conversions'!$H$47:$H$73,MATCH(BV$2,'Standards for Conversions'!$A$47:$A$73,0))))</f>
        <v>215.66614705541554</v>
      </c>
      <c r="CA30" s="31" t="str">
        <f>IF(BZ30/(INDEX('Standards for Conversions'!$H$47:$H$73,MATCH(BY$2,'Standards for Conversions'!$A$47:$A$73,0)))=0,"",BZ30/(INDEX('Standards for Conversions'!$H$47:$H$73,MATCH(BY$2,'Standards for Conversions'!$A$47:$A$73,0))))</f>
        <v/>
      </c>
      <c r="CD30" s="31" t="str">
        <f>IF(CC30/(INDEX('Standards for Conversions'!$H$47:$H$73,MATCH(CB$2,'Standards for Conversions'!$A$47:$A$73,0)))=0,"",CC30/(INDEX('Standards for Conversions'!$H$47:$H$73,MATCH(CB$2,'Standards for Conversions'!$A$47:$A$73,0))))</f>
        <v/>
      </c>
      <c r="CH30" s="31" t="str">
        <f>IF(CG30/(INDEX('Standards for Conversions'!$H$47:$H$73,MATCH(CF$2,'Standards for Conversions'!$A$47:$A$73,0)))=0,"",CG30/(INDEX('Standards for Conversions'!$H$47:$H$73,MATCH(CF$2,'Standards for Conversions'!$A$47:$A$73,0))))</f>
        <v/>
      </c>
      <c r="CK30" s="31" t="str">
        <f>IF(CJ30/(INDEX('Standards for Conversions'!$H$47:$H$73,MATCH(CI$2,'Standards for Conversions'!$A$47:$A$73,0)))=0,"",CJ30/(INDEX('Standards for Conversions'!$H$47:$H$73,MATCH(CI$2,'Standards for Conversions'!$A$47:$A$73,0))))</f>
        <v/>
      </c>
      <c r="CN30" s="31" t="str">
        <f>IF(CM30/(INDEX('Standards for Conversions'!$H$47:$H$73,MATCH(CL$2,'Standards for Conversions'!$A$47:$A$73,0)))=0,"",CM30/(INDEX('Standards for Conversions'!$H$47:$H$73,MATCH(CL$2,'Standards for Conversions'!$A$47:$A$73,0))))</f>
        <v/>
      </c>
      <c r="CQ30" s="31" t="str">
        <f>IF(CP30/(INDEX('Standards for Conversions'!$H$47:$H$73,MATCH(CO$2,'Standards for Conversions'!$A$47:$A$73,0)))=0,"",CP30/(INDEX('Standards for Conversions'!$H$47:$H$73,MATCH(CO$2,'Standards for Conversions'!$A$47:$A$73,0))))</f>
        <v/>
      </c>
      <c r="CU30" s="31" t="str">
        <f>IF(CT30/(INDEX('Standards for Conversions'!$H$47:$H$73,MATCH(CS$2,'Standards for Conversions'!$A$47:$A$73,0)))=0,"",CT30/(INDEX('Standards for Conversions'!$H$47:$H$73,MATCH(CS$2,'Standards for Conversions'!$A$47:$A$73,0))))</f>
        <v/>
      </c>
      <c r="CX30" s="31" t="str">
        <f>IF(CW30/(INDEX('Standards for Conversions'!$H$47:$H$73,MATCH(CV$2,'Standards for Conversions'!$A$47:$A$73,0)))=0,"",CW30/(INDEX('Standards for Conversions'!$H$47:$H$73,MATCH(CV$2,'Standards for Conversions'!$A$47:$A$73,0))))</f>
        <v/>
      </c>
      <c r="DA30" s="31" t="str">
        <f>IF(CZ30/(INDEX('Standards for Conversions'!$H$47:$H$73,MATCH(CY$2,'Standards for Conversions'!$A$47:$A$73,0)))=0,"",CZ30/(INDEX('Standards for Conversions'!$H$47:$H$73,MATCH(CY$2,'Standards for Conversions'!$A$47:$A$73,0))))</f>
        <v/>
      </c>
      <c r="DE30" s="31" t="str">
        <f>IF(DD30/(INDEX('Standards for Conversions'!$H$47:$H$73,MATCH(DC$2,'Standards for Conversions'!$A$47:$A$73,0)))=0,"",DD30/(INDEX('Standards for Conversions'!$H$47:$H$73,MATCH(DC$2,'Standards for Conversions'!$A$47:$A$73,0))))</f>
        <v/>
      </c>
      <c r="DR30" s="29" t="s">
        <v>8</v>
      </c>
      <c r="DS30" s="29">
        <v>150</v>
      </c>
      <c r="DT30" s="29">
        <v>31</v>
      </c>
      <c r="DU30" s="29">
        <v>69</v>
      </c>
      <c r="DV30" s="29">
        <v>12</v>
      </c>
      <c r="DY30" s="29">
        <f>7135*20</f>
        <v>142700</v>
      </c>
    </row>
    <row r="31" spans="1:129" x14ac:dyDescent="0.3">
      <c r="A31" s="19" t="s">
        <v>76</v>
      </c>
      <c r="B31" s="10" t="s">
        <v>98</v>
      </c>
      <c r="C31" s="7"/>
      <c r="D31" s="7"/>
      <c r="E31" s="31" t="str">
        <f>IF(D31/(INDEX('Standards for Conversions'!$H$34:$H$73,MATCH(C$2,'Standards for Conversions'!$A$34:$A$73,0)))=0,"",D31/(INDEX('Standards for Conversions'!$H$34:$H$73,MATCH(C$2,'Standards for Conversions'!$A$34:$A$73,0))))</f>
        <v/>
      </c>
      <c r="F31" s="7">
        <f>1.26*5</f>
        <v>6.3</v>
      </c>
      <c r="G31" s="7">
        <v>1500</v>
      </c>
      <c r="H31" s="31">
        <f>IF(G31/(INDEX('Standards for Conversions'!$H$34:$H$73,MATCH(F$2,'Standards for Conversions'!$A$34:$A$73,0)))=0,"",G31/(INDEX('Standards for Conversions'!$H$34:$H$73,MATCH(F$2,'Standards for Conversions'!$A$34:$A$73,0))))</f>
        <v>289.00872838272352</v>
      </c>
      <c r="I31" s="10" t="s">
        <v>98</v>
      </c>
      <c r="J31" s="7"/>
      <c r="K31" s="7"/>
      <c r="L31" s="31" t="str">
        <f>IF(K31/(INDEX('Standards for Conversions'!$H$34:$H$73,MATCH(J$2,'Standards for Conversions'!$A$34:$A$73,0)))=0,"",K31/(INDEX('Standards for Conversions'!$H$34:$H$73,MATCH(J$2,'Standards for Conversions'!$A$34:$A$73,0))))</f>
        <v/>
      </c>
      <c r="M31" s="7">
        <f>1.26*8</f>
        <v>10.08</v>
      </c>
      <c r="N31" s="7">
        <v>3000</v>
      </c>
      <c r="O31" s="31">
        <f>IF(N31/(INDEX('Standards for Conversions'!$H$34:$H$73,MATCH(M$2,'Standards for Conversions'!$A$34:$A$73,0)))=0,"",N31/(INDEX('Standards for Conversions'!$H$34:$H$73,MATCH(M$2,'Standards for Conversions'!$A$34:$A$73,0))))</f>
        <v>557.05638415746932</v>
      </c>
      <c r="P31" s="10" t="s">
        <v>98</v>
      </c>
      <c r="Q31" s="7">
        <f>1.26*12</f>
        <v>15.120000000000001</v>
      </c>
      <c r="R31" s="7">
        <v>6000</v>
      </c>
      <c r="S31" s="31">
        <f>IF(R31/(INDEX('Standards for Conversions'!$H$34:$H$73,MATCH(Q$2,'Standards for Conversions'!$A$34:$A$73,0)))=0,"",R31/(INDEX('Standards for Conversions'!$H$34:$H$73,MATCH(Q$2,'Standards for Conversions'!$A$34:$A$73,0))))</f>
        <v>1068.3795189884415</v>
      </c>
      <c r="T31" s="10" t="s">
        <v>98</v>
      </c>
      <c r="U31" s="7">
        <f>1.26*10</f>
        <v>12.6</v>
      </c>
      <c r="V31" s="7">
        <v>5000</v>
      </c>
      <c r="W31" s="31">
        <f>IF(V31/(INDEX('Standards for Conversions'!$H$34:$H$73,MATCH(U$2,'Standards for Conversions'!$A$34:$A$73,0)))=0,"",V31/(INDEX('Standards for Conversions'!$H$34:$H$73,MATCH(U$2,'Standards for Conversions'!$A$34:$A$73,0))))</f>
        <v>868.0848251788766</v>
      </c>
      <c r="X31" s="10" t="s">
        <v>98</v>
      </c>
      <c r="Y31" s="7">
        <f>1.26*4</f>
        <v>5.04</v>
      </c>
      <c r="Z31" s="7">
        <v>3500</v>
      </c>
      <c r="AA31" s="31">
        <f>IF(Z31/(INDEX('Standards for Conversions'!$H$34:$H$73,MATCH(Y$2,'Standards for Conversions'!$A$34:$A$73,0)))=0,"",Z31/(INDEX('Standards for Conversions'!$H$34:$H$73,MATCH(Y$2,'Standards for Conversions'!$A$34:$A$73,0))))</f>
        <v>619.51614596912032</v>
      </c>
      <c r="AB31" s="7">
        <f>1.26*25</f>
        <v>31.5</v>
      </c>
      <c r="AC31" s="7">
        <v>12500</v>
      </c>
      <c r="AD31" s="31">
        <f>IF(AC31/(INDEX('Standards for Conversions'!$H$34:$H$73,MATCH(AB$2,'Standards for Conversions'!$A$34:$A$73,0)))=0,"",AC31/(INDEX('Standards for Conversions'!$H$34:$H$73,MATCH(AB$2,'Standards for Conversions'!$A$34:$A$73,0))))</f>
        <v>2188.7382634845458</v>
      </c>
      <c r="AE31" s="10" t="s">
        <v>98</v>
      </c>
      <c r="AF31" s="7">
        <f>1.26*20</f>
        <v>25.2</v>
      </c>
      <c r="AG31" s="7">
        <v>13000</v>
      </c>
      <c r="AH31" s="31">
        <f>IF(AG31/(INDEX('Standards for Conversions'!$H$34:$H$73,MATCH(AF$2,'Standards for Conversions'!$A$34:$A$73,0)))=0,"",AG31/(INDEX('Standards for Conversions'!$H$34:$H$73,MATCH(AF$2,'Standards for Conversions'!$A$34:$A$73,0))))</f>
        <v>2273.5353299440917</v>
      </c>
      <c r="AI31" s="10" t="s">
        <v>98</v>
      </c>
      <c r="AJ31" s="7">
        <f>1.26*18</f>
        <v>22.68</v>
      </c>
      <c r="AK31" s="7">
        <v>8000</v>
      </c>
      <c r="AL31" s="31">
        <f>IF(AK31/(INDEX('Standards for Conversions'!$H$34:$H$73,MATCH(AJ$2,'Standards for Conversions'!$A$34:$A$73,0)))=0,"",AK31/(INDEX('Standards for Conversions'!$H$34:$H$73,MATCH(AJ$2,'Standards for Conversions'!$A$34:$A$73,0))))</f>
        <v>1370.3036557457776</v>
      </c>
      <c r="AM31" s="7">
        <f>1.26*10</f>
        <v>12.6</v>
      </c>
      <c r="AN31" s="7">
        <v>5000</v>
      </c>
      <c r="AO31" s="31">
        <f>IF(AN31/(INDEX('Standards for Conversions'!$H$34:$H$73,MATCH(AM$2,'Standards for Conversions'!$A$34:$A$73,0)))=0,"",AN31/(INDEX('Standards for Conversions'!$H$34:$H$73,MATCH(AM$2,'Standards for Conversions'!$A$34:$A$73,0))))</f>
        <v>857.49842487181706</v>
      </c>
      <c r="AP31" s="7">
        <f>1.26*8</f>
        <v>10.08</v>
      </c>
      <c r="AQ31" s="7">
        <v>2000</v>
      </c>
      <c r="AR31" s="31">
        <f>IF(AQ31/(INDEX('Standards for Conversions'!$H$34:$H$73,MATCH(AP$2,'Standards for Conversions'!$A$34:$A$73,0)))=0,"",AQ31/(INDEX('Standards for Conversions'!$H$34:$H$73,MATCH(AP$2,'Standards for Conversions'!$A$34:$A$73,0))))</f>
        <v>329.02532154340832</v>
      </c>
      <c r="AS31" s="7">
        <f>1.26*5</f>
        <v>6.3</v>
      </c>
      <c r="AT31" s="7">
        <v>4000</v>
      </c>
      <c r="AU31" s="31">
        <f>IF(AT31/(INDEX('Standards for Conversions'!$H$34:$H$73,MATCH(AS$2,'Standards for Conversions'!$A$34:$A$73,0)))=0,"",AT31/(INDEX('Standards for Conversions'!$H$34:$H$73,MATCH(AS$2,'Standards for Conversions'!$A$34:$A$73,0))))</f>
        <v>614.85812983401411</v>
      </c>
      <c r="AV31" s="7">
        <f>1.26*6</f>
        <v>7.5600000000000005</v>
      </c>
      <c r="AW31" s="7">
        <v>5000</v>
      </c>
      <c r="AX31" s="31">
        <f>IF(AW31/(INDEX('Standards for Conversions'!$H$47:$H$73,MATCH(AV$2,'Standards for Conversions'!$A$47:$A$73,0)))=0,"",AW31/(INDEX('Standards for Conversions'!$H$47:$H$73,MATCH(AV$2,'Standards for Conversions'!$A$47:$A$73,0))))</f>
        <v>756.927621954752</v>
      </c>
      <c r="AY31" s="33" t="s">
        <v>98</v>
      </c>
      <c r="AZ31" s="29">
        <v>6.3</v>
      </c>
      <c r="BA31" s="29">
        <v>4000</v>
      </c>
      <c r="BB31" s="31">
        <f>IF(BA31/(INDEX('Standards for Conversions'!$H$47:$H$73,MATCH(AZ$2,'Standards for Conversions'!$A$47:$A$73,0)))=0,"",BA31/(INDEX('Standards for Conversions'!$H$47:$H$73,MATCH(AZ$2,'Standards for Conversions'!$A$47:$A$73,0))))</f>
        <v>580.98164885142387</v>
      </c>
      <c r="BC31" s="29">
        <v>12.6</v>
      </c>
      <c r="BD31" s="29">
        <v>750</v>
      </c>
      <c r="BE31" s="31">
        <f>IF(BD31/(INDEX('Standards for Conversions'!$H$47:$H$73,MATCH(BC$2,'Standards for Conversions'!$A$47:$A$73,0)))=0,"",BD31/(INDEX('Standards for Conversions'!$H$47:$H$73,MATCH(BC$2,'Standards for Conversions'!$A$47:$A$73,0))))</f>
        <v>108.45767114582428</v>
      </c>
      <c r="BF31" s="33" t="s">
        <v>98</v>
      </c>
      <c r="BG31" s="29">
        <v>10.08</v>
      </c>
      <c r="BH31" s="29">
        <v>4000</v>
      </c>
      <c r="BI31" s="31">
        <f>IF(BH31/(INDEX('Standards for Conversions'!$H$47:$H$73,MATCH(BG$2,'Standards for Conversions'!$A$47:$A$73,0)))=0,"",BH31/(INDEX('Standards for Conversions'!$H$47:$H$73,MATCH(BG$2,'Standards for Conversions'!$A$47:$A$73,0))))</f>
        <v>647.04078676747474</v>
      </c>
      <c r="BJ31" s="33" t="s">
        <v>98</v>
      </c>
      <c r="BK31" s="29">
        <v>6.3</v>
      </c>
      <c r="BL31" s="29">
        <v>2500</v>
      </c>
      <c r="BM31" s="31">
        <f>IF(BL31/(INDEX('Standards for Conversions'!$H$47:$H$73,MATCH(BK$2,'Standards for Conversions'!$A$47:$A$73,0)))=0,"",BL31/(INDEX('Standards for Conversions'!$H$47:$H$73,MATCH(BK$2,'Standards for Conversions'!$A$47:$A$73,0))))</f>
        <v>381.63973106949391</v>
      </c>
      <c r="BN31" s="29">
        <v>3.7800000000000002</v>
      </c>
      <c r="BO31" s="29">
        <v>1500</v>
      </c>
      <c r="BP31" s="31">
        <f>IF(BO31/(INDEX('Standards for Conversions'!$H$47:$H$73,MATCH(BN$2,'Standards for Conversions'!$A$47:$A$73,0)))=0,"",BO31/(INDEX('Standards for Conversions'!$H$47:$H$73,MATCH(BN$2,'Standards for Conversions'!$A$47:$A$73,0))))</f>
        <v>201.98851785869471</v>
      </c>
      <c r="BQ31" s="33" t="s">
        <v>98</v>
      </c>
      <c r="BR31" s="29">
        <v>2.52</v>
      </c>
      <c r="BS31" s="29">
        <v>1000</v>
      </c>
      <c r="BT31" s="31">
        <f>IF(BS31/(INDEX('Standards for Conversions'!$H$47:$H$73,MATCH(BR$2,'Standards for Conversions'!$A$47:$A$73,0)))=0,"",BS31/(INDEX('Standards for Conversions'!$H$47:$H$73,MATCH(BR$2,'Standards for Conversions'!$A$47:$A$73,0))))</f>
        <v>121.61656672749918</v>
      </c>
      <c r="BU31" s="33" t="s">
        <v>98</v>
      </c>
      <c r="BV31" s="7">
        <f>1*1.5</f>
        <v>1.5</v>
      </c>
      <c r="BW31" s="7">
        <v>600</v>
      </c>
      <c r="BX31" s="31">
        <f>IF(BW31/(INDEX('Standards for Conversions'!$H$47:$H$73,MATCH(BV$2,'Standards for Conversions'!$A$47:$A$73,0)))=0,"",BW31/(INDEX('Standards for Conversions'!$H$47:$H$73,MATCH(BV$2,'Standards for Conversions'!$A$47:$A$73,0))))</f>
        <v>58.818040106022416</v>
      </c>
      <c r="CA31" s="31" t="str">
        <f>IF(BZ31/(INDEX('Standards for Conversions'!$H$47:$H$73,MATCH(BY$2,'Standards for Conversions'!$A$47:$A$73,0)))=0,"",BZ31/(INDEX('Standards for Conversions'!$H$47:$H$73,MATCH(BY$2,'Standards for Conversions'!$A$47:$A$73,0))))</f>
        <v/>
      </c>
      <c r="CD31" s="31" t="str">
        <f>IF(CC31/(INDEX('Standards for Conversions'!$H$47:$H$73,MATCH(CB$2,'Standards for Conversions'!$A$47:$A$73,0)))=0,"",CC31/(INDEX('Standards for Conversions'!$H$47:$H$73,MATCH(CB$2,'Standards for Conversions'!$A$47:$A$73,0))))</f>
        <v/>
      </c>
      <c r="CH31" s="31" t="str">
        <f>IF(CG31/(INDEX('Standards for Conversions'!$H$47:$H$73,MATCH(CF$2,'Standards for Conversions'!$A$47:$A$73,0)))=0,"",CG31/(INDEX('Standards for Conversions'!$H$47:$H$73,MATCH(CF$2,'Standards for Conversions'!$A$47:$A$73,0))))</f>
        <v/>
      </c>
      <c r="CK31" s="31" t="str">
        <f>IF(CJ31/(INDEX('Standards for Conversions'!$H$47:$H$73,MATCH(CI$2,'Standards for Conversions'!$A$47:$A$73,0)))=0,"",CJ31/(INDEX('Standards for Conversions'!$H$47:$H$73,MATCH(CI$2,'Standards for Conversions'!$A$47:$A$73,0))))</f>
        <v/>
      </c>
      <c r="CN31" s="31" t="str">
        <f>IF(CM31/(INDEX('Standards for Conversions'!$H$47:$H$73,MATCH(CL$2,'Standards for Conversions'!$A$47:$A$73,0)))=0,"",CM31/(INDEX('Standards for Conversions'!$H$47:$H$73,MATCH(CL$2,'Standards for Conversions'!$A$47:$A$73,0))))</f>
        <v/>
      </c>
      <c r="CQ31" s="31" t="str">
        <f>IF(CP31/(INDEX('Standards for Conversions'!$H$47:$H$73,MATCH(CO$2,'Standards for Conversions'!$A$47:$A$73,0)))=0,"",CP31/(INDEX('Standards for Conversions'!$H$47:$H$73,MATCH(CO$2,'Standards for Conversions'!$A$47:$A$73,0))))</f>
        <v/>
      </c>
      <c r="CU31" s="31" t="str">
        <f>IF(CT31/(INDEX('Standards for Conversions'!$H$47:$H$73,MATCH(CS$2,'Standards for Conversions'!$A$47:$A$73,0)))=0,"",CT31/(INDEX('Standards for Conversions'!$H$47:$H$73,MATCH(CS$2,'Standards for Conversions'!$A$47:$A$73,0))))</f>
        <v/>
      </c>
      <c r="CX31" s="31" t="str">
        <f>IF(CW31/(INDEX('Standards for Conversions'!$H$47:$H$73,MATCH(CV$2,'Standards for Conversions'!$A$47:$A$73,0)))=0,"",CW31/(INDEX('Standards for Conversions'!$H$47:$H$73,MATCH(CV$2,'Standards for Conversions'!$A$47:$A$73,0))))</f>
        <v/>
      </c>
      <c r="DA31" s="31" t="str">
        <f>IF(CZ31/(INDEX('Standards for Conversions'!$H$47:$H$73,MATCH(CY$2,'Standards for Conversions'!$A$47:$A$73,0)))=0,"",CZ31/(INDEX('Standards for Conversions'!$H$47:$H$73,MATCH(CY$2,'Standards for Conversions'!$A$47:$A$73,0))))</f>
        <v/>
      </c>
      <c r="DE31" s="31" t="str">
        <f>IF(DD31/(INDEX('Standards for Conversions'!$H$47:$H$73,MATCH(DC$2,'Standards for Conversions'!$A$47:$A$73,0)))=0,"",DD31/(INDEX('Standards for Conversions'!$H$47:$H$73,MATCH(DC$2,'Standards for Conversions'!$A$47:$A$73,0))))</f>
        <v/>
      </c>
    </row>
    <row r="32" spans="1:129" x14ac:dyDescent="0.3">
      <c r="A32" s="19" t="s">
        <v>79</v>
      </c>
      <c r="B32" s="10" t="s">
        <v>98</v>
      </c>
      <c r="C32" s="7">
        <f>15.9*7000</f>
        <v>111300</v>
      </c>
      <c r="D32" s="7">
        <v>14000</v>
      </c>
      <c r="E32" s="31">
        <f>IF(D32/(INDEX('Standards for Conversions'!$H$34:$H$73,MATCH(C$2,'Standards for Conversions'!$A$34:$A$73,0)))=0,"",D32/(INDEX('Standards for Conversions'!$H$34:$H$73,MATCH(C$2,'Standards for Conversions'!$A$34:$A$73,0))))</f>
        <v>2765.5912162162158</v>
      </c>
      <c r="F32" s="7">
        <f>15.9*6000</f>
        <v>95400</v>
      </c>
      <c r="G32" s="7">
        <v>12000</v>
      </c>
      <c r="H32" s="31">
        <f>IF(G32/(INDEX('Standards for Conversions'!$H$34:$H$73,MATCH(F$2,'Standards for Conversions'!$A$34:$A$73,0)))=0,"",G32/(INDEX('Standards for Conversions'!$H$34:$H$73,MATCH(F$2,'Standards for Conversions'!$A$34:$A$73,0))))</f>
        <v>2312.0698270617881</v>
      </c>
      <c r="I32" s="10" t="s">
        <v>98</v>
      </c>
      <c r="J32" s="7">
        <f>15.9*5000</f>
        <v>79500</v>
      </c>
      <c r="K32" s="7">
        <v>10000</v>
      </c>
      <c r="L32" s="31">
        <f>IF(K32/(INDEX('Standards for Conversions'!$H$34:$H$73,MATCH(J$2,'Standards for Conversions'!$A$34:$A$73,0)))=0,"",K32/(INDEX('Standards for Conversions'!$H$34:$H$73,MATCH(J$2,'Standards for Conversions'!$A$34:$A$73,0))))</f>
        <v>1786.9843718316386</v>
      </c>
      <c r="M32" s="7">
        <f>15.9*5000</f>
        <v>79500</v>
      </c>
      <c r="N32" s="7">
        <v>9000</v>
      </c>
      <c r="O32" s="31">
        <f>IF(N32/(INDEX('Standards for Conversions'!$H$34:$H$73,MATCH(M$2,'Standards for Conversions'!$A$34:$A$73,0)))=0,"",N32/(INDEX('Standards for Conversions'!$H$34:$H$73,MATCH(M$2,'Standards for Conversions'!$A$34:$A$73,0))))</f>
        <v>1671.1691524724081</v>
      </c>
      <c r="P32" s="10" t="s">
        <v>98</v>
      </c>
      <c r="Q32" s="7">
        <f>15.9*6000</f>
        <v>95400</v>
      </c>
      <c r="R32" s="7">
        <v>11000</v>
      </c>
      <c r="S32" s="31">
        <f>IF(R32/(INDEX('Standards for Conversions'!$H$34:$H$73,MATCH(Q$2,'Standards for Conversions'!$A$34:$A$73,0)))=0,"",R32/(INDEX('Standards for Conversions'!$H$34:$H$73,MATCH(Q$2,'Standards for Conversions'!$A$34:$A$73,0))))</f>
        <v>1958.6957848121431</v>
      </c>
      <c r="T32" s="10" t="s">
        <v>98</v>
      </c>
      <c r="U32" s="7">
        <f>15.9*10000</f>
        <v>159000</v>
      </c>
      <c r="V32" s="7">
        <v>25000</v>
      </c>
      <c r="W32" s="31">
        <f>IF(V32/(INDEX('Standards for Conversions'!$H$34:$H$73,MATCH(U$2,'Standards for Conversions'!$A$34:$A$73,0)))=0,"",V32/(INDEX('Standards for Conversions'!$H$34:$H$73,MATCH(U$2,'Standards for Conversions'!$A$34:$A$73,0))))</f>
        <v>4340.424125894383</v>
      </c>
      <c r="X32" s="10" t="s">
        <v>98</v>
      </c>
      <c r="Y32" s="7">
        <f>15.9*10000</f>
        <v>159000</v>
      </c>
      <c r="Z32" s="7">
        <v>20000</v>
      </c>
      <c r="AA32" s="31">
        <f>IF(Z32/(INDEX('Standards for Conversions'!$H$34:$H$73,MATCH(Y$2,'Standards for Conversions'!$A$34:$A$73,0)))=0,"",Z32/(INDEX('Standards for Conversions'!$H$34:$H$73,MATCH(Y$2,'Standards for Conversions'!$A$34:$A$73,0))))</f>
        <v>3540.0922626806873</v>
      </c>
      <c r="AB32" s="7">
        <f>15.9*8000</f>
        <v>127200</v>
      </c>
      <c r="AC32" s="7">
        <v>16000</v>
      </c>
      <c r="AD32" s="31">
        <f>IF(AC32/(INDEX('Standards for Conversions'!$H$34:$H$73,MATCH(AB$2,'Standards for Conversions'!$A$34:$A$73,0)))=0,"",AC32/(INDEX('Standards for Conversions'!$H$34:$H$73,MATCH(AB$2,'Standards for Conversions'!$A$34:$A$73,0))))</f>
        <v>2801.5849772602182</v>
      </c>
      <c r="AE32" s="10" t="s">
        <v>98</v>
      </c>
      <c r="AF32" s="7">
        <f>15.9*15000</f>
        <v>238500</v>
      </c>
      <c r="AG32" s="7">
        <v>22000</v>
      </c>
      <c r="AH32" s="31">
        <f>IF(AG32/(INDEX('Standards for Conversions'!$H$34:$H$73,MATCH(AF$2,'Standards for Conversions'!$A$34:$A$73,0)))=0,"",AG32/(INDEX('Standards for Conversions'!$H$34:$H$73,MATCH(AF$2,'Standards for Conversions'!$A$34:$A$73,0))))</f>
        <v>3847.5213275976939</v>
      </c>
      <c r="AI32" s="10" t="s">
        <v>98</v>
      </c>
      <c r="AJ32" s="7">
        <f>15.9*13500</f>
        <v>214650</v>
      </c>
      <c r="AK32" s="7">
        <v>20000</v>
      </c>
      <c r="AL32" s="31">
        <f>IF(AK32/(INDEX('Standards for Conversions'!$H$34:$H$73,MATCH(AJ$2,'Standards for Conversions'!$A$34:$A$73,0)))=0,"",AK32/(INDEX('Standards for Conversions'!$H$34:$H$73,MATCH(AJ$2,'Standards for Conversions'!$A$34:$A$73,0))))</f>
        <v>3425.7591393644443</v>
      </c>
      <c r="AM32" s="7">
        <f>15.9*12000</f>
        <v>190800</v>
      </c>
      <c r="AN32" s="7">
        <v>18000</v>
      </c>
      <c r="AO32" s="31">
        <f>IF(AN32/(INDEX('Standards for Conversions'!$H$34:$H$73,MATCH(AM$2,'Standards for Conversions'!$A$34:$A$73,0)))=0,"",AN32/(INDEX('Standards for Conversions'!$H$34:$H$73,MATCH(AM$2,'Standards for Conversions'!$A$34:$A$73,0))))</f>
        <v>3086.994329538541</v>
      </c>
      <c r="AP32" s="7">
        <f>15.9*13000</f>
        <v>206700</v>
      </c>
      <c r="AQ32" s="7">
        <v>32500</v>
      </c>
      <c r="AR32" s="31">
        <f>IF(AQ32/(INDEX('Standards for Conversions'!$H$34:$H$73,MATCH(AP$2,'Standards for Conversions'!$A$34:$A$73,0)))=0,"",AQ32/(INDEX('Standards for Conversions'!$H$34:$H$73,MATCH(AP$2,'Standards for Conversions'!$A$34:$A$73,0))))</f>
        <v>5346.6614750803856</v>
      </c>
      <c r="AS32" s="7">
        <f>15.9*20000</f>
        <v>318000</v>
      </c>
      <c r="AT32" s="7">
        <v>45000</v>
      </c>
      <c r="AU32" s="31">
        <f>IF(AT32/(INDEX('Standards for Conversions'!$H$34:$H$73,MATCH(AS$2,'Standards for Conversions'!$A$34:$A$73,0)))=0,"",AT32/(INDEX('Standards for Conversions'!$H$34:$H$73,MATCH(AS$2,'Standards for Conversions'!$A$34:$A$73,0))))</f>
        <v>6917.1539606326587</v>
      </c>
      <c r="AV32" s="7">
        <f>15.9*30000</f>
        <v>477000</v>
      </c>
      <c r="AW32" s="7">
        <v>75000</v>
      </c>
      <c r="AX32" s="31">
        <f>IF(AW32/(INDEX('Standards for Conversions'!$H$47:$H$73,MATCH(AV$2,'Standards for Conversions'!$A$47:$A$73,0)))=0,"",AW32/(INDEX('Standards for Conversions'!$H$47:$H$73,MATCH(AV$2,'Standards for Conversions'!$A$47:$A$73,0))))</f>
        <v>11353.91432932128</v>
      </c>
      <c r="AY32" s="33" t="s">
        <v>98</v>
      </c>
      <c r="AZ32" s="29">
        <v>397500</v>
      </c>
      <c r="BA32" s="29">
        <v>65000</v>
      </c>
      <c r="BB32" s="31">
        <f>IF(BA32/(INDEX('Standards for Conversions'!$H$47:$H$73,MATCH(AZ$2,'Standards for Conversions'!$A$47:$A$73,0)))=0,"",BA32/(INDEX('Standards for Conversions'!$H$47:$H$73,MATCH(AZ$2,'Standards for Conversions'!$A$47:$A$73,0))))</f>
        <v>9440.9517938356366</v>
      </c>
      <c r="BC32" s="29">
        <v>477000</v>
      </c>
      <c r="BD32" s="29">
        <v>65000</v>
      </c>
      <c r="BE32" s="31">
        <f>IF(BD32/(INDEX('Standards for Conversions'!$H$47:$H$73,MATCH(BC$2,'Standards for Conversions'!$A$47:$A$73,0)))=0,"",BD32/(INDEX('Standards for Conversions'!$H$47:$H$73,MATCH(BC$2,'Standards for Conversions'!$A$47:$A$73,0))))</f>
        <v>9399.6648326381037</v>
      </c>
      <c r="BF32" s="33" t="s">
        <v>98</v>
      </c>
      <c r="BG32" s="29">
        <v>397500</v>
      </c>
      <c r="BH32" s="29">
        <v>70000</v>
      </c>
      <c r="BI32" s="31">
        <f>IF(BH32/(INDEX('Standards for Conversions'!$H$47:$H$73,MATCH(BG$2,'Standards for Conversions'!$A$47:$A$73,0)))=0,"",BH32/(INDEX('Standards for Conversions'!$H$47:$H$73,MATCH(BG$2,'Standards for Conversions'!$A$47:$A$73,0))))</f>
        <v>11323.213768430809</v>
      </c>
      <c r="BJ32" s="33" t="s">
        <v>98</v>
      </c>
      <c r="BK32" s="29">
        <v>190800</v>
      </c>
      <c r="BL32" s="29">
        <v>70000</v>
      </c>
      <c r="BM32" s="31">
        <f>IF(BL32/(INDEX('Standards for Conversions'!$H$47:$H$73,MATCH(BK$2,'Standards for Conversions'!$A$47:$A$73,0)))=0,"",BL32/(INDEX('Standards for Conversions'!$H$47:$H$73,MATCH(BK$2,'Standards for Conversions'!$A$47:$A$73,0))))</f>
        <v>10685.91246994583</v>
      </c>
      <c r="BN32" s="29">
        <v>206700</v>
      </c>
      <c r="BO32" s="29">
        <v>45000</v>
      </c>
      <c r="BP32" s="31">
        <f>IF(BO32/(INDEX('Standards for Conversions'!$H$47:$H$73,MATCH(BN$2,'Standards for Conversions'!$A$47:$A$73,0)))=0,"",BO32/(INDEX('Standards for Conversions'!$H$47:$H$73,MATCH(BN$2,'Standards for Conversions'!$A$47:$A$73,0))))</f>
        <v>6059.6555357608404</v>
      </c>
      <c r="BQ32" s="33" t="s">
        <v>98</v>
      </c>
      <c r="BR32" s="29">
        <v>393600</v>
      </c>
      <c r="BS32" s="29">
        <v>50000</v>
      </c>
      <c r="BT32" s="31">
        <f>IF(BS32/(INDEX('Standards for Conversions'!$H$47:$H$73,MATCH(BR$2,'Standards for Conversions'!$A$47:$A$73,0)))=0,"",BS32/(INDEX('Standards for Conversions'!$H$47:$H$73,MATCH(BR$2,'Standards for Conversions'!$A$47:$A$73,0))))</f>
        <v>6080.8283363749588</v>
      </c>
      <c r="BU32" s="33" t="s">
        <v>98</v>
      </c>
      <c r="BV32" s="29">
        <f>(20000+1500+1000)*20</f>
        <v>450000</v>
      </c>
      <c r="BW32" s="29">
        <f>40000+3000+2000</f>
        <v>45000</v>
      </c>
      <c r="BX32" s="31">
        <f>IF(BW32/(INDEX('Standards for Conversions'!$H$47:$H$73,MATCH(BV$2,'Standards for Conversions'!$A$47:$A$73,0)))=0,"",BW32/(INDEX('Standards for Conversions'!$H$47:$H$73,MATCH(BV$2,'Standards for Conversions'!$A$47:$A$73,0))))</f>
        <v>4411.3530079516813</v>
      </c>
      <c r="BY32" s="29">
        <f>(18000+1250+750)*20</f>
        <v>400000</v>
      </c>
      <c r="BZ32" s="29">
        <f>36000+2500+1500</f>
        <v>40000</v>
      </c>
      <c r="CA32" s="31">
        <f>IF(BZ32/(INDEX('Standards for Conversions'!$H$47:$H$73,MATCH(BY$2,'Standards for Conversions'!$A$47:$A$73,0)))=0,"",BZ32/(INDEX('Standards for Conversions'!$H$47:$H$73,MATCH(BY$2,'Standards for Conversions'!$A$47:$A$73,0))))</f>
        <v>4039.770357173893</v>
      </c>
      <c r="CB32" s="29">
        <f>(16000+1250+350)*20</f>
        <v>352000</v>
      </c>
      <c r="CC32" s="29">
        <f>50000+3500+1000</f>
        <v>54500</v>
      </c>
      <c r="CD32" s="31">
        <f>IF(CC32/(INDEX('Standards for Conversions'!$H$47:$H$73,MATCH(CB$2,'Standards for Conversions'!$A$47:$A$73,0)))=0,"",CC32/(INDEX('Standards for Conversions'!$H$47:$H$73,MATCH(CB$2,'Standards for Conversions'!$A$47:$A$73,0))))</f>
        <v>5688.8139330045469</v>
      </c>
      <c r="CE32" s="33" t="s">
        <v>98</v>
      </c>
      <c r="CF32" s="29">
        <f>(5000+500+200)*20</f>
        <v>114000</v>
      </c>
      <c r="CG32" s="29">
        <f>20000+2000+800</f>
        <v>22800</v>
      </c>
      <c r="CH32" s="31">
        <f>IF(CG32/(INDEX('Standards for Conversions'!$H$47:$H$73,MATCH(CF$2,'Standards for Conversions'!$A$47:$A$73,0)))=0,"",CG32/(INDEX('Standards for Conversions'!$H$47:$H$73,MATCH(CF$2,'Standards for Conversions'!$A$47:$A$73,0))))</f>
        <v>2128.8827561484309</v>
      </c>
      <c r="CI32" s="29">
        <f>(4000+400+150)*20</f>
        <v>91000</v>
      </c>
      <c r="CJ32" s="29">
        <f>16000+1600+600</f>
        <v>18200</v>
      </c>
      <c r="CK32" s="31">
        <f>IF(CJ32/(INDEX('Standards for Conversions'!$H$47:$H$73,MATCH(CI$2,'Standards for Conversions'!$A$47:$A$73,0)))=0,"",CJ32/(INDEX('Standards for Conversions'!$H$47:$H$73,MATCH(CI$2,'Standards for Conversions'!$A$47:$A$73,0))))</f>
        <v>1660.8368257727177</v>
      </c>
      <c r="CL32" s="29">
        <f>(3200+300+150)*20</f>
        <v>73000</v>
      </c>
      <c r="CM32" s="29">
        <f>12000+1100+500</f>
        <v>13600</v>
      </c>
      <c r="CN32" s="31">
        <f>IF(CM32/(INDEX('Standards for Conversions'!$H$47:$H$73,MATCH(CL$2,'Standards for Conversions'!$A$47:$A$73,0)))=0,"",CM32/(INDEX('Standards for Conversions'!$H$47:$H$73,MATCH(CL$2,'Standards for Conversions'!$A$47:$A$73,0))))</f>
        <v>1264.100887865357</v>
      </c>
      <c r="CP32" s="29">
        <f>1400+400+224</f>
        <v>2024</v>
      </c>
      <c r="CQ32" s="31">
        <f>IF(CP32/(INDEX('Standards for Conversions'!$H$47:$H$73,MATCH(CO$2,'Standards for Conversions'!$A$47:$A$73,0)))=0,"",CP32/(INDEX('Standards for Conversions'!$H$47:$H$73,MATCH(CO$2,'Standards for Conversions'!$A$47:$A$73,0))))</f>
        <v>194.12748044668461</v>
      </c>
      <c r="CR32" s="33" t="s">
        <v>98</v>
      </c>
      <c r="CS32" s="29">
        <f>(325+250)*20</f>
        <v>11500</v>
      </c>
      <c r="CT32" s="29">
        <f>1450+1300</f>
        <v>2750</v>
      </c>
      <c r="CU32" s="31">
        <f>IF(CT32/(INDEX('Standards for Conversions'!$H$47:$H$73,MATCH(CS$2,'Standards for Conversions'!$A$47:$A$73,0)))=0,"",CT32/(INDEX('Standards for Conversions'!$H$47:$H$73,MATCH(CS$2,'Standards for Conversions'!$A$47:$A$73,0))))</f>
        <v>253.2796273463978</v>
      </c>
      <c r="CV32" s="29">
        <f>(531+361+78)*20</f>
        <v>19400</v>
      </c>
      <c r="CW32" s="29">
        <f>2720+1440+310</f>
        <v>4470</v>
      </c>
      <c r="CX32" s="31">
        <f>IF(CW32/(INDEX('Standards for Conversions'!$H$47:$H$73,MATCH(CV$2,'Standards for Conversions'!$A$47:$A$73,0)))=0,"",CW32/(INDEX('Standards for Conversions'!$H$47:$H$73,MATCH(CV$2,'Standards for Conversions'!$A$47:$A$73,0))))</f>
        <v>364.37331216867983</v>
      </c>
      <c r="CY32" s="29">
        <f>(450+80+50)*20</f>
        <v>11600</v>
      </c>
      <c r="CZ32" s="29">
        <f>2200+310+200</f>
        <v>2710</v>
      </c>
      <c r="DA32" s="31">
        <f>IF(CZ32/(INDEX('Standards for Conversions'!$H$47:$H$73,MATCH(CY$2,'Standards for Conversions'!$A$47:$A$73,0)))=0,"",CZ32/(INDEX('Standards for Conversions'!$H$47:$H$73,MATCH(CY$2,'Standards for Conversions'!$A$47:$A$73,0))))</f>
        <v>227.2180270704788</v>
      </c>
      <c r="DB32" s="29" t="s">
        <v>98</v>
      </c>
      <c r="DC32" s="29">
        <f>625*20</f>
        <v>12500</v>
      </c>
      <c r="DD32" s="29">
        <f>5000+1000+200</f>
        <v>6200</v>
      </c>
      <c r="DE32" s="31">
        <f>IF(DD32/(INDEX('Standards for Conversions'!$H$47:$H$73,MATCH(DC$2,'Standards for Conversions'!$A$47:$A$73,0)))=0,"",DD32/(INDEX('Standards for Conversions'!$H$47:$H$73,MATCH(DC$2,'Standards for Conversions'!$A$47:$A$73,0))))</f>
        <v>554.62151208684566</v>
      </c>
      <c r="DF32" s="33" t="s">
        <v>98</v>
      </c>
      <c r="DG32" s="29">
        <f>680*20</f>
        <v>13600</v>
      </c>
      <c r="DH32" s="29">
        <v>350</v>
      </c>
      <c r="DI32" s="29">
        <f>850*20</f>
        <v>17000</v>
      </c>
      <c r="DJ32" s="29">
        <v>635</v>
      </c>
      <c r="DK32" s="29">
        <f>750*20</f>
        <v>15000</v>
      </c>
      <c r="DL32" s="29">
        <v>500</v>
      </c>
      <c r="DM32" s="29" t="s">
        <v>98</v>
      </c>
      <c r="DN32" s="29">
        <f>885*20</f>
        <v>17700</v>
      </c>
      <c r="DO32" s="29">
        <v>590</v>
      </c>
      <c r="DP32" s="33">
        <f>852*20</f>
        <v>17040</v>
      </c>
      <c r="DQ32" s="33">
        <v>568</v>
      </c>
    </row>
    <row r="33" spans="1:126" x14ac:dyDescent="0.3">
      <c r="A33" s="19" t="s">
        <v>70</v>
      </c>
      <c r="B33" s="10" t="s">
        <v>98</v>
      </c>
      <c r="C33" s="7">
        <f>1.75*600</f>
        <v>1050</v>
      </c>
      <c r="D33" s="7">
        <v>5000</v>
      </c>
      <c r="E33" s="31">
        <f>IF(D33/(INDEX('Standards for Conversions'!$H$34:$H$73,MATCH(C$2,'Standards for Conversions'!$A$34:$A$73,0)))=0,"",D33/(INDEX('Standards for Conversions'!$H$34:$H$73,MATCH(C$2,'Standards for Conversions'!$A$34:$A$73,0))))</f>
        <v>987.71114864864853</v>
      </c>
      <c r="F33" s="7">
        <f>1.75*1000</f>
        <v>1750</v>
      </c>
      <c r="G33" s="7">
        <v>10000</v>
      </c>
      <c r="H33" s="31">
        <f>IF(G33/(INDEX('Standards for Conversions'!$H$34:$H$73,MATCH(F$2,'Standards for Conversions'!$A$34:$A$73,0)))=0,"",G33/(INDEX('Standards for Conversions'!$H$34:$H$73,MATCH(F$2,'Standards for Conversions'!$A$34:$A$73,0))))</f>
        <v>1926.7248558848235</v>
      </c>
      <c r="I33" s="10" t="s">
        <v>98</v>
      </c>
      <c r="J33" s="7">
        <f>1.75*1200</f>
        <v>2100</v>
      </c>
      <c r="K33" s="7">
        <v>12000</v>
      </c>
      <c r="L33" s="31">
        <f>IF(K33/(INDEX('Standards for Conversions'!$H$34:$H$73,MATCH(J$2,'Standards for Conversions'!$A$34:$A$73,0)))=0,"",K33/(INDEX('Standards for Conversions'!$H$34:$H$73,MATCH(J$2,'Standards for Conversions'!$A$34:$A$73,0))))</f>
        <v>2144.381246197966</v>
      </c>
      <c r="M33" s="7">
        <f>1.75*1200</f>
        <v>2100</v>
      </c>
      <c r="N33" s="7">
        <v>12000</v>
      </c>
      <c r="O33" s="31">
        <f>IF(N33/(INDEX('Standards for Conversions'!$H$34:$H$73,MATCH(M$2,'Standards for Conversions'!$A$34:$A$73,0)))=0,"",N33/(INDEX('Standards for Conversions'!$H$34:$H$73,MATCH(M$2,'Standards for Conversions'!$A$34:$A$73,0))))</f>
        <v>2228.2255366298773</v>
      </c>
      <c r="P33" s="10" t="s">
        <v>98</v>
      </c>
      <c r="Q33" s="7">
        <f>1.75*1300</f>
        <v>2275</v>
      </c>
      <c r="R33" s="7">
        <v>13000</v>
      </c>
      <c r="S33" s="31">
        <f>IF(R33/(INDEX('Standards for Conversions'!$H$34:$H$73,MATCH(Q$2,'Standards for Conversions'!$A$34:$A$73,0)))=0,"",R33/(INDEX('Standards for Conversions'!$H$34:$H$73,MATCH(Q$2,'Standards for Conversions'!$A$34:$A$73,0))))</f>
        <v>2314.8222911416237</v>
      </c>
      <c r="T33" s="10" t="s">
        <v>98</v>
      </c>
      <c r="U33" s="7">
        <f>1.75*1000</f>
        <v>1750</v>
      </c>
      <c r="V33" s="7">
        <v>11000</v>
      </c>
      <c r="W33" s="31">
        <f>IF(V33/(INDEX('Standards for Conversions'!$H$34:$H$73,MATCH(U$2,'Standards for Conversions'!$A$34:$A$73,0)))=0,"",V33/(INDEX('Standards for Conversions'!$H$34:$H$73,MATCH(U$2,'Standards for Conversions'!$A$34:$A$73,0))))</f>
        <v>1909.7866153935286</v>
      </c>
      <c r="X33" s="10" t="s">
        <v>98</v>
      </c>
      <c r="Y33" s="7">
        <f>1.75*1000</f>
        <v>1750</v>
      </c>
      <c r="Z33" s="7">
        <v>18000</v>
      </c>
      <c r="AA33" s="31">
        <f>IF(Z33/(INDEX('Standards for Conversions'!$H$34:$H$73,MATCH(Y$2,'Standards for Conversions'!$A$34:$A$73,0)))=0,"",Z33/(INDEX('Standards for Conversions'!$H$34:$H$73,MATCH(Y$2,'Standards for Conversions'!$A$34:$A$73,0))))</f>
        <v>3186.0830364126186</v>
      </c>
      <c r="AB33" s="7">
        <f>1.75*1000</f>
        <v>1750</v>
      </c>
      <c r="AC33" s="7">
        <v>18000</v>
      </c>
      <c r="AD33" s="31">
        <f>IF(AC33/(INDEX('Standards for Conversions'!$H$34:$H$73,MATCH(AB$2,'Standards for Conversions'!$A$34:$A$73,0)))=0,"",AC33/(INDEX('Standards for Conversions'!$H$34:$H$73,MATCH(AB$2,'Standards for Conversions'!$A$34:$A$73,0))))</f>
        <v>3151.7830994177457</v>
      </c>
      <c r="AE33" s="10" t="s">
        <v>98</v>
      </c>
      <c r="AF33" s="7">
        <f>1.75*3000</f>
        <v>5250</v>
      </c>
      <c r="AG33" s="7">
        <v>30000</v>
      </c>
      <c r="AH33" s="31">
        <f>IF(AG33/(INDEX('Standards for Conversions'!$H$34:$H$73,MATCH(AF$2,'Standards for Conversions'!$A$34:$A$73,0)))=0,"",AG33/(INDEX('Standards for Conversions'!$H$34:$H$73,MATCH(AF$2,'Standards for Conversions'!$A$34:$A$73,0))))</f>
        <v>5246.6199921786729</v>
      </c>
      <c r="AI33" s="10" t="s">
        <v>98</v>
      </c>
      <c r="AJ33" s="7">
        <f>1.75*652</f>
        <v>1141</v>
      </c>
      <c r="AK33" s="7">
        <v>10900</v>
      </c>
      <c r="AL33" s="31">
        <f>IF(AK33/(INDEX('Standards for Conversions'!$H$34:$H$73,MATCH(AJ$2,'Standards for Conversions'!$A$34:$A$73,0)))=0,"",AK33/(INDEX('Standards for Conversions'!$H$34:$H$73,MATCH(AJ$2,'Standards for Conversions'!$A$34:$A$73,0))))</f>
        <v>1867.0387309536222</v>
      </c>
      <c r="AM33" s="7">
        <f>1.75*1025</f>
        <v>1793.75</v>
      </c>
      <c r="AN33" s="7">
        <v>8000</v>
      </c>
      <c r="AO33" s="31">
        <f>IF(AN33/(INDEX('Standards for Conversions'!$H$34:$H$73,MATCH(AM$2,'Standards for Conversions'!$A$34:$A$73,0)))=0,"",AN33/(INDEX('Standards for Conversions'!$H$34:$H$73,MATCH(AM$2,'Standards for Conversions'!$A$34:$A$73,0))))</f>
        <v>1371.9974797949071</v>
      </c>
      <c r="AP33" s="7">
        <f>1.75*750</f>
        <v>1312.5</v>
      </c>
      <c r="AQ33" s="7">
        <v>6000</v>
      </c>
      <c r="AR33" s="31">
        <f>IF(AQ33/(INDEX('Standards for Conversions'!$H$34:$H$73,MATCH(AP$2,'Standards for Conversions'!$A$34:$A$73,0)))=0,"",AQ33/(INDEX('Standards for Conversions'!$H$34:$H$73,MATCH(AP$2,'Standards for Conversions'!$A$34:$A$73,0))))</f>
        <v>987.07596463022503</v>
      </c>
      <c r="AS33" s="7">
        <f>1.75*800</f>
        <v>1400</v>
      </c>
      <c r="AT33" s="7">
        <v>6500</v>
      </c>
      <c r="AU33" s="31">
        <f>IF(AT33/(INDEX('Standards for Conversions'!$H$34:$H$73,MATCH(AS$2,'Standards for Conversions'!$A$34:$A$73,0)))=0,"",AT33/(INDEX('Standards for Conversions'!$H$34:$H$73,MATCH(AS$2,'Standards for Conversions'!$A$34:$A$73,0))))</f>
        <v>999.14446098027292</v>
      </c>
      <c r="AV33" s="7">
        <f>1.75*750</f>
        <v>1312.5</v>
      </c>
      <c r="AW33" s="7">
        <v>6000</v>
      </c>
      <c r="AX33" s="31">
        <f>IF(AW33/(INDEX('Standards for Conversions'!$H$47:$H$73,MATCH(AV$2,'Standards for Conversions'!$A$47:$A$73,0)))=0,"",AW33/(INDEX('Standards for Conversions'!$H$47:$H$73,MATCH(AV$2,'Standards for Conversions'!$A$47:$A$73,0))))</f>
        <v>908.31314634570242</v>
      </c>
      <c r="AY33" s="33" t="s">
        <v>98</v>
      </c>
      <c r="AZ33" s="29">
        <v>875</v>
      </c>
      <c r="BA33" s="29">
        <v>4000</v>
      </c>
      <c r="BB33" s="31">
        <f>IF(BA33/(INDEX('Standards for Conversions'!$H$47:$H$73,MATCH(AZ$2,'Standards for Conversions'!$A$47:$A$73,0)))=0,"",BA33/(INDEX('Standards for Conversions'!$H$47:$H$73,MATCH(AZ$2,'Standards for Conversions'!$A$47:$A$73,0))))</f>
        <v>580.98164885142387</v>
      </c>
      <c r="BC33" s="29">
        <v>525</v>
      </c>
      <c r="BD33" s="29">
        <v>3000</v>
      </c>
      <c r="BE33" s="31">
        <f>IF(BD33/(INDEX('Standards for Conversions'!$H$47:$H$73,MATCH(BC$2,'Standards for Conversions'!$A$47:$A$73,0)))=0,"",BD33/(INDEX('Standards for Conversions'!$H$47:$H$73,MATCH(BC$2,'Standards for Conversions'!$A$47:$A$73,0))))</f>
        <v>433.83068458329711</v>
      </c>
      <c r="BF33" s="33" t="s">
        <v>98</v>
      </c>
      <c r="BG33" s="29">
        <v>700</v>
      </c>
      <c r="BH33" s="29">
        <v>3500</v>
      </c>
      <c r="BI33" s="31">
        <f>IF(BH33/(INDEX('Standards for Conversions'!$H$47:$H$73,MATCH(BG$2,'Standards for Conversions'!$A$47:$A$73,0)))=0,"",BH33/(INDEX('Standards for Conversions'!$H$47:$H$73,MATCH(BG$2,'Standards for Conversions'!$A$47:$A$73,0))))</f>
        <v>566.16068842154039</v>
      </c>
      <c r="BJ33" s="33" t="s">
        <v>98</v>
      </c>
      <c r="BK33" s="29">
        <v>525</v>
      </c>
      <c r="BL33" s="29">
        <v>3000</v>
      </c>
      <c r="BM33" s="31">
        <f>IF(BL33/(INDEX('Standards for Conversions'!$H$47:$H$73,MATCH(BK$2,'Standards for Conversions'!$A$47:$A$73,0)))=0,"",BL33/(INDEX('Standards for Conversions'!$H$47:$H$73,MATCH(BK$2,'Standards for Conversions'!$A$47:$A$73,0))))</f>
        <v>457.96767728339267</v>
      </c>
      <c r="BN33" s="29">
        <v>437.5</v>
      </c>
      <c r="BO33" s="29">
        <v>2500</v>
      </c>
      <c r="BP33" s="31">
        <f>IF(BO33/(INDEX('Standards for Conversions'!$H$47:$H$73,MATCH(BN$2,'Standards for Conversions'!$A$47:$A$73,0)))=0,"",BO33/(INDEX('Standards for Conversions'!$H$47:$H$73,MATCH(BN$2,'Standards for Conversions'!$A$47:$A$73,0))))</f>
        <v>336.64752976449114</v>
      </c>
      <c r="BQ33" s="33" t="s">
        <v>98</v>
      </c>
      <c r="BR33" s="29">
        <v>525</v>
      </c>
      <c r="BS33" s="29">
        <v>3300</v>
      </c>
      <c r="BT33" s="31">
        <f>IF(BS33/(INDEX('Standards for Conversions'!$H$47:$H$73,MATCH(BR$2,'Standards for Conversions'!$A$47:$A$73,0)))=0,"",BS33/(INDEX('Standards for Conversions'!$H$47:$H$73,MATCH(BR$2,'Standards for Conversions'!$A$47:$A$73,0))))</f>
        <v>401.33467020074727</v>
      </c>
      <c r="BU33" s="33" t="s">
        <v>98</v>
      </c>
      <c r="BV33" s="7">
        <f>250*1.75</f>
        <v>437.5</v>
      </c>
      <c r="BW33" s="7">
        <v>3000</v>
      </c>
      <c r="BX33" s="31">
        <f>IF(BW33/(INDEX('Standards for Conversions'!$H$47:$H$73,MATCH(BV$2,'Standards for Conversions'!$A$47:$A$73,0)))=0,"",BW33/(INDEX('Standards for Conversions'!$H$47:$H$73,MATCH(BV$2,'Standards for Conversions'!$A$47:$A$73,0))))</f>
        <v>294.0902005301121</v>
      </c>
      <c r="CA33" s="31" t="str">
        <f>IF(BZ33/(INDEX('Standards for Conversions'!$H$47:$H$73,MATCH(BY$2,'Standards for Conversions'!$A$47:$A$73,0)))=0,"",BZ33/(INDEX('Standards for Conversions'!$H$47:$H$73,MATCH(BY$2,'Standards for Conversions'!$A$47:$A$73,0))))</f>
        <v/>
      </c>
      <c r="CD33" s="31" t="str">
        <f>IF(CC33/(INDEX('Standards for Conversions'!$H$47:$H$73,MATCH(CB$2,'Standards for Conversions'!$A$47:$A$73,0)))=0,"",CC33/(INDEX('Standards for Conversions'!$H$47:$H$73,MATCH(CB$2,'Standards for Conversions'!$A$47:$A$73,0))))</f>
        <v/>
      </c>
      <c r="CH33" s="31" t="str">
        <f>IF(CG33/(INDEX('Standards for Conversions'!$H$47:$H$73,MATCH(CF$2,'Standards for Conversions'!$A$47:$A$73,0)))=0,"",CG33/(INDEX('Standards for Conversions'!$H$47:$H$73,MATCH(CF$2,'Standards for Conversions'!$A$47:$A$73,0))))</f>
        <v/>
      </c>
      <c r="CK33" s="31" t="str">
        <f>IF(CJ33/(INDEX('Standards for Conversions'!$H$47:$H$73,MATCH(CI$2,'Standards for Conversions'!$A$47:$A$73,0)))=0,"",CJ33/(INDEX('Standards for Conversions'!$H$47:$H$73,MATCH(CI$2,'Standards for Conversions'!$A$47:$A$73,0))))</f>
        <v/>
      </c>
      <c r="CN33" s="31" t="str">
        <f>IF(CM33/(INDEX('Standards for Conversions'!$H$47:$H$73,MATCH(CL$2,'Standards for Conversions'!$A$47:$A$73,0)))=0,"",CM33/(INDEX('Standards for Conversions'!$H$47:$H$73,MATCH(CL$2,'Standards for Conversions'!$A$47:$A$73,0))))</f>
        <v/>
      </c>
      <c r="CQ33" s="31" t="str">
        <f>IF(CP33/(INDEX('Standards for Conversions'!$H$47:$H$73,MATCH(CO$2,'Standards for Conversions'!$A$47:$A$73,0)))=0,"",CP33/(INDEX('Standards for Conversions'!$H$47:$H$73,MATCH(CO$2,'Standards for Conversions'!$A$47:$A$73,0))))</f>
        <v/>
      </c>
      <c r="CU33" s="31" t="str">
        <f>IF(CT33/(INDEX('Standards for Conversions'!$H$47:$H$73,MATCH(CS$2,'Standards for Conversions'!$A$47:$A$73,0)))=0,"",CT33/(INDEX('Standards for Conversions'!$H$47:$H$73,MATCH(CS$2,'Standards for Conversions'!$A$47:$A$73,0))))</f>
        <v/>
      </c>
      <c r="CX33" s="31" t="str">
        <f>IF(CW33/(INDEX('Standards for Conversions'!$H$47:$H$73,MATCH(CV$2,'Standards for Conversions'!$A$47:$A$73,0)))=0,"",CW33/(INDEX('Standards for Conversions'!$H$47:$H$73,MATCH(CV$2,'Standards for Conversions'!$A$47:$A$73,0))))</f>
        <v/>
      </c>
      <c r="DA33" s="31" t="str">
        <f>IF(CZ33/(INDEX('Standards for Conversions'!$H$47:$H$73,MATCH(CY$2,'Standards for Conversions'!$A$47:$A$73,0)))=0,"",CZ33/(INDEX('Standards for Conversions'!$H$47:$H$73,MATCH(CY$2,'Standards for Conversions'!$A$47:$A$73,0))))</f>
        <v/>
      </c>
      <c r="DE33" s="31" t="str">
        <f>IF(DD33/(INDEX('Standards for Conversions'!$H$47:$H$73,MATCH(DC$2,'Standards for Conversions'!$A$47:$A$73,0)))=0,"",DD33/(INDEX('Standards for Conversions'!$H$47:$H$73,MATCH(DC$2,'Standards for Conversions'!$A$47:$A$73,0))))</f>
        <v/>
      </c>
    </row>
    <row r="34" spans="1:126" hidden="1" x14ac:dyDescent="0.3">
      <c r="A34" t="s">
        <v>143</v>
      </c>
      <c r="C34" s="7"/>
      <c r="D34" s="7"/>
      <c r="E34" s="31" t="str">
        <f>IF(D34/(INDEX('Standards for Conversions'!$H$34:$H$73,MATCH(C$2,'Standards for Conversions'!$A$34:$A$73,0)))=0,"",D34/(INDEX('Standards for Conversions'!$H$34:$H$73,MATCH(C$2,'Standards for Conversions'!$A$34:$A$73,0))))</f>
        <v/>
      </c>
      <c r="F34" s="7"/>
      <c r="G34" s="7"/>
      <c r="H34" s="31" t="str">
        <f>IF(G34/(INDEX('Standards for Conversions'!$H$34:$H$73,MATCH(F$2,'Standards for Conversions'!$A$34:$A$73,0)))=0,"",G34/(INDEX('Standards for Conversions'!$H$34:$H$73,MATCH(F$2,'Standards for Conversions'!$A$34:$A$73,0))))</f>
        <v/>
      </c>
      <c r="J34" s="7"/>
      <c r="K34" s="7"/>
      <c r="L34" s="31" t="str">
        <f>IF(K34/(INDEX('Standards for Conversions'!$H$34:$H$73,MATCH(J$2,'Standards for Conversions'!$A$34:$A$73,0)))=0,"",K34/(INDEX('Standards for Conversions'!$H$34:$H$73,MATCH(J$2,'Standards for Conversions'!$A$34:$A$73,0))))</f>
        <v/>
      </c>
      <c r="M34" s="7"/>
      <c r="N34" s="7"/>
      <c r="O34" s="31" t="str">
        <f>IF(N34/(INDEX('Standards for Conversions'!$H$34:$H$73,MATCH(M$2,'Standards for Conversions'!$A$34:$A$73,0)))=0,"",N34/(INDEX('Standards for Conversions'!$H$34:$H$73,MATCH(M$2,'Standards for Conversions'!$A$34:$A$73,0))))</f>
        <v/>
      </c>
      <c r="Q34" s="7"/>
      <c r="R34" s="7"/>
      <c r="S34" s="31" t="str">
        <f>IF(R34/(INDEX('Standards for Conversions'!$H$34:$H$73,MATCH(Q$2,'Standards for Conversions'!$A$34:$A$73,0)))=0,"",R34/(INDEX('Standards for Conversions'!$H$34:$H$73,MATCH(Q$2,'Standards for Conversions'!$A$34:$A$73,0))))</f>
        <v/>
      </c>
      <c r="U34" s="7"/>
      <c r="V34" s="7"/>
      <c r="W34" s="31" t="str">
        <f>IF(V34/(INDEX('Standards for Conversions'!$H$34:$H$73,MATCH(U$2,'Standards for Conversions'!$A$34:$A$73,0)))=0,"",V34/(INDEX('Standards for Conversions'!$H$34:$H$73,MATCH(U$2,'Standards for Conversions'!$A$34:$A$73,0))))</f>
        <v/>
      </c>
      <c r="Y34" s="7"/>
      <c r="Z34" s="7"/>
      <c r="AA34" s="31" t="str">
        <f>IF(Z34/(INDEX('Standards for Conversions'!$H$34:$H$73,MATCH(Y$2,'Standards for Conversions'!$A$34:$A$73,0)))=0,"",Z34/(INDEX('Standards for Conversions'!$H$34:$H$73,MATCH(Y$2,'Standards for Conversions'!$A$34:$A$73,0))))</f>
        <v/>
      </c>
      <c r="AB34" s="7"/>
      <c r="AC34" s="7"/>
      <c r="AD34" s="31" t="str">
        <f>IF(AC34/(INDEX('Standards for Conversions'!$H$34:$H$73,MATCH(AB$2,'Standards for Conversions'!$A$34:$A$73,0)))=0,"",AC34/(INDEX('Standards for Conversions'!$H$34:$H$73,MATCH(AB$2,'Standards for Conversions'!$A$34:$A$73,0))))</f>
        <v/>
      </c>
      <c r="AF34" s="7"/>
      <c r="AG34" s="7"/>
      <c r="AH34" s="31" t="str">
        <f>IF(AG34/(INDEX('Standards for Conversions'!$H$34:$H$73,MATCH(AF$2,'Standards for Conversions'!$A$34:$A$73,0)))=0,"",AG34/(INDEX('Standards for Conversions'!$H$34:$H$73,MATCH(AF$2,'Standards for Conversions'!$A$34:$A$73,0))))</f>
        <v/>
      </c>
      <c r="AJ34" s="7"/>
      <c r="AK34" s="7"/>
      <c r="AL34" s="31" t="str">
        <f>IF(AK34/(INDEX('Standards for Conversions'!$H$34:$H$73,MATCH(AJ$2,'Standards for Conversions'!$A$34:$A$73,0)))=0,"",AK34/(INDEX('Standards for Conversions'!$H$34:$H$73,MATCH(AJ$2,'Standards for Conversions'!$A$34:$A$73,0))))</f>
        <v/>
      </c>
      <c r="AM34" s="7"/>
      <c r="AN34" s="7"/>
      <c r="AO34" s="31" t="str">
        <f>IF(AN34/(INDEX('Standards for Conversions'!$H$34:$H$73,MATCH(AM$2,'Standards for Conversions'!$A$34:$A$73,0)))=0,"",AN34/(INDEX('Standards for Conversions'!$H$34:$H$73,MATCH(AM$2,'Standards for Conversions'!$A$34:$A$73,0))))</f>
        <v/>
      </c>
      <c r="AP34" s="7"/>
      <c r="AQ34" s="7"/>
      <c r="AR34" s="31" t="str">
        <f>IF(AQ34/(INDEX('Standards for Conversions'!$H$34:$H$73,MATCH(AP$2,'Standards for Conversions'!$A$34:$A$73,0)))=0,"",AQ34/(INDEX('Standards for Conversions'!$H$34:$H$73,MATCH(AP$2,'Standards for Conversions'!$A$34:$A$73,0))))</f>
        <v/>
      </c>
      <c r="AS34" s="7"/>
      <c r="AT34" s="7"/>
      <c r="AU34" s="31" t="str">
        <f>IF(AT34/(INDEX('Standards for Conversions'!$H$34:$H$73,MATCH(AS$2,'Standards for Conversions'!$A$34:$A$73,0)))=0,"",AT34/(INDEX('Standards for Conversions'!$H$34:$H$73,MATCH(AS$2,'Standards for Conversions'!$A$34:$A$73,0))))</f>
        <v/>
      </c>
      <c r="AV34" s="7"/>
      <c r="AW34" s="7"/>
      <c r="AX34" s="31" t="str">
        <f>IF(AW34/(INDEX('Standards for Conversions'!$H$47:$H$73,MATCH(AV$2,'Standards for Conversions'!$A$47:$A$73,0)))=0,"",AW34/(INDEX('Standards for Conversions'!$H$47:$H$73,MATCH(AV$2,'Standards for Conversions'!$A$47:$A$73,0))))</f>
        <v/>
      </c>
      <c r="BB34" s="31" t="str">
        <f>IF(BA34/(INDEX('Standards for Conversions'!$H$47:$H$73,MATCH(AZ$2,'Standards for Conversions'!$A$47:$A$73,0)))=0,"",BA34/(INDEX('Standards for Conversions'!$H$47:$H$73,MATCH(AZ$2,'Standards for Conversions'!$A$47:$A$73,0))))</f>
        <v/>
      </c>
      <c r="BE34" s="31" t="str">
        <f>IF(BD34/(INDEX('Standards for Conversions'!$H$47:$H$73,MATCH(BC$2,'Standards for Conversions'!$A$47:$A$73,0)))=0,"",BD34/(INDEX('Standards for Conversions'!$H$47:$H$73,MATCH(BC$2,'Standards for Conversions'!$A$47:$A$73,0))))</f>
        <v/>
      </c>
      <c r="BF34" s="33"/>
      <c r="BI34" s="31" t="str">
        <f>IF(BH34/(INDEX('Standards for Conversions'!$H$47:$H$73,MATCH(BG$2,'Standards for Conversions'!$A$47:$A$73,0)))=0,"",BH34/(INDEX('Standards for Conversions'!$H$47:$H$73,MATCH(BG$2,'Standards for Conversions'!$A$47:$A$73,0))))</f>
        <v/>
      </c>
      <c r="BJ34" s="33"/>
      <c r="BM34" s="31" t="str">
        <f>IF(BL34/(INDEX('Standards for Conversions'!$H$47:$H$73,MATCH(BK$2,'Standards for Conversions'!$A$47:$A$73,0)))=0,"",BL34/(INDEX('Standards for Conversions'!$H$47:$H$73,MATCH(BK$2,'Standards for Conversions'!$A$47:$A$73,0))))</f>
        <v/>
      </c>
      <c r="BP34" s="31" t="str">
        <f>IF(BO34/(INDEX('Standards for Conversions'!$H$47:$H$73,MATCH(BN$2,'Standards for Conversions'!$A$47:$A$73,0)))=0,"",BO34/(INDEX('Standards for Conversions'!$H$47:$H$73,MATCH(BN$2,'Standards for Conversions'!$A$47:$A$73,0))))</f>
        <v/>
      </c>
      <c r="BQ34" s="33"/>
      <c r="BT34" s="31" t="str">
        <f>IF(BS34/(INDEX('Standards for Conversions'!$H$47:$H$73,MATCH(BR$2,'Standards for Conversions'!$A$47:$A$73,0)))=0,"",BS34/(INDEX('Standards for Conversions'!$H$47:$H$73,MATCH(BR$2,'Standards for Conversions'!$A$47:$A$73,0))))</f>
        <v/>
      </c>
      <c r="BU34" s="33"/>
      <c r="BX34" s="31" t="str">
        <f>IF(BW34/(INDEX('Standards for Conversions'!$H$47:$H$73,MATCH(BV$2,'Standards for Conversions'!$A$47:$A$73,0)))=0,"",BW34/(INDEX('Standards for Conversions'!$H$47:$H$73,MATCH(BV$2,'Standards for Conversions'!$A$47:$A$73,0))))</f>
        <v/>
      </c>
      <c r="CA34" s="31" t="str">
        <f>IF(BZ34/(INDEX('Standards for Conversions'!$H$47:$H$73,MATCH(BY$2,'Standards for Conversions'!$A$47:$A$73,0)))=0,"",BZ34/(INDEX('Standards for Conversions'!$H$47:$H$73,MATCH(BY$2,'Standards for Conversions'!$A$47:$A$73,0))))</f>
        <v/>
      </c>
      <c r="CD34" s="31" t="str">
        <f>IF(CC34/(INDEX('Standards for Conversions'!$H$47:$H$73,MATCH(CB$2,'Standards for Conversions'!$A$47:$A$73,0)))=0,"",CC34/(INDEX('Standards for Conversions'!$H$47:$H$73,MATCH(CB$2,'Standards for Conversions'!$A$47:$A$73,0))))</f>
        <v/>
      </c>
      <c r="CH34" s="31" t="str">
        <f>IF(CG34/(INDEX('Standards for Conversions'!$H$47:$H$73,MATCH(CF$2,'Standards for Conversions'!$A$47:$A$73,0)))=0,"",CG34/(INDEX('Standards for Conversions'!$H$47:$H$73,MATCH(CF$2,'Standards for Conversions'!$A$47:$A$73,0))))</f>
        <v/>
      </c>
      <c r="CK34" s="31" t="str">
        <f>IF(CJ34/(INDEX('Standards for Conversions'!$H$47:$H$73,MATCH(CI$2,'Standards for Conversions'!$A$47:$A$73,0)))=0,"",CJ34/(INDEX('Standards for Conversions'!$H$47:$H$73,MATCH(CI$2,'Standards for Conversions'!$A$47:$A$73,0))))</f>
        <v/>
      </c>
      <c r="CN34" s="31" t="str">
        <f>IF(CM34/(INDEX('Standards for Conversions'!$H$47:$H$73,MATCH(CL$2,'Standards for Conversions'!$A$47:$A$73,0)))=0,"",CM34/(INDEX('Standards for Conversions'!$H$47:$H$73,MATCH(CL$2,'Standards for Conversions'!$A$47:$A$73,0))))</f>
        <v/>
      </c>
      <c r="CQ34" s="31" t="str">
        <f>IF(CP34/(INDEX('Standards for Conversions'!$H$47:$H$73,MATCH(CO$2,'Standards for Conversions'!$A$47:$A$73,0)))=0,"",CP34/(INDEX('Standards for Conversions'!$H$47:$H$73,MATCH(CO$2,'Standards for Conversions'!$A$47:$A$73,0))))</f>
        <v/>
      </c>
      <c r="CU34" s="31" t="str">
        <f>IF(CT34/(INDEX('Standards for Conversions'!$H$47:$H$73,MATCH(CS$2,'Standards for Conversions'!$A$47:$A$73,0)))=0,"",CT34/(INDEX('Standards for Conversions'!$H$47:$H$73,MATCH(CS$2,'Standards for Conversions'!$A$47:$A$73,0))))</f>
        <v/>
      </c>
      <c r="CX34" s="31" t="str">
        <f>IF(CW34/(INDEX('Standards for Conversions'!$H$47:$H$73,MATCH(CV$2,'Standards for Conversions'!$A$47:$A$73,0)))=0,"",CW34/(INDEX('Standards for Conversions'!$H$47:$H$73,MATCH(CV$2,'Standards for Conversions'!$A$47:$A$73,0))))</f>
        <v/>
      </c>
      <c r="DA34" s="31" t="str">
        <f>IF(CZ34/(INDEX('Standards for Conversions'!$H$47:$H$73,MATCH(CY$2,'Standards for Conversions'!$A$47:$A$73,0)))=0,"",CZ34/(INDEX('Standards for Conversions'!$H$47:$H$73,MATCH(CY$2,'Standards for Conversions'!$A$47:$A$73,0))))</f>
        <v/>
      </c>
      <c r="DE34" s="31" t="str">
        <f>IF(DD34/(INDEX('Standards for Conversions'!$H$47:$H$73,MATCH(DC$2,'Standards for Conversions'!$A$47:$A$73,0)))=0,"",DD34/(INDEX('Standards for Conversions'!$H$47:$H$73,MATCH(DC$2,'Standards for Conversions'!$A$47:$A$73,0))))</f>
        <v/>
      </c>
      <c r="DR34" s="29" t="s">
        <v>98</v>
      </c>
      <c r="DS34" s="29">
        <v>222</v>
      </c>
      <c r="DT34" s="29">
        <v>148</v>
      </c>
    </row>
    <row r="35" spans="1:126" hidden="1" x14ac:dyDescent="0.3">
      <c r="A35" t="s">
        <v>161</v>
      </c>
      <c r="C35" s="7"/>
      <c r="D35" s="7"/>
      <c r="E35" s="31" t="str">
        <f>IF(D35/(INDEX('Standards for Conversions'!$H$34:$H$73,MATCH(C$2,'Standards for Conversions'!$A$34:$A$73,0)))=0,"",D35/(INDEX('Standards for Conversions'!$H$34:$H$73,MATCH(C$2,'Standards for Conversions'!$A$34:$A$73,0))))</f>
        <v/>
      </c>
      <c r="F35" s="7"/>
      <c r="G35" s="7"/>
      <c r="H35" s="31" t="str">
        <f>IF(G35/(INDEX('Standards for Conversions'!$H$34:$H$73,MATCH(F$2,'Standards for Conversions'!$A$34:$A$73,0)))=0,"",G35/(INDEX('Standards for Conversions'!$H$34:$H$73,MATCH(F$2,'Standards for Conversions'!$A$34:$A$73,0))))</f>
        <v/>
      </c>
      <c r="J35" s="7"/>
      <c r="K35" s="7"/>
      <c r="L35" s="31" t="str">
        <f>IF(K35/(INDEX('Standards for Conversions'!$H$34:$H$73,MATCH(J$2,'Standards for Conversions'!$A$34:$A$73,0)))=0,"",K35/(INDEX('Standards for Conversions'!$H$34:$H$73,MATCH(J$2,'Standards for Conversions'!$A$34:$A$73,0))))</f>
        <v/>
      </c>
      <c r="M35" s="7"/>
      <c r="N35" s="7"/>
      <c r="O35" s="31" t="str">
        <f>IF(N35/(INDEX('Standards for Conversions'!$H$34:$H$73,MATCH(M$2,'Standards for Conversions'!$A$34:$A$73,0)))=0,"",N35/(INDEX('Standards for Conversions'!$H$34:$H$73,MATCH(M$2,'Standards for Conversions'!$A$34:$A$73,0))))</f>
        <v/>
      </c>
      <c r="Q35" s="7"/>
      <c r="R35" s="7"/>
      <c r="S35" s="31" t="str">
        <f>IF(R35/(INDEX('Standards for Conversions'!$H$34:$H$73,MATCH(Q$2,'Standards for Conversions'!$A$34:$A$73,0)))=0,"",R35/(INDEX('Standards for Conversions'!$H$34:$H$73,MATCH(Q$2,'Standards for Conversions'!$A$34:$A$73,0))))</f>
        <v/>
      </c>
      <c r="U35" s="7"/>
      <c r="V35" s="7"/>
      <c r="W35" s="31" t="str">
        <f>IF(V35/(INDEX('Standards for Conversions'!$H$34:$H$73,MATCH(U$2,'Standards for Conversions'!$A$34:$A$73,0)))=0,"",V35/(INDEX('Standards for Conversions'!$H$34:$H$73,MATCH(U$2,'Standards for Conversions'!$A$34:$A$73,0))))</f>
        <v/>
      </c>
      <c r="Y35" s="7"/>
      <c r="Z35" s="7"/>
      <c r="AA35" s="31" t="str">
        <f>IF(Z35/(INDEX('Standards for Conversions'!$H$34:$H$73,MATCH(Y$2,'Standards for Conversions'!$A$34:$A$73,0)))=0,"",Z35/(INDEX('Standards for Conversions'!$H$34:$H$73,MATCH(Y$2,'Standards for Conversions'!$A$34:$A$73,0))))</f>
        <v/>
      </c>
      <c r="AB35" s="7"/>
      <c r="AC35" s="7"/>
      <c r="AD35" s="31" t="str">
        <f>IF(AC35/(INDEX('Standards for Conversions'!$H$34:$H$73,MATCH(AB$2,'Standards for Conversions'!$A$34:$A$73,0)))=0,"",AC35/(INDEX('Standards for Conversions'!$H$34:$H$73,MATCH(AB$2,'Standards for Conversions'!$A$34:$A$73,0))))</f>
        <v/>
      </c>
      <c r="AF35" s="7"/>
      <c r="AG35" s="7"/>
      <c r="AH35" s="31" t="str">
        <f>IF(AG35/(INDEX('Standards for Conversions'!$H$34:$H$73,MATCH(AF$2,'Standards for Conversions'!$A$34:$A$73,0)))=0,"",AG35/(INDEX('Standards for Conversions'!$H$34:$H$73,MATCH(AF$2,'Standards for Conversions'!$A$34:$A$73,0))))</f>
        <v/>
      </c>
      <c r="AJ35" s="7"/>
      <c r="AK35" s="7"/>
      <c r="AL35" s="31" t="str">
        <f>IF(AK35/(INDEX('Standards for Conversions'!$H$34:$H$73,MATCH(AJ$2,'Standards for Conversions'!$A$34:$A$73,0)))=0,"",AK35/(INDEX('Standards for Conversions'!$H$34:$H$73,MATCH(AJ$2,'Standards for Conversions'!$A$34:$A$73,0))))</f>
        <v/>
      </c>
      <c r="AM35" s="7"/>
      <c r="AN35" s="7"/>
      <c r="AO35" s="31" t="str">
        <f>IF(AN35/(INDEX('Standards for Conversions'!$H$34:$H$73,MATCH(AM$2,'Standards for Conversions'!$A$34:$A$73,0)))=0,"",AN35/(INDEX('Standards for Conversions'!$H$34:$H$73,MATCH(AM$2,'Standards for Conversions'!$A$34:$A$73,0))))</f>
        <v/>
      </c>
      <c r="AP35" s="7"/>
      <c r="AQ35" s="7"/>
      <c r="AR35" s="31" t="str">
        <f>IF(AQ35/(INDEX('Standards for Conversions'!$H$34:$H$73,MATCH(AP$2,'Standards for Conversions'!$A$34:$A$73,0)))=0,"",AQ35/(INDEX('Standards for Conversions'!$H$34:$H$73,MATCH(AP$2,'Standards for Conversions'!$A$34:$A$73,0))))</f>
        <v/>
      </c>
      <c r="AS35" s="7"/>
      <c r="AT35" s="7"/>
      <c r="AU35" s="31" t="str">
        <f>IF(AT35/(INDEX('Standards for Conversions'!$H$34:$H$73,MATCH(AS$2,'Standards for Conversions'!$A$34:$A$73,0)))=0,"",AT35/(INDEX('Standards for Conversions'!$H$34:$H$73,MATCH(AS$2,'Standards for Conversions'!$A$34:$A$73,0))))</f>
        <v/>
      </c>
      <c r="AV35" s="7"/>
      <c r="AW35" s="7"/>
      <c r="AX35" s="31" t="str">
        <f>IF(AW35/(INDEX('Standards for Conversions'!$H$47:$H$73,MATCH(AV$2,'Standards for Conversions'!$A$47:$A$73,0)))=0,"",AW35/(INDEX('Standards for Conversions'!$H$47:$H$73,MATCH(AV$2,'Standards for Conversions'!$A$47:$A$73,0))))</f>
        <v/>
      </c>
      <c r="BB35" s="31" t="str">
        <f>IF(BA35/(INDEX('Standards for Conversions'!$H$47:$H$73,MATCH(AZ$2,'Standards for Conversions'!$A$47:$A$73,0)))=0,"",BA35/(INDEX('Standards for Conversions'!$H$47:$H$73,MATCH(AZ$2,'Standards for Conversions'!$A$47:$A$73,0))))</f>
        <v/>
      </c>
      <c r="BE35" s="31" t="str">
        <f>IF(BD35/(INDEX('Standards for Conversions'!$H$47:$H$73,MATCH(BC$2,'Standards for Conversions'!$A$47:$A$73,0)))=0,"",BD35/(INDEX('Standards for Conversions'!$H$47:$H$73,MATCH(BC$2,'Standards for Conversions'!$A$47:$A$73,0))))</f>
        <v/>
      </c>
      <c r="BF35" s="33"/>
      <c r="BI35" s="31" t="str">
        <f>IF(BH35/(INDEX('Standards for Conversions'!$H$47:$H$73,MATCH(BG$2,'Standards for Conversions'!$A$47:$A$73,0)))=0,"",BH35/(INDEX('Standards for Conversions'!$H$47:$H$73,MATCH(BG$2,'Standards for Conversions'!$A$47:$A$73,0))))</f>
        <v/>
      </c>
      <c r="BJ35" s="33"/>
      <c r="BM35" s="31" t="str">
        <f>IF(BL35/(INDEX('Standards for Conversions'!$H$47:$H$73,MATCH(BK$2,'Standards for Conversions'!$A$47:$A$73,0)))=0,"",BL35/(INDEX('Standards for Conversions'!$H$47:$H$73,MATCH(BK$2,'Standards for Conversions'!$A$47:$A$73,0))))</f>
        <v/>
      </c>
      <c r="BP35" s="31" t="str">
        <f>IF(BO35/(INDEX('Standards for Conversions'!$H$47:$H$73,MATCH(BN$2,'Standards for Conversions'!$A$47:$A$73,0)))=0,"",BO35/(INDEX('Standards for Conversions'!$H$47:$H$73,MATCH(BN$2,'Standards for Conversions'!$A$47:$A$73,0))))</f>
        <v/>
      </c>
      <c r="BQ35" s="33"/>
      <c r="BT35" s="31" t="str">
        <f>IF(BS35/(INDEX('Standards for Conversions'!$H$47:$H$73,MATCH(BR$2,'Standards for Conversions'!$A$47:$A$73,0)))=0,"",BS35/(INDEX('Standards for Conversions'!$H$47:$H$73,MATCH(BR$2,'Standards for Conversions'!$A$47:$A$73,0))))</f>
        <v/>
      </c>
      <c r="BU35" s="33"/>
      <c r="BX35" s="31" t="str">
        <f>IF(BW35/(INDEX('Standards for Conversions'!$H$47:$H$73,MATCH(BV$2,'Standards for Conversions'!$A$47:$A$73,0)))=0,"",BW35/(INDEX('Standards for Conversions'!$H$47:$H$73,MATCH(BV$2,'Standards for Conversions'!$A$47:$A$73,0))))</f>
        <v/>
      </c>
      <c r="CA35" s="31" t="str">
        <f>IF(BZ35/(INDEX('Standards for Conversions'!$H$47:$H$73,MATCH(BY$2,'Standards for Conversions'!$A$47:$A$73,0)))=0,"",BZ35/(INDEX('Standards for Conversions'!$H$47:$H$73,MATCH(BY$2,'Standards for Conversions'!$A$47:$A$73,0))))</f>
        <v/>
      </c>
      <c r="CD35" s="31" t="str">
        <f>IF(CC35/(INDEX('Standards for Conversions'!$H$47:$H$73,MATCH(CB$2,'Standards for Conversions'!$A$47:$A$73,0)))=0,"",CC35/(INDEX('Standards for Conversions'!$H$47:$H$73,MATCH(CB$2,'Standards for Conversions'!$A$47:$A$73,0))))</f>
        <v/>
      </c>
      <c r="CH35" s="31" t="str">
        <f>IF(CG35/(INDEX('Standards for Conversions'!$H$47:$H$73,MATCH(CF$2,'Standards for Conversions'!$A$47:$A$73,0)))=0,"",CG35/(INDEX('Standards for Conversions'!$H$47:$H$73,MATCH(CF$2,'Standards for Conversions'!$A$47:$A$73,0))))</f>
        <v/>
      </c>
      <c r="CK35" s="31" t="str">
        <f>IF(CJ35/(INDEX('Standards for Conversions'!$H$47:$H$73,MATCH(CI$2,'Standards for Conversions'!$A$47:$A$73,0)))=0,"",CJ35/(INDEX('Standards for Conversions'!$H$47:$H$73,MATCH(CI$2,'Standards for Conversions'!$A$47:$A$73,0))))</f>
        <v/>
      </c>
      <c r="CN35" s="31" t="str">
        <f>IF(CM35/(INDEX('Standards for Conversions'!$H$47:$H$73,MATCH(CL$2,'Standards for Conversions'!$A$47:$A$73,0)))=0,"",CM35/(INDEX('Standards for Conversions'!$H$47:$H$73,MATCH(CL$2,'Standards for Conversions'!$A$47:$A$73,0))))</f>
        <v/>
      </c>
      <c r="CQ35" s="31" t="str">
        <f>IF(CP35/(INDEX('Standards for Conversions'!$H$47:$H$73,MATCH(CO$2,'Standards for Conversions'!$A$47:$A$73,0)))=0,"",CP35/(INDEX('Standards for Conversions'!$H$47:$H$73,MATCH(CO$2,'Standards for Conversions'!$A$47:$A$73,0))))</f>
        <v/>
      </c>
      <c r="CU35" s="31" t="str">
        <f>IF(CT35/(INDEX('Standards for Conversions'!$H$47:$H$73,MATCH(CS$2,'Standards for Conversions'!$A$47:$A$73,0)))=0,"",CT35/(INDEX('Standards for Conversions'!$H$47:$H$73,MATCH(CS$2,'Standards for Conversions'!$A$47:$A$73,0))))</f>
        <v/>
      </c>
      <c r="CX35" s="31" t="str">
        <f>IF(CW35/(INDEX('Standards for Conversions'!$H$47:$H$73,MATCH(CV$2,'Standards for Conversions'!$A$47:$A$73,0)))=0,"",CW35/(INDEX('Standards for Conversions'!$H$47:$H$73,MATCH(CV$2,'Standards for Conversions'!$A$47:$A$73,0))))</f>
        <v/>
      </c>
      <c r="DA35" s="31" t="str">
        <f>IF(CZ35/(INDEX('Standards for Conversions'!$H$47:$H$73,MATCH(CY$2,'Standards for Conversions'!$A$47:$A$73,0)))=0,"",CZ35/(INDEX('Standards for Conversions'!$H$47:$H$73,MATCH(CY$2,'Standards for Conversions'!$A$47:$A$73,0))))</f>
        <v/>
      </c>
      <c r="DE35" s="31" t="str">
        <f>IF(DD35/(INDEX('Standards for Conversions'!$H$47:$H$73,MATCH(DC$2,'Standards for Conversions'!$A$47:$A$73,0)))=0,"",DD35/(INDEX('Standards for Conversions'!$H$47:$H$73,MATCH(DC$2,'Standards for Conversions'!$A$47:$A$73,0))))</f>
        <v/>
      </c>
      <c r="DR35" s="29" t="s">
        <v>98</v>
      </c>
      <c r="DS35" s="29">
        <v>818</v>
      </c>
      <c r="DT35" s="29">
        <v>545</v>
      </c>
      <c r="DU35" s="29">
        <v>596</v>
      </c>
      <c r="DV35" s="29">
        <v>401</v>
      </c>
    </row>
    <row r="36" spans="1:126" hidden="1" x14ac:dyDescent="0.3">
      <c r="A36" t="s">
        <v>266</v>
      </c>
      <c r="C36" s="7"/>
      <c r="D36" s="7"/>
      <c r="E36" s="31" t="str">
        <f>IF(D36/(INDEX('Standards for Conversions'!$H$34:$H$73,MATCH(C$2,'Standards for Conversions'!$A$34:$A$73,0)))=0,"",D36/(INDEX('Standards for Conversions'!$H$34:$H$73,MATCH(C$2,'Standards for Conversions'!$A$34:$A$73,0))))</f>
        <v/>
      </c>
      <c r="F36" s="7"/>
      <c r="G36" s="7"/>
      <c r="H36" s="31" t="str">
        <f>IF(G36/(INDEX('Standards for Conversions'!$H$34:$H$73,MATCH(F$2,'Standards for Conversions'!$A$34:$A$73,0)))=0,"",G36/(INDEX('Standards for Conversions'!$H$34:$H$73,MATCH(F$2,'Standards for Conversions'!$A$34:$A$73,0))))</f>
        <v/>
      </c>
      <c r="J36" s="7"/>
      <c r="K36" s="7"/>
      <c r="L36" s="31" t="str">
        <f>IF(K36/(INDEX('Standards for Conversions'!$H$34:$H$73,MATCH(J$2,'Standards for Conversions'!$A$34:$A$73,0)))=0,"",K36/(INDEX('Standards for Conversions'!$H$34:$H$73,MATCH(J$2,'Standards for Conversions'!$A$34:$A$73,0))))</f>
        <v/>
      </c>
      <c r="M36" s="7"/>
      <c r="N36" s="7"/>
      <c r="O36" s="31" t="str">
        <f>IF(N36/(INDEX('Standards for Conversions'!$H$34:$H$73,MATCH(M$2,'Standards for Conversions'!$A$34:$A$73,0)))=0,"",N36/(INDEX('Standards for Conversions'!$H$34:$H$73,MATCH(M$2,'Standards for Conversions'!$A$34:$A$73,0))))</f>
        <v/>
      </c>
      <c r="Q36" s="7"/>
      <c r="R36" s="7"/>
      <c r="S36" s="31" t="str">
        <f>IF(R36/(INDEX('Standards for Conversions'!$H$34:$H$73,MATCH(Q$2,'Standards for Conversions'!$A$34:$A$73,0)))=0,"",R36/(INDEX('Standards for Conversions'!$H$34:$H$73,MATCH(Q$2,'Standards for Conversions'!$A$34:$A$73,0))))</f>
        <v/>
      </c>
      <c r="U36" s="7"/>
      <c r="V36" s="7"/>
      <c r="W36" s="31" t="str">
        <f>IF(V36/(INDEX('Standards for Conversions'!$H$34:$H$73,MATCH(U$2,'Standards for Conversions'!$A$34:$A$73,0)))=0,"",V36/(INDEX('Standards for Conversions'!$H$34:$H$73,MATCH(U$2,'Standards for Conversions'!$A$34:$A$73,0))))</f>
        <v/>
      </c>
      <c r="Y36" s="7"/>
      <c r="Z36" s="7"/>
      <c r="AA36" s="31" t="str">
        <f>IF(Z36/(INDEX('Standards for Conversions'!$H$34:$H$73,MATCH(Y$2,'Standards for Conversions'!$A$34:$A$73,0)))=0,"",Z36/(INDEX('Standards for Conversions'!$H$34:$H$73,MATCH(Y$2,'Standards for Conversions'!$A$34:$A$73,0))))</f>
        <v/>
      </c>
      <c r="AB36" s="7"/>
      <c r="AC36" s="7"/>
      <c r="AD36" s="31" t="str">
        <f>IF(AC36/(INDEX('Standards for Conversions'!$H$34:$H$73,MATCH(AB$2,'Standards for Conversions'!$A$34:$A$73,0)))=0,"",AC36/(INDEX('Standards for Conversions'!$H$34:$H$73,MATCH(AB$2,'Standards for Conversions'!$A$34:$A$73,0))))</f>
        <v/>
      </c>
      <c r="AF36" s="7"/>
      <c r="AG36" s="7"/>
      <c r="AH36" s="31" t="str">
        <f>IF(AG36/(INDEX('Standards for Conversions'!$H$34:$H$73,MATCH(AF$2,'Standards for Conversions'!$A$34:$A$73,0)))=0,"",AG36/(INDEX('Standards for Conversions'!$H$34:$H$73,MATCH(AF$2,'Standards for Conversions'!$A$34:$A$73,0))))</f>
        <v/>
      </c>
      <c r="AJ36" s="7"/>
      <c r="AK36" s="7"/>
      <c r="AL36" s="31" t="str">
        <f>IF(AK36/(INDEX('Standards for Conversions'!$H$34:$H$73,MATCH(AJ$2,'Standards for Conversions'!$A$34:$A$73,0)))=0,"",AK36/(INDEX('Standards for Conversions'!$H$34:$H$73,MATCH(AJ$2,'Standards for Conversions'!$A$34:$A$73,0))))</f>
        <v/>
      </c>
      <c r="AM36" s="7"/>
      <c r="AN36" s="7"/>
      <c r="AO36" s="31" t="str">
        <f>IF(AN36/(INDEX('Standards for Conversions'!$H$34:$H$73,MATCH(AM$2,'Standards for Conversions'!$A$34:$A$73,0)))=0,"",AN36/(INDEX('Standards for Conversions'!$H$34:$H$73,MATCH(AM$2,'Standards for Conversions'!$A$34:$A$73,0))))</f>
        <v/>
      </c>
      <c r="AP36" s="7"/>
      <c r="AQ36" s="7"/>
      <c r="AR36" s="31" t="str">
        <f>IF(AQ36/(INDEX('Standards for Conversions'!$H$34:$H$73,MATCH(AP$2,'Standards for Conversions'!$A$34:$A$73,0)))=0,"",AQ36/(INDEX('Standards for Conversions'!$H$34:$H$73,MATCH(AP$2,'Standards for Conversions'!$A$34:$A$73,0))))</f>
        <v/>
      </c>
      <c r="AS36" s="7"/>
      <c r="AT36" s="7"/>
      <c r="AU36" s="31" t="str">
        <f>IF(AT36/(INDEX('Standards for Conversions'!$H$34:$H$73,MATCH(AS$2,'Standards for Conversions'!$A$34:$A$73,0)))=0,"",AT36/(INDEX('Standards for Conversions'!$H$34:$H$73,MATCH(AS$2,'Standards for Conversions'!$A$34:$A$73,0))))</f>
        <v/>
      </c>
      <c r="AV36" s="7"/>
      <c r="AW36" s="7"/>
      <c r="AX36" s="31" t="str">
        <f>IF(AW36/(INDEX('Standards for Conversions'!$H$47:$H$73,MATCH(AV$2,'Standards for Conversions'!$A$47:$A$73,0)))=0,"",AW36/(INDEX('Standards for Conversions'!$H$47:$H$73,MATCH(AV$2,'Standards for Conversions'!$A$47:$A$73,0))))</f>
        <v/>
      </c>
      <c r="BB36" s="31" t="str">
        <f>IF(BA36/(INDEX('Standards for Conversions'!$H$47:$H$73,MATCH(AZ$2,'Standards for Conversions'!$A$47:$A$73,0)))=0,"",BA36/(INDEX('Standards for Conversions'!$H$47:$H$73,MATCH(AZ$2,'Standards for Conversions'!$A$47:$A$73,0))))</f>
        <v/>
      </c>
      <c r="BE36" s="31" t="str">
        <f>IF(BD36/(INDEX('Standards for Conversions'!$H$47:$H$73,MATCH(BC$2,'Standards for Conversions'!$A$47:$A$73,0)))=0,"",BD36/(INDEX('Standards for Conversions'!$H$47:$H$73,MATCH(BC$2,'Standards for Conversions'!$A$47:$A$73,0))))</f>
        <v/>
      </c>
      <c r="BF36" s="33"/>
      <c r="BI36" s="31" t="str">
        <f>IF(BH36/(INDEX('Standards for Conversions'!$H$47:$H$73,MATCH(BG$2,'Standards for Conversions'!$A$47:$A$73,0)))=0,"",BH36/(INDEX('Standards for Conversions'!$H$47:$H$73,MATCH(BG$2,'Standards for Conversions'!$A$47:$A$73,0))))</f>
        <v/>
      </c>
      <c r="BJ36" s="33"/>
      <c r="BM36" s="31" t="str">
        <f>IF(BL36/(INDEX('Standards for Conversions'!$H$47:$H$73,MATCH(BK$2,'Standards for Conversions'!$A$47:$A$73,0)))=0,"",BL36/(INDEX('Standards for Conversions'!$H$47:$H$73,MATCH(BK$2,'Standards for Conversions'!$A$47:$A$73,0))))</f>
        <v/>
      </c>
      <c r="BP36" s="31" t="str">
        <f>IF(BO36/(INDEX('Standards for Conversions'!$H$47:$H$73,MATCH(BN$2,'Standards for Conversions'!$A$47:$A$73,0)))=0,"",BO36/(INDEX('Standards for Conversions'!$H$47:$H$73,MATCH(BN$2,'Standards for Conversions'!$A$47:$A$73,0))))</f>
        <v/>
      </c>
      <c r="BQ36" s="33"/>
      <c r="BT36" s="31" t="str">
        <f>IF(BS36/(INDEX('Standards for Conversions'!$H$47:$H$73,MATCH(BR$2,'Standards for Conversions'!$A$47:$A$73,0)))=0,"",BS36/(INDEX('Standards for Conversions'!$H$47:$H$73,MATCH(BR$2,'Standards for Conversions'!$A$47:$A$73,0))))</f>
        <v/>
      </c>
      <c r="BU36" s="33"/>
      <c r="BX36" s="31" t="str">
        <f>IF(BW36/(INDEX('Standards for Conversions'!$H$47:$H$73,MATCH(BV$2,'Standards for Conversions'!$A$47:$A$73,0)))=0,"",BW36/(INDEX('Standards for Conversions'!$H$47:$H$73,MATCH(BV$2,'Standards for Conversions'!$A$47:$A$73,0))))</f>
        <v/>
      </c>
      <c r="CA36" s="31" t="str">
        <f>IF(BZ36/(INDEX('Standards for Conversions'!$H$47:$H$73,MATCH(BY$2,'Standards for Conversions'!$A$47:$A$73,0)))=0,"",BZ36/(INDEX('Standards for Conversions'!$H$47:$H$73,MATCH(BY$2,'Standards for Conversions'!$A$47:$A$73,0))))</f>
        <v/>
      </c>
      <c r="CD36" s="31" t="str">
        <f>IF(CC36/(INDEX('Standards for Conversions'!$H$47:$H$73,MATCH(CB$2,'Standards for Conversions'!$A$47:$A$73,0)))=0,"",CC36/(INDEX('Standards for Conversions'!$H$47:$H$73,MATCH(CB$2,'Standards for Conversions'!$A$47:$A$73,0))))</f>
        <v/>
      </c>
      <c r="CH36" s="31" t="str">
        <f>IF(CG36/(INDEX('Standards for Conversions'!$H$47:$H$73,MATCH(CF$2,'Standards for Conversions'!$A$47:$A$73,0)))=0,"",CG36/(INDEX('Standards for Conversions'!$H$47:$H$73,MATCH(CF$2,'Standards for Conversions'!$A$47:$A$73,0))))</f>
        <v/>
      </c>
      <c r="CK36" s="31" t="str">
        <f>IF(CJ36/(INDEX('Standards for Conversions'!$H$47:$H$73,MATCH(CI$2,'Standards for Conversions'!$A$47:$A$73,0)))=0,"",CJ36/(INDEX('Standards for Conversions'!$H$47:$H$73,MATCH(CI$2,'Standards for Conversions'!$A$47:$A$73,0))))</f>
        <v/>
      </c>
      <c r="CN36" s="31" t="str">
        <f>IF(CM36/(INDEX('Standards for Conversions'!$H$47:$H$73,MATCH(CL$2,'Standards for Conversions'!$A$47:$A$73,0)))=0,"",CM36/(INDEX('Standards for Conversions'!$H$47:$H$73,MATCH(CL$2,'Standards for Conversions'!$A$47:$A$73,0))))</f>
        <v/>
      </c>
      <c r="CQ36" s="31" t="str">
        <f>IF(CP36/(INDEX('Standards for Conversions'!$H$47:$H$73,MATCH(CO$2,'Standards for Conversions'!$A$47:$A$73,0)))=0,"",CP36/(INDEX('Standards for Conversions'!$H$47:$H$73,MATCH(CO$2,'Standards for Conversions'!$A$47:$A$73,0))))</f>
        <v/>
      </c>
      <c r="CU36" s="31" t="str">
        <f>IF(CT36/(INDEX('Standards for Conversions'!$H$47:$H$73,MATCH(CS$2,'Standards for Conversions'!$A$47:$A$73,0)))=0,"",CT36/(INDEX('Standards for Conversions'!$H$47:$H$73,MATCH(CS$2,'Standards for Conversions'!$A$47:$A$73,0))))</f>
        <v/>
      </c>
      <c r="CX36" s="31" t="str">
        <f>IF(CW36/(INDEX('Standards for Conversions'!$H$47:$H$73,MATCH(CV$2,'Standards for Conversions'!$A$47:$A$73,0)))=0,"",CW36/(INDEX('Standards for Conversions'!$H$47:$H$73,MATCH(CV$2,'Standards for Conversions'!$A$47:$A$73,0))))</f>
        <v/>
      </c>
      <c r="DA36" s="31" t="str">
        <f>IF(CZ36/(INDEX('Standards for Conversions'!$H$47:$H$73,MATCH(CY$2,'Standards for Conversions'!$A$47:$A$73,0)))=0,"",CZ36/(INDEX('Standards for Conversions'!$H$47:$H$73,MATCH(CY$2,'Standards for Conversions'!$A$47:$A$73,0))))</f>
        <v/>
      </c>
      <c r="DE36" s="31" t="str">
        <f>IF(DD36/(INDEX('Standards for Conversions'!$H$47:$H$73,MATCH(DC$2,'Standards for Conversions'!$A$47:$A$73,0)))=0,"",DD36/(INDEX('Standards for Conversions'!$H$47:$H$73,MATCH(DC$2,'Standards for Conversions'!$A$47:$A$73,0))))</f>
        <v/>
      </c>
      <c r="DR36" s="29" t="s">
        <v>98</v>
      </c>
      <c r="DS36" s="29">
        <v>566</v>
      </c>
      <c r="DT36" s="29">
        <v>264</v>
      </c>
      <c r="DU36" s="29">
        <v>271</v>
      </c>
      <c r="DV36" s="29">
        <v>459</v>
      </c>
    </row>
    <row r="37" spans="1:126" hidden="1" x14ac:dyDescent="0.3">
      <c r="A37" t="s">
        <v>108</v>
      </c>
      <c r="C37" s="7"/>
      <c r="D37" s="7"/>
      <c r="E37" s="31" t="str">
        <f>IF(D37/(INDEX('Standards for Conversions'!$H$34:$H$73,MATCH(C$2,'Standards for Conversions'!$A$34:$A$73,0)))=0,"",D37/(INDEX('Standards for Conversions'!$H$34:$H$73,MATCH(C$2,'Standards for Conversions'!$A$34:$A$73,0))))</f>
        <v/>
      </c>
      <c r="F37" s="7"/>
      <c r="G37" s="7"/>
      <c r="H37" s="31" t="str">
        <f>IF(G37/(INDEX('Standards for Conversions'!$H$34:$H$73,MATCH(F$2,'Standards for Conversions'!$A$34:$A$73,0)))=0,"",G37/(INDEX('Standards for Conversions'!$H$34:$H$73,MATCH(F$2,'Standards for Conversions'!$A$34:$A$73,0))))</f>
        <v/>
      </c>
      <c r="J37" s="7"/>
      <c r="K37" s="7"/>
      <c r="L37" s="31" t="str">
        <f>IF(K37/(INDEX('Standards for Conversions'!$H$34:$H$73,MATCH(J$2,'Standards for Conversions'!$A$34:$A$73,0)))=0,"",K37/(INDEX('Standards for Conversions'!$H$34:$H$73,MATCH(J$2,'Standards for Conversions'!$A$34:$A$73,0))))</f>
        <v/>
      </c>
      <c r="M37" s="7"/>
      <c r="N37" s="7"/>
      <c r="O37" s="31" t="str">
        <f>IF(N37/(INDEX('Standards for Conversions'!$H$34:$H$73,MATCH(M$2,'Standards for Conversions'!$A$34:$A$73,0)))=0,"",N37/(INDEX('Standards for Conversions'!$H$34:$H$73,MATCH(M$2,'Standards for Conversions'!$A$34:$A$73,0))))</f>
        <v/>
      </c>
      <c r="Q37" s="7"/>
      <c r="R37" s="7"/>
      <c r="S37" s="31" t="str">
        <f>IF(R37/(INDEX('Standards for Conversions'!$H$34:$H$73,MATCH(Q$2,'Standards for Conversions'!$A$34:$A$73,0)))=0,"",R37/(INDEX('Standards for Conversions'!$H$34:$H$73,MATCH(Q$2,'Standards for Conversions'!$A$34:$A$73,0))))</f>
        <v/>
      </c>
      <c r="U37" s="7"/>
      <c r="V37" s="7"/>
      <c r="W37" s="31" t="str">
        <f>IF(V37/(INDEX('Standards for Conversions'!$H$34:$H$73,MATCH(U$2,'Standards for Conversions'!$A$34:$A$73,0)))=0,"",V37/(INDEX('Standards for Conversions'!$H$34:$H$73,MATCH(U$2,'Standards for Conversions'!$A$34:$A$73,0))))</f>
        <v/>
      </c>
      <c r="Y37" s="7"/>
      <c r="Z37" s="7"/>
      <c r="AA37" s="31" t="str">
        <f>IF(Z37/(INDEX('Standards for Conversions'!$H$34:$H$73,MATCH(Y$2,'Standards for Conversions'!$A$34:$A$73,0)))=0,"",Z37/(INDEX('Standards for Conversions'!$H$34:$H$73,MATCH(Y$2,'Standards for Conversions'!$A$34:$A$73,0))))</f>
        <v/>
      </c>
      <c r="AB37" s="7"/>
      <c r="AC37" s="7"/>
      <c r="AD37" s="31" t="str">
        <f>IF(AC37/(INDEX('Standards for Conversions'!$H$34:$H$73,MATCH(AB$2,'Standards for Conversions'!$A$34:$A$73,0)))=0,"",AC37/(INDEX('Standards for Conversions'!$H$34:$H$73,MATCH(AB$2,'Standards for Conversions'!$A$34:$A$73,0))))</f>
        <v/>
      </c>
      <c r="AF37" s="7"/>
      <c r="AG37" s="7"/>
      <c r="AH37" s="31" t="str">
        <f>IF(AG37/(INDEX('Standards for Conversions'!$H$34:$H$73,MATCH(AF$2,'Standards for Conversions'!$A$34:$A$73,0)))=0,"",AG37/(INDEX('Standards for Conversions'!$H$34:$H$73,MATCH(AF$2,'Standards for Conversions'!$A$34:$A$73,0))))</f>
        <v/>
      </c>
      <c r="AJ37" s="7"/>
      <c r="AK37" s="7"/>
      <c r="AL37" s="31" t="str">
        <f>IF(AK37/(INDEX('Standards for Conversions'!$H$34:$H$73,MATCH(AJ$2,'Standards for Conversions'!$A$34:$A$73,0)))=0,"",AK37/(INDEX('Standards for Conversions'!$H$34:$H$73,MATCH(AJ$2,'Standards for Conversions'!$A$34:$A$73,0))))</f>
        <v/>
      </c>
      <c r="AM37" s="7"/>
      <c r="AN37" s="7"/>
      <c r="AO37" s="31" t="str">
        <f>IF(AN37/(INDEX('Standards for Conversions'!$H$34:$H$73,MATCH(AM$2,'Standards for Conversions'!$A$34:$A$73,0)))=0,"",AN37/(INDEX('Standards for Conversions'!$H$34:$H$73,MATCH(AM$2,'Standards for Conversions'!$A$34:$A$73,0))))</f>
        <v/>
      </c>
      <c r="AP37" s="7"/>
      <c r="AQ37" s="7"/>
      <c r="AR37" s="31" t="str">
        <f>IF(AQ37/(INDEX('Standards for Conversions'!$H$34:$H$73,MATCH(AP$2,'Standards for Conversions'!$A$34:$A$73,0)))=0,"",AQ37/(INDEX('Standards for Conversions'!$H$34:$H$73,MATCH(AP$2,'Standards for Conversions'!$A$34:$A$73,0))))</f>
        <v/>
      </c>
      <c r="AS37" s="7"/>
      <c r="AT37" s="7"/>
      <c r="AU37" s="31" t="str">
        <f>IF(AT37/(INDEX('Standards for Conversions'!$H$34:$H$73,MATCH(AS$2,'Standards for Conversions'!$A$34:$A$73,0)))=0,"",AT37/(INDEX('Standards for Conversions'!$H$34:$H$73,MATCH(AS$2,'Standards for Conversions'!$A$34:$A$73,0))))</f>
        <v/>
      </c>
      <c r="AV37" s="7"/>
      <c r="AW37" s="7"/>
      <c r="AX37" s="31" t="str">
        <f>IF(AW37/(INDEX('Standards for Conversions'!$H$47:$H$73,MATCH(AV$2,'Standards for Conversions'!$A$47:$A$73,0)))=0,"",AW37/(INDEX('Standards for Conversions'!$H$47:$H$73,MATCH(AV$2,'Standards for Conversions'!$A$47:$A$73,0))))</f>
        <v/>
      </c>
      <c r="BB37" s="31" t="str">
        <f>IF(BA37/(INDEX('Standards for Conversions'!$H$47:$H$73,MATCH(AZ$2,'Standards for Conversions'!$A$47:$A$73,0)))=0,"",BA37/(INDEX('Standards for Conversions'!$H$47:$H$73,MATCH(AZ$2,'Standards for Conversions'!$A$47:$A$73,0))))</f>
        <v/>
      </c>
      <c r="BE37" s="31" t="str">
        <f>IF(BD37/(INDEX('Standards for Conversions'!$H$47:$H$73,MATCH(BC$2,'Standards for Conversions'!$A$47:$A$73,0)))=0,"",BD37/(INDEX('Standards for Conversions'!$H$47:$H$73,MATCH(BC$2,'Standards for Conversions'!$A$47:$A$73,0))))</f>
        <v/>
      </c>
      <c r="BF37" s="33"/>
      <c r="BI37" s="31" t="str">
        <f>IF(BH37/(INDEX('Standards for Conversions'!$H$47:$H$73,MATCH(BG$2,'Standards for Conversions'!$A$47:$A$73,0)))=0,"",BH37/(INDEX('Standards for Conversions'!$H$47:$H$73,MATCH(BG$2,'Standards for Conversions'!$A$47:$A$73,0))))</f>
        <v/>
      </c>
      <c r="BJ37" s="33"/>
      <c r="BM37" s="31" t="str">
        <f>IF(BL37/(INDEX('Standards for Conversions'!$H$47:$H$73,MATCH(BK$2,'Standards for Conversions'!$A$47:$A$73,0)))=0,"",BL37/(INDEX('Standards for Conversions'!$H$47:$H$73,MATCH(BK$2,'Standards for Conversions'!$A$47:$A$73,0))))</f>
        <v/>
      </c>
      <c r="BP37" s="31" t="str">
        <f>IF(BO37/(INDEX('Standards for Conversions'!$H$47:$H$73,MATCH(BN$2,'Standards for Conversions'!$A$47:$A$73,0)))=0,"",BO37/(INDEX('Standards for Conversions'!$H$47:$H$73,MATCH(BN$2,'Standards for Conversions'!$A$47:$A$73,0))))</f>
        <v/>
      </c>
      <c r="BQ37" s="33"/>
      <c r="BT37" s="31" t="str">
        <f>IF(BS37/(INDEX('Standards for Conversions'!$H$47:$H$73,MATCH(BR$2,'Standards for Conversions'!$A$47:$A$73,0)))=0,"",BS37/(INDEX('Standards for Conversions'!$H$47:$H$73,MATCH(BR$2,'Standards for Conversions'!$A$47:$A$73,0))))</f>
        <v/>
      </c>
      <c r="BU37" s="33"/>
      <c r="BX37" s="31" t="str">
        <f>IF(BW37/(INDEX('Standards for Conversions'!$H$47:$H$73,MATCH(BV$2,'Standards for Conversions'!$A$47:$A$73,0)))=0,"",BW37/(INDEX('Standards for Conversions'!$H$47:$H$73,MATCH(BV$2,'Standards for Conversions'!$A$47:$A$73,0))))</f>
        <v/>
      </c>
      <c r="CA37" s="31" t="str">
        <f>IF(BZ37/(INDEX('Standards for Conversions'!$H$47:$H$73,MATCH(BY$2,'Standards for Conversions'!$A$47:$A$73,0)))=0,"",BZ37/(INDEX('Standards for Conversions'!$H$47:$H$73,MATCH(BY$2,'Standards for Conversions'!$A$47:$A$73,0))))</f>
        <v/>
      </c>
      <c r="CD37" s="31" t="str">
        <f>IF(CC37/(INDEX('Standards for Conversions'!$H$47:$H$73,MATCH(CB$2,'Standards for Conversions'!$A$47:$A$73,0)))=0,"",CC37/(INDEX('Standards for Conversions'!$H$47:$H$73,MATCH(CB$2,'Standards for Conversions'!$A$47:$A$73,0))))</f>
        <v/>
      </c>
      <c r="CH37" s="31" t="str">
        <f>IF(CG37/(INDEX('Standards for Conversions'!$H$47:$H$73,MATCH(CF$2,'Standards for Conversions'!$A$47:$A$73,0)))=0,"",CG37/(INDEX('Standards for Conversions'!$H$47:$H$73,MATCH(CF$2,'Standards for Conversions'!$A$47:$A$73,0))))</f>
        <v/>
      </c>
      <c r="CK37" s="31" t="str">
        <f>IF(CJ37/(INDEX('Standards for Conversions'!$H$47:$H$73,MATCH(CI$2,'Standards for Conversions'!$A$47:$A$73,0)))=0,"",CJ37/(INDEX('Standards for Conversions'!$H$47:$H$73,MATCH(CI$2,'Standards for Conversions'!$A$47:$A$73,0))))</f>
        <v/>
      </c>
      <c r="CN37" s="31" t="str">
        <f>IF(CM37/(INDEX('Standards for Conversions'!$H$47:$H$73,MATCH(CL$2,'Standards for Conversions'!$A$47:$A$73,0)))=0,"",CM37/(INDEX('Standards for Conversions'!$H$47:$H$73,MATCH(CL$2,'Standards for Conversions'!$A$47:$A$73,0))))</f>
        <v/>
      </c>
      <c r="CQ37" s="31" t="str">
        <f>IF(CP37/(INDEX('Standards for Conversions'!$H$47:$H$73,MATCH(CO$2,'Standards for Conversions'!$A$47:$A$73,0)))=0,"",CP37/(INDEX('Standards for Conversions'!$H$47:$H$73,MATCH(CO$2,'Standards for Conversions'!$A$47:$A$73,0))))</f>
        <v/>
      </c>
      <c r="CU37" s="31" t="str">
        <f>IF(CT37/(INDEX('Standards for Conversions'!$H$47:$H$73,MATCH(CS$2,'Standards for Conversions'!$A$47:$A$73,0)))=0,"",CT37/(INDEX('Standards for Conversions'!$H$47:$H$73,MATCH(CS$2,'Standards for Conversions'!$A$47:$A$73,0))))</f>
        <v/>
      </c>
      <c r="CX37" s="31" t="str">
        <f>IF(CW37/(INDEX('Standards for Conversions'!$H$47:$H$73,MATCH(CV$2,'Standards for Conversions'!$A$47:$A$73,0)))=0,"",CW37/(INDEX('Standards for Conversions'!$H$47:$H$73,MATCH(CV$2,'Standards for Conversions'!$A$47:$A$73,0))))</f>
        <v/>
      </c>
      <c r="DA37" s="31" t="str">
        <f>IF(CZ37/(INDEX('Standards for Conversions'!$H$47:$H$73,MATCH(CY$2,'Standards for Conversions'!$A$47:$A$73,0)))=0,"",CZ37/(INDEX('Standards for Conversions'!$H$47:$H$73,MATCH(CY$2,'Standards for Conversions'!$A$47:$A$73,0))))</f>
        <v/>
      </c>
      <c r="DE37" s="31" t="str">
        <f>IF(DD37/(INDEX('Standards for Conversions'!$H$47:$H$73,MATCH(DC$2,'Standards for Conversions'!$A$47:$A$73,0)))=0,"",DD37/(INDEX('Standards for Conversions'!$H$47:$H$73,MATCH(DC$2,'Standards for Conversions'!$A$47:$A$73,0))))</f>
        <v/>
      </c>
      <c r="DR37" s="29" t="s">
        <v>8</v>
      </c>
      <c r="DS37" s="33">
        <v>422</v>
      </c>
      <c r="DT37" s="29">
        <v>205</v>
      </c>
      <c r="DU37" s="29">
        <v>344</v>
      </c>
      <c r="DV37" s="29">
        <v>182</v>
      </c>
    </row>
    <row r="38" spans="1:126" ht="15.6" hidden="1" customHeight="1" x14ac:dyDescent="0.3">
      <c r="A38" t="s">
        <v>27</v>
      </c>
      <c r="C38" s="7"/>
      <c r="D38" s="7"/>
      <c r="E38" s="31" t="str">
        <f>IF(D38/(INDEX('Standards for Conversions'!$H$34:$H$73,MATCH(C$2,'Standards for Conversions'!$A$34:$A$73,0)))=0,"",D38/(INDEX('Standards for Conversions'!$H$34:$H$73,MATCH(C$2,'Standards for Conversions'!$A$34:$A$73,0))))</f>
        <v/>
      </c>
      <c r="F38" s="7"/>
      <c r="G38" s="7"/>
      <c r="H38" s="31" t="str">
        <f>IF(G38/(INDEX('Standards for Conversions'!$H$34:$H$73,MATCH(F$2,'Standards for Conversions'!$A$34:$A$73,0)))=0,"",G38/(INDEX('Standards for Conversions'!$H$34:$H$73,MATCH(F$2,'Standards for Conversions'!$A$34:$A$73,0))))</f>
        <v/>
      </c>
      <c r="J38" s="7"/>
      <c r="K38" s="7"/>
      <c r="L38" s="31" t="str">
        <f>IF(K38/(INDEX('Standards for Conversions'!$H$34:$H$73,MATCH(J$2,'Standards for Conversions'!$A$34:$A$73,0)))=0,"",K38/(INDEX('Standards for Conversions'!$H$34:$H$73,MATCH(J$2,'Standards for Conversions'!$A$34:$A$73,0))))</f>
        <v/>
      </c>
      <c r="M38" s="7"/>
      <c r="N38" s="7"/>
      <c r="O38" s="31" t="str">
        <f>IF(N38/(INDEX('Standards for Conversions'!$H$34:$H$73,MATCH(M$2,'Standards for Conversions'!$A$34:$A$73,0)))=0,"",N38/(INDEX('Standards for Conversions'!$H$34:$H$73,MATCH(M$2,'Standards for Conversions'!$A$34:$A$73,0))))</f>
        <v/>
      </c>
      <c r="Q38" s="7"/>
      <c r="R38" s="7"/>
      <c r="S38" s="31" t="str">
        <f>IF(R38/(INDEX('Standards for Conversions'!$H$34:$H$73,MATCH(Q$2,'Standards for Conversions'!$A$34:$A$73,0)))=0,"",R38/(INDEX('Standards for Conversions'!$H$34:$H$73,MATCH(Q$2,'Standards for Conversions'!$A$34:$A$73,0))))</f>
        <v/>
      </c>
      <c r="U38" s="7"/>
      <c r="V38" s="7"/>
      <c r="W38" s="31" t="str">
        <f>IF(V38/(INDEX('Standards for Conversions'!$H$34:$H$73,MATCH(U$2,'Standards for Conversions'!$A$34:$A$73,0)))=0,"",V38/(INDEX('Standards for Conversions'!$H$34:$H$73,MATCH(U$2,'Standards for Conversions'!$A$34:$A$73,0))))</f>
        <v/>
      </c>
      <c r="Y38" s="7"/>
      <c r="Z38" s="7"/>
      <c r="AA38" s="31" t="str">
        <f>IF(Z38/(INDEX('Standards for Conversions'!$H$34:$H$73,MATCH(Y$2,'Standards for Conversions'!$A$34:$A$73,0)))=0,"",Z38/(INDEX('Standards for Conversions'!$H$34:$H$73,MATCH(Y$2,'Standards for Conversions'!$A$34:$A$73,0))))</f>
        <v/>
      </c>
      <c r="AB38" s="7"/>
      <c r="AC38" s="7"/>
      <c r="AD38" s="31" t="str">
        <f>IF(AC38/(INDEX('Standards for Conversions'!$H$34:$H$73,MATCH(AB$2,'Standards for Conversions'!$A$34:$A$73,0)))=0,"",AC38/(INDEX('Standards for Conversions'!$H$34:$H$73,MATCH(AB$2,'Standards for Conversions'!$A$34:$A$73,0))))</f>
        <v/>
      </c>
      <c r="AF38" s="7"/>
      <c r="AG38" s="7"/>
      <c r="AH38" s="31" t="str">
        <f>IF(AG38/(INDEX('Standards for Conversions'!$H$34:$H$73,MATCH(AF$2,'Standards for Conversions'!$A$34:$A$73,0)))=0,"",AG38/(INDEX('Standards for Conversions'!$H$34:$H$73,MATCH(AF$2,'Standards for Conversions'!$A$34:$A$73,0))))</f>
        <v/>
      </c>
      <c r="AJ38" s="7"/>
      <c r="AK38" s="7"/>
      <c r="AL38" s="31" t="str">
        <f>IF(AK38/(INDEX('Standards for Conversions'!$H$34:$H$73,MATCH(AJ$2,'Standards for Conversions'!$A$34:$A$73,0)))=0,"",AK38/(INDEX('Standards for Conversions'!$H$34:$H$73,MATCH(AJ$2,'Standards for Conversions'!$A$34:$A$73,0))))</f>
        <v/>
      </c>
      <c r="AM38" s="7"/>
      <c r="AN38" s="7"/>
      <c r="AO38" s="31" t="str">
        <f>IF(AN38/(INDEX('Standards for Conversions'!$H$34:$H$73,MATCH(AM$2,'Standards for Conversions'!$A$34:$A$73,0)))=0,"",AN38/(INDEX('Standards for Conversions'!$H$34:$H$73,MATCH(AM$2,'Standards for Conversions'!$A$34:$A$73,0))))</f>
        <v/>
      </c>
      <c r="AP38" s="7"/>
      <c r="AQ38" s="7"/>
      <c r="AR38" s="31" t="str">
        <f>IF(AQ38/(INDEX('Standards for Conversions'!$H$34:$H$73,MATCH(AP$2,'Standards for Conversions'!$A$34:$A$73,0)))=0,"",AQ38/(INDEX('Standards for Conversions'!$H$34:$H$73,MATCH(AP$2,'Standards for Conversions'!$A$34:$A$73,0))))</f>
        <v/>
      </c>
      <c r="AS38" s="7"/>
      <c r="AT38" s="7"/>
      <c r="AU38" s="31" t="str">
        <f>IF(AT38/(INDEX('Standards for Conversions'!$H$34:$H$73,MATCH(AS$2,'Standards for Conversions'!$A$34:$A$73,0)))=0,"",AT38/(INDEX('Standards for Conversions'!$H$34:$H$73,MATCH(AS$2,'Standards for Conversions'!$A$34:$A$73,0))))</f>
        <v/>
      </c>
      <c r="AV38" s="7"/>
      <c r="AW38" s="7"/>
      <c r="AX38" s="31" t="str">
        <f>IF(AW38/(INDEX('Standards for Conversions'!$H$47:$H$73,MATCH(AV$2,'Standards for Conversions'!$A$47:$A$73,0)))=0,"",AW38/(INDEX('Standards for Conversions'!$H$47:$H$73,MATCH(AV$2,'Standards for Conversions'!$A$47:$A$73,0))))</f>
        <v/>
      </c>
      <c r="BB38" s="31" t="str">
        <f>IF(BA38/(INDEX('Standards for Conversions'!$H$47:$H$73,MATCH(AZ$2,'Standards for Conversions'!$A$47:$A$73,0)))=0,"",BA38/(INDEX('Standards for Conversions'!$H$47:$H$73,MATCH(AZ$2,'Standards for Conversions'!$A$47:$A$73,0))))</f>
        <v/>
      </c>
      <c r="BE38" s="31" t="str">
        <f>IF(BD38/(INDEX('Standards for Conversions'!$H$47:$H$73,MATCH(BC$2,'Standards for Conversions'!$A$47:$A$73,0)))=0,"",BD38/(INDEX('Standards for Conversions'!$H$47:$H$73,MATCH(BC$2,'Standards for Conversions'!$A$47:$A$73,0))))</f>
        <v/>
      </c>
      <c r="BF38" s="33"/>
      <c r="BI38" s="31" t="str">
        <f>IF(BH38/(INDEX('Standards for Conversions'!$H$47:$H$73,MATCH(BG$2,'Standards for Conversions'!$A$47:$A$73,0)))=0,"",BH38/(INDEX('Standards for Conversions'!$H$47:$H$73,MATCH(BG$2,'Standards for Conversions'!$A$47:$A$73,0))))</f>
        <v/>
      </c>
      <c r="BJ38" s="33"/>
      <c r="BM38" s="31" t="str">
        <f>IF(BL38/(INDEX('Standards for Conversions'!$H$47:$H$73,MATCH(BK$2,'Standards for Conversions'!$A$47:$A$73,0)))=0,"",BL38/(INDEX('Standards for Conversions'!$H$47:$H$73,MATCH(BK$2,'Standards for Conversions'!$A$47:$A$73,0))))</f>
        <v/>
      </c>
      <c r="BP38" s="31" t="str">
        <f>IF(BO38/(INDEX('Standards for Conversions'!$H$47:$H$73,MATCH(BN$2,'Standards for Conversions'!$A$47:$A$73,0)))=0,"",BO38/(INDEX('Standards for Conversions'!$H$47:$H$73,MATCH(BN$2,'Standards for Conversions'!$A$47:$A$73,0))))</f>
        <v/>
      </c>
      <c r="BQ38" s="33"/>
      <c r="BT38" s="31" t="str">
        <f>IF(BS38/(INDEX('Standards for Conversions'!$H$47:$H$73,MATCH(BR$2,'Standards for Conversions'!$A$47:$A$73,0)))=0,"",BS38/(INDEX('Standards for Conversions'!$H$47:$H$73,MATCH(BR$2,'Standards for Conversions'!$A$47:$A$73,0))))</f>
        <v/>
      </c>
      <c r="BU38" s="33"/>
      <c r="BX38" s="31" t="str">
        <f>IF(BW38/(INDEX('Standards for Conversions'!$H$47:$H$73,MATCH(BV$2,'Standards for Conversions'!$A$47:$A$73,0)))=0,"",BW38/(INDEX('Standards for Conversions'!$H$47:$H$73,MATCH(BV$2,'Standards for Conversions'!$A$47:$A$73,0))))</f>
        <v/>
      </c>
      <c r="CA38" s="31" t="str">
        <f>IF(BZ38/(INDEX('Standards for Conversions'!$H$47:$H$73,MATCH(BY$2,'Standards for Conversions'!$A$47:$A$73,0)))=0,"",BZ38/(INDEX('Standards for Conversions'!$H$47:$H$73,MATCH(BY$2,'Standards for Conversions'!$A$47:$A$73,0))))</f>
        <v/>
      </c>
      <c r="CD38" s="31" t="str">
        <f>IF(CC38/(INDEX('Standards for Conversions'!$H$47:$H$73,MATCH(CB$2,'Standards for Conversions'!$A$47:$A$73,0)))=0,"",CC38/(INDEX('Standards for Conversions'!$H$47:$H$73,MATCH(CB$2,'Standards for Conversions'!$A$47:$A$73,0))))</f>
        <v/>
      </c>
      <c r="CH38" s="31" t="str">
        <f>IF(CG38/(INDEX('Standards for Conversions'!$H$47:$H$73,MATCH(CF$2,'Standards for Conversions'!$A$47:$A$73,0)))=0,"",CG38/(INDEX('Standards for Conversions'!$H$47:$H$73,MATCH(CF$2,'Standards for Conversions'!$A$47:$A$73,0))))</f>
        <v/>
      </c>
      <c r="CK38" s="31" t="str">
        <f>IF(CJ38/(INDEX('Standards for Conversions'!$H$47:$H$73,MATCH(CI$2,'Standards for Conversions'!$A$47:$A$73,0)))=0,"",CJ38/(INDEX('Standards for Conversions'!$H$47:$H$73,MATCH(CI$2,'Standards for Conversions'!$A$47:$A$73,0))))</f>
        <v/>
      </c>
      <c r="CN38" s="31" t="str">
        <f>IF(CM38/(INDEX('Standards for Conversions'!$H$47:$H$73,MATCH(CL$2,'Standards for Conversions'!$A$47:$A$73,0)))=0,"",CM38/(INDEX('Standards for Conversions'!$H$47:$H$73,MATCH(CL$2,'Standards for Conversions'!$A$47:$A$73,0))))</f>
        <v/>
      </c>
      <c r="CQ38" s="31" t="str">
        <f>IF(CP38/(INDEX('Standards for Conversions'!$H$47:$H$73,MATCH(CO$2,'Standards for Conversions'!$A$47:$A$73,0)))=0,"",CP38/(INDEX('Standards for Conversions'!$H$47:$H$73,MATCH(CO$2,'Standards for Conversions'!$A$47:$A$73,0))))</f>
        <v/>
      </c>
      <c r="CU38" s="31" t="str">
        <f>IF(CT38/(INDEX('Standards for Conversions'!$H$47:$H$73,MATCH(CS$2,'Standards for Conversions'!$A$47:$A$73,0)))=0,"",CT38/(INDEX('Standards for Conversions'!$H$47:$H$73,MATCH(CS$2,'Standards for Conversions'!$A$47:$A$73,0))))</f>
        <v/>
      </c>
      <c r="CX38" s="31" t="str">
        <f>IF(CW38/(INDEX('Standards for Conversions'!$H$47:$H$73,MATCH(CV$2,'Standards for Conversions'!$A$47:$A$73,0)))=0,"",CW38/(INDEX('Standards for Conversions'!$H$47:$H$73,MATCH(CV$2,'Standards for Conversions'!$A$47:$A$73,0))))</f>
        <v/>
      </c>
      <c r="DA38" s="31" t="str">
        <f>IF(CZ38/(INDEX('Standards for Conversions'!$H$47:$H$73,MATCH(CY$2,'Standards for Conversions'!$A$47:$A$73,0)))=0,"",CZ38/(INDEX('Standards for Conversions'!$H$47:$H$73,MATCH(CY$2,'Standards for Conversions'!$A$47:$A$73,0))))</f>
        <v/>
      </c>
      <c r="DE38" s="31" t="str">
        <f>IF(DD38/(INDEX('Standards for Conversions'!$H$47:$H$73,MATCH(DC$2,'Standards for Conversions'!$A$47:$A$73,0)))=0,"",DD38/(INDEX('Standards for Conversions'!$H$47:$H$73,MATCH(DC$2,'Standards for Conversions'!$A$47:$A$73,0))))</f>
        <v/>
      </c>
      <c r="DM38" s="29" t="s">
        <v>98</v>
      </c>
      <c r="DN38" s="29">
        <v>2870</v>
      </c>
      <c r="DO38" s="29">
        <v>4629</v>
      </c>
    </row>
    <row r="39" spans="1:126" hidden="1" x14ac:dyDescent="0.3">
      <c r="A39" t="s">
        <v>342</v>
      </c>
      <c r="C39" s="7"/>
      <c r="D39" s="7"/>
      <c r="E39" s="31" t="str">
        <f>IF(D39/(INDEX('Standards for Conversions'!$H$34:$H$73,MATCH(C$2,'Standards for Conversions'!$A$34:$A$73,0)))=0,"",D39/(INDEX('Standards for Conversions'!$H$34:$H$73,MATCH(C$2,'Standards for Conversions'!$A$34:$A$73,0))))</f>
        <v/>
      </c>
      <c r="F39" s="7"/>
      <c r="G39" s="7"/>
      <c r="H39" s="31" t="str">
        <f>IF(G39/(INDEX('Standards for Conversions'!$H$34:$H$73,MATCH(F$2,'Standards for Conversions'!$A$34:$A$73,0)))=0,"",G39/(INDEX('Standards for Conversions'!$H$34:$H$73,MATCH(F$2,'Standards for Conversions'!$A$34:$A$73,0))))</f>
        <v/>
      </c>
      <c r="J39" s="7"/>
      <c r="K39" s="7"/>
      <c r="L39" s="31" t="str">
        <f>IF(K39/(INDEX('Standards for Conversions'!$H$34:$H$73,MATCH(J$2,'Standards for Conversions'!$A$34:$A$73,0)))=0,"",K39/(INDEX('Standards for Conversions'!$H$34:$H$73,MATCH(J$2,'Standards for Conversions'!$A$34:$A$73,0))))</f>
        <v/>
      </c>
      <c r="M39" s="7"/>
      <c r="N39" s="7"/>
      <c r="O39" s="31" t="str">
        <f>IF(N39/(INDEX('Standards for Conversions'!$H$34:$H$73,MATCH(M$2,'Standards for Conversions'!$A$34:$A$73,0)))=0,"",N39/(INDEX('Standards for Conversions'!$H$34:$H$73,MATCH(M$2,'Standards for Conversions'!$A$34:$A$73,0))))</f>
        <v/>
      </c>
      <c r="Q39" s="7"/>
      <c r="R39" s="7"/>
      <c r="S39" s="31" t="str">
        <f>IF(R39/(INDEX('Standards for Conversions'!$H$34:$H$73,MATCH(Q$2,'Standards for Conversions'!$A$34:$A$73,0)))=0,"",R39/(INDEX('Standards for Conversions'!$H$34:$H$73,MATCH(Q$2,'Standards for Conversions'!$A$34:$A$73,0))))</f>
        <v/>
      </c>
      <c r="U39" s="7"/>
      <c r="V39" s="7"/>
      <c r="W39" s="31" t="str">
        <f>IF(V39/(INDEX('Standards for Conversions'!$H$34:$H$73,MATCH(U$2,'Standards for Conversions'!$A$34:$A$73,0)))=0,"",V39/(INDEX('Standards for Conversions'!$H$34:$H$73,MATCH(U$2,'Standards for Conversions'!$A$34:$A$73,0))))</f>
        <v/>
      </c>
      <c r="Y39" s="7"/>
      <c r="Z39" s="7"/>
      <c r="AA39" s="31" t="str">
        <f>IF(Z39/(INDEX('Standards for Conversions'!$H$34:$H$73,MATCH(Y$2,'Standards for Conversions'!$A$34:$A$73,0)))=0,"",Z39/(INDEX('Standards for Conversions'!$H$34:$H$73,MATCH(Y$2,'Standards for Conversions'!$A$34:$A$73,0))))</f>
        <v/>
      </c>
      <c r="AB39" s="7"/>
      <c r="AC39" s="7"/>
      <c r="AD39" s="31" t="str">
        <f>IF(AC39/(INDEX('Standards for Conversions'!$H$34:$H$73,MATCH(AB$2,'Standards for Conversions'!$A$34:$A$73,0)))=0,"",AC39/(INDEX('Standards for Conversions'!$H$34:$H$73,MATCH(AB$2,'Standards for Conversions'!$A$34:$A$73,0))))</f>
        <v/>
      </c>
      <c r="AF39" s="7"/>
      <c r="AG39" s="7"/>
      <c r="AH39" s="31" t="str">
        <f>IF(AG39/(INDEX('Standards for Conversions'!$H$34:$H$73,MATCH(AF$2,'Standards for Conversions'!$A$34:$A$73,0)))=0,"",AG39/(INDEX('Standards for Conversions'!$H$34:$H$73,MATCH(AF$2,'Standards for Conversions'!$A$34:$A$73,0))))</f>
        <v/>
      </c>
      <c r="AJ39" s="7"/>
      <c r="AK39" s="7"/>
      <c r="AL39" s="31" t="str">
        <f>IF(AK39/(INDEX('Standards for Conversions'!$H$34:$H$73,MATCH(AJ$2,'Standards for Conversions'!$A$34:$A$73,0)))=0,"",AK39/(INDEX('Standards for Conversions'!$H$34:$H$73,MATCH(AJ$2,'Standards for Conversions'!$A$34:$A$73,0))))</f>
        <v/>
      </c>
      <c r="AM39" s="7"/>
      <c r="AN39" s="7"/>
      <c r="AO39" s="31" t="str">
        <f>IF(AN39/(INDEX('Standards for Conversions'!$H$34:$H$73,MATCH(AM$2,'Standards for Conversions'!$A$34:$A$73,0)))=0,"",AN39/(INDEX('Standards for Conversions'!$H$34:$H$73,MATCH(AM$2,'Standards for Conversions'!$A$34:$A$73,0))))</f>
        <v/>
      </c>
      <c r="AP39" s="7"/>
      <c r="AQ39" s="7"/>
      <c r="AR39" s="31" t="str">
        <f>IF(AQ39/(INDEX('Standards for Conversions'!$H$34:$H$73,MATCH(AP$2,'Standards for Conversions'!$A$34:$A$73,0)))=0,"",AQ39/(INDEX('Standards for Conversions'!$H$34:$H$73,MATCH(AP$2,'Standards for Conversions'!$A$34:$A$73,0))))</f>
        <v/>
      </c>
      <c r="AS39" s="7"/>
      <c r="AT39" s="7"/>
      <c r="AU39" s="31" t="str">
        <f>IF(AT39/(INDEX('Standards for Conversions'!$H$34:$H$73,MATCH(AS$2,'Standards for Conversions'!$A$34:$A$73,0)))=0,"",AT39/(INDEX('Standards for Conversions'!$H$34:$H$73,MATCH(AS$2,'Standards for Conversions'!$A$34:$A$73,0))))</f>
        <v/>
      </c>
      <c r="AV39" s="7"/>
      <c r="AW39" s="7"/>
      <c r="AX39" s="31" t="str">
        <f>IF(AW39/(INDEX('Standards for Conversions'!$H$47:$H$73,MATCH(AV$2,'Standards for Conversions'!$A$47:$A$73,0)))=0,"",AW39/(INDEX('Standards for Conversions'!$H$47:$H$73,MATCH(AV$2,'Standards for Conversions'!$A$47:$A$73,0))))</f>
        <v/>
      </c>
      <c r="BB39" s="31" t="str">
        <f>IF(BA39/(INDEX('Standards for Conversions'!$H$47:$H$73,MATCH(AZ$2,'Standards for Conversions'!$A$47:$A$73,0)))=0,"",BA39/(INDEX('Standards for Conversions'!$H$47:$H$73,MATCH(AZ$2,'Standards for Conversions'!$A$47:$A$73,0))))</f>
        <v/>
      </c>
      <c r="BE39" s="31" t="str">
        <f>IF(BD39/(INDEX('Standards for Conversions'!$H$47:$H$73,MATCH(BC$2,'Standards for Conversions'!$A$47:$A$73,0)))=0,"",BD39/(INDEX('Standards for Conversions'!$H$47:$H$73,MATCH(BC$2,'Standards for Conversions'!$A$47:$A$73,0))))</f>
        <v/>
      </c>
      <c r="BF39" s="33"/>
      <c r="BI39" s="31" t="str">
        <f>IF(BH39/(INDEX('Standards for Conversions'!$H$47:$H$73,MATCH(BG$2,'Standards for Conversions'!$A$47:$A$73,0)))=0,"",BH39/(INDEX('Standards for Conversions'!$H$47:$H$73,MATCH(BG$2,'Standards for Conversions'!$A$47:$A$73,0))))</f>
        <v/>
      </c>
      <c r="BJ39" s="33"/>
      <c r="BM39" s="31" t="str">
        <f>IF(BL39/(INDEX('Standards for Conversions'!$H$47:$H$73,MATCH(BK$2,'Standards for Conversions'!$A$47:$A$73,0)))=0,"",BL39/(INDEX('Standards for Conversions'!$H$47:$H$73,MATCH(BK$2,'Standards for Conversions'!$A$47:$A$73,0))))</f>
        <v/>
      </c>
      <c r="BP39" s="31" t="str">
        <f>IF(BO39/(INDEX('Standards for Conversions'!$H$47:$H$73,MATCH(BN$2,'Standards for Conversions'!$A$47:$A$73,0)))=0,"",BO39/(INDEX('Standards for Conversions'!$H$47:$H$73,MATCH(BN$2,'Standards for Conversions'!$A$47:$A$73,0))))</f>
        <v/>
      </c>
      <c r="BQ39" s="33"/>
      <c r="BT39" s="31" t="str">
        <f>IF(BS39/(INDEX('Standards for Conversions'!$H$47:$H$73,MATCH(BR$2,'Standards for Conversions'!$A$47:$A$73,0)))=0,"",BS39/(INDEX('Standards for Conversions'!$H$47:$H$73,MATCH(BR$2,'Standards for Conversions'!$A$47:$A$73,0))))</f>
        <v/>
      </c>
      <c r="BU39" s="33"/>
      <c r="BX39" s="31" t="str">
        <f>IF(BW39/(INDEX('Standards for Conversions'!$H$47:$H$73,MATCH(BV$2,'Standards for Conversions'!$A$47:$A$73,0)))=0,"",BW39/(INDEX('Standards for Conversions'!$H$47:$H$73,MATCH(BV$2,'Standards for Conversions'!$A$47:$A$73,0))))</f>
        <v/>
      </c>
      <c r="CA39" s="31" t="str">
        <f>IF(BZ39/(INDEX('Standards for Conversions'!$H$47:$H$73,MATCH(BY$2,'Standards for Conversions'!$A$47:$A$73,0)))=0,"",BZ39/(INDEX('Standards for Conversions'!$H$47:$H$73,MATCH(BY$2,'Standards for Conversions'!$A$47:$A$73,0))))</f>
        <v/>
      </c>
      <c r="CD39" s="31" t="str">
        <f>IF(CC39/(INDEX('Standards for Conversions'!$H$47:$H$73,MATCH(CB$2,'Standards for Conversions'!$A$47:$A$73,0)))=0,"",CC39/(INDEX('Standards for Conversions'!$H$47:$H$73,MATCH(CB$2,'Standards for Conversions'!$A$47:$A$73,0))))</f>
        <v/>
      </c>
      <c r="CH39" s="31" t="str">
        <f>IF(CG39/(INDEX('Standards for Conversions'!$H$47:$H$73,MATCH(CF$2,'Standards for Conversions'!$A$47:$A$73,0)))=0,"",CG39/(INDEX('Standards for Conversions'!$H$47:$H$73,MATCH(CF$2,'Standards for Conversions'!$A$47:$A$73,0))))</f>
        <v/>
      </c>
      <c r="CK39" s="31" t="str">
        <f>IF(CJ39/(INDEX('Standards for Conversions'!$H$47:$H$73,MATCH(CI$2,'Standards for Conversions'!$A$47:$A$73,0)))=0,"",CJ39/(INDEX('Standards for Conversions'!$H$47:$H$73,MATCH(CI$2,'Standards for Conversions'!$A$47:$A$73,0))))</f>
        <v/>
      </c>
      <c r="CN39" s="31" t="str">
        <f>IF(CM39/(INDEX('Standards for Conversions'!$H$47:$H$73,MATCH(CL$2,'Standards for Conversions'!$A$47:$A$73,0)))=0,"",CM39/(INDEX('Standards for Conversions'!$H$47:$H$73,MATCH(CL$2,'Standards for Conversions'!$A$47:$A$73,0))))</f>
        <v/>
      </c>
      <c r="CQ39" s="31" t="str">
        <f>IF(CP39/(INDEX('Standards for Conversions'!$H$47:$H$73,MATCH(CO$2,'Standards for Conversions'!$A$47:$A$73,0)))=0,"",CP39/(INDEX('Standards for Conversions'!$H$47:$H$73,MATCH(CO$2,'Standards for Conversions'!$A$47:$A$73,0))))</f>
        <v/>
      </c>
      <c r="CU39" s="31" t="str">
        <f>IF(CT39/(INDEX('Standards for Conversions'!$H$47:$H$73,MATCH(CS$2,'Standards for Conversions'!$A$47:$A$73,0)))=0,"",CT39/(INDEX('Standards for Conversions'!$H$47:$H$73,MATCH(CS$2,'Standards for Conversions'!$A$47:$A$73,0))))</f>
        <v/>
      </c>
      <c r="CX39" s="31" t="str">
        <f>IF(CW39/(INDEX('Standards for Conversions'!$H$47:$H$73,MATCH(CV$2,'Standards for Conversions'!$A$47:$A$73,0)))=0,"",CW39/(INDEX('Standards for Conversions'!$H$47:$H$73,MATCH(CV$2,'Standards for Conversions'!$A$47:$A$73,0))))</f>
        <v/>
      </c>
      <c r="DA39" s="31" t="str">
        <f>IF(CZ39/(INDEX('Standards for Conversions'!$H$47:$H$73,MATCH(CY$2,'Standards for Conversions'!$A$47:$A$73,0)))=0,"",CZ39/(INDEX('Standards for Conversions'!$H$47:$H$73,MATCH(CY$2,'Standards for Conversions'!$A$47:$A$73,0))))</f>
        <v/>
      </c>
      <c r="DE39" s="31" t="str">
        <f>IF(DD39/(INDEX('Standards for Conversions'!$H$47:$H$73,MATCH(DC$2,'Standards for Conversions'!$A$47:$A$73,0)))=0,"",DD39/(INDEX('Standards for Conversions'!$H$47:$H$73,MATCH(DC$2,'Standards for Conversions'!$A$47:$A$73,0))))</f>
        <v/>
      </c>
      <c r="DR39" s="29" t="s">
        <v>98</v>
      </c>
      <c r="DS39" s="29">
        <v>849</v>
      </c>
      <c r="DT39" s="29">
        <v>283</v>
      </c>
      <c r="DU39" s="29">
        <v>145</v>
      </c>
      <c r="DV39" s="29">
        <v>84</v>
      </c>
    </row>
    <row r="40" spans="1:126" hidden="1" x14ac:dyDescent="0.3">
      <c r="A40" t="s">
        <v>328</v>
      </c>
      <c r="B40" s="10" t="s">
        <v>60</v>
      </c>
      <c r="C40" s="7"/>
      <c r="D40" s="7"/>
      <c r="E40" s="31" t="str">
        <f>IF(D40/(INDEX('Standards for Conversions'!$H$34:$H$73,MATCH(C$2,'Standards for Conversions'!$A$34:$A$73,0)))=0,"",D40/(INDEX('Standards for Conversions'!$H$34:$H$73,MATCH(C$2,'Standards for Conversions'!$A$34:$A$73,0))))</f>
        <v/>
      </c>
      <c r="F40" s="7"/>
      <c r="G40" s="7"/>
      <c r="H40" s="31" t="str">
        <f>IF(G40/(INDEX('Standards for Conversions'!$H$34:$H$73,MATCH(F$2,'Standards for Conversions'!$A$34:$A$73,0)))=0,"",G40/(INDEX('Standards for Conversions'!$H$34:$H$73,MATCH(F$2,'Standards for Conversions'!$A$34:$A$73,0))))</f>
        <v/>
      </c>
      <c r="I40" s="10" t="s">
        <v>60</v>
      </c>
      <c r="J40" s="7"/>
      <c r="K40" s="7"/>
      <c r="L40" s="31" t="str">
        <f>IF(K40/(INDEX('Standards for Conversions'!$H$34:$H$73,MATCH(J$2,'Standards for Conversions'!$A$34:$A$73,0)))=0,"",K40/(INDEX('Standards for Conversions'!$H$34:$H$73,MATCH(J$2,'Standards for Conversions'!$A$34:$A$73,0))))</f>
        <v/>
      </c>
      <c r="M40" s="7"/>
      <c r="N40" s="7"/>
      <c r="O40" s="31" t="str">
        <f>IF(N40/(INDEX('Standards for Conversions'!$H$34:$H$73,MATCH(M$2,'Standards for Conversions'!$A$34:$A$73,0)))=0,"",N40/(INDEX('Standards for Conversions'!$H$34:$H$73,MATCH(M$2,'Standards for Conversions'!$A$34:$A$73,0))))</f>
        <v/>
      </c>
      <c r="P40" s="10" t="s">
        <v>60</v>
      </c>
      <c r="Q40" s="7"/>
      <c r="R40" s="7"/>
      <c r="S40" s="31" t="str">
        <f>IF(R40/(INDEX('Standards for Conversions'!$H$34:$H$73,MATCH(Q$2,'Standards for Conversions'!$A$34:$A$73,0)))=0,"",R40/(INDEX('Standards for Conversions'!$H$34:$H$73,MATCH(Q$2,'Standards for Conversions'!$A$34:$A$73,0))))</f>
        <v/>
      </c>
      <c r="T40" s="10" t="s">
        <v>60</v>
      </c>
      <c r="U40" s="7"/>
      <c r="V40" s="7"/>
      <c r="W40" s="31" t="str">
        <f>IF(V40/(INDEX('Standards for Conversions'!$H$34:$H$73,MATCH(U$2,'Standards for Conversions'!$A$34:$A$73,0)))=0,"",V40/(INDEX('Standards for Conversions'!$H$34:$H$73,MATCH(U$2,'Standards for Conversions'!$A$34:$A$73,0))))</f>
        <v/>
      </c>
      <c r="X40" s="10" t="s">
        <v>60</v>
      </c>
      <c r="Y40" s="7"/>
      <c r="Z40" s="7"/>
      <c r="AA40" s="31" t="str">
        <f>IF(Z40/(INDEX('Standards for Conversions'!$H$34:$H$73,MATCH(Y$2,'Standards for Conversions'!$A$34:$A$73,0)))=0,"",Z40/(INDEX('Standards for Conversions'!$H$34:$H$73,MATCH(Y$2,'Standards for Conversions'!$A$34:$A$73,0))))</f>
        <v/>
      </c>
      <c r="AB40" s="7"/>
      <c r="AC40" s="7"/>
      <c r="AD40" s="31" t="str">
        <f>IF(AC40/(INDEX('Standards for Conversions'!$H$34:$H$73,MATCH(AB$2,'Standards for Conversions'!$A$34:$A$73,0)))=0,"",AC40/(INDEX('Standards for Conversions'!$H$34:$H$73,MATCH(AB$2,'Standards for Conversions'!$A$34:$A$73,0))))</f>
        <v/>
      </c>
      <c r="AE40" s="10" t="s">
        <v>60</v>
      </c>
      <c r="AF40" s="7"/>
      <c r="AG40" s="7"/>
      <c r="AH40" s="31" t="str">
        <f>IF(AG40/(INDEX('Standards for Conversions'!$H$34:$H$73,MATCH(AF$2,'Standards for Conversions'!$A$34:$A$73,0)))=0,"",AG40/(INDEX('Standards for Conversions'!$H$34:$H$73,MATCH(AF$2,'Standards for Conversions'!$A$34:$A$73,0))))</f>
        <v/>
      </c>
      <c r="AI40" s="10" t="s">
        <v>60</v>
      </c>
      <c r="AJ40" s="7"/>
      <c r="AK40" s="7"/>
      <c r="AL40" s="31" t="str">
        <f>IF(AK40/(INDEX('Standards for Conversions'!$H$34:$H$73,MATCH(AJ$2,'Standards for Conversions'!$A$34:$A$73,0)))=0,"",AK40/(INDEX('Standards for Conversions'!$H$34:$H$73,MATCH(AJ$2,'Standards for Conversions'!$A$34:$A$73,0))))</f>
        <v/>
      </c>
      <c r="AM40" s="7"/>
      <c r="AN40" s="7"/>
      <c r="AO40" s="31" t="str">
        <f>IF(AN40/(INDEX('Standards for Conversions'!$H$34:$H$73,MATCH(AM$2,'Standards for Conversions'!$A$34:$A$73,0)))=0,"",AN40/(INDEX('Standards for Conversions'!$H$34:$H$73,MATCH(AM$2,'Standards for Conversions'!$A$34:$A$73,0))))</f>
        <v/>
      </c>
      <c r="AP40" s="7"/>
      <c r="AQ40" s="7"/>
      <c r="AR40" s="31" t="str">
        <f>IF(AQ40/(INDEX('Standards for Conversions'!$H$34:$H$73,MATCH(AP$2,'Standards for Conversions'!$A$34:$A$73,0)))=0,"",AQ40/(INDEX('Standards for Conversions'!$H$34:$H$73,MATCH(AP$2,'Standards for Conversions'!$A$34:$A$73,0))))</f>
        <v/>
      </c>
      <c r="AS40" s="7"/>
      <c r="AT40" s="7"/>
      <c r="AU40" s="31" t="str">
        <f>IF(AT40/(INDEX('Standards for Conversions'!$H$34:$H$73,MATCH(AS$2,'Standards for Conversions'!$A$34:$A$73,0)))=0,"",AT40/(INDEX('Standards for Conversions'!$H$34:$H$73,MATCH(AS$2,'Standards for Conversions'!$A$34:$A$73,0))))</f>
        <v/>
      </c>
      <c r="AV40" s="7"/>
      <c r="AW40" s="7"/>
      <c r="AX40" s="31" t="str">
        <f>IF(AW40/(INDEX('Standards for Conversions'!$H$47:$H$73,MATCH(AV$2,'Standards for Conversions'!$A$47:$A$73,0)))=0,"",AW40/(INDEX('Standards for Conversions'!$H$47:$H$73,MATCH(AV$2,'Standards for Conversions'!$A$47:$A$73,0))))</f>
        <v/>
      </c>
      <c r="AY40" s="47" t="s">
        <v>60</v>
      </c>
      <c r="AZ40" s="29">
        <v>200</v>
      </c>
      <c r="BA40" s="29">
        <v>16000</v>
      </c>
      <c r="BB40" s="31">
        <f>IF(BA40/(INDEX('Standards for Conversions'!$H$47:$H$73,MATCH(AZ$2,'Standards for Conversions'!$A$47:$A$73,0)))=0,"",BA40/(INDEX('Standards for Conversions'!$H$47:$H$73,MATCH(AZ$2,'Standards for Conversions'!$A$47:$A$73,0))))</f>
        <v>2323.9265954056955</v>
      </c>
      <c r="BC40" s="29">
        <v>150</v>
      </c>
      <c r="BD40" s="29">
        <v>13000</v>
      </c>
      <c r="BE40" s="31">
        <f>IF(BD40/(INDEX('Standards for Conversions'!$H$47:$H$73,MATCH(BC$2,'Standards for Conversions'!$A$47:$A$73,0)))=0,"",BD40/(INDEX('Standards for Conversions'!$H$47:$H$73,MATCH(BC$2,'Standards for Conversions'!$A$47:$A$73,0))))</f>
        <v>1879.9329665276207</v>
      </c>
      <c r="BF40" s="47" t="s">
        <v>60</v>
      </c>
      <c r="BG40" s="29">
        <v>150</v>
      </c>
      <c r="BH40" s="29">
        <v>14000</v>
      </c>
      <c r="BI40" s="31">
        <f>IF(BH40/(INDEX('Standards for Conversions'!$H$47:$H$73,MATCH(BG$2,'Standards for Conversions'!$A$47:$A$73,0)))=0,"",BH40/(INDEX('Standards for Conversions'!$H$47:$H$73,MATCH(BG$2,'Standards for Conversions'!$A$47:$A$73,0))))</f>
        <v>2264.6427536861615</v>
      </c>
      <c r="BJ40" s="47" t="s">
        <v>60</v>
      </c>
      <c r="BK40" s="29">
        <v>200</v>
      </c>
      <c r="BL40" s="29">
        <v>20000</v>
      </c>
      <c r="BM40" s="31">
        <f>IF(BL40/(INDEX('Standards for Conversions'!$H$47:$H$73,MATCH(BK$2,'Standards for Conversions'!$A$47:$A$73,0)))=0,"",BL40/(INDEX('Standards for Conversions'!$H$47:$H$73,MATCH(BK$2,'Standards for Conversions'!$A$47:$A$73,0))))</f>
        <v>3053.1178485559512</v>
      </c>
      <c r="BN40" s="29">
        <v>250</v>
      </c>
      <c r="BO40" s="29">
        <v>25000</v>
      </c>
      <c r="BP40" s="31">
        <f>IF(BO40/(INDEX('Standards for Conversions'!$H$47:$H$73,MATCH(BN$2,'Standards for Conversions'!$A$47:$A$73,0)))=0,"",BO40/(INDEX('Standards for Conversions'!$H$47:$H$73,MATCH(BN$2,'Standards for Conversions'!$A$47:$A$73,0))))</f>
        <v>3366.4752976449117</v>
      </c>
      <c r="BQ40" s="47" t="s">
        <v>60</v>
      </c>
      <c r="BR40" s="29">
        <v>300</v>
      </c>
      <c r="BS40" s="29">
        <v>30000</v>
      </c>
      <c r="BT40" s="31">
        <f>IF(BS40/(INDEX('Standards for Conversions'!$H$47:$H$73,MATCH(BR$2,'Standards for Conversions'!$A$47:$A$73,0)))=0,"",BS40/(INDEX('Standards for Conversions'!$H$47:$H$73,MATCH(BR$2,'Standards for Conversions'!$A$47:$A$73,0))))</f>
        <v>3648.4970018249755</v>
      </c>
      <c r="BU40" s="47" t="s">
        <v>60</v>
      </c>
      <c r="BV40" s="29">
        <v>1350</v>
      </c>
      <c r="BW40" s="29">
        <v>27000</v>
      </c>
      <c r="BX40" s="31">
        <f>IF(BW40/(INDEX('Standards for Conversions'!$H$47:$H$73,MATCH(BV$2,'Standards for Conversions'!$A$47:$A$73,0)))=0,"",BW40/(INDEX('Standards for Conversions'!$H$47:$H$73,MATCH(BV$2,'Standards for Conversions'!$A$47:$A$73,0))))</f>
        <v>2646.8118047710086</v>
      </c>
      <c r="BY40" s="29">
        <v>1000</v>
      </c>
      <c r="BZ40" s="29">
        <v>20000</v>
      </c>
      <c r="CA40" s="31">
        <f>IF(BZ40/(INDEX('Standards for Conversions'!$H$47:$H$73,MATCH(BY$2,'Standards for Conversions'!$A$47:$A$73,0)))=0,"",BZ40/(INDEX('Standards for Conversions'!$H$47:$H$73,MATCH(BY$2,'Standards for Conversions'!$A$47:$A$73,0))))</f>
        <v>2019.8851785869465</v>
      </c>
      <c r="CB40" s="29">
        <v>1000</v>
      </c>
      <c r="CC40" s="29">
        <v>20000</v>
      </c>
      <c r="CD40" s="31">
        <f>IF(CC40/(INDEX('Standards for Conversions'!$H$47:$H$73,MATCH(CB$2,'Standards for Conversions'!$A$47:$A$73,0)))=0,"",CC40/(INDEX('Standards for Conversions'!$H$47:$H$73,MATCH(CB$2,'Standards for Conversions'!$A$47:$A$73,0))))</f>
        <v>2087.6381405521274</v>
      </c>
      <c r="CE40" s="33" t="s">
        <v>98</v>
      </c>
      <c r="CF40" s="29">
        <f>1000</f>
        <v>1000</v>
      </c>
      <c r="CG40" s="29">
        <v>25000</v>
      </c>
      <c r="CH40" s="31">
        <f>IF(CG40/(INDEX('Standards for Conversions'!$H$47:$H$73,MATCH(CF$2,'Standards for Conversions'!$A$47:$A$73,0)))=0,"",CG40/(INDEX('Standards for Conversions'!$H$47:$H$73,MATCH(CF$2,'Standards for Conversions'!$A$47:$A$73,0))))</f>
        <v>2334.3012677066126</v>
      </c>
      <c r="CI40" s="29">
        <v>1000</v>
      </c>
      <c r="CJ40" s="29">
        <v>30000</v>
      </c>
      <c r="CK40" s="31">
        <f>IF(CJ40/(INDEX('Standards for Conversions'!$H$47:$H$73,MATCH(CI$2,'Standards for Conversions'!$A$47:$A$73,0)))=0,"",CJ40/(INDEX('Standards for Conversions'!$H$47:$H$73,MATCH(CI$2,'Standards for Conversions'!$A$47:$A$73,0))))</f>
        <v>2737.6431194055785</v>
      </c>
      <c r="CL40" s="29">
        <v>12000</v>
      </c>
      <c r="CM40" s="29">
        <v>35000</v>
      </c>
      <c r="CN40" s="31">
        <f>IF(CM40/(INDEX('Standards for Conversions'!$H$47:$H$73,MATCH(CL$2,'Standards for Conversions'!$A$47:$A$73,0)))=0,"",CM40/(INDEX('Standards for Conversions'!$H$47:$H$73,MATCH(CL$2,'Standards for Conversions'!$A$47:$A$73,0))))</f>
        <v>3253.2008143593748</v>
      </c>
      <c r="CO40" s="29">
        <v>3906</v>
      </c>
      <c r="CP40" s="29">
        <v>117180</v>
      </c>
      <c r="CQ40" s="31">
        <f>IF(CP40/(INDEX('Standards for Conversions'!$H$47:$H$73,MATCH(CO$2,'Standards for Conversions'!$A$47:$A$73,0)))=0,"",CP40/(INDEX('Standards for Conversions'!$H$47:$H$73,MATCH(CO$2,'Standards for Conversions'!$A$47:$A$73,0))))</f>
        <v>11239.060355109932</v>
      </c>
      <c r="CR40" s="33" t="s">
        <v>98</v>
      </c>
      <c r="CS40" s="29">
        <v>4961</v>
      </c>
      <c r="CT40" s="29">
        <v>22588</v>
      </c>
      <c r="CU40" s="31">
        <f>IF(CT40/(INDEX('Standards for Conversions'!$H$47:$H$73,MATCH(CS$2,'Standards for Conversions'!$A$47:$A$73,0)))=0,"",CT40/(INDEX('Standards for Conversions'!$H$47:$H$73,MATCH(CS$2,'Standards for Conversions'!$A$47:$A$73,0))))</f>
        <v>2080.3928081819759</v>
      </c>
      <c r="CV40" s="29">
        <v>14000</v>
      </c>
      <c r="CW40" s="29">
        <v>70500</v>
      </c>
      <c r="CX40" s="31">
        <f>IF(CW40/(INDEX('Standards for Conversions'!$H$47:$H$73,MATCH(CV$2,'Standards for Conversions'!$A$47:$A$73,0)))=0,"",CW40/(INDEX('Standards for Conversions'!$H$47:$H$73,MATCH(CV$2,'Standards for Conversions'!$A$47:$A$73,0))))</f>
        <v>5746.8274066872327</v>
      </c>
      <c r="CY40" s="29">
        <v>12500</v>
      </c>
      <c r="CZ40" s="29">
        <v>62500</v>
      </c>
      <c r="DA40" s="31">
        <f>IF(CZ40/(INDEX('Standards for Conversions'!$H$47:$H$73,MATCH(CY$2,'Standards for Conversions'!$A$47:$A$73,0)))=0,"",CZ40/(INDEX('Standards for Conversions'!$H$47:$H$73,MATCH(CY$2,'Standards for Conversions'!$A$47:$A$73,0))))</f>
        <v>5240.2681519944372</v>
      </c>
      <c r="DB40" s="29" t="s">
        <v>98</v>
      </c>
      <c r="DC40" s="29">
        <v>12200</v>
      </c>
      <c r="DD40" s="29">
        <v>60000</v>
      </c>
      <c r="DE40" s="31">
        <f>IF(DD40/(INDEX('Standards for Conversions'!$H$47:$H$73,MATCH(DC$2,'Standards for Conversions'!$A$47:$A$73,0)))=0,"",DD40/(INDEX('Standards for Conversions'!$H$47:$H$73,MATCH(DC$2,'Standards for Conversions'!$A$47:$A$73,0))))</f>
        <v>5367.304955679152</v>
      </c>
      <c r="DF40" s="33" t="s">
        <v>98</v>
      </c>
      <c r="DG40" s="29">
        <v>3000</v>
      </c>
      <c r="DH40" s="29">
        <v>5000</v>
      </c>
      <c r="DI40" s="29">
        <v>5330</v>
      </c>
      <c r="DJ40" s="29">
        <v>6760</v>
      </c>
      <c r="DK40" s="29">
        <v>2750</v>
      </c>
      <c r="DL40" s="29">
        <v>4733</v>
      </c>
      <c r="DM40" s="29" t="s">
        <v>98</v>
      </c>
      <c r="DP40" s="29">
        <v>2581</v>
      </c>
      <c r="DQ40" s="29">
        <v>4618</v>
      </c>
      <c r="DR40" s="29" t="s">
        <v>98</v>
      </c>
      <c r="DS40" s="29">
        <v>1407</v>
      </c>
      <c r="DT40" s="29">
        <v>3350</v>
      </c>
    </row>
    <row r="41" spans="1:126" hidden="1" x14ac:dyDescent="0.3">
      <c r="A41" t="s">
        <v>343</v>
      </c>
      <c r="C41" s="7"/>
      <c r="D41" s="7"/>
      <c r="E41" s="31" t="str">
        <f>IF(D41/(INDEX('Standards for Conversions'!$H$34:$H$73,MATCH(C$2,'Standards for Conversions'!$A$34:$A$73,0)))=0,"",D41/(INDEX('Standards for Conversions'!$H$34:$H$73,MATCH(C$2,'Standards for Conversions'!$A$34:$A$73,0))))</f>
        <v/>
      </c>
      <c r="F41" s="7"/>
      <c r="G41" s="7"/>
      <c r="H41" s="31" t="str">
        <f>IF(G41/(INDEX('Standards for Conversions'!$H$34:$H$73,MATCH(F$2,'Standards for Conversions'!$A$34:$A$73,0)))=0,"",G41/(INDEX('Standards for Conversions'!$H$34:$H$73,MATCH(F$2,'Standards for Conversions'!$A$34:$A$73,0))))</f>
        <v/>
      </c>
      <c r="J41" s="7"/>
      <c r="K41" s="7"/>
      <c r="L41" s="31" t="str">
        <f>IF(K41/(INDEX('Standards for Conversions'!$H$34:$H$73,MATCH(J$2,'Standards for Conversions'!$A$34:$A$73,0)))=0,"",K41/(INDEX('Standards for Conversions'!$H$34:$H$73,MATCH(J$2,'Standards for Conversions'!$A$34:$A$73,0))))</f>
        <v/>
      </c>
      <c r="M41" s="7"/>
      <c r="N41" s="7"/>
      <c r="O41" s="31" t="str">
        <f>IF(N41/(INDEX('Standards for Conversions'!$H$34:$H$73,MATCH(M$2,'Standards for Conversions'!$A$34:$A$73,0)))=0,"",N41/(INDEX('Standards for Conversions'!$H$34:$H$73,MATCH(M$2,'Standards for Conversions'!$A$34:$A$73,0))))</f>
        <v/>
      </c>
      <c r="Q41" s="7"/>
      <c r="R41" s="7"/>
      <c r="S41" s="31" t="str">
        <f>IF(R41/(INDEX('Standards for Conversions'!$H$34:$H$73,MATCH(Q$2,'Standards for Conversions'!$A$34:$A$73,0)))=0,"",R41/(INDEX('Standards for Conversions'!$H$34:$H$73,MATCH(Q$2,'Standards for Conversions'!$A$34:$A$73,0))))</f>
        <v/>
      </c>
      <c r="U41" s="7"/>
      <c r="V41" s="7"/>
      <c r="W41" s="31" t="str">
        <f>IF(V41/(INDEX('Standards for Conversions'!$H$34:$H$73,MATCH(U$2,'Standards for Conversions'!$A$34:$A$73,0)))=0,"",V41/(INDEX('Standards for Conversions'!$H$34:$H$73,MATCH(U$2,'Standards for Conversions'!$A$34:$A$73,0))))</f>
        <v/>
      </c>
      <c r="Y41" s="7"/>
      <c r="Z41" s="7"/>
      <c r="AA41" s="31" t="str">
        <f>IF(Z41/(INDEX('Standards for Conversions'!$H$34:$H$73,MATCH(Y$2,'Standards for Conversions'!$A$34:$A$73,0)))=0,"",Z41/(INDEX('Standards for Conversions'!$H$34:$H$73,MATCH(Y$2,'Standards for Conversions'!$A$34:$A$73,0))))</f>
        <v/>
      </c>
      <c r="AB41" s="7"/>
      <c r="AC41" s="7"/>
      <c r="AD41" s="31" t="str">
        <f>IF(AC41/(INDEX('Standards for Conversions'!$H$34:$H$73,MATCH(AB$2,'Standards for Conversions'!$A$34:$A$73,0)))=0,"",AC41/(INDEX('Standards for Conversions'!$H$34:$H$73,MATCH(AB$2,'Standards for Conversions'!$A$34:$A$73,0))))</f>
        <v/>
      </c>
      <c r="AF41" s="7"/>
      <c r="AG41" s="7"/>
      <c r="AH41" s="31" t="str">
        <f>IF(AG41/(INDEX('Standards for Conversions'!$H$34:$H$73,MATCH(AF$2,'Standards for Conversions'!$A$34:$A$73,0)))=0,"",AG41/(INDEX('Standards for Conversions'!$H$34:$H$73,MATCH(AF$2,'Standards for Conversions'!$A$34:$A$73,0))))</f>
        <v/>
      </c>
      <c r="AJ41" s="7"/>
      <c r="AK41" s="7"/>
      <c r="AL41" s="31" t="str">
        <f>IF(AK41/(INDEX('Standards for Conversions'!$H$34:$H$73,MATCH(AJ$2,'Standards for Conversions'!$A$34:$A$73,0)))=0,"",AK41/(INDEX('Standards for Conversions'!$H$34:$H$73,MATCH(AJ$2,'Standards for Conversions'!$A$34:$A$73,0))))</f>
        <v/>
      </c>
      <c r="AM41" s="7"/>
      <c r="AN41" s="7"/>
      <c r="AO41" s="31" t="str">
        <f>IF(AN41/(INDEX('Standards for Conversions'!$H$34:$H$73,MATCH(AM$2,'Standards for Conversions'!$A$34:$A$73,0)))=0,"",AN41/(INDEX('Standards for Conversions'!$H$34:$H$73,MATCH(AM$2,'Standards for Conversions'!$A$34:$A$73,0))))</f>
        <v/>
      </c>
      <c r="AP41" s="7"/>
      <c r="AQ41" s="7"/>
      <c r="AR41" s="31" t="str">
        <f>IF(AQ41/(INDEX('Standards for Conversions'!$H$34:$H$73,MATCH(AP$2,'Standards for Conversions'!$A$34:$A$73,0)))=0,"",AQ41/(INDEX('Standards for Conversions'!$H$34:$H$73,MATCH(AP$2,'Standards for Conversions'!$A$34:$A$73,0))))</f>
        <v/>
      </c>
      <c r="AS41" s="7"/>
      <c r="AT41" s="7"/>
      <c r="AU41" s="31" t="str">
        <f>IF(AT41/(INDEX('Standards for Conversions'!$H$34:$H$73,MATCH(AS$2,'Standards for Conversions'!$A$34:$A$73,0)))=0,"",AT41/(INDEX('Standards for Conversions'!$H$34:$H$73,MATCH(AS$2,'Standards for Conversions'!$A$34:$A$73,0))))</f>
        <v/>
      </c>
      <c r="AV41" s="7"/>
      <c r="AW41" s="7"/>
      <c r="AX41" s="31" t="str">
        <f>IF(AW41/(INDEX('Standards for Conversions'!$H$47:$H$73,MATCH(AV$2,'Standards for Conversions'!$A$47:$A$73,0)))=0,"",AW41/(INDEX('Standards for Conversions'!$H$47:$H$73,MATCH(AV$2,'Standards for Conversions'!$A$47:$A$73,0))))</f>
        <v/>
      </c>
      <c r="BA41" s="29">
        <v>75000</v>
      </c>
      <c r="BB41" s="31">
        <f>IF(BA41/(INDEX('Standards for Conversions'!$H$47:$H$73,MATCH(AZ$2,'Standards for Conversions'!$A$47:$A$73,0)))=0,"",BA41/(INDEX('Standards for Conversions'!$H$47:$H$73,MATCH(AZ$2,'Standards for Conversions'!$A$47:$A$73,0))))</f>
        <v>10893.405915964197</v>
      </c>
      <c r="BD41" s="29">
        <v>80000</v>
      </c>
      <c r="BE41" s="31">
        <f>IF(BD41/(INDEX('Standards for Conversions'!$H$47:$H$73,MATCH(BC$2,'Standards for Conversions'!$A$47:$A$73,0)))=0,"",BD41/(INDEX('Standards for Conversions'!$H$47:$H$73,MATCH(BC$2,'Standards for Conversions'!$A$47:$A$73,0))))</f>
        <v>11568.818255554588</v>
      </c>
      <c r="BF41" s="33"/>
      <c r="BH41" s="29">
        <v>60000</v>
      </c>
      <c r="BI41" s="31">
        <f>IF(BH41/(INDEX('Standards for Conversions'!$H$47:$H$73,MATCH(BG$2,'Standards for Conversions'!$A$47:$A$73,0)))=0,"",BH41/(INDEX('Standards for Conversions'!$H$47:$H$73,MATCH(BG$2,'Standards for Conversions'!$A$47:$A$73,0))))</f>
        <v>9705.611801512121</v>
      </c>
      <c r="BJ41" s="33"/>
      <c r="BM41" s="31" t="str">
        <f>IF(BL41/(INDEX('Standards for Conversions'!$H$47:$H$73,MATCH(BK$2,'Standards for Conversions'!$A$47:$A$73,0)))=0,"",BL41/(INDEX('Standards for Conversions'!$H$47:$H$73,MATCH(BK$2,'Standards for Conversions'!$A$47:$A$73,0))))</f>
        <v/>
      </c>
      <c r="BO41" s="29">
        <v>55000</v>
      </c>
      <c r="BP41" s="31">
        <f>IF(BO41/(INDEX('Standards for Conversions'!$H$47:$H$73,MATCH(BN$2,'Standards for Conversions'!$A$47:$A$73,0)))=0,"",BO41/(INDEX('Standards for Conversions'!$H$47:$H$73,MATCH(BN$2,'Standards for Conversions'!$A$47:$A$73,0))))</f>
        <v>7406.2456548188056</v>
      </c>
      <c r="BT41" s="31" t="str">
        <f>IF(BS41/(INDEX('Standards for Conversions'!$H$47:$H$73,MATCH(BR$2,'Standards for Conversions'!$A$47:$A$73,0)))=0,"",BS41/(INDEX('Standards for Conversions'!$H$47:$H$73,MATCH(BR$2,'Standards for Conversions'!$A$47:$A$73,0))))</f>
        <v/>
      </c>
      <c r="BW41" s="29">
        <v>40000</v>
      </c>
      <c r="BX41" s="31">
        <f>IF(BW41/(INDEX('Standards for Conversions'!$H$47:$H$73,MATCH(BV$2,'Standards for Conversions'!$A$47:$A$73,0)))=0,"",BW41/(INDEX('Standards for Conversions'!$H$47:$H$73,MATCH(BV$2,'Standards for Conversions'!$A$47:$A$73,0))))</f>
        <v>3921.2026737348278</v>
      </c>
      <c r="BZ41" s="29">
        <v>30000</v>
      </c>
      <c r="CA41" s="31">
        <f>IF(BZ41/(INDEX('Standards for Conversions'!$H$47:$H$73,MATCH(BY$2,'Standards for Conversions'!$A$47:$A$73,0)))=0,"",BZ41/(INDEX('Standards for Conversions'!$H$47:$H$73,MATCH(BY$2,'Standards for Conversions'!$A$47:$A$73,0))))</f>
        <v>3029.8277678804197</v>
      </c>
      <c r="CC41" s="29">
        <v>30000</v>
      </c>
      <c r="CD41" s="31">
        <f>IF(CC41/(INDEX('Standards for Conversions'!$H$47:$H$73,MATCH(CB$2,'Standards for Conversions'!$A$47:$A$73,0)))=0,"",CC41/(INDEX('Standards for Conversions'!$H$47:$H$73,MATCH(CB$2,'Standards for Conversions'!$A$47:$A$73,0))))</f>
        <v>3131.4572108281909</v>
      </c>
      <c r="CE41" s="33"/>
      <c r="CF41" s="33"/>
      <c r="CG41" s="33">
        <v>35000</v>
      </c>
      <c r="CH41" s="31">
        <f>IF(CG41/(INDEX('Standards for Conversions'!$H$47:$H$73,MATCH(CF$2,'Standards for Conversions'!$A$47:$A$73,0)))=0,"",CG41/(INDEX('Standards for Conversions'!$H$47:$H$73,MATCH(CF$2,'Standards for Conversions'!$A$47:$A$73,0))))</f>
        <v>3268.021774789258</v>
      </c>
      <c r="CI41" s="33"/>
      <c r="CJ41" s="33">
        <v>40000</v>
      </c>
      <c r="CK41" s="31">
        <f>IF(CJ41/(INDEX('Standards for Conversions'!$H$47:$H$73,MATCH(CI$2,'Standards for Conversions'!$A$47:$A$73,0)))=0,"",CJ41/(INDEX('Standards for Conversions'!$H$47:$H$73,MATCH(CI$2,'Standards for Conversions'!$A$47:$A$73,0))))</f>
        <v>3650.190825874105</v>
      </c>
      <c r="CL41" s="33"/>
      <c r="CM41" s="33">
        <v>50000</v>
      </c>
      <c r="CN41" s="31">
        <f>IF(CM41/(INDEX('Standards for Conversions'!$H$47:$H$73,MATCH(CL$2,'Standards for Conversions'!$A$47:$A$73,0)))=0,"",CM41/(INDEX('Standards for Conversions'!$H$47:$H$73,MATCH(CL$2,'Standards for Conversions'!$A$47:$A$73,0))))</f>
        <v>4647.4297347991069</v>
      </c>
      <c r="CO41" s="33"/>
      <c r="CP41" s="33">
        <v>55000</v>
      </c>
      <c r="CQ41" s="31">
        <f>IF(CP41/(INDEX('Standards for Conversions'!$H$47:$H$73,MATCH(CO$2,'Standards for Conversions'!$A$47:$A$73,0)))=0,"",CP41/(INDEX('Standards for Conversions'!$H$47:$H$73,MATCH(CO$2,'Standards for Conversions'!$A$47:$A$73,0))))</f>
        <v>5275.2032730077344</v>
      </c>
      <c r="CR41" s="33"/>
      <c r="CT41" s="29">
        <v>25000</v>
      </c>
      <c r="CU41" s="31">
        <f>IF(CT41/(INDEX('Standards for Conversions'!$H$47:$H$73,MATCH(CS$2,'Standards for Conversions'!$A$47:$A$73,0)))=0,"",CT41/(INDEX('Standards for Conversions'!$H$47:$H$73,MATCH(CS$2,'Standards for Conversions'!$A$47:$A$73,0))))</f>
        <v>2302.5420667854346</v>
      </c>
      <c r="CW41" s="29">
        <v>52000</v>
      </c>
      <c r="CX41" s="31">
        <f>IF(CW41/(INDEX('Standards for Conversions'!$H$47:$H$73,MATCH(CV$2,'Standards for Conversions'!$A$47:$A$73,0)))=0,"",CW41/(INDEX('Standards for Conversions'!$H$47:$H$73,MATCH(CV$2,'Standards for Conversions'!$A$47:$A$73,0))))</f>
        <v>4238.7946829466109</v>
      </c>
      <c r="CZ41" s="29">
        <v>22000</v>
      </c>
      <c r="DA41" s="31">
        <f>IF(CZ41/(INDEX('Standards for Conversions'!$H$47:$H$73,MATCH(CY$2,'Standards for Conversions'!$A$47:$A$73,0)))=0,"",CZ41/(INDEX('Standards for Conversions'!$H$47:$H$73,MATCH(CY$2,'Standards for Conversions'!$A$47:$A$73,0))))</f>
        <v>1844.5743895020419</v>
      </c>
      <c r="DE41" s="31" t="str">
        <f>IF(DD41/(INDEX('Standards for Conversions'!$H$47:$H$73,MATCH(DC$2,'Standards for Conversions'!$A$47:$A$73,0)))=0,"",DD41/(INDEX('Standards for Conversions'!$H$47:$H$73,MATCH(DC$2,'Standards for Conversions'!$A$47:$A$73,0))))</f>
        <v/>
      </c>
    </row>
    <row r="42" spans="1:126" hidden="1" x14ac:dyDescent="0.3">
      <c r="A42" t="s">
        <v>365</v>
      </c>
      <c r="B42" s="10" t="s">
        <v>40</v>
      </c>
      <c r="C42" s="7"/>
      <c r="D42" s="7"/>
      <c r="E42" s="31" t="str">
        <f>IF(D42/(INDEX('Standards for Conversions'!$H$34:$H$73,MATCH(C$2,'Standards for Conversions'!$A$34:$A$73,0)))=0,"",D42/(INDEX('Standards for Conversions'!$H$34:$H$73,MATCH(C$2,'Standards for Conversions'!$A$34:$A$73,0))))</f>
        <v/>
      </c>
      <c r="F42" s="7"/>
      <c r="G42" s="7"/>
      <c r="H42" s="31" t="str">
        <f>IF(G42/(INDEX('Standards for Conversions'!$H$34:$H$73,MATCH(F$2,'Standards for Conversions'!$A$34:$A$73,0)))=0,"",G42/(INDEX('Standards for Conversions'!$H$34:$H$73,MATCH(F$2,'Standards for Conversions'!$A$34:$A$73,0))))</f>
        <v/>
      </c>
      <c r="I42" s="10" t="s">
        <v>40</v>
      </c>
      <c r="J42" s="7"/>
      <c r="K42" s="7"/>
      <c r="L42" s="31" t="str">
        <f>IF(K42/(INDEX('Standards for Conversions'!$H$34:$H$73,MATCH(J$2,'Standards for Conversions'!$A$34:$A$73,0)))=0,"",K42/(INDEX('Standards for Conversions'!$H$34:$H$73,MATCH(J$2,'Standards for Conversions'!$A$34:$A$73,0))))</f>
        <v/>
      </c>
      <c r="M42" s="7"/>
      <c r="N42" s="7"/>
      <c r="O42" s="31" t="str">
        <f>IF(N42/(INDEX('Standards for Conversions'!$H$34:$H$73,MATCH(M$2,'Standards for Conversions'!$A$34:$A$73,0)))=0,"",N42/(INDEX('Standards for Conversions'!$H$34:$H$73,MATCH(M$2,'Standards for Conversions'!$A$34:$A$73,0))))</f>
        <v/>
      </c>
      <c r="P42" s="10" t="s">
        <v>40</v>
      </c>
      <c r="Q42" s="7"/>
      <c r="R42" s="7"/>
      <c r="S42" s="31" t="str">
        <f>IF(R42/(INDEX('Standards for Conversions'!$H$34:$H$73,MATCH(Q$2,'Standards for Conversions'!$A$34:$A$73,0)))=0,"",R42/(INDEX('Standards for Conversions'!$H$34:$H$73,MATCH(Q$2,'Standards for Conversions'!$A$34:$A$73,0))))</f>
        <v/>
      </c>
      <c r="T42" s="10" t="s">
        <v>40</v>
      </c>
      <c r="U42" s="7"/>
      <c r="V42" s="7"/>
      <c r="W42" s="31" t="str">
        <f>IF(V42/(INDEX('Standards for Conversions'!$H$34:$H$73,MATCH(U$2,'Standards for Conversions'!$A$34:$A$73,0)))=0,"",V42/(INDEX('Standards for Conversions'!$H$34:$H$73,MATCH(U$2,'Standards for Conversions'!$A$34:$A$73,0))))</f>
        <v/>
      </c>
      <c r="X42" s="10" t="s">
        <v>40</v>
      </c>
      <c r="Y42" s="7"/>
      <c r="Z42" s="7"/>
      <c r="AA42" s="31" t="str">
        <f>IF(Z42/(INDEX('Standards for Conversions'!$H$34:$H$73,MATCH(Y$2,'Standards for Conversions'!$A$34:$A$73,0)))=0,"",Z42/(INDEX('Standards for Conversions'!$H$34:$H$73,MATCH(Y$2,'Standards for Conversions'!$A$34:$A$73,0))))</f>
        <v/>
      </c>
      <c r="AB42" s="7"/>
      <c r="AC42" s="7"/>
      <c r="AD42" s="31" t="str">
        <f>IF(AC42/(INDEX('Standards for Conversions'!$H$34:$H$73,MATCH(AB$2,'Standards for Conversions'!$A$34:$A$73,0)))=0,"",AC42/(INDEX('Standards for Conversions'!$H$34:$H$73,MATCH(AB$2,'Standards for Conversions'!$A$34:$A$73,0))))</f>
        <v/>
      </c>
      <c r="AE42" s="10" t="s">
        <v>40</v>
      </c>
      <c r="AF42" s="7"/>
      <c r="AG42" s="7"/>
      <c r="AH42" s="31" t="str">
        <f>IF(AG42/(INDEX('Standards for Conversions'!$H$34:$H$73,MATCH(AF$2,'Standards for Conversions'!$A$34:$A$73,0)))=0,"",AG42/(INDEX('Standards for Conversions'!$H$34:$H$73,MATCH(AF$2,'Standards for Conversions'!$A$34:$A$73,0))))</f>
        <v/>
      </c>
      <c r="AI42" s="10" t="s">
        <v>40</v>
      </c>
      <c r="AJ42" s="7"/>
      <c r="AK42" s="7"/>
      <c r="AL42" s="31" t="str">
        <f>IF(AK42/(INDEX('Standards for Conversions'!$H$34:$H$73,MATCH(AJ$2,'Standards for Conversions'!$A$34:$A$73,0)))=0,"",AK42/(INDEX('Standards for Conversions'!$H$34:$H$73,MATCH(AJ$2,'Standards for Conversions'!$A$34:$A$73,0))))</f>
        <v/>
      </c>
      <c r="AM42" s="7"/>
      <c r="AN42" s="7"/>
      <c r="AO42" s="31" t="str">
        <f>IF(AN42/(INDEX('Standards for Conversions'!$H$34:$H$73,MATCH(AM$2,'Standards for Conversions'!$A$34:$A$73,0)))=0,"",AN42/(INDEX('Standards for Conversions'!$H$34:$H$73,MATCH(AM$2,'Standards for Conversions'!$A$34:$A$73,0))))</f>
        <v/>
      </c>
      <c r="AP42" s="7"/>
      <c r="AQ42" s="7"/>
      <c r="AR42" s="31" t="str">
        <f>IF(AQ42/(INDEX('Standards for Conversions'!$H$34:$H$73,MATCH(AP$2,'Standards for Conversions'!$A$34:$A$73,0)))=0,"",AQ42/(INDEX('Standards for Conversions'!$H$34:$H$73,MATCH(AP$2,'Standards for Conversions'!$A$34:$A$73,0))))</f>
        <v/>
      </c>
      <c r="AS42" s="7"/>
      <c r="AT42" s="7"/>
      <c r="AU42" s="31" t="str">
        <f>IF(AT42/(INDEX('Standards for Conversions'!$H$34:$H$73,MATCH(AS$2,'Standards for Conversions'!$A$34:$A$73,0)))=0,"",AT42/(INDEX('Standards for Conversions'!$H$34:$H$73,MATCH(AS$2,'Standards for Conversions'!$A$34:$A$73,0))))</f>
        <v/>
      </c>
      <c r="AV42" s="7"/>
      <c r="AW42" s="7"/>
      <c r="AX42" s="31" t="str">
        <f>IF(AW42/(INDEX('Standards for Conversions'!$H$47:$H$73,MATCH(AV$2,'Standards for Conversions'!$A$47:$A$73,0)))=0,"",AW42/(INDEX('Standards for Conversions'!$H$47:$H$73,MATCH(AV$2,'Standards for Conversions'!$A$47:$A$73,0))))</f>
        <v/>
      </c>
      <c r="AY42" s="47" t="s">
        <v>40</v>
      </c>
      <c r="AZ42" s="29">
        <v>1050</v>
      </c>
      <c r="BA42" s="29">
        <v>120000</v>
      </c>
      <c r="BB42" s="31">
        <f>IF(BA42/(INDEX('Standards for Conversions'!$H$47:$H$73,MATCH(AZ$2,'Standards for Conversions'!$A$47:$A$73,0)))=0,"",BA42/(INDEX('Standards for Conversions'!$H$47:$H$73,MATCH(AZ$2,'Standards for Conversions'!$A$47:$A$73,0))))</f>
        <v>17429.449465542715</v>
      </c>
      <c r="BC42" s="29">
        <v>1225</v>
      </c>
      <c r="BD42" s="29">
        <v>140000</v>
      </c>
      <c r="BE42" s="31">
        <f>IF(BD42/(INDEX('Standards for Conversions'!$H$47:$H$73,MATCH(BC$2,'Standards for Conversions'!$A$47:$A$73,0)))=0,"",BD42/(INDEX('Standards for Conversions'!$H$47:$H$73,MATCH(BC$2,'Standards for Conversions'!$A$47:$A$73,0))))</f>
        <v>20245.431947220532</v>
      </c>
      <c r="BF42" s="47" t="s">
        <v>40</v>
      </c>
      <c r="BG42" s="29">
        <v>1050</v>
      </c>
      <c r="BH42" s="29">
        <v>120000</v>
      </c>
      <c r="BI42" s="31">
        <f>IF(BH42/(INDEX('Standards for Conversions'!$H$47:$H$73,MATCH(BG$2,'Standards for Conversions'!$A$47:$A$73,0)))=0,"",BH42/(INDEX('Standards for Conversions'!$H$47:$H$73,MATCH(BG$2,'Standards for Conversions'!$A$47:$A$73,0))))</f>
        <v>19411.223603024242</v>
      </c>
      <c r="BJ42" s="47" t="s">
        <v>40</v>
      </c>
      <c r="BK42" s="29">
        <v>1225</v>
      </c>
      <c r="BL42" s="29">
        <v>140000</v>
      </c>
      <c r="BM42" s="31">
        <f>IF(BL42/(INDEX('Standards for Conversions'!$H$47:$H$73,MATCH(BK$2,'Standards for Conversions'!$A$47:$A$73,0)))=0,"",BL42/(INDEX('Standards for Conversions'!$H$47:$H$73,MATCH(BK$2,'Standards for Conversions'!$A$47:$A$73,0))))</f>
        <v>21371.82493989166</v>
      </c>
      <c r="BN42" s="29">
        <v>1050</v>
      </c>
      <c r="BO42" s="29">
        <v>120000</v>
      </c>
      <c r="BP42" s="31">
        <f>IF(BO42/(INDEX('Standards for Conversions'!$H$47:$H$73,MATCH(BN$2,'Standards for Conversions'!$A$47:$A$73,0)))=0,"",BO42/(INDEX('Standards for Conversions'!$H$47:$H$73,MATCH(BN$2,'Standards for Conversions'!$A$47:$A$73,0))))</f>
        <v>16159.081428695576</v>
      </c>
      <c r="BQ42" s="47" t="s">
        <v>40</v>
      </c>
      <c r="BR42" s="29">
        <v>1400</v>
      </c>
      <c r="BS42" s="29">
        <v>160000</v>
      </c>
      <c r="BT42" s="31">
        <f>IF(BS42/(INDEX('Standards for Conversions'!$H$47:$H$73,MATCH(BR$2,'Standards for Conversions'!$A$47:$A$73,0)))=0,"",BS42/(INDEX('Standards for Conversions'!$H$47:$H$73,MATCH(BR$2,'Standards for Conversions'!$A$47:$A$73,0))))</f>
        <v>19458.65067639987</v>
      </c>
      <c r="BU42" s="47" t="s">
        <v>40</v>
      </c>
      <c r="BV42" s="29">
        <f>87.5+250+111</f>
        <v>448.5</v>
      </c>
      <c r="BW42" s="29">
        <f>35000+100000+37000</f>
        <v>172000</v>
      </c>
      <c r="BX42" s="31">
        <f>IF(BW42/(INDEX('Standards for Conversions'!$H$47:$H$73,MATCH(BV$2,'Standards for Conversions'!$A$47:$A$73,0)))=0,"",BW42/(INDEX('Standards for Conversions'!$H$47:$H$73,MATCH(BV$2,'Standards for Conversions'!$A$47:$A$73,0))))</f>
        <v>16861.17149705976</v>
      </c>
      <c r="BY42" s="29">
        <f>107.5+362.5+144</f>
        <v>614</v>
      </c>
      <c r="BZ42" s="29">
        <f>47000+145000+48000</f>
        <v>240000</v>
      </c>
      <c r="CA42" s="31">
        <f>IF(BZ42/(INDEX('Standards for Conversions'!$H$47:$H$73,MATCH(BY$2,'Standards for Conversions'!$A$47:$A$73,0)))=0,"",BZ42/(INDEX('Standards for Conversions'!$H$47:$H$73,MATCH(BY$2,'Standards for Conversions'!$A$47:$A$73,0))))</f>
        <v>24238.622143043358</v>
      </c>
      <c r="CB42" s="29">
        <f>165+500+180</f>
        <v>845</v>
      </c>
      <c r="CC42" s="29">
        <f>55000+200000+60000</f>
        <v>315000</v>
      </c>
      <c r="CD42" s="31">
        <f>IF(CC42/(INDEX('Standards for Conversions'!$H$47:$H$73,MATCH(CB$2,'Standards for Conversions'!$A$47:$A$73,0)))=0,"",CC42/(INDEX('Standards for Conversions'!$H$47:$H$73,MATCH(CB$2,'Standards for Conversions'!$A$47:$A$73,0))))</f>
        <v>32880.300713696008</v>
      </c>
      <c r="CE42" s="47" t="s">
        <v>86</v>
      </c>
      <c r="CF42" s="29">
        <f>150+400+150</f>
        <v>700</v>
      </c>
      <c r="CG42" s="29">
        <f>50000+150000+50000</f>
        <v>250000</v>
      </c>
      <c r="CH42" s="31">
        <f>IF(CG42/(INDEX('Standards for Conversions'!$H$47:$H$73,MATCH(CF$2,'Standards for Conversions'!$A$47:$A$73,0)))=0,"",CG42/(INDEX('Standards for Conversions'!$H$47:$H$73,MATCH(CF$2,'Standards for Conversions'!$A$47:$A$73,0))))</f>
        <v>23343.01267706613</v>
      </c>
      <c r="CI42" s="29">
        <f>100+350+125</f>
        <v>575</v>
      </c>
      <c r="CJ42" s="29">
        <f>40000+125000+42000</f>
        <v>207000</v>
      </c>
      <c r="CK42" s="31">
        <f>IF(CJ42/(INDEX('Standards for Conversions'!$H$47:$H$73,MATCH(CI$2,'Standards for Conversions'!$A$47:$A$73,0)))=0,"",CJ42/(INDEX('Standards for Conversions'!$H$47:$H$73,MATCH(CI$2,'Standards for Conversions'!$A$47:$A$73,0))))</f>
        <v>18889.737523898493</v>
      </c>
      <c r="CL42" s="29">
        <f>80+280+100</f>
        <v>460</v>
      </c>
      <c r="CM42" s="29">
        <f>32000+98000+34000</f>
        <v>164000</v>
      </c>
      <c r="CN42" s="31">
        <f>IF(CM42/(INDEX('Standards for Conversions'!$H$47:$H$73,MATCH(CL$2,'Standards for Conversions'!$A$47:$A$73,0)))=0,"",CM42/(INDEX('Standards for Conversions'!$H$47:$H$73,MATCH(CL$2,'Standards for Conversions'!$A$47:$A$73,0))))</f>
        <v>15243.569530141071</v>
      </c>
      <c r="CO42" s="29">
        <f>90+180+93</f>
        <v>363</v>
      </c>
      <c r="CP42" s="29">
        <f>1150+2300+1190</f>
        <v>4640</v>
      </c>
      <c r="CQ42" s="31">
        <f>IF(CP42/(INDEX('Standards for Conversions'!$H$47:$H$73,MATCH(CO$2,'Standards for Conversions'!$A$47:$A$73,0)))=0,"",CP42/(INDEX('Standards for Conversions'!$H$47:$H$73,MATCH(CO$2,'Standards for Conversions'!$A$47:$A$73,0))))</f>
        <v>445.03533066828885</v>
      </c>
      <c r="CR42" s="33" t="s">
        <v>98</v>
      </c>
      <c r="CS42" s="29">
        <v>341</v>
      </c>
      <c r="CT42" s="29">
        <v>4400</v>
      </c>
      <c r="CU42" s="31">
        <f>IF(CT42/(INDEX('Standards for Conversions'!$H$47:$H$73,MATCH(CS$2,'Standards for Conversions'!$A$47:$A$73,0)))=0,"",CT42/(INDEX('Standards for Conversions'!$H$47:$H$73,MATCH(CS$2,'Standards for Conversions'!$A$47:$A$73,0))))</f>
        <v>405.24740375423647</v>
      </c>
      <c r="CV42" s="29">
        <v>70</v>
      </c>
      <c r="CW42" s="29">
        <v>700</v>
      </c>
      <c r="CX42" s="31">
        <f>IF(CW42/(INDEX('Standards for Conversions'!$H$47:$H$73,MATCH(CV$2,'Standards for Conversions'!$A$47:$A$73,0)))=0,"",CW42/(INDEX('Standards for Conversions'!$H$47:$H$73,MATCH(CV$2,'Standards for Conversions'!$A$47:$A$73,0))))</f>
        <v>57.060697655050539</v>
      </c>
      <c r="CY42" s="29">
        <v>50</v>
      </c>
      <c r="CZ42" s="29">
        <v>500</v>
      </c>
      <c r="DA42" s="31">
        <f>IF(CZ42/(INDEX('Standards for Conversions'!$H$47:$H$73,MATCH(CY$2,'Standards for Conversions'!$A$47:$A$73,0)))=0,"",CZ42/(INDEX('Standards for Conversions'!$H$47:$H$73,MATCH(CY$2,'Standards for Conversions'!$A$47:$A$73,0))))</f>
        <v>41.922145215955496</v>
      </c>
      <c r="DB42" s="29" t="s">
        <v>98</v>
      </c>
      <c r="DC42" s="29">
        <v>100</v>
      </c>
      <c r="DD42" s="29">
        <v>1200</v>
      </c>
      <c r="DE42" s="31">
        <f>IF(DD42/(INDEX('Standards for Conversions'!$H$47:$H$73,MATCH(DC$2,'Standards for Conversions'!$A$47:$A$73,0)))=0,"",DD42/(INDEX('Standards for Conversions'!$H$47:$H$73,MATCH(DC$2,'Standards for Conversions'!$A$47:$A$73,0))))</f>
        <v>107.34609911358304</v>
      </c>
      <c r="DF42" s="33" t="s">
        <v>98</v>
      </c>
      <c r="DG42" s="29">
        <v>120</v>
      </c>
      <c r="DH42" s="29">
        <v>400</v>
      </c>
      <c r="DI42" s="29">
        <v>250</v>
      </c>
      <c r="DJ42" s="29">
        <v>1640</v>
      </c>
      <c r="DK42" s="29">
        <v>360</v>
      </c>
      <c r="DL42" s="29">
        <v>1600</v>
      </c>
      <c r="DM42" s="29" t="s">
        <v>98</v>
      </c>
      <c r="DN42" s="29">
        <v>237</v>
      </c>
      <c r="DO42" s="29">
        <v>1920</v>
      </c>
    </row>
    <row r="43" spans="1:126" hidden="1" x14ac:dyDescent="0.3">
      <c r="A43" t="s">
        <v>366</v>
      </c>
      <c r="C43" s="7"/>
      <c r="D43" s="7"/>
      <c r="E43" s="31" t="str">
        <f>IF(D43/(INDEX('Standards for Conversions'!$H$34:$H$73,MATCH(C$2,'Standards for Conversions'!$A$34:$A$73,0)))=0,"",D43/(INDEX('Standards for Conversions'!$H$34:$H$73,MATCH(C$2,'Standards for Conversions'!$A$34:$A$73,0))))</f>
        <v/>
      </c>
      <c r="F43" s="7"/>
      <c r="G43" s="7"/>
      <c r="H43" s="31" t="str">
        <f>IF(G43/(INDEX('Standards for Conversions'!$H$34:$H$73,MATCH(F$2,'Standards for Conversions'!$A$34:$A$73,0)))=0,"",G43/(INDEX('Standards for Conversions'!$H$34:$H$73,MATCH(F$2,'Standards for Conversions'!$A$34:$A$73,0))))</f>
        <v/>
      </c>
      <c r="J43" s="7"/>
      <c r="K43" s="7"/>
      <c r="L43" s="31" t="str">
        <f>IF(K43/(INDEX('Standards for Conversions'!$H$34:$H$73,MATCH(J$2,'Standards for Conversions'!$A$34:$A$73,0)))=0,"",K43/(INDEX('Standards for Conversions'!$H$34:$H$73,MATCH(J$2,'Standards for Conversions'!$A$34:$A$73,0))))</f>
        <v/>
      </c>
      <c r="M43" s="7"/>
      <c r="N43" s="7"/>
      <c r="O43" s="31" t="str">
        <f>IF(N43/(INDEX('Standards for Conversions'!$H$34:$H$73,MATCH(M$2,'Standards for Conversions'!$A$34:$A$73,0)))=0,"",N43/(INDEX('Standards for Conversions'!$H$34:$H$73,MATCH(M$2,'Standards for Conversions'!$A$34:$A$73,0))))</f>
        <v/>
      </c>
      <c r="Q43" s="7"/>
      <c r="R43" s="7"/>
      <c r="S43" s="31" t="str">
        <f>IF(R43/(INDEX('Standards for Conversions'!$H$34:$H$73,MATCH(Q$2,'Standards for Conversions'!$A$34:$A$73,0)))=0,"",R43/(INDEX('Standards for Conversions'!$H$34:$H$73,MATCH(Q$2,'Standards for Conversions'!$A$34:$A$73,0))))</f>
        <v/>
      </c>
      <c r="U43" s="7"/>
      <c r="V43" s="7"/>
      <c r="W43" s="31" t="str">
        <f>IF(V43/(INDEX('Standards for Conversions'!$H$34:$H$73,MATCH(U$2,'Standards for Conversions'!$A$34:$A$73,0)))=0,"",V43/(INDEX('Standards for Conversions'!$H$34:$H$73,MATCH(U$2,'Standards for Conversions'!$A$34:$A$73,0))))</f>
        <v/>
      </c>
      <c r="Y43" s="7"/>
      <c r="Z43" s="7"/>
      <c r="AA43" s="31" t="str">
        <f>IF(Z43/(INDEX('Standards for Conversions'!$H$34:$H$73,MATCH(Y$2,'Standards for Conversions'!$A$34:$A$73,0)))=0,"",Z43/(INDEX('Standards for Conversions'!$H$34:$H$73,MATCH(Y$2,'Standards for Conversions'!$A$34:$A$73,0))))</f>
        <v/>
      </c>
      <c r="AB43" s="7"/>
      <c r="AC43" s="7"/>
      <c r="AD43" s="31" t="str">
        <f>IF(AC43/(INDEX('Standards for Conversions'!$H$34:$H$73,MATCH(AB$2,'Standards for Conversions'!$A$34:$A$73,0)))=0,"",AC43/(INDEX('Standards for Conversions'!$H$34:$H$73,MATCH(AB$2,'Standards for Conversions'!$A$34:$A$73,0))))</f>
        <v/>
      </c>
      <c r="AF43" s="7"/>
      <c r="AG43" s="7"/>
      <c r="AH43" s="31" t="str">
        <f>IF(AG43/(INDEX('Standards for Conversions'!$H$34:$H$73,MATCH(AF$2,'Standards for Conversions'!$A$34:$A$73,0)))=0,"",AG43/(INDEX('Standards for Conversions'!$H$34:$H$73,MATCH(AF$2,'Standards for Conversions'!$A$34:$A$73,0))))</f>
        <v/>
      </c>
      <c r="AJ43" s="7"/>
      <c r="AK43" s="7"/>
      <c r="AL43" s="31" t="str">
        <f>IF(AK43/(INDEX('Standards for Conversions'!$H$34:$H$73,MATCH(AJ$2,'Standards for Conversions'!$A$34:$A$73,0)))=0,"",AK43/(INDEX('Standards for Conversions'!$H$34:$H$73,MATCH(AJ$2,'Standards for Conversions'!$A$34:$A$73,0))))</f>
        <v/>
      </c>
      <c r="AM43" s="7"/>
      <c r="AN43" s="7"/>
      <c r="AO43" s="31" t="str">
        <f>IF(AN43/(INDEX('Standards for Conversions'!$H$34:$H$73,MATCH(AM$2,'Standards for Conversions'!$A$34:$A$73,0)))=0,"",AN43/(INDEX('Standards for Conversions'!$H$34:$H$73,MATCH(AM$2,'Standards for Conversions'!$A$34:$A$73,0))))</f>
        <v/>
      </c>
      <c r="AP43" s="7"/>
      <c r="AQ43" s="7"/>
      <c r="AR43" s="31" t="str">
        <f>IF(AQ43/(INDEX('Standards for Conversions'!$H$34:$H$73,MATCH(AP$2,'Standards for Conversions'!$A$34:$A$73,0)))=0,"",AQ43/(INDEX('Standards for Conversions'!$H$34:$H$73,MATCH(AP$2,'Standards for Conversions'!$A$34:$A$73,0))))</f>
        <v/>
      </c>
      <c r="AS43" s="7"/>
      <c r="AT43" s="7"/>
      <c r="AU43" s="31" t="str">
        <f>IF(AT43/(INDEX('Standards for Conversions'!$H$34:$H$73,MATCH(AS$2,'Standards for Conversions'!$A$34:$A$73,0)))=0,"",AT43/(INDEX('Standards for Conversions'!$H$34:$H$73,MATCH(AS$2,'Standards for Conversions'!$A$34:$A$73,0))))</f>
        <v/>
      </c>
      <c r="AV43" s="7"/>
      <c r="AW43" s="7"/>
      <c r="AX43" s="31" t="str">
        <f>IF(AW43/(INDEX('Standards for Conversions'!$H$47:$H$73,MATCH(AV$2,'Standards for Conversions'!$A$47:$A$73,0)))=0,"",AW43/(INDEX('Standards for Conversions'!$H$47:$H$73,MATCH(AV$2,'Standards for Conversions'!$A$47:$A$73,0))))</f>
        <v/>
      </c>
      <c r="BB43" s="31" t="str">
        <f>IF(BA43/(INDEX('Standards for Conversions'!$H$47:$H$73,MATCH(AZ$2,'Standards for Conversions'!$A$47:$A$73,0)))=0,"",BA43/(INDEX('Standards for Conversions'!$H$47:$H$73,MATCH(AZ$2,'Standards for Conversions'!$A$47:$A$73,0))))</f>
        <v/>
      </c>
      <c r="BE43" s="31" t="str">
        <f>IF(BD43/(INDEX('Standards for Conversions'!$H$47:$H$73,MATCH(BC$2,'Standards for Conversions'!$A$47:$A$73,0)))=0,"",BD43/(INDEX('Standards for Conversions'!$H$47:$H$73,MATCH(BC$2,'Standards for Conversions'!$A$47:$A$73,0))))</f>
        <v/>
      </c>
      <c r="BI43" s="31" t="str">
        <f>IF(BH43/(INDEX('Standards for Conversions'!$H$47:$H$73,MATCH(BG$2,'Standards for Conversions'!$A$47:$A$73,0)))=0,"",BH43/(INDEX('Standards for Conversions'!$H$47:$H$73,MATCH(BG$2,'Standards for Conversions'!$A$47:$A$73,0))))</f>
        <v/>
      </c>
      <c r="BM43" s="31" t="str">
        <f>IF(BL43/(INDEX('Standards for Conversions'!$H$47:$H$73,MATCH(BK$2,'Standards for Conversions'!$A$47:$A$73,0)))=0,"",BL43/(INDEX('Standards for Conversions'!$H$47:$H$73,MATCH(BK$2,'Standards for Conversions'!$A$47:$A$73,0))))</f>
        <v/>
      </c>
      <c r="BP43" s="31" t="str">
        <f>IF(BO43/(INDEX('Standards for Conversions'!$H$47:$H$73,MATCH(BN$2,'Standards for Conversions'!$A$47:$A$73,0)))=0,"",BO43/(INDEX('Standards for Conversions'!$H$47:$H$73,MATCH(BN$2,'Standards for Conversions'!$A$47:$A$73,0))))</f>
        <v/>
      </c>
      <c r="BT43" s="31" t="str">
        <f>IF(BS43/(INDEX('Standards for Conversions'!$H$47:$H$73,MATCH(BR$2,'Standards for Conversions'!$A$47:$A$73,0)))=0,"",BS43/(INDEX('Standards for Conversions'!$H$47:$H$73,MATCH(BR$2,'Standards for Conversions'!$A$47:$A$73,0))))</f>
        <v/>
      </c>
      <c r="BX43" s="31" t="str">
        <f>IF(BW43/(INDEX('Standards for Conversions'!$H$47:$H$73,MATCH(BV$2,'Standards for Conversions'!$A$47:$A$73,0)))=0,"",BW43/(INDEX('Standards for Conversions'!$H$47:$H$73,MATCH(BV$2,'Standards for Conversions'!$A$47:$A$73,0))))</f>
        <v/>
      </c>
      <c r="CA43" s="31" t="str">
        <f>IF(BZ43/(INDEX('Standards for Conversions'!$H$47:$H$73,MATCH(BY$2,'Standards for Conversions'!$A$47:$A$73,0)))=0,"",BZ43/(INDEX('Standards for Conversions'!$H$47:$H$73,MATCH(BY$2,'Standards for Conversions'!$A$47:$A$73,0))))</f>
        <v/>
      </c>
      <c r="CD43" s="31" t="str">
        <f>IF(CC43/(INDEX('Standards for Conversions'!$H$47:$H$73,MATCH(CB$2,'Standards for Conversions'!$A$47:$A$73,0)))=0,"",CC43/(INDEX('Standards for Conversions'!$H$47:$H$73,MATCH(CB$2,'Standards for Conversions'!$A$47:$A$73,0))))</f>
        <v/>
      </c>
      <c r="CH43" s="31" t="str">
        <f>IF(CG43/(INDEX('Standards for Conversions'!$H$47:$H$73,MATCH(CF$2,'Standards for Conversions'!$A$47:$A$73,0)))=0,"",CG43/(INDEX('Standards for Conversions'!$H$47:$H$73,MATCH(CF$2,'Standards for Conversions'!$A$47:$A$73,0))))</f>
        <v/>
      </c>
      <c r="CK43" s="31" t="str">
        <f>IF(CJ43/(INDEX('Standards for Conversions'!$H$47:$H$73,MATCH(CI$2,'Standards for Conversions'!$A$47:$A$73,0)))=0,"",CJ43/(INDEX('Standards for Conversions'!$H$47:$H$73,MATCH(CI$2,'Standards for Conversions'!$A$47:$A$73,0))))</f>
        <v/>
      </c>
      <c r="CN43" s="31" t="str">
        <f>IF(CM43/(INDEX('Standards for Conversions'!$H$47:$H$73,MATCH(CL$2,'Standards for Conversions'!$A$47:$A$73,0)))=0,"",CM43/(INDEX('Standards for Conversions'!$H$47:$H$73,MATCH(CL$2,'Standards for Conversions'!$A$47:$A$73,0))))</f>
        <v/>
      </c>
      <c r="CQ43" s="31" t="str">
        <f>IF(CP43/(INDEX('Standards for Conversions'!$H$47:$H$73,MATCH(CO$2,'Standards for Conversions'!$A$47:$A$73,0)))=0,"",CP43/(INDEX('Standards for Conversions'!$H$47:$H$73,MATCH(CO$2,'Standards for Conversions'!$A$47:$A$73,0))))</f>
        <v/>
      </c>
      <c r="CU43" s="31" t="str">
        <f>IF(CT43/(INDEX('Standards for Conversions'!$H$47:$H$73,MATCH(CS$2,'Standards for Conversions'!$A$47:$A$73,0)))=0,"",CT43/(INDEX('Standards for Conversions'!$H$47:$H$73,MATCH(CS$2,'Standards for Conversions'!$A$47:$A$73,0))))</f>
        <v/>
      </c>
      <c r="CX43" s="31" t="str">
        <f>IF(CW43/(INDEX('Standards for Conversions'!$H$47:$H$73,MATCH(CV$2,'Standards for Conversions'!$A$47:$A$73,0)))=0,"",CW43/(INDEX('Standards for Conversions'!$H$47:$H$73,MATCH(CV$2,'Standards for Conversions'!$A$47:$A$73,0))))</f>
        <v/>
      </c>
      <c r="DA43" s="31" t="str">
        <f>IF(CZ43/(INDEX('Standards for Conversions'!$H$47:$H$73,MATCH(CY$2,'Standards for Conversions'!$A$47:$A$73,0)))=0,"",CZ43/(INDEX('Standards for Conversions'!$H$47:$H$73,MATCH(CY$2,'Standards for Conversions'!$A$47:$A$73,0))))</f>
        <v/>
      </c>
      <c r="DE43" s="31" t="str">
        <f>IF(DD43/(INDEX('Standards for Conversions'!$H$47:$H$73,MATCH(DC$2,'Standards for Conversions'!$A$47:$A$73,0)))=0,"",DD43/(INDEX('Standards for Conversions'!$H$47:$H$73,MATCH(DC$2,'Standards for Conversions'!$A$47:$A$73,0))))</f>
        <v/>
      </c>
      <c r="DM43" s="29" t="s">
        <v>98</v>
      </c>
      <c r="DP43" s="29">
        <v>230</v>
      </c>
      <c r="DQ43" s="29">
        <v>1913</v>
      </c>
      <c r="DR43" s="29" t="s">
        <v>98</v>
      </c>
      <c r="DU43" s="29">
        <v>270</v>
      </c>
      <c r="DV43" s="29">
        <v>7340</v>
      </c>
    </row>
    <row r="44" spans="1:126" ht="19.2" hidden="1" customHeight="1" x14ac:dyDescent="0.3">
      <c r="A44" t="s">
        <v>367</v>
      </c>
      <c r="C44" s="7"/>
      <c r="D44" s="7"/>
      <c r="E44" s="31" t="str">
        <f>IF(D44/(INDEX('Standards for Conversions'!$H$34:$H$73,MATCH(C$2,'Standards for Conversions'!$A$34:$A$73,0)))=0,"",D44/(INDEX('Standards for Conversions'!$H$34:$H$73,MATCH(C$2,'Standards for Conversions'!$A$34:$A$73,0))))</f>
        <v/>
      </c>
      <c r="F44" s="7"/>
      <c r="G44" s="7"/>
      <c r="H44" s="31" t="str">
        <f>IF(G44/(INDEX('Standards for Conversions'!$H$34:$H$73,MATCH(F$2,'Standards for Conversions'!$A$34:$A$73,0)))=0,"",G44/(INDEX('Standards for Conversions'!$H$34:$H$73,MATCH(F$2,'Standards for Conversions'!$A$34:$A$73,0))))</f>
        <v/>
      </c>
      <c r="J44" s="7"/>
      <c r="K44" s="7"/>
      <c r="L44" s="31" t="str">
        <f>IF(K44/(INDEX('Standards for Conversions'!$H$34:$H$73,MATCH(J$2,'Standards for Conversions'!$A$34:$A$73,0)))=0,"",K44/(INDEX('Standards for Conversions'!$H$34:$H$73,MATCH(J$2,'Standards for Conversions'!$A$34:$A$73,0))))</f>
        <v/>
      </c>
      <c r="M44" s="7"/>
      <c r="N44" s="7"/>
      <c r="O44" s="31" t="str">
        <f>IF(N44/(INDEX('Standards for Conversions'!$H$34:$H$73,MATCH(M$2,'Standards for Conversions'!$A$34:$A$73,0)))=0,"",N44/(INDEX('Standards for Conversions'!$H$34:$H$73,MATCH(M$2,'Standards for Conversions'!$A$34:$A$73,0))))</f>
        <v/>
      </c>
      <c r="Q44" s="7"/>
      <c r="R44" s="7"/>
      <c r="S44" s="31" t="str">
        <f>IF(R44/(INDEX('Standards for Conversions'!$H$34:$H$73,MATCH(Q$2,'Standards for Conversions'!$A$34:$A$73,0)))=0,"",R44/(INDEX('Standards for Conversions'!$H$34:$H$73,MATCH(Q$2,'Standards for Conversions'!$A$34:$A$73,0))))</f>
        <v/>
      </c>
      <c r="U44" s="7"/>
      <c r="V44" s="7"/>
      <c r="W44" s="31" t="str">
        <f>IF(V44/(INDEX('Standards for Conversions'!$H$34:$H$73,MATCH(U$2,'Standards for Conversions'!$A$34:$A$73,0)))=0,"",V44/(INDEX('Standards for Conversions'!$H$34:$H$73,MATCH(U$2,'Standards for Conversions'!$A$34:$A$73,0))))</f>
        <v/>
      </c>
      <c r="Y44" s="7"/>
      <c r="Z44" s="7"/>
      <c r="AA44" s="31" t="str">
        <f>IF(Z44/(INDEX('Standards for Conversions'!$H$34:$H$73,MATCH(Y$2,'Standards for Conversions'!$A$34:$A$73,0)))=0,"",Z44/(INDEX('Standards for Conversions'!$H$34:$H$73,MATCH(Y$2,'Standards for Conversions'!$A$34:$A$73,0))))</f>
        <v/>
      </c>
      <c r="AB44" s="7"/>
      <c r="AC44" s="7"/>
      <c r="AD44" s="31" t="str">
        <f>IF(AC44/(INDEX('Standards for Conversions'!$H$34:$H$73,MATCH(AB$2,'Standards for Conversions'!$A$34:$A$73,0)))=0,"",AC44/(INDEX('Standards for Conversions'!$H$34:$H$73,MATCH(AB$2,'Standards for Conversions'!$A$34:$A$73,0))))</f>
        <v/>
      </c>
      <c r="AF44" s="7"/>
      <c r="AG44" s="7"/>
      <c r="AH44" s="31" t="str">
        <f>IF(AG44/(INDEX('Standards for Conversions'!$H$34:$H$73,MATCH(AF$2,'Standards for Conversions'!$A$34:$A$73,0)))=0,"",AG44/(INDEX('Standards for Conversions'!$H$34:$H$73,MATCH(AF$2,'Standards for Conversions'!$A$34:$A$73,0))))</f>
        <v/>
      </c>
      <c r="AJ44" s="7"/>
      <c r="AK44" s="7"/>
      <c r="AL44" s="31" t="str">
        <f>IF(AK44/(INDEX('Standards for Conversions'!$H$34:$H$73,MATCH(AJ$2,'Standards for Conversions'!$A$34:$A$73,0)))=0,"",AK44/(INDEX('Standards for Conversions'!$H$34:$H$73,MATCH(AJ$2,'Standards for Conversions'!$A$34:$A$73,0))))</f>
        <v/>
      </c>
      <c r="AM44" s="7"/>
      <c r="AN44" s="7"/>
      <c r="AO44" s="31" t="str">
        <f>IF(AN44/(INDEX('Standards for Conversions'!$H$34:$H$73,MATCH(AM$2,'Standards for Conversions'!$A$34:$A$73,0)))=0,"",AN44/(INDEX('Standards for Conversions'!$H$34:$H$73,MATCH(AM$2,'Standards for Conversions'!$A$34:$A$73,0))))</f>
        <v/>
      </c>
      <c r="AP44" s="7"/>
      <c r="AQ44" s="7"/>
      <c r="AR44" s="31" t="str">
        <f>IF(AQ44/(INDEX('Standards for Conversions'!$H$34:$H$73,MATCH(AP$2,'Standards for Conversions'!$A$34:$A$73,0)))=0,"",AQ44/(INDEX('Standards for Conversions'!$H$34:$H$73,MATCH(AP$2,'Standards for Conversions'!$A$34:$A$73,0))))</f>
        <v/>
      </c>
      <c r="AS44" s="7"/>
      <c r="AT44" s="7"/>
      <c r="AU44" s="31" t="str">
        <f>IF(AT44/(INDEX('Standards for Conversions'!$H$34:$H$73,MATCH(AS$2,'Standards for Conversions'!$A$34:$A$73,0)))=0,"",AT44/(INDEX('Standards for Conversions'!$H$34:$H$73,MATCH(AS$2,'Standards for Conversions'!$A$34:$A$73,0))))</f>
        <v/>
      </c>
      <c r="AV44" s="7"/>
      <c r="AW44" s="7"/>
      <c r="AX44" s="31" t="str">
        <f>IF(AW44/(INDEX('Standards for Conversions'!$H$47:$H$73,MATCH(AV$2,'Standards for Conversions'!$A$47:$A$73,0)))=0,"",AW44/(INDEX('Standards for Conversions'!$H$47:$H$73,MATCH(AV$2,'Standards for Conversions'!$A$47:$A$73,0))))</f>
        <v/>
      </c>
      <c r="BB44" s="31" t="str">
        <f>IF(BA44/(INDEX('Standards for Conversions'!$H$47:$H$73,MATCH(AZ$2,'Standards for Conversions'!$A$47:$A$73,0)))=0,"",BA44/(INDEX('Standards for Conversions'!$H$47:$H$73,MATCH(AZ$2,'Standards for Conversions'!$A$47:$A$73,0))))</f>
        <v/>
      </c>
      <c r="BE44" s="31" t="str">
        <f>IF(BD44/(INDEX('Standards for Conversions'!$H$47:$H$73,MATCH(BC$2,'Standards for Conversions'!$A$47:$A$73,0)))=0,"",BD44/(INDEX('Standards for Conversions'!$H$47:$H$73,MATCH(BC$2,'Standards for Conversions'!$A$47:$A$73,0))))</f>
        <v/>
      </c>
      <c r="BI44" s="31" t="str">
        <f>IF(BH44/(INDEX('Standards for Conversions'!$H$47:$H$73,MATCH(BG$2,'Standards for Conversions'!$A$47:$A$73,0)))=0,"",BH44/(INDEX('Standards for Conversions'!$H$47:$H$73,MATCH(BG$2,'Standards for Conversions'!$A$47:$A$73,0))))</f>
        <v/>
      </c>
      <c r="BM44" s="31" t="str">
        <f>IF(BL44/(INDEX('Standards for Conversions'!$H$47:$H$73,MATCH(BK$2,'Standards for Conversions'!$A$47:$A$73,0)))=0,"",BL44/(INDEX('Standards for Conversions'!$H$47:$H$73,MATCH(BK$2,'Standards for Conversions'!$A$47:$A$73,0))))</f>
        <v/>
      </c>
      <c r="BP44" s="31" t="str">
        <f>IF(BO44/(INDEX('Standards for Conversions'!$H$47:$H$73,MATCH(BN$2,'Standards for Conversions'!$A$47:$A$73,0)))=0,"",BO44/(INDEX('Standards for Conversions'!$H$47:$H$73,MATCH(BN$2,'Standards for Conversions'!$A$47:$A$73,0))))</f>
        <v/>
      </c>
      <c r="BT44" s="31" t="str">
        <f>IF(BS44/(INDEX('Standards for Conversions'!$H$47:$H$73,MATCH(BR$2,'Standards for Conversions'!$A$47:$A$73,0)))=0,"",BS44/(INDEX('Standards for Conversions'!$H$47:$H$73,MATCH(BR$2,'Standards for Conversions'!$A$47:$A$73,0))))</f>
        <v/>
      </c>
      <c r="BX44" s="31" t="str">
        <f>IF(BW44/(INDEX('Standards for Conversions'!$H$47:$H$73,MATCH(BV$2,'Standards for Conversions'!$A$47:$A$73,0)))=0,"",BW44/(INDEX('Standards for Conversions'!$H$47:$H$73,MATCH(BV$2,'Standards for Conversions'!$A$47:$A$73,0))))</f>
        <v/>
      </c>
      <c r="CA44" s="31" t="str">
        <f>IF(BZ44/(INDEX('Standards for Conversions'!$H$47:$H$73,MATCH(BY$2,'Standards for Conversions'!$A$47:$A$73,0)))=0,"",BZ44/(INDEX('Standards for Conversions'!$H$47:$H$73,MATCH(BY$2,'Standards for Conversions'!$A$47:$A$73,0))))</f>
        <v/>
      </c>
      <c r="CD44" s="31" t="str">
        <f>IF(CC44/(INDEX('Standards for Conversions'!$H$47:$H$73,MATCH(CB$2,'Standards for Conversions'!$A$47:$A$73,0)))=0,"",CC44/(INDEX('Standards for Conversions'!$H$47:$H$73,MATCH(CB$2,'Standards for Conversions'!$A$47:$A$73,0))))</f>
        <v/>
      </c>
      <c r="CH44" s="31" t="str">
        <f>IF(CG44/(INDEX('Standards for Conversions'!$H$47:$H$73,MATCH(CF$2,'Standards for Conversions'!$A$47:$A$73,0)))=0,"",CG44/(INDEX('Standards for Conversions'!$H$47:$H$73,MATCH(CF$2,'Standards for Conversions'!$A$47:$A$73,0))))</f>
        <v/>
      </c>
      <c r="CK44" s="31" t="str">
        <f>IF(CJ44/(INDEX('Standards for Conversions'!$H$47:$H$73,MATCH(CI$2,'Standards for Conversions'!$A$47:$A$73,0)))=0,"",CJ44/(INDEX('Standards for Conversions'!$H$47:$H$73,MATCH(CI$2,'Standards for Conversions'!$A$47:$A$73,0))))</f>
        <v/>
      </c>
      <c r="CN44" s="31" t="str">
        <f>IF(CM44/(INDEX('Standards for Conversions'!$H$47:$H$73,MATCH(CL$2,'Standards for Conversions'!$A$47:$A$73,0)))=0,"",CM44/(INDEX('Standards for Conversions'!$H$47:$H$73,MATCH(CL$2,'Standards for Conversions'!$A$47:$A$73,0))))</f>
        <v/>
      </c>
      <c r="CQ44" s="31" t="str">
        <f>IF(CP44/(INDEX('Standards for Conversions'!$H$47:$H$73,MATCH(CO$2,'Standards for Conversions'!$A$47:$A$73,0)))=0,"",CP44/(INDEX('Standards for Conversions'!$H$47:$H$73,MATCH(CO$2,'Standards for Conversions'!$A$47:$A$73,0))))</f>
        <v/>
      </c>
      <c r="CU44" s="31" t="str">
        <f>IF(CT44/(INDEX('Standards for Conversions'!$H$47:$H$73,MATCH(CS$2,'Standards for Conversions'!$A$47:$A$73,0)))=0,"",CT44/(INDEX('Standards for Conversions'!$H$47:$H$73,MATCH(CS$2,'Standards for Conversions'!$A$47:$A$73,0))))</f>
        <v/>
      </c>
      <c r="CX44" s="31" t="str">
        <f>IF(CW44/(INDEX('Standards for Conversions'!$H$47:$H$73,MATCH(CV$2,'Standards for Conversions'!$A$47:$A$73,0)))=0,"",CW44/(INDEX('Standards for Conversions'!$H$47:$H$73,MATCH(CV$2,'Standards for Conversions'!$A$47:$A$73,0))))</f>
        <v/>
      </c>
      <c r="DA44" s="31" t="str">
        <f>IF(CZ44/(INDEX('Standards for Conversions'!$H$47:$H$73,MATCH(CY$2,'Standards for Conversions'!$A$47:$A$73,0)))=0,"",CZ44/(INDEX('Standards for Conversions'!$H$47:$H$73,MATCH(CY$2,'Standards for Conversions'!$A$47:$A$73,0))))</f>
        <v/>
      </c>
      <c r="DE44" s="31" t="str">
        <f>IF(DD44/(INDEX('Standards for Conversions'!$H$47:$H$73,MATCH(DC$2,'Standards for Conversions'!$A$47:$A$73,0)))=0,"",DD44/(INDEX('Standards for Conversions'!$H$47:$H$73,MATCH(DC$2,'Standards for Conversions'!$A$47:$A$73,0))))</f>
        <v/>
      </c>
      <c r="DR44" s="29" t="s">
        <v>98</v>
      </c>
      <c r="DU44" s="29">
        <v>121</v>
      </c>
      <c r="DV44" s="29">
        <v>1402</v>
      </c>
    </row>
    <row r="45" spans="1:126" x14ac:dyDescent="0.3">
      <c r="A45" s="19" t="s">
        <v>368</v>
      </c>
      <c r="B45" s="10" t="s">
        <v>98</v>
      </c>
      <c r="C45" s="7"/>
      <c r="D45" s="7"/>
      <c r="E45" s="31" t="str">
        <f>IF(D45/(INDEX('Standards for Conversions'!$H$34:$H$73,MATCH(C$2,'Standards for Conversions'!$A$34:$A$73,0)))=0,"",D45/(INDEX('Standards for Conversions'!$H$34:$H$73,MATCH(C$2,'Standards for Conversions'!$A$34:$A$73,0))))</f>
        <v/>
      </c>
      <c r="F45" s="7"/>
      <c r="G45" s="7"/>
      <c r="H45" s="31" t="str">
        <f>IF(G45/(INDEX('Standards for Conversions'!$H$34:$H$73,MATCH(F$2,'Standards for Conversions'!$A$34:$A$73,0)))=0,"",G45/(INDEX('Standards for Conversions'!$H$34:$H$73,MATCH(F$2,'Standards for Conversions'!$A$34:$A$73,0))))</f>
        <v/>
      </c>
      <c r="I45" s="10" t="s">
        <v>98</v>
      </c>
      <c r="J45" s="7"/>
      <c r="K45" s="7"/>
      <c r="L45" s="31" t="str">
        <f>IF(K45/(INDEX('Standards for Conversions'!$H$34:$H$73,MATCH(J$2,'Standards for Conversions'!$A$34:$A$73,0)))=0,"",K45/(INDEX('Standards for Conversions'!$H$34:$H$73,MATCH(J$2,'Standards for Conversions'!$A$34:$A$73,0))))</f>
        <v/>
      </c>
      <c r="M45" s="7"/>
      <c r="N45" s="7"/>
      <c r="O45" s="31" t="str">
        <f>IF(N45/(INDEX('Standards for Conversions'!$H$34:$H$73,MATCH(M$2,'Standards for Conversions'!$A$34:$A$73,0)))=0,"",N45/(INDEX('Standards for Conversions'!$H$34:$H$73,MATCH(M$2,'Standards for Conversions'!$A$34:$A$73,0))))</f>
        <v/>
      </c>
      <c r="P45" s="10" t="s">
        <v>98</v>
      </c>
      <c r="Q45" s="7"/>
      <c r="R45" s="7"/>
      <c r="S45" s="31" t="str">
        <f>IF(R45/(INDEX('Standards for Conversions'!$H$34:$H$73,MATCH(Q$2,'Standards for Conversions'!$A$34:$A$73,0)))=0,"",R45/(INDEX('Standards for Conversions'!$H$34:$H$73,MATCH(Q$2,'Standards for Conversions'!$A$34:$A$73,0))))</f>
        <v/>
      </c>
      <c r="T45" s="10" t="s">
        <v>98</v>
      </c>
      <c r="U45" s="7"/>
      <c r="V45" s="7"/>
      <c r="W45" s="31" t="str">
        <f>IF(V45/(INDEX('Standards for Conversions'!$H$34:$H$73,MATCH(U$2,'Standards for Conversions'!$A$34:$A$73,0)))=0,"",V45/(INDEX('Standards for Conversions'!$H$34:$H$73,MATCH(U$2,'Standards for Conversions'!$A$34:$A$73,0))))</f>
        <v/>
      </c>
      <c r="X45" s="10" t="s">
        <v>98</v>
      </c>
      <c r="Y45" s="7">
        <f>2.98*150</f>
        <v>447</v>
      </c>
      <c r="Z45" s="7">
        <v>10000</v>
      </c>
      <c r="AA45" s="31">
        <f>IF(Z45/(INDEX('Standards for Conversions'!$H$34:$H$73,MATCH(Y$2,'Standards for Conversions'!$A$34:$A$73,0)))=0,"",Z45/(INDEX('Standards for Conversions'!$H$34:$H$73,MATCH(Y$2,'Standards for Conversions'!$A$34:$A$73,0))))</f>
        <v>1770.0461313403437</v>
      </c>
      <c r="AB45" s="7">
        <f>2.98*100</f>
        <v>298</v>
      </c>
      <c r="AC45" s="7">
        <v>7000</v>
      </c>
      <c r="AD45" s="31">
        <f>IF(AC45/(INDEX('Standards for Conversions'!$H$34:$H$73,MATCH(AB$2,'Standards for Conversions'!$A$34:$A$73,0)))=0,"",AC45/(INDEX('Standards for Conversions'!$H$34:$H$73,MATCH(AB$2,'Standards for Conversions'!$A$34:$A$73,0))))</f>
        <v>1225.6934275513456</v>
      </c>
      <c r="AE45" s="10" t="s">
        <v>98</v>
      </c>
      <c r="AF45" s="7">
        <f>2.98*700</f>
        <v>2086</v>
      </c>
      <c r="AG45" s="7">
        <v>45000</v>
      </c>
      <c r="AH45" s="31">
        <f>IF(AG45/(INDEX('Standards for Conversions'!$H$34:$H$73,MATCH(AF$2,'Standards for Conversions'!$A$34:$A$73,0)))=0,"",AG45/(INDEX('Standards for Conversions'!$H$34:$H$73,MATCH(AF$2,'Standards for Conversions'!$A$34:$A$73,0))))</f>
        <v>7869.9299882680098</v>
      </c>
      <c r="AI45" s="10" t="s">
        <v>98</v>
      </c>
      <c r="AJ45" s="7">
        <f>2.98*225</f>
        <v>670.5</v>
      </c>
      <c r="AK45" s="7">
        <v>14500</v>
      </c>
      <c r="AL45" s="31">
        <f>IF(AK45/(INDEX('Standards for Conversions'!$H$34:$H$73,MATCH(AJ$2,'Standards for Conversions'!$A$34:$A$73,0)))=0,"",AK45/(INDEX('Standards for Conversions'!$H$34:$H$73,MATCH(AJ$2,'Standards for Conversions'!$A$34:$A$73,0))))</f>
        <v>2483.6753760392221</v>
      </c>
      <c r="AM45" s="7">
        <f>2.98*101</f>
        <v>300.98</v>
      </c>
      <c r="AN45" s="7">
        <v>5800</v>
      </c>
      <c r="AO45" s="31">
        <f>IF(AN45/(INDEX('Standards for Conversions'!$H$34:$H$73,MATCH(AM$2,'Standards for Conversions'!$A$34:$A$73,0)))=0,"",AN45/(INDEX('Standards for Conversions'!$H$34:$H$73,MATCH(AM$2,'Standards for Conversions'!$A$34:$A$73,0))))</f>
        <v>994.69817285130773</v>
      </c>
      <c r="AP45" s="7">
        <f>2.98*275</f>
        <v>819.5</v>
      </c>
      <c r="AQ45" s="7">
        <v>11600</v>
      </c>
      <c r="AR45" s="31">
        <f>IF(AQ45/(INDEX('Standards for Conversions'!$H$34:$H$73,MATCH(AP$2,'Standards for Conversions'!$A$34:$A$73,0)))=0,"",AQ45/(INDEX('Standards for Conversions'!$H$34:$H$73,MATCH(AP$2,'Standards for Conversions'!$A$34:$A$73,0))))</f>
        <v>1908.3468649517683</v>
      </c>
      <c r="AS45" s="7">
        <f>2.98*400</f>
        <v>1192</v>
      </c>
      <c r="AT45" s="7">
        <v>74000</v>
      </c>
      <c r="AU45" s="31">
        <f>IF(AT45/(INDEX('Standards for Conversions'!$H$34:$H$73,MATCH(AS$2,'Standards for Conversions'!$A$34:$A$73,0)))=0,"",AT45/(INDEX('Standards for Conversions'!$H$34:$H$73,MATCH(AS$2,'Standards for Conversions'!$A$34:$A$73,0))))</f>
        <v>11374.875401929261</v>
      </c>
      <c r="AV45" s="7">
        <f>2.98*300</f>
        <v>894</v>
      </c>
      <c r="AW45" s="7">
        <v>20000</v>
      </c>
      <c r="AX45" s="31">
        <f>IF(AW45/(INDEX('Standards for Conversions'!$H$47:$H$73,MATCH(AV$2,'Standards for Conversions'!$A$47:$A$73,0)))=0,"",AW45/(INDEX('Standards for Conversions'!$H$47:$H$73,MATCH(AV$2,'Standards for Conversions'!$A$47:$A$73,0))))</f>
        <v>3027.710487819008</v>
      </c>
      <c r="AY45" s="33" t="s">
        <v>98</v>
      </c>
      <c r="AZ45" s="29">
        <v>596</v>
      </c>
      <c r="BA45" s="29">
        <v>14000</v>
      </c>
      <c r="BB45" s="31">
        <f>IF(BA45/(INDEX('Standards for Conversions'!$H$47:$H$73,MATCH(AZ$2,'Standards for Conversions'!$A$47:$A$73,0)))=0,"",BA45/(INDEX('Standards for Conversions'!$H$47:$H$73,MATCH(AZ$2,'Standards for Conversions'!$A$47:$A$73,0))))</f>
        <v>2033.4357709799833</v>
      </c>
      <c r="BC45" s="29">
        <v>298</v>
      </c>
      <c r="BD45" s="29">
        <v>6700</v>
      </c>
      <c r="BE45" s="31">
        <f>IF(BD45/(INDEX('Standards for Conversions'!$H$47:$H$73,MATCH(BC$2,'Standards for Conversions'!$A$47:$A$73,0)))=0,"",BD45/(INDEX('Standards for Conversions'!$H$47:$H$73,MATCH(BC$2,'Standards for Conversions'!$A$47:$A$73,0))))</f>
        <v>968.88852890269686</v>
      </c>
      <c r="BF45" s="33" t="s">
        <v>98</v>
      </c>
      <c r="BG45" s="29">
        <v>447</v>
      </c>
      <c r="BH45" s="29">
        <v>10000</v>
      </c>
      <c r="BI45" s="31">
        <f>IF(BH45/(INDEX('Standards for Conversions'!$H$47:$H$73,MATCH(BG$2,'Standards for Conversions'!$A$47:$A$73,0)))=0,"",BH45/(INDEX('Standards for Conversions'!$H$47:$H$73,MATCH(BG$2,'Standards for Conversions'!$A$47:$A$73,0))))</f>
        <v>1617.6019669186869</v>
      </c>
      <c r="BJ45" s="33" t="s">
        <v>98</v>
      </c>
      <c r="BK45" s="29">
        <v>327.8</v>
      </c>
      <c r="BL45" s="29">
        <v>7000</v>
      </c>
      <c r="BM45" s="31">
        <f>IF(BL45/(INDEX('Standards for Conversions'!$H$47:$H$73,MATCH(BK$2,'Standards for Conversions'!$A$47:$A$73,0)))=0,"",BL45/(INDEX('Standards for Conversions'!$H$47:$H$73,MATCH(BK$2,'Standards for Conversions'!$A$47:$A$73,0))))</f>
        <v>1068.5912469945829</v>
      </c>
      <c r="BN45" s="29">
        <v>298</v>
      </c>
      <c r="BO45" s="29">
        <v>6500</v>
      </c>
      <c r="BP45" s="31">
        <f>IF(BO45/(INDEX('Standards for Conversions'!$H$47:$H$73,MATCH(BN$2,'Standards for Conversions'!$A$47:$A$73,0)))=0,"",BO45/(INDEX('Standards for Conversions'!$H$47:$H$73,MATCH(BN$2,'Standards for Conversions'!$A$47:$A$73,0))))</f>
        <v>875.28357738767704</v>
      </c>
      <c r="BQ45" s="33" t="s">
        <v>98</v>
      </c>
      <c r="BR45" s="29">
        <v>149</v>
      </c>
      <c r="BS45" s="29">
        <v>3500</v>
      </c>
      <c r="BT45" s="31">
        <f>IF(BS45/(INDEX('Standards for Conversions'!$H$47:$H$73,MATCH(BR$2,'Standards for Conversions'!$A$47:$A$73,0)))=0,"",BS45/(INDEX('Standards for Conversions'!$H$47:$H$73,MATCH(BR$2,'Standards for Conversions'!$A$47:$A$73,0))))</f>
        <v>425.65798354624712</v>
      </c>
      <c r="BU45" s="33" t="s">
        <v>98</v>
      </c>
      <c r="BV45" s="7">
        <f>150*2.98</f>
        <v>447</v>
      </c>
      <c r="BW45" s="7">
        <v>11400</v>
      </c>
      <c r="BX45" s="31">
        <f>IF(BW45/(INDEX('Standards for Conversions'!$H$47:$H$73,MATCH(BV$2,'Standards for Conversions'!$A$47:$A$73,0)))=0,"",BW45/(INDEX('Standards for Conversions'!$H$47:$H$73,MATCH(BV$2,'Standards for Conversions'!$A$47:$A$73,0))))</f>
        <v>1117.542762014426</v>
      </c>
      <c r="CA45" s="31" t="str">
        <f>IF(BZ45/(INDEX('Standards for Conversions'!$H$47:$H$73,MATCH(BY$2,'Standards for Conversions'!$A$47:$A$73,0)))=0,"",BZ45/(INDEX('Standards for Conversions'!$H$47:$H$73,MATCH(BY$2,'Standards for Conversions'!$A$47:$A$73,0))))</f>
        <v/>
      </c>
      <c r="CD45" s="31" t="str">
        <f>IF(CC45/(INDEX('Standards for Conversions'!$H$47:$H$73,MATCH(CB$2,'Standards for Conversions'!$A$47:$A$73,0)))=0,"",CC45/(INDEX('Standards for Conversions'!$H$47:$H$73,MATCH(CB$2,'Standards for Conversions'!$A$47:$A$73,0))))</f>
        <v/>
      </c>
      <c r="CH45" s="31" t="str">
        <f>IF(CG45/(INDEX('Standards for Conversions'!$H$47:$H$73,MATCH(CF$2,'Standards for Conversions'!$A$47:$A$73,0)))=0,"",CG45/(INDEX('Standards for Conversions'!$H$47:$H$73,MATCH(CF$2,'Standards for Conversions'!$A$47:$A$73,0))))</f>
        <v/>
      </c>
      <c r="CK45" s="31" t="str">
        <f>IF(CJ45/(INDEX('Standards for Conversions'!$H$47:$H$73,MATCH(CI$2,'Standards for Conversions'!$A$47:$A$73,0)))=0,"",CJ45/(INDEX('Standards for Conversions'!$H$47:$H$73,MATCH(CI$2,'Standards for Conversions'!$A$47:$A$73,0))))</f>
        <v/>
      </c>
      <c r="CN45" s="31" t="str">
        <f>IF(CM45/(INDEX('Standards for Conversions'!$H$47:$H$73,MATCH(CL$2,'Standards for Conversions'!$A$47:$A$73,0)))=0,"",CM45/(INDEX('Standards for Conversions'!$H$47:$H$73,MATCH(CL$2,'Standards for Conversions'!$A$47:$A$73,0))))</f>
        <v/>
      </c>
      <c r="CQ45" s="31" t="str">
        <f>IF(CP45/(INDEX('Standards for Conversions'!$H$47:$H$73,MATCH(CO$2,'Standards for Conversions'!$A$47:$A$73,0)))=0,"",CP45/(INDEX('Standards for Conversions'!$H$47:$H$73,MATCH(CO$2,'Standards for Conversions'!$A$47:$A$73,0))))</f>
        <v/>
      </c>
      <c r="CU45" s="31" t="str">
        <f>IF(CT45/(INDEX('Standards for Conversions'!$H$47:$H$73,MATCH(CS$2,'Standards for Conversions'!$A$47:$A$73,0)))=0,"",CT45/(INDEX('Standards for Conversions'!$H$47:$H$73,MATCH(CS$2,'Standards for Conversions'!$A$47:$A$73,0))))</f>
        <v/>
      </c>
      <c r="CX45" s="31" t="str">
        <f>IF(CW45/(INDEX('Standards for Conversions'!$H$47:$H$73,MATCH(CV$2,'Standards for Conversions'!$A$47:$A$73,0)))=0,"",CW45/(INDEX('Standards for Conversions'!$H$47:$H$73,MATCH(CV$2,'Standards for Conversions'!$A$47:$A$73,0))))</f>
        <v/>
      </c>
      <c r="DA45" s="31" t="str">
        <f>IF(CZ45/(INDEX('Standards for Conversions'!$H$47:$H$73,MATCH(CY$2,'Standards for Conversions'!$A$47:$A$73,0)))=0,"",CZ45/(INDEX('Standards for Conversions'!$H$47:$H$73,MATCH(CY$2,'Standards for Conversions'!$A$47:$A$73,0))))</f>
        <v/>
      </c>
      <c r="DE45" s="31" t="str">
        <f>IF(DD45/(INDEX('Standards for Conversions'!$H$47:$H$73,MATCH(DC$2,'Standards for Conversions'!$A$47:$A$73,0)))=0,"",DD45/(INDEX('Standards for Conversions'!$H$47:$H$73,MATCH(DC$2,'Standards for Conversions'!$A$47:$A$73,0))))</f>
        <v/>
      </c>
    </row>
    <row r="46" spans="1:126" x14ac:dyDescent="0.3">
      <c r="A46" s="19" t="s">
        <v>142</v>
      </c>
      <c r="B46" s="10" t="s">
        <v>98</v>
      </c>
      <c r="C46" s="7">
        <f>3*800</f>
        <v>2400</v>
      </c>
      <c r="D46" s="7">
        <v>20000</v>
      </c>
      <c r="E46" s="31">
        <f>IF(D46/(INDEX('Standards for Conversions'!$H$34:$H$73,MATCH(C$2,'Standards for Conversions'!$A$34:$A$73,0)))=0,"",D46/(INDEX('Standards for Conversions'!$H$34:$H$73,MATCH(C$2,'Standards for Conversions'!$A$34:$A$73,0))))</f>
        <v>3950.8445945945941</v>
      </c>
      <c r="F46" s="7">
        <f>3*2000</f>
        <v>6000</v>
      </c>
      <c r="G46" s="7">
        <v>42000</v>
      </c>
      <c r="H46" s="31">
        <f>IF(G46/(INDEX('Standards for Conversions'!$H$34:$H$73,MATCH(F$2,'Standards for Conversions'!$A$34:$A$73,0)))=0,"",G46/(INDEX('Standards for Conversions'!$H$34:$H$73,MATCH(F$2,'Standards for Conversions'!$A$34:$A$73,0))))</f>
        <v>8092.2443947162592</v>
      </c>
      <c r="I46" s="10" t="s">
        <v>98</v>
      </c>
      <c r="J46" s="7">
        <f>3*2000</f>
        <v>6000</v>
      </c>
      <c r="K46" s="7">
        <v>42000</v>
      </c>
      <c r="L46" s="31">
        <f>IF(K46/(INDEX('Standards for Conversions'!$H$34:$H$73,MATCH(J$2,'Standards for Conversions'!$A$34:$A$73,0)))=0,"",K46/(INDEX('Standards for Conversions'!$H$34:$H$73,MATCH(J$2,'Standards for Conversions'!$A$34:$A$73,0))))</f>
        <v>7505.3343616928814</v>
      </c>
      <c r="M46" s="7">
        <f>3*2000</f>
        <v>6000</v>
      </c>
      <c r="N46" s="7">
        <v>40000</v>
      </c>
      <c r="O46" s="31">
        <f>IF(N46/(INDEX('Standards for Conversions'!$H$34:$H$73,MATCH(M$2,'Standards for Conversions'!$A$34:$A$73,0)))=0,"",N46/(INDEX('Standards for Conversions'!$H$34:$H$73,MATCH(M$2,'Standards for Conversions'!$A$34:$A$73,0))))</f>
        <v>7427.4184554329249</v>
      </c>
      <c r="P46" s="10" t="s">
        <v>98</v>
      </c>
      <c r="Q46" s="7">
        <f>3*500</f>
        <v>1500</v>
      </c>
      <c r="R46" s="7">
        <v>10000</v>
      </c>
      <c r="S46" s="31">
        <f>IF(R46/(INDEX('Standards for Conversions'!$H$34:$H$73,MATCH(Q$2,'Standards for Conversions'!$A$34:$A$73,0)))=0,"",R46/(INDEX('Standards for Conversions'!$H$34:$H$73,MATCH(Q$2,'Standards for Conversions'!$A$34:$A$73,0))))</f>
        <v>1780.6325316474026</v>
      </c>
      <c r="T46" s="10" t="s">
        <v>98</v>
      </c>
      <c r="U46" s="7">
        <f>3*359</f>
        <v>1077</v>
      </c>
      <c r="V46" s="7">
        <v>10500</v>
      </c>
      <c r="W46" s="31">
        <f>IF(V46/(INDEX('Standards for Conversions'!$H$34:$H$73,MATCH(U$2,'Standards for Conversions'!$A$34:$A$73,0)))=0,"",V46/(INDEX('Standards for Conversions'!$H$34:$H$73,MATCH(U$2,'Standards for Conversions'!$A$34:$A$73,0))))</f>
        <v>1822.9781328756408</v>
      </c>
      <c r="X46" s="10" t="s">
        <v>98</v>
      </c>
      <c r="Y46" s="7">
        <f>3*360</f>
        <v>1080</v>
      </c>
      <c r="Z46" s="7">
        <v>9000</v>
      </c>
      <c r="AA46" s="31">
        <f>IF(Z46/(INDEX('Standards for Conversions'!$H$34:$H$73,MATCH(Y$2,'Standards for Conversions'!$A$34:$A$73,0)))=0,"",Z46/(INDEX('Standards for Conversions'!$H$34:$H$73,MATCH(Y$2,'Standards for Conversions'!$A$34:$A$73,0))))</f>
        <v>1593.0415182063093</v>
      </c>
      <c r="AB46" s="7">
        <f>3*500</f>
        <v>1500</v>
      </c>
      <c r="AC46" s="7">
        <v>15000</v>
      </c>
      <c r="AD46" s="31">
        <f>IF(AC46/(INDEX('Standards for Conversions'!$H$34:$H$73,MATCH(AB$2,'Standards for Conversions'!$A$34:$A$73,0)))=0,"",AC46/(INDEX('Standards for Conversions'!$H$34:$H$73,MATCH(AB$2,'Standards for Conversions'!$A$34:$A$73,0))))</f>
        <v>2626.4859161814547</v>
      </c>
      <c r="AE46" s="10" t="s">
        <v>98</v>
      </c>
      <c r="AF46" s="7">
        <f>3*2600</f>
        <v>7800</v>
      </c>
      <c r="AG46" s="7">
        <v>18000</v>
      </c>
      <c r="AH46" s="31">
        <f>IF(AG46/(INDEX('Standards for Conversions'!$H$34:$H$73,MATCH(AF$2,'Standards for Conversions'!$A$34:$A$73,0)))=0,"",AG46/(INDEX('Standards for Conversions'!$H$34:$H$73,MATCH(AF$2,'Standards for Conversions'!$A$34:$A$73,0))))</f>
        <v>3147.971995307204</v>
      </c>
      <c r="AI46" s="10" t="s">
        <v>98</v>
      </c>
      <c r="AJ46" s="7">
        <f>3*1600</f>
        <v>4800</v>
      </c>
      <c r="AK46" s="7">
        <v>13100</v>
      </c>
      <c r="AL46" s="31">
        <f>IF(AK46/(INDEX('Standards for Conversions'!$H$34:$H$73,MATCH(AJ$2,'Standards for Conversions'!$A$34:$A$73,0)))=0,"",AK46/(INDEX('Standards for Conversions'!$H$34:$H$73,MATCH(AJ$2,'Standards for Conversions'!$A$34:$A$73,0))))</f>
        <v>2243.8722362837111</v>
      </c>
      <c r="AM46" s="7">
        <f>3*500</f>
        <v>1500</v>
      </c>
      <c r="AN46" s="7">
        <v>14000</v>
      </c>
      <c r="AO46" s="31">
        <f>IF(AN46/(INDEX('Standards for Conversions'!$H$34:$H$73,MATCH(AM$2,'Standards for Conversions'!$A$34:$A$73,0)))=0,"",AN46/(INDEX('Standards for Conversions'!$H$34:$H$73,MATCH(AM$2,'Standards for Conversions'!$A$34:$A$73,0))))</f>
        <v>2400.9955896410875</v>
      </c>
      <c r="AP46" s="7">
        <f>3*1200</f>
        <v>3600</v>
      </c>
      <c r="AQ46" s="7">
        <v>6500</v>
      </c>
      <c r="AR46" s="31">
        <f>IF(AQ46/(INDEX('Standards for Conversions'!$H$34:$H$73,MATCH(AP$2,'Standards for Conversions'!$A$34:$A$73,0)))=0,"",AQ46/(INDEX('Standards for Conversions'!$H$34:$H$73,MATCH(AP$2,'Standards for Conversions'!$A$34:$A$73,0))))</f>
        <v>1069.3322950160771</v>
      </c>
      <c r="AS46" s="7">
        <f>3*1750</f>
        <v>5250</v>
      </c>
      <c r="AT46" s="7">
        <v>25000</v>
      </c>
      <c r="AU46" s="31">
        <f>IF(AT46/(INDEX('Standards for Conversions'!$H$34:$H$73,MATCH(AS$2,'Standards for Conversions'!$A$34:$A$73,0)))=0,"",AT46/(INDEX('Standards for Conversions'!$H$34:$H$73,MATCH(AS$2,'Standards for Conversions'!$A$34:$A$73,0))))</f>
        <v>3842.8633114625882</v>
      </c>
      <c r="AV46" s="7">
        <f>3*1500</f>
        <v>4500</v>
      </c>
      <c r="AW46" s="7">
        <v>24000</v>
      </c>
      <c r="AX46" s="31">
        <f>IF(AW46/(INDEX('Standards for Conversions'!$H$47:$H$73,MATCH(AV$2,'Standards for Conversions'!$A$47:$A$73,0)))=0,"",AW46/(INDEX('Standards for Conversions'!$H$47:$H$73,MATCH(AV$2,'Standards for Conversions'!$A$47:$A$73,0))))</f>
        <v>3633.2525853828097</v>
      </c>
      <c r="AY46" s="33" t="s">
        <v>98</v>
      </c>
      <c r="AZ46" s="29">
        <v>3000</v>
      </c>
      <c r="BA46" s="29">
        <v>21000</v>
      </c>
      <c r="BB46" s="31">
        <f>IF(BA46/(INDEX('Standards for Conversions'!$H$47:$H$73,MATCH(AZ$2,'Standards for Conversions'!$A$47:$A$73,0)))=0,"",BA46/(INDEX('Standards for Conversions'!$H$47:$H$73,MATCH(AZ$2,'Standards for Conversions'!$A$47:$A$73,0))))</f>
        <v>3050.153656469975</v>
      </c>
      <c r="BC46" s="29">
        <v>3300</v>
      </c>
      <c r="BD46" s="29">
        <v>23000</v>
      </c>
      <c r="BE46" s="31">
        <f>IF(BD46/(INDEX('Standards for Conversions'!$H$47:$H$73,MATCH(BC$2,'Standards for Conversions'!$A$47:$A$73,0)))=0,"",BD46/(INDEX('Standards for Conversions'!$H$47:$H$73,MATCH(BC$2,'Standards for Conversions'!$A$47:$A$73,0))))</f>
        <v>3326.0352484719442</v>
      </c>
      <c r="BF46" s="33" t="s">
        <v>98</v>
      </c>
      <c r="BG46" s="29">
        <v>3000</v>
      </c>
      <c r="BH46" s="29">
        <v>21000</v>
      </c>
      <c r="BI46" s="31">
        <f>IF(BH46/(INDEX('Standards for Conversions'!$H$47:$H$73,MATCH(BG$2,'Standards for Conversions'!$A$47:$A$73,0)))=0,"",BH46/(INDEX('Standards for Conversions'!$H$47:$H$73,MATCH(BG$2,'Standards for Conversions'!$A$47:$A$73,0))))</f>
        <v>3396.9641305292425</v>
      </c>
      <c r="BJ46" s="33" t="s">
        <v>98</v>
      </c>
      <c r="BK46" s="29">
        <v>3300</v>
      </c>
      <c r="BL46" s="29">
        <v>22000</v>
      </c>
      <c r="BM46" s="31">
        <f>IF(BL46/(INDEX('Standards for Conversions'!$H$47:$H$73,MATCH(BK$2,'Standards for Conversions'!$A$47:$A$73,0)))=0,"",BL46/(INDEX('Standards for Conversions'!$H$47:$H$73,MATCH(BK$2,'Standards for Conversions'!$A$47:$A$73,0))))</f>
        <v>3358.4296334115465</v>
      </c>
      <c r="BN46" s="29">
        <v>3000</v>
      </c>
      <c r="BO46" s="29">
        <v>22000</v>
      </c>
      <c r="BP46" s="31">
        <f>IF(BO46/(INDEX('Standards for Conversions'!$H$47:$H$73,MATCH(BN$2,'Standards for Conversions'!$A$47:$A$73,0)))=0,"",BO46/(INDEX('Standards for Conversions'!$H$47:$H$73,MATCH(BN$2,'Standards for Conversions'!$A$47:$A$73,0))))</f>
        <v>2962.498261927522</v>
      </c>
      <c r="BQ46" s="33" t="s">
        <v>98</v>
      </c>
      <c r="BR46" s="29">
        <v>3300</v>
      </c>
      <c r="BS46" s="29">
        <v>28000</v>
      </c>
      <c r="BT46" s="31">
        <f>IF(BS46/(INDEX('Standards for Conversions'!$H$47:$H$73,MATCH(BR$2,'Standards for Conversions'!$A$47:$A$73,0)))=0,"",BS46/(INDEX('Standards for Conversions'!$H$47:$H$73,MATCH(BR$2,'Standards for Conversions'!$A$47:$A$73,0))))</f>
        <v>3405.263868369977</v>
      </c>
      <c r="BU46" s="33" t="s">
        <v>98</v>
      </c>
      <c r="BV46" s="7">
        <f>3*1000</f>
        <v>3000</v>
      </c>
      <c r="BW46" s="7">
        <v>22000</v>
      </c>
      <c r="BX46" s="31">
        <f>IF(BW46/(INDEX('Standards for Conversions'!$H$47:$H$73,MATCH(BV$2,'Standards for Conversions'!$A$47:$A$73,0)))=0,"",BW46/(INDEX('Standards for Conversions'!$H$47:$H$73,MATCH(BV$2,'Standards for Conversions'!$A$47:$A$73,0))))</f>
        <v>2156.6614705541551</v>
      </c>
      <c r="CA46" s="31" t="str">
        <f>IF(BZ46/(INDEX('Standards for Conversions'!$H$47:$H$73,MATCH(BY$2,'Standards for Conversions'!$A$47:$A$73,0)))=0,"",BZ46/(INDEX('Standards for Conversions'!$H$47:$H$73,MATCH(BY$2,'Standards for Conversions'!$A$47:$A$73,0))))</f>
        <v/>
      </c>
      <c r="CD46" s="31" t="str">
        <f>IF(CC46/(INDEX('Standards for Conversions'!$H$47:$H$73,MATCH(CB$2,'Standards for Conversions'!$A$47:$A$73,0)))=0,"",CC46/(INDEX('Standards for Conversions'!$H$47:$H$73,MATCH(CB$2,'Standards for Conversions'!$A$47:$A$73,0))))</f>
        <v/>
      </c>
      <c r="CH46" s="31" t="str">
        <f>IF(CG46/(INDEX('Standards for Conversions'!$H$47:$H$73,MATCH(CF$2,'Standards for Conversions'!$A$47:$A$73,0)))=0,"",CG46/(INDEX('Standards for Conversions'!$H$47:$H$73,MATCH(CF$2,'Standards for Conversions'!$A$47:$A$73,0))))</f>
        <v/>
      </c>
      <c r="CK46" s="31" t="str">
        <f>IF(CJ46/(INDEX('Standards for Conversions'!$H$47:$H$73,MATCH(CI$2,'Standards for Conversions'!$A$47:$A$73,0)))=0,"",CJ46/(INDEX('Standards for Conversions'!$H$47:$H$73,MATCH(CI$2,'Standards for Conversions'!$A$47:$A$73,0))))</f>
        <v/>
      </c>
      <c r="CN46" s="31" t="str">
        <f>IF(CM46/(INDEX('Standards for Conversions'!$H$47:$H$73,MATCH(CL$2,'Standards for Conversions'!$A$47:$A$73,0)))=0,"",CM46/(INDEX('Standards for Conversions'!$H$47:$H$73,MATCH(CL$2,'Standards for Conversions'!$A$47:$A$73,0))))</f>
        <v/>
      </c>
      <c r="CQ46" s="31" t="str">
        <f>IF(CP46/(INDEX('Standards for Conversions'!$H$47:$H$73,MATCH(CO$2,'Standards for Conversions'!$A$47:$A$73,0)))=0,"",CP46/(INDEX('Standards for Conversions'!$H$47:$H$73,MATCH(CO$2,'Standards for Conversions'!$A$47:$A$73,0))))</f>
        <v/>
      </c>
      <c r="CU46" s="31" t="str">
        <f>IF(CT46/(INDEX('Standards for Conversions'!$H$47:$H$73,MATCH(CS$2,'Standards for Conversions'!$A$47:$A$73,0)))=0,"",CT46/(INDEX('Standards for Conversions'!$H$47:$H$73,MATCH(CS$2,'Standards for Conversions'!$A$47:$A$73,0))))</f>
        <v/>
      </c>
      <c r="CX46" s="31" t="str">
        <f>IF(CW46/(INDEX('Standards for Conversions'!$H$47:$H$73,MATCH(CV$2,'Standards for Conversions'!$A$47:$A$73,0)))=0,"",CW46/(INDEX('Standards for Conversions'!$H$47:$H$73,MATCH(CV$2,'Standards for Conversions'!$A$47:$A$73,0))))</f>
        <v/>
      </c>
      <c r="DA46" s="31" t="str">
        <f>IF(CZ46/(INDEX('Standards for Conversions'!$H$47:$H$73,MATCH(CY$2,'Standards for Conversions'!$A$47:$A$73,0)))=0,"",CZ46/(INDEX('Standards for Conversions'!$H$47:$H$73,MATCH(CY$2,'Standards for Conversions'!$A$47:$A$73,0))))</f>
        <v/>
      </c>
      <c r="DE46" s="31" t="str">
        <f>IF(DD46/(INDEX('Standards for Conversions'!$H$47:$H$73,MATCH(DC$2,'Standards for Conversions'!$A$47:$A$73,0)))=0,"",DD46/(INDEX('Standards for Conversions'!$H$47:$H$73,MATCH(DC$2,'Standards for Conversions'!$A$47:$A$73,0))))</f>
        <v/>
      </c>
      <c r="DR46" s="29" t="s">
        <v>98</v>
      </c>
      <c r="DS46" s="29">
        <v>102</v>
      </c>
      <c r="DT46" s="29">
        <v>283</v>
      </c>
      <c r="DU46" s="29">
        <v>72</v>
      </c>
      <c r="DV46" s="29">
        <v>230</v>
      </c>
    </row>
    <row r="47" spans="1:126" hidden="1" x14ac:dyDescent="0.3">
      <c r="A47" t="s">
        <v>107</v>
      </c>
      <c r="C47" s="7"/>
      <c r="D47" s="7"/>
      <c r="E47" s="31" t="str">
        <f>IF(D47/(INDEX('Standards for Conversions'!$H$34:$H$73,MATCH(C$2,'Standards for Conversions'!$A$34:$A$73,0)))=0,"",D47/(INDEX('Standards for Conversions'!$H$34:$H$73,MATCH(C$2,'Standards for Conversions'!$A$34:$A$73,0))))</f>
        <v/>
      </c>
      <c r="F47" s="7"/>
      <c r="G47" s="7"/>
      <c r="H47" s="31" t="str">
        <f>IF(G47/(INDEX('Standards for Conversions'!$H$34:$H$73,MATCH(F$2,'Standards for Conversions'!$A$34:$A$73,0)))=0,"",G47/(INDEX('Standards for Conversions'!$H$34:$H$73,MATCH(F$2,'Standards for Conversions'!$A$34:$A$73,0))))</f>
        <v/>
      </c>
      <c r="J47" s="7"/>
      <c r="K47" s="7"/>
      <c r="L47" s="31" t="str">
        <f>IF(K47/(INDEX('Standards for Conversions'!$H$34:$H$73,MATCH(J$2,'Standards for Conversions'!$A$34:$A$73,0)))=0,"",K47/(INDEX('Standards for Conversions'!$H$34:$H$73,MATCH(J$2,'Standards for Conversions'!$A$34:$A$73,0))))</f>
        <v/>
      </c>
      <c r="M47" s="7"/>
      <c r="N47" s="7"/>
      <c r="O47" s="31" t="str">
        <f>IF(N47/(INDEX('Standards for Conversions'!$H$34:$H$73,MATCH(M$2,'Standards for Conversions'!$A$34:$A$73,0)))=0,"",N47/(INDEX('Standards for Conversions'!$H$34:$H$73,MATCH(M$2,'Standards for Conversions'!$A$34:$A$73,0))))</f>
        <v/>
      </c>
      <c r="Q47" s="7"/>
      <c r="R47" s="7"/>
      <c r="S47" s="31" t="str">
        <f>IF(R47/(INDEX('Standards for Conversions'!$H$34:$H$73,MATCH(Q$2,'Standards for Conversions'!$A$34:$A$73,0)))=0,"",R47/(INDEX('Standards for Conversions'!$H$34:$H$73,MATCH(Q$2,'Standards for Conversions'!$A$34:$A$73,0))))</f>
        <v/>
      </c>
      <c r="U47" s="7"/>
      <c r="V47" s="7"/>
      <c r="W47" s="31" t="str">
        <f>IF(V47/(INDEX('Standards for Conversions'!$H$34:$H$73,MATCH(U$2,'Standards for Conversions'!$A$34:$A$73,0)))=0,"",V47/(INDEX('Standards for Conversions'!$H$34:$H$73,MATCH(U$2,'Standards for Conversions'!$A$34:$A$73,0))))</f>
        <v/>
      </c>
      <c r="Y47" s="7"/>
      <c r="Z47" s="7"/>
      <c r="AA47" s="31" t="str">
        <f>IF(Z47/(INDEX('Standards for Conversions'!$H$34:$H$73,MATCH(Y$2,'Standards for Conversions'!$A$34:$A$73,0)))=0,"",Z47/(INDEX('Standards for Conversions'!$H$34:$H$73,MATCH(Y$2,'Standards for Conversions'!$A$34:$A$73,0))))</f>
        <v/>
      </c>
      <c r="AB47" s="7"/>
      <c r="AC47" s="7"/>
      <c r="AD47" s="31" t="str">
        <f>IF(AC47/(INDEX('Standards for Conversions'!$H$34:$H$73,MATCH(AB$2,'Standards for Conversions'!$A$34:$A$73,0)))=0,"",AC47/(INDEX('Standards for Conversions'!$H$34:$H$73,MATCH(AB$2,'Standards for Conversions'!$A$34:$A$73,0))))</f>
        <v/>
      </c>
      <c r="AF47" s="7"/>
      <c r="AG47" s="7"/>
      <c r="AH47" s="31" t="str">
        <f>IF(AG47/(INDEX('Standards for Conversions'!$H$34:$H$73,MATCH(AF$2,'Standards for Conversions'!$A$34:$A$73,0)))=0,"",AG47/(INDEX('Standards for Conversions'!$H$34:$H$73,MATCH(AF$2,'Standards for Conversions'!$A$34:$A$73,0))))</f>
        <v/>
      </c>
      <c r="AJ47" s="7"/>
      <c r="AK47" s="7"/>
      <c r="AL47" s="31" t="str">
        <f>IF(AK47/(INDEX('Standards for Conversions'!$H$34:$H$73,MATCH(AJ$2,'Standards for Conversions'!$A$34:$A$73,0)))=0,"",AK47/(INDEX('Standards for Conversions'!$H$34:$H$73,MATCH(AJ$2,'Standards for Conversions'!$A$34:$A$73,0))))</f>
        <v/>
      </c>
      <c r="AM47" s="7"/>
      <c r="AN47" s="7"/>
      <c r="AO47" s="31" t="str">
        <f>IF(AN47/(INDEX('Standards for Conversions'!$H$34:$H$73,MATCH(AM$2,'Standards for Conversions'!$A$34:$A$73,0)))=0,"",AN47/(INDEX('Standards for Conversions'!$H$34:$H$73,MATCH(AM$2,'Standards for Conversions'!$A$34:$A$73,0))))</f>
        <v/>
      </c>
      <c r="AP47" s="7"/>
      <c r="AQ47" s="7"/>
      <c r="AR47" s="31" t="str">
        <f>IF(AQ47/(INDEX('Standards for Conversions'!$H$34:$H$73,MATCH(AP$2,'Standards for Conversions'!$A$34:$A$73,0)))=0,"",AQ47/(INDEX('Standards for Conversions'!$H$34:$H$73,MATCH(AP$2,'Standards for Conversions'!$A$34:$A$73,0))))</f>
        <v/>
      </c>
      <c r="AS47" s="7"/>
      <c r="AT47" s="7"/>
      <c r="AU47" s="31" t="str">
        <f>IF(AT47/(INDEX('Standards for Conversions'!$H$34:$H$73,MATCH(AS$2,'Standards for Conversions'!$A$34:$A$73,0)))=0,"",AT47/(INDEX('Standards for Conversions'!$H$34:$H$73,MATCH(AS$2,'Standards for Conversions'!$A$34:$A$73,0))))</f>
        <v/>
      </c>
      <c r="AV47" s="7"/>
      <c r="AW47" s="7"/>
      <c r="AX47" s="31" t="str">
        <f>IF(AW47/(INDEX('Standards for Conversions'!$H$47:$H$73,MATCH(AV$2,'Standards for Conversions'!$A$47:$A$73,0)))=0,"",AW47/(INDEX('Standards for Conversions'!$H$47:$H$73,MATCH(AV$2,'Standards for Conversions'!$A$47:$A$73,0))))</f>
        <v/>
      </c>
      <c r="BB47" s="31" t="str">
        <f>IF(BA47/(INDEX('Standards for Conversions'!$H$47:$H$73,MATCH(AZ$2,'Standards for Conversions'!$A$47:$A$73,0)))=0,"",BA47/(INDEX('Standards for Conversions'!$H$47:$H$73,MATCH(AZ$2,'Standards for Conversions'!$A$47:$A$73,0))))</f>
        <v/>
      </c>
      <c r="BE47" s="31" t="str">
        <f>IF(BD47/(INDEX('Standards for Conversions'!$H$47:$H$73,MATCH(BC$2,'Standards for Conversions'!$A$47:$A$73,0)))=0,"",BD47/(INDEX('Standards for Conversions'!$H$47:$H$73,MATCH(BC$2,'Standards for Conversions'!$A$47:$A$73,0))))</f>
        <v/>
      </c>
      <c r="BI47" s="31" t="str">
        <f>IF(BH47/(INDEX('Standards for Conversions'!$H$47:$H$73,MATCH(BG$2,'Standards for Conversions'!$A$47:$A$73,0)))=0,"",BH47/(INDEX('Standards for Conversions'!$H$47:$H$73,MATCH(BG$2,'Standards for Conversions'!$A$47:$A$73,0))))</f>
        <v/>
      </c>
      <c r="BM47" s="31" t="str">
        <f>IF(BL47/(INDEX('Standards for Conversions'!$H$47:$H$73,MATCH(BK$2,'Standards for Conversions'!$A$47:$A$73,0)))=0,"",BL47/(INDEX('Standards for Conversions'!$H$47:$H$73,MATCH(BK$2,'Standards for Conversions'!$A$47:$A$73,0))))</f>
        <v/>
      </c>
      <c r="BP47" s="31" t="str">
        <f>IF(BO47/(INDEX('Standards for Conversions'!$H$47:$H$73,MATCH(BN$2,'Standards for Conversions'!$A$47:$A$73,0)))=0,"",BO47/(INDEX('Standards for Conversions'!$H$47:$H$73,MATCH(BN$2,'Standards for Conversions'!$A$47:$A$73,0))))</f>
        <v/>
      </c>
      <c r="BT47" s="31" t="str">
        <f>IF(BS47/(INDEX('Standards for Conversions'!$H$47:$H$73,MATCH(BR$2,'Standards for Conversions'!$A$47:$A$73,0)))=0,"",BS47/(INDEX('Standards for Conversions'!$H$47:$H$73,MATCH(BR$2,'Standards for Conversions'!$A$47:$A$73,0))))</f>
        <v/>
      </c>
      <c r="BX47" s="31" t="str">
        <f>IF(BW47/(INDEX('Standards for Conversions'!$H$47:$H$73,MATCH(BV$2,'Standards for Conversions'!$A$47:$A$73,0)))=0,"",BW47/(INDEX('Standards for Conversions'!$H$47:$H$73,MATCH(BV$2,'Standards for Conversions'!$A$47:$A$73,0))))</f>
        <v/>
      </c>
      <c r="CA47" s="31" t="str">
        <f>IF(BZ47/(INDEX('Standards for Conversions'!$H$47:$H$73,MATCH(BY$2,'Standards for Conversions'!$A$47:$A$73,0)))=0,"",BZ47/(INDEX('Standards for Conversions'!$H$47:$H$73,MATCH(BY$2,'Standards for Conversions'!$A$47:$A$73,0))))</f>
        <v/>
      </c>
      <c r="CD47" s="31" t="str">
        <f>IF(CC47/(INDEX('Standards for Conversions'!$H$47:$H$73,MATCH(CB$2,'Standards for Conversions'!$A$47:$A$73,0)))=0,"",CC47/(INDEX('Standards for Conversions'!$H$47:$H$73,MATCH(CB$2,'Standards for Conversions'!$A$47:$A$73,0))))</f>
        <v/>
      </c>
      <c r="CH47" s="31" t="str">
        <f>IF(CG47/(INDEX('Standards for Conversions'!$H$47:$H$73,MATCH(CF$2,'Standards for Conversions'!$A$47:$A$73,0)))=0,"",CG47/(INDEX('Standards for Conversions'!$H$47:$H$73,MATCH(CF$2,'Standards for Conversions'!$A$47:$A$73,0))))</f>
        <v/>
      </c>
      <c r="CK47" s="31" t="str">
        <f>IF(CJ47/(INDEX('Standards for Conversions'!$H$47:$H$73,MATCH(CI$2,'Standards for Conversions'!$A$47:$A$73,0)))=0,"",CJ47/(INDEX('Standards for Conversions'!$H$47:$H$73,MATCH(CI$2,'Standards for Conversions'!$A$47:$A$73,0))))</f>
        <v/>
      </c>
      <c r="CN47" s="31" t="str">
        <f>IF(CM47/(INDEX('Standards for Conversions'!$H$47:$H$73,MATCH(CL$2,'Standards for Conversions'!$A$47:$A$73,0)))=0,"",CM47/(INDEX('Standards for Conversions'!$H$47:$H$73,MATCH(CL$2,'Standards for Conversions'!$A$47:$A$73,0))))</f>
        <v/>
      </c>
      <c r="CQ47" s="31" t="str">
        <f>IF(CP47/(INDEX('Standards for Conversions'!$H$47:$H$73,MATCH(CO$2,'Standards for Conversions'!$A$47:$A$73,0)))=0,"",CP47/(INDEX('Standards for Conversions'!$H$47:$H$73,MATCH(CO$2,'Standards for Conversions'!$A$47:$A$73,0))))</f>
        <v/>
      </c>
      <c r="CU47" s="31" t="str">
        <f>IF(CT47/(INDEX('Standards for Conversions'!$H$47:$H$73,MATCH(CS$2,'Standards for Conversions'!$A$47:$A$73,0)))=0,"",CT47/(INDEX('Standards for Conversions'!$H$47:$H$73,MATCH(CS$2,'Standards for Conversions'!$A$47:$A$73,0))))</f>
        <v/>
      </c>
      <c r="CX47" s="31" t="str">
        <f>IF(CW47/(INDEX('Standards for Conversions'!$H$47:$H$73,MATCH(CV$2,'Standards for Conversions'!$A$47:$A$73,0)))=0,"",CW47/(INDEX('Standards for Conversions'!$H$47:$H$73,MATCH(CV$2,'Standards for Conversions'!$A$47:$A$73,0))))</f>
        <v/>
      </c>
      <c r="DA47" s="31" t="str">
        <f>IF(CZ47/(INDEX('Standards for Conversions'!$H$47:$H$73,MATCH(CY$2,'Standards for Conversions'!$A$47:$A$73,0)))=0,"",CZ47/(INDEX('Standards for Conversions'!$H$47:$H$73,MATCH(CY$2,'Standards for Conversions'!$A$47:$A$73,0))))</f>
        <v/>
      </c>
      <c r="DE47" s="31" t="str">
        <f>IF(DD47/(INDEX('Standards for Conversions'!$H$47:$H$73,MATCH(DC$2,'Standards for Conversions'!$A$47:$A$73,0)))=0,"",DD47/(INDEX('Standards for Conversions'!$H$47:$H$73,MATCH(DC$2,'Standards for Conversions'!$A$47:$A$73,0))))</f>
        <v/>
      </c>
      <c r="DR47" s="29" t="s">
        <v>98</v>
      </c>
      <c r="DS47" s="29">
        <v>2</v>
      </c>
      <c r="DT47" s="29">
        <v>15</v>
      </c>
      <c r="DU47" s="29">
        <v>14</v>
      </c>
      <c r="DV47" s="29">
        <v>99</v>
      </c>
    </row>
    <row r="48" spans="1:126" hidden="1" x14ac:dyDescent="0.3">
      <c r="A48" t="s">
        <v>66</v>
      </c>
      <c r="B48" s="10" t="s">
        <v>38</v>
      </c>
      <c r="C48" s="7"/>
      <c r="D48" s="7"/>
      <c r="E48" s="31" t="str">
        <f>IF(D48/(INDEX('Standards for Conversions'!$H$34:$H$73,MATCH(C$2,'Standards for Conversions'!$A$34:$A$73,0)))=0,"",D48/(INDEX('Standards for Conversions'!$H$34:$H$73,MATCH(C$2,'Standards for Conversions'!$A$34:$A$73,0))))</f>
        <v/>
      </c>
      <c r="F48" s="7"/>
      <c r="H48" s="31" t="str">
        <f>IF(G48/(INDEX('Standards for Conversions'!$H$34:$H$73,MATCH(F$2,'Standards for Conversions'!$A$34:$A$73,0)))=0,"",G48/(INDEX('Standards for Conversions'!$H$34:$H$73,MATCH(F$2,'Standards for Conversions'!$A$34:$A$73,0))))</f>
        <v/>
      </c>
      <c r="I48" s="10" t="s">
        <v>38</v>
      </c>
      <c r="J48" s="7"/>
      <c r="L48" s="31" t="str">
        <f>IF(K48/(INDEX('Standards for Conversions'!$H$34:$H$73,MATCH(J$2,'Standards for Conversions'!$A$34:$A$73,0)))=0,"",K48/(INDEX('Standards for Conversions'!$H$34:$H$73,MATCH(J$2,'Standards for Conversions'!$A$34:$A$73,0))))</f>
        <v/>
      </c>
      <c r="M48" s="7"/>
      <c r="O48" s="31" t="str">
        <f>IF(N48/(INDEX('Standards for Conversions'!$H$34:$H$73,MATCH(M$2,'Standards for Conversions'!$A$34:$A$73,0)))=0,"",N48/(INDEX('Standards for Conversions'!$H$34:$H$73,MATCH(M$2,'Standards for Conversions'!$A$34:$A$73,0))))</f>
        <v/>
      </c>
      <c r="P48" s="10" t="s">
        <v>38</v>
      </c>
      <c r="Q48" s="7"/>
      <c r="S48" s="31" t="str">
        <f>IF(R48/(INDEX('Standards for Conversions'!$H$34:$H$73,MATCH(Q$2,'Standards for Conversions'!$A$34:$A$73,0)))=0,"",R48/(INDEX('Standards for Conversions'!$H$34:$H$73,MATCH(Q$2,'Standards for Conversions'!$A$34:$A$73,0))))</f>
        <v/>
      </c>
      <c r="T48" s="10" t="s">
        <v>38</v>
      </c>
      <c r="U48" s="7"/>
      <c r="W48" s="31" t="str">
        <f>IF(V48/(INDEX('Standards for Conversions'!$H$34:$H$73,MATCH(U$2,'Standards for Conversions'!$A$34:$A$73,0)))=0,"",V48/(INDEX('Standards for Conversions'!$H$34:$H$73,MATCH(U$2,'Standards for Conversions'!$A$34:$A$73,0))))</f>
        <v/>
      </c>
      <c r="X48" s="10" t="s">
        <v>38</v>
      </c>
      <c r="Y48" s="7"/>
      <c r="AA48" s="31" t="str">
        <f>IF(Z48/(INDEX('Standards for Conversions'!$H$34:$H$73,MATCH(Y$2,'Standards for Conversions'!$A$34:$A$73,0)))=0,"",Z48/(INDEX('Standards for Conversions'!$H$34:$H$73,MATCH(Y$2,'Standards for Conversions'!$A$34:$A$73,0))))</f>
        <v/>
      </c>
      <c r="AB48" s="7"/>
      <c r="AD48" s="31" t="str">
        <f>IF(AC48/(INDEX('Standards for Conversions'!$H$34:$H$73,MATCH(AB$2,'Standards for Conversions'!$A$34:$A$73,0)))=0,"",AC48/(INDEX('Standards for Conversions'!$H$34:$H$73,MATCH(AB$2,'Standards for Conversions'!$A$34:$A$73,0))))</f>
        <v/>
      </c>
      <c r="AE48" s="10" t="s">
        <v>38</v>
      </c>
      <c r="AF48" s="7"/>
      <c r="AG48" s="7"/>
      <c r="AH48" s="31" t="str">
        <f>IF(AG48/(INDEX('Standards for Conversions'!$H$34:$H$73,MATCH(AF$2,'Standards for Conversions'!$A$34:$A$73,0)))=0,"",AG48/(INDEX('Standards for Conversions'!$H$34:$H$73,MATCH(AF$2,'Standards for Conversions'!$A$34:$A$73,0))))</f>
        <v/>
      </c>
      <c r="AI48" s="10" t="s">
        <v>38</v>
      </c>
      <c r="AJ48" s="7"/>
      <c r="AK48" s="7"/>
      <c r="AL48" s="31" t="str">
        <f>IF(AK48/(INDEX('Standards for Conversions'!$H$34:$H$73,MATCH(AJ$2,'Standards for Conversions'!$A$34:$A$73,0)))=0,"",AK48/(INDEX('Standards for Conversions'!$H$34:$H$73,MATCH(AJ$2,'Standards for Conversions'!$A$34:$A$73,0))))</f>
        <v/>
      </c>
      <c r="AM48" s="7"/>
      <c r="AN48" s="7"/>
      <c r="AO48" s="31" t="str">
        <f>IF(AN48/(INDEX('Standards for Conversions'!$H$34:$H$73,MATCH(AM$2,'Standards for Conversions'!$A$34:$A$73,0)))=0,"",AN48/(INDEX('Standards for Conversions'!$H$34:$H$73,MATCH(AM$2,'Standards for Conversions'!$A$34:$A$73,0))))</f>
        <v/>
      </c>
      <c r="AP48" s="7"/>
      <c r="AQ48" s="7"/>
      <c r="AR48" s="31" t="str">
        <f>IF(AQ48/(INDEX('Standards for Conversions'!$H$34:$H$73,MATCH(AP$2,'Standards for Conversions'!$A$34:$A$73,0)))=0,"",AQ48/(INDEX('Standards for Conversions'!$H$34:$H$73,MATCH(AP$2,'Standards for Conversions'!$A$34:$A$73,0))))</f>
        <v/>
      </c>
      <c r="AS48" s="7"/>
      <c r="AT48" s="7"/>
      <c r="AU48" s="31" t="str">
        <f>IF(AT48/(INDEX('Standards for Conversions'!$H$34:$H$73,MATCH(AS$2,'Standards for Conversions'!$A$34:$A$73,0)))=0,"",AT48/(INDEX('Standards for Conversions'!$H$34:$H$73,MATCH(AS$2,'Standards for Conversions'!$A$34:$A$73,0))))</f>
        <v/>
      </c>
      <c r="AV48" s="7"/>
      <c r="AW48" s="7"/>
      <c r="AX48" s="31" t="str">
        <f>IF(AW48/(INDEX('Standards for Conversions'!$H$47:$H$73,MATCH(AV$2,'Standards for Conversions'!$A$47:$A$73,0)))=0,"",AW48/(INDEX('Standards for Conversions'!$H$47:$H$73,MATCH(AV$2,'Standards for Conversions'!$A$47:$A$73,0))))</f>
        <v/>
      </c>
      <c r="AY48" s="47" t="s">
        <v>38</v>
      </c>
      <c r="AZ48" s="29">
        <v>100</v>
      </c>
      <c r="BA48" s="29">
        <v>650</v>
      </c>
      <c r="BB48" s="31">
        <f>IF(BA48/(INDEX('Standards for Conversions'!$H$47:$H$73,MATCH(AZ$2,'Standards for Conversions'!$A$47:$A$73,0)))=0,"",BA48/(INDEX('Standards for Conversions'!$H$47:$H$73,MATCH(AZ$2,'Standards for Conversions'!$A$47:$A$73,0))))</f>
        <v>94.409517938356373</v>
      </c>
      <c r="BC48" s="29">
        <v>75</v>
      </c>
      <c r="BD48" s="29">
        <v>500</v>
      </c>
      <c r="BE48" s="31">
        <f>IF(BD48/(INDEX('Standards for Conversions'!$H$47:$H$73,MATCH(BC$2,'Standards for Conversions'!$A$47:$A$73,0)))=0,"",BD48/(INDEX('Standards for Conversions'!$H$47:$H$73,MATCH(BC$2,'Standards for Conversions'!$A$47:$A$73,0))))</f>
        <v>72.305114097216176</v>
      </c>
      <c r="BF48" s="47" t="s">
        <v>38</v>
      </c>
      <c r="BG48" s="29">
        <v>100</v>
      </c>
      <c r="BH48" s="29">
        <v>600</v>
      </c>
      <c r="BI48" s="31">
        <f>IF(BH48/(INDEX('Standards for Conversions'!$H$47:$H$73,MATCH(BG$2,'Standards for Conversions'!$A$47:$A$73,0)))=0,"",BH48/(INDEX('Standards for Conversions'!$H$47:$H$73,MATCH(BG$2,'Standards for Conversions'!$A$47:$A$73,0))))</f>
        <v>97.056118015121214</v>
      </c>
      <c r="BJ48" s="47" t="s">
        <v>38</v>
      </c>
      <c r="BK48" s="29">
        <v>125</v>
      </c>
      <c r="BL48" s="29">
        <v>700</v>
      </c>
      <c r="BM48" s="31">
        <f>IF(BL48/(INDEX('Standards for Conversions'!$H$47:$H$73,MATCH(BK$2,'Standards for Conversions'!$A$47:$A$73,0)))=0,"",BL48/(INDEX('Standards for Conversions'!$H$47:$H$73,MATCH(BK$2,'Standards for Conversions'!$A$47:$A$73,0))))</f>
        <v>106.85912469945829</v>
      </c>
      <c r="BN48" s="29">
        <v>100</v>
      </c>
      <c r="BO48" s="29">
        <v>600</v>
      </c>
      <c r="BP48" s="31">
        <f>IF(BO48/(INDEX('Standards for Conversions'!$H$47:$H$73,MATCH(BN$2,'Standards for Conversions'!$A$47:$A$73,0)))=0,"",BO48/(INDEX('Standards for Conversions'!$H$47:$H$73,MATCH(BN$2,'Standards for Conversions'!$A$47:$A$73,0))))</f>
        <v>80.795407143477874</v>
      </c>
      <c r="BQ48" s="47" t="s">
        <v>38</v>
      </c>
      <c r="BR48" s="29">
        <v>185</v>
      </c>
      <c r="BS48" s="29">
        <v>800</v>
      </c>
      <c r="BT48" s="31">
        <f>IF(BS48/(INDEX('Standards for Conversions'!$H$47:$H$73,MATCH(BR$2,'Standards for Conversions'!$A$47:$A$73,0)))=0,"",BS48/(INDEX('Standards for Conversions'!$H$47:$H$73,MATCH(BR$2,'Standards for Conversions'!$A$47:$A$73,0))))</f>
        <v>97.293253381999349</v>
      </c>
      <c r="BX48" s="31" t="str">
        <f>IF(BW48/(INDEX('Standards for Conversions'!$H$47:$H$73,MATCH(BV$2,'Standards for Conversions'!$A$47:$A$73,0)))=0,"",BW48/(INDEX('Standards for Conversions'!$H$47:$H$73,MATCH(BV$2,'Standards for Conversions'!$A$47:$A$73,0))))</f>
        <v/>
      </c>
      <c r="CA48" s="31" t="str">
        <f>IF(BZ48/(INDEX('Standards for Conversions'!$H$47:$H$73,MATCH(BY$2,'Standards for Conversions'!$A$47:$A$73,0)))=0,"",BZ48/(INDEX('Standards for Conversions'!$H$47:$H$73,MATCH(BY$2,'Standards for Conversions'!$A$47:$A$73,0))))</f>
        <v/>
      </c>
      <c r="CD48" s="31" t="str">
        <f>IF(CC48/(INDEX('Standards for Conversions'!$H$47:$H$73,MATCH(CB$2,'Standards for Conversions'!$A$47:$A$73,0)))=0,"",CC48/(INDEX('Standards for Conversions'!$H$47:$H$73,MATCH(CB$2,'Standards for Conversions'!$A$47:$A$73,0))))</f>
        <v/>
      </c>
      <c r="CH48" s="31" t="str">
        <f>IF(CG48/(INDEX('Standards for Conversions'!$H$47:$H$73,MATCH(CF$2,'Standards for Conversions'!$A$47:$A$73,0)))=0,"",CG48/(INDEX('Standards for Conversions'!$H$47:$H$73,MATCH(CF$2,'Standards for Conversions'!$A$47:$A$73,0))))</f>
        <v/>
      </c>
      <c r="CK48" s="31" t="str">
        <f>IF(CJ48/(INDEX('Standards for Conversions'!$H$47:$H$73,MATCH(CI$2,'Standards for Conversions'!$A$47:$A$73,0)))=0,"",CJ48/(INDEX('Standards for Conversions'!$H$47:$H$73,MATCH(CI$2,'Standards for Conversions'!$A$47:$A$73,0))))</f>
        <v/>
      </c>
      <c r="CN48" s="31" t="str">
        <f>IF(CM48/(INDEX('Standards for Conversions'!$H$47:$H$73,MATCH(CL$2,'Standards for Conversions'!$A$47:$A$73,0)))=0,"",CM48/(INDEX('Standards for Conversions'!$H$47:$H$73,MATCH(CL$2,'Standards for Conversions'!$A$47:$A$73,0))))</f>
        <v/>
      </c>
      <c r="CQ48" s="31" t="str">
        <f>IF(CP48/(INDEX('Standards for Conversions'!$H$47:$H$73,MATCH(CO$2,'Standards for Conversions'!$A$47:$A$73,0)))=0,"",CP48/(INDEX('Standards for Conversions'!$H$47:$H$73,MATCH(CO$2,'Standards for Conversions'!$A$47:$A$73,0))))</f>
        <v/>
      </c>
      <c r="CU48" s="31" t="str">
        <f>IF(CT48/(INDEX('Standards for Conversions'!$H$47:$H$73,MATCH(CS$2,'Standards for Conversions'!$A$47:$A$73,0)))=0,"",CT48/(INDEX('Standards for Conversions'!$H$47:$H$73,MATCH(CS$2,'Standards for Conversions'!$A$47:$A$73,0))))</f>
        <v/>
      </c>
      <c r="CX48" s="31" t="str">
        <f>IF(CW48/(INDEX('Standards for Conversions'!$H$47:$H$73,MATCH(CV$2,'Standards for Conversions'!$A$47:$A$73,0)))=0,"",CW48/(INDEX('Standards for Conversions'!$H$47:$H$73,MATCH(CV$2,'Standards for Conversions'!$A$47:$A$73,0))))</f>
        <v/>
      </c>
      <c r="DA48" s="31" t="str">
        <f>IF(CZ48/(INDEX('Standards for Conversions'!$H$47:$H$73,MATCH(CY$2,'Standards for Conversions'!$A$47:$A$73,0)))=0,"",CZ48/(INDEX('Standards for Conversions'!$H$47:$H$73,MATCH(CY$2,'Standards for Conversions'!$A$47:$A$73,0))))</f>
        <v/>
      </c>
      <c r="DE48" s="31" t="str">
        <f>IF(DD48/(INDEX('Standards for Conversions'!$H$47:$H$73,MATCH(DC$2,'Standards for Conversions'!$A$47:$A$73,0)))=0,"",DD48/(INDEX('Standards for Conversions'!$H$47:$H$73,MATCH(DC$2,'Standards for Conversions'!$A$47:$A$73,0))))</f>
        <v/>
      </c>
      <c r="DR48" s="29" t="s">
        <v>98</v>
      </c>
      <c r="DS48" s="29">
        <v>396</v>
      </c>
      <c r="DT48" s="29">
        <v>352</v>
      </c>
      <c r="DU48" s="29">
        <v>172</v>
      </c>
      <c r="DV48" s="29">
        <v>242</v>
      </c>
    </row>
    <row r="49" spans="1:126" hidden="1" x14ac:dyDescent="0.3">
      <c r="A49" t="s">
        <v>364</v>
      </c>
      <c r="C49" s="7"/>
      <c r="E49" s="31" t="str">
        <f>IF(D49/(INDEX('Standards for Conversions'!$H$34:$H$73,MATCH(C$2,'Standards for Conversions'!$A$34:$A$73,0)))=0,"",D49/(INDEX('Standards for Conversions'!$H$34:$H$73,MATCH(C$2,'Standards for Conversions'!$A$34:$A$73,0))))</f>
        <v/>
      </c>
      <c r="F49" s="7"/>
      <c r="G49" s="7"/>
      <c r="H49" s="31" t="str">
        <f>IF(G49/(INDEX('Standards for Conversions'!$H$34:$H$73,MATCH(F$2,'Standards for Conversions'!$A$34:$A$73,0)))=0,"",G49/(INDEX('Standards for Conversions'!$H$34:$H$73,MATCH(F$2,'Standards for Conversions'!$A$34:$A$73,0))))</f>
        <v/>
      </c>
      <c r="J49" s="7"/>
      <c r="K49" s="7"/>
      <c r="L49" s="31" t="str">
        <f>IF(K49/(INDEX('Standards for Conversions'!$H$34:$H$73,MATCH(J$2,'Standards for Conversions'!$A$34:$A$73,0)))=0,"",K49/(INDEX('Standards for Conversions'!$H$34:$H$73,MATCH(J$2,'Standards for Conversions'!$A$34:$A$73,0))))</f>
        <v/>
      </c>
      <c r="M49" s="7"/>
      <c r="N49" s="7"/>
      <c r="O49" s="31" t="str">
        <f>IF(N49/(INDEX('Standards for Conversions'!$H$34:$H$73,MATCH(M$2,'Standards for Conversions'!$A$34:$A$73,0)))=0,"",N49/(INDEX('Standards for Conversions'!$H$34:$H$73,MATCH(M$2,'Standards for Conversions'!$A$34:$A$73,0))))</f>
        <v/>
      </c>
      <c r="Q49" s="7"/>
      <c r="R49" s="7"/>
      <c r="S49" s="31" t="str">
        <f>IF(R49/(INDEX('Standards for Conversions'!$H$34:$H$73,MATCH(Q$2,'Standards for Conversions'!$A$34:$A$73,0)))=0,"",R49/(INDEX('Standards for Conversions'!$H$34:$H$73,MATCH(Q$2,'Standards for Conversions'!$A$34:$A$73,0))))</f>
        <v/>
      </c>
      <c r="U49" s="7"/>
      <c r="V49" s="7"/>
      <c r="W49" s="31" t="str">
        <f>IF(V49/(INDEX('Standards for Conversions'!$H$34:$H$73,MATCH(U$2,'Standards for Conversions'!$A$34:$A$73,0)))=0,"",V49/(INDEX('Standards for Conversions'!$H$34:$H$73,MATCH(U$2,'Standards for Conversions'!$A$34:$A$73,0))))</f>
        <v/>
      </c>
      <c r="Y49" s="7"/>
      <c r="Z49" s="7"/>
      <c r="AA49" s="31" t="str">
        <f>IF(Z49/(INDEX('Standards for Conversions'!$H$34:$H$73,MATCH(Y$2,'Standards for Conversions'!$A$34:$A$73,0)))=0,"",Z49/(INDEX('Standards for Conversions'!$H$34:$H$73,MATCH(Y$2,'Standards for Conversions'!$A$34:$A$73,0))))</f>
        <v/>
      </c>
      <c r="AB49" s="7"/>
      <c r="AC49" s="7"/>
      <c r="AD49" s="31" t="str">
        <f>IF(AC49/(INDEX('Standards for Conversions'!$H$34:$H$73,MATCH(AB$2,'Standards for Conversions'!$A$34:$A$73,0)))=0,"",AC49/(INDEX('Standards for Conversions'!$H$34:$H$73,MATCH(AB$2,'Standards for Conversions'!$A$34:$A$73,0))))</f>
        <v/>
      </c>
      <c r="AF49" s="7"/>
      <c r="AG49" s="7"/>
      <c r="AH49" s="31" t="str">
        <f>IF(AG49/(INDEX('Standards for Conversions'!$H$34:$H$73,MATCH(AF$2,'Standards for Conversions'!$A$34:$A$73,0)))=0,"",AG49/(INDEX('Standards for Conversions'!$H$34:$H$73,MATCH(AF$2,'Standards for Conversions'!$A$34:$A$73,0))))</f>
        <v/>
      </c>
      <c r="AJ49" s="7"/>
      <c r="AK49" s="7"/>
      <c r="AL49" s="31" t="str">
        <f>IF(AK49/(INDEX('Standards for Conversions'!$H$34:$H$73,MATCH(AJ$2,'Standards for Conversions'!$A$34:$A$73,0)))=0,"",AK49/(INDEX('Standards for Conversions'!$H$34:$H$73,MATCH(AJ$2,'Standards for Conversions'!$A$34:$A$73,0))))</f>
        <v/>
      </c>
      <c r="AM49" s="7"/>
      <c r="AN49" s="7"/>
      <c r="AO49" s="31" t="str">
        <f>IF(AN49/(INDEX('Standards for Conversions'!$H$34:$H$73,MATCH(AM$2,'Standards for Conversions'!$A$34:$A$73,0)))=0,"",AN49/(INDEX('Standards for Conversions'!$H$34:$H$73,MATCH(AM$2,'Standards for Conversions'!$A$34:$A$73,0))))</f>
        <v/>
      </c>
      <c r="AP49" s="7"/>
      <c r="AQ49" s="7"/>
      <c r="AR49" s="31" t="str">
        <f>IF(AQ49/(INDEX('Standards for Conversions'!$H$34:$H$73,MATCH(AP$2,'Standards for Conversions'!$A$34:$A$73,0)))=0,"",AQ49/(INDEX('Standards for Conversions'!$H$34:$H$73,MATCH(AP$2,'Standards for Conversions'!$A$34:$A$73,0))))</f>
        <v/>
      </c>
      <c r="AS49" s="7"/>
      <c r="AT49" s="7"/>
      <c r="AU49" s="31" t="str">
        <f>IF(AT49/(INDEX('Standards for Conversions'!$H$34:$H$73,MATCH(AS$2,'Standards for Conversions'!$A$34:$A$73,0)))=0,"",AT49/(INDEX('Standards for Conversions'!$H$34:$H$73,MATCH(AS$2,'Standards for Conversions'!$A$34:$A$73,0))))</f>
        <v/>
      </c>
      <c r="AV49" s="7"/>
      <c r="AW49" s="7"/>
      <c r="AX49" s="31" t="str">
        <f>IF(AW49/(INDEX('Standards for Conversions'!$H$47:$H$73,MATCH(AV$2,'Standards for Conversions'!$A$47:$A$73,0)))=0,"",AW49/(INDEX('Standards for Conversions'!$H$47:$H$73,MATCH(AV$2,'Standards for Conversions'!$A$47:$A$73,0))))</f>
        <v/>
      </c>
      <c r="BB49" s="31" t="str">
        <f>IF(BA49/(INDEX('Standards for Conversions'!$H$47:$H$73,MATCH(AZ$2,'Standards for Conversions'!$A$47:$A$73,0)))=0,"",BA49/(INDEX('Standards for Conversions'!$H$47:$H$73,MATCH(AZ$2,'Standards for Conversions'!$A$47:$A$73,0))))</f>
        <v/>
      </c>
      <c r="BE49" s="31" t="str">
        <f>IF(BD49/(INDEX('Standards for Conversions'!$H$47:$H$73,MATCH(BC$2,'Standards for Conversions'!$A$47:$A$73,0)))=0,"",BD49/(INDEX('Standards for Conversions'!$H$47:$H$73,MATCH(BC$2,'Standards for Conversions'!$A$47:$A$73,0))))</f>
        <v/>
      </c>
      <c r="BI49" s="31" t="str">
        <f>IF(BH49/(INDEX('Standards for Conversions'!$H$47:$H$73,MATCH(BG$2,'Standards for Conversions'!$A$47:$A$73,0)))=0,"",BH49/(INDEX('Standards for Conversions'!$H$47:$H$73,MATCH(BG$2,'Standards for Conversions'!$A$47:$A$73,0))))</f>
        <v/>
      </c>
      <c r="BM49" s="31" t="str">
        <f>IF(BL49/(INDEX('Standards for Conversions'!$H$47:$H$73,MATCH(BK$2,'Standards for Conversions'!$A$47:$A$73,0)))=0,"",BL49/(INDEX('Standards for Conversions'!$H$47:$H$73,MATCH(BK$2,'Standards for Conversions'!$A$47:$A$73,0))))</f>
        <v/>
      </c>
      <c r="BP49" s="31" t="str">
        <f>IF(BO49/(INDEX('Standards for Conversions'!$H$47:$H$73,MATCH(BN$2,'Standards for Conversions'!$A$47:$A$73,0)))=0,"",BO49/(INDEX('Standards for Conversions'!$H$47:$H$73,MATCH(BN$2,'Standards for Conversions'!$A$47:$A$73,0))))</f>
        <v/>
      </c>
      <c r="BT49" s="31" t="str">
        <f>IF(BS49/(INDEX('Standards for Conversions'!$H$47:$H$73,MATCH(BR$2,'Standards for Conversions'!$A$47:$A$73,0)))=0,"",BS49/(INDEX('Standards for Conversions'!$H$47:$H$73,MATCH(BR$2,'Standards for Conversions'!$A$47:$A$73,0))))</f>
        <v/>
      </c>
      <c r="BX49" s="31" t="str">
        <f>IF(BW49/(INDEX('Standards for Conversions'!$H$47:$H$73,MATCH(BV$2,'Standards for Conversions'!$A$47:$A$73,0)))=0,"",BW49/(INDEX('Standards for Conversions'!$H$47:$H$73,MATCH(BV$2,'Standards for Conversions'!$A$47:$A$73,0))))</f>
        <v/>
      </c>
      <c r="CA49" s="31" t="str">
        <f>IF(BZ49/(INDEX('Standards for Conversions'!$H$47:$H$73,MATCH(BY$2,'Standards for Conversions'!$A$47:$A$73,0)))=0,"",BZ49/(INDEX('Standards for Conversions'!$H$47:$H$73,MATCH(BY$2,'Standards for Conversions'!$A$47:$A$73,0))))</f>
        <v/>
      </c>
      <c r="CD49" s="31" t="str">
        <f>IF(CC49/(INDEX('Standards for Conversions'!$H$47:$H$73,MATCH(CB$2,'Standards for Conversions'!$A$47:$A$73,0)))=0,"",CC49/(INDEX('Standards for Conversions'!$H$47:$H$73,MATCH(CB$2,'Standards for Conversions'!$A$47:$A$73,0))))</f>
        <v/>
      </c>
      <c r="CH49" s="31" t="str">
        <f>IF(CG49/(INDEX('Standards for Conversions'!$H$47:$H$73,MATCH(CF$2,'Standards for Conversions'!$A$47:$A$73,0)))=0,"",CG49/(INDEX('Standards for Conversions'!$H$47:$H$73,MATCH(CF$2,'Standards for Conversions'!$A$47:$A$73,0))))</f>
        <v/>
      </c>
      <c r="CK49" s="31" t="str">
        <f>IF(CJ49/(INDEX('Standards for Conversions'!$H$47:$H$73,MATCH(CI$2,'Standards for Conversions'!$A$47:$A$73,0)))=0,"",CJ49/(INDEX('Standards for Conversions'!$H$47:$H$73,MATCH(CI$2,'Standards for Conversions'!$A$47:$A$73,0))))</f>
        <v/>
      </c>
      <c r="CN49" s="31" t="str">
        <f>IF(CM49/(INDEX('Standards for Conversions'!$H$47:$H$73,MATCH(CL$2,'Standards for Conversions'!$A$47:$A$73,0)))=0,"",CM49/(INDEX('Standards for Conversions'!$H$47:$H$73,MATCH(CL$2,'Standards for Conversions'!$A$47:$A$73,0))))</f>
        <v/>
      </c>
      <c r="CQ49" s="31" t="str">
        <f>IF(CP49/(INDEX('Standards for Conversions'!$H$47:$H$73,MATCH(CO$2,'Standards for Conversions'!$A$47:$A$73,0)))=0,"",CP49/(INDEX('Standards for Conversions'!$H$47:$H$73,MATCH(CO$2,'Standards for Conversions'!$A$47:$A$73,0))))</f>
        <v/>
      </c>
      <c r="CU49" s="31" t="str">
        <f>IF(CT49/(INDEX('Standards for Conversions'!$H$47:$H$73,MATCH(CS$2,'Standards for Conversions'!$A$47:$A$73,0)))=0,"",CT49/(INDEX('Standards for Conversions'!$H$47:$H$73,MATCH(CS$2,'Standards for Conversions'!$A$47:$A$73,0))))</f>
        <v/>
      </c>
      <c r="CX49" s="31" t="str">
        <f>IF(CW49/(INDEX('Standards for Conversions'!$H$47:$H$73,MATCH(CV$2,'Standards for Conversions'!$A$47:$A$73,0)))=0,"",CW49/(INDEX('Standards for Conversions'!$H$47:$H$73,MATCH(CV$2,'Standards for Conversions'!$A$47:$A$73,0))))</f>
        <v/>
      </c>
      <c r="DA49" s="31" t="str">
        <f>IF(CZ49/(INDEX('Standards for Conversions'!$H$47:$H$73,MATCH(CY$2,'Standards for Conversions'!$A$47:$A$73,0)))=0,"",CZ49/(INDEX('Standards for Conversions'!$H$47:$H$73,MATCH(CY$2,'Standards for Conversions'!$A$47:$A$73,0))))</f>
        <v/>
      </c>
      <c r="DB49" s="29" t="s">
        <v>23</v>
      </c>
      <c r="DE49" s="31" t="str">
        <f>IF(DD49/(INDEX('Standards for Conversions'!$H$47:$H$73,MATCH(DC$2,'Standards for Conversions'!$A$47:$A$73,0)))=0,"",DD49/(INDEX('Standards for Conversions'!$H$47:$H$73,MATCH(DC$2,'Standards for Conversions'!$A$47:$A$73,0))))</f>
        <v/>
      </c>
      <c r="DF49" s="29" t="s">
        <v>23</v>
      </c>
      <c r="DI49" s="29">
        <v>3140</v>
      </c>
      <c r="DJ49" s="29">
        <v>2933</v>
      </c>
      <c r="DK49" s="29">
        <v>4000</v>
      </c>
      <c r="DL49" s="29">
        <v>4000</v>
      </c>
      <c r="DM49" s="47" t="s">
        <v>23</v>
      </c>
      <c r="DN49" s="29">
        <v>3912</v>
      </c>
      <c r="DO49" s="29">
        <v>3912</v>
      </c>
      <c r="DP49" s="29">
        <v>3860</v>
      </c>
      <c r="DQ49" s="29">
        <v>4117</v>
      </c>
      <c r="DR49" s="47" t="s">
        <v>23</v>
      </c>
      <c r="DS49" s="29">
        <v>3400</v>
      </c>
      <c r="DT49" s="29">
        <v>2687</v>
      </c>
      <c r="DU49" s="29">
        <v>3320</v>
      </c>
      <c r="DV49" s="29">
        <v>2407</v>
      </c>
    </row>
    <row r="50" spans="1:126" x14ac:dyDescent="0.3">
      <c r="A50" s="19" t="s">
        <v>325</v>
      </c>
      <c r="B50" s="10" t="s">
        <v>432</v>
      </c>
      <c r="C50" s="7"/>
      <c r="E50" s="31"/>
      <c r="F50" s="7"/>
      <c r="G50" s="7"/>
      <c r="H50" s="31"/>
      <c r="J50" s="7"/>
      <c r="K50" s="7"/>
      <c r="L50" s="31"/>
      <c r="M50" s="7"/>
      <c r="N50" s="7"/>
      <c r="O50" s="31"/>
      <c r="Q50" s="7"/>
      <c r="R50" s="7"/>
      <c r="S50" s="31"/>
      <c r="U50" s="7"/>
      <c r="V50" s="7"/>
      <c r="W50" s="31"/>
      <c r="X50" s="10" t="s">
        <v>98</v>
      </c>
      <c r="Y50" s="7">
        <f>3*100</f>
        <v>300</v>
      </c>
      <c r="Z50" s="7">
        <v>4000</v>
      </c>
      <c r="AA50" s="31">
        <f>IF(Z50/(INDEX('Standards for Conversions'!$H$34:$H$73,MATCH(Y$2,'Standards for Conversions'!$A$34:$A$73,0)))=0,"",Z50/(INDEX('Standards for Conversions'!$H$34:$H$73,MATCH(Y$2,'Standards for Conversions'!$A$34:$A$73,0))))</f>
        <v>708.01845253613749</v>
      </c>
      <c r="AB50" s="7"/>
      <c r="AC50" s="7"/>
      <c r="AD50" s="31"/>
      <c r="AF50" s="7"/>
      <c r="AG50" s="7"/>
      <c r="AH50" s="31"/>
      <c r="AI50" s="10" t="s">
        <v>98</v>
      </c>
      <c r="AJ50" s="7">
        <f>3*218</f>
        <v>654</v>
      </c>
      <c r="AK50" s="7">
        <v>1950</v>
      </c>
      <c r="AL50" s="31">
        <f>IF(AK50/(INDEX('Standards for Conversions'!$H$34:$H$73,MATCH(AJ$2,'Standards for Conversions'!$A$34:$A$73,0)))=0,"",AK50/(INDEX('Standards for Conversions'!$H$34:$H$73,MATCH(AJ$2,'Standards for Conversions'!$A$34:$A$73,0))))</f>
        <v>334.01151608803332</v>
      </c>
      <c r="AM50" s="7">
        <f>3*200</f>
        <v>600</v>
      </c>
      <c r="AN50" s="7">
        <v>2000</v>
      </c>
      <c r="AO50" s="31">
        <f>IF(AN50/(INDEX('Standards for Conversions'!$H$34:$H$73,MATCH(AM$2,'Standards for Conversions'!$A$34:$A$73,0)))=0,"",AN50/(INDEX('Standards for Conversions'!$H$34:$H$73,MATCH(AM$2,'Standards for Conversions'!$A$34:$A$73,0))))</f>
        <v>342.99936994872678</v>
      </c>
      <c r="AP50" s="7">
        <f>3*125</f>
        <v>375</v>
      </c>
      <c r="AQ50" s="7">
        <v>1200</v>
      </c>
      <c r="AR50" s="31">
        <f>IF(AQ50/(INDEX('Standards for Conversions'!$H$34:$H$73,MATCH(AP$2,'Standards for Conversions'!$A$34:$A$73,0)))=0,"",AQ50/(INDEX('Standards for Conversions'!$H$34:$H$73,MATCH(AP$2,'Standards for Conversions'!$A$34:$A$73,0))))</f>
        <v>197.41519292604502</v>
      </c>
      <c r="AS50" s="7">
        <f>3*45</f>
        <v>135</v>
      </c>
      <c r="AT50" s="7">
        <v>500</v>
      </c>
      <c r="AU50" s="31">
        <f>IF(AT50/(INDEX('Standards for Conversions'!$H$34:$H$73,MATCH(AS$2,'Standards for Conversions'!$A$34:$A$73,0)))=0,"",AT50/(INDEX('Standards for Conversions'!$H$34:$H$73,MATCH(AS$2,'Standards for Conversions'!$A$34:$A$73,0))))</f>
        <v>76.857266229251763</v>
      </c>
      <c r="AV50">
        <f>3*40</f>
        <v>120</v>
      </c>
      <c r="AW50" s="7">
        <v>500</v>
      </c>
      <c r="AX50" s="31">
        <f>IF(AW50/(INDEX('Standards for Conversions'!$H$34:$H$73,MATCH(AV$2,'Standards for Conversions'!$A$34:$A$73,0)))=0,"",AW50/(INDEX('Standards for Conversions'!$H$34:$H$73,MATCH(AV$2,'Standards for Conversions'!$A$34:$A$73,0))))</f>
        <v>75.692762195475197</v>
      </c>
      <c r="AY50" s="33" t="s">
        <v>98</v>
      </c>
      <c r="AZ50" s="7">
        <f>3*50</f>
        <v>150</v>
      </c>
      <c r="BA50" s="7">
        <v>600</v>
      </c>
      <c r="BB50" s="31">
        <f>IF(BA50/(INDEX('Standards for Conversions'!$H$34:$H$73,MATCH(AZ$2,'Standards for Conversions'!$A$34:$A$73,0)))=0,"",BA50/(INDEX('Standards for Conversions'!$H$34:$H$73,MATCH(AZ$2,'Standards for Conversions'!$A$34:$A$73,0))))</f>
        <v>87.147247327713572</v>
      </c>
      <c r="BC50" s="7">
        <f>3*75</f>
        <v>225</v>
      </c>
      <c r="BD50" s="7">
        <v>800</v>
      </c>
      <c r="BE50" s="31">
        <f>IF(BD50/(INDEX('Standards for Conversions'!$H$34:$H$73,MATCH(BC$2,'Standards for Conversions'!$A$34:$A$73,0)))=0,"",BD50/(INDEX('Standards for Conversions'!$H$34:$H$73,MATCH(BC$2,'Standards for Conversions'!$A$34:$A$73,0))))</f>
        <v>115.68818255554589</v>
      </c>
      <c r="BF50" s="33" t="s">
        <v>98</v>
      </c>
      <c r="BG50" s="7">
        <f>3*80</f>
        <v>240</v>
      </c>
      <c r="BH50" s="7">
        <v>1000</v>
      </c>
      <c r="BI50" s="31">
        <f>IF(BH50/(INDEX('Standards for Conversions'!$H$34:$H$73,MATCH(BG$2,'Standards for Conversions'!$A$34:$A$73,0)))=0,"",BH50/(INDEX('Standards for Conversions'!$H$34:$H$73,MATCH(BG$2,'Standards for Conversions'!$A$34:$A$73,0))))</f>
        <v>161.76019669186869</v>
      </c>
      <c r="BJ50" s="33" t="s">
        <v>98</v>
      </c>
      <c r="BK50" s="7">
        <f>3*100</f>
        <v>300</v>
      </c>
      <c r="BL50" s="7">
        <v>1000</v>
      </c>
      <c r="BM50" s="31">
        <f>IF(BL50/(INDEX('Standards for Conversions'!$H$34:$H$73,MATCH(BK$2,'Standards for Conversions'!$A$34:$A$73,0)))=0,"",BL50/(INDEX('Standards for Conversions'!$H$34:$H$73,MATCH(BK$2,'Standards for Conversions'!$A$34:$A$73,0))))</f>
        <v>152.65589242779757</v>
      </c>
      <c r="BN50" s="7">
        <f>3*75</f>
        <v>225</v>
      </c>
      <c r="BO50" s="7">
        <v>800</v>
      </c>
      <c r="BP50" s="31">
        <f>IF(BO50/(INDEX('Standards for Conversions'!$H$34:$H$73,MATCH(BN$2,'Standards for Conversions'!$A$34:$A$73,0)))=0,"",BO50/(INDEX('Standards for Conversions'!$H$34:$H$73,MATCH(BN$2,'Standards for Conversions'!$A$34:$A$73,0))))</f>
        <v>107.72720952463717</v>
      </c>
      <c r="BQ50" s="33" t="s">
        <v>98</v>
      </c>
      <c r="BR50" s="7">
        <f>3*125</f>
        <v>375</v>
      </c>
      <c r="BS50" s="7">
        <v>1200</v>
      </c>
      <c r="BT50" s="31">
        <f>IF(BS50/(INDEX('Standards for Conversions'!$H$34:$H$73,MATCH(BR$2,'Standards for Conversions'!$A$34:$A$73,0)))=0,"",BS50/(INDEX('Standards for Conversions'!$H$34:$H$73,MATCH(BR$2,'Standards for Conversions'!$A$34:$A$73,0))))</f>
        <v>145.93988007299902</v>
      </c>
      <c r="BU50" s="33" t="s">
        <v>98</v>
      </c>
      <c r="BV50" s="7">
        <f>3*120</f>
        <v>360</v>
      </c>
      <c r="BW50" s="7">
        <v>1100</v>
      </c>
      <c r="BX50" s="31">
        <f>IF(BW50/(INDEX('Standards for Conversions'!$H$34:$H$73,MATCH(BV$2,'Standards for Conversions'!$A$34:$A$73,0)))=0,"",BW50/(INDEX('Standards for Conversions'!$H$34:$H$73,MATCH(BV$2,'Standards for Conversions'!$A$34:$A$73,0))))</f>
        <v>107.83307352770777</v>
      </c>
      <c r="CA50" s="31"/>
      <c r="CD50" s="31"/>
      <c r="CH50" s="31"/>
      <c r="CK50" s="31"/>
      <c r="CN50" s="31"/>
      <c r="CQ50" s="31"/>
      <c r="CU50" s="31"/>
      <c r="CX50" s="31"/>
      <c r="DA50" s="31"/>
      <c r="DE50" s="31"/>
      <c r="DM50" s="47"/>
      <c r="DR50" s="47"/>
    </row>
    <row r="51" spans="1:126" x14ac:dyDescent="0.3">
      <c r="A51" s="50" t="s">
        <v>34</v>
      </c>
      <c r="C51" s="7"/>
      <c r="D51" s="7">
        <v>751400</v>
      </c>
      <c r="E51" s="31">
        <f>IF(D51/(INDEX('Standards for Conversions'!$H$34:$H$73,MATCH(C$2,'Standards for Conversions'!$A$34:$A$73,0)))=0,"",D51/(INDEX('Standards for Conversions'!$H$34:$H$73,MATCH(C$2,'Standards for Conversions'!$A$34:$A$73,0))))</f>
        <v>148433.23141891891</v>
      </c>
      <c r="F51" s="7"/>
      <c r="G51" s="7">
        <v>1032450</v>
      </c>
      <c r="H51" s="31">
        <f>IF(G51/(INDEX('Standards for Conversions'!$H$34:$H$73,MATCH(F$2,'Standards for Conversions'!$A$34:$A$73,0)))=0,"",G51/(INDEX('Standards for Conversions'!$H$34:$H$73,MATCH(F$2,'Standards for Conversions'!$A$34:$A$73,0))))</f>
        <v>198924.70774582861</v>
      </c>
      <c r="J51" s="7"/>
      <c r="K51" s="7">
        <v>1161750</v>
      </c>
      <c r="L51" s="31">
        <f>IF(K51/(INDEX('Standards for Conversions'!$H$34:$H$73,MATCH(J$2,'Standards for Conversions'!$A$34:$A$73,0)))=0,"",K51/(INDEX('Standards for Conversions'!$H$34:$H$73,MATCH(J$2,'Standards for Conversions'!$A$34:$A$73,0))))</f>
        <v>207602.90939754058</v>
      </c>
      <c r="M51" s="7"/>
      <c r="N51" s="7">
        <v>1379400</v>
      </c>
      <c r="O51" s="31">
        <f>IF(N51/(INDEX('Standards for Conversions'!$H$34:$H$73,MATCH(M$2,'Standards for Conversions'!$A$34:$A$73,0)))=0,"",N51/(INDEX('Standards for Conversions'!$H$34:$H$73,MATCH(M$2,'Standards for Conversions'!$A$34:$A$73,0))))</f>
        <v>256134.52543560442</v>
      </c>
      <c r="Q51" s="7"/>
      <c r="R51" s="7">
        <v>890975</v>
      </c>
      <c r="S51" s="31">
        <f>IF(R51/(INDEX('Standards for Conversions'!$H$34:$H$73,MATCH(Q$2,'Standards for Conversions'!$A$34:$A$73,0)))=0,"",R51/(INDEX('Standards for Conversions'!$H$34:$H$73,MATCH(Q$2,'Standards for Conversions'!$A$34:$A$73,0))))</f>
        <v>158649.90698845446</v>
      </c>
      <c r="U51" s="7"/>
      <c r="V51" s="7">
        <v>1522175</v>
      </c>
      <c r="W51" s="31">
        <f>IF(V51/(INDEX('Standards for Conversions'!$H$34:$H$73,MATCH(U$2,'Standards for Conversions'!$A$34:$A$73,0)))=0,"",V51/(INDEX('Standards for Conversions'!$H$34:$H$73,MATCH(U$2,'Standards for Conversions'!$A$34:$A$73,0))))</f>
        <v>264275.40375333128</v>
      </c>
      <c r="Y51" s="7"/>
      <c r="Z51" s="7">
        <v>1470990</v>
      </c>
      <c r="AA51" s="31">
        <f>IF(Z51/(INDEX('Standards for Conversions'!$H$34:$H$73,MATCH(Y$2,'Standards for Conversions'!$A$34:$A$73,0)))=0,"",Z51/(INDEX('Standards for Conversions'!$H$34:$H$73,MATCH(Y$2,'Standards for Conversions'!$A$34:$A$73,0))))</f>
        <v>260372.01587403321</v>
      </c>
      <c r="AB51" s="7"/>
      <c r="AC51" s="7">
        <v>1332040</v>
      </c>
      <c r="AD51" s="31">
        <f>IF(AC51/(INDEX('Standards for Conversions'!$H$34:$H$73,MATCH(AB$2,'Standards for Conversions'!$A$34:$A$73,0)))=0,"",AC51/(INDEX('Standards for Conversions'!$H$34:$H$73,MATCH(AB$2,'Standards for Conversions'!$A$34:$A$73,0))))</f>
        <v>233238.95331935634</v>
      </c>
      <c r="AF51" s="7"/>
      <c r="AG51" s="7">
        <v>1478254</v>
      </c>
      <c r="AH51" s="31">
        <f>IF(AG51/(INDEX('Standards for Conversions'!$H$34:$H$73,MATCH(AF$2,'Standards for Conversions'!$A$34:$A$73,0)))=0,"",AG51/(INDEX('Standards for Conversions'!$H$34:$H$73,MATCH(AF$2,'Standards for Conversions'!$A$34:$A$73,0))))</f>
        <v>258527.8996639364</v>
      </c>
      <c r="AJ51" s="7"/>
      <c r="AK51" s="7">
        <v>1604575</v>
      </c>
      <c r="AL51" s="31">
        <f>IF(AK51/(INDEX('Standards for Conversions'!$H$34:$H$73,MATCH(AJ$2,'Standards for Conversions'!$A$34:$A$73,0)))=0,"",AK51/(INDEX('Standards for Conversions'!$H$34:$H$73,MATCH(AJ$2,'Standards for Conversions'!$A$34:$A$73,0))))</f>
        <v>274844.37355228513</v>
      </c>
      <c r="AM51" s="7"/>
      <c r="AN51" s="7">
        <v>1641555</v>
      </c>
      <c r="AO51" s="31">
        <f>IF(AN51/(INDEX('Standards for Conversions'!$H$34:$H$73,MATCH(AM$2,'Standards for Conversions'!$A$34:$A$73,0)))=0,"",AN51/(INDEX('Standards for Conversions'!$H$34:$H$73,MATCH(AM$2,'Standards for Conversions'!$A$34:$A$73,0))))</f>
        <v>281526.16536809114</v>
      </c>
      <c r="AP51" s="7"/>
      <c r="AQ51" s="7">
        <v>1392535</v>
      </c>
      <c r="AR51" s="31">
        <f>IF(AQ51/(INDEX('Standards for Conversions'!$H$34:$H$73,MATCH(AP$2,'Standards for Conversions'!$A$34:$A$73,0)))=0,"",AQ51/(INDEX('Standards for Conversions'!$H$34:$H$73,MATCH(AP$2,'Standards for Conversions'!$A$34:$A$73,0))))</f>
        <v>229089.63806772509</v>
      </c>
      <c r="AS51" s="7"/>
      <c r="AT51" s="7">
        <v>1447480</v>
      </c>
      <c r="AU51" s="31">
        <f>IF(AT51/(INDEX('Standards for Conversions'!$H$34:$H$73,MATCH(AS$2,'Standards for Conversions'!$A$34:$A$73,0)))=0,"",AT51/(INDEX('Standards for Conversions'!$H$34:$H$73,MATCH(AS$2,'Standards for Conversions'!$A$34:$A$73,0))))</f>
        <v>222498.71144303467</v>
      </c>
      <c r="AV51" s="7"/>
      <c r="AW51" s="7">
        <v>1440685</v>
      </c>
      <c r="AX51" s="31">
        <f>IF(AW51/(INDEX('Standards for Conversions'!$H$47:$H$73,MATCH(AV$2,'Standards for Conversions'!$A$47:$A$73,0)))=0,"",AW51/(INDEX('Standards for Conversions'!$H$47:$H$73,MATCH(AV$2,'Standards for Conversions'!$A$47:$A$73,0))))</f>
        <v>218098.85420717639</v>
      </c>
      <c r="BA51" s="29">
        <v>1403100</v>
      </c>
      <c r="BB51" s="31">
        <f>IF(BA51/(INDEX('Standards for Conversions'!$H$47:$H$73,MATCH(AZ$2,'Standards for Conversions'!$A$47:$A$73,0)))=0,"",BA51/(INDEX('Standards for Conversions'!$H$47:$H$73,MATCH(AZ$2,'Standards for Conversions'!$A$47:$A$73,0))))</f>
        <v>203793.83787585818</v>
      </c>
      <c r="BD51" s="29">
        <v>1406605</v>
      </c>
      <c r="BE51" s="31">
        <f>IF(BD51/(INDEX('Standards for Conversions'!$H$47:$H$73,MATCH(BC$2,'Standards for Conversions'!$A$47:$A$73,0)))=0,"",BD51/(INDEX('Standards for Conversions'!$H$47:$H$73,MATCH(BC$2,'Standards for Conversions'!$A$47:$A$73,0))))</f>
        <v>203409.47002942953</v>
      </c>
      <c r="BH51" s="29">
        <v>1432690</v>
      </c>
      <c r="BI51" s="31">
        <f>IF(BH51/(INDEX('Standards for Conversions'!$H$47:$H$73,MATCH(BG$2,'Standards for Conversions'!$A$47:$A$73,0)))=0,"",BH51/(INDEX('Standards for Conversions'!$H$47:$H$73,MATCH(BG$2,'Standards for Conversions'!$A$47:$A$73,0))))</f>
        <v>231752.21619847335</v>
      </c>
      <c r="BL51" s="29">
        <v>1583280</v>
      </c>
      <c r="BM51" s="31">
        <f>IF(BL51/(INDEX('Standards for Conversions'!$H$47:$H$73,MATCH(BK$2,'Standards for Conversions'!$A$47:$A$73,0)))=0,"",BL51/(INDEX('Standards for Conversions'!$H$47:$H$73,MATCH(BK$2,'Standards for Conversions'!$A$47:$A$73,0))))</f>
        <v>241697.02136308333</v>
      </c>
      <c r="BO51" s="29">
        <v>1054595</v>
      </c>
      <c r="BP51" s="31">
        <f>IF(BO51/(INDEX('Standards for Conversions'!$H$47:$H$73,MATCH(BN$2,'Standards for Conversions'!$A$47:$A$73,0)))=0,"",BO51/(INDEX('Standards for Conversions'!$H$47:$H$73,MATCH(BN$2,'Standards for Conversions'!$A$47:$A$73,0))))</f>
        <v>142010.72066079342</v>
      </c>
      <c r="BS51" s="29">
        <v>1720320</v>
      </c>
      <c r="BT51" s="31">
        <f>IF(BS51/(INDEX('Standards for Conversions'!$H$47:$H$73,MATCH(BR$2,'Standards for Conversions'!$A$47:$A$73,0)))=0,"",BS51/(INDEX('Standards for Conversions'!$H$47:$H$73,MATCH(BR$2,'Standards for Conversions'!$A$47:$A$73,0))))</f>
        <v>209219.41207265138</v>
      </c>
      <c r="BW51" s="29">
        <v>1628580</v>
      </c>
      <c r="BX51" s="31">
        <f>IF(BW51/(INDEX('Standards for Conversions'!$H$47:$H$73,MATCH(BV$2,'Standards for Conversions'!$A$47:$A$73,0)))=0,"",BW51/(INDEX('Standards for Conversions'!$H$47:$H$73,MATCH(BV$2,'Standards for Conversions'!$A$47:$A$73,0))))</f>
        <v>159649.80625977664</v>
      </c>
      <c r="BZ51" s="29">
        <v>1419450</v>
      </c>
      <c r="CA51" s="31">
        <f>IF(BZ51/(INDEX('Standards for Conversions'!$H$47:$H$73,MATCH(BY$2,'Standards for Conversions'!$A$47:$A$73,0)))=0,"",BZ51/(INDEX('Standards for Conversions'!$H$47:$H$73,MATCH(BY$2,'Standards for Conversions'!$A$47:$A$73,0))))</f>
        <v>143356.30083726207</v>
      </c>
      <c r="CC51" s="29">
        <v>1909300</v>
      </c>
      <c r="CD51" s="31">
        <f>IF(CC51/(INDEX('Standards for Conversions'!$H$47:$H$73,MATCH(CB$2,'Standards for Conversions'!$A$47:$A$73,0)))=0,"",CC51/(INDEX('Standards for Conversions'!$H$47:$H$73,MATCH(CB$2,'Standards for Conversions'!$A$47:$A$73,0))))</f>
        <v>199296.37508780885</v>
      </c>
      <c r="CG51" s="29">
        <v>1834500</v>
      </c>
      <c r="CH51" s="31">
        <f>IF(CG51/(INDEX('Standards for Conversions'!$H$47:$H$73,MATCH(CF$2,'Standards for Conversions'!$A$47:$A$73,0)))=0,"",CG51/(INDEX('Standards for Conversions'!$H$47:$H$73,MATCH(CF$2,'Standards for Conversions'!$A$47:$A$73,0))))</f>
        <v>171291.02702431125</v>
      </c>
      <c r="CJ51" s="29">
        <v>1697400</v>
      </c>
      <c r="CK51" s="31">
        <f>IF(CJ51/(INDEX('Standards for Conversions'!$H$47:$H$73,MATCH(CI$2,'Standards for Conversions'!$A$47:$A$73,0)))=0,"",CJ51/(INDEX('Standards for Conversions'!$H$47:$H$73,MATCH(CI$2,'Standards for Conversions'!$A$47:$A$73,0))))</f>
        <v>154895.84769596765</v>
      </c>
      <c r="CM51" s="29">
        <v>1533300</v>
      </c>
      <c r="CN51" s="31">
        <f>IF(CM51/(INDEX('Standards for Conversions'!$H$47:$H$73,MATCH(CL$2,'Standards for Conversions'!$A$47:$A$73,0)))=0,"",CM51/(INDEX('Standards for Conversions'!$H$47:$H$73,MATCH(CL$2,'Standards for Conversions'!$A$47:$A$73,0))))</f>
        <v>142518.08024734943</v>
      </c>
      <c r="CP51" s="29">
        <v>1255831</v>
      </c>
      <c r="CQ51" s="31">
        <f>IF(CP51/(INDEX('Standards for Conversions'!$H$47:$H$73,MATCH(CO$2,'Standards for Conversions'!$A$47:$A$73,0)))=0,"",CP51/(INDEX('Standards for Conversions'!$H$47:$H$73,MATCH(CO$2,'Standards for Conversions'!$A$47:$A$73,0))))</f>
        <v>120450.2509371741</v>
      </c>
      <c r="CT51" s="29">
        <v>1641076</v>
      </c>
      <c r="CU51" s="31">
        <f>IF(CT51/(INDEX('Standards for Conversions'!$H$47:$H$73,MATCH(CS$2,'Standards for Conversions'!$A$47:$A$73,0)))=0,"",CT51/(INDEX('Standards for Conversions'!$H$47:$H$73,MATCH(CS$2,'Standards for Conversions'!$A$47:$A$73,0))))</f>
        <v>151145.86099167896</v>
      </c>
      <c r="CW51" s="29">
        <v>2506515</v>
      </c>
      <c r="CX51" s="31">
        <f>IF(CW51/(INDEX('Standards for Conversions'!$H$47:$H$73,MATCH(CV$2,'Standards for Conversions'!$A$47:$A$73,0)))=0,"",CW51/(INDEX('Standards for Conversions'!$H$47:$H$73,MATCH(CV$2,'Standards for Conversions'!$A$47:$A$73,0))))</f>
        <v>204319.27797549855</v>
      </c>
      <c r="CZ51" s="29">
        <v>2509840</v>
      </c>
      <c r="DA51" s="31">
        <f>IF(CZ51/(INDEX('Standards for Conversions'!$H$47:$H$73,MATCH(CY$2,'Standards for Conversions'!$A$47:$A$73,0)))=0,"",CZ51/(INDEX('Standards for Conversions'!$H$47:$H$73,MATCH(CY$2,'Standards for Conversions'!$A$47:$A$73,0))))</f>
        <v>210435.7538976275</v>
      </c>
      <c r="DD51" s="29">
        <v>2054300</v>
      </c>
      <c r="DE51" s="31">
        <f>IF(DD51/(INDEX('Standards for Conversions'!$H$47:$H$73,MATCH(DC$2,'Standards for Conversions'!$A$47:$A$73,0)))=0,"",DD51/(INDEX('Standards for Conversions'!$H$47:$H$73,MATCH(DC$2,'Standards for Conversions'!$A$47:$A$73,0))))</f>
        <v>183767.57617419469</v>
      </c>
      <c r="DH51" s="29">
        <v>178050</v>
      </c>
      <c r="DJ51" s="29">
        <v>246255</v>
      </c>
      <c r="DL51" s="29">
        <v>283030</v>
      </c>
      <c r="DO51" s="29">
        <v>303588</v>
      </c>
      <c r="DQ51" s="29">
        <v>277580</v>
      </c>
      <c r="DT51" s="29">
        <v>271034</v>
      </c>
      <c r="DV51" s="29">
        <v>290387</v>
      </c>
    </row>
    <row r="52" spans="1:126" x14ac:dyDescent="0.3">
      <c r="F52" s="7"/>
      <c r="G52" s="7"/>
      <c r="J52" s="7"/>
      <c r="K52" s="7"/>
      <c r="M52" s="7"/>
      <c r="N52" s="7"/>
      <c r="Q52" s="7"/>
      <c r="R52" s="7"/>
      <c r="U52" s="7"/>
      <c r="V52" s="7"/>
      <c r="Y52" s="7"/>
      <c r="Z52" s="7"/>
      <c r="AB52" s="7"/>
      <c r="AC52" s="7"/>
      <c r="AF52" s="7"/>
      <c r="AG52" s="7"/>
      <c r="AJ52" s="7"/>
      <c r="AK52" s="7"/>
      <c r="AM52" s="7"/>
      <c r="AN52" s="7"/>
      <c r="AP52" s="7"/>
      <c r="AQ52" s="7"/>
      <c r="AS52" s="7"/>
      <c r="AT52" s="7"/>
      <c r="AV52" s="7"/>
      <c r="AW52" s="7"/>
    </row>
    <row r="53" spans="1:126" x14ac:dyDescent="0.3">
      <c r="F53" s="7"/>
      <c r="G53" s="7"/>
      <c r="J53" s="7"/>
      <c r="K53" s="7"/>
      <c r="M53" s="7"/>
      <c r="N53" s="7"/>
      <c r="Q53" s="7"/>
      <c r="R53" s="7"/>
      <c r="U53" s="7"/>
      <c r="V53" s="7"/>
      <c r="Y53" s="7"/>
      <c r="Z53" s="7"/>
      <c r="AB53" s="7"/>
      <c r="AC53" s="7"/>
      <c r="AF53" s="7"/>
      <c r="AG53" s="7"/>
      <c r="AJ53" s="7"/>
      <c r="AK53" s="7"/>
      <c r="AM53" s="7"/>
      <c r="AN53" s="7"/>
      <c r="AP53" s="7"/>
      <c r="AQ53" s="7"/>
      <c r="AS53" s="7"/>
      <c r="AT53" s="7"/>
      <c r="AV53" s="7"/>
      <c r="AW53" s="7"/>
    </row>
    <row r="54" spans="1:126" x14ac:dyDescent="0.3">
      <c r="F54" s="7"/>
      <c r="G54" s="7"/>
      <c r="J54" s="7"/>
      <c r="K54" s="7"/>
      <c r="M54" s="7"/>
      <c r="N54" s="7"/>
      <c r="Q54" s="7"/>
      <c r="R54" s="7"/>
      <c r="U54" s="7"/>
      <c r="V54" s="7"/>
      <c r="Y54" s="7"/>
      <c r="Z54" s="7"/>
      <c r="AB54" s="7"/>
      <c r="AC54" s="7"/>
      <c r="AF54" s="7"/>
      <c r="AG54" s="7"/>
      <c r="AJ54" s="7"/>
      <c r="AK54" s="7"/>
      <c r="AM54" s="7"/>
      <c r="AN54" s="7"/>
      <c r="AP54" s="7"/>
      <c r="AQ54" s="7"/>
      <c r="AS54" s="7"/>
      <c r="AT54" s="7"/>
      <c r="AV54" s="7"/>
      <c r="AW54" s="7"/>
    </row>
    <row r="55" spans="1:126" x14ac:dyDescent="0.3">
      <c r="F55" s="7"/>
      <c r="G55" s="7"/>
      <c r="J55" s="7"/>
      <c r="K55" s="7"/>
      <c r="M55" s="7"/>
      <c r="N55" s="7"/>
      <c r="Q55" s="7"/>
      <c r="R55" s="7"/>
      <c r="U55" s="7"/>
      <c r="V55" s="7"/>
      <c r="Y55" s="7"/>
      <c r="Z55" s="7"/>
      <c r="AB55" s="7"/>
      <c r="AC55" s="7"/>
      <c r="AF55" s="7"/>
      <c r="AG55" s="7"/>
      <c r="AJ55" s="7"/>
      <c r="AK55" s="7"/>
      <c r="AM55" s="7"/>
      <c r="AN55" s="7"/>
      <c r="AP55" s="7"/>
      <c r="AQ55" s="7"/>
      <c r="AS55" s="7"/>
      <c r="AT55" s="7"/>
      <c r="AV55" s="7"/>
      <c r="AW55" s="7"/>
      <c r="BV55" s="128"/>
    </row>
    <row r="56" spans="1:126" x14ac:dyDescent="0.3">
      <c r="F56" s="7"/>
      <c r="G56" s="7"/>
      <c r="J56" s="7"/>
      <c r="K56" s="7"/>
      <c r="M56" s="7"/>
      <c r="N56" s="7"/>
      <c r="Q56" s="7"/>
      <c r="R56" s="7"/>
      <c r="U56" s="7"/>
      <c r="V56" s="7"/>
      <c r="Y56" s="7"/>
      <c r="Z56" s="7"/>
      <c r="AB56" s="7"/>
      <c r="AC56" s="7"/>
      <c r="AF56" s="7"/>
      <c r="AG56" s="7"/>
      <c r="AJ56" s="7"/>
      <c r="AK56" s="7"/>
      <c r="AM56" s="7"/>
      <c r="AN56" s="7"/>
      <c r="AP56" s="7"/>
      <c r="AQ56" s="7"/>
      <c r="AS56" s="7"/>
      <c r="AT56" s="7"/>
      <c r="AV56" s="7"/>
      <c r="AW56" s="7"/>
      <c r="BS56" s="141"/>
      <c r="BV56" s="128"/>
    </row>
    <row r="57" spans="1:126" x14ac:dyDescent="0.3">
      <c r="F57" s="7"/>
      <c r="G57" s="7"/>
      <c r="J57" s="7"/>
      <c r="K57" s="7"/>
      <c r="M57" s="7"/>
      <c r="N57" s="7"/>
      <c r="Q57" s="7"/>
      <c r="R57" s="7"/>
      <c r="U57" s="7"/>
      <c r="V57" s="7"/>
      <c r="Y57" s="7"/>
      <c r="Z57" s="7"/>
      <c r="AB57" s="7"/>
      <c r="AC57" s="7"/>
      <c r="AF57" s="7"/>
      <c r="AG57" s="7"/>
      <c r="AJ57" s="7"/>
      <c r="AK57" s="7"/>
      <c r="AM57" s="7"/>
      <c r="AN57" s="7"/>
      <c r="AP57" s="7"/>
      <c r="AQ57" s="7"/>
      <c r="AS57" s="7"/>
      <c r="AT57" s="7"/>
      <c r="AV57" s="7"/>
      <c r="AW57" s="7"/>
      <c r="BS57" s="141"/>
      <c r="BU57" s="66"/>
    </row>
    <row r="58" spans="1:126" x14ac:dyDescent="0.3">
      <c r="F58" s="7"/>
      <c r="G58" s="7"/>
      <c r="J58" s="7"/>
      <c r="K58" s="7"/>
      <c r="M58" s="7"/>
      <c r="N58" s="7"/>
      <c r="Q58" s="7"/>
      <c r="R58" s="7"/>
      <c r="U58" s="7"/>
      <c r="V58" s="7"/>
      <c r="Y58" s="7"/>
      <c r="Z58" s="7"/>
      <c r="AB58" s="7"/>
      <c r="AC58" s="7"/>
      <c r="AF58" s="7"/>
      <c r="AG58" s="7"/>
      <c r="AJ58" s="7"/>
      <c r="AK58" s="7"/>
      <c r="AM58" s="7"/>
      <c r="AN58" s="7"/>
      <c r="AP58" s="7"/>
      <c r="AQ58" s="7"/>
      <c r="AS58" s="7"/>
      <c r="AT58" s="7"/>
      <c r="AV58" s="7"/>
      <c r="AW58" s="7"/>
    </row>
    <row r="59" spans="1:126" x14ac:dyDescent="0.3">
      <c r="F59" s="7"/>
      <c r="G59" s="7"/>
      <c r="J59" s="7"/>
      <c r="K59" s="7"/>
      <c r="M59" s="7"/>
      <c r="N59" s="7"/>
      <c r="Q59" s="7"/>
      <c r="R59" s="7"/>
      <c r="U59" s="7"/>
      <c r="V59" s="7"/>
      <c r="Y59" s="7"/>
      <c r="Z59" s="7"/>
      <c r="AB59" s="7"/>
      <c r="AC59" s="7"/>
      <c r="AF59" s="7"/>
      <c r="AG59" s="7"/>
      <c r="AJ59" s="7"/>
      <c r="AK59" s="7"/>
      <c r="AM59" s="7"/>
      <c r="AN59" s="7"/>
      <c r="AP59" s="7"/>
      <c r="AQ59" s="7"/>
      <c r="AS59" s="7"/>
      <c r="AT59" s="7"/>
      <c r="AV59" s="7"/>
      <c r="AW59" s="7"/>
    </row>
    <row r="60" spans="1:126" x14ac:dyDescent="0.3">
      <c r="F60" s="7"/>
      <c r="G60" s="7"/>
      <c r="J60" s="7"/>
      <c r="K60" s="7"/>
      <c r="M60" s="7"/>
      <c r="N60" s="7"/>
      <c r="Q60" s="7"/>
      <c r="R60" s="7"/>
      <c r="U60" s="7"/>
      <c r="V60" s="7"/>
      <c r="Y60" s="7"/>
      <c r="Z60" s="7"/>
      <c r="AB60" s="7"/>
      <c r="AC60" s="7"/>
      <c r="AF60" s="7"/>
      <c r="AG60" s="7"/>
      <c r="AJ60" s="7"/>
      <c r="AK60" s="7"/>
      <c r="AM60" s="7"/>
      <c r="AN60" s="7"/>
      <c r="AP60" s="7"/>
      <c r="AQ60" s="7"/>
      <c r="AS60" s="7"/>
      <c r="AT60" s="7"/>
      <c r="AV60" s="7"/>
      <c r="AW60" s="7"/>
    </row>
    <row r="61" spans="1:126" x14ac:dyDescent="0.3">
      <c r="F61" s="7"/>
      <c r="G61" s="7"/>
      <c r="J61" s="7"/>
      <c r="K61" s="7"/>
      <c r="M61" s="7"/>
      <c r="N61" s="7"/>
      <c r="Q61" s="7"/>
      <c r="R61" s="7"/>
      <c r="U61" s="7"/>
      <c r="V61" s="7"/>
      <c r="Y61" s="7"/>
      <c r="Z61" s="7"/>
      <c r="AB61" s="7"/>
      <c r="AC61" s="7"/>
      <c r="AF61" s="7"/>
      <c r="AG61" s="7"/>
      <c r="AJ61" s="7"/>
      <c r="AK61" s="7"/>
      <c r="AM61" s="7"/>
      <c r="AN61" s="7"/>
      <c r="AP61" s="7"/>
      <c r="AQ61" s="7"/>
      <c r="AS61" s="7"/>
      <c r="AT61" s="7"/>
      <c r="AV61" s="7"/>
      <c r="AW61" s="7"/>
    </row>
    <row r="62" spans="1:126" x14ac:dyDescent="0.3">
      <c r="F62" s="7"/>
      <c r="G62" s="7"/>
      <c r="J62" s="7"/>
      <c r="K62" s="7"/>
      <c r="M62" s="7"/>
      <c r="N62" s="7"/>
      <c r="Q62" s="7"/>
      <c r="R62" s="7"/>
      <c r="U62" s="7"/>
      <c r="V62" s="7"/>
      <c r="Y62" s="7"/>
      <c r="Z62" s="7"/>
      <c r="AB62" s="7"/>
      <c r="AC62" s="7"/>
      <c r="AF62" s="7"/>
      <c r="AG62" s="7"/>
      <c r="AJ62" s="7"/>
      <c r="AK62" s="7"/>
      <c r="AM62" s="7"/>
      <c r="AN62" s="7"/>
      <c r="AP62" s="7"/>
      <c r="AQ62" s="7"/>
      <c r="AS62" s="7"/>
      <c r="AT62" s="7"/>
      <c r="AV62" s="7"/>
      <c r="AW62" s="7"/>
    </row>
    <row r="63" spans="1:126" x14ac:dyDescent="0.3">
      <c r="F63" s="7"/>
      <c r="G63" s="7"/>
      <c r="J63" s="7"/>
      <c r="K63" s="7"/>
      <c r="M63" s="7"/>
      <c r="N63" s="7"/>
      <c r="Q63" s="7"/>
      <c r="R63" s="7"/>
      <c r="U63" s="7"/>
      <c r="V63" s="7"/>
      <c r="Y63" s="7"/>
      <c r="Z63" s="7"/>
      <c r="AB63" s="7"/>
      <c r="AC63" s="7"/>
      <c r="AF63" s="7"/>
      <c r="AG63" s="7"/>
      <c r="AJ63" s="7"/>
      <c r="AK63" s="7"/>
      <c r="AM63" s="7"/>
      <c r="AN63" s="7"/>
      <c r="AP63" s="7"/>
      <c r="AQ63" s="7"/>
      <c r="AS63" s="7"/>
      <c r="AT63" s="7"/>
      <c r="AV63" s="7"/>
      <c r="AW63" s="7"/>
    </row>
    <row r="64" spans="1:126" x14ac:dyDescent="0.3">
      <c r="F64" s="7"/>
      <c r="G64" s="7"/>
      <c r="J64" s="7"/>
      <c r="K64" s="7"/>
      <c r="M64" s="7"/>
      <c r="N64" s="7"/>
      <c r="Q64" s="7"/>
      <c r="R64" s="7"/>
      <c r="U64" s="7"/>
      <c r="V64" s="7"/>
      <c r="Y64" s="7"/>
      <c r="Z64" s="7"/>
      <c r="AB64" s="7"/>
      <c r="AC64" s="7"/>
      <c r="AF64" s="7"/>
      <c r="AG64" s="7"/>
      <c r="AJ64" s="7"/>
      <c r="AK64" s="7"/>
      <c r="AM64" s="7"/>
      <c r="AN64" s="7"/>
      <c r="AP64" s="7"/>
      <c r="AQ64" s="7"/>
      <c r="AS64" s="7"/>
      <c r="AT64" s="7"/>
      <c r="AV64" s="7"/>
      <c r="AW64" s="7"/>
    </row>
    <row r="65" spans="6:49" x14ac:dyDescent="0.3">
      <c r="F65" s="7"/>
      <c r="G65" s="7"/>
      <c r="J65" s="7"/>
      <c r="K65" s="7"/>
      <c r="M65" s="7"/>
      <c r="N65" s="7"/>
      <c r="Q65" s="7"/>
      <c r="R65" s="7"/>
      <c r="U65" s="7"/>
      <c r="V65" s="7"/>
      <c r="Y65" s="7"/>
      <c r="Z65" s="7"/>
      <c r="AB65" s="7"/>
      <c r="AC65" s="7"/>
      <c r="AF65" s="7"/>
      <c r="AG65" s="7"/>
      <c r="AJ65" s="7"/>
      <c r="AK65" s="7"/>
      <c r="AM65" s="7"/>
      <c r="AN65" s="7"/>
      <c r="AP65" s="7"/>
      <c r="AQ65" s="7"/>
      <c r="AS65" s="7"/>
      <c r="AT65" s="7"/>
      <c r="AV65" s="7"/>
      <c r="AW65" s="7"/>
    </row>
    <row r="66" spans="6:49" x14ac:dyDescent="0.3">
      <c r="F66" s="7"/>
      <c r="G66" s="7"/>
      <c r="J66" s="7"/>
      <c r="K66" s="7"/>
      <c r="M66" s="7"/>
      <c r="N66" s="7"/>
      <c r="Q66" s="7"/>
      <c r="R66" s="7"/>
      <c r="U66" s="7"/>
      <c r="V66" s="7"/>
      <c r="Y66" s="7"/>
      <c r="Z66" s="7"/>
      <c r="AB66" s="7"/>
      <c r="AC66" s="7"/>
      <c r="AF66" s="7"/>
      <c r="AG66" s="7"/>
      <c r="AJ66" s="7"/>
      <c r="AK66" s="7"/>
      <c r="AM66" s="7"/>
      <c r="AN66" s="7"/>
      <c r="AP66" s="7"/>
      <c r="AQ66" s="7"/>
      <c r="AS66" s="7"/>
      <c r="AT66" s="7"/>
      <c r="AV66" s="7"/>
      <c r="AW66" s="7"/>
    </row>
    <row r="67" spans="6:49" x14ac:dyDescent="0.3">
      <c r="F67" s="7"/>
      <c r="G67" s="7"/>
      <c r="J67" s="7"/>
      <c r="K67" s="7"/>
      <c r="M67" s="7"/>
      <c r="N67" s="7"/>
      <c r="Q67" s="7"/>
      <c r="R67" s="7"/>
      <c r="U67" s="7"/>
      <c r="V67" s="7"/>
      <c r="Y67" s="7"/>
      <c r="Z67" s="7"/>
      <c r="AB67" s="7"/>
      <c r="AC67" s="7"/>
      <c r="AF67" s="7"/>
      <c r="AG67" s="7"/>
      <c r="AJ67" s="7"/>
      <c r="AK67" s="7"/>
      <c r="AM67" s="7"/>
      <c r="AN67" s="7"/>
      <c r="AP67" s="7"/>
      <c r="AQ67" s="7"/>
      <c r="AS67" s="7"/>
      <c r="AT67" s="7"/>
      <c r="AV67" s="7"/>
      <c r="AW67" s="7"/>
    </row>
    <row r="68" spans="6:49" x14ac:dyDescent="0.3">
      <c r="F68" s="7"/>
      <c r="G68" s="7"/>
      <c r="J68" s="7"/>
      <c r="K68" s="7"/>
      <c r="M68" s="7"/>
      <c r="N68" s="7"/>
      <c r="Q68" s="7"/>
      <c r="R68" s="7"/>
      <c r="U68" s="7"/>
      <c r="V68" s="7"/>
      <c r="Y68" s="7"/>
      <c r="Z68" s="7"/>
      <c r="AB68" s="7"/>
      <c r="AC68" s="7"/>
      <c r="AF68" s="7"/>
      <c r="AG68" s="7"/>
      <c r="AJ68" s="7"/>
      <c r="AK68" s="7"/>
      <c r="AM68" s="7"/>
      <c r="AN68" s="7"/>
      <c r="AP68" s="7"/>
      <c r="AQ68" s="7"/>
      <c r="AS68" s="7"/>
      <c r="AT68" s="7"/>
      <c r="AV68" s="7"/>
      <c r="AW68" s="7"/>
    </row>
    <row r="69" spans="6:49" x14ac:dyDescent="0.3">
      <c r="F69" s="7"/>
      <c r="G69" s="7"/>
      <c r="J69" s="7"/>
      <c r="K69" s="7"/>
      <c r="M69" s="7"/>
      <c r="N69" s="7"/>
      <c r="Q69" s="7"/>
      <c r="R69" s="7"/>
      <c r="U69" s="7"/>
      <c r="V69" s="7"/>
      <c r="Y69" s="7"/>
      <c r="Z69" s="7"/>
      <c r="AB69" s="7"/>
      <c r="AC69" s="7"/>
      <c r="AF69" s="7"/>
      <c r="AG69" s="7"/>
      <c r="AJ69" s="7"/>
      <c r="AK69" s="7"/>
      <c r="AM69" s="7"/>
      <c r="AN69" s="7"/>
      <c r="AP69" s="7"/>
      <c r="AQ69" s="7"/>
      <c r="AS69" s="7"/>
      <c r="AT69" s="7"/>
      <c r="AV69" s="7"/>
      <c r="AW69" s="7"/>
    </row>
    <row r="70" spans="6:49" x14ac:dyDescent="0.3">
      <c r="F70" s="7"/>
      <c r="G70" s="7"/>
      <c r="J70" s="7"/>
      <c r="K70" s="7"/>
      <c r="M70" s="7"/>
      <c r="N70" s="7"/>
      <c r="Q70" s="7"/>
      <c r="R70" s="7"/>
      <c r="U70" s="7"/>
      <c r="V70" s="7"/>
      <c r="Y70" s="7"/>
      <c r="Z70" s="7"/>
      <c r="AB70" s="7"/>
      <c r="AC70" s="7"/>
      <c r="AF70" s="7"/>
      <c r="AG70" s="7"/>
      <c r="AJ70" s="7"/>
      <c r="AK70" s="7"/>
      <c r="AM70" s="7"/>
      <c r="AN70" s="7"/>
      <c r="AP70" s="7"/>
      <c r="AQ70" s="7"/>
      <c r="AS70" s="7"/>
      <c r="AT70" s="7"/>
      <c r="AV70" s="7"/>
      <c r="AW70" s="7"/>
    </row>
    <row r="71" spans="6:49" x14ac:dyDescent="0.3">
      <c r="F71" s="7"/>
      <c r="G71" s="7"/>
      <c r="J71" s="7"/>
      <c r="K71" s="7"/>
      <c r="M71" s="7"/>
      <c r="N71" s="7"/>
      <c r="Q71" s="7"/>
      <c r="R71" s="7"/>
      <c r="U71" s="7"/>
      <c r="V71" s="7"/>
      <c r="Y71" s="7"/>
      <c r="Z71" s="7"/>
      <c r="AB71" s="7"/>
      <c r="AC71" s="7"/>
      <c r="AF71" s="7"/>
      <c r="AG71" s="7"/>
      <c r="AJ71" s="7"/>
      <c r="AK71" s="7"/>
      <c r="AM71" s="7"/>
      <c r="AN71" s="7"/>
      <c r="AP71" s="7"/>
      <c r="AQ71" s="7"/>
      <c r="AS71" s="7"/>
      <c r="AT71" s="7"/>
      <c r="AV71" s="7"/>
      <c r="AW71" s="7"/>
    </row>
    <row r="72" spans="6:49" x14ac:dyDescent="0.3">
      <c r="F72" s="7"/>
      <c r="G72" s="7"/>
      <c r="J72" s="7"/>
      <c r="K72" s="7"/>
      <c r="M72" s="7"/>
      <c r="N72" s="7"/>
      <c r="Q72" s="7"/>
      <c r="R72" s="7"/>
      <c r="U72" s="7"/>
      <c r="V72" s="7"/>
      <c r="Y72" s="7"/>
      <c r="Z72" s="7"/>
      <c r="AB72" s="7"/>
      <c r="AC72" s="7"/>
      <c r="AF72" s="7"/>
      <c r="AG72" s="7"/>
      <c r="AJ72" s="7"/>
      <c r="AK72" s="7"/>
      <c r="AM72" s="7"/>
      <c r="AN72" s="7"/>
      <c r="AP72" s="7"/>
      <c r="AQ72" s="7"/>
      <c r="AS72" s="7"/>
      <c r="AT72" s="7"/>
      <c r="AV72" s="7"/>
      <c r="AW72" s="7"/>
    </row>
    <row r="73" spans="6:49" x14ac:dyDescent="0.3">
      <c r="F73" s="7"/>
      <c r="G73" s="7"/>
      <c r="J73" s="7"/>
      <c r="K73" s="7"/>
      <c r="M73" s="7"/>
      <c r="N73" s="7"/>
      <c r="Q73" s="7"/>
      <c r="R73" s="7"/>
      <c r="U73" s="7"/>
      <c r="V73" s="7"/>
      <c r="Y73" s="7"/>
      <c r="Z73" s="7"/>
      <c r="AB73" s="7"/>
      <c r="AC73" s="7"/>
      <c r="AF73" s="7"/>
      <c r="AG73" s="7"/>
      <c r="AJ73" s="7"/>
      <c r="AK73" s="7"/>
      <c r="AM73" s="7"/>
      <c r="AN73" s="7"/>
      <c r="AP73" s="7"/>
      <c r="AQ73" s="7"/>
      <c r="AS73" s="7"/>
      <c r="AT73" s="7"/>
      <c r="AV73" s="7"/>
      <c r="AW73" s="7"/>
    </row>
    <row r="74" spans="6:49" x14ac:dyDescent="0.3">
      <c r="F74" s="7"/>
      <c r="G74" s="7"/>
      <c r="J74" s="7"/>
      <c r="K74" s="7"/>
      <c r="M74" s="7"/>
      <c r="N74" s="7"/>
      <c r="Q74" s="7"/>
      <c r="R74" s="7"/>
      <c r="U74" s="7"/>
      <c r="V74" s="7"/>
      <c r="Y74" s="7"/>
      <c r="Z74" s="7"/>
      <c r="AB74" s="7"/>
      <c r="AC74" s="7"/>
      <c r="AF74" s="7"/>
      <c r="AG74" s="7"/>
      <c r="AJ74" s="7"/>
      <c r="AK74" s="7"/>
      <c r="AM74" s="7"/>
      <c r="AN74" s="7"/>
      <c r="AP74" s="7"/>
      <c r="AQ74" s="7"/>
      <c r="AS74" s="7"/>
      <c r="AT74" s="7"/>
      <c r="AV74" s="7"/>
      <c r="AW74" s="7"/>
    </row>
    <row r="75" spans="6:49" x14ac:dyDescent="0.3">
      <c r="F75" s="7"/>
      <c r="G75" s="7"/>
      <c r="J75" s="7"/>
      <c r="K75" s="7"/>
      <c r="M75" s="7"/>
      <c r="N75" s="7"/>
      <c r="Q75" s="7"/>
      <c r="R75" s="7"/>
      <c r="U75" s="7"/>
      <c r="V75" s="7"/>
      <c r="Y75" s="7"/>
      <c r="Z75" s="7"/>
      <c r="AB75" s="7"/>
      <c r="AC75" s="7"/>
      <c r="AF75" s="7"/>
      <c r="AG75" s="7"/>
      <c r="AJ75" s="7"/>
      <c r="AK75" s="7"/>
      <c r="AM75" s="7"/>
      <c r="AN75" s="7"/>
      <c r="AP75" s="7"/>
      <c r="AQ75" s="7"/>
      <c r="AS75" s="7"/>
      <c r="AT75" s="7"/>
      <c r="AV75" s="7"/>
      <c r="AW75" s="7"/>
    </row>
    <row r="76" spans="6:49" x14ac:dyDescent="0.3">
      <c r="F76" s="7"/>
      <c r="G76" s="7"/>
      <c r="J76" s="7"/>
      <c r="K76" s="7"/>
      <c r="M76" s="7"/>
      <c r="N76" s="7"/>
      <c r="Q76" s="7"/>
      <c r="R76" s="7"/>
      <c r="U76" s="7"/>
      <c r="V76" s="7"/>
      <c r="Y76" s="7"/>
      <c r="Z76" s="7"/>
      <c r="AB76" s="7"/>
      <c r="AC76" s="7"/>
      <c r="AF76" s="7"/>
      <c r="AG76" s="7"/>
      <c r="AJ76" s="7"/>
      <c r="AK76" s="7"/>
      <c r="AM76" s="7"/>
      <c r="AN76" s="7"/>
      <c r="AP76" s="7"/>
      <c r="AQ76" s="7"/>
      <c r="AS76" s="7"/>
      <c r="AT76" s="7"/>
      <c r="AV76" s="7"/>
      <c r="AW76" s="7"/>
    </row>
    <row r="77" spans="6:49" x14ac:dyDescent="0.3">
      <c r="F77" s="7"/>
      <c r="G77" s="7"/>
      <c r="J77" s="7"/>
      <c r="K77" s="7"/>
      <c r="M77" s="7"/>
      <c r="N77" s="7"/>
      <c r="Q77" s="7"/>
      <c r="R77" s="7"/>
      <c r="U77" s="7"/>
      <c r="V77" s="7"/>
      <c r="Y77" s="7"/>
      <c r="Z77" s="7"/>
      <c r="AB77" s="7"/>
      <c r="AC77" s="7"/>
      <c r="AF77" s="7"/>
      <c r="AG77" s="7"/>
      <c r="AJ77" s="7"/>
      <c r="AK77" s="7"/>
      <c r="AM77" s="7"/>
      <c r="AN77" s="7"/>
      <c r="AP77" s="7"/>
      <c r="AQ77" s="7"/>
      <c r="AS77" s="7"/>
      <c r="AT77" s="7"/>
      <c r="AV77" s="7"/>
      <c r="AW77" s="7"/>
    </row>
    <row r="78" spans="6:49" x14ac:dyDescent="0.3">
      <c r="F78" s="7"/>
      <c r="G78" s="7"/>
      <c r="J78" s="7"/>
      <c r="K78" s="7"/>
      <c r="M78" s="7"/>
      <c r="N78" s="7"/>
      <c r="Q78" s="7"/>
      <c r="R78" s="7"/>
      <c r="U78" s="7"/>
      <c r="V78" s="7"/>
      <c r="Y78" s="7"/>
      <c r="Z78" s="7"/>
      <c r="AB78" s="7"/>
      <c r="AC78" s="7"/>
      <c r="AF78" s="7"/>
      <c r="AG78" s="7"/>
      <c r="AJ78" s="7"/>
      <c r="AK78" s="7"/>
      <c r="AM78" s="7"/>
      <c r="AN78" s="7"/>
      <c r="AP78" s="7"/>
      <c r="AQ78" s="7"/>
      <c r="AS78" s="7"/>
      <c r="AT78" s="7"/>
      <c r="AV78" s="7"/>
      <c r="AW78" s="7"/>
    </row>
    <row r="79" spans="6:49" x14ac:dyDescent="0.3">
      <c r="F79" s="7"/>
      <c r="G79" s="7"/>
      <c r="J79" s="7"/>
      <c r="K79" s="7"/>
      <c r="M79" s="7"/>
      <c r="N79" s="7"/>
      <c r="Q79" s="7"/>
      <c r="R79" s="7"/>
      <c r="U79" s="7"/>
      <c r="V79" s="7"/>
      <c r="Y79" s="7"/>
      <c r="Z79" s="7"/>
      <c r="AB79" s="7"/>
      <c r="AC79" s="7"/>
      <c r="AF79" s="7"/>
      <c r="AG79" s="7"/>
      <c r="AJ79" s="7"/>
      <c r="AK79" s="7"/>
      <c r="AM79" s="7"/>
      <c r="AN79" s="7"/>
      <c r="AP79" s="7"/>
      <c r="AQ79" s="7"/>
      <c r="AS79" s="7"/>
      <c r="AT79" s="7"/>
      <c r="AV79" s="7"/>
      <c r="AW79" s="7"/>
    </row>
    <row r="80" spans="6:49" x14ac:dyDescent="0.3">
      <c r="F80" s="7"/>
      <c r="G80" s="7"/>
      <c r="J80" s="7"/>
      <c r="K80" s="7"/>
      <c r="M80" s="7"/>
      <c r="N80" s="7"/>
      <c r="Q80" s="7"/>
      <c r="R80" s="7"/>
      <c r="U80" s="7"/>
      <c r="V80" s="7"/>
      <c r="Y80" s="7"/>
      <c r="Z80" s="7"/>
      <c r="AB80" s="7"/>
      <c r="AC80" s="7"/>
      <c r="AF80" s="7"/>
      <c r="AG80" s="7"/>
      <c r="AJ80" s="7"/>
      <c r="AK80" s="7"/>
      <c r="AM80" s="7"/>
      <c r="AN80" s="7"/>
      <c r="AP80" s="7"/>
      <c r="AQ80" s="7"/>
      <c r="AS80" s="7"/>
      <c r="AT80" s="7"/>
      <c r="AV80" s="7"/>
      <c r="AW80" s="7"/>
    </row>
    <row r="81" spans="6:49" x14ac:dyDescent="0.3">
      <c r="F81" s="7"/>
      <c r="G81" s="7"/>
      <c r="J81" s="7"/>
      <c r="K81" s="7"/>
      <c r="M81" s="7"/>
      <c r="N81" s="7"/>
      <c r="Q81" s="7"/>
      <c r="R81" s="7"/>
      <c r="U81" s="7"/>
      <c r="V81" s="7"/>
      <c r="Y81" s="7"/>
      <c r="Z81" s="7"/>
      <c r="AB81" s="7"/>
      <c r="AC81" s="7"/>
      <c r="AF81" s="7"/>
      <c r="AG81" s="7"/>
      <c r="AJ81" s="7"/>
      <c r="AK81" s="7"/>
      <c r="AM81" s="7"/>
      <c r="AN81" s="7"/>
      <c r="AP81" s="7"/>
      <c r="AQ81" s="7"/>
      <c r="AS81" s="7"/>
      <c r="AT81" s="7"/>
      <c r="AV81" s="7"/>
      <c r="AW81" s="7"/>
    </row>
    <row r="82" spans="6:49" x14ac:dyDescent="0.3">
      <c r="F82" s="7"/>
      <c r="G82" s="7"/>
      <c r="J82" s="7"/>
      <c r="K82" s="7"/>
      <c r="M82" s="7"/>
      <c r="N82" s="7"/>
      <c r="Q82" s="7"/>
      <c r="R82" s="7"/>
      <c r="U82" s="7"/>
      <c r="V82" s="7"/>
      <c r="Y82" s="7"/>
      <c r="Z82" s="7"/>
      <c r="AB82" s="7"/>
      <c r="AC82" s="7"/>
      <c r="AF82" s="7"/>
      <c r="AG82" s="7"/>
      <c r="AJ82" s="7"/>
      <c r="AK82" s="7"/>
      <c r="AM82" s="7"/>
      <c r="AN82" s="7"/>
      <c r="AP82" s="7"/>
      <c r="AQ82" s="7"/>
      <c r="AS82" s="7"/>
      <c r="AT82" s="7"/>
      <c r="AV82" s="7"/>
      <c r="AW82" s="7"/>
    </row>
    <row r="83" spans="6:49" x14ac:dyDescent="0.3">
      <c r="F83" s="7"/>
      <c r="G83" s="7"/>
      <c r="J83" s="7"/>
      <c r="K83" s="7"/>
      <c r="M83" s="7"/>
      <c r="N83" s="7"/>
      <c r="Q83" s="7"/>
      <c r="R83" s="7"/>
      <c r="U83" s="7"/>
      <c r="V83" s="7"/>
      <c r="Y83" s="7"/>
      <c r="Z83" s="7"/>
      <c r="AB83" s="7"/>
      <c r="AC83" s="7"/>
      <c r="AF83" s="7"/>
      <c r="AG83" s="7"/>
      <c r="AJ83" s="7"/>
      <c r="AK83" s="7"/>
      <c r="AM83" s="7"/>
      <c r="AN83" s="7"/>
      <c r="AP83" s="7"/>
      <c r="AQ83" s="7"/>
      <c r="AS83" s="7"/>
      <c r="AT83" s="7"/>
      <c r="AV83" s="7"/>
      <c r="AW83" s="7"/>
    </row>
    <row r="84" spans="6:49" x14ac:dyDescent="0.3">
      <c r="F84" s="7"/>
      <c r="G84" s="7"/>
      <c r="J84" s="7"/>
      <c r="K84" s="7"/>
      <c r="M84" s="7"/>
      <c r="N84" s="7"/>
      <c r="Q84" s="7"/>
      <c r="R84" s="7"/>
      <c r="U84" s="7"/>
      <c r="V84" s="7"/>
      <c r="Y84" s="7"/>
      <c r="Z84" s="7"/>
      <c r="AB84" s="7"/>
      <c r="AC84" s="7"/>
      <c r="AF84" s="7"/>
      <c r="AG84" s="7"/>
      <c r="AJ84" s="7"/>
      <c r="AK84" s="7"/>
      <c r="AM84" s="7"/>
      <c r="AN84" s="7"/>
      <c r="AP84" s="7"/>
      <c r="AQ84" s="7"/>
      <c r="AS84" s="7"/>
      <c r="AT84" s="7"/>
      <c r="AV84" s="7"/>
      <c r="AW84" s="7"/>
    </row>
    <row r="85" spans="6:49" x14ac:dyDescent="0.3">
      <c r="F85" s="7"/>
      <c r="G85" s="7"/>
      <c r="J85" s="7"/>
      <c r="K85" s="7"/>
      <c r="M85" s="7"/>
      <c r="N85" s="7"/>
      <c r="Q85" s="7"/>
      <c r="R85" s="7"/>
      <c r="U85" s="7"/>
      <c r="V85" s="7"/>
      <c r="Y85" s="7"/>
      <c r="Z85" s="7"/>
      <c r="AB85" s="7"/>
      <c r="AC85" s="7"/>
      <c r="AF85" s="7"/>
      <c r="AG85" s="7"/>
      <c r="AJ85" s="7"/>
      <c r="AK85" s="7"/>
      <c r="AM85" s="7"/>
      <c r="AN85" s="7"/>
      <c r="AP85" s="7"/>
      <c r="AQ85" s="7"/>
      <c r="AS85" s="7"/>
      <c r="AT85" s="7"/>
      <c r="AV85" s="7"/>
      <c r="AW85" s="7"/>
    </row>
    <row r="86" spans="6:49" x14ac:dyDescent="0.3">
      <c r="F86" s="7"/>
      <c r="G86" s="7"/>
      <c r="J86" s="7"/>
      <c r="K86" s="7"/>
      <c r="M86" s="7"/>
      <c r="N86" s="7"/>
      <c r="Q86" s="7"/>
      <c r="R86" s="7"/>
      <c r="U86" s="7"/>
      <c r="V86" s="7"/>
      <c r="Y86" s="7"/>
      <c r="Z86" s="7"/>
      <c r="AB86" s="7"/>
      <c r="AC86" s="7"/>
      <c r="AF86" s="7"/>
      <c r="AG86" s="7"/>
      <c r="AJ86" s="7"/>
      <c r="AK86" s="7"/>
      <c r="AM86" s="7"/>
      <c r="AN86" s="7"/>
      <c r="AP86" s="7"/>
      <c r="AQ86" s="7"/>
      <c r="AS86" s="7"/>
      <c r="AT86" s="7"/>
      <c r="AV86" s="7"/>
      <c r="AW86" s="7"/>
    </row>
    <row r="87" spans="6:49" x14ac:dyDescent="0.3">
      <c r="F87" s="7"/>
      <c r="G87" s="7"/>
      <c r="J87" s="7"/>
      <c r="K87" s="7"/>
      <c r="M87" s="7"/>
      <c r="N87" s="7"/>
      <c r="Q87" s="7"/>
      <c r="R87" s="7"/>
      <c r="U87" s="7"/>
      <c r="V87" s="7"/>
      <c r="Y87" s="7"/>
      <c r="Z87" s="7"/>
      <c r="AB87" s="7"/>
      <c r="AC87" s="7"/>
      <c r="AF87" s="7"/>
      <c r="AG87" s="7"/>
      <c r="AJ87" s="7"/>
      <c r="AK87" s="7"/>
      <c r="AM87" s="7"/>
      <c r="AN87" s="7"/>
      <c r="AP87" s="7"/>
      <c r="AQ87" s="7"/>
      <c r="AS87" s="7"/>
      <c r="AT87" s="7"/>
      <c r="AV87" s="7"/>
      <c r="AW87" s="7"/>
    </row>
    <row r="88" spans="6:49" x14ac:dyDescent="0.3">
      <c r="F88" s="7"/>
      <c r="G88" s="7"/>
      <c r="J88" s="7"/>
      <c r="K88" s="7"/>
      <c r="M88" s="7"/>
      <c r="N88" s="7"/>
      <c r="Q88" s="7"/>
      <c r="R88" s="7"/>
      <c r="U88" s="7"/>
      <c r="V88" s="7"/>
      <c r="Y88" s="7"/>
      <c r="Z88" s="7"/>
      <c r="AB88" s="7"/>
      <c r="AC88" s="7"/>
      <c r="AF88" s="7"/>
      <c r="AG88" s="7"/>
      <c r="AJ88" s="7"/>
      <c r="AK88" s="7"/>
      <c r="AM88" s="7"/>
      <c r="AN88" s="7"/>
      <c r="AP88" s="7"/>
      <c r="AQ88" s="7"/>
      <c r="AS88" s="7"/>
      <c r="AT88" s="7"/>
      <c r="AV88" s="7"/>
      <c r="AW88" s="7"/>
    </row>
    <row r="89" spans="6:49" x14ac:dyDescent="0.3">
      <c r="F89" s="7"/>
      <c r="G89" s="7"/>
      <c r="J89" s="7"/>
      <c r="K89" s="7"/>
      <c r="M89" s="7"/>
      <c r="N89" s="7"/>
      <c r="Q89" s="7"/>
      <c r="R89" s="7"/>
      <c r="U89" s="7"/>
      <c r="V89" s="7"/>
      <c r="Y89" s="7"/>
      <c r="Z89" s="7"/>
      <c r="AB89" s="7"/>
      <c r="AC89" s="7"/>
      <c r="AF89" s="7"/>
      <c r="AG89" s="7"/>
      <c r="AJ89" s="7"/>
      <c r="AK89" s="7"/>
      <c r="AM89" s="7"/>
      <c r="AN89" s="7"/>
      <c r="AP89" s="7"/>
      <c r="AQ89" s="7"/>
      <c r="AS89" s="7"/>
      <c r="AT89" s="7"/>
      <c r="AV89" s="7"/>
      <c r="AW89" s="7"/>
    </row>
    <row r="90" spans="6:49" x14ac:dyDescent="0.3">
      <c r="F90" s="7"/>
      <c r="G90" s="7"/>
      <c r="J90" s="7"/>
      <c r="K90" s="7"/>
      <c r="M90" s="7"/>
      <c r="N90" s="7"/>
      <c r="Q90" s="7"/>
      <c r="R90" s="7"/>
      <c r="U90" s="7"/>
      <c r="V90" s="7"/>
      <c r="Y90" s="7"/>
      <c r="Z90" s="7"/>
      <c r="AB90" s="7"/>
      <c r="AC90" s="7"/>
      <c r="AF90" s="7"/>
      <c r="AG90" s="7"/>
      <c r="AJ90" s="7"/>
      <c r="AK90" s="7"/>
      <c r="AM90" s="7"/>
      <c r="AN90" s="7"/>
      <c r="AP90" s="7"/>
      <c r="AQ90" s="7"/>
      <c r="AS90" s="7"/>
      <c r="AT90" s="7"/>
      <c r="AV90" s="7"/>
      <c r="AW90" s="7"/>
    </row>
    <row r="91" spans="6:49" x14ac:dyDescent="0.3">
      <c r="F91" s="7"/>
      <c r="G91" s="7"/>
      <c r="J91" s="7"/>
      <c r="K91" s="7"/>
      <c r="M91" s="7"/>
      <c r="N91" s="7"/>
      <c r="Q91" s="7"/>
      <c r="R91" s="7"/>
      <c r="U91" s="7"/>
      <c r="V91" s="7"/>
      <c r="Y91" s="7"/>
      <c r="Z91" s="7"/>
      <c r="AB91" s="7"/>
      <c r="AC91" s="7"/>
      <c r="AF91" s="7"/>
      <c r="AG91" s="7"/>
      <c r="AJ91" s="7"/>
      <c r="AK91" s="7"/>
      <c r="AM91" s="7"/>
      <c r="AN91" s="7"/>
      <c r="AP91" s="7"/>
      <c r="AQ91" s="7"/>
      <c r="AS91" s="7"/>
      <c r="AT91" s="7"/>
      <c r="AV91" s="7"/>
      <c r="AW91" s="7"/>
    </row>
    <row r="92" spans="6:49" x14ac:dyDescent="0.3">
      <c r="F92" s="7"/>
      <c r="G92" s="7"/>
      <c r="J92" s="7"/>
      <c r="K92" s="7"/>
      <c r="M92" s="7"/>
      <c r="N92" s="7"/>
      <c r="Q92" s="7"/>
      <c r="R92" s="7"/>
      <c r="U92" s="7"/>
      <c r="V92" s="7"/>
      <c r="Y92" s="7"/>
      <c r="Z92" s="7"/>
      <c r="AB92" s="7"/>
      <c r="AC92" s="7"/>
      <c r="AF92" s="7"/>
      <c r="AG92" s="7"/>
      <c r="AJ92" s="7"/>
      <c r="AK92" s="7"/>
      <c r="AM92" s="7"/>
      <c r="AN92" s="7"/>
      <c r="AP92" s="7"/>
      <c r="AQ92" s="7"/>
      <c r="AS92" s="7"/>
      <c r="AT92" s="7"/>
      <c r="AV92" s="7"/>
      <c r="AW92" s="7"/>
    </row>
    <row r="93" spans="6:49" x14ac:dyDescent="0.3">
      <c r="F93" s="7"/>
      <c r="G93" s="7"/>
      <c r="J93" s="7"/>
      <c r="K93" s="7"/>
      <c r="M93" s="7"/>
      <c r="N93" s="7"/>
      <c r="Q93" s="7"/>
      <c r="R93" s="7"/>
      <c r="U93" s="7"/>
      <c r="V93" s="7"/>
      <c r="Y93" s="7"/>
      <c r="Z93" s="7"/>
      <c r="AB93" s="7"/>
      <c r="AC93" s="7"/>
      <c r="AF93" s="7"/>
      <c r="AG93" s="7"/>
      <c r="AJ93" s="7"/>
      <c r="AK93" s="7"/>
      <c r="AM93" s="7"/>
      <c r="AN93" s="7"/>
      <c r="AP93" s="7"/>
      <c r="AQ93" s="7"/>
      <c r="AS93" s="7"/>
      <c r="AT93" s="7"/>
      <c r="AV93" s="7"/>
      <c r="AW93" s="7"/>
    </row>
    <row r="94" spans="6:49" x14ac:dyDescent="0.3">
      <c r="F94" s="7"/>
      <c r="G94" s="7"/>
      <c r="J94" s="7"/>
      <c r="K94" s="7"/>
      <c r="M94" s="7"/>
      <c r="N94" s="7"/>
      <c r="Q94" s="7"/>
      <c r="R94" s="7"/>
      <c r="U94" s="7"/>
      <c r="V94" s="7"/>
      <c r="Y94" s="7"/>
      <c r="Z94" s="7"/>
      <c r="AB94" s="7"/>
      <c r="AC94" s="7"/>
      <c r="AF94" s="7"/>
      <c r="AG94" s="7"/>
      <c r="AJ94" s="7"/>
      <c r="AK94" s="7"/>
      <c r="AM94" s="7"/>
      <c r="AN94" s="7"/>
      <c r="AP94" s="7"/>
      <c r="AQ94" s="7"/>
      <c r="AS94" s="7"/>
      <c r="AT94" s="7"/>
      <c r="AV94" s="7"/>
      <c r="AW94" s="7"/>
    </row>
    <row r="95" spans="6:49" x14ac:dyDescent="0.3">
      <c r="F95" s="7"/>
      <c r="G95" s="7"/>
      <c r="J95" s="7"/>
      <c r="K95" s="7"/>
      <c r="M95" s="7"/>
      <c r="N95" s="7"/>
      <c r="Q95" s="7"/>
      <c r="R95" s="7"/>
      <c r="U95" s="7"/>
      <c r="V95" s="7"/>
      <c r="Y95" s="7"/>
      <c r="Z95" s="7"/>
      <c r="AB95" s="7"/>
      <c r="AC95" s="7"/>
      <c r="AF95" s="7"/>
      <c r="AG95" s="7"/>
      <c r="AJ95" s="7"/>
      <c r="AK95" s="7"/>
      <c r="AM95" s="7"/>
      <c r="AN95" s="7"/>
      <c r="AP95" s="7"/>
      <c r="AQ95" s="7"/>
      <c r="AS95" s="7"/>
      <c r="AT95" s="7"/>
      <c r="AV95" s="7"/>
      <c r="AW95" s="7"/>
    </row>
    <row r="96" spans="6:49" x14ac:dyDescent="0.3">
      <c r="F96" s="7"/>
      <c r="G96" s="7"/>
      <c r="J96" s="7"/>
      <c r="K96" s="7"/>
      <c r="M96" s="7"/>
      <c r="N96" s="7"/>
      <c r="Q96" s="7"/>
      <c r="R96" s="7"/>
      <c r="U96" s="7"/>
      <c r="V96" s="7"/>
      <c r="Y96" s="7"/>
      <c r="Z96" s="7"/>
      <c r="AB96" s="7"/>
      <c r="AC96" s="7"/>
      <c r="AF96" s="7"/>
      <c r="AG96" s="7"/>
      <c r="AJ96" s="7"/>
      <c r="AK96" s="7"/>
      <c r="AM96" s="7"/>
      <c r="AN96" s="7"/>
      <c r="AP96" s="7"/>
      <c r="AQ96" s="7"/>
      <c r="AS96" s="7"/>
      <c r="AT96" s="7"/>
      <c r="AV96" s="7"/>
      <c r="AW96" s="7"/>
    </row>
    <row r="97" spans="6:49" x14ac:dyDescent="0.3">
      <c r="F97" s="7"/>
      <c r="G97" s="7"/>
      <c r="J97" s="7"/>
      <c r="K97" s="7"/>
      <c r="M97" s="7"/>
      <c r="N97" s="7"/>
      <c r="Q97" s="7"/>
      <c r="R97" s="7"/>
      <c r="U97" s="7"/>
      <c r="V97" s="7"/>
      <c r="Y97" s="7"/>
      <c r="Z97" s="7"/>
      <c r="AB97" s="7"/>
      <c r="AC97" s="7"/>
      <c r="AF97" s="7"/>
      <c r="AG97" s="7"/>
      <c r="AJ97" s="7"/>
      <c r="AK97" s="7"/>
      <c r="AM97" s="7"/>
      <c r="AN97" s="7"/>
      <c r="AP97" s="7"/>
      <c r="AQ97" s="7"/>
      <c r="AS97" s="7"/>
      <c r="AT97" s="7"/>
      <c r="AV97" s="7"/>
      <c r="AW97" s="7"/>
    </row>
    <row r="98" spans="6:49" x14ac:dyDescent="0.3">
      <c r="F98" s="7"/>
      <c r="G98" s="7"/>
      <c r="J98" s="7"/>
      <c r="K98" s="7"/>
      <c r="M98" s="7"/>
      <c r="N98" s="7"/>
      <c r="Q98" s="7"/>
      <c r="R98" s="7"/>
      <c r="U98" s="7"/>
      <c r="V98" s="7"/>
      <c r="Y98" s="7"/>
      <c r="Z98" s="7"/>
      <c r="AB98" s="7"/>
      <c r="AC98" s="7"/>
      <c r="AF98" s="7"/>
      <c r="AG98" s="7"/>
      <c r="AJ98" s="7"/>
      <c r="AK98" s="7"/>
      <c r="AM98" s="7"/>
      <c r="AN98" s="7"/>
      <c r="AP98" s="7"/>
      <c r="AQ98" s="7"/>
      <c r="AS98" s="7"/>
      <c r="AT98" s="7"/>
      <c r="AV98" s="7"/>
      <c r="AW98" s="7"/>
    </row>
    <row r="99" spans="6:49" x14ac:dyDescent="0.3">
      <c r="F99" s="7"/>
      <c r="G99" s="7"/>
      <c r="J99" s="7"/>
      <c r="K99" s="7"/>
      <c r="M99" s="7"/>
      <c r="N99" s="7"/>
      <c r="Q99" s="7"/>
      <c r="R99" s="7"/>
      <c r="U99" s="7"/>
      <c r="V99" s="7"/>
      <c r="Y99" s="7"/>
      <c r="Z99" s="7"/>
      <c r="AB99" s="7"/>
      <c r="AC99" s="7"/>
      <c r="AF99" s="7"/>
      <c r="AG99" s="7"/>
      <c r="AJ99" s="7"/>
      <c r="AK99" s="7"/>
      <c r="AM99" s="7"/>
      <c r="AN99" s="7"/>
      <c r="AP99" s="7"/>
      <c r="AQ99" s="7"/>
      <c r="AS99" s="7"/>
      <c r="AT99" s="7"/>
      <c r="AV99" s="7"/>
      <c r="AW99" s="7"/>
    </row>
    <row r="100" spans="6:49" x14ac:dyDescent="0.3">
      <c r="F100" s="7"/>
      <c r="G100" s="7"/>
      <c r="J100" s="7"/>
      <c r="K100" s="7"/>
      <c r="M100" s="7"/>
      <c r="N100" s="7"/>
      <c r="Q100" s="7"/>
      <c r="R100" s="7"/>
      <c r="U100" s="7"/>
      <c r="V100" s="7"/>
      <c r="Y100" s="7"/>
      <c r="Z100" s="7"/>
      <c r="AB100" s="7"/>
      <c r="AC100" s="7"/>
      <c r="AF100" s="7"/>
      <c r="AG100" s="7"/>
      <c r="AJ100" s="7"/>
      <c r="AK100" s="7"/>
      <c r="AM100" s="7"/>
      <c r="AN100" s="7"/>
      <c r="AP100" s="7"/>
      <c r="AQ100" s="7"/>
      <c r="AS100" s="7"/>
      <c r="AT100" s="7"/>
      <c r="AV100" s="7"/>
      <c r="AW100" s="7"/>
    </row>
    <row r="101" spans="6:49" x14ac:dyDescent="0.3">
      <c r="F101" s="7"/>
      <c r="G101" s="7"/>
      <c r="J101" s="7"/>
      <c r="K101" s="7"/>
      <c r="M101" s="7"/>
      <c r="N101" s="7"/>
      <c r="Q101" s="7"/>
      <c r="R101" s="7"/>
      <c r="U101" s="7"/>
      <c r="V101" s="7"/>
      <c r="Y101" s="7"/>
      <c r="Z101" s="7"/>
      <c r="AB101" s="7"/>
      <c r="AC101" s="7"/>
      <c r="AF101" s="7"/>
      <c r="AG101" s="7"/>
      <c r="AJ101" s="7"/>
      <c r="AK101" s="7"/>
      <c r="AM101" s="7"/>
      <c r="AN101" s="7"/>
      <c r="AP101" s="7"/>
      <c r="AQ101" s="7"/>
      <c r="AS101" s="7"/>
      <c r="AT101" s="7"/>
      <c r="AV101" s="7"/>
      <c r="AW101" s="7"/>
    </row>
    <row r="102" spans="6:49" x14ac:dyDescent="0.3">
      <c r="F102" s="7"/>
      <c r="G102" s="7"/>
      <c r="J102" s="7"/>
      <c r="K102" s="7"/>
      <c r="M102" s="7"/>
      <c r="N102" s="7"/>
      <c r="Q102" s="7"/>
      <c r="R102" s="7"/>
      <c r="U102" s="7"/>
      <c r="V102" s="7"/>
      <c r="Y102" s="7"/>
      <c r="Z102" s="7"/>
      <c r="AB102" s="7"/>
      <c r="AC102" s="7"/>
      <c r="AF102" s="7"/>
      <c r="AG102" s="7"/>
      <c r="AJ102" s="7"/>
      <c r="AK102" s="7"/>
      <c r="AM102" s="7"/>
      <c r="AN102" s="7"/>
      <c r="AP102" s="7"/>
      <c r="AQ102" s="7"/>
      <c r="AS102" s="7"/>
      <c r="AT102" s="7"/>
      <c r="AV102" s="7"/>
      <c r="AW102" s="7"/>
    </row>
    <row r="103" spans="6:49" x14ac:dyDescent="0.3">
      <c r="F103" s="7"/>
      <c r="G103" s="7"/>
      <c r="J103" s="7"/>
      <c r="K103" s="7"/>
      <c r="M103" s="7"/>
      <c r="N103" s="7"/>
      <c r="Q103" s="7"/>
      <c r="R103" s="7"/>
      <c r="U103" s="7"/>
      <c r="V103" s="7"/>
      <c r="Y103" s="7"/>
      <c r="Z103" s="7"/>
      <c r="AB103" s="7"/>
      <c r="AC103" s="7"/>
      <c r="AF103" s="7"/>
      <c r="AG103" s="7"/>
      <c r="AJ103" s="7"/>
      <c r="AK103" s="7"/>
      <c r="AM103" s="7"/>
      <c r="AN103" s="7"/>
      <c r="AP103" s="7"/>
      <c r="AQ103" s="7"/>
      <c r="AS103" s="7"/>
      <c r="AT103" s="7"/>
      <c r="AV103" s="7"/>
      <c r="AW103" s="7"/>
    </row>
    <row r="104" spans="6:49" x14ac:dyDescent="0.3">
      <c r="F104" s="7"/>
      <c r="G104" s="7"/>
      <c r="J104" s="7"/>
      <c r="K104" s="7"/>
      <c r="M104" s="7"/>
      <c r="N104" s="7"/>
      <c r="Q104" s="7"/>
      <c r="R104" s="7"/>
      <c r="U104" s="7"/>
      <c r="V104" s="7"/>
      <c r="Y104" s="7"/>
      <c r="Z104" s="7"/>
      <c r="AB104" s="7"/>
      <c r="AC104" s="7"/>
      <c r="AF104" s="7"/>
      <c r="AG104" s="7"/>
      <c r="AJ104" s="7"/>
      <c r="AK104" s="7"/>
      <c r="AM104" s="7"/>
      <c r="AN104" s="7"/>
      <c r="AP104" s="7"/>
      <c r="AQ104" s="7"/>
      <c r="AS104" s="7"/>
      <c r="AT104" s="7"/>
      <c r="AV104" s="7"/>
      <c r="AW104" s="7"/>
    </row>
    <row r="105" spans="6:49" x14ac:dyDescent="0.3">
      <c r="F105" s="7"/>
      <c r="G105" s="7"/>
      <c r="J105" s="7"/>
      <c r="K105" s="7"/>
      <c r="M105" s="7"/>
      <c r="N105" s="7"/>
      <c r="Q105" s="7"/>
      <c r="R105" s="7"/>
      <c r="U105" s="7"/>
      <c r="V105" s="7"/>
      <c r="Y105" s="7"/>
      <c r="Z105" s="7"/>
      <c r="AB105" s="7"/>
      <c r="AC105" s="7"/>
      <c r="AF105" s="7"/>
      <c r="AG105" s="7"/>
      <c r="AJ105" s="7"/>
      <c r="AK105" s="7"/>
      <c r="AM105" s="7"/>
      <c r="AN105" s="7"/>
      <c r="AP105" s="7"/>
      <c r="AQ105" s="7"/>
      <c r="AS105" s="7"/>
      <c r="AT105" s="7"/>
      <c r="AV105" s="7"/>
      <c r="AW105" s="7"/>
    </row>
    <row r="106" spans="6:49" x14ac:dyDescent="0.3">
      <c r="F106" s="7"/>
      <c r="G106" s="7"/>
      <c r="J106" s="7"/>
      <c r="K106" s="7"/>
      <c r="M106" s="7"/>
      <c r="N106" s="7"/>
      <c r="Q106" s="7"/>
      <c r="R106" s="7"/>
      <c r="U106" s="7"/>
      <c r="V106" s="7"/>
      <c r="Y106" s="7"/>
      <c r="Z106" s="7"/>
      <c r="AB106" s="7"/>
      <c r="AC106" s="7"/>
      <c r="AF106" s="7"/>
      <c r="AG106" s="7"/>
      <c r="AJ106" s="7"/>
      <c r="AK106" s="7"/>
      <c r="AM106" s="7"/>
      <c r="AN106" s="7"/>
      <c r="AP106" s="7"/>
      <c r="AQ106" s="7"/>
      <c r="AS106" s="7"/>
      <c r="AT106" s="7"/>
      <c r="AV106" s="7"/>
      <c r="AW106" s="7"/>
    </row>
    <row r="107" spans="6:49" x14ac:dyDescent="0.3">
      <c r="F107" s="7"/>
      <c r="G107" s="7"/>
      <c r="J107" s="7"/>
      <c r="K107" s="7"/>
      <c r="M107" s="7"/>
      <c r="N107" s="7"/>
      <c r="Q107" s="7"/>
      <c r="R107" s="7"/>
      <c r="U107" s="7"/>
      <c r="V107" s="7"/>
      <c r="Y107" s="7"/>
      <c r="Z107" s="7"/>
      <c r="AB107" s="7"/>
      <c r="AC107" s="7"/>
      <c r="AF107" s="7"/>
      <c r="AG107" s="7"/>
      <c r="AJ107" s="7"/>
      <c r="AK107" s="7"/>
      <c r="AM107" s="7"/>
      <c r="AN107" s="7"/>
      <c r="AP107" s="7"/>
      <c r="AQ107" s="7"/>
      <c r="AS107" s="7"/>
      <c r="AT107" s="7"/>
      <c r="AV107" s="7"/>
      <c r="AW107" s="7"/>
    </row>
    <row r="108" spans="6:49" x14ac:dyDescent="0.3">
      <c r="F108" s="7"/>
      <c r="G108" s="7"/>
      <c r="J108" s="7"/>
      <c r="K108" s="7"/>
      <c r="M108" s="7"/>
      <c r="N108" s="7"/>
      <c r="Q108" s="7"/>
      <c r="R108" s="7"/>
      <c r="U108" s="7"/>
      <c r="V108" s="7"/>
      <c r="Y108" s="7"/>
      <c r="Z108" s="7"/>
      <c r="AB108" s="7"/>
      <c r="AC108" s="7"/>
      <c r="AF108" s="7"/>
      <c r="AG108" s="7"/>
      <c r="AJ108" s="7"/>
      <c r="AK108" s="7"/>
      <c r="AM108" s="7"/>
      <c r="AN108" s="7"/>
      <c r="AP108" s="7"/>
      <c r="AQ108" s="7"/>
      <c r="AS108" s="7"/>
      <c r="AT108" s="7"/>
      <c r="AV108" s="7"/>
      <c r="AW108" s="7"/>
    </row>
    <row r="109" spans="6:49" x14ac:dyDescent="0.3">
      <c r="F109" s="7"/>
      <c r="G109" s="7"/>
      <c r="J109" s="7"/>
      <c r="K109" s="7"/>
      <c r="M109" s="7"/>
      <c r="N109" s="7"/>
      <c r="Q109" s="7"/>
      <c r="R109" s="7"/>
      <c r="U109" s="7"/>
      <c r="V109" s="7"/>
      <c r="Y109" s="7"/>
      <c r="Z109" s="7"/>
      <c r="AB109" s="7"/>
      <c r="AC109" s="7"/>
      <c r="AF109" s="7"/>
      <c r="AG109" s="7"/>
      <c r="AJ109" s="7"/>
      <c r="AK109" s="7"/>
      <c r="AM109" s="7"/>
      <c r="AN109" s="7"/>
      <c r="AP109" s="7"/>
      <c r="AQ109" s="7"/>
      <c r="AS109" s="7"/>
      <c r="AT109" s="7"/>
      <c r="AV109" s="7"/>
      <c r="AW109" s="7"/>
    </row>
    <row r="110" spans="6:49" x14ac:dyDescent="0.3">
      <c r="F110" s="7"/>
      <c r="G110" s="7"/>
      <c r="J110" s="7"/>
      <c r="K110" s="7"/>
      <c r="M110" s="7"/>
      <c r="N110" s="7"/>
      <c r="Q110" s="7"/>
      <c r="R110" s="7"/>
      <c r="U110" s="7"/>
      <c r="V110" s="7"/>
      <c r="Y110" s="7"/>
      <c r="Z110" s="7"/>
      <c r="AB110" s="7"/>
      <c r="AC110" s="7"/>
      <c r="AF110" s="7"/>
      <c r="AG110" s="7"/>
      <c r="AJ110" s="7"/>
      <c r="AK110" s="7"/>
      <c r="AM110" s="7"/>
      <c r="AN110" s="7"/>
      <c r="AP110" s="7"/>
      <c r="AQ110" s="7"/>
      <c r="AS110" s="7"/>
      <c r="AT110" s="7"/>
      <c r="AV110" s="7"/>
      <c r="AW110" s="7"/>
    </row>
    <row r="111" spans="6:49" x14ac:dyDescent="0.3">
      <c r="F111" s="7"/>
      <c r="G111" s="7"/>
      <c r="J111" s="7"/>
      <c r="K111" s="7"/>
      <c r="M111" s="7"/>
      <c r="N111" s="7"/>
      <c r="Q111" s="7"/>
      <c r="R111" s="7"/>
      <c r="U111" s="7"/>
      <c r="V111" s="7"/>
      <c r="Y111" s="7"/>
      <c r="Z111" s="7"/>
      <c r="AB111" s="7"/>
      <c r="AC111" s="7"/>
      <c r="AF111" s="7"/>
      <c r="AG111" s="7"/>
      <c r="AJ111" s="7"/>
      <c r="AK111" s="7"/>
      <c r="AM111" s="7"/>
      <c r="AN111" s="7"/>
      <c r="AP111" s="7"/>
      <c r="AQ111" s="7"/>
      <c r="AS111" s="7"/>
      <c r="AT111" s="7"/>
      <c r="AV111" s="7"/>
      <c r="AW111" s="7"/>
    </row>
    <row r="112" spans="6:49" x14ac:dyDescent="0.3">
      <c r="F112" s="7"/>
      <c r="G112" s="7"/>
      <c r="J112" s="7"/>
      <c r="K112" s="7"/>
      <c r="M112" s="7"/>
      <c r="N112" s="7"/>
      <c r="Q112" s="7"/>
      <c r="R112" s="7"/>
      <c r="U112" s="7"/>
      <c r="V112" s="7"/>
      <c r="Y112" s="7"/>
      <c r="Z112" s="7"/>
      <c r="AB112" s="7"/>
      <c r="AC112" s="7"/>
      <c r="AF112" s="7"/>
      <c r="AG112" s="7"/>
      <c r="AJ112" s="7"/>
      <c r="AK112" s="7"/>
      <c r="AM112" s="7"/>
      <c r="AN112" s="7"/>
      <c r="AP112" s="7"/>
      <c r="AQ112" s="7"/>
      <c r="AS112" s="7"/>
      <c r="AT112" s="7"/>
      <c r="AV112" s="7"/>
      <c r="AW112" s="7"/>
    </row>
    <row r="113" spans="6:49" x14ac:dyDescent="0.3">
      <c r="F113" s="7"/>
      <c r="G113" s="7"/>
      <c r="J113" s="7"/>
      <c r="K113" s="7"/>
      <c r="M113" s="7"/>
      <c r="N113" s="7"/>
      <c r="Q113" s="7"/>
      <c r="R113" s="7"/>
      <c r="U113" s="7"/>
      <c r="V113" s="7"/>
      <c r="Y113" s="7"/>
      <c r="Z113" s="7"/>
      <c r="AB113" s="7"/>
      <c r="AC113" s="7"/>
      <c r="AF113" s="7"/>
      <c r="AG113" s="7"/>
      <c r="AJ113" s="7"/>
      <c r="AK113" s="7"/>
      <c r="AM113" s="7"/>
      <c r="AN113" s="7"/>
      <c r="AP113" s="7"/>
      <c r="AQ113" s="7"/>
      <c r="AS113" s="7"/>
      <c r="AT113" s="7"/>
      <c r="AV113" s="7"/>
      <c r="AW113" s="7"/>
    </row>
    <row r="114" spans="6:49" x14ac:dyDescent="0.3">
      <c r="F114" s="7"/>
      <c r="G114" s="7"/>
      <c r="J114" s="7"/>
      <c r="K114" s="7"/>
      <c r="M114" s="7"/>
      <c r="N114" s="7"/>
      <c r="Q114" s="7"/>
      <c r="R114" s="7"/>
      <c r="U114" s="7"/>
      <c r="V114" s="7"/>
      <c r="Y114" s="7"/>
      <c r="Z114" s="7"/>
      <c r="AB114" s="7"/>
      <c r="AC114" s="7"/>
      <c r="AF114" s="7"/>
      <c r="AG114" s="7"/>
      <c r="AJ114" s="7"/>
      <c r="AK114" s="7"/>
      <c r="AM114" s="7"/>
      <c r="AN114" s="7"/>
      <c r="AP114" s="7"/>
      <c r="AQ114" s="7"/>
      <c r="AS114" s="7"/>
      <c r="AT114" s="7"/>
      <c r="AV114" s="7"/>
      <c r="AW114" s="7"/>
    </row>
    <row r="115" spans="6:49" x14ac:dyDescent="0.3">
      <c r="F115" s="7"/>
      <c r="G115" s="7"/>
      <c r="J115" s="7"/>
      <c r="K115" s="7"/>
      <c r="M115" s="7"/>
      <c r="N115" s="7"/>
      <c r="Q115" s="7"/>
      <c r="R115" s="7"/>
      <c r="U115" s="7"/>
      <c r="V115" s="7"/>
      <c r="Y115" s="7"/>
      <c r="Z115" s="7"/>
      <c r="AB115" s="7"/>
      <c r="AC115" s="7"/>
      <c r="AF115" s="7"/>
      <c r="AG115" s="7"/>
      <c r="AJ115" s="7"/>
      <c r="AK115" s="7"/>
      <c r="AM115" s="7"/>
      <c r="AN115" s="7"/>
      <c r="AP115" s="7"/>
      <c r="AQ115" s="7"/>
      <c r="AS115" s="7"/>
      <c r="AT115" s="7"/>
      <c r="AV115" s="7"/>
      <c r="AW115" s="7"/>
    </row>
    <row r="116" spans="6:49" x14ac:dyDescent="0.3">
      <c r="F116" s="7"/>
      <c r="G116" s="7"/>
      <c r="J116" s="7"/>
      <c r="K116" s="7"/>
      <c r="M116" s="7"/>
      <c r="N116" s="7"/>
      <c r="Q116" s="7"/>
      <c r="R116" s="7"/>
      <c r="U116" s="7"/>
      <c r="V116" s="7"/>
      <c r="Y116" s="7"/>
      <c r="Z116" s="7"/>
      <c r="AB116" s="7"/>
      <c r="AC116" s="7"/>
      <c r="AF116" s="7"/>
      <c r="AG116" s="7"/>
      <c r="AJ116" s="7"/>
      <c r="AK116" s="7"/>
      <c r="AM116" s="7"/>
      <c r="AN116" s="7"/>
      <c r="AP116" s="7"/>
      <c r="AQ116" s="7"/>
      <c r="AS116" s="7"/>
      <c r="AT116" s="7"/>
      <c r="AV116" s="7"/>
      <c r="AW116" s="7"/>
    </row>
    <row r="117" spans="6:49" x14ac:dyDescent="0.3">
      <c r="F117" s="7"/>
      <c r="G117" s="7"/>
      <c r="J117" s="7"/>
      <c r="K117" s="7"/>
      <c r="M117" s="7"/>
      <c r="N117" s="7"/>
      <c r="Q117" s="7"/>
      <c r="R117" s="7"/>
      <c r="U117" s="7"/>
      <c r="V117" s="7"/>
      <c r="Y117" s="7"/>
      <c r="Z117" s="7"/>
      <c r="AB117" s="7"/>
      <c r="AC117" s="7"/>
      <c r="AF117" s="7"/>
      <c r="AG117" s="7"/>
      <c r="AJ117" s="7"/>
      <c r="AK117" s="7"/>
      <c r="AM117" s="7"/>
      <c r="AN117" s="7"/>
      <c r="AP117" s="7"/>
      <c r="AQ117" s="7"/>
      <c r="AS117" s="7"/>
      <c r="AT117" s="7"/>
      <c r="AV117" s="7"/>
      <c r="AW117" s="7"/>
    </row>
    <row r="118" spans="6:49" x14ac:dyDescent="0.3">
      <c r="F118" s="7"/>
      <c r="G118" s="7"/>
      <c r="J118" s="7"/>
      <c r="K118" s="7"/>
      <c r="M118" s="7"/>
      <c r="N118" s="7"/>
      <c r="Q118" s="7"/>
      <c r="R118" s="7"/>
      <c r="U118" s="7"/>
      <c r="V118" s="7"/>
      <c r="Y118" s="7"/>
      <c r="Z118" s="7"/>
      <c r="AB118" s="7"/>
      <c r="AC118" s="7"/>
      <c r="AF118" s="7"/>
      <c r="AG118" s="7"/>
      <c r="AJ118" s="7"/>
      <c r="AK118" s="7"/>
      <c r="AM118" s="7"/>
      <c r="AN118" s="7"/>
      <c r="AP118" s="7"/>
      <c r="AQ118" s="7"/>
      <c r="AS118" s="7"/>
      <c r="AT118" s="7"/>
      <c r="AV118" s="7"/>
      <c r="AW118" s="7"/>
    </row>
    <row r="119" spans="6:49" x14ac:dyDescent="0.3">
      <c r="F119" s="7"/>
      <c r="G119" s="7"/>
      <c r="J119" s="7"/>
      <c r="K119" s="7"/>
      <c r="M119" s="7"/>
      <c r="N119" s="7"/>
      <c r="Q119" s="7"/>
      <c r="R119" s="7"/>
      <c r="U119" s="7"/>
      <c r="V119" s="7"/>
      <c r="Y119" s="7"/>
      <c r="Z119" s="7"/>
      <c r="AB119" s="7"/>
      <c r="AC119" s="7"/>
      <c r="AF119" s="7"/>
      <c r="AG119" s="7"/>
      <c r="AJ119" s="7"/>
      <c r="AK119" s="7"/>
      <c r="AM119" s="7"/>
      <c r="AN119" s="7"/>
      <c r="AP119" s="7"/>
      <c r="AQ119" s="7"/>
      <c r="AS119" s="7"/>
      <c r="AT119" s="7"/>
      <c r="AV119" s="7"/>
      <c r="AW119" s="7"/>
    </row>
    <row r="120" spans="6:49" x14ac:dyDescent="0.3">
      <c r="F120" s="7"/>
      <c r="G120" s="7"/>
      <c r="J120" s="7"/>
      <c r="K120" s="7"/>
      <c r="M120" s="7"/>
      <c r="N120" s="7"/>
      <c r="Q120" s="7"/>
      <c r="R120" s="7"/>
      <c r="U120" s="7"/>
      <c r="V120" s="7"/>
      <c r="Y120" s="7"/>
      <c r="Z120" s="7"/>
      <c r="AB120" s="7"/>
      <c r="AC120" s="7"/>
      <c r="AF120" s="7"/>
      <c r="AG120" s="7"/>
      <c r="AJ120" s="7"/>
      <c r="AK120" s="7"/>
      <c r="AM120" s="7"/>
      <c r="AN120" s="7"/>
      <c r="AP120" s="7"/>
      <c r="AQ120" s="7"/>
      <c r="AS120" s="7"/>
      <c r="AT120" s="7"/>
      <c r="AV120" s="7"/>
      <c r="AW120" s="7"/>
    </row>
    <row r="121" spans="6:49" x14ac:dyDescent="0.3">
      <c r="F121" s="7"/>
      <c r="G121" s="7"/>
      <c r="J121" s="7"/>
      <c r="K121" s="7"/>
      <c r="M121" s="7"/>
      <c r="N121" s="7"/>
      <c r="Q121" s="7"/>
      <c r="R121" s="7"/>
      <c r="U121" s="7"/>
      <c r="V121" s="7"/>
      <c r="Y121" s="7"/>
      <c r="Z121" s="7"/>
      <c r="AB121" s="7"/>
      <c r="AC121" s="7"/>
      <c r="AF121" s="7"/>
      <c r="AG121" s="7"/>
      <c r="AJ121" s="7"/>
      <c r="AK121" s="7"/>
      <c r="AM121" s="7"/>
      <c r="AN121" s="7"/>
      <c r="AP121" s="7"/>
      <c r="AQ121" s="7"/>
      <c r="AS121" s="7"/>
      <c r="AT121" s="7"/>
      <c r="AV121" s="7"/>
      <c r="AW121" s="7"/>
    </row>
    <row r="122" spans="6:49" x14ac:dyDescent="0.3">
      <c r="F122" s="7"/>
      <c r="G122" s="7"/>
      <c r="J122" s="7"/>
      <c r="K122" s="7"/>
      <c r="M122" s="7"/>
      <c r="N122" s="7"/>
      <c r="Q122" s="7"/>
      <c r="R122" s="7"/>
      <c r="U122" s="7"/>
      <c r="V122" s="7"/>
      <c r="Y122" s="7"/>
      <c r="Z122" s="7"/>
      <c r="AB122" s="7"/>
      <c r="AC122" s="7"/>
      <c r="AF122" s="7"/>
      <c r="AG122" s="7"/>
      <c r="AJ122" s="7"/>
      <c r="AK122" s="7"/>
      <c r="AM122" s="7"/>
      <c r="AN122" s="7"/>
      <c r="AP122" s="7"/>
      <c r="AQ122" s="7"/>
      <c r="AS122" s="7"/>
      <c r="AT122" s="7"/>
      <c r="AV122" s="7"/>
      <c r="AW122" s="7"/>
    </row>
    <row r="123" spans="6:49" x14ac:dyDescent="0.3">
      <c r="F123" s="7"/>
      <c r="G123" s="7"/>
      <c r="J123" s="7"/>
      <c r="K123" s="7"/>
      <c r="M123" s="7"/>
      <c r="N123" s="7"/>
      <c r="Q123" s="7"/>
      <c r="R123" s="7"/>
      <c r="U123" s="7"/>
      <c r="V123" s="7"/>
      <c r="Y123" s="7"/>
      <c r="Z123" s="7"/>
      <c r="AB123" s="7"/>
      <c r="AC123" s="7"/>
      <c r="AF123" s="7"/>
      <c r="AG123" s="7"/>
      <c r="AJ123" s="7"/>
      <c r="AK123" s="7"/>
      <c r="AM123" s="7"/>
      <c r="AN123" s="7"/>
      <c r="AP123" s="7"/>
      <c r="AQ123" s="7"/>
      <c r="AS123" s="7"/>
      <c r="AT123" s="7"/>
      <c r="AV123" s="7"/>
      <c r="AW123" s="7"/>
    </row>
    <row r="124" spans="6:49" x14ac:dyDescent="0.3">
      <c r="F124" s="7"/>
      <c r="G124" s="7"/>
      <c r="J124" s="7"/>
      <c r="K124" s="7"/>
      <c r="M124" s="7"/>
      <c r="N124" s="7"/>
      <c r="Q124" s="7"/>
      <c r="R124" s="7"/>
      <c r="U124" s="7"/>
      <c r="V124" s="7"/>
      <c r="Y124" s="7"/>
      <c r="Z124" s="7"/>
      <c r="AB124" s="7"/>
      <c r="AC124" s="7"/>
      <c r="AF124" s="7"/>
      <c r="AG124" s="7"/>
      <c r="AJ124" s="7"/>
      <c r="AK124" s="7"/>
      <c r="AM124" s="7"/>
      <c r="AN124" s="7"/>
      <c r="AP124" s="7"/>
      <c r="AQ124" s="7"/>
      <c r="AS124" s="7"/>
      <c r="AT124" s="7"/>
      <c r="AV124" s="7"/>
      <c r="AW124" s="7"/>
    </row>
    <row r="125" spans="6:49" x14ac:dyDescent="0.3">
      <c r="F125" s="7"/>
      <c r="G125" s="7"/>
      <c r="J125" s="7"/>
      <c r="K125" s="7"/>
      <c r="M125" s="7"/>
      <c r="N125" s="7"/>
      <c r="Q125" s="7"/>
      <c r="R125" s="7"/>
      <c r="U125" s="7"/>
      <c r="V125" s="7"/>
      <c r="Y125" s="7"/>
      <c r="Z125" s="7"/>
      <c r="AB125" s="7"/>
      <c r="AC125" s="7"/>
      <c r="AF125" s="7"/>
      <c r="AG125" s="7"/>
      <c r="AJ125" s="7"/>
      <c r="AK125" s="7"/>
      <c r="AM125" s="7"/>
      <c r="AN125" s="7"/>
      <c r="AP125" s="7"/>
      <c r="AQ125" s="7"/>
      <c r="AS125" s="7"/>
      <c r="AT125" s="7"/>
      <c r="AV125" s="7"/>
      <c r="AW125" s="7"/>
    </row>
    <row r="126" spans="6:49" x14ac:dyDescent="0.3">
      <c r="F126" s="7"/>
      <c r="G126" s="7"/>
      <c r="J126" s="7"/>
      <c r="K126" s="7"/>
      <c r="M126" s="7"/>
      <c r="N126" s="7"/>
      <c r="Q126" s="7"/>
      <c r="R126" s="7"/>
      <c r="U126" s="7"/>
      <c r="V126" s="7"/>
      <c r="Y126" s="7"/>
      <c r="Z126" s="7"/>
      <c r="AB126" s="7"/>
      <c r="AC126" s="7"/>
      <c r="AF126" s="7"/>
      <c r="AG126" s="7"/>
      <c r="AJ126" s="7"/>
      <c r="AK126" s="7"/>
      <c r="AM126" s="7"/>
      <c r="AN126" s="7"/>
      <c r="AP126" s="7"/>
      <c r="AQ126" s="7"/>
      <c r="AS126" s="7"/>
      <c r="AT126" s="7"/>
      <c r="AV126" s="7"/>
      <c r="AW126" s="7"/>
    </row>
    <row r="127" spans="6:49" x14ac:dyDescent="0.3">
      <c r="F127" s="7"/>
      <c r="G127" s="7"/>
      <c r="J127" s="7"/>
      <c r="K127" s="7"/>
      <c r="M127" s="7"/>
      <c r="N127" s="7"/>
      <c r="Q127" s="7"/>
      <c r="R127" s="7"/>
      <c r="U127" s="7"/>
      <c r="V127" s="7"/>
      <c r="Y127" s="7"/>
      <c r="Z127" s="7"/>
      <c r="AB127" s="7"/>
      <c r="AC127" s="7"/>
      <c r="AF127" s="7"/>
      <c r="AG127" s="7"/>
      <c r="AJ127" s="7"/>
      <c r="AK127" s="7"/>
      <c r="AM127" s="7"/>
      <c r="AN127" s="7"/>
      <c r="AP127" s="7"/>
      <c r="AQ127" s="7"/>
      <c r="AS127" s="7"/>
      <c r="AT127" s="7"/>
      <c r="AV127" s="7"/>
      <c r="AW127" s="7"/>
    </row>
    <row r="128" spans="6:49" x14ac:dyDescent="0.3">
      <c r="F128" s="7"/>
      <c r="G128" s="7"/>
      <c r="J128" s="7"/>
      <c r="K128" s="7"/>
      <c r="M128" s="7"/>
      <c r="N128" s="7"/>
      <c r="Q128" s="7"/>
      <c r="R128" s="7"/>
      <c r="U128" s="7"/>
      <c r="V128" s="7"/>
      <c r="Y128" s="7"/>
      <c r="Z128" s="7"/>
      <c r="AB128" s="7"/>
      <c r="AC128" s="7"/>
      <c r="AF128" s="7"/>
      <c r="AG128" s="7"/>
      <c r="AJ128" s="7"/>
      <c r="AK128" s="7"/>
      <c r="AM128" s="7"/>
      <c r="AN128" s="7"/>
      <c r="AP128" s="7"/>
      <c r="AQ128" s="7"/>
      <c r="AS128" s="7"/>
      <c r="AT128" s="7"/>
      <c r="AV128" s="7"/>
      <c r="AW128" s="7"/>
    </row>
    <row r="129" spans="6:49" x14ac:dyDescent="0.3">
      <c r="F129" s="7"/>
      <c r="G129" s="7"/>
      <c r="J129" s="7"/>
      <c r="K129" s="7"/>
      <c r="M129" s="7"/>
      <c r="N129" s="7"/>
      <c r="Q129" s="7"/>
      <c r="R129" s="7"/>
      <c r="U129" s="7"/>
      <c r="V129" s="7"/>
      <c r="Y129" s="7"/>
      <c r="Z129" s="7"/>
      <c r="AB129" s="7"/>
      <c r="AC129" s="7"/>
      <c r="AF129" s="7"/>
      <c r="AG129" s="7"/>
      <c r="AJ129" s="7"/>
      <c r="AK129" s="7"/>
      <c r="AM129" s="7"/>
      <c r="AN129" s="7"/>
      <c r="AP129" s="7"/>
      <c r="AQ129" s="7"/>
      <c r="AS129" s="7"/>
      <c r="AT129" s="7"/>
      <c r="AV129" s="7"/>
      <c r="AW129" s="7"/>
    </row>
    <row r="130" spans="6:49" x14ac:dyDescent="0.3">
      <c r="F130" s="7"/>
      <c r="G130" s="7"/>
      <c r="J130" s="7"/>
      <c r="K130" s="7"/>
      <c r="M130" s="7"/>
      <c r="N130" s="7"/>
      <c r="Q130" s="7"/>
      <c r="R130" s="7"/>
      <c r="U130" s="7"/>
      <c r="V130" s="7"/>
      <c r="Y130" s="7"/>
      <c r="Z130" s="7"/>
      <c r="AB130" s="7"/>
      <c r="AC130" s="7"/>
      <c r="AF130" s="7"/>
      <c r="AG130" s="7"/>
      <c r="AJ130" s="7"/>
      <c r="AK130" s="7"/>
      <c r="AM130" s="7"/>
      <c r="AN130" s="7"/>
      <c r="AP130" s="7"/>
      <c r="AQ130" s="7"/>
      <c r="AS130" s="7"/>
      <c r="AT130" s="7"/>
      <c r="AV130" s="7"/>
      <c r="AW130" s="7"/>
    </row>
    <row r="131" spans="6:49" x14ac:dyDescent="0.3">
      <c r="F131" s="7"/>
      <c r="G131" s="7"/>
      <c r="J131" s="7"/>
      <c r="K131" s="7"/>
      <c r="M131" s="7"/>
      <c r="N131" s="7"/>
      <c r="Q131" s="7"/>
      <c r="R131" s="7"/>
      <c r="U131" s="7"/>
      <c r="V131" s="7"/>
      <c r="Y131" s="7"/>
      <c r="Z131" s="7"/>
      <c r="AB131" s="7"/>
      <c r="AC131" s="7"/>
      <c r="AF131" s="7"/>
      <c r="AG131" s="7"/>
      <c r="AJ131" s="7"/>
      <c r="AK131" s="7"/>
      <c r="AM131" s="7"/>
      <c r="AN131" s="7"/>
      <c r="AP131" s="7"/>
      <c r="AQ131" s="7"/>
      <c r="AS131" s="7"/>
      <c r="AT131" s="7"/>
      <c r="AV131" s="7"/>
      <c r="AW131" s="7"/>
    </row>
    <row r="132" spans="6:49" x14ac:dyDescent="0.3">
      <c r="F132" s="7"/>
      <c r="G132" s="7"/>
      <c r="J132" s="7"/>
      <c r="K132" s="7"/>
      <c r="M132" s="7"/>
      <c r="N132" s="7"/>
      <c r="Q132" s="7"/>
      <c r="R132" s="7"/>
      <c r="U132" s="7"/>
      <c r="V132" s="7"/>
      <c r="Y132" s="7"/>
      <c r="Z132" s="7"/>
      <c r="AB132" s="7"/>
      <c r="AC132" s="7"/>
      <c r="AF132" s="7"/>
      <c r="AG132" s="7"/>
      <c r="AJ132" s="7"/>
      <c r="AK132" s="7"/>
      <c r="AM132" s="7"/>
      <c r="AN132" s="7"/>
      <c r="AP132" s="7"/>
      <c r="AQ132" s="7"/>
      <c r="AS132" s="7"/>
      <c r="AT132" s="7"/>
      <c r="AV132" s="7"/>
      <c r="AW132" s="7"/>
    </row>
    <row r="133" spans="6:49" x14ac:dyDescent="0.3">
      <c r="F133" s="7"/>
      <c r="G133" s="7"/>
      <c r="J133" s="7"/>
      <c r="K133" s="7"/>
      <c r="M133" s="7"/>
      <c r="N133" s="7"/>
      <c r="Q133" s="7"/>
      <c r="R133" s="7"/>
      <c r="U133" s="7"/>
      <c r="V133" s="7"/>
      <c r="Y133" s="7"/>
      <c r="Z133" s="7"/>
      <c r="AB133" s="7"/>
      <c r="AC133" s="7"/>
      <c r="AF133" s="7"/>
      <c r="AG133" s="7"/>
      <c r="AJ133" s="7"/>
      <c r="AK133" s="7"/>
      <c r="AM133" s="7"/>
      <c r="AN133" s="7"/>
      <c r="AP133" s="7"/>
      <c r="AQ133" s="7"/>
      <c r="AS133" s="7"/>
      <c r="AT133" s="7"/>
      <c r="AV133" s="7"/>
      <c r="AW133" s="7"/>
    </row>
    <row r="134" spans="6:49" x14ac:dyDescent="0.3">
      <c r="F134" s="7"/>
      <c r="G134" s="7"/>
      <c r="J134" s="7"/>
      <c r="K134" s="7"/>
      <c r="M134" s="7"/>
      <c r="N134" s="7"/>
      <c r="Q134" s="7"/>
      <c r="R134" s="7"/>
      <c r="U134" s="7"/>
      <c r="V134" s="7"/>
      <c r="Y134" s="7"/>
      <c r="Z134" s="7"/>
      <c r="AB134" s="7"/>
      <c r="AC134" s="7"/>
      <c r="AF134" s="7"/>
      <c r="AG134" s="7"/>
      <c r="AJ134" s="7"/>
      <c r="AK134" s="7"/>
      <c r="AM134" s="7"/>
      <c r="AN134" s="7"/>
      <c r="AP134" s="7"/>
      <c r="AQ134" s="7"/>
      <c r="AS134" s="7"/>
      <c r="AT134" s="7"/>
      <c r="AV134" s="7"/>
      <c r="AW134" s="7"/>
    </row>
    <row r="135" spans="6:49" x14ac:dyDescent="0.3">
      <c r="F135" s="7"/>
      <c r="G135" s="7"/>
      <c r="J135" s="7"/>
      <c r="K135" s="7"/>
      <c r="M135" s="7"/>
      <c r="N135" s="7"/>
      <c r="Q135" s="7"/>
      <c r="R135" s="7"/>
      <c r="U135" s="7"/>
      <c r="V135" s="7"/>
      <c r="Y135" s="7"/>
      <c r="Z135" s="7"/>
      <c r="AB135" s="7"/>
      <c r="AC135" s="7"/>
      <c r="AF135" s="7"/>
      <c r="AG135" s="7"/>
      <c r="AJ135" s="7"/>
      <c r="AK135" s="7"/>
      <c r="AM135" s="7"/>
      <c r="AN135" s="7"/>
      <c r="AP135" s="7"/>
      <c r="AQ135" s="7"/>
      <c r="AS135" s="7"/>
      <c r="AT135" s="7"/>
      <c r="AV135" s="7"/>
      <c r="AW135" s="7"/>
    </row>
    <row r="136" spans="6:49" x14ac:dyDescent="0.3">
      <c r="F136" s="7"/>
      <c r="G136" s="7"/>
      <c r="J136" s="7"/>
      <c r="K136" s="7"/>
      <c r="M136" s="7"/>
      <c r="N136" s="7"/>
      <c r="Q136" s="7"/>
      <c r="R136" s="7"/>
      <c r="U136" s="7"/>
      <c r="V136" s="7"/>
      <c r="Y136" s="7"/>
      <c r="Z136" s="7"/>
      <c r="AB136" s="7"/>
      <c r="AC136" s="7"/>
      <c r="AF136" s="7"/>
      <c r="AG136" s="7"/>
      <c r="AJ136" s="7"/>
      <c r="AK136" s="7"/>
      <c r="AM136" s="7"/>
      <c r="AN136" s="7"/>
      <c r="AP136" s="7"/>
      <c r="AQ136" s="7"/>
      <c r="AS136" s="7"/>
      <c r="AT136" s="7"/>
      <c r="AV136" s="7"/>
      <c r="AW136" s="7"/>
    </row>
    <row r="137" spans="6:49" x14ac:dyDescent="0.3">
      <c r="F137" s="7"/>
      <c r="G137" s="7"/>
      <c r="J137" s="7"/>
      <c r="K137" s="7"/>
      <c r="M137" s="7"/>
      <c r="N137" s="7"/>
      <c r="Q137" s="7"/>
      <c r="R137" s="7"/>
      <c r="U137" s="7"/>
      <c r="V137" s="7"/>
      <c r="Y137" s="7"/>
      <c r="Z137" s="7"/>
      <c r="AB137" s="7"/>
      <c r="AC137" s="7"/>
      <c r="AF137" s="7"/>
      <c r="AG137" s="7"/>
      <c r="AJ137" s="7"/>
      <c r="AK137" s="7"/>
      <c r="AM137" s="7"/>
      <c r="AN137" s="7"/>
      <c r="AP137" s="7"/>
      <c r="AQ137" s="7"/>
      <c r="AS137" s="7"/>
      <c r="AT137" s="7"/>
      <c r="AV137" s="7"/>
      <c r="AW137" s="7"/>
    </row>
    <row r="138" spans="6:49" x14ac:dyDescent="0.3">
      <c r="F138" s="7"/>
      <c r="G138" s="7"/>
      <c r="J138" s="7"/>
      <c r="K138" s="7"/>
      <c r="M138" s="7"/>
      <c r="N138" s="7"/>
      <c r="Q138" s="7"/>
      <c r="R138" s="7"/>
      <c r="U138" s="7"/>
      <c r="V138" s="7"/>
      <c r="Y138" s="7"/>
      <c r="Z138" s="7"/>
      <c r="AB138" s="7"/>
      <c r="AC138" s="7"/>
      <c r="AF138" s="7"/>
      <c r="AG138" s="7"/>
      <c r="AJ138" s="7"/>
      <c r="AK138" s="7"/>
      <c r="AM138" s="7"/>
      <c r="AN138" s="7"/>
      <c r="AP138" s="7"/>
      <c r="AQ138" s="7"/>
      <c r="AS138" s="7"/>
      <c r="AT138" s="7"/>
      <c r="AV138" s="7"/>
      <c r="AW138" s="7"/>
    </row>
    <row r="139" spans="6:49" x14ac:dyDescent="0.3">
      <c r="F139" s="7"/>
      <c r="G139" s="7"/>
      <c r="J139" s="7"/>
      <c r="K139" s="7"/>
      <c r="M139" s="7"/>
      <c r="N139" s="7"/>
      <c r="Q139" s="7"/>
      <c r="R139" s="7"/>
      <c r="U139" s="7"/>
      <c r="V139" s="7"/>
      <c r="Y139" s="7"/>
      <c r="Z139" s="7"/>
      <c r="AB139" s="7"/>
      <c r="AC139" s="7"/>
      <c r="AF139" s="7"/>
      <c r="AG139" s="7"/>
      <c r="AJ139" s="7"/>
      <c r="AK139" s="7"/>
      <c r="AM139" s="7"/>
      <c r="AN139" s="7"/>
      <c r="AP139" s="7"/>
      <c r="AQ139" s="7"/>
      <c r="AS139" s="7"/>
      <c r="AT139" s="7"/>
      <c r="AV139" s="7"/>
      <c r="AW139" s="7"/>
    </row>
    <row r="140" spans="6:49" x14ac:dyDescent="0.3">
      <c r="F140" s="7"/>
      <c r="G140" s="7"/>
      <c r="J140" s="7"/>
      <c r="K140" s="7"/>
      <c r="M140" s="7"/>
      <c r="N140" s="7"/>
      <c r="Q140" s="7"/>
      <c r="R140" s="7"/>
      <c r="U140" s="7"/>
      <c r="V140" s="7"/>
      <c r="Y140" s="7"/>
      <c r="Z140" s="7"/>
      <c r="AB140" s="7"/>
      <c r="AC140" s="7"/>
      <c r="AF140" s="7"/>
      <c r="AG140" s="7"/>
      <c r="AJ140" s="7"/>
      <c r="AK140" s="7"/>
      <c r="AM140" s="7"/>
      <c r="AN140" s="7"/>
      <c r="AP140" s="7"/>
      <c r="AQ140" s="7"/>
      <c r="AS140" s="7"/>
      <c r="AT140" s="7"/>
      <c r="AV140" s="7"/>
      <c r="AW140" s="7"/>
    </row>
    <row r="141" spans="6:49" x14ac:dyDescent="0.3">
      <c r="F141" s="7"/>
      <c r="G141" s="7"/>
      <c r="J141" s="7"/>
      <c r="K141" s="7"/>
      <c r="M141" s="7"/>
      <c r="N141" s="7"/>
      <c r="Q141" s="7"/>
      <c r="R141" s="7"/>
      <c r="U141" s="7"/>
      <c r="V141" s="7"/>
      <c r="Y141" s="7"/>
      <c r="Z141" s="7"/>
      <c r="AB141" s="7"/>
      <c r="AC141" s="7"/>
      <c r="AF141" s="7"/>
      <c r="AG141" s="7"/>
      <c r="AJ141" s="7"/>
      <c r="AK141" s="7"/>
      <c r="AM141" s="7"/>
      <c r="AN141" s="7"/>
      <c r="AP141" s="7"/>
      <c r="AQ141" s="7"/>
      <c r="AS141" s="7"/>
      <c r="AT141" s="7"/>
      <c r="AV141" s="7"/>
      <c r="AW141" s="7"/>
    </row>
    <row r="142" spans="6:49" x14ac:dyDescent="0.3">
      <c r="F142" s="7"/>
      <c r="G142" s="7"/>
      <c r="J142" s="7"/>
      <c r="K142" s="7"/>
      <c r="M142" s="7"/>
      <c r="N142" s="7"/>
      <c r="Q142" s="7"/>
      <c r="R142" s="7"/>
      <c r="U142" s="7"/>
      <c r="V142" s="7"/>
      <c r="Y142" s="7"/>
      <c r="Z142" s="7"/>
      <c r="AB142" s="7"/>
      <c r="AC142" s="7"/>
      <c r="AF142" s="7"/>
      <c r="AG142" s="7"/>
      <c r="AJ142" s="7"/>
      <c r="AK142" s="7"/>
      <c r="AM142" s="7"/>
      <c r="AN142" s="7"/>
      <c r="AP142" s="7"/>
      <c r="AQ142" s="7"/>
      <c r="AS142" s="7"/>
      <c r="AT142" s="7"/>
      <c r="AV142" s="7"/>
      <c r="AW142" s="7"/>
    </row>
    <row r="143" spans="6:49" x14ac:dyDescent="0.3">
      <c r="F143" s="7"/>
      <c r="G143" s="7"/>
      <c r="J143" s="7"/>
      <c r="K143" s="7"/>
      <c r="M143" s="7"/>
      <c r="N143" s="7"/>
      <c r="Q143" s="7"/>
      <c r="R143" s="7"/>
      <c r="U143" s="7"/>
      <c r="V143" s="7"/>
      <c r="Y143" s="7"/>
      <c r="Z143" s="7"/>
      <c r="AB143" s="7"/>
      <c r="AC143" s="7"/>
      <c r="AF143" s="7"/>
      <c r="AG143" s="7"/>
      <c r="AJ143" s="7"/>
      <c r="AK143" s="7"/>
      <c r="AM143" s="7"/>
      <c r="AN143" s="7"/>
      <c r="AP143" s="7"/>
      <c r="AQ143" s="7"/>
      <c r="AS143" s="7"/>
      <c r="AT143" s="7"/>
      <c r="AV143" s="7"/>
      <c r="AW143" s="7"/>
    </row>
    <row r="144" spans="6:49" x14ac:dyDescent="0.3">
      <c r="F144" s="7"/>
      <c r="G144" s="7"/>
      <c r="J144" s="7"/>
      <c r="K144" s="7"/>
      <c r="M144" s="7"/>
      <c r="N144" s="7"/>
      <c r="Q144" s="7"/>
      <c r="R144" s="7"/>
      <c r="U144" s="7"/>
      <c r="V144" s="7"/>
      <c r="Y144" s="7"/>
      <c r="Z144" s="7"/>
      <c r="AB144" s="7"/>
      <c r="AC144" s="7"/>
      <c r="AF144" s="7"/>
      <c r="AG144" s="7"/>
      <c r="AJ144" s="7"/>
      <c r="AK144" s="7"/>
      <c r="AM144" s="7"/>
      <c r="AN144" s="7"/>
      <c r="AP144" s="7"/>
      <c r="AQ144" s="7"/>
      <c r="AS144" s="7"/>
      <c r="AT144" s="7"/>
      <c r="AV144" s="7"/>
      <c r="AW144" s="7"/>
    </row>
    <row r="145" spans="6:49" x14ac:dyDescent="0.3">
      <c r="F145" s="7"/>
      <c r="G145" s="7"/>
      <c r="J145" s="7"/>
      <c r="K145" s="7"/>
      <c r="M145" s="7"/>
      <c r="N145" s="7"/>
      <c r="Q145" s="7"/>
      <c r="R145" s="7"/>
      <c r="U145" s="7"/>
      <c r="V145" s="7"/>
      <c r="Y145" s="7"/>
      <c r="Z145" s="7"/>
      <c r="AB145" s="7"/>
      <c r="AC145" s="7"/>
      <c r="AF145" s="7"/>
      <c r="AG145" s="7"/>
      <c r="AJ145" s="7"/>
      <c r="AK145" s="7"/>
      <c r="AM145" s="7"/>
      <c r="AN145" s="7"/>
      <c r="AP145" s="7"/>
      <c r="AQ145" s="7"/>
      <c r="AS145" s="7"/>
      <c r="AT145" s="7"/>
      <c r="AV145" s="7"/>
      <c r="AW145" s="7"/>
    </row>
    <row r="146" spans="6:49" x14ac:dyDescent="0.3">
      <c r="F146" s="7"/>
      <c r="G146" s="7"/>
      <c r="J146" s="7"/>
      <c r="K146" s="7"/>
      <c r="M146" s="7"/>
      <c r="N146" s="7"/>
      <c r="Q146" s="7"/>
      <c r="R146" s="7"/>
      <c r="U146" s="7"/>
      <c r="V146" s="7"/>
      <c r="Y146" s="7"/>
      <c r="Z146" s="7"/>
      <c r="AB146" s="7"/>
      <c r="AC146" s="7"/>
      <c r="AF146" s="7"/>
      <c r="AG146" s="7"/>
      <c r="AJ146" s="7"/>
      <c r="AK146" s="7"/>
      <c r="AM146" s="7"/>
      <c r="AN146" s="7"/>
      <c r="AP146" s="7"/>
      <c r="AQ146" s="7"/>
      <c r="AS146" s="7"/>
      <c r="AT146" s="7"/>
      <c r="AV146" s="7"/>
      <c r="AW146" s="7"/>
    </row>
    <row r="147" spans="6:49" x14ac:dyDescent="0.3">
      <c r="F147" s="7"/>
      <c r="G147" s="7"/>
      <c r="J147" s="7"/>
      <c r="K147" s="7"/>
      <c r="M147" s="7"/>
      <c r="N147" s="7"/>
      <c r="Q147" s="7"/>
      <c r="R147" s="7"/>
      <c r="U147" s="7"/>
      <c r="V147" s="7"/>
      <c r="Y147" s="7"/>
      <c r="Z147" s="7"/>
      <c r="AB147" s="7"/>
      <c r="AC147" s="7"/>
      <c r="AF147" s="7"/>
      <c r="AG147" s="7"/>
      <c r="AJ147" s="7"/>
      <c r="AK147" s="7"/>
      <c r="AM147" s="7"/>
      <c r="AN147" s="7"/>
      <c r="AP147" s="7"/>
      <c r="AQ147" s="7"/>
      <c r="AS147" s="7"/>
      <c r="AT147" s="7"/>
      <c r="AV147" s="7"/>
      <c r="AW147" s="7"/>
    </row>
    <row r="148" spans="6:49" x14ac:dyDescent="0.3">
      <c r="F148" s="7"/>
      <c r="G148" s="7"/>
      <c r="J148" s="7"/>
      <c r="K148" s="7"/>
      <c r="M148" s="7"/>
      <c r="N148" s="7"/>
      <c r="Q148" s="7"/>
      <c r="R148" s="7"/>
      <c r="U148" s="7"/>
      <c r="V148" s="7"/>
      <c r="Y148" s="7"/>
      <c r="Z148" s="7"/>
      <c r="AB148" s="7"/>
      <c r="AC148" s="7"/>
      <c r="AF148" s="7"/>
      <c r="AG148" s="7"/>
      <c r="AJ148" s="7"/>
      <c r="AK148" s="7"/>
      <c r="AM148" s="7"/>
      <c r="AN148" s="7"/>
      <c r="AP148" s="7"/>
      <c r="AQ148" s="7"/>
      <c r="AS148" s="7"/>
      <c r="AT148" s="7"/>
      <c r="AV148" s="7"/>
      <c r="AW148" s="7"/>
    </row>
    <row r="149" spans="6:49" x14ac:dyDescent="0.3">
      <c r="F149" s="7"/>
      <c r="G149" s="7"/>
      <c r="J149" s="7"/>
      <c r="K149" s="7"/>
      <c r="M149" s="7"/>
      <c r="N149" s="7"/>
      <c r="Q149" s="7"/>
      <c r="R149" s="7"/>
      <c r="U149" s="7"/>
      <c r="V149" s="7"/>
      <c r="Y149" s="7"/>
      <c r="Z149" s="7"/>
      <c r="AB149" s="7"/>
      <c r="AC149" s="7"/>
      <c r="AF149" s="7"/>
      <c r="AG149" s="7"/>
      <c r="AJ149" s="7"/>
      <c r="AK149" s="7"/>
      <c r="AM149" s="7"/>
      <c r="AN149" s="7"/>
      <c r="AP149" s="7"/>
      <c r="AQ149" s="7"/>
      <c r="AS149" s="7"/>
      <c r="AT149" s="7"/>
      <c r="AV149" s="7"/>
      <c r="AW149" s="7"/>
    </row>
    <row r="150" spans="6:49" x14ac:dyDescent="0.3">
      <c r="F150" s="7"/>
      <c r="G150" s="7"/>
      <c r="J150" s="7"/>
      <c r="K150" s="7"/>
      <c r="M150" s="7"/>
      <c r="N150" s="7"/>
      <c r="Q150" s="7"/>
      <c r="R150" s="7"/>
      <c r="U150" s="7"/>
      <c r="V150" s="7"/>
      <c r="Y150" s="7"/>
      <c r="Z150" s="7"/>
      <c r="AB150" s="7"/>
      <c r="AC150" s="7"/>
      <c r="AF150" s="7"/>
      <c r="AG150" s="7"/>
      <c r="AJ150" s="7"/>
      <c r="AK150" s="7"/>
      <c r="AM150" s="7"/>
      <c r="AN150" s="7"/>
      <c r="AP150" s="7"/>
      <c r="AQ150" s="7"/>
      <c r="AS150" s="7"/>
      <c r="AT150" s="7"/>
      <c r="AV150" s="7"/>
      <c r="AW150" s="7"/>
    </row>
    <row r="151" spans="6:49" x14ac:dyDescent="0.3">
      <c r="F151" s="7"/>
      <c r="G151" s="7"/>
      <c r="J151" s="7"/>
      <c r="K151" s="7"/>
      <c r="M151" s="7"/>
      <c r="N151" s="7"/>
      <c r="Q151" s="7"/>
      <c r="R151" s="7"/>
      <c r="U151" s="7"/>
      <c r="V151" s="7"/>
      <c r="Y151" s="7"/>
      <c r="Z151" s="7"/>
      <c r="AB151" s="7"/>
      <c r="AC151" s="7"/>
      <c r="AF151" s="7"/>
      <c r="AG151" s="7"/>
      <c r="AJ151" s="7"/>
      <c r="AK151" s="7"/>
      <c r="AM151" s="7"/>
      <c r="AN151" s="7"/>
      <c r="AP151" s="7"/>
      <c r="AQ151" s="7"/>
      <c r="AS151" s="7"/>
      <c r="AT151" s="7"/>
      <c r="AV151" s="7"/>
      <c r="AW151" s="7"/>
    </row>
    <row r="152" spans="6:49" x14ac:dyDescent="0.3">
      <c r="F152" s="7"/>
      <c r="G152" s="7"/>
      <c r="J152" s="7"/>
      <c r="K152" s="7"/>
      <c r="M152" s="7"/>
      <c r="N152" s="7"/>
      <c r="Q152" s="7"/>
      <c r="R152" s="7"/>
      <c r="U152" s="7"/>
      <c r="V152" s="7"/>
      <c r="Y152" s="7"/>
      <c r="Z152" s="7"/>
      <c r="AB152" s="7"/>
      <c r="AC152" s="7"/>
      <c r="AF152" s="7"/>
      <c r="AG152" s="7"/>
      <c r="AJ152" s="7"/>
      <c r="AK152" s="7"/>
      <c r="AM152" s="7"/>
      <c r="AN152" s="7"/>
      <c r="AP152" s="7"/>
      <c r="AQ152" s="7"/>
      <c r="AS152" s="7"/>
      <c r="AT152" s="7"/>
      <c r="AV152" s="7"/>
      <c r="AW152" s="7"/>
    </row>
    <row r="153" spans="6:49" x14ac:dyDescent="0.3">
      <c r="F153" s="7"/>
      <c r="G153" s="7"/>
      <c r="J153" s="7"/>
      <c r="K153" s="7"/>
      <c r="M153" s="7"/>
      <c r="N153" s="7"/>
      <c r="Q153" s="7"/>
      <c r="R153" s="7"/>
      <c r="U153" s="7"/>
      <c r="V153" s="7"/>
      <c r="Y153" s="7"/>
      <c r="Z153" s="7"/>
      <c r="AB153" s="7"/>
      <c r="AC153" s="7"/>
      <c r="AF153" s="7"/>
      <c r="AG153" s="7"/>
      <c r="AJ153" s="7"/>
      <c r="AK153" s="7"/>
      <c r="AM153" s="7"/>
      <c r="AN153" s="7"/>
      <c r="AP153" s="7"/>
      <c r="AQ153" s="7"/>
      <c r="AS153" s="7"/>
      <c r="AT153" s="7"/>
      <c r="AV153" s="7"/>
      <c r="AW153" s="7"/>
    </row>
    <row r="154" spans="6:49" x14ac:dyDescent="0.3">
      <c r="F154" s="7"/>
      <c r="G154" s="7"/>
      <c r="J154" s="7"/>
      <c r="K154" s="7"/>
      <c r="M154" s="7"/>
      <c r="N154" s="7"/>
      <c r="Q154" s="7"/>
      <c r="R154" s="7"/>
      <c r="U154" s="7"/>
      <c r="V154" s="7"/>
      <c r="Y154" s="7"/>
      <c r="Z154" s="7"/>
      <c r="AB154" s="7"/>
      <c r="AC154" s="7"/>
      <c r="AF154" s="7"/>
      <c r="AG154" s="7"/>
      <c r="AJ154" s="7"/>
      <c r="AK154" s="7"/>
      <c r="AM154" s="7"/>
      <c r="AN154" s="7"/>
      <c r="AP154" s="7"/>
      <c r="AQ154" s="7"/>
      <c r="AS154" s="7"/>
      <c r="AT154" s="7"/>
      <c r="AV154" s="7"/>
      <c r="AW154" s="7"/>
    </row>
    <row r="155" spans="6:49" x14ac:dyDescent="0.3">
      <c r="F155" s="7"/>
      <c r="G155" s="7"/>
      <c r="J155" s="7"/>
      <c r="K155" s="7"/>
      <c r="M155" s="7"/>
      <c r="N155" s="7"/>
      <c r="Q155" s="7"/>
      <c r="R155" s="7"/>
      <c r="U155" s="7"/>
      <c r="V155" s="7"/>
      <c r="Y155" s="7"/>
      <c r="Z155" s="7"/>
      <c r="AB155" s="7"/>
      <c r="AC155" s="7"/>
      <c r="AF155" s="7"/>
      <c r="AG155" s="7"/>
      <c r="AJ155" s="7"/>
      <c r="AK155" s="7"/>
      <c r="AM155" s="7"/>
      <c r="AN155" s="7"/>
      <c r="AP155" s="7"/>
      <c r="AQ155" s="7"/>
      <c r="AS155" s="7"/>
      <c r="AT155" s="7"/>
      <c r="AV155" s="7"/>
      <c r="AW155" s="7"/>
    </row>
    <row r="156" spans="6:49" x14ac:dyDescent="0.3">
      <c r="F156" s="7"/>
      <c r="G156" s="7"/>
      <c r="J156" s="7"/>
      <c r="K156" s="7"/>
      <c r="M156" s="7"/>
      <c r="N156" s="7"/>
      <c r="Q156" s="7"/>
      <c r="R156" s="7"/>
      <c r="U156" s="7"/>
      <c r="V156" s="7"/>
      <c r="Y156" s="7"/>
      <c r="Z156" s="7"/>
      <c r="AB156" s="7"/>
      <c r="AC156" s="7"/>
      <c r="AF156" s="7"/>
      <c r="AG156" s="7"/>
      <c r="AJ156" s="7"/>
      <c r="AK156" s="7"/>
      <c r="AM156" s="7"/>
      <c r="AN156" s="7"/>
      <c r="AP156" s="7"/>
      <c r="AQ156" s="7"/>
      <c r="AS156" s="7"/>
      <c r="AT156" s="7"/>
      <c r="AV156" s="7"/>
      <c r="AW156" s="7"/>
    </row>
    <row r="157" spans="6:49" x14ac:dyDescent="0.3">
      <c r="F157" s="7"/>
      <c r="G157" s="7"/>
      <c r="J157" s="7"/>
      <c r="K157" s="7"/>
      <c r="M157" s="7"/>
      <c r="N157" s="7"/>
      <c r="Q157" s="7"/>
      <c r="R157" s="7"/>
      <c r="U157" s="7"/>
      <c r="V157" s="7"/>
      <c r="Y157" s="7"/>
      <c r="Z157" s="7"/>
      <c r="AB157" s="7"/>
      <c r="AC157" s="7"/>
      <c r="AF157" s="7"/>
      <c r="AG157" s="7"/>
      <c r="AJ157" s="7"/>
      <c r="AK157" s="7"/>
      <c r="AM157" s="7"/>
      <c r="AN157" s="7"/>
      <c r="AP157" s="7"/>
      <c r="AQ157" s="7"/>
      <c r="AS157" s="7"/>
      <c r="AT157" s="7"/>
      <c r="AV157" s="7"/>
      <c r="AW157" s="7"/>
    </row>
    <row r="158" spans="6:49" x14ac:dyDescent="0.3">
      <c r="F158" s="7"/>
      <c r="G158" s="7"/>
      <c r="J158" s="7"/>
      <c r="K158" s="7"/>
      <c r="M158" s="7"/>
      <c r="N158" s="7"/>
      <c r="Q158" s="7"/>
      <c r="R158" s="7"/>
      <c r="U158" s="7"/>
      <c r="V158" s="7"/>
      <c r="Y158" s="7"/>
      <c r="Z158" s="7"/>
      <c r="AB158" s="7"/>
      <c r="AC158" s="7"/>
      <c r="AF158" s="7"/>
      <c r="AG158" s="7"/>
      <c r="AJ158" s="7"/>
      <c r="AK158" s="7"/>
      <c r="AM158" s="7"/>
      <c r="AN158" s="7"/>
      <c r="AP158" s="7"/>
      <c r="AQ158" s="7"/>
      <c r="AS158" s="7"/>
      <c r="AT158" s="7"/>
      <c r="AV158" s="7"/>
      <c r="AW158" s="7"/>
    </row>
    <row r="159" spans="6:49" x14ac:dyDescent="0.3">
      <c r="F159" s="7"/>
      <c r="G159" s="7"/>
      <c r="J159" s="7"/>
      <c r="K159" s="7"/>
      <c r="M159" s="7"/>
      <c r="N159" s="7"/>
      <c r="Q159" s="7"/>
      <c r="R159" s="7"/>
      <c r="U159" s="7"/>
      <c r="V159" s="7"/>
      <c r="Y159" s="7"/>
      <c r="Z159" s="7"/>
      <c r="AB159" s="7"/>
      <c r="AC159" s="7"/>
      <c r="AF159" s="7"/>
      <c r="AG159" s="7"/>
      <c r="AJ159" s="7"/>
      <c r="AK159" s="7"/>
      <c r="AM159" s="7"/>
      <c r="AN159" s="7"/>
      <c r="AP159" s="7"/>
      <c r="AQ159" s="7"/>
      <c r="AS159" s="7"/>
      <c r="AT159" s="7"/>
      <c r="AV159" s="7"/>
      <c r="AW159" s="7"/>
    </row>
    <row r="160" spans="6:49" x14ac:dyDescent="0.3">
      <c r="F160" s="7"/>
      <c r="G160" s="7"/>
      <c r="J160" s="7"/>
      <c r="K160" s="7"/>
      <c r="M160" s="7"/>
      <c r="N160" s="7"/>
      <c r="Q160" s="7"/>
      <c r="R160" s="7"/>
      <c r="U160" s="7"/>
      <c r="V160" s="7"/>
      <c r="Y160" s="7"/>
      <c r="Z160" s="7"/>
      <c r="AB160" s="7"/>
      <c r="AC160" s="7"/>
      <c r="AF160" s="7"/>
      <c r="AG160" s="7"/>
      <c r="AJ160" s="7"/>
      <c r="AK160" s="7"/>
      <c r="AM160" s="7"/>
      <c r="AN160" s="7"/>
      <c r="AP160" s="7"/>
      <c r="AQ160" s="7"/>
      <c r="AS160" s="7"/>
      <c r="AT160" s="7"/>
      <c r="AV160" s="7"/>
      <c r="AW160" s="7"/>
    </row>
    <row r="161" spans="6:49" x14ac:dyDescent="0.3">
      <c r="F161" s="7"/>
      <c r="G161" s="7"/>
      <c r="J161" s="7"/>
      <c r="K161" s="7"/>
      <c r="M161" s="7"/>
      <c r="N161" s="7"/>
      <c r="Q161" s="7"/>
      <c r="R161" s="7"/>
      <c r="U161" s="7"/>
      <c r="V161" s="7"/>
      <c r="Y161" s="7"/>
      <c r="Z161" s="7"/>
      <c r="AB161" s="7"/>
      <c r="AC161" s="7"/>
      <c r="AF161" s="7"/>
      <c r="AG161" s="7"/>
      <c r="AJ161" s="7"/>
      <c r="AK161" s="7"/>
      <c r="AM161" s="7"/>
      <c r="AN161" s="7"/>
      <c r="AP161" s="7"/>
      <c r="AQ161" s="7"/>
      <c r="AS161" s="7"/>
      <c r="AT161" s="7"/>
      <c r="AV161" s="7"/>
      <c r="AW161" s="7"/>
    </row>
    <row r="162" spans="6:49" x14ac:dyDescent="0.3">
      <c r="F162" s="7"/>
      <c r="G162" s="7"/>
      <c r="J162" s="7"/>
      <c r="K162" s="7"/>
      <c r="M162" s="7"/>
      <c r="N162" s="7"/>
      <c r="Q162" s="7"/>
      <c r="R162" s="7"/>
      <c r="U162" s="7"/>
      <c r="V162" s="7"/>
      <c r="Y162" s="7"/>
      <c r="Z162" s="7"/>
      <c r="AB162" s="7"/>
      <c r="AC162" s="7"/>
      <c r="AF162" s="7"/>
      <c r="AG162" s="7"/>
      <c r="AJ162" s="7"/>
      <c r="AK162" s="7"/>
      <c r="AM162" s="7"/>
      <c r="AN162" s="7"/>
      <c r="AP162" s="7"/>
      <c r="AQ162" s="7"/>
      <c r="AS162" s="7"/>
      <c r="AT162" s="7"/>
      <c r="AV162" s="7"/>
      <c r="AW162" s="7"/>
    </row>
    <row r="163" spans="6:49" x14ac:dyDescent="0.3">
      <c r="F163" s="7"/>
      <c r="G163" s="7"/>
      <c r="J163" s="7"/>
      <c r="K163" s="7"/>
      <c r="M163" s="7"/>
      <c r="N163" s="7"/>
      <c r="Q163" s="7"/>
      <c r="R163" s="7"/>
      <c r="U163" s="7"/>
      <c r="V163" s="7"/>
      <c r="Y163" s="7"/>
      <c r="Z163" s="7"/>
      <c r="AB163" s="7"/>
      <c r="AC163" s="7"/>
      <c r="AF163" s="7"/>
      <c r="AG163" s="7"/>
      <c r="AJ163" s="7"/>
      <c r="AK163" s="7"/>
      <c r="AM163" s="7"/>
      <c r="AN163" s="7"/>
      <c r="AP163" s="7"/>
      <c r="AQ163" s="7"/>
      <c r="AS163" s="7"/>
      <c r="AT163" s="7"/>
      <c r="AV163" s="7"/>
      <c r="AW163" s="7"/>
    </row>
    <row r="164" spans="6:49" x14ac:dyDescent="0.3">
      <c r="F164" s="7"/>
      <c r="G164" s="7"/>
      <c r="J164" s="7"/>
      <c r="K164" s="7"/>
      <c r="M164" s="7"/>
      <c r="N164" s="7"/>
      <c r="Q164" s="7"/>
      <c r="R164" s="7"/>
      <c r="U164" s="7"/>
      <c r="V164" s="7"/>
      <c r="Y164" s="7"/>
      <c r="Z164" s="7"/>
      <c r="AB164" s="7"/>
      <c r="AC164" s="7"/>
      <c r="AF164" s="7"/>
      <c r="AG164" s="7"/>
      <c r="AJ164" s="7"/>
      <c r="AK164" s="7"/>
      <c r="AM164" s="7"/>
      <c r="AN164" s="7"/>
      <c r="AP164" s="7"/>
      <c r="AQ164" s="7"/>
      <c r="AS164" s="7"/>
      <c r="AT164" s="7"/>
      <c r="AV164" s="7"/>
      <c r="AW164" s="7"/>
    </row>
    <row r="165" spans="6:49" x14ac:dyDescent="0.3">
      <c r="F165" s="7"/>
      <c r="G165" s="7"/>
      <c r="J165" s="7"/>
      <c r="K165" s="7"/>
      <c r="M165" s="7"/>
      <c r="N165" s="7"/>
      <c r="Q165" s="7"/>
      <c r="R165" s="7"/>
      <c r="U165" s="7"/>
      <c r="V165" s="7"/>
      <c r="Y165" s="7"/>
      <c r="Z165" s="7"/>
      <c r="AB165" s="7"/>
      <c r="AC165" s="7"/>
      <c r="AF165" s="7"/>
      <c r="AG165" s="7"/>
      <c r="AJ165" s="7"/>
      <c r="AK165" s="7"/>
      <c r="AM165" s="7"/>
      <c r="AN165" s="7"/>
      <c r="AP165" s="7"/>
      <c r="AQ165" s="7"/>
      <c r="AS165" s="7"/>
      <c r="AT165" s="7"/>
      <c r="AV165" s="7"/>
      <c r="AW165" s="7"/>
    </row>
    <row r="166" spans="6:49" x14ac:dyDescent="0.3">
      <c r="F166" s="7"/>
      <c r="G166" s="7"/>
      <c r="J166" s="7"/>
      <c r="K166" s="7"/>
      <c r="M166" s="7"/>
      <c r="N166" s="7"/>
      <c r="Q166" s="7"/>
      <c r="R166" s="7"/>
      <c r="U166" s="7"/>
      <c r="V166" s="7"/>
      <c r="Y166" s="7"/>
      <c r="Z166" s="7"/>
      <c r="AB166" s="7"/>
      <c r="AC166" s="7"/>
      <c r="AF166" s="7"/>
      <c r="AG166" s="7"/>
      <c r="AJ166" s="7"/>
      <c r="AK166" s="7"/>
      <c r="AM166" s="7"/>
      <c r="AN166" s="7"/>
      <c r="AP166" s="7"/>
      <c r="AQ166" s="7"/>
      <c r="AS166" s="7"/>
      <c r="AT166" s="7"/>
      <c r="AV166" s="7"/>
      <c r="AW166" s="7"/>
    </row>
    <row r="167" spans="6:49" x14ac:dyDescent="0.3">
      <c r="F167" s="7"/>
      <c r="G167" s="7"/>
      <c r="J167" s="7"/>
      <c r="K167" s="7"/>
      <c r="M167" s="7"/>
      <c r="N167" s="7"/>
      <c r="Q167" s="7"/>
      <c r="R167" s="7"/>
      <c r="U167" s="7"/>
      <c r="V167" s="7"/>
      <c r="Y167" s="7"/>
      <c r="Z167" s="7"/>
      <c r="AB167" s="7"/>
      <c r="AC167" s="7"/>
      <c r="AF167" s="7"/>
      <c r="AG167" s="7"/>
      <c r="AJ167" s="7"/>
      <c r="AK167" s="7"/>
      <c r="AM167" s="7"/>
      <c r="AN167" s="7"/>
      <c r="AP167" s="7"/>
      <c r="AQ167" s="7"/>
      <c r="AS167" s="7"/>
      <c r="AT167" s="7"/>
      <c r="AV167" s="7"/>
      <c r="AW167" s="7"/>
    </row>
    <row r="168" spans="6:49" x14ac:dyDescent="0.3">
      <c r="F168" s="7"/>
      <c r="G168" s="7"/>
      <c r="J168" s="7"/>
      <c r="K168" s="7"/>
      <c r="M168" s="7"/>
      <c r="N168" s="7"/>
      <c r="Q168" s="7"/>
      <c r="R168" s="7"/>
      <c r="U168" s="7"/>
      <c r="V168" s="7"/>
      <c r="Y168" s="7"/>
      <c r="Z168" s="7"/>
      <c r="AB168" s="7"/>
      <c r="AC168" s="7"/>
      <c r="AF168" s="7"/>
      <c r="AG168" s="7"/>
      <c r="AJ168" s="7"/>
      <c r="AK168" s="7"/>
      <c r="AM168" s="7"/>
      <c r="AN168" s="7"/>
      <c r="AP168" s="7"/>
      <c r="AQ168" s="7"/>
      <c r="AS168" s="7"/>
      <c r="AT168" s="7"/>
      <c r="AV168" s="7"/>
      <c r="AW168" s="7"/>
    </row>
    <row r="169" spans="6:49" x14ac:dyDescent="0.3">
      <c r="F169" s="7"/>
      <c r="G169" s="7"/>
      <c r="J169" s="7"/>
      <c r="K169" s="7"/>
      <c r="M169" s="7"/>
      <c r="N169" s="7"/>
      <c r="Q169" s="7"/>
      <c r="R169" s="7"/>
      <c r="U169" s="7"/>
      <c r="V169" s="7"/>
      <c r="Y169" s="7"/>
      <c r="Z169" s="7"/>
      <c r="AB169" s="7"/>
      <c r="AC169" s="7"/>
      <c r="AF169" s="7"/>
      <c r="AG169" s="7"/>
      <c r="AJ169" s="7"/>
      <c r="AK169" s="7"/>
      <c r="AM169" s="7"/>
      <c r="AN169" s="7"/>
      <c r="AP169" s="7"/>
      <c r="AQ169" s="7"/>
      <c r="AS169" s="7"/>
      <c r="AT169" s="7"/>
      <c r="AV169" s="7"/>
      <c r="AW169" s="7"/>
    </row>
    <row r="170" spans="6:49" x14ac:dyDescent="0.3">
      <c r="F170" s="7"/>
      <c r="G170" s="7"/>
      <c r="J170" s="7"/>
      <c r="K170" s="7"/>
      <c r="M170" s="7"/>
      <c r="N170" s="7"/>
      <c r="Q170" s="7"/>
      <c r="R170" s="7"/>
      <c r="U170" s="7"/>
      <c r="V170" s="7"/>
      <c r="Y170" s="7"/>
      <c r="Z170" s="7"/>
      <c r="AB170" s="7"/>
      <c r="AC170" s="7"/>
      <c r="AF170" s="7"/>
      <c r="AG170" s="7"/>
      <c r="AJ170" s="7"/>
      <c r="AK170" s="7"/>
      <c r="AM170" s="7"/>
      <c r="AN170" s="7"/>
      <c r="AP170" s="7"/>
      <c r="AQ170" s="7"/>
      <c r="AS170" s="7"/>
      <c r="AT170" s="7"/>
      <c r="AV170" s="7"/>
      <c r="AW170" s="7"/>
    </row>
    <row r="171" spans="6:49" x14ac:dyDescent="0.3">
      <c r="F171" s="7"/>
      <c r="G171" s="7"/>
      <c r="J171" s="7"/>
      <c r="K171" s="7"/>
      <c r="M171" s="7"/>
      <c r="N171" s="7"/>
      <c r="Q171" s="7"/>
      <c r="R171" s="7"/>
      <c r="U171" s="7"/>
      <c r="V171" s="7"/>
      <c r="Y171" s="7"/>
      <c r="Z171" s="7"/>
      <c r="AB171" s="7"/>
      <c r="AC171" s="7"/>
      <c r="AF171" s="7"/>
      <c r="AG171" s="7"/>
      <c r="AJ171" s="7"/>
      <c r="AK171" s="7"/>
      <c r="AM171" s="7"/>
      <c r="AN171" s="7"/>
      <c r="AP171" s="7"/>
      <c r="AQ171" s="7"/>
      <c r="AS171" s="7"/>
      <c r="AT171" s="7"/>
      <c r="AV171" s="7"/>
      <c r="AW171" s="7"/>
    </row>
    <row r="172" spans="6:49" x14ac:dyDescent="0.3">
      <c r="F172" s="7"/>
      <c r="G172" s="7"/>
      <c r="J172" s="7"/>
      <c r="K172" s="7"/>
      <c r="M172" s="7"/>
      <c r="N172" s="7"/>
      <c r="Q172" s="7"/>
      <c r="R172" s="7"/>
      <c r="U172" s="7"/>
      <c r="V172" s="7"/>
      <c r="Y172" s="7"/>
      <c r="Z172" s="7"/>
      <c r="AB172" s="7"/>
      <c r="AC172" s="7"/>
      <c r="AF172" s="7"/>
      <c r="AG172" s="7"/>
      <c r="AJ172" s="7"/>
      <c r="AK172" s="7"/>
      <c r="AM172" s="7"/>
      <c r="AN172" s="7"/>
      <c r="AP172" s="7"/>
      <c r="AQ172" s="7"/>
      <c r="AS172" s="7"/>
      <c r="AT172" s="7"/>
      <c r="AV172" s="7"/>
      <c r="AW172" s="7"/>
    </row>
    <row r="173" spans="6:49" x14ac:dyDescent="0.3">
      <c r="F173" s="7"/>
      <c r="G173" s="7"/>
      <c r="J173" s="7"/>
      <c r="K173" s="7"/>
      <c r="M173" s="7"/>
      <c r="N173" s="7"/>
      <c r="Q173" s="7"/>
      <c r="R173" s="7"/>
      <c r="U173" s="7"/>
      <c r="V173" s="7"/>
      <c r="Y173" s="7"/>
      <c r="Z173" s="7"/>
      <c r="AB173" s="7"/>
      <c r="AC173" s="7"/>
      <c r="AF173" s="7"/>
      <c r="AG173" s="7"/>
      <c r="AJ173" s="7"/>
      <c r="AK173" s="7"/>
      <c r="AM173" s="7"/>
      <c r="AN173" s="7"/>
      <c r="AP173" s="7"/>
      <c r="AQ173" s="7"/>
      <c r="AS173" s="7"/>
      <c r="AT173" s="7"/>
      <c r="AV173" s="7"/>
      <c r="AW173" s="7"/>
    </row>
    <row r="174" spans="6:49" x14ac:dyDescent="0.3">
      <c r="F174" s="7"/>
      <c r="G174" s="7"/>
      <c r="J174" s="7"/>
      <c r="K174" s="7"/>
      <c r="M174" s="7"/>
      <c r="N174" s="7"/>
      <c r="Q174" s="7"/>
      <c r="R174" s="7"/>
      <c r="U174" s="7"/>
      <c r="V174" s="7"/>
      <c r="Y174" s="7"/>
      <c r="Z174" s="7"/>
      <c r="AB174" s="7"/>
      <c r="AC174" s="7"/>
      <c r="AF174" s="7"/>
      <c r="AG174" s="7"/>
      <c r="AJ174" s="7"/>
      <c r="AK174" s="7"/>
      <c r="AM174" s="7"/>
      <c r="AN174" s="7"/>
      <c r="AP174" s="7"/>
      <c r="AQ174" s="7"/>
      <c r="AS174" s="7"/>
      <c r="AT174" s="7"/>
      <c r="AV174" s="7"/>
      <c r="AW174" s="7"/>
    </row>
    <row r="175" spans="6:49" x14ac:dyDescent="0.3">
      <c r="F175" s="7"/>
      <c r="G175" s="7"/>
      <c r="J175" s="7"/>
      <c r="K175" s="7"/>
      <c r="M175" s="7"/>
      <c r="N175" s="7"/>
      <c r="Q175" s="7"/>
      <c r="R175" s="7"/>
      <c r="U175" s="7"/>
      <c r="V175" s="7"/>
      <c r="Y175" s="7"/>
      <c r="Z175" s="7"/>
      <c r="AB175" s="7"/>
      <c r="AC175" s="7"/>
      <c r="AF175" s="7"/>
      <c r="AG175" s="7"/>
      <c r="AJ175" s="7"/>
      <c r="AK175" s="7"/>
      <c r="AM175" s="7"/>
      <c r="AN175" s="7"/>
      <c r="AP175" s="7"/>
      <c r="AQ175" s="7"/>
      <c r="AS175" s="7"/>
      <c r="AT175" s="7"/>
      <c r="AV175" s="7"/>
      <c r="AW175" s="7"/>
    </row>
    <row r="176" spans="6:49" x14ac:dyDescent="0.3">
      <c r="F176" s="7"/>
      <c r="G176" s="7"/>
      <c r="J176" s="7"/>
      <c r="K176" s="7"/>
      <c r="M176" s="7"/>
      <c r="N176" s="7"/>
      <c r="Q176" s="7"/>
      <c r="R176" s="7"/>
      <c r="U176" s="7"/>
      <c r="V176" s="7"/>
      <c r="Y176" s="7"/>
      <c r="Z176" s="7"/>
      <c r="AB176" s="7"/>
      <c r="AC176" s="7"/>
      <c r="AF176" s="7"/>
      <c r="AG176" s="7"/>
      <c r="AJ176" s="7"/>
      <c r="AK176" s="7"/>
      <c r="AM176" s="7"/>
      <c r="AN176" s="7"/>
      <c r="AP176" s="7"/>
      <c r="AQ176" s="7"/>
      <c r="AS176" s="7"/>
      <c r="AT176" s="7"/>
      <c r="AV176" s="7"/>
      <c r="AW176" s="7"/>
    </row>
    <row r="177" spans="6:49" x14ac:dyDescent="0.3">
      <c r="F177" s="7"/>
      <c r="G177" s="7"/>
      <c r="J177" s="7"/>
      <c r="K177" s="7"/>
      <c r="M177" s="7"/>
      <c r="N177" s="7"/>
      <c r="Q177" s="7"/>
      <c r="R177" s="7"/>
      <c r="U177" s="7"/>
      <c r="V177" s="7"/>
      <c r="Y177" s="7"/>
      <c r="Z177" s="7"/>
      <c r="AB177" s="7"/>
      <c r="AC177" s="7"/>
      <c r="AF177" s="7"/>
      <c r="AG177" s="7"/>
      <c r="AJ177" s="7"/>
      <c r="AK177" s="7"/>
      <c r="AM177" s="7"/>
      <c r="AN177" s="7"/>
      <c r="AP177" s="7"/>
      <c r="AQ177" s="7"/>
      <c r="AS177" s="7"/>
      <c r="AT177" s="7"/>
      <c r="AV177" s="7"/>
      <c r="AW177" s="7"/>
    </row>
    <row r="178" spans="6:49" x14ac:dyDescent="0.3">
      <c r="F178" s="7"/>
      <c r="G178" s="7"/>
      <c r="J178" s="7"/>
      <c r="K178" s="7"/>
      <c r="M178" s="7"/>
      <c r="N178" s="7"/>
      <c r="Q178" s="7"/>
      <c r="R178" s="7"/>
      <c r="U178" s="7"/>
      <c r="V178" s="7"/>
      <c r="Y178" s="7"/>
      <c r="Z178" s="7"/>
      <c r="AB178" s="7"/>
      <c r="AC178" s="7"/>
      <c r="AF178" s="7"/>
      <c r="AG178" s="7"/>
      <c r="AJ178" s="7"/>
      <c r="AK178" s="7"/>
      <c r="AM178" s="7"/>
      <c r="AN178" s="7"/>
      <c r="AP178" s="7"/>
      <c r="AQ178" s="7"/>
      <c r="AS178" s="7"/>
      <c r="AT178" s="7"/>
      <c r="AV178" s="7"/>
      <c r="AW178" s="7"/>
    </row>
    <row r="179" spans="6:49" x14ac:dyDescent="0.3">
      <c r="F179" s="7"/>
      <c r="G179" s="7"/>
      <c r="J179" s="7"/>
      <c r="K179" s="7"/>
      <c r="M179" s="7"/>
      <c r="N179" s="7"/>
      <c r="Q179" s="7"/>
      <c r="R179" s="7"/>
      <c r="U179" s="7"/>
      <c r="V179" s="7"/>
      <c r="Y179" s="7"/>
      <c r="Z179" s="7"/>
      <c r="AB179" s="7"/>
      <c r="AC179" s="7"/>
      <c r="AF179" s="7"/>
      <c r="AG179" s="7"/>
      <c r="AJ179" s="7"/>
      <c r="AK179" s="7"/>
      <c r="AM179" s="7"/>
      <c r="AN179" s="7"/>
      <c r="AP179" s="7"/>
      <c r="AQ179" s="7"/>
      <c r="AS179" s="7"/>
      <c r="AT179" s="7"/>
      <c r="AV179" s="7"/>
      <c r="AW179" s="7"/>
    </row>
    <row r="180" spans="6:49" x14ac:dyDescent="0.3">
      <c r="F180" s="7"/>
      <c r="G180" s="7"/>
      <c r="J180" s="7"/>
      <c r="K180" s="7"/>
      <c r="M180" s="7"/>
      <c r="N180" s="7"/>
      <c r="Q180" s="7"/>
      <c r="R180" s="7"/>
      <c r="U180" s="7"/>
      <c r="V180" s="7"/>
      <c r="Y180" s="7"/>
      <c r="Z180" s="7"/>
      <c r="AB180" s="7"/>
      <c r="AC180" s="7"/>
      <c r="AF180" s="7"/>
      <c r="AG180" s="7"/>
      <c r="AJ180" s="7"/>
      <c r="AK180" s="7"/>
      <c r="AM180" s="7"/>
      <c r="AN180" s="7"/>
      <c r="AP180" s="7"/>
      <c r="AQ180" s="7"/>
      <c r="AS180" s="7"/>
      <c r="AT180" s="7"/>
      <c r="AV180" s="7"/>
      <c r="AW180" s="7"/>
    </row>
    <row r="181" spans="6:49" x14ac:dyDescent="0.3">
      <c r="F181" s="7"/>
      <c r="G181" s="7"/>
      <c r="J181" s="7"/>
      <c r="K181" s="7"/>
      <c r="M181" s="7"/>
      <c r="N181" s="7"/>
      <c r="Q181" s="7"/>
      <c r="R181" s="7"/>
      <c r="U181" s="7"/>
      <c r="V181" s="7"/>
      <c r="Y181" s="7"/>
      <c r="Z181" s="7"/>
      <c r="AB181" s="7"/>
      <c r="AC181" s="7"/>
      <c r="AF181" s="7"/>
      <c r="AG181" s="7"/>
      <c r="AJ181" s="7"/>
      <c r="AK181" s="7"/>
      <c r="AM181" s="7"/>
      <c r="AN181" s="7"/>
      <c r="AP181" s="7"/>
      <c r="AQ181" s="7"/>
      <c r="AS181" s="7"/>
      <c r="AT181" s="7"/>
      <c r="AV181" s="7"/>
      <c r="AW181" s="7"/>
    </row>
    <row r="182" spans="6:49" x14ac:dyDescent="0.3">
      <c r="F182" s="7"/>
      <c r="G182" s="7"/>
      <c r="J182" s="7"/>
      <c r="K182" s="7"/>
      <c r="M182" s="7"/>
      <c r="N182" s="7"/>
      <c r="Q182" s="7"/>
      <c r="R182" s="7"/>
      <c r="U182" s="7"/>
      <c r="V182" s="7"/>
      <c r="Y182" s="7"/>
      <c r="Z182" s="7"/>
      <c r="AB182" s="7"/>
      <c r="AC182" s="7"/>
      <c r="AF182" s="7"/>
      <c r="AG182" s="7"/>
      <c r="AJ182" s="7"/>
      <c r="AK182" s="7"/>
      <c r="AM182" s="7"/>
      <c r="AN182" s="7"/>
      <c r="AP182" s="7"/>
      <c r="AQ182" s="7"/>
      <c r="AS182" s="7"/>
      <c r="AT182" s="7"/>
      <c r="AV182" s="7"/>
      <c r="AW182" s="7"/>
    </row>
    <row r="183" spans="6:49" x14ac:dyDescent="0.3">
      <c r="F183" s="7"/>
      <c r="G183" s="7"/>
      <c r="J183" s="7"/>
      <c r="K183" s="7"/>
      <c r="M183" s="7"/>
      <c r="N183" s="7"/>
      <c r="Q183" s="7"/>
      <c r="R183" s="7"/>
      <c r="U183" s="7"/>
      <c r="V183" s="7"/>
      <c r="Y183" s="7"/>
      <c r="Z183" s="7"/>
      <c r="AB183" s="7"/>
      <c r="AC183" s="7"/>
      <c r="AF183" s="7"/>
      <c r="AG183" s="7"/>
      <c r="AJ183" s="7"/>
      <c r="AK183" s="7"/>
      <c r="AM183" s="7"/>
      <c r="AN183" s="7"/>
      <c r="AP183" s="7"/>
      <c r="AQ183" s="7"/>
      <c r="AS183" s="7"/>
      <c r="AT183" s="7"/>
      <c r="AV183" s="7"/>
      <c r="AW183" s="7"/>
    </row>
    <row r="184" spans="6:49" x14ac:dyDescent="0.3">
      <c r="F184" s="7"/>
      <c r="G184" s="7"/>
      <c r="J184" s="7"/>
      <c r="K184" s="7"/>
      <c r="M184" s="7"/>
      <c r="N184" s="7"/>
      <c r="Q184" s="7"/>
      <c r="R184" s="7"/>
      <c r="U184" s="7"/>
      <c r="V184" s="7"/>
      <c r="Y184" s="7"/>
      <c r="Z184" s="7"/>
      <c r="AB184" s="7"/>
      <c r="AC184" s="7"/>
      <c r="AF184" s="7"/>
      <c r="AG184" s="7"/>
      <c r="AJ184" s="7"/>
      <c r="AK184" s="7"/>
      <c r="AM184" s="7"/>
      <c r="AN184" s="7"/>
      <c r="AP184" s="7"/>
      <c r="AQ184" s="7"/>
      <c r="AS184" s="7"/>
      <c r="AT184" s="7"/>
      <c r="AV184" s="7"/>
      <c r="AW184" s="7"/>
    </row>
    <row r="185" spans="6:49" x14ac:dyDescent="0.3">
      <c r="F185" s="7"/>
      <c r="G185" s="7"/>
      <c r="J185" s="7"/>
      <c r="K185" s="7"/>
      <c r="M185" s="7"/>
      <c r="N185" s="7"/>
      <c r="Q185" s="7"/>
      <c r="R185" s="7"/>
      <c r="U185" s="7"/>
      <c r="V185" s="7"/>
      <c r="Y185" s="7"/>
      <c r="Z185" s="7"/>
      <c r="AB185" s="7"/>
      <c r="AC185" s="7"/>
      <c r="AF185" s="7"/>
      <c r="AG185" s="7"/>
      <c r="AJ185" s="7"/>
      <c r="AK185" s="7"/>
      <c r="AM185" s="7"/>
      <c r="AN185" s="7"/>
      <c r="AP185" s="7"/>
      <c r="AQ185" s="7"/>
      <c r="AS185" s="7"/>
      <c r="AT185" s="7"/>
      <c r="AV185" s="7"/>
      <c r="AW185" s="7"/>
    </row>
    <row r="186" spans="6:49" x14ac:dyDescent="0.3">
      <c r="F186" s="7"/>
      <c r="G186" s="7"/>
      <c r="J186" s="7"/>
      <c r="K186" s="7"/>
      <c r="M186" s="7"/>
      <c r="N186" s="7"/>
      <c r="Q186" s="7"/>
      <c r="R186" s="7"/>
      <c r="U186" s="7"/>
      <c r="V186" s="7"/>
      <c r="Y186" s="7"/>
      <c r="Z186" s="7"/>
      <c r="AB186" s="7"/>
      <c r="AC186" s="7"/>
      <c r="AF186" s="7"/>
      <c r="AG186" s="7"/>
      <c r="AJ186" s="7"/>
      <c r="AK186" s="7"/>
      <c r="AM186" s="7"/>
      <c r="AN186" s="7"/>
      <c r="AP186" s="7"/>
      <c r="AQ186" s="7"/>
      <c r="AS186" s="7"/>
      <c r="AT186" s="7"/>
      <c r="AV186" s="7"/>
      <c r="AW186" s="7"/>
    </row>
    <row r="187" spans="6:49" x14ac:dyDescent="0.3">
      <c r="F187" s="7"/>
      <c r="G187" s="7"/>
      <c r="J187" s="7"/>
      <c r="K187" s="7"/>
      <c r="M187" s="7"/>
      <c r="N187" s="7"/>
      <c r="Q187" s="7"/>
      <c r="R187" s="7"/>
      <c r="U187" s="7"/>
      <c r="V187" s="7"/>
      <c r="Y187" s="7"/>
      <c r="Z187" s="7"/>
      <c r="AB187" s="7"/>
      <c r="AC187" s="7"/>
      <c r="AF187" s="7"/>
      <c r="AG187" s="7"/>
      <c r="AJ187" s="7"/>
      <c r="AK187" s="7"/>
      <c r="AM187" s="7"/>
      <c r="AN187" s="7"/>
      <c r="AP187" s="7"/>
      <c r="AQ187" s="7"/>
      <c r="AS187" s="7"/>
      <c r="AT187" s="7"/>
      <c r="AV187" s="7"/>
      <c r="AW187" s="7"/>
    </row>
    <row r="188" spans="6:49" x14ac:dyDescent="0.3">
      <c r="F188" s="7"/>
      <c r="G188" s="7"/>
      <c r="J188" s="7"/>
      <c r="K188" s="7"/>
      <c r="M188" s="7"/>
      <c r="N188" s="7"/>
      <c r="Q188" s="7"/>
      <c r="R188" s="7"/>
      <c r="U188" s="7"/>
      <c r="V188" s="7"/>
      <c r="Y188" s="7"/>
      <c r="Z188" s="7"/>
      <c r="AB188" s="7"/>
      <c r="AC188" s="7"/>
      <c r="AF188" s="7"/>
      <c r="AG188" s="7"/>
      <c r="AJ188" s="7"/>
      <c r="AK188" s="7"/>
      <c r="AM188" s="7"/>
      <c r="AN188" s="7"/>
      <c r="AP188" s="7"/>
      <c r="AQ188" s="7"/>
      <c r="AS188" s="7"/>
      <c r="AT188" s="7"/>
      <c r="AV188" s="7"/>
      <c r="AW188" s="7"/>
    </row>
    <row r="189" spans="6:49" x14ac:dyDescent="0.3">
      <c r="F189" s="7"/>
      <c r="G189" s="7"/>
      <c r="J189" s="7"/>
      <c r="K189" s="7"/>
      <c r="M189" s="7"/>
      <c r="N189" s="7"/>
      <c r="Q189" s="7"/>
      <c r="R189" s="7"/>
      <c r="U189" s="7"/>
      <c r="V189" s="7"/>
      <c r="Y189" s="7"/>
      <c r="Z189" s="7"/>
      <c r="AB189" s="7"/>
      <c r="AC189" s="7"/>
      <c r="AF189" s="7"/>
      <c r="AG189" s="7"/>
      <c r="AJ189" s="7"/>
      <c r="AK189" s="7"/>
      <c r="AM189" s="7"/>
      <c r="AN189" s="7"/>
      <c r="AP189" s="7"/>
      <c r="AQ189" s="7"/>
      <c r="AS189" s="7"/>
      <c r="AT189" s="7"/>
      <c r="AV189" s="7"/>
      <c r="AW189" s="7"/>
    </row>
    <row r="190" spans="6:49" x14ac:dyDescent="0.3">
      <c r="F190" s="7"/>
      <c r="G190" s="7"/>
      <c r="J190" s="7"/>
      <c r="K190" s="7"/>
      <c r="M190" s="7"/>
      <c r="N190" s="7"/>
      <c r="Q190" s="7"/>
      <c r="R190" s="7"/>
      <c r="U190" s="7"/>
      <c r="V190" s="7"/>
      <c r="Y190" s="7"/>
      <c r="Z190" s="7"/>
      <c r="AB190" s="7"/>
      <c r="AC190" s="7"/>
      <c r="AF190" s="7"/>
      <c r="AG190" s="7"/>
      <c r="AJ190" s="7"/>
      <c r="AK190" s="7"/>
      <c r="AM190" s="7"/>
      <c r="AN190" s="7"/>
      <c r="AP190" s="7"/>
      <c r="AQ190" s="7"/>
      <c r="AS190" s="7"/>
      <c r="AT190" s="7"/>
      <c r="AV190" s="7"/>
      <c r="AW190" s="7"/>
    </row>
    <row r="191" spans="6:49" x14ac:dyDescent="0.3">
      <c r="F191" s="7"/>
      <c r="G191" s="7"/>
      <c r="J191" s="7"/>
      <c r="K191" s="7"/>
      <c r="M191" s="7"/>
      <c r="N191" s="7"/>
      <c r="Q191" s="7"/>
      <c r="R191" s="7"/>
      <c r="U191" s="7"/>
      <c r="V191" s="7"/>
      <c r="Y191" s="7"/>
      <c r="Z191" s="7"/>
      <c r="AB191" s="7"/>
      <c r="AC191" s="7"/>
      <c r="AF191" s="7"/>
      <c r="AG191" s="7"/>
      <c r="AJ191" s="7"/>
      <c r="AK191" s="7"/>
      <c r="AM191" s="7"/>
      <c r="AN191" s="7"/>
      <c r="AP191" s="7"/>
      <c r="AQ191" s="7"/>
      <c r="AS191" s="7"/>
      <c r="AT191" s="7"/>
      <c r="AV191" s="7"/>
      <c r="AW191" s="7"/>
    </row>
    <row r="192" spans="6:49" x14ac:dyDescent="0.3">
      <c r="F192" s="7"/>
      <c r="G192" s="7"/>
      <c r="J192" s="7"/>
      <c r="K192" s="7"/>
      <c r="M192" s="7"/>
      <c r="N192" s="7"/>
      <c r="Q192" s="7"/>
      <c r="R192" s="7"/>
      <c r="U192" s="7"/>
      <c r="V192" s="7"/>
      <c r="Y192" s="7"/>
      <c r="Z192" s="7"/>
      <c r="AB192" s="7"/>
      <c r="AC192" s="7"/>
      <c r="AF192" s="7"/>
      <c r="AG192" s="7"/>
      <c r="AJ192" s="7"/>
      <c r="AK192" s="7"/>
      <c r="AM192" s="7"/>
      <c r="AN192" s="7"/>
      <c r="AP192" s="7"/>
      <c r="AQ192" s="7"/>
      <c r="AS192" s="7"/>
      <c r="AT192" s="7"/>
      <c r="AV192" s="7"/>
      <c r="AW192" s="7"/>
    </row>
    <row r="193" spans="6:49" x14ac:dyDescent="0.3">
      <c r="F193" s="7"/>
      <c r="G193" s="7"/>
      <c r="J193" s="7"/>
      <c r="K193" s="7"/>
      <c r="M193" s="7"/>
      <c r="N193" s="7"/>
      <c r="Q193" s="7"/>
      <c r="R193" s="7"/>
      <c r="U193" s="7"/>
      <c r="V193" s="7"/>
      <c r="Y193" s="7"/>
      <c r="Z193" s="7"/>
      <c r="AB193" s="7"/>
      <c r="AC193" s="7"/>
      <c r="AF193" s="7"/>
      <c r="AG193" s="7"/>
      <c r="AJ193" s="7"/>
      <c r="AK193" s="7"/>
      <c r="AM193" s="7"/>
      <c r="AN193" s="7"/>
      <c r="AP193" s="7"/>
      <c r="AQ193" s="7"/>
      <c r="AS193" s="7"/>
      <c r="AT193" s="7"/>
      <c r="AV193" s="7"/>
      <c r="AW193" s="7"/>
    </row>
    <row r="194" spans="6:49" x14ac:dyDescent="0.3">
      <c r="F194" s="7"/>
      <c r="G194" s="7"/>
      <c r="J194" s="7"/>
      <c r="K194" s="7"/>
      <c r="M194" s="7"/>
      <c r="N194" s="7"/>
      <c r="Q194" s="7"/>
      <c r="R194" s="7"/>
      <c r="U194" s="7"/>
      <c r="V194" s="7"/>
      <c r="Y194" s="7"/>
      <c r="Z194" s="7"/>
      <c r="AB194" s="7"/>
      <c r="AC194" s="7"/>
      <c r="AF194" s="7"/>
      <c r="AG194" s="7"/>
      <c r="AJ194" s="7"/>
      <c r="AK194" s="7"/>
      <c r="AM194" s="7"/>
      <c r="AN194" s="7"/>
      <c r="AP194" s="7"/>
      <c r="AQ194" s="7"/>
      <c r="AS194" s="7"/>
      <c r="AT194" s="7"/>
      <c r="AV194" s="7"/>
      <c r="AW194" s="7"/>
    </row>
    <row r="195" spans="6:49" x14ac:dyDescent="0.3">
      <c r="F195" s="7"/>
      <c r="G195" s="7"/>
      <c r="J195" s="7"/>
      <c r="K195" s="7"/>
      <c r="M195" s="7"/>
      <c r="N195" s="7"/>
      <c r="Q195" s="7"/>
      <c r="R195" s="7"/>
      <c r="U195" s="7"/>
      <c r="V195" s="7"/>
      <c r="Y195" s="7"/>
      <c r="Z195" s="7"/>
      <c r="AB195" s="7"/>
      <c r="AC195" s="7"/>
      <c r="AF195" s="7"/>
      <c r="AG195" s="7"/>
      <c r="AJ195" s="7"/>
      <c r="AK195" s="7"/>
      <c r="AM195" s="7"/>
      <c r="AN195" s="7"/>
      <c r="AP195" s="7"/>
      <c r="AQ195" s="7"/>
      <c r="AS195" s="7"/>
      <c r="AT195" s="7"/>
      <c r="AV195" s="7"/>
      <c r="AW195" s="7"/>
    </row>
    <row r="196" spans="6:49" x14ac:dyDescent="0.3">
      <c r="F196" s="7"/>
      <c r="G196" s="7"/>
      <c r="J196" s="7"/>
      <c r="K196" s="7"/>
      <c r="M196" s="7"/>
      <c r="N196" s="7"/>
      <c r="Q196" s="7"/>
      <c r="R196" s="7"/>
      <c r="U196" s="7"/>
      <c r="V196" s="7"/>
      <c r="Y196" s="7"/>
      <c r="Z196" s="7"/>
      <c r="AB196" s="7"/>
      <c r="AC196" s="7"/>
      <c r="AF196" s="7"/>
      <c r="AG196" s="7"/>
      <c r="AJ196" s="7"/>
      <c r="AK196" s="7"/>
      <c r="AM196" s="7"/>
      <c r="AN196" s="7"/>
      <c r="AP196" s="7"/>
      <c r="AQ196" s="7"/>
      <c r="AS196" s="7"/>
      <c r="AT196" s="7"/>
      <c r="AV196" s="7"/>
      <c r="AW196" s="7"/>
    </row>
    <row r="197" spans="6:49" x14ac:dyDescent="0.3">
      <c r="F197" s="7"/>
      <c r="G197" s="7"/>
      <c r="J197" s="7"/>
      <c r="K197" s="7"/>
      <c r="M197" s="7"/>
      <c r="N197" s="7"/>
      <c r="Q197" s="7"/>
      <c r="R197" s="7"/>
      <c r="U197" s="7"/>
      <c r="V197" s="7"/>
      <c r="Y197" s="7"/>
      <c r="Z197" s="7"/>
      <c r="AB197" s="7"/>
      <c r="AC197" s="7"/>
      <c r="AF197" s="7"/>
      <c r="AG197" s="7"/>
      <c r="AJ197" s="7"/>
      <c r="AK197" s="7"/>
      <c r="AM197" s="7"/>
      <c r="AN197" s="7"/>
      <c r="AP197" s="7"/>
      <c r="AQ197" s="7"/>
      <c r="AS197" s="7"/>
      <c r="AT197" s="7"/>
      <c r="AV197" s="7"/>
      <c r="AW197" s="7"/>
    </row>
    <row r="198" spans="6:49" x14ac:dyDescent="0.3">
      <c r="F198" s="7"/>
      <c r="G198" s="7"/>
      <c r="J198" s="7"/>
      <c r="K198" s="7"/>
      <c r="M198" s="7"/>
      <c r="N198" s="7"/>
      <c r="Q198" s="7"/>
      <c r="R198" s="7"/>
      <c r="U198" s="7"/>
      <c r="V198" s="7"/>
      <c r="Y198" s="7"/>
      <c r="Z198" s="7"/>
      <c r="AB198" s="7"/>
      <c r="AC198" s="7"/>
      <c r="AF198" s="7"/>
      <c r="AG198" s="7"/>
      <c r="AJ198" s="7"/>
      <c r="AK198" s="7"/>
      <c r="AM198" s="7"/>
      <c r="AN198" s="7"/>
      <c r="AP198" s="7"/>
      <c r="AQ198" s="7"/>
      <c r="AS198" s="7"/>
      <c r="AT198" s="7"/>
      <c r="AV198" s="7"/>
      <c r="AW198" s="7"/>
    </row>
    <row r="199" spans="6:49" x14ac:dyDescent="0.3">
      <c r="F199" s="7"/>
      <c r="G199" s="7"/>
      <c r="J199" s="7"/>
      <c r="K199" s="7"/>
      <c r="M199" s="7"/>
      <c r="N199" s="7"/>
      <c r="Q199" s="7"/>
      <c r="R199" s="7"/>
      <c r="U199" s="7"/>
      <c r="V199" s="7"/>
      <c r="Y199" s="7"/>
      <c r="Z199" s="7"/>
      <c r="AB199" s="7"/>
      <c r="AC199" s="7"/>
      <c r="AF199" s="7"/>
      <c r="AG199" s="7"/>
      <c r="AJ199" s="7"/>
      <c r="AK199" s="7"/>
      <c r="AM199" s="7"/>
      <c r="AN199" s="7"/>
      <c r="AP199" s="7"/>
      <c r="AQ199" s="7"/>
      <c r="AS199" s="7"/>
      <c r="AT199" s="7"/>
      <c r="AV199" s="7"/>
      <c r="AW199" s="7"/>
    </row>
    <row r="200" spans="6:49" x14ac:dyDescent="0.3">
      <c r="F200" s="7"/>
      <c r="G200" s="7"/>
      <c r="J200" s="7"/>
      <c r="K200" s="7"/>
      <c r="M200" s="7"/>
      <c r="N200" s="7"/>
      <c r="Q200" s="7"/>
      <c r="R200" s="7"/>
      <c r="U200" s="7"/>
      <c r="V200" s="7"/>
      <c r="Y200" s="7"/>
      <c r="Z200" s="7"/>
      <c r="AB200" s="7"/>
      <c r="AC200" s="7"/>
      <c r="AF200" s="7"/>
      <c r="AG200" s="7"/>
      <c r="AJ200" s="7"/>
      <c r="AK200" s="7"/>
      <c r="AM200" s="7"/>
      <c r="AN200" s="7"/>
      <c r="AP200" s="7"/>
      <c r="AQ200" s="7"/>
      <c r="AS200" s="7"/>
      <c r="AT200" s="7"/>
      <c r="AV200" s="7"/>
      <c r="AW200" s="7"/>
    </row>
    <row r="201" spans="6:49" x14ac:dyDescent="0.3">
      <c r="F201" s="7"/>
      <c r="G201" s="7"/>
      <c r="J201" s="7"/>
      <c r="K201" s="7"/>
      <c r="M201" s="7"/>
      <c r="N201" s="7"/>
      <c r="Q201" s="7"/>
      <c r="R201" s="7"/>
      <c r="U201" s="7"/>
      <c r="V201" s="7"/>
      <c r="Y201" s="7"/>
      <c r="Z201" s="7"/>
      <c r="AB201" s="7"/>
      <c r="AC201" s="7"/>
      <c r="AF201" s="7"/>
      <c r="AG201" s="7"/>
      <c r="AJ201" s="7"/>
      <c r="AK201" s="7"/>
      <c r="AM201" s="7"/>
      <c r="AN201" s="7"/>
      <c r="AP201" s="7"/>
      <c r="AQ201" s="7"/>
      <c r="AS201" s="7"/>
      <c r="AT201" s="7"/>
      <c r="AV201" s="7"/>
      <c r="AW201" s="7"/>
    </row>
    <row r="202" spans="6:49" x14ac:dyDescent="0.3">
      <c r="F202" s="7"/>
      <c r="G202" s="7"/>
      <c r="J202" s="7"/>
      <c r="K202" s="7"/>
      <c r="M202" s="7"/>
      <c r="N202" s="7"/>
      <c r="Q202" s="7"/>
      <c r="R202" s="7"/>
      <c r="U202" s="7"/>
      <c r="V202" s="7"/>
      <c r="Y202" s="7"/>
      <c r="Z202" s="7"/>
      <c r="AB202" s="7"/>
      <c r="AC202" s="7"/>
      <c r="AF202" s="7"/>
      <c r="AG202" s="7"/>
      <c r="AJ202" s="7"/>
      <c r="AK202" s="7"/>
      <c r="AM202" s="7"/>
      <c r="AN202" s="7"/>
      <c r="AP202" s="7"/>
      <c r="AQ202" s="7"/>
      <c r="AS202" s="7"/>
      <c r="AT202" s="7"/>
      <c r="AV202" s="7"/>
      <c r="AW202" s="7"/>
    </row>
    <row r="203" spans="6:49" x14ac:dyDescent="0.3">
      <c r="F203" s="7"/>
      <c r="G203" s="7"/>
      <c r="J203" s="7"/>
      <c r="K203" s="7"/>
      <c r="M203" s="7"/>
      <c r="N203" s="7"/>
      <c r="Q203" s="7"/>
      <c r="R203" s="7"/>
      <c r="U203" s="7"/>
      <c r="V203" s="7"/>
      <c r="Y203" s="7"/>
      <c r="Z203" s="7"/>
      <c r="AB203" s="7"/>
      <c r="AC203" s="7"/>
      <c r="AF203" s="7"/>
      <c r="AG203" s="7"/>
      <c r="AJ203" s="7"/>
      <c r="AK203" s="7"/>
      <c r="AM203" s="7"/>
      <c r="AN203" s="7"/>
      <c r="AP203" s="7"/>
      <c r="AQ203" s="7"/>
      <c r="AS203" s="7"/>
      <c r="AT203" s="7"/>
      <c r="AV203" s="7"/>
      <c r="AW203" s="7"/>
    </row>
    <row r="204" spans="6:49" x14ac:dyDescent="0.3">
      <c r="F204" s="7"/>
      <c r="G204" s="7"/>
      <c r="J204" s="7"/>
      <c r="K204" s="7"/>
      <c r="M204" s="7"/>
      <c r="N204" s="7"/>
      <c r="Q204" s="7"/>
      <c r="R204" s="7"/>
      <c r="U204" s="7"/>
      <c r="V204" s="7"/>
      <c r="Y204" s="7"/>
      <c r="Z204" s="7"/>
      <c r="AB204" s="7"/>
      <c r="AC204" s="7"/>
      <c r="AF204" s="7"/>
      <c r="AG204" s="7"/>
      <c r="AJ204" s="7"/>
      <c r="AK204" s="7"/>
      <c r="AM204" s="7"/>
      <c r="AN204" s="7"/>
      <c r="AP204" s="7"/>
      <c r="AQ204" s="7"/>
      <c r="AS204" s="7"/>
      <c r="AT204" s="7"/>
      <c r="AV204" s="7"/>
      <c r="AW204" s="7"/>
    </row>
    <row r="205" spans="6:49" x14ac:dyDescent="0.3">
      <c r="F205" s="7"/>
      <c r="G205" s="7"/>
      <c r="J205" s="7"/>
      <c r="K205" s="7"/>
      <c r="M205" s="7"/>
      <c r="N205" s="7"/>
      <c r="Q205" s="7"/>
      <c r="R205" s="7"/>
      <c r="U205" s="7"/>
      <c r="V205" s="7"/>
      <c r="Y205" s="7"/>
      <c r="Z205" s="7"/>
      <c r="AB205" s="7"/>
      <c r="AC205" s="7"/>
      <c r="AF205" s="7"/>
      <c r="AG205" s="7"/>
      <c r="AJ205" s="7"/>
      <c r="AK205" s="7"/>
      <c r="AM205" s="7"/>
      <c r="AN205" s="7"/>
      <c r="AP205" s="7"/>
      <c r="AQ205" s="7"/>
      <c r="AS205" s="7"/>
      <c r="AT205" s="7"/>
      <c r="AV205" s="7"/>
      <c r="AW205" s="7"/>
    </row>
    <row r="206" spans="6:49" x14ac:dyDescent="0.3">
      <c r="F206" s="7"/>
      <c r="G206" s="7"/>
      <c r="J206" s="7"/>
      <c r="K206" s="7"/>
      <c r="M206" s="7"/>
      <c r="N206" s="7"/>
      <c r="Q206" s="7"/>
      <c r="R206" s="7"/>
      <c r="U206" s="7"/>
      <c r="V206" s="7"/>
      <c r="Y206" s="7"/>
      <c r="Z206" s="7"/>
      <c r="AB206" s="7"/>
      <c r="AC206" s="7"/>
      <c r="AF206" s="7"/>
      <c r="AG206" s="7"/>
      <c r="AJ206" s="7"/>
      <c r="AK206" s="7"/>
      <c r="AM206" s="7"/>
      <c r="AN206" s="7"/>
      <c r="AP206" s="7"/>
      <c r="AQ206" s="7"/>
      <c r="AS206" s="7"/>
      <c r="AT206" s="7"/>
      <c r="AV206" s="7"/>
      <c r="AW206" s="7"/>
    </row>
    <row r="207" spans="6:49" x14ac:dyDescent="0.3">
      <c r="F207" s="7"/>
      <c r="G207" s="7"/>
      <c r="J207" s="7"/>
      <c r="K207" s="7"/>
      <c r="M207" s="7"/>
      <c r="N207" s="7"/>
      <c r="Q207" s="7"/>
      <c r="R207" s="7"/>
      <c r="U207" s="7"/>
      <c r="V207" s="7"/>
      <c r="Y207" s="7"/>
      <c r="Z207" s="7"/>
      <c r="AB207" s="7"/>
      <c r="AC207" s="7"/>
      <c r="AF207" s="7"/>
      <c r="AG207" s="7"/>
      <c r="AJ207" s="7"/>
      <c r="AK207" s="7"/>
      <c r="AM207" s="7"/>
      <c r="AN207" s="7"/>
      <c r="AP207" s="7"/>
      <c r="AQ207" s="7"/>
      <c r="AS207" s="7"/>
      <c r="AT207" s="7"/>
      <c r="AV207" s="7"/>
      <c r="AW207" s="7"/>
    </row>
    <row r="208" spans="6:49" x14ac:dyDescent="0.3">
      <c r="F208" s="7"/>
      <c r="G208" s="7"/>
      <c r="J208" s="7"/>
      <c r="K208" s="7"/>
      <c r="M208" s="7"/>
      <c r="N208" s="7"/>
      <c r="Q208" s="7"/>
      <c r="R208" s="7"/>
      <c r="U208" s="7"/>
      <c r="V208" s="7"/>
      <c r="Y208" s="7"/>
      <c r="Z208" s="7"/>
      <c r="AB208" s="7"/>
      <c r="AC208" s="7"/>
      <c r="AF208" s="7"/>
      <c r="AG208" s="7"/>
      <c r="AJ208" s="7"/>
      <c r="AK208" s="7"/>
      <c r="AM208" s="7"/>
      <c r="AN208" s="7"/>
      <c r="AP208" s="7"/>
      <c r="AQ208" s="7"/>
      <c r="AS208" s="7"/>
      <c r="AT208" s="7"/>
      <c r="AV208" s="7"/>
      <c r="AW208" s="7"/>
    </row>
    <row r="209" spans="6:49" x14ac:dyDescent="0.3">
      <c r="F209" s="7"/>
      <c r="G209" s="7"/>
      <c r="J209" s="7"/>
      <c r="K209" s="7"/>
      <c r="M209" s="7"/>
      <c r="N209" s="7"/>
      <c r="Q209" s="7"/>
      <c r="R209" s="7"/>
      <c r="U209" s="7"/>
      <c r="V209" s="7"/>
      <c r="Y209" s="7"/>
      <c r="Z209" s="7"/>
      <c r="AB209" s="7"/>
      <c r="AC209" s="7"/>
      <c r="AF209" s="7"/>
      <c r="AG209" s="7"/>
      <c r="AJ209" s="7"/>
      <c r="AK209" s="7"/>
      <c r="AM209" s="7"/>
      <c r="AN209" s="7"/>
      <c r="AP209" s="7"/>
      <c r="AQ209" s="7"/>
      <c r="AS209" s="7"/>
      <c r="AT209" s="7"/>
      <c r="AV209" s="7"/>
      <c r="AW209" s="7"/>
    </row>
    <row r="210" spans="6:49" x14ac:dyDescent="0.3">
      <c r="F210" s="7"/>
      <c r="G210" s="7"/>
      <c r="J210" s="7"/>
      <c r="K210" s="7"/>
      <c r="M210" s="7"/>
      <c r="N210" s="7"/>
      <c r="Q210" s="7"/>
      <c r="R210" s="7"/>
      <c r="U210" s="7"/>
      <c r="V210" s="7"/>
      <c r="Y210" s="7"/>
      <c r="Z210" s="7"/>
      <c r="AB210" s="7"/>
      <c r="AC210" s="7"/>
      <c r="AF210" s="7"/>
      <c r="AG210" s="7"/>
      <c r="AJ210" s="7"/>
      <c r="AK210" s="7"/>
      <c r="AM210" s="7"/>
      <c r="AN210" s="7"/>
      <c r="AP210" s="7"/>
      <c r="AQ210" s="7"/>
      <c r="AS210" s="7"/>
      <c r="AT210" s="7"/>
      <c r="AV210" s="7"/>
      <c r="AW210" s="7"/>
    </row>
    <row r="211" spans="6:49" x14ac:dyDescent="0.3">
      <c r="F211" s="7"/>
      <c r="G211" s="7"/>
      <c r="J211" s="7"/>
      <c r="K211" s="7"/>
      <c r="M211" s="7"/>
      <c r="N211" s="7"/>
      <c r="Q211" s="7"/>
      <c r="R211" s="7"/>
      <c r="U211" s="7"/>
      <c r="V211" s="7"/>
      <c r="Y211" s="7"/>
      <c r="Z211" s="7"/>
      <c r="AB211" s="7"/>
      <c r="AC211" s="7"/>
      <c r="AF211" s="7"/>
      <c r="AG211" s="7"/>
      <c r="AJ211" s="7"/>
      <c r="AK211" s="7"/>
      <c r="AM211" s="7"/>
      <c r="AN211" s="7"/>
      <c r="AP211" s="7"/>
      <c r="AQ211" s="7"/>
      <c r="AS211" s="7"/>
      <c r="AT211" s="7"/>
      <c r="AV211" s="7"/>
      <c r="AW211" s="7"/>
    </row>
    <row r="212" spans="6:49" x14ac:dyDescent="0.3">
      <c r="F212" s="7"/>
      <c r="G212" s="7"/>
      <c r="J212" s="7"/>
      <c r="K212" s="7"/>
      <c r="M212" s="7"/>
      <c r="N212" s="7"/>
      <c r="Q212" s="7"/>
      <c r="R212" s="7"/>
      <c r="U212" s="7"/>
      <c r="V212" s="7"/>
      <c r="Y212" s="7"/>
      <c r="Z212" s="7"/>
      <c r="AB212" s="7"/>
      <c r="AC212" s="7"/>
      <c r="AF212" s="7"/>
      <c r="AG212" s="7"/>
      <c r="AJ212" s="7"/>
      <c r="AK212" s="7"/>
      <c r="AM212" s="7"/>
      <c r="AN212" s="7"/>
      <c r="AP212" s="7"/>
      <c r="AQ212" s="7"/>
      <c r="AS212" s="7"/>
      <c r="AT212" s="7"/>
      <c r="AV212" s="7"/>
      <c r="AW212" s="7"/>
    </row>
    <row r="213" spans="6:49" x14ac:dyDescent="0.3">
      <c r="F213" s="7"/>
      <c r="G213" s="7"/>
      <c r="J213" s="7"/>
      <c r="K213" s="7"/>
      <c r="M213" s="7"/>
      <c r="N213" s="7"/>
      <c r="Q213" s="7"/>
      <c r="R213" s="7"/>
      <c r="U213" s="7"/>
      <c r="V213" s="7"/>
      <c r="Y213" s="7"/>
      <c r="Z213" s="7"/>
      <c r="AB213" s="7"/>
      <c r="AC213" s="7"/>
      <c r="AF213" s="7"/>
      <c r="AG213" s="7"/>
      <c r="AJ213" s="7"/>
      <c r="AK213" s="7"/>
      <c r="AM213" s="7"/>
      <c r="AN213" s="7"/>
      <c r="AP213" s="7"/>
      <c r="AQ213" s="7"/>
      <c r="AS213" s="7"/>
      <c r="AT213" s="7"/>
      <c r="AV213" s="7"/>
      <c r="AW213" s="7"/>
    </row>
    <row r="214" spans="6:49" x14ac:dyDescent="0.3">
      <c r="F214" s="7"/>
      <c r="G214" s="7"/>
      <c r="J214" s="7"/>
      <c r="K214" s="7"/>
      <c r="M214" s="7"/>
      <c r="N214" s="7"/>
      <c r="Q214" s="7"/>
      <c r="R214" s="7"/>
      <c r="U214" s="7"/>
      <c r="V214" s="7"/>
      <c r="Y214" s="7"/>
      <c r="Z214" s="7"/>
      <c r="AB214" s="7"/>
      <c r="AC214" s="7"/>
      <c r="AF214" s="7"/>
      <c r="AG214" s="7"/>
      <c r="AJ214" s="7"/>
      <c r="AK214" s="7"/>
      <c r="AM214" s="7"/>
      <c r="AN214" s="7"/>
      <c r="AP214" s="7"/>
      <c r="AQ214" s="7"/>
      <c r="AS214" s="7"/>
      <c r="AT214" s="7"/>
      <c r="AV214" s="7"/>
      <c r="AW214" s="7"/>
    </row>
    <row r="215" spans="6:49" x14ac:dyDescent="0.3">
      <c r="F215" s="7"/>
      <c r="G215" s="7"/>
      <c r="J215" s="7"/>
      <c r="K215" s="7"/>
      <c r="M215" s="7"/>
      <c r="N215" s="7"/>
      <c r="Q215" s="7"/>
      <c r="R215" s="7"/>
      <c r="U215" s="7"/>
      <c r="V215" s="7"/>
      <c r="Y215" s="7"/>
      <c r="Z215" s="7"/>
      <c r="AB215" s="7"/>
      <c r="AC215" s="7"/>
      <c r="AF215" s="7"/>
      <c r="AG215" s="7"/>
      <c r="AJ215" s="7"/>
      <c r="AK215" s="7"/>
      <c r="AM215" s="7"/>
      <c r="AN215" s="7"/>
      <c r="AP215" s="7"/>
      <c r="AQ215" s="7"/>
      <c r="AS215" s="7"/>
      <c r="AT215" s="7"/>
      <c r="AV215" s="7"/>
      <c r="AW215" s="7"/>
    </row>
    <row r="216" spans="6:49" x14ac:dyDescent="0.3">
      <c r="F216" s="7"/>
      <c r="G216" s="7"/>
      <c r="J216" s="7"/>
      <c r="K216" s="7"/>
      <c r="M216" s="7"/>
      <c r="N216" s="7"/>
      <c r="Q216" s="7"/>
      <c r="R216" s="7"/>
      <c r="U216" s="7"/>
      <c r="V216" s="7"/>
      <c r="Y216" s="7"/>
      <c r="Z216" s="7"/>
      <c r="AB216" s="7"/>
      <c r="AC216" s="7"/>
      <c r="AF216" s="7"/>
      <c r="AG216" s="7"/>
      <c r="AJ216" s="7"/>
      <c r="AK216" s="7"/>
      <c r="AM216" s="7"/>
      <c r="AN216" s="7"/>
      <c r="AP216" s="7"/>
      <c r="AQ216" s="7"/>
      <c r="AS216" s="7"/>
      <c r="AT216" s="7"/>
      <c r="AV216" s="7"/>
      <c r="AW216" s="7"/>
    </row>
    <row r="217" spans="6:49" x14ac:dyDescent="0.3">
      <c r="F217" s="7"/>
      <c r="G217" s="7"/>
      <c r="J217" s="7"/>
      <c r="K217" s="7"/>
      <c r="M217" s="7"/>
      <c r="N217" s="7"/>
      <c r="Q217" s="7"/>
      <c r="R217" s="7"/>
      <c r="U217" s="7"/>
      <c r="V217" s="7"/>
      <c r="Y217" s="7"/>
      <c r="Z217" s="7"/>
      <c r="AB217" s="7"/>
      <c r="AC217" s="7"/>
      <c r="AF217" s="7"/>
      <c r="AG217" s="7"/>
      <c r="AJ217" s="7"/>
      <c r="AK217" s="7"/>
      <c r="AM217" s="7"/>
      <c r="AN217" s="7"/>
      <c r="AP217" s="7"/>
      <c r="AQ217" s="7"/>
      <c r="AS217" s="7"/>
      <c r="AT217" s="7"/>
      <c r="AV217" s="7"/>
      <c r="AW217" s="7"/>
    </row>
    <row r="218" spans="6:49" x14ac:dyDescent="0.3">
      <c r="F218" s="7"/>
      <c r="G218" s="7"/>
      <c r="J218" s="7"/>
      <c r="K218" s="7"/>
      <c r="M218" s="7"/>
      <c r="N218" s="7"/>
      <c r="Q218" s="7"/>
      <c r="R218" s="7"/>
      <c r="U218" s="7"/>
      <c r="V218" s="7"/>
      <c r="Y218" s="7"/>
      <c r="Z218" s="7"/>
      <c r="AB218" s="7"/>
      <c r="AC218" s="7"/>
      <c r="AF218" s="7"/>
      <c r="AG218" s="7"/>
      <c r="AJ218" s="7"/>
      <c r="AK218" s="7"/>
      <c r="AM218" s="7"/>
      <c r="AN218" s="7"/>
      <c r="AP218" s="7"/>
      <c r="AQ218" s="7"/>
      <c r="AS218" s="7"/>
      <c r="AT218" s="7"/>
      <c r="AV218" s="7"/>
      <c r="AW218" s="7"/>
    </row>
    <row r="219" spans="6:49" x14ac:dyDescent="0.3">
      <c r="F219" s="7"/>
      <c r="G219" s="7"/>
      <c r="J219" s="7"/>
      <c r="K219" s="7"/>
      <c r="M219" s="7"/>
      <c r="N219" s="7"/>
      <c r="Q219" s="7"/>
      <c r="R219" s="7"/>
      <c r="U219" s="7"/>
      <c r="V219" s="7"/>
      <c r="Y219" s="7"/>
      <c r="Z219" s="7"/>
      <c r="AB219" s="7"/>
      <c r="AC219" s="7"/>
      <c r="AF219" s="7"/>
      <c r="AG219" s="7"/>
      <c r="AJ219" s="7"/>
      <c r="AK219" s="7"/>
      <c r="AM219" s="7"/>
      <c r="AN219" s="7"/>
      <c r="AP219" s="7"/>
      <c r="AQ219" s="7"/>
      <c r="AS219" s="7"/>
      <c r="AT219" s="7"/>
      <c r="AV219" s="7"/>
      <c r="AW219" s="7"/>
    </row>
    <row r="220" spans="6:49" x14ac:dyDescent="0.3">
      <c r="F220" s="7"/>
      <c r="G220" s="7"/>
      <c r="J220" s="7"/>
      <c r="K220" s="7"/>
      <c r="M220" s="7"/>
      <c r="N220" s="7"/>
      <c r="Q220" s="7"/>
      <c r="R220" s="7"/>
      <c r="U220" s="7"/>
      <c r="V220" s="7"/>
      <c r="Y220" s="7"/>
      <c r="Z220" s="7"/>
      <c r="AB220" s="7"/>
      <c r="AC220" s="7"/>
      <c r="AF220" s="7"/>
      <c r="AG220" s="7"/>
      <c r="AJ220" s="7"/>
      <c r="AK220" s="7"/>
      <c r="AM220" s="7"/>
      <c r="AN220" s="7"/>
      <c r="AP220" s="7"/>
      <c r="AQ220" s="7"/>
      <c r="AS220" s="7"/>
      <c r="AT220" s="7"/>
      <c r="AV220" s="7"/>
      <c r="AW220" s="7"/>
    </row>
    <row r="221" spans="6:49" x14ac:dyDescent="0.3">
      <c r="F221" s="7"/>
      <c r="G221" s="7"/>
      <c r="J221" s="7"/>
      <c r="K221" s="7"/>
      <c r="M221" s="7"/>
      <c r="N221" s="7"/>
      <c r="Q221" s="7"/>
      <c r="R221" s="7"/>
      <c r="U221" s="7"/>
      <c r="V221" s="7"/>
      <c r="Y221" s="7"/>
      <c r="Z221" s="7"/>
      <c r="AB221" s="7"/>
      <c r="AC221" s="7"/>
      <c r="AF221" s="7"/>
      <c r="AG221" s="7"/>
      <c r="AJ221" s="7"/>
      <c r="AK221" s="7"/>
      <c r="AM221" s="7"/>
      <c r="AN221" s="7"/>
      <c r="AP221" s="7"/>
      <c r="AQ221" s="7"/>
      <c r="AS221" s="7"/>
      <c r="AT221" s="7"/>
      <c r="AV221" s="7"/>
      <c r="AW221" s="7"/>
    </row>
    <row r="222" spans="6:49" x14ac:dyDescent="0.3">
      <c r="F222" s="7"/>
      <c r="G222" s="7"/>
      <c r="J222" s="7"/>
      <c r="K222" s="7"/>
      <c r="M222" s="7"/>
      <c r="N222" s="7"/>
      <c r="Q222" s="7"/>
      <c r="R222" s="7"/>
      <c r="U222" s="7"/>
      <c r="V222" s="7"/>
      <c r="Y222" s="7"/>
      <c r="Z222" s="7"/>
      <c r="AB222" s="7"/>
      <c r="AC222" s="7"/>
      <c r="AF222" s="7"/>
      <c r="AG222" s="7"/>
      <c r="AJ222" s="7"/>
      <c r="AK222" s="7"/>
      <c r="AM222" s="7"/>
      <c r="AN222" s="7"/>
      <c r="AP222" s="7"/>
      <c r="AQ222" s="7"/>
      <c r="AS222" s="7"/>
      <c r="AT222" s="7"/>
      <c r="AV222" s="7"/>
      <c r="AW222" s="7"/>
    </row>
    <row r="223" spans="6:49" x14ac:dyDescent="0.3">
      <c r="F223" s="7"/>
      <c r="G223" s="7"/>
      <c r="J223" s="7"/>
      <c r="K223" s="7"/>
      <c r="M223" s="7"/>
      <c r="N223" s="7"/>
      <c r="Q223" s="7"/>
      <c r="R223" s="7"/>
      <c r="U223" s="7"/>
      <c r="V223" s="7"/>
      <c r="Y223" s="7"/>
      <c r="Z223" s="7"/>
      <c r="AB223" s="7"/>
      <c r="AC223" s="7"/>
      <c r="AF223" s="7"/>
      <c r="AG223" s="7"/>
      <c r="AJ223" s="7"/>
      <c r="AK223" s="7"/>
      <c r="AM223" s="7"/>
      <c r="AN223" s="7"/>
      <c r="AP223" s="7"/>
      <c r="AQ223" s="7"/>
      <c r="AS223" s="7"/>
      <c r="AT223" s="7"/>
      <c r="AV223" s="7"/>
      <c r="AW223" s="7"/>
    </row>
    <row r="224" spans="6:49" x14ac:dyDescent="0.3">
      <c r="F224" s="7"/>
      <c r="G224" s="7"/>
      <c r="J224" s="7"/>
      <c r="K224" s="7"/>
      <c r="M224" s="7"/>
      <c r="N224" s="7"/>
      <c r="Q224" s="7"/>
      <c r="R224" s="7"/>
      <c r="U224" s="7"/>
      <c r="V224" s="7"/>
      <c r="Y224" s="7"/>
      <c r="Z224" s="7"/>
      <c r="AB224" s="7"/>
      <c r="AC224" s="7"/>
      <c r="AF224" s="7"/>
      <c r="AG224" s="7"/>
      <c r="AJ224" s="7"/>
      <c r="AK224" s="7"/>
      <c r="AM224" s="7"/>
      <c r="AN224" s="7"/>
      <c r="AP224" s="7"/>
      <c r="AQ224" s="7"/>
      <c r="AS224" s="7"/>
      <c r="AT224" s="7"/>
      <c r="AV224" s="7"/>
      <c r="AW224" s="7"/>
    </row>
    <row r="225" spans="6:49" x14ac:dyDescent="0.3">
      <c r="F225" s="7"/>
      <c r="G225" s="7"/>
      <c r="J225" s="7"/>
      <c r="K225" s="7"/>
      <c r="M225" s="7"/>
      <c r="N225" s="7"/>
      <c r="Q225" s="7"/>
      <c r="R225" s="7"/>
      <c r="U225" s="7"/>
      <c r="V225" s="7"/>
      <c r="Y225" s="7"/>
      <c r="Z225" s="7"/>
      <c r="AB225" s="7"/>
      <c r="AC225" s="7"/>
      <c r="AF225" s="7"/>
      <c r="AG225" s="7"/>
      <c r="AJ225" s="7"/>
      <c r="AK225" s="7"/>
      <c r="AM225" s="7"/>
      <c r="AN225" s="7"/>
      <c r="AP225" s="7"/>
      <c r="AQ225" s="7"/>
      <c r="AS225" s="7"/>
      <c r="AT225" s="7"/>
      <c r="AV225" s="7"/>
      <c r="AW225" s="7"/>
    </row>
    <row r="226" spans="6:49" x14ac:dyDescent="0.3">
      <c r="F226" s="7"/>
      <c r="G226" s="7"/>
      <c r="J226" s="7"/>
      <c r="K226" s="7"/>
      <c r="M226" s="7"/>
      <c r="N226" s="7"/>
      <c r="Q226" s="7"/>
      <c r="R226" s="7"/>
      <c r="U226" s="7"/>
      <c r="V226" s="7"/>
      <c r="Y226" s="7"/>
      <c r="Z226" s="7"/>
      <c r="AB226" s="7"/>
      <c r="AC226" s="7"/>
      <c r="AF226" s="7"/>
      <c r="AG226" s="7"/>
      <c r="AJ226" s="7"/>
      <c r="AK226" s="7"/>
      <c r="AM226" s="7"/>
      <c r="AN226" s="7"/>
      <c r="AP226" s="7"/>
      <c r="AQ226" s="7"/>
      <c r="AS226" s="7"/>
      <c r="AT226" s="7"/>
      <c r="AV226" s="7"/>
      <c r="AW226" s="7"/>
    </row>
    <row r="227" spans="6:49" x14ac:dyDescent="0.3">
      <c r="F227" s="7"/>
      <c r="G227" s="7"/>
      <c r="J227" s="7"/>
      <c r="K227" s="7"/>
      <c r="M227" s="7"/>
      <c r="N227" s="7"/>
      <c r="Q227" s="7"/>
      <c r="R227" s="7"/>
      <c r="U227" s="7"/>
      <c r="V227" s="7"/>
      <c r="Y227" s="7"/>
      <c r="Z227" s="7"/>
      <c r="AB227" s="7"/>
      <c r="AC227" s="7"/>
      <c r="AF227" s="7"/>
      <c r="AG227" s="7"/>
      <c r="AJ227" s="7"/>
      <c r="AK227" s="7"/>
      <c r="AM227" s="7"/>
      <c r="AN227" s="7"/>
      <c r="AP227" s="7"/>
      <c r="AQ227" s="7"/>
      <c r="AS227" s="7"/>
      <c r="AT227" s="7"/>
      <c r="AV227" s="7"/>
      <c r="AW227" s="7"/>
    </row>
    <row r="228" spans="6:49" x14ac:dyDescent="0.3">
      <c r="F228" s="7"/>
      <c r="G228" s="7"/>
      <c r="J228" s="7"/>
      <c r="K228" s="7"/>
      <c r="M228" s="7"/>
      <c r="N228" s="7"/>
      <c r="Q228" s="7"/>
      <c r="R228" s="7"/>
      <c r="U228" s="7"/>
      <c r="V228" s="7"/>
      <c r="Y228" s="7"/>
      <c r="Z228" s="7"/>
      <c r="AB228" s="7"/>
      <c r="AC228" s="7"/>
      <c r="AF228" s="7"/>
      <c r="AG228" s="7"/>
      <c r="AJ228" s="7"/>
      <c r="AK228" s="7"/>
      <c r="AM228" s="7"/>
      <c r="AN228" s="7"/>
      <c r="AP228" s="7"/>
      <c r="AQ228" s="7"/>
      <c r="AS228" s="7"/>
      <c r="AT228" s="7"/>
      <c r="AV228" s="7"/>
      <c r="AW228" s="7"/>
    </row>
    <row r="229" spans="6:49" x14ac:dyDescent="0.3">
      <c r="F229" s="7"/>
      <c r="G229" s="7"/>
      <c r="J229" s="7"/>
      <c r="K229" s="7"/>
      <c r="M229" s="7"/>
      <c r="N229" s="7"/>
      <c r="Q229" s="7"/>
      <c r="R229" s="7"/>
      <c r="U229" s="7"/>
      <c r="V229" s="7"/>
      <c r="Y229" s="7"/>
      <c r="Z229" s="7"/>
      <c r="AB229" s="7"/>
      <c r="AC229" s="7"/>
      <c r="AF229" s="7"/>
      <c r="AG229" s="7"/>
      <c r="AJ229" s="7"/>
      <c r="AK229" s="7"/>
      <c r="AM229" s="7"/>
      <c r="AN229" s="7"/>
      <c r="AP229" s="7"/>
      <c r="AQ229" s="7"/>
      <c r="AS229" s="7"/>
      <c r="AT229" s="7"/>
      <c r="AV229" s="7"/>
      <c r="AW229" s="7"/>
    </row>
    <row r="230" spans="6:49" x14ac:dyDescent="0.3">
      <c r="F230" s="7"/>
      <c r="G230" s="7"/>
      <c r="J230" s="7"/>
      <c r="K230" s="7"/>
      <c r="M230" s="7"/>
      <c r="N230" s="7"/>
      <c r="Q230" s="7"/>
      <c r="R230" s="7"/>
      <c r="U230" s="7"/>
      <c r="V230" s="7"/>
      <c r="Y230" s="7"/>
      <c r="Z230" s="7"/>
      <c r="AB230" s="7"/>
      <c r="AC230" s="7"/>
      <c r="AF230" s="7"/>
      <c r="AG230" s="7"/>
      <c r="AJ230" s="7"/>
      <c r="AK230" s="7"/>
      <c r="AM230" s="7"/>
      <c r="AN230" s="7"/>
      <c r="AP230" s="7"/>
      <c r="AQ230" s="7"/>
      <c r="AS230" s="7"/>
      <c r="AT230" s="7"/>
      <c r="AV230" s="7"/>
      <c r="AW230" s="7"/>
    </row>
    <row r="231" spans="6:49" x14ac:dyDescent="0.3">
      <c r="F231" s="7"/>
      <c r="G231" s="7"/>
      <c r="J231" s="7"/>
      <c r="K231" s="7"/>
      <c r="M231" s="7"/>
      <c r="N231" s="7"/>
      <c r="Q231" s="7"/>
      <c r="R231" s="7"/>
      <c r="U231" s="7"/>
      <c r="V231" s="7"/>
      <c r="Y231" s="7"/>
      <c r="Z231" s="7"/>
      <c r="AB231" s="7"/>
      <c r="AC231" s="7"/>
      <c r="AF231" s="7"/>
      <c r="AG231" s="7"/>
      <c r="AJ231" s="7"/>
      <c r="AK231" s="7"/>
      <c r="AM231" s="7"/>
      <c r="AN231" s="7"/>
      <c r="AP231" s="7"/>
      <c r="AQ231" s="7"/>
      <c r="AS231" s="7"/>
      <c r="AT231" s="7"/>
      <c r="AV231" s="7"/>
      <c r="AW231" s="7"/>
    </row>
    <row r="232" spans="6:49" x14ac:dyDescent="0.3">
      <c r="F232" s="7"/>
      <c r="G232" s="7"/>
      <c r="J232" s="7"/>
      <c r="K232" s="7"/>
      <c r="M232" s="7"/>
      <c r="N232" s="7"/>
      <c r="Q232" s="7"/>
      <c r="R232" s="7"/>
      <c r="U232" s="7"/>
      <c r="V232" s="7"/>
      <c r="Y232" s="7"/>
      <c r="Z232" s="7"/>
      <c r="AB232" s="7"/>
      <c r="AC232" s="7"/>
      <c r="AF232" s="7"/>
      <c r="AG232" s="7"/>
      <c r="AJ232" s="7"/>
      <c r="AK232" s="7"/>
      <c r="AM232" s="7"/>
      <c r="AN232" s="7"/>
      <c r="AP232" s="7"/>
      <c r="AQ232" s="7"/>
      <c r="AS232" s="7"/>
      <c r="AT232" s="7"/>
      <c r="AV232" s="7"/>
      <c r="AW232" s="7"/>
    </row>
    <row r="233" spans="6:49" x14ac:dyDescent="0.3">
      <c r="F233" s="7"/>
      <c r="G233" s="7"/>
      <c r="J233" s="7"/>
      <c r="K233" s="7"/>
      <c r="M233" s="7"/>
      <c r="N233" s="7"/>
      <c r="Q233" s="7"/>
      <c r="R233" s="7"/>
      <c r="U233" s="7"/>
      <c r="V233" s="7"/>
      <c r="Y233" s="7"/>
      <c r="Z233" s="7"/>
      <c r="AB233" s="7"/>
      <c r="AC233" s="7"/>
      <c r="AF233" s="7"/>
      <c r="AG233" s="7"/>
      <c r="AJ233" s="7"/>
      <c r="AK233" s="7"/>
      <c r="AM233" s="7"/>
      <c r="AN233" s="7"/>
      <c r="AP233" s="7"/>
      <c r="AQ233" s="7"/>
      <c r="AS233" s="7"/>
      <c r="AT233" s="7"/>
      <c r="AV233" s="7"/>
      <c r="AW233" s="7"/>
    </row>
    <row r="234" spans="6:49" x14ac:dyDescent="0.3">
      <c r="F234" s="7"/>
      <c r="G234" s="7"/>
      <c r="J234" s="7"/>
      <c r="K234" s="7"/>
      <c r="M234" s="7"/>
      <c r="N234" s="7"/>
      <c r="Q234" s="7"/>
      <c r="R234" s="7"/>
      <c r="U234" s="7"/>
      <c r="V234" s="7"/>
      <c r="Y234" s="7"/>
      <c r="Z234" s="7"/>
      <c r="AB234" s="7"/>
      <c r="AC234" s="7"/>
      <c r="AF234" s="7"/>
      <c r="AG234" s="7"/>
      <c r="AJ234" s="7"/>
      <c r="AK234" s="7"/>
      <c r="AM234" s="7"/>
      <c r="AN234" s="7"/>
      <c r="AP234" s="7"/>
      <c r="AQ234" s="7"/>
      <c r="AS234" s="7"/>
      <c r="AT234" s="7"/>
      <c r="AV234" s="7"/>
      <c r="AW234" s="7"/>
    </row>
    <row r="235" spans="6:49" x14ac:dyDescent="0.3">
      <c r="F235" s="7"/>
      <c r="G235" s="7"/>
      <c r="J235" s="7"/>
      <c r="K235" s="7"/>
      <c r="M235" s="7"/>
      <c r="N235" s="7"/>
      <c r="Q235" s="7"/>
      <c r="R235" s="7"/>
      <c r="U235" s="7"/>
      <c r="V235" s="7"/>
      <c r="Y235" s="7"/>
      <c r="Z235" s="7"/>
      <c r="AB235" s="7"/>
      <c r="AC235" s="7"/>
      <c r="AF235" s="7"/>
      <c r="AG235" s="7"/>
      <c r="AJ235" s="7"/>
      <c r="AK235" s="7"/>
      <c r="AM235" s="7"/>
      <c r="AN235" s="7"/>
      <c r="AP235" s="7"/>
      <c r="AQ235" s="7"/>
      <c r="AS235" s="7"/>
      <c r="AT235" s="7"/>
      <c r="AV235" s="7"/>
      <c r="AW235" s="7"/>
    </row>
    <row r="236" spans="6:49" x14ac:dyDescent="0.3">
      <c r="F236" s="7"/>
      <c r="G236" s="7"/>
      <c r="J236" s="7"/>
      <c r="K236" s="7"/>
      <c r="M236" s="7"/>
      <c r="N236" s="7"/>
      <c r="Q236" s="7"/>
      <c r="R236" s="7"/>
      <c r="U236" s="7"/>
      <c r="V236" s="7"/>
      <c r="Y236" s="7"/>
      <c r="Z236" s="7"/>
      <c r="AB236" s="7"/>
      <c r="AC236" s="7"/>
      <c r="AF236" s="7"/>
      <c r="AG236" s="7"/>
      <c r="AJ236" s="7"/>
      <c r="AK236" s="7"/>
      <c r="AM236" s="7"/>
      <c r="AN236" s="7"/>
      <c r="AP236" s="7"/>
      <c r="AQ236" s="7"/>
      <c r="AS236" s="7"/>
      <c r="AT236" s="7"/>
      <c r="AV236" s="7"/>
      <c r="AW236" s="7"/>
    </row>
    <row r="237" spans="6:49" x14ac:dyDescent="0.3">
      <c r="F237" s="7"/>
      <c r="G237" s="7"/>
      <c r="J237" s="7"/>
      <c r="K237" s="7"/>
      <c r="M237" s="7"/>
      <c r="N237" s="7"/>
      <c r="Q237" s="7"/>
      <c r="R237" s="7"/>
      <c r="U237" s="7"/>
      <c r="V237" s="7"/>
      <c r="Y237" s="7"/>
      <c r="Z237" s="7"/>
      <c r="AB237" s="7"/>
      <c r="AC237" s="7"/>
      <c r="AF237" s="7"/>
      <c r="AG237" s="7"/>
      <c r="AJ237" s="7"/>
      <c r="AK237" s="7"/>
      <c r="AM237" s="7"/>
      <c r="AN237" s="7"/>
      <c r="AP237" s="7"/>
      <c r="AQ237" s="7"/>
      <c r="AS237" s="7"/>
      <c r="AT237" s="7"/>
      <c r="AV237" s="7"/>
      <c r="AW237" s="7"/>
    </row>
    <row r="238" spans="6:49" x14ac:dyDescent="0.3">
      <c r="F238" s="7"/>
      <c r="G238" s="7"/>
      <c r="J238" s="7"/>
      <c r="K238" s="7"/>
      <c r="M238" s="7"/>
      <c r="N238" s="7"/>
      <c r="Q238" s="7"/>
      <c r="R238" s="7"/>
      <c r="U238" s="7"/>
      <c r="V238" s="7"/>
      <c r="Y238" s="7"/>
      <c r="Z238" s="7"/>
      <c r="AB238" s="7"/>
      <c r="AC238" s="7"/>
      <c r="AF238" s="7"/>
      <c r="AG238" s="7"/>
      <c r="AJ238" s="7"/>
      <c r="AK238" s="7"/>
      <c r="AM238" s="7"/>
      <c r="AN238" s="7"/>
      <c r="AP238" s="7"/>
      <c r="AQ238" s="7"/>
      <c r="AS238" s="7"/>
      <c r="AT238" s="7"/>
      <c r="AV238" s="7"/>
      <c r="AW238" s="7"/>
    </row>
    <row r="239" spans="6:49" x14ac:dyDescent="0.3">
      <c r="F239" s="7"/>
      <c r="G239" s="7"/>
      <c r="J239" s="7"/>
      <c r="K239" s="7"/>
      <c r="M239" s="7"/>
      <c r="N239" s="7"/>
      <c r="Q239" s="7"/>
      <c r="R239" s="7"/>
      <c r="U239" s="7"/>
      <c r="V239" s="7"/>
      <c r="Y239" s="7"/>
      <c r="Z239" s="7"/>
      <c r="AB239" s="7"/>
      <c r="AC239" s="7"/>
      <c r="AF239" s="7"/>
      <c r="AG239" s="7"/>
      <c r="AJ239" s="7"/>
      <c r="AK239" s="7"/>
      <c r="AM239" s="7"/>
      <c r="AN239" s="7"/>
      <c r="AP239" s="7"/>
      <c r="AQ239" s="7"/>
      <c r="AS239" s="7"/>
      <c r="AT239" s="7"/>
      <c r="AV239" s="7"/>
      <c r="AW239" s="7"/>
    </row>
    <row r="240" spans="6:49" x14ac:dyDescent="0.3">
      <c r="F240" s="7"/>
      <c r="G240" s="7"/>
      <c r="J240" s="7"/>
      <c r="K240" s="7"/>
      <c r="M240" s="7"/>
      <c r="N240" s="7"/>
      <c r="Q240" s="7"/>
      <c r="R240" s="7"/>
      <c r="U240" s="7"/>
      <c r="V240" s="7"/>
      <c r="Y240" s="7"/>
      <c r="Z240" s="7"/>
      <c r="AB240" s="7"/>
      <c r="AC240" s="7"/>
      <c r="AF240" s="7"/>
      <c r="AG240" s="7"/>
      <c r="AJ240" s="7"/>
      <c r="AK240" s="7"/>
      <c r="AM240" s="7"/>
      <c r="AN240" s="7"/>
      <c r="AP240" s="7"/>
      <c r="AQ240" s="7"/>
      <c r="AS240" s="7"/>
      <c r="AT240" s="7"/>
      <c r="AV240" s="7"/>
      <c r="AW240" s="7"/>
    </row>
    <row r="241" spans="6:49" x14ac:dyDescent="0.3">
      <c r="F241" s="7"/>
      <c r="G241" s="7"/>
      <c r="J241" s="7"/>
      <c r="K241" s="7"/>
      <c r="M241" s="7"/>
      <c r="N241" s="7"/>
      <c r="Q241" s="7"/>
      <c r="R241" s="7"/>
      <c r="U241" s="7"/>
      <c r="V241" s="7"/>
      <c r="Y241" s="7"/>
      <c r="Z241" s="7"/>
      <c r="AB241" s="7"/>
      <c r="AC241" s="7"/>
      <c r="AF241" s="7"/>
      <c r="AG241" s="7"/>
      <c r="AJ241" s="7"/>
      <c r="AK241" s="7"/>
      <c r="AM241" s="7"/>
      <c r="AN241" s="7"/>
      <c r="AP241" s="7"/>
      <c r="AQ241" s="7"/>
      <c r="AS241" s="7"/>
      <c r="AT241" s="7"/>
      <c r="AV241" s="7"/>
      <c r="AW241" s="7"/>
    </row>
    <row r="242" spans="6:49" x14ac:dyDescent="0.3">
      <c r="F242" s="7"/>
      <c r="G242" s="7"/>
      <c r="J242" s="7"/>
      <c r="K242" s="7"/>
      <c r="M242" s="7"/>
      <c r="N242" s="7"/>
      <c r="Q242" s="7"/>
      <c r="R242" s="7"/>
      <c r="U242" s="7"/>
      <c r="V242" s="7"/>
      <c r="Y242" s="7"/>
      <c r="Z242" s="7"/>
      <c r="AB242" s="7"/>
      <c r="AC242" s="7"/>
      <c r="AF242" s="7"/>
      <c r="AG242" s="7"/>
      <c r="AJ242" s="7"/>
      <c r="AK242" s="7"/>
      <c r="AM242" s="7"/>
      <c r="AN242" s="7"/>
      <c r="AP242" s="7"/>
      <c r="AQ242" s="7"/>
      <c r="AS242" s="7"/>
      <c r="AT242" s="7"/>
      <c r="AV242" s="7"/>
      <c r="AW242" s="7"/>
    </row>
    <row r="243" spans="6:49" x14ac:dyDescent="0.3">
      <c r="F243" s="7"/>
      <c r="G243" s="7"/>
      <c r="J243" s="7"/>
      <c r="K243" s="7"/>
      <c r="M243" s="7"/>
      <c r="N243" s="7"/>
      <c r="Q243" s="7"/>
      <c r="R243" s="7"/>
      <c r="U243" s="7"/>
      <c r="V243" s="7"/>
      <c r="Y243" s="7"/>
      <c r="Z243" s="7"/>
      <c r="AB243" s="7"/>
      <c r="AC243" s="7"/>
      <c r="AF243" s="7"/>
      <c r="AG243" s="7"/>
      <c r="AJ243" s="7"/>
      <c r="AK243" s="7"/>
      <c r="AM243" s="7"/>
      <c r="AN243" s="7"/>
      <c r="AP243" s="7"/>
      <c r="AQ243" s="7"/>
      <c r="AS243" s="7"/>
      <c r="AT243" s="7"/>
      <c r="AV243" s="7"/>
      <c r="AW243" s="7"/>
    </row>
    <row r="244" spans="6:49" x14ac:dyDescent="0.3">
      <c r="F244" s="7"/>
      <c r="G244" s="7"/>
      <c r="J244" s="7"/>
      <c r="K244" s="7"/>
      <c r="M244" s="7"/>
      <c r="N244" s="7"/>
      <c r="Q244" s="7"/>
      <c r="R244" s="7"/>
      <c r="U244" s="7"/>
      <c r="V244" s="7"/>
      <c r="Y244" s="7"/>
      <c r="Z244" s="7"/>
      <c r="AB244" s="7"/>
      <c r="AC244" s="7"/>
      <c r="AF244" s="7"/>
      <c r="AG244" s="7"/>
      <c r="AJ244" s="7"/>
      <c r="AK244" s="7"/>
      <c r="AM244" s="7"/>
      <c r="AN244" s="7"/>
      <c r="AP244" s="7"/>
      <c r="AQ244" s="7"/>
      <c r="AS244" s="7"/>
      <c r="AT244" s="7"/>
      <c r="AV244" s="7"/>
      <c r="AW244" s="7"/>
    </row>
    <row r="245" spans="6:49" x14ac:dyDescent="0.3">
      <c r="F245" s="7"/>
      <c r="G245" s="7"/>
      <c r="J245" s="7"/>
      <c r="K245" s="7"/>
      <c r="M245" s="7"/>
      <c r="N245" s="7"/>
      <c r="Q245" s="7"/>
      <c r="R245" s="7"/>
      <c r="U245" s="7"/>
      <c r="V245" s="7"/>
      <c r="Y245" s="7"/>
      <c r="Z245" s="7"/>
      <c r="AB245" s="7"/>
      <c r="AC245" s="7"/>
      <c r="AF245" s="7"/>
      <c r="AG245" s="7"/>
      <c r="AJ245" s="7"/>
      <c r="AK245" s="7"/>
      <c r="AM245" s="7"/>
      <c r="AN245" s="7"/>
      <c r="AP245" s="7"/>
      <c r="AQ245" s="7"/>
      <c r="AS245" s="7"/>
      <c r="AT245" s="7"/>
      <c r="AV245" s="7"/>
      <c r="AW245" s="7"/>
    </row>
    <row r="246" spans="6:49" x14ac:dyDescent="0.3">
      <c r="F246" s="7"/>
      <c r="G246" s="7"/>
      <c r="J246" s="7"/>
      <c r="K246" s="7"/>
      <c r="M246" s="7"/>
      <c r="N246" s="7"/>
      <c r="Q246" s="7"/>
      <c r="R246" s="7"/>
      <c r="U246" s="7"/>
      <c r="V246" s="7"/>
      <c r="Y246" s="7"/>
      <c r="Z246" s="7"/>
      <c r="AB246" s="7"/>
      <c r="AC246" s="7"/>
      <c r="AF246" s="7"/>
      <c r="AG246" s="7"/>
      <c r="AJ246" s="7"/>
      <c r="AK246" s="7"/>
      <c r="AM246" s="7"/>
      <c r="AN246" s="7"/>
      <c r="AP246" s="7"/>
      <c r="AQ246" s="7"/>
      <c r="AS246" s="7"/>
      <c r="AT246" s="7"/>
      <c r="AV246" s="7"/>
      <c r="AW246" s="7"/>
    </row>
    <row r="247" spans="6:49" x14ac:dyDescent="0.3">
      <c r="F247" s="7"/>
      <c r="G247" s="7"/>
      <c r="J247" s="7"/>
      <c r="K247" s="7"/>
      <c r="M247" s="7"/>
      <c r="N247" s="7"/>
      <c r="Q247" s="7"/>
      <c r="R247" s="7"/>
      <c r="U247" s="7"/>
      <c r="V247" s="7"/>
      <c r="Y247" s="7"/>
      <c r="Z247" s="7"/>
      <c r="AB247" s="7"/>
      <c r="AC247" s="7"/>
      <c r="AF247" s="7"/>
      <c r="AG247" s="7"/>
      <c r="AJ247" s="7"/>
      <c r="AK247" s="7"/>
      <c r="AM247" s="7"/>
      <c r="AN247" s="7"/>
      <c r="AP247" s="7"/>
      <c r="AQ247" s="7"/>
      <c r="AS247" s="7"/>
      <c r="AT247" s="7"/>
      <c r="AV247" s="7"/>
      <c r="AW247" s="7"/>
    </row>
    <row r="248" spans="6:49" x14ac:dyDescent="0.3">
      <c r="F248" s="7"/>
      <c r="G248" s="7"/>
      <c r="J248" s="7"/>
      <c r="K248" s="7"/>
      <c r="M248" s="7"/>
      <c r="N248" s="7"/>
      <c r="Q248" s="7"/>
      <c r="R248" s="7"/>
      <c r="U248" s="7"/>
      <c r="V248" s="7"/>
      <c r="Y248" s="7"/>
      <c r="Z248" s="7"/>
      <c r="AB248" s="7"/>
      <c r="AC248" s="7"/>
      <c r="AF248" s="7"/>
      <c r="AG248" s="7"/>
      <c r="AJ248" s="7"/>
      <c r="AK248" s="7"/>
      <c r="AM248" s="7"/>
      <c r="AN248" s="7"/>
      <c r="AP248" s="7"/>
      <c r="AQ248" s="7"/>
      <c r="AS248" s="7"/>
      <c r="AT248" s="7"/>
      <c r="AV248" s="7"/>
      <c r="AW248" s="7"/>
    </row>
    <row r="249" spans="6:49" x14ac:dyDescent="0.3">
      <c r="F249" s="7"/>
      <c r="G249" s="7"/>
      <c r="J249" s="7"/>
      <c r="K249" s="7"/>
      <c r="M249" s="7"/>
      <c r="N249" s="7"/>
      <c r="Q249" s="7"/>
      <c r="R249" s="7"/>
      <c r="U249" s="7"/>
      <c r="V249" s="7"/>
      <c r="Y249" s="7"/>
      <c r="Z249" s="7"/>
      <c r="AB249" s="7"/>
      <c r="AC249" s="7"/>
      <c r="AF249" s="7"/>
      <c r="AG249" s="7"/>
      <c r="AJ249" s="7"/>
      <c r="AK249" s="7"/>
      <c r="AM249" s="7"/>
      <c r="AN249" s="7"/>
      <c r="AP249" s="7"/>
      <c r="AQ249" s="7"/>
      <c r="AS249" s="7"/>
      <c r="AT249" s="7"/>
      <c r="AV249" s="7"/>
      <c r="AW249" s="7"/>
    </row>
    <row r="250" spans="6:49" x14ac:dyDescent="0.3">
      <c r="F250" s="7"/>
      <c r="G250" s="7"/>
      <c r="J250" s="7"/>
      <c r="K250" s="7"/>
      <c r="M250" s="7"/>
      <c r="N250" s="7"/>
      <c r="Q250" s="7"/>
      <c r="R250" s="7"/>
      <c r="U250" s="7"/>
      <c r="V250" s="7"/>
      <c r="Y250" s="7"/>
      <c r="Z250" s="7"/>
      <c r="AB250" s="7"/>
      <c r="AC250" s="7"/>
      <c r="AF250" s="7"/>
      <c r="AG250" s="7"/>
      <c r="AJ250" s="7"/>
      <c r="AK250" s="7"/>
      <c r="AM250" s="7"/>
      <c r="AN250" s="7"/>
      <c r="AP250" s="7"/>
      <c r="AQ250" s="7"/>
      <c r="AS250" s="7"/>
      <c r="AT250" s="7"/>
      <c r="AV250" s="7"/>
      <c r="AW250" s="7"/>
    </row>
    <row r="251" spans="6:49" x14ac:dyDescent="0.3">
      <c r="F251" s="7"/>
      <c r="G251" s="7"/>
      <c r="J251" s="7"/>
      <c r="K251" s="7"/>
      <c r="M251" s="7"/>
      <c r="N251" s="7"/>
      <c r="Q251" s="7"/>
      <c r="R251" s="7"/>
      <c r="U251" s="7"/>
      <c r="V251" s="7"/>
      <c r="Y251" s="7"/>
      <c r="Z251" s="7"/>
      <c r="AB251" s="7"/>
      <c r="AC251" s="7"/>
      <c r="AF251" s="7"/>
      <c r="AG251" s="7"/>
      <c r="AJ251" s="7"/>
      <c r="AK251" s="7"/>
      <c r="AM251" s="7"/>
      <c r="AN251" s="7"/>
      <c r="AP251" s="7"/>
      <c r="AQ251" s="7"/>
      <c r="AS251" s="7"/>
      <c r="AT251" s="7"/>
      <c r="AV251" s="7"/>
      <c r="AW251" s="7"/>
    </row>
    <row r="252" spans="6:49" x14ac:dyDescent="0.3">
      <c r="F252" s="7"/>
      <c r="G252" s="7"/>
      <c r="J252" s="7"/>
      <c r="K252" s="7"/>
      <c r="M252" s="7"/>
      <c r="N252" s="7"/>
      <c r="Q252" s="7"/>
      <c r="R252" s="7"/>
      <c r="U252" s="7"/>
      <c r="V252" s="7"/>
      <c r="Y252" s="7"/>
      <c r="Z252" s="7"/>
      <c r="AB252" s="7"/>
      <c r="AC252" s="7"/>
      <c r="AF252" s="7"/>
      <c r="AG252" s="7"/>
      <c r="AJ252" s="7"/>
      <c r="AK252" s="7"/>
      <c r="AM252" s="7"/>
      <c r="AN252" s="7"/>
      <c r="AP252" s="7"/>
      <c r="AQ252" s="7"/>
      <c r="AS252" s="7"/>
      <c r="AT252" s="7"/>
      <c r="AV252" s="7"/>
      <c r="AW252" s="7"/>
    </row>
    <row r="253" spans="6:49" x14ac:dyDescent="0.3">
      <c r="F253" s="7"/>
      <c r="G253" s="7"/>
      <c r="J253" s="7"/>
      <c r="K253" s="7"/>
      <c r="M253" s="7"/>
      <c r="N253" s="7"/>
      <c r="Q253" s="7"/>
      <c r="R253" s="7"/>
      <c r="U253" s="7"/>
      <c r="V253" s="7"/>
      <c r="Y253" s="7"/>
      <c r="Z253" s="7"/>
      <c r="AB253" s="7"/>
      <c r="AC253" s="7"/>
      <c r="AF253" s="7"/>
      <c r="AG253" s="7"/>
      <c r="AJ253" s="7"/>
      <c r="AK253" s="7"/>
      <c r="AM253" s="7"/>
      <c r="AN253" s="7"/>
      <c r="AP253" s="7"/>
      <c r="AQ253" s="7"/>
      <c r="AS253" s="7"/>
      <c r="AT253" s="7"/>
      <c r="AV253" s="7"/>
      <c r="AW253" s="7"/>
    </row>
    <row r="254" spans="6:49" x14ac:dyDescent="0.3">
      <c r="F254" s="7"/>
      <c r="G254" s="7"/>
      <c r="J254" s="7"/>
      <c r="K254" s="7"/>
      <c r="M254" s="7"/>
      <c r="N254" s="7"/>
      <c r="Q254" s="7"/>
      <c r="R254" s="7"/>
      <c r="U254" s="7"/>
      <c r="V254" s="7"/>
      <c r="Y254" s="7"/>
      <c r="Z254" s="7"/>
      <c r="AB254" s="7"/>
      <c r="AC254" s="7"/>
      <c r="AF254" s="7"/>
      <c r="AG254" s="7"/>
      <c r="AJ254" s="7"/>
      <c r="AK254" s="7"/>
      <c r="AM254" s="7"/>
      <c r="AN254" s="7"/>
      <c r="AP254" s="7"/>
      <c r="AQ254" s="7"/>
      <c r="AS254" s="7"/>
      <c r="AT254" s="7"/>
      <c r="AV254" s="7"/>
      <c r="AW254" s="7"/>
    </row>
    <row r="255" spans="6:49" x14ac:dyDescent="0.3">
      <c r="F255" s="7"/>
      <c r="G255" s="7"/>
      <c r="J255" s="7"/>
      <c r="K255" s="7"/>
      <c r="M255" s="7"/>
      <c r="N255" s="7"/>
      <c r="Q255" s="7"/>
      <c r="R255" s="7"/>
      <c r="U255" s="7"/>
      <c r="V255" s="7"/>
      <c r="Y255" s="7"/>
      <c r="Z255" s="7"/>
      <c r="AB255" s="7"/>
      <c r="AC255" s="7"/>
      <c r="AF255" s="7"/>
      <c r="AG255" s="7"/>
      <c r="AJ255" s="7"/>
      <c r="AK255" s="7"/>
      <c r="AM255" s="7"/>
      <c r="AN255" s="7"/>
      <c r="AP255" s="7"/>
      <c r="AQ255" s="7"/>
      <c r="AS255" s="7"/>
      <c r="AT255" s="7"/>
      <c r="AV255" s="7"/>
      <c r="AW255" s="7"/>
    </row>
    <row r="256" spans="6:49" x14ac:dyDescent="0.3">
      <c r="F256" s="7"/>
      <c r="G256" s="7"/>
      <c r="J256" s="7"/>
      <c r="K256" s="7"/>
      <c r="M256" s="7"/>
      <c r="N256" s="7"/>
      <c r="Q256" s="7"/>
      <c r="R256" s="7"/>
      <c r="U256" s="7"/>
      <c r="V256" s="7"/>
      <c r="Y256" s="7"/>
      <c r="Z256" s="7"/>
      <c r="AB256" s="7"/>
      <c r="AC256" s="7"/>
      <c r="AF256" s="7"/>
      <c r="AG256" s="7"/>
      <c r="AJ256" s="7"/>
      <c r="AK256" s="7"/>
      <c r="AM256" s="7"/>
      <c r="AN256" s="7"/>
      <c r="AP256" s="7"/>
      <c r="AQ256" s="7"/>
      <c r="AS256" s="7"/>
      <c r="AT256" s="7"/>
      <c r="AV256" s="7"/>
      <c r="AW256" s="7"/>
    </row>
    <row r="257" spans="6:49" x14ac:dyDescent="0.3">
      <c r="F257" s="7"/>
      <c r="G257" s="7"/>
      <c r="J257" s="7"/>
      <c r="K257" s="7"/>
      <c r="M257" s="7"/>
      <c r="N257" s="7"/>
      <c r="Q257" s="7"/>
      <c r="R257" s="7"/>
      <c r="U257" s="7"/>
      <c r="V257" s="7"/>
      <c r="Y257" s="7"/>
      <c r="Z257" s="7"/>
      <c r="AB257" s="7"/>
      <c r="AC257" s="7"/>
      <c r="AF257" s="7"/>
      <c r="AG257" s="7"/>
      <c r="AJ257" s="7"/>
      <c r="AK257" s="7"/>
      <c r="AM257" s="7"/>
      <c r="AN257" s="7"/>
      <c r="AP257" s="7"/>
      <c r="AQ257" s="7"/>
      <c r="AS257" s="7"/>
      <c r="AT257" s="7"/>
      <c r="AV257" s="7"/>
      <c r="AW257" s="7"/>
    </row>
    <row r="258" spans="6:49" x14ac:dyDescent="0.3">
      <c r="F258" s="7"/>
      <c r="G258" s="7"/>
      <c r="J258" s="7"/>
      <c r="K258" s="7"/>
      <c r="M258" s="7"/>
      <c r="N258" s="7"/>
      <c r="Q258" s="7"/>
      <c r="R258" s="7"/>
      <c r="U258" s="7"/>
      <c r="V258" s="7"/>
      <c r="Y258" s="7"/>
      <c r="Z258" s="7"/>
      <c r="AB258" s="7"/>
      <c r="AC258" s="7"/>
      <c r="AF258" s="7"/>
      <c r="AG258" s="7"/>
      <c r="AJ258" s="7"/>
      <c r="AK258" s="7"/>
      <c r="AM258" s="7"/>
      <c r="AN258" s="7"/>
      <c r="AP258" s="7"/>
      <c r="AQ258" s="7"/>
      <c r="AS258" s="7"/>
      <c r="AT258" s="7"/>
      <c r="AV258" s="7"/>
      <c r="AW258" s="7"/>
    </row>
    <row r="259" spans="6:49" x14ac:dyDescent="0.3">
      <c r="F259" s="7"/>
      <c r="G259" s="7"/>
      <c r="J259" s="7"/>
      <c r="K259" s="7"/>
      <c r="M259" s="7"/>
      <c r="N259" s="7"/>
      <c r="Q259" s="7"/>
      <c r="R259" s="7"/>
      <c r="U259" s="7"/>
      <c r="V259" s="7"/>
      <c r="Y259" s="7"/>
      <c r="Z259" s="7"/>
      <c r="AB259" s="7"/>
      <c r="AC259" s="7"/>
      <c r="AF259" s="7"/>
      <c r="AG259" s="7"/>
      <c r="AJ259" s="7"/>
      <c r="AK259" s="7"/>
      <c r="AM259" s="7"/>
      <c r="AN259" s="7"/>
      <c r="AP259" s="7"/>
      <c r="AQ259" s="7"/>
      <c r="AS259" s="7"/>
      <c r="AT259" s="7"/>
      <c r="AV259" s="7"/>
      <c r="AW259" s="7"/>
    </row>
    <row r="260" spans="6:49" x14ac:dyDescent="0.3">
      <c r="F260" s="7"/>
      <c r="G260" s="7"/>
      <c r="J260" s="7"/>
      <c r="K260" s="7"/>
      <c r="M260" s="7"/>
      <c r="N260" s="7"/>
      <c r="Q260" s="7"/>
      <c r="R260" s="7"/>
      <c r="U260" s="7"/>
      <c r="V260" s="7"/>
      <c r="Y260" s="7"/>
      <c r="Z260" s="7"/>
      <c r="AB260" s="7"/>
      <c r="AC260" s="7"/>
      <c r="AF260" s="7"/>
      <c r="AG260" s="7"/>
      <c r="AJ260" s="7"/>
      <c r="AK260" s="7"/>
      <c r="AM260" s="7"/>
      <c r="AN260" s="7"/>
      <c r="AP260" s="7"/>
      <c r="AQ260" s="7"/>
      <c r="AS260" s="7"/>
      <c r="AT260" s="7"/>
      <c r="AV260" s="7"/>
      <c r="AW260" s="7"/>
    </row>
    <row r="261" spans="6:49" x14ac:dyDescent="0.3">
      <c r="F261" s="7"/>
      <c r="G261" s="7"/>
      <c r="J261" s="7"/>
      <c r="K261" s="7"/>
      <c r="M261" s="7"/>
      <c r="N261" s="7"/>
      <c r="Q261" s="7"/>
      <c r="R261" s="7"/>
      <c r="U261" s="7"/>
      <c r="V261" s="7"/>
      <c r="Y261" s="7"/>
      <c r="Z261" s="7"/>
      <c r="AB261" s="7"/>
      <c r="AC261" s="7"/>
      <c r="AF261" s="7"/>
      <c r="AG261" s="7"/>
      <c r="AJ261" s="7"/>
      <c r="AK261" s="7"/>
      <c r="AM261" s="7"/>
      <c r="AN261" s="7"/>
      <c r="AP261" s="7"/>
      <c r="AQ261" s="7"/>
      <c r="AS261" s="7"/>
      <c r="AT261" s="7"/>
      <c r="AV261" s="7"/>
      <c r="AW261" s="7"/>
    </row>
    <row r="262" spans="6:49" x14ac:dyDescent="0.3">
      <c r="F262" s="7"/>
      <c r="G262" s="7"/>
      <c r="J262" s="7"/>
      <c r="K262" s="7"/>
      <c r="M262" s="7"/>
      <c r="N262" s="7"/>
      <c r="Q262" s="7"/>
      <c r="R262" s="7"/>
      <c r="U262" s="7"/>
      <c r="V262" s="7"/>
      <c r="Y262" s="7"/>
      <c r="Z262" s="7"/>
      <c r="AB262" s="7"/>
      <c r="AC262" s="7"/>
      <c r="AF262" s="7"/>
      <c r="AG262" s="7"/>
      <c r="AJ262" s="7"/>
      <c r="AK262" s="7"/>
      <c r="AM262" s="7"/>
      <c r="AN262" s="7"/>
      <c r="AP262" s="7"/>
      <c r="AQ262" s="7"/>
      <c r="AS262" s="7"/>
      <c r="AT262" s="7"/>
      <c r="AV262" s="7"/>
      <c r="AW262" s="7"/>
    </row>
    <row r="263" spans="6:49" x14ac:dyDescent="0.3">
      <c r="F263" s="7"/>
      <c r="G263" s="7"/>
      <c r="J263" s="7"/>
      <c r="K263" s="7"/>
      <c r="M263" s="7"/>
      <c r="N263" s="7"/>
      <c r="Q263" s="7"/>
      <c r="R263" s="7"/>
      <c r="U263" s="7"/>
      <c r="V263" s="7"/>
      <c r="Y263" s="7"/>
      <c r="Z263" s="7"/>
      <c r="AB263" s="7"/>
      <c r="AC263" s="7"/>
      <c r="AF263" s="7"/>
      <c r="AG263" s="7"/>
      <c r="AJ263" s="7"/>
      <c r="AK263" s="7"/>
      <c r="AM263" s="7"/>
      <c r="AN263" s="7"/>
      <c r="AP263" s="7"/>
      <c r="AQ263" s="7"/>
      <c r="AS263" s="7"/>
      <c r="AT263" s="7"/>
      <c r="AV263" s="7"/>
      <c r="AW263" s="7"/>
    </row>
    <row r="264" spans="6:49" x14ac:dyDescent="0.3">
      <c r="F264" s="7"/>
      <c r="G264" s="7"/>
      <c r="J264" s="7"/>
      <c r="K264" s="7"/>
      <c r="M264" s="7"/>
      <c r="N264" s="7"/>
      <c r="Q264" s="7"/>
      <c r="R264" s="7"/>
      <c r="U264" s="7"/>
      <c r="V264" s="7"/>
      <c r="Y264" s="7"/>
      <c r="Z264" s="7"/>
      <c r="AB264" s="7"/>
      <c r="AC264" s="7"/>
      <c r="AF264" s="7"/>
      <c r="AG264" s="7"/>
      <c r="AJ264" s="7"/>
      <c r="AK264" s="7"/>
      <c r="AM264" s="7"/>
      <c r="AN264" s="7"/>
      <c r="AP264" s="7"/>
      <c r="AQ264" s="7"/>
      <c r="AS264" s="7"/>
      <c r="AT264" s="7"/>
      <c r="AV264" s="7"/>
      <c r="AW264" s="7"/>
    </row>
    <row r="265" spans="6:49" x14ac:dyDescent="0.3">
      <c r="F265" s="7"/>
      <c r="G265" s="7"/>
      <c r="J265" s="7"/>
      <c r="K265" s="7"/>
      <c r="M265" s="7"/>
      <c r="N265" s="7"/>
      <c r="Q265" s="7"/>
      <c r="R265" s="7"/>
      <c r="U265" s="7"/>
      <c r="V265" s="7"/>
      <c r="Y265" s="7"/>
      <c r="Z265" s="7"/>
      <c r="AB265" s="7"/>
      <c r="AC265" s="7"/>
      <c r="AF265" s="7"/>
      <c r="AG265" s="7"/>
      <c r="AJ265" s="7"/>
      <c r="AK265" s="7"/>
      <c r="AM265" s="7"/>
      <c r="AN265" s="7"/>
      <c r="AP265" s="7"/>
      <c r="AQ265" s="7"/>
      <c r="AS265" s="7"/>
      <c r="AT265" s="7"/>
      <c r="AV265" s="7"/>
      <c r="AW265" s="7"/>
    </row>
    <row r="266" spans="6:49" x14ac:dyDescent="0.3">
      <c r="F266" s="7"/>
      <c r="G266" s="7"/>
      <c r="J266" s="7"/>
      <c r="K266" s="7"/>
      <c r="M266" s="7"/>
      <c r="N266" s="7"/>
      <c r="Q266" s="7"/>
      <c r="R266" s="7"/>
      <c r="U266" s="7"/>
      <c r="V266" s="7"/>
      <c r="Y266" s="7"/>
      <c r="Z266" s="7"/>
      <c r="AB266" s="7"/>
      <c r="AC266" s="7"/>
      <c r="AF266" s="7"/>
      <c r="AG266" s="7"/>
      <c r="AJ266" s="7"/>
      <c r="AK266" s="7"/>
      <c r="AM266" s="7"/>
      <c r="AN266" s="7"/>
      <c r="AP266" s="7"/>
      <c r="AQ266" s="7"/>
      <c r="AS266" s="7"/>
      <c r="AT266" s="7"/>
      <c r="AV266" s="7"/>
      <c r="AW266" s="7"/>
    </row>
    <row r="267" spans="6:49" x14ac:dyDescent="0.3">
      <c r="F267" s="7"/>
      <c r="G267" s="7"/>
      <c r="J267" s="7"/>
      <c r="K267" s="7"/>
      <c r="M267" s="7"/>
      <c r="N267" s="7"/>
      <c r="Q267" s="7"/>
      <c r="R267" s="7"/>
      <c r="U267" s="7"/>
      <c r="V267" s="7"/>
      <c r="Y267" s="7"/>
      <c r="Z267" s="7"/>
      <c r="AB267" s="7"/>
      <c r="AC267" s="7"/>
      <c r="AF267" s="7"/>
      <c r="AG267" s="7"/>
      <c r="AJ267" s="7"/>
      <c r="AK267" s="7"/>
      <c r="AM267" s="7"/>
      <c r="AN267" s="7"/>
      <c r="AP267" s="7"/>
      <c r="AQ267" s="7"/>
      <c r="AS267" s="7"/>
      <c r="AT267" s="7"/>
      <c r="AV267" s="7"/>
      <c r="AW267" s="7"/>
    </row>
    <row r="268" spans="6:49" x14ac:dyDescent="0.3">
      <c r="F268" s="7"/>
      <c r="G268" s="7"/>
      <c r="J268" s="7"/>
      <c r="K268" s="7"/>
      <c r="M268" s="7"/>
      <c r="N268" s="7"/>
      <c r="Q268" s="7"/>
      <c r="R268" s="7"/>
      <c r="U268" s="7"/>
      <c r="V268" s="7"/>
      <c r="Y268" s="7"/>
      <c r="Z268" s="7"/>
      <c r="AB268" s="7"/>
      <c r="AC268" s="7"/>
      <c r="AF268" s="7"/>
      <c r="AG268" s="7"/>
      <c r="AJ268" s="7"/>
      <c r="AK268" s="7"/>
      <c r="AM268" s="7"/>
      <c r="AN268" s="7"/>
      <c r="AP268" s="7"/>
      <c r="AQ268" s="7"/>
      <c r="AS268" s="7"/>
      <c r="AT268" s="7"/>
      <c r="AV268" s="7"/>
      <c r="AW268" s="7"/>
    </row>
    <row r="269" spans="6:49" x14ac:dyDescent="0.3">
      <c r="F269" s="7"/>
      <c r="G269" s="7"/>
      <c r="J269" s="7"/>
      <c r="K269" s="7"/>
      <c r="M269" s="7"/>
      <c r="N269" s="7"/>
      <c r="Q269" s="7"/>
      <c r="R269" s="7"/>
      <c r="U269" s="7"/>
      <c r="V269" s="7"/>
      <c r="Y269" s="7"/>
      <c r="Z269" s="7"/>
      <c r="AB269" s="7"/>
      <c r="AC269" s="7"/>
      <c r="AF269" s="7"/>
      <c r="AG269" s="7"/>
      <c r="AJ269" s="7"/>
      <c r="AK269" s="7"/>
      <c r="AM269" s="7"/>
      <c r="AN269" s="7"/>
      <c r="AP269" s="7"/>
      <c r="AQ269" s="7"/>
      <c r="AS269" s="7"/>
      <c r="AT269" s="7"/>
      <c r="AV269" s="7"/>
      <c r="AW269" s="7"/>
    </row>
    <row r="270" spans="6:49" x14ac:dyDescent="0.3">
      <c r="F270" s="7"/>
      <c r="G270" s="7"/>
      <c r="J270" s="7"/>
      <c r="K270" s="7"/>
      <c r="M270" s="7"/>
      <c r="N270" s="7"/>
      <c r="Q270" s="7"/>
      <c r="R270" s="7"/>
      <c r="U270" s="7"/>
      <c r="V270" s="7"/>
      <c r="Y270" s="7"/>
      <c r="Z270" s="7"/>
      <c r="AB270" s="7"/>
      <c r="AC270" s="7"/>
      <c r="AF270" s="7"/>
      <c r="AG270" s="7"/>
      <c r="AJ270" s="7"/>
      <c r="AK270" s="7"/>
      <c r="AM270" s="7"/>
      <c r="AN270" s="7"/>
      <c r="AP270" s="7"/>
      <c r="AQ270" s="7"/>
      <c r="AS270" s="7"/>
      <c r="AT270" s="7"/>
      <c r="AV270" s="7"/>
      <c r="AW270" s="7"/>
    </row>
    <row r="271" spans="6:49" x14ac:dyDescent="0.3">
      <c r="F271" s="7"/>
      <c r="G271" s="7"/>
      <c r="J271" s="7"/>
      <c r="K271" s="7"/>
      <c r="M271" s="7"/>
      <c r="N271" s="7"/>
      <c r="Q271" s="7"/>
      <c r="R271" s="7"/>
      <c r="U271" s="7"/>
      <c r="V271" s="7"/>
      <c r="Y271" s="7"/>
      <c r="Z271" s="7"/>
      <c r="AB271" s="7"/>
      <c r="AC271" s="7"/>
      <c r="AF271" s="7"/>
      <c r="AG271" s="7"/>
      <c r="AJ271" s="7"/>
      <c r="AK271" s="7"/>
      <c r="AM271" s="7"/>
      <c r="AN271" s="7"/>
      <c r="AP271" s="7"/>
      <c r="AQ271" s="7"/>
      <c r="AS271" s="7"/>
      <c r="AT271" s="7"/>
      <c r="AV271" s="7"/>
      <c r="AW271" s="7"/>
    </row>
    <row r="272" spans="6:49" x14ac:dyDescent="0.3">
      <c r="F272" s="7"/>
      <c r="G272" s="7"/>
      <c r="J272" s="7"/>
      <c r="K272" s="7"/>
      <c r="M272" s="7"/>
      <c r="N272" s="7"/>
      <c r="Q272" s="7"/>
      <c r="R272" s="7"/>
      <c r="U272" s="7"/>
      <c r="V272" s="7"/>
      <c r="Y272" s="7"/>
      <c r="Z272" s="7"/>
      <c r="AB272" s="7"/>
      <c r="AC272" s="7"/>
      <c r="AF272" s="7"/>
      <c r="AG272" s="7"/>
      <c r="AJ272" s="7"/>
      <c r="AK272" s="7"/>
      <c r="AM272" s="7"/>
      <c r="AN272" s="7"/>
      <c r="AP272" s="7"/>
      <c r="AQ272" s="7"/>
      <c r="AS272" s="7"/>
      <c r="AT272" s="7"/>
      <c r="AV272" s="7"/>
      <c r="AW272" s="7"/>
    </row>
    <row r="273" spans="6:49" x14ac:dyDescent="0.3">
      <c r="F273" s="7"/>
      <c r="G273" s="7"/>
      <c r="J273" s="7"/>
      <c r="K273" s="7"/>
      <c r="M273" s="7"/>
      <c r="N273" s="7"/>
      <c r="Q273" s="7"/>
      <c r="R273" s="7"/>
      <c r="U273" s="7"/>
      <c r="V273" s="7"/>
      <c r="Y273" s="7"/>
      <c r="Z273" s="7"/>
      <c r="AB273" s="7"/>
      <c r="AC273" s="7"/>
      <c r="AF273" s="7"/>
      <c r="AG273" s="7"/>
      <c r="AJ273" s="7"/>
      <c r="AK273" s="7"/>
      <c r="AM273" s="7"/>
      <c r="AN273" s="7"/>
      <c r="AP273" s="7"/>
      <c r="AQ273" s="7"/>
      <c r="AS273" s="7"/>
      <c r="AT273" s="7"/>
      <c r="AV273" s="7"/>
      <c r="AW273" s="7"/>
    </row>
    <row r="274" spans="6:49" x14ac:dyDescent="0.3">
      <c r="F274" s="7"/>
      <c r="G274" s="7"/>
      <c r="J274" s="7"/>
      <c r="K274" s="7"/>
      <c r="M274" s="7"/>
      <c r="N274" s="7"/>
      <c r="Q274" s="7"/>
      <c r="R274" s="7"/>
      <c r="U274" s="7"/>
      <c r="V274" s="7"/>
      <c r="Y274" s="7"/>
      <c r="Z274" s="7"/>
      <c r="AB274" s="7"/>
      <c r="AC274" s="7"/>
      <c r="AF274" s="7"/>
      <c r="AG274" s="7"/>
      <c r="AJ274" s="7"/>
      <c r="AK274" s="7"/>
      <c r="AM274" s="7"/>
      <c r="AN274" s="7"/>
      <c r="AP274" s="7"/>
      <c r="AQ274" s="7"/>
      <c r="AS274" s="7"/>
      <c r="AT274" s="7"/>
      <c r="AV274" s="7"/>
      <c r="AW274" s="7"/>
    </row>
    <row r="275" spans="6:49" x14ac:dyDescent="0.3">
      <c r="F275" s="7"/>
      <c r="G275" s="7"/>
      <c r="J275" s="7"/>
      <c r="K275" s="7"/>
      <c r="M275" s="7"/>
      <c r="N275" s="7"/>
      <c r="Q275" s="7"/>
      <c r="R275" s="7"/>
      <c r="U275" s="7"/>
      <c r="V275" s="7"/>
      <c r="Y275" s="7"/>
      <c r="Z275" s="7"/>
      <c r="AB275" s="7"/>
      <c r="AC275" s="7"/>
      <c r="AF275" s="7"/>
      <c r="AG275" s="7"/>
      <c r="AJ275" s="7"/>
      <c r="AK275" s="7"/>
      <c r="AM275" s="7"/>
      <c r="AN275" s="7"/>
      <c r="AP275" s="7"/>
      <c r="AQ275" s="7"/>
      <c r="AS275" s="7"/>
      <c r="AT275" s="7"/>
      <c r="AV275" s="7"/>
      <c r="AW275" s="7"/>
    </row>
    <row r="276" spans="6:49" x14ac:dyDescent="0.3">
      <c r="F276" s="7"/>
      <c r="G276" s="7"/>
      <c r="J276" s="7"/>
      <c r="K276" s="7"/>
      <c r="M276" s="7"/>
      <c r="N276" s="7"/>
      <c r="Q276" s="7"/>
      <c r="R276" s="7"/>
      <c r="U276" s="7"/>
      <c r="V276" s="7"/>
      <c r="Y276" s="7"/>
      <c r="Z276" s="7"/>
      <c r="AB276" s="7"/>
      <c r="AC276" s="7"/>
      <c r="AF276" s="7"/>
      <c r="AG276" s="7"/>
      <c r="AJ276" s="7"/>
      <c r="AK276" s="7"/>
      <c r="AM276" s="7"/>
      <c r="AN276" s="7"/>
      <c r="AP276" s="7"/>
      <c r="AQ276" s="7"/>
      <c r="AS276" s="7"/>
      <c r="AT276" s="7"/>
      <c r="AV276" s="7"/>
      <c r="AW276" s="7"/>
    </row>
    <row r="277" spans="6:49" x14ac:dyDescent="0.3">
      <c r="F277" s="7"/>
      <c r="G277" s="7"/>
      <c r="J277" s="7"/>
      <c r="K277" s="7"/>
      <c r="M277" s="7"/>
      <c r="N277" s="7"/>
      <c r="Q277" s="7"/>
      <c r="R277" s="7"/>
      <c r="U277" s="7"/>
      <c r="V277" s="7"/>
      <c r="Y277" s="7"/>
      <c r="Z277" s="7"/>
      <c r="AB277" s="7"/>
      <c r="AC277" s="7"/>
      <c r="AF277" s="7"/>
      <c r="AG277" s="7"/>
      <c r="AJ277" s="7"/>
      <c r="AK277" s="7"/>
      <c r="AM277" s="7"/>
      <c r="AN277" s="7"/>
      <c r="AP277" s="7"/>
      <c r="AQ277" s="7"/>
      <c r="AS277" s="7"/>
      <c r="AT277" s="7"/>
      <c r="AV277" s="7"/>
      <c r="AW277" s="7"/>
    </row>
    <row r="278" spans="6:49" x14ac:dyDescent="0.3">
      <c r="F278" s="7"/>
      <c r="G278" s="7"/>
      <c r="J278" s="7"/>
      <c r="K278" s="7"/>
      <c r="M278" s="7"/>
      <c r="N278" s="7"/>
      <c r="Q278" s="7"/>
      <c r="R278" s="7"/>
      <c r="U278" s="7"/>
      <c r="V278" s="7"/>
      <c r="Y278" s="7"/>
      <c r="Z278" s="7"/>
      <c r="AB278" s="7"/>
      <c r="AC278" s="7"/>
      <c r="AF278" s="7"/>
      <c r="AG278" s="7"/>
      <c r="AJ278" s="7"/>
      <c r="AK278" s="7"/>
      <c r="AM278" s="7"/>
      <c r="AN278" s="7"/>
      <c r="AP278" s="7"/>
      <c r="AQ278" s="7"/>
      <c r="AS278" s="7"/>
      <c r="AT278" s="7"/>
      <c r="AV278" s="7"/>
      <c r="AW278" s="7"/>
    </row>
    <row r="279" spans="6:49" x14ac:dyDescent="0.3">
      <c r="F279" s="7"/>
      <c r="G279" s="7"/>
      <c r="J279" s="7"/>
      <c r="K279" s="7"/>
      <c r="M279" s="7"/>
      <c r="N279" s="7"/>
      <c r="Q279" s="7"/>
      <c r="R279" s="7"/>
      <c r="U279" s="7"/>
      <c r="V279" s="7"/>
      <c r="Y279" s="7"/>
      <c r="Z279" s="7"/>
      <c r="AB279" s="7"/>
      <c r="AC279" s="7"/>
      <c r="AF279" s="7"/>
      <c r="AG279" s="7"/>
      <c r="AJ279" s="7"/>
      <c r="AK279" s="7"/>
      <c r="AM279" s="7"/>
      <c r="AN279" s="7"/>
      <c r="AP279" s="7"/>
      <c r="AQ279" s="7"/>
      <c r="AS279" s="7"/>
      <c r="AT279" s="7"/>
      <c r="AV279" s="7"/>
      <c r="AW279" s="7"/>
    </row>
    <row r="280" spans="6:49" x14ac:dyDescent="0.3">
      <c r="F280" s="7"/>
      <c r="G280" s="7"/>
      <c r="J280" s="7"/>
      <c r="K280" s="7"/>
      <c r="M280" s="7"/>
      <c r="N280" s="7"/>
      <c r="Q280" s="7"/>
      <c r="R280" s="7"/>
      <c r="U280" s="7"/>
      <c r="V280" s="7"/>
      <c r="Y280" s="7"/>
      <c r="Z280" s="7"/>
      <c r="AB280" s="7"/>
      <c r="AC280" s="7"/>
      <c r="AF280" s="7"/>
      <c r="AG280" s="7"/>
      <c r="AJ280" s="7"/>
      <c r="AK280" s="7"/>
      <c r="AM280" s="7"/>
      <c r="AN280" s="7"/>
      <c r="AP280" s="7"/>
      <c r="AQ280" s="7"/>
      <c r="AS280" s="7"/>
      <c r="AT280" s="7"/>
      <c r="AV280" s="7"/>
      <c r="AW280" s="7"/>
    </row>
    <row r="281" spans="6:49" x14ac:dyDescent="0.3">
      <c r="F281" s="7"/>
      <c r="G281" s="7"/>
      <c r="J281" s="7"/>
      <c r="K281" s="7"/>
      <c r="M281" s="7"/>
      <c r="N281" s="7"/>
      <c r="Q281" s="7"/>
      <c r="R281" s="7"/>
      <c r="U281" s="7"/>
      <c r="V281" s="7"/>
      <c r="Y281" s="7"/>
      <c r="Z281" s="7"/>
      <c r="AB281" s="7"/>
      <c r="AC281" s="7"/>
      <c r="AF281" s="7"/>
      <c r="AG281" s="7"/>
      <c r="AJ281" s="7"/>
      <c r="AK281" s="7"/>
      <c r="AM281" s="7"/>
      <c r="AN281" s="7"/>
      <c r="AP281" s="7"/>
      <c r="AQ281" s="7"/>
      <c r="AS281" s="7"/>
      <c r="AT281" s="7"/>
      <c r="AV281" s="7"/>
      <c r="AW281" s="7"/>
    </row>
    <row r="282" spans="6:49" x14ac:dyDescent="0.3">
      <c r="F282" s="7"/>
      <c r="G282" s="7"/>
      <c r="J282" s="7"/>
      <c r="K282" s="7"/>
      <c r="M282" s="7"/>
      <c r="N282" s="7"/>
      <c r="Q282" s="7"/>
      <c r="R282" s="7"/>
      <c r="U282" s="7"/>
      <c r="V282" s="7"/>
      <c r="Y282" s="7"/>
      <c r="Z282" s="7"/>
      <c r="AB282" s="7"/>
      <c r="AC282" s="7"/>
      <c r="AF282" s="7"/>
      <c r="AG282" s="7"/>
      <c r="AJ282" s="7"/>
      <c r="AK282" s="7"/>
      <c r="AM282" s="7"/>
      <c r="AN282" s="7"/>
      <c r="AP282" s="7"/>
      <c r="AQ282" s="7"/>
      <c r="AS282" s="7"/>
      <c r="AT282" s="7"/>
      <c r="AV282" s="7"/>
      <c r="AW282" s="7"/>
    </row>
    <row r="283" spans="6:49" x14ac:dyDescent="0.3">
      <c r="F283" s="7"/>
      <c r="G283" s="7"/>
      <c r="J283" s="7"/>
      <c r="K283" s="7"/>
      <c r="M283" s="7"/>
      <c r="N283" s="7"/>
      <c r="Q283" s="7"/>
      <c r="R283" s="7"/>
      <c r="U283" s="7"/>
      <c r="V283" s="7"/>
      <c r="Y283" s="7"/>
      <c r="Z283" s="7"/>
      <c r="AB283" s="7"/>
      <c r="AC283" s="7"/>
      <c r="AF283" s="7"/>
      <c r="AG283" s="7"/>
      <c r="AJ283" s="7"/>
      <c r="AK283" s="7"/>
      <c r="AM283" s="7"/>
      <c r="AN283" s="7"/>
      <c r="AP283" s="7"/>
      <c r="AQ283" s="7"/>
      <c r="AS283" s="7"/>
      <c r="AT283" s="7"/>
      <c r="AV283" s="7"/>
      <c r="AW283" s="7"/>
    </row>
    <row r="284" spans="6:49" x14ac:dyDescent="0.3">
      <c r="F284" s="7"/>
      <c r="G284" s="7"/>
      <c r="J284" s="7"/>
      <c r="K284" s="7"/>
      <c r="M284" s="7"/>
      <c r="N284" s="7"/>
      <c r="Q284" s="7"/>
      <c r="R284" s="7"/>
      <c r="U284" s="7"/>
      <c r="V284" s="7"/>
      <c r="Y284" s="7"/>
      <c r="Z284" s="7"/>
      <c r="AB284" s="7"/>
      <c r="AC284" s="7"/>
      <c r="AF284" s="7"/>
      <c r="AG284" s="7"/>
      <c r="AJ284" s="7"/>
      <c r="AK284" s="7"/>
      <c r="AM284" s="7"/>
      <c r="AN284" s="7"/>
      <c r="AP284" s="7"/>
      <c r="AQ284" s="7"/>
      <c r="AS284" s="7"/>
      <c r="AT284" s="7"/>
      <c r="AV284" s="7"/>
      <c r="AW284" s="7"/>
    </row>
    <row r="285" spans="6:49" x14ac:dyDescent="0.3">
      <c r="F285" s="7"/>
      <c r="G285" s="7"/>
      <c r="J285" s="7"/>
      <c r="K285" s="7"/>
      <c r="M285" s="7"/>
      <c r="N285" s="7"/>
      <c r="Q285" s="7"/>
      <c r="R285" s="7"/>
      <c r="U285" s="7"/>
      <c r="V285" s="7"/>
      <c r="Y285" s="7"/>
      <c r="Z285" s="7"/>
      <c r="AB285" s="7"/>
      <c r="AC285" s="7"/>
      <c r="AF285" s="7"/>
      <c r="AG285" s="7"/>
      <c r="AJ285" s="7"/>
      <c r="AK285" s="7"/>
      <c r="AM285" s="7"/>
      <c r="AN285" s="7"/>
      <c r="AP285" s="7"/>
      <c r="AQ285" s="7"/>
      <c r="AS285" s="7"/>
      <c r="AT285" s="7"/>
      <c r="AV285" s="7"/>
      <c r="AW285" s="7"/>
    </row>
    <row r="286" spans="6:49" x14ac:dyDescent="0.3">
      <c r="F286" s="7"/>
      <c r="G286" s="7"/>
      <c r="J286" s="7"/>
      <c r="K286" s="7"/>
      <c r="M286" s="7"/>
      <c r="N286" s="7"/>
      <c r="Q286" s="7"/>
      <c r="R286" s="7"/>
      <c r="U286" s="7"/>
      <c r="V286" s="7"/>
      <c r="Y286" s="7"/>
      <c r="Z286" s="7"/>
      <c r="AB286" s="7"/>
      <c r="AC286" s="7"/>
      <c r="AF286" s="7"/>
      <c r="AG286" s="7"/>
      <c r="AJ286" s="7"/>
      <c r="AK286" s="7"/>
      <c r="AM286" s="7"/>
      <c r="AN286" s="7"/>
      <c r="AP286" s="7"/>
      <c r="AQ286" s="7"/>
      <c r="AS286" s="7"/>
      <c r="AT286" s="7"/>
      <c r="AV286" s="7"/>
      <c r="AW286" s="7"/>
    </row>
    <row r="287" spans="6:49" x14ac:dyDescent="0.3">
      <c r="F287" s="7"/>
      <c r="G287" s="7"/>
      <c r="J287" s="7"/>
      <c r="K287" s="7"/>
      <c r="M287" s="7"/>
      <c r="N287" s="7"/>
      <c r="Q287" s="7"/>
      <c r="R287" s="7"/>
      <c r="U287" s="7"/>
      <c r="V287" s="7"/>
      <c r="Y287" s="7"/>
      <c r="Z287" s="7"/>
      <c r="AB287" s="7"/>
      <c r="AC287" s="7"/>
      <c r="AF287" s="7"/>
      <c r="AG287" s="7"/>
      <c r="AJ287" s="7"/>
      <c r="AK287" s="7"/>
      <c r="AM287" s="7"/>
      <c r="AN287" s="7"/>
      <c r="AP287" s="7"/>
      <c r="AQ287" s="7"/>
      <c r="AS287" s="7"/>
      <c r="AT287" s="7"/>
      <c r="AV287" s="7"/>
      <c r="AW287" s="7"/>
    </row>
    <row r="288" spans="6:49" x14ac:dyDescent="0.3">
      <c r="F288" s="7"/>
      <c r="G288" s="7"/>
      <c r="J288" s="7"/>
      <c r="K288" s="7"/>
      <c r="M288" s="7"/>
      <c r="N288" s="7"/>
      <c r="Q288" s="7"/>
      <c r="R288" s="7"/>
      <c r="U288" s="7"/>
      <c r="V288" s="7"/>
      <c r="Y288" s="7"/>
      <c r="Z288" s="7"/>
      <c r="AB288" s="7"/>
      <c r="AC288" s="7"/>
      <c r="AF288" s="7"/>
      <c r="AG288" s="7"/>
      <c r="AJ288" s="7"/>
      <c r="AK288" s="7"/>
      <c r="AM288" s="7"/>
      <c r="AN288" s="7"/>
      <c r="AP288" s="7"/>
      <c r="AQ288" s="7"/>
      <c r="AS288" s="7"/>
      <c r="AT288" s="7"/>
      <c r="AV288" s="7"/>
      <c r="AW288" s="7"/>
    </row>
    <row r="289" spans="6:49" x14ac:dyDescent="0.3">
      <c r="F289" s="7"/>
      <c r="G289" s="7"/>
      <c r="J289" s="7"/>
      <c r="K289" s="7"/>
      <c r="M289" s="7"/>
      <c r="N289" s="7"/>
      <c r="Q289" s="7"/>
      <c r="R289" s="7"/>
      <c r="U289" s="7"/>
      <c r="V289" s="7"/>
      <c r="Y289" s="7"/>
      <c r="Z289" s="7"/>
      <c r="AB289" s="7"/>
      <c r="AC289" s="7"/>
      <c r="AF289" s="7"/>
      <c r="AG289" s="7"/>
      <c r="AJ289" s="7"/>
      <c r="AK289" s="7"/>
      <c r="AM289" s="7"/>
      <c r="AN289" s="7"/>
      <c r="AP289" s="7"/>
      <c r="AQ289" s="7"/>
      <c r="AS289" s="7"/>
      <c r="AT289" s="7"/>
      <c r="AV289" s="7"/>
      <c r="AW289" s="7"/>
    </row>
    <row r="290" spans="6:49" x14ac:dyDescent="0.3">
      <c r="F290" s="7"/>
      <c r="G290" s="7"/>
      <c r="J290" s="7"/>
      <c r="K290" s="7"/>
      <c r="M290" s="7"/>
      <c r="N290" s="7"/>
      <c r="Q290" s="7"/>
      <c r="R290" s="7"/>
      <c r="U290" s="7"/>
      <c r="V290" s="7"/>
      <c r="Y290" s="7"/>
      <c r="Z290" s="7"/>
      <c r="AB290" s="7"/>
      <c r="AC290" s="7"/>
      <c r="AF290" s="7"/>
      <c r="AG290" s="7"/>
      <c r="AJ290" s="7"/>
      <c r="AK290" s="7"/>
      <c r="AM290" s="7"/>
      <c r="AN290" s="7"/>
      <c r="AP290" s="7"/>
      <c r="AQ290" s="7"/>
      <c r="AS290" s="7"/>
      <c r="AT290" s="7"/>
      <c r="AV290" s="7"/>
      <c r="AW290" s="7"/>
    </row>
    <row r="291" spans="6:49" x14ac:dyDescent="0.3">
      <c r="F291" s="7"/>
      <c r="G291" s="7"/>
      <c r="J291" s="7"/>
      <c r="K291" s="7"/>
      <c r="M291" s="7"/>
      <c r="N291" s="7"/>
      <c r="Q291" s="7"/>
      <c r="R291" s="7"/>
      <c r="U291" s="7"/>
      <c r="V291" s="7"/>
      <c r="Y291" s="7"/>
      <c r="Z291" s="7"/>
      <c r="AB291" s="7"/>
      <c r="AC291" s="7"/>
      <c r="AF291" s="7"/>
      <c r="AG291" s="7"/>
      <c r="AJ291" s="7"/>
      <c r="AK291" s="7"/>
      <c r="AM291" s="7"/>
      <c r="AN291" s="7"/>
      <c r="AP291" s="7"/>
      <c r="AQ291" s="7"/>
      <c r="AS291" s="7"/>
      <c r="AT291" s="7"/>
      <c r="AV291" s="7"/>
      <c r="AW291" s="7"/>
    </row>
    <row r="292" spans="6:49" x14ac:dyDescent="0.3">
      <c r="F292" s="7"/>
      <c r="G292" s="7"/>
      <c r="J292" s="7"/>
      <c r="K292" s="7"/>
      <c r="M292" s="7"/>
      <c r="N292" s="7"/>
      <c r="Q292" s="7"/>
      <c r="R292" s="7"/>
      <c r="U292" s="7"/>
      <c r="V292" s="7"/>
      <c r="Y292" s="7"/>
      <c r="Z292" s="7"/>
      <c r="AB292" s="7"/>
      <c r="AC292" s="7"/>
      <c r="AF292" s="7"/>
      <c r="AG292" s="7"/>
      <c r="AJ292" s="7"/>
      <c r="AK292" s="7"/>
      <c r="AM292" s="7"/>
      <c r="AN292" s="7"/>
      <c r="AP292" s="7"/>
      <c r="AQ292" s="7"/>
      <c r="AS292" s="7"/>
      <c r="AT292" s="7"/>
      <c r="AV292" s="7"/>
      <c r="AW292" s="7"/>
    </row>
    <row r="293" spans="6:49" x14ac:dyDescent="0.3">
      <c r="F293" s="7"/>
      <c r="G293" s="7"/>
      <c r="J293" s="7"/>
      <c r="K293" s="7"/>
      <c r="M293" s="7"/>
      <c r="N293" s="7"/>
      <c r="Q293" s="7"/>
      <c r="R293" s="7"/>
      <c r="U293" s="7"/>
      <c r="V293" s="7"/>
      <c r="Y293" s="7"/>
      <c r="Z293" s="7"/>
      <c r="AB293" s="7"/>
      <c r="AC293" s="7"/>
      <c r="AF293" s="7"/>
      <c r="AG293" s="7"/>
      <c r="AJ293" s="7"/>
      <c r="AK293" s="7"/>
      <c r="AM293" s="7"/>
      <c r="AN293" s="7"/>
      <c r="AP293" s="7"/>
      <c r="AQ293" s="7"/>
      <c r="AS293" s="7"/>
      <c r="AT293" s="7"/>
      <c r="AV293" s="7"/>
      <c r="AW293" s="7"/>
    </row>
    <row r="294" spans="6:49" x14ac:dyDescent="0.3">
      <c r="F294" s="7"/>
      <c r="G294" s="7"/>
      <c r="J294" s="7"/>
      <c r="K294" s="7"/>
      <c r="M294" s="7"/>
      <c r="N294" s="7"/>
      <c r="Q294" s="7"/>
      <c r="R294" s="7"/>
      <c r="U294" s="7"/>
      <c r="V294" s="7"/>
      <c r="Y294" s="7"/>
      <c r="Z294" s="7"/>
      <c r="AB294" s="7"/>
      <c r="AC294" s="7"/>
      <c r="AF294" s="7"/>
      <c r="AG294" s="7"/>
      <c r="AJ294" s="7"/>
      <c r="AK294" s="7"/>
      <c r="AM294" s="7"/>
      <c r="AN294" s="7"/>
      <c r="AP294" s="7"/>
      <c r="AQ294" s="7"/>
      <c r="AS294" s="7"/>
      <c r="AT294" s="7"/>
      <c r="AV294" s="7"/>
      <c r="AW294" s="7"/>
    </row>
    <row r="295" spans="6:49" x14ac:dyDescent="0.3">
      <c r="F295" s="7"/>
      <c r="G295" s="7"/>
      <c r="J295" s="7"/>
      <c r="K295" s="7"/>
      <c r="M295" s="7"/>
      <c r="N295" s="7"/>
      <c r="Q295" s="7"/>
      <c r="R295" s="7"/>
      <c r="U295" s="7"/>
      <c r="V295" s="7"/>
      <c r="Y295" s="7"/>
      <c r="Z295" s="7"/>
      <c r="AB295" s="7"/>
      <c r="AC295" s="7"/>
      <c r="AF295" s="7"/>
      <c r="AG295" s="7"/>
      <c r="AJ295" s="7"/>
      <c r="AK295" s="7"/>
      <c r="AM295" s="7"/>
      <c r="AN295" s="7"/>
      <c r="AP295" s="7"/>
      <c r="AQ295" s="7"/>
      <c r="AS295" s="7"/>
      <c r="AT295" s="7"/>
      <c r="AV295" s="7"/>
      <c r="AW295" s="7"/>
    </row>
    <row r="296" spans="6:49" x14ac:dyDescent="0.3">
      <c r="F296" s="7"/>
      <c r="G296" s="7"/>
      <c r="J296" s="7"/>
      <c r="K296" s="7"/>
      <c r="M296" s="7"/>
      <c r="N296" s="7"/>
      <c r="Q296" s="7"/>
      <c r="R296" s="7"/>
      <c r="U296" s="7"/>
      <c r="V296" s="7"/>
      <c r="Y296" s="7"/>
      <c r="Z296" s="7"/>
      <c r="AB296" s="7"/>
      <c r="AC296" s="7"/>
      <c r="AF296" s="7"/>
      <c r="AG296" s="7"/>
      <c r="AJ296" s="7"/>
      <c r="AK296" s="7"/>
      <c r="AM296" s="7"/>
      <c r="AN296" s="7"/>
      <c r="AP296" s="7"/>
      <c r="AQ296" s="7"/>
      <c r="AS296" s="7"/>
      <c r="AT296" s="7"/>
      <c r="AV296" s="7"/>
      <c r="AW296" s="7"/>
    </row>
    <row r="297" spans="6:49" x14ac:dyDescent="0.3">
      <c r="F297" s="7"/>
      <c r="G297" s="7"/>
      <c r="J297" s="7"/>
      <c r="K297" s="7"/>
      <c r="M297" s="7"/>
      <c r="N297" s="7"/>
      <c r="Q297" s="7"/>
      <c r="R297" s="7"/>
      <c r="U297" s="7"/>
      <c r="V297" s="7"/>
      <c r="Y297" s="7"/>
      <c r="Z297" s="7"/>
      <c r="AB297" s="7"/>
      <c r="AC297" s="7"/>
      <c r="AF297" s="7"/>
      <c r="AG297" s="7"/>
      <c r="AJ297" s="7"/>
      <c r="AK297" s="7"/>
      <c r="AM297" s="7"/>
      <c r="AN297" s="7"/>
      <c r="AP297" s="7"/>
      <c r="AQ297" s="7"/>
      <c r="AS297" s="7"/>
      <c r="AT297" s="7"/>
      <c r="AV297" s="7"/>
      <c r="AW297" s="7"/>
    </row>
    <row r="298" spans="6:49" x14ac:dyDescent="0.3">
      <c r="F298" s="7"/>
      <c r="G298" s="7"/>
      <c r="J298" s="7"/>
      <c r="K298" s="7"/>
      <c r="M298" s="7"/>
      <c r="N298" s="7"/>
      <c r="Q298" s="7"/>
      <c r="R298" s="7"/>
      <c r="U298" s="7"/>
      <c r="V298" s="7"/>
      <c r="Y298" s="7"/>
      <c r="Z298" s="7"/>
      <c r="AB298" s="7"/>
      <c r="AC298" s="7"/>
      <c r="AF298" s="7"/>
      <c r="AG298" s="7"/>
      <c r="AJ298" s="7"/>
      <c r="AK298" s="7"/>
      <c r="AM298" s="7"/>
      <c r="AN298" s="7"/>
      <c r="AP298" s="7"/>
      <c r="AQ298" s="7"/>
      <c r="AS298" s="7"/>
      <c r="AT298" s="7"/>
      <c r="AV298" s="7"/>
      <c r="AW298" s="7"/>
    </row>
    <row r="299" spans="6:49" x14ac:dyDescent="0.3">
      <c r="F299" s="7"/>
      <c r="G299" s="7"/>
      <c r="J299" s="7"/>
      <c r="K299" s="7"/>
      <c r="M299" s="7"/>
      <c r="N299" s="7"/>
      <c r="Q299" s="7"/>
      <c r="R299" s="7"/>
      <c r="U299" s="7"/>
      <c r="V299" s="7"/>
      <c r="Y299" s="7"/>
      <c r="Z299" s="7"/>
      <c r="AB299" s="7"/>
      <c r="AC299" s="7"/>
      <c r="AF299" s="7"/>
      <c r="AG299" s="7"/>
      <c r="AJ299" s="7"/>
      <c r="AK299" s="7"/>
      <c r="AM299" s="7"/>
      <c r="AN299" s="7"/>
      <c r="AP299" s="7"/>
      <c r="AQ299" s="7"/>
      <c r="AS299" s="7"/>
      <c r="AT299" s="7"/>
      <c r="AV299" s="7"/>
      <c r="AW299" s="7"/>
    </row>
    <row r="300" spans="6:49" x14ac:dyDescent="0.3">
      <c r="F300" s="7"/>
      <c r="G300" s="7"/>
      <c r="J300" s="7"/>
      <c r="K300" s="7"/>
      <c r="M300" s="7"/>
      <c r="N300" s="7"/>
      <c r="Q300" s="7"/>
      <c r="R300" s="7"/>
      <c r="U300" s="7"/>
      <c r="V300" s="7"/>
      <c r="Y300" s="7"/>
      <c r="Z300" s="7"/>
      <c r="AB300" s="7"/>
      <c r="AC300" s="7"/>
      <c r="AF300" s="7"/>
      <c r="AG300" s="7"/>
      <c r="AJ300" s="7"/>
      <c r="AK300" s="7"/>
      <c r="AM300" s="7"/>
      <c r="AN300" s="7"/>
      <c r="AP300" s="7"/>
      <c r="AQ300" s="7"/>
      <c r="AS300" s="7"/>
      <c r="AT300" s="7"/>
      <c r="AV300" s="7"/>
      <c r="AW300" s="7"/>
    </row>
    <row r="301" spans="6:49" x14ac:dyDescent="0.3">
      <c r="F301" s="7"/>
      <c r="G301" s="7"/>
      <c r="J301" s="7"/>
      <c r="K301" s="7"/>
      <c r="M301" s="7"/>
      <c r="N301" s="7"/>
      <c r="Q301" s="7"/>
      <c r="R301" s="7"/>
      <c r="U301" s="7"/>
      <c r="V301" s="7"/>
      <c r="Y301" s="7"/>
      <c r="Z301" s="7"/>
      <c r="AB301" s="7"/>
      <c r="AC301" s="7"/>
      <c r="AF301" s="7"/>
      <c r="AG301" s="7"/>
      <c r="AJ301" s="7"/>
      <c r="AK301" s="7"/>
      <c r="AM301" s="7"/>
      <c r="AN301" s="7"/>
      <c r="AP301" s="7"/>
      <c r="AQ301" s="7"/>
      <c r="AS301" s="7"/>
      <c r="AT301" s="7"/>
      <c r="AV301" s="7"/>
      <c r="AW301" s="7"/>
    </row>
    <row r="302" spans="6:49" x14ac:dyDescent="0.3">
      <c r="F302" s="7"/>
      <c r="G302" s="7"/>
      <c r="J302" s="7"/>
      <c r="K302" s="7"/>
      <c r="M302" s="7"/>
      <c r="N302" s="7"/>
      <c r="Q302" s="7"/>
      <c r="R302" s="7"/>
      <c r="U302" s="7"/>
      <c r="V302" s="7"/>
      <c r="Y302" s="7"/>
      <c r="Z302" s="7"/>
      <c r="AB302" s="7"/>
      <c r="AC302" s="7"/>
      <c r="AF302" s="7"/>
      <c r="AG302" s="7"/>
      <c r="AJ302" s="7"/>
      <c r="AK302" s="7"/>
      <c r="AM302" s="7"/>
      <c r="AN302" s="7"/>
      <c r="AP302" s="7"/>
      <c r="AQ302" s="7"/>
      <c r="AS302" s="7"/>
      <c r="AT302" s="7"/>
      <c r="AV302" s="7"/>
      <c r="AW302" s="7"/>
    </row>
    <row r="303" spans="6:49" x14ac:dyDescent="0.3">
      <c r="F303" s="7"/>
      <c r="G303" s="7"/>
      <c r="J303" s="7"/>
      <c r="K303" s="7"/>
      <c r="M303" s="7"/>
      <c r="N303" s="7"/>
      <c r="Q303" s="7"/>
      <c r="R303" s="7"/>
      <c r="U303" s="7"/>
      <c r="V303" s="7"/>
      <c r="Y303" s="7"/>
      <c r="Z303" s="7"/>
      <c r="AB303" s="7"/>
      <c r="AC303" s="7"/>
      <c r="AF303" s="7"/>
      <c r="AG303" s="7"/>
      <c r="AJ303" s="7"/>
      <c r="AK303" s="7"/>
      <c r="AM303" s="7"/>
      <c r="AN303" s="7"/>
      <c r="AP303" s="7"/>
      <c r="AQ303" s="7"/>
      <c r="AS303" s="7"/>
      <c r="AT303" s="7"/>
      <c r="AV303" s="7"/>
      <c r="AW303" s="7"/>
    </row>
    <row r="304" spans="6:49" x14ac:dyDescent="0.3">
      <c r="F304" s="7"/>
      <c r="G304" s="7"/>
      <c r="J304" s="7"/>
      <c r="K304" s="7"/>
      <c r="M304" s="7"/>
      <c r="N304" s="7"/>
      <c r="Q304" s="7"/>
      <c r="R304" s="7"/>
      <c r="U304" s="7"/>
      <c r="V304" s="7"/>
      <c r="Y304" s="7"/>
      <c r="Z304" s="7"/>
      <c r="AB304" s="7"/>
      <c r="AC304" s="7"/>
      <c r="AF304" s="7"/>
      <c r="AG304" s="7"/>
      <c r="AJ304" s="7"/>
      <c r="AK304" s="7"/>
      <c r="AM304" s="7"/>
      <c r="AN304" s="7"/>
      <c r="AP304" s="7"/>
      <c r="AQ304" s="7"/>
      <c r="AS304" s="7"/>
      <c r="AT304" s="7"/>
      <c r="AV304" s="7"/>
      <c r="AW304" s="7"/>
    </row>
    <row r="305" spans="6:49" x14ac:dyDescent="0.3">
      <c r="F305" s="7"/>
      <c r="G305" s="7"/>
      <c r="J305" s="7"/>
      <c r="K305" s="7"/>
      <c r="M305" s="7"/>
      <c r="N305" s="7"/>
      <c r="Q305" s="7"/>
      <c r="R305" s="7"/>
      <c r="U305" s="7"/>
      <c r="V305" s="7"/>
      <c r="Y305" s="7"/>
      <c r="Z305" s="7"/>
      <c r="AB305" s="7"/>
      <c r="AC305" s="7"/>
      <c r="AF305" s="7"/>
      <c r="AG305" s="7"/>
      <c r="AJ305" s="7"/>
      <c r="AK305" s="7"/>
      <c r="AM305" s="7"/>
      <c r="AN305" s="7"/>
      <c r="AP305" s="7"/>
      <c r="AQ305" s="7"/>
      <c r="AS305" s="7"/>
      <c r="AT305" s="7"/>
      <c r="AV305" s="7"/>
      <c r="AW305" s="7"/>
    </row>
    <row r="306" spans="6:49" x14ac:dyDescent="0.3">
      <c r="F306" s="7"/>
      <c r="G306" s="7"/>
      <c r="J306" s="7"/>
      <c r="K306" s="7"/>
      <c r="M306" s="7"/>
      <c r="N306" s="7"/>
      <c r="Q306" s="7"/>
      <c r="R306" s="7"/>
      <c r="U306" s="7"/>
      <c r="V306" s="7"/>
      <c r="Y306" s="7"/>
      <c r="Z306" s="7"/>
      <c r="AB306" s="7"/>
      <c r="AC306" s="7"/>
      <c r="AF306" s="7"/>
      <c r="AG306" s="7"/>
      <c r="AJ306" s="7"/>
      <c r="AK306" s="7"/>
      <c r="AM306" s="7"/>
      <c r="AN306" s="7"/>
      <c r="AP306" s="7"/>
      <c r="AQ306" s="7"/>
      <c r="AS306" s="7"/>
      <c r="AT306" s="7"/>
      <c r="AV306" s="7"/>
      <c r="AW306" s="7"/>
    </row>
    <row r="307" spans="6:49" x14ac:dyDescent="0.3">
      <c r="F307" s="7"/>
      <c r="G307" s="7"/>
      <c r="J307" s="7"/>
      <c r="K307" s="7"/>
      <c r="M307" s="7"/>
      <c r="N307" s="7"/>
      <c r="Q307" s="7"/>
      <c r="R307" s="7"/>
      <c r="U307" s="7"/>
      <c r="V307" s="7"/>
      <c r="Y307" s="7"/>
      <c r="Z307" s="7"/>
      <c r="AB307" s="7"/>
      <c r="AC307" s="7"/>
      <c r="AF307" s="7"/>
      <c r="AG307" s="7"/>
      <c r="AJ307" s="7"/>
      <c r="AK307" s="7"/>
      <c r="AM307" s="7"/>
      <c r="AN307" s="7"/>
      <c r="AP307" s="7"/>
      <c r="AQ307" s="7"/>
      <c r="AS307" s="7"/>
      <c r="AT307" s="7"/>
      <c r="AV307" s="7"/>
      <c r="AW307" s="7"/>
    </row>
    <row r="308" spans="6:49" x14ac:dyDescent="0.3">
      <c r="F308" s="7"/>
      <c r="G308" s="7"/>
      <c r="J308" s="7"/>
      <c r="K308" s="7"/>
      <c r="M308" s="7"/>
      <c r="N308" s="7"/>
      <c r="Q308" s="7"/>
      <c r="R308" s="7"/>
      <c r="U308" s="7"/>
      <c r="V308" s="7"/>
      <c r="Y308" s="7"/>
      <c r="Z308" s="7"/>
      <c r="AB308" s="7"/>
      <c r="AC308" s="7"/>
      <c r="AF308" s="7"/>
      <c r="AG308" s="7"/>
      <c r="AJ308" s="7"/>
      <c r="AK308" s="7"/>
      <c r="AM308" s="7"/>
      <c r="AN308" s="7"/>
      <c r="AP308" s="7"/>
      <c r="AQ308" s="7"/>
      <c r="AS308" s="7"/>
      <c r="AT308" s="7"/>
      <c r="AV308" s="7"/>
      <c r="AW308" s="7"/>
    </row>
    <row r="309" spans="6:49" x14ac:dyDescent="0.3">
      <c r="F309" s="7"/>
      <c r="G309" s="7"/>
      <c r="J309" s="7"/>
      <c r="K309" s="7"/>
      <c r="M309" s="7"/>
      <c r="N309" s="7"/>
      <c r="Q309" s="7"/>
      <c r="R309" s="7"/>
      <c r="U309" s="7"/>
      <c r="V309" s="7"/>
      <c r="Y309" s="7"/>
      <c r="Z309" s="7"/>
      <c r="AB309" s="7"/>
      <c r="AC309" s="7"/>
      <c r="AF309" s="7"/>
      <c r="AG309" s="7"/>
      <c r="AJ309" s="7"/>
      <c r="AK309" s="7"/>
      <c r="AM309" s="7"/>
      <c r="AN309" s="7"/>
      <c r="AP309" s="7"/>
      <c r="AQ309" s="7"/>
      <c r="AS309" s="7"/>
      <c r="AT309" s="7"/>
      <c r="AV309" s="7"/>
      <c r="AW309" s="7"/>
    </row>
    <row r="310" spans="6:49" x14ac:dyDescent="0.3">
      <c r="F310" s="7"/>
      <c r="G310" s="7"/>
      <c r="J310" s="7"/>
      <c r="K310" s="7"/>
      <c r="M310" s="7"/>
      <c r="N310" s="7"/>
      <c r="Q310" s="7"/>
      <c r="R310" s="7"/>
      <c r="U310" s="7"/>
      <c r="V310" s="7"/>
      <c r="Y310" s="7"/>
      <c r="Z310" s="7"/>
      <c r="AB310" s="7"/>
      <c r="AC310" s="7"/>
      <c r="AF310" s="7"/>
      <c r="AG310" s="7"/>
      <c r="AJ310" s="7"/>
      <c r="AK310" s="7"/>
      <c r="AM310" s="7"/>
      <c r="AN310" s="7"/>
      <c r="AP310" s="7"/>
      <c r="AQ310" s="7"/>
      <c r="AS310" s="7"/>
      <c r="AT310" s="7"/>
      <c r="AV310" s="7"/>
      <c r="AW310" s="7"/>
    </row>
    <row r="311" spans="6:49" x14ac:dyDescent="0.3">
      <c r="F311" s="7"/>
      <c r="G311" s="7"/>
      <c r="J311" s="7"/>
      <c r="K311" s="7"/>
      <c r="M311" s="7"/>
      <c r="N311" s="7"/>
      <c r="Q311" s="7"/>
      <c r="R311" s="7"/>
      <c r="U311" s="7"/>
      <c r="V311" s="7"/>
      <c r="Y311" s="7"/>
      <c r="Z311" s="7"/>
      <c r="AB311" s="7"/>
      <c r="AC311" s="7"/>
      <c r="AF311" s="7"/>
      <c r="AG311" s="7"/>
      <c r="AJ311" s="7"/>
      <c r="AK311" s="7"/>
      <c r="AM311" s="7"/>
      <c r="AN311" s="7"/>
      <c r="AP311" s="7"/>
      <c r="AQ311" s="7"/>
      <c r="AS311" s="7"/>
      <c r="AT311" s="7"/>
      <c r="AV311" s="7"/>
      <c r="AW311" s="7"/>
    </row>
    <row r="312" spans="6:49" x14ac:dyDescent="0.3">
      <c r="F312" s="7"/>
      <c r="G312" s="7"/>
      <c r="J312" s="7"/>
      <c r="K312" s="7"/>
      <c r="M312" s="7"/>
      <c r="N312" s="7"/>
      <c r="Q312" s="7"/>
      <c r="R312" s="7"/>
      <c r="U312" s="7"/>
      <c r="V312" s="7"/>
      <c r="Y312" s="7"/>
      <c r="Z312" s="7"/>
      <c r="AB312" s="7"/>
      <c r="AC312" s="7"/>
      <c r="AF312" s="7"/>
      <c r="AG312" s="7"/>
      <c r="AJ312" s="7"/>
      <c r="AK312" s="7"/>
      <c r="AM312" s="7"/>
      <c r="AN312" s="7"/>
      <c r="AP312" s="7"/>
      <c r="AQ312" s="7"/>
      <c r="AS312" s="7"/>
      <c r="AT312" s="7"/>
      <c r="AV312" s="7"/>
      <c r="AW312" s="7"/>
    </row>
    <row r="313" spans="6:49" x14ac:dyDescent="0.3">
      <c r="F313" s="7"/>
      <c r="G313" s="7"/>
      <c r="J313" s="7"/>
      <c r="K313" s="7"/>
      <c r="M313" s="7"/>
      <c r="N313" s="7"/>
      <c r="Q313" s="7"/>
      <c r="R313" s="7"/>
      <c r="U313" s="7"/>
      <c r="V313" s="7"/>
      <c r="Y313" s="7"/>
      <c r="Z313" s="7"/>
      <c r="AB313" s="7"/>
      <c r="AC313" s="7"/>
      <c r="AF313" s="7"/>
      <c r="AG313" s="7"/>
      <c r="AJ313" s="7"/>
      <c r="AK313" s="7"/>
      <c r="AM313" s="7"/>
      <c r="AN313" s="7"/>
      <c r="AP313" s="7"/>
      <c r="AQ313" s="7"/>
      <c r="AS313" s="7"/>
      <c r="AT313" s="7"/>
      <c r="AV313" s="7"/>
      <c r="AW313" s="7"/>
    </row>
    <row r="314" spans="6:49" x14ac:dyDescent="0.3">
      <c r="F314" s="7"/>
      <c r="G314" s="7"/>
      <c r="J314" s="7"/>
      <c r="K314" s="7"/>
      <c r="M314" s="7"/>
      <c r="N314" s="7"/>
      <c r="Q314" s="7"/>
      <c r="R314" s="7"/>
      <c r="U314" s="7"/>
      <c r="V314" s="7"/>
      <c r="Y314" s="7"/>
      <c r="Z314" s="7"/>
      <c r="AB314" s="7"/>
      <c r="AC314" s="7"/>
      <c r="AF314" s="7"/>
      <c r="AG314" s="7"/>
      <c r="AJ314" s="7"/>
      <c r="AK314" s="7"/>
      <c r="AM314" s="7"/>
      <c r="AN314" s="7"/>
      <c r="AP314" s="7"/>
      <c r="AQ314" s="7"/>
      <c r="AS314" s="7"/>
      <c r="AT314" s="7"/>
      <c r="AV314" s="7"/>
      <c r="AW314" s="7"/>
    </row>
    <row r="315" spans="6:49" x14ac:dyDescent="0.3">
      <c r="F315" s="7"/>
      <c r="G315" s="7"/>
      <c r="J315" s="7"/>
      <c r="K315" s="7"/>
      <c r="M315" s="7"/>
      <c r="N315" s="7"/>
      <c r="Q315" s="7"/>
      <c r="R315" s="7"/>
      <c r="U315" s="7"/>
      <c r="V315" s="7"/>
      <c r="Y315" s="7"/>
      <c r="Z315" s="7"/>
      <c r="AB315" s="7"/>
      <c r="AC315" s="7"/>
      <c r="AF315" s="7"/>
      <c r="AG315" s="7"/>
      <c r="AJ315" s="7"/>
      <c r="AK315" s="7"/>
      <c r="AM315" s="7"/>
      <c r="AN315" s="7"/>
      <c r="AP315" s="7"/>
      <c r="AQ315" s="7"/>
      <c r="AS315" s="7"/>
      <c r="AT315" s="7"/>
      <c r="AV315" s="7"/>
      <c r="AW315" s="7"/>
    </row>
    <row r="316" spans="6:49" x14ac:dyDescent="0.3">
      <c r="F316" s="7"/>
      <c r="G316" s="7"/>
      <c r="J316" s="7"/>
      <c r="K316" s="7"/>
      <c r="M316" s="7"/>
      <c r="N316" s="7"/>
      <c r="Q316" s="7"/>
      <c r="R316" s="7"/>
      <c r="U316" s="7"/>
      <c r="V316" s="7"/>
      <c r="Y316" s="7"/>
      <c r="Z316" s="7"/>
      <c r="AB316" s="7"/>
      <c r="AC316" s="7"/>
      <c r="AF316" s="7"/>
      <c r="AG316" s="7"/>
      <c r="AJ316" s="7"/>
      <c r="AK316" s="7"/>
      <c r="AM316" s="7"/>
      <c r="AN316" s="7"/>
      <c r="AP316" s="7"/>
      <c r="AQ316" s="7"/>
      <c r="AS316" s="7"/>
      <c r="AT316" s="7"/>
      <c r="AV316" s="7"/>
      <c r="AW316" s="7"/>
    </row>
    <row r="317" spans="6:49" x14ac:dyDescent="0.3">
      <c r="F317" s="7"/>
      <c r="G317" s="7"/>
      <c r="J317" s="7"/>
      <c r="K317" s="7"/>
      <c r="M317" s="7"/>
      <c r="N317" s="7"/>
      <c r="Q317" s="7"/>
      <c r="R317" s="7"/>
      <c r="U317" s="7"/>
      <c r="V317" s="7"/>
      <c r="Y317" s="7"/>
      <c r="Z317" s="7"/>
      <c r="AB317" s="7"/>
      <c r="AC317" s="7"/>
      <c r="AF317" s="7"/>
      <c r="AG317" s="7"/>
      <c r="AJ317" s="7"/>
      <c r="AK317" s="7"/>
      <c r="AM317" s="7"/>
      <c r="AN317" s="7"/>
      <c r="AP317" s="7"/>
      <c r="AQ317" s="7"/>
      <c r="AS317" s="7"/>
      <c r="AT317" s="7"/>
      <c r="AV317" s="7"/>
      <c r="AW317" s="7"/>
    </row>
    <row r="318" spans="6:49" x14ac:dyDescent="0.3">
      <c r="F318" s="7"/>
      <c r="G318" s="7"/>
      <c r="J318" s="7"/>
      <c r="K318" s="7"/>
      <c r="M318" s="7"/>
      <c r="N318" s="7"/>
      <c r="Q318" s="7"/>
      <c r="R318" s="7"/>
      <c r="U318" s="7"/>
      <c r="V318" s="7"/>
      <c r="Y318" s="7"/>
      <c r="Z318" s="7"/>
      <c r="AB318" s="7"/>
      <c r="AC318" s="7"/>
      <c r="AF318" s="7"/>
      <c r="AG318" s="7"/>
      <c r="AJ318" s="7"/>
      <c r="AK318" s="7"/>
      <c r="AM318" s="7"/>
      <c r="AN318" s="7"/>
      <c r="AP318" s="7"/>
      <c r="AQ318" s="7"/>
      <c r="AS318" s="7"/>
      <c r="AT318" s="7"/>
      <c r="AV318" s="7"/>
      <c r="AW318" s="7"/>
    </row>
    <row r="319" spans="6:49" x14ac:dyDescent="0.3">
      <c r="F319" s="7"/>
      <c r="G319" s="7"/>
      <c r="J319" s="7"/>
      <c r="K319" s="7"/>
      <c r="M319" s="7"/>
      <c r="N319" s="7"/>
      <c r="Q319" s="7"/>
      <c r="R319" s="7"/>
      <c r="U319" s="7"/>
      <c r="V319" s="7"/>
      <c r="Y319" s="7"/>
      <c r="Z319" s="7"/>
      <c r="AB319" s="7"/>
      <c r="AC319" s="7"/>
      <c r="AF319" s="7"/>
      <c r="AG319" s="7"/>
      <c r="AJ319" s="7"/>
      <c r="AK319" s="7"/>
      <c r="AM319" s="7"/>
      <c r="AN319" s="7"/>
      <c r="AP319" s="7"/>
      <c r="AQ319" s="7"/>
      <c r="AS319" s="7"/>
      <c r="AT319" s="7"/>
      <c r="AV319" s="7"/>
      <c r="AW319" s="7"/>
    </row>
    <row r="320" spans="6:49" x14ac:dyDescent="0.3">
      <c r="F320" s="7"/>
      <c r="G320" s="7"/>
      <c r="J320" s="7"/>
      <c r="K320" s="7"/>
      <c r="M320" s="7"/>
      <c r="N320" s="7"/>
      <c r="Q320" s="7"/>
      <c r="R320" s="7"/>
      <c r="U320" s="7"/>
      <c r="V320" s="7"/>
      <c r="Y320" s="7"/>
      <c r="Z320" s="7"/>
      <c r="AB320" s="7"/>
      <c r="AC320" s="7"/>
      <c r="AF320" s="7"/>
      <c r="AG320" s="7"/>
      <c r="AJ320" s="7"/>
      <c r="AK320" s="7"/>
      <c r="AM320" s="7"/>
      <c r="AN320" s="7"/>
      <c r="AP320" s="7"/>
      <c r="AQ320" s="7"/>
      <c r="AS320" s="7"/>
      <c r="AT320" s="7"/>
      <c r="AV320" s="7"/>
      <c r="AW320" s="7"/>
    </row>
    <row r="321" spans="6:49" x14ac:dyDescent="0.3">
      <c r="F321" s="7"/>
      <c r="G321" s="7"/>
      <c r="J321" s="7"/>
      <c r="K321" s="7"/>
      <c r="M321" s="7"/>
      <c r="N321" s="7"/>
      <c r="Q321" s="7"/>
      <c r="R321" s="7"/>
      <c r="U321" s="7"/>
      <c r="V321" s="7"/>
      <c r="Y321" s="7"/>
      <c r="Z321" s="7"/>
      <c r="AB321" s="7"/>
      <c r="AC321" s="7"/>
      <c r="AF321" s="7"/>
      <c r="AG321" s="7"/>
      <c r="AJ321" s="7"/>
      <c r="AK321" s="7"/>
      <c r="AM321" s="7"/>
      <c r="AN321" s="7"/>
      <c r="AP321" s="7"/>
      <c r="AQ321" s="7"/>
      <c r="AS321" s="7"/>
      <c r="AT321" s="7"/>
      <c r="AV321" s="7"/>
      <c r="AW321" s="7"/>
    </row>
    <row r="322" spans="6:49" x14ac:dyDescent="0.3">
      <c r="F322" s="7"/>
      <c r="G322" s="7"/>
      <c r="J322" s="7"/>
      <c r="K322" s="7"/>
      <c r="M322" s="7"/>
      <c r="N322" s="7"/>
      <c r="Q322" s="7"/>
      <c r="R322" s="7"/>
      <c r="U322" s="7"/>
      <c r="V322" s="7"/>
      <c r="Y322" s="7"/>
      <c r="Z322" s="7"/>
      <c r="AB322" s="7"/>
      <c r="AC322" s="7"/>
      <c r="AF322" s="7"/>
      <c r="AG322" s="7"/>
      <c r="AJ322" s="7"/>
      <c r="AK322" s="7"/>
      <c r="AM322" s="7"/>
      <c r="AN322" s="7"/>
      <c r="AP322" s="7"/>
      <c r="AQ322" s="7"/>
      <c r="AS322" s="7"/>
      <c r="AT322" s="7"/>
      <c r="AV322" s="7"/>
      <c r="AW322" s="7"/>
    </row>
    <row r="323" spans="6:49" x14ac:dyDescent="0.3">
      <c r="F323" s="7"/>
      <c r="G323" s="7"/>
      <c r="J323" s="7"/>
      <c r="K323" s="7"/>
      <c r="M323" s="7"/>
      <c r="N323" s="7"/>
      <c r="Q323" s="7"/>
      <c r="R323" s="7"/>
      <c r="U323" s="7"/>
      <c r="V323" s="7"/>
      <c r="Y323" s="7"/>
      <c r="Z323" s="7"/>
      <c r="AB323" s="7"/>
      <c r="AC323" s="7"/>
      <c r="AF323" s="7"/>
      <c r="AG323" s="7"/>
      <c r="AJ323" s="7"/>
      <c r="AK323" s="7"/>
      <c r="AM323" s="7"/>
      <c r="AN323" s="7"/>
      <c r="AP323" s="7"/>
      <c r="AQ323" s="7"/>
      <c r="AS323" s="7"/>
      <c r="AT323" s="7"/>
      <c r="AV323" s="7"/>
      <c r="AW323" s="7"/>
    </row>
    <row r="324" spans="6:49" x14ac:dyDescent="0.3">
      <c r="F324" s="7"/>
      <c r="G324" s="7"/>
      <c r="J324" s="7"/>
      <c r="K324" s="7"/>
      <c r="M324" s="7"/>
      <c r="N324" s="7"/>
      <c r="Q324" s="7"/>
      <c r="R324" s="7"/>
      <c r="U324" s="7"/>
      <c r="V324" s="7"/>
      <c r="Y324" s="7"/>
      <c r="Z324" s="7"/>
      <c r="AB324" s="7"/>
      <c r="AC324" s="7"/>
      <c r="AF324" s="7"/>
      <c r="AG324" s="7"/>
      <c r="AJ324" s="7"/>
      <c r="AK324" s="7"/>
      <c r="AM324" s="7"/>
      <c r="AN324" s="7"/>
      <c r="AP324" s="7"/>
      <c r="AQ324" s="7"/>
      <c r="AS324" s="7"/>
      <c r="AT324" s="7"/>
      <c r="AV324" s="7"/>
      <c r="AW324" s="7"/>
    </row>
    <row r="325" spans="6:49" x14ac:dyDescent="0.3">
      <c r="F325" s="7"/>
      <c r="G325" s="7"/>
      <c r="J325" s="7"/>
      <c r="K325" s="7"/>
      <c r="M325" s="7"/>
      <c r="N325" s="7"/>
      <c r="Q325" s="7"/>
      <c r="R325" s="7"/>
      <c r="U325" s="7"/>
      <c r="V325" s="7"/>
      <c r="Y325" s="7"/>
      <c r="Z325" s="7"/>
      <c r="AB325" s="7"/>
      <c r="AC325" s="7"/>
      <c r="AF325" s="7"/>
      <c r="AG325" s="7"/>
      <c r="AJ325" s="7"/>
      <c r="AK325" s="7"/>
      <c r="AM325" s="7"/>
      <c r="AN325" s="7"/>
      <c r="AP325" s="7"/>
      <c r="AQ325" s="7"/>
      <c r="AS325" s="7"/>
      <c r="AT325" s="7"/>
      <c r="AV325" s="7"/>
      <c r="AW325" s="7"/>
    </row>
    <row r="326" spans="6:49" x14ac:dyDescent="0.3">
      <c r="F326" s="7"/>
      <c r="G326" s="7"/>
      <c r="J326" s="7"/>
      <c r="K326" s="7"/>
      <c r="M326" s="7"/>
      <c r="N326" s="7"/>
      <c r="Q326" s="7"/>
      <c r="R326" s="7"/>
      <c r="U326" s="7"/>
      <c r="V326" s="7"/>
      <c r="Y326" s="7"/>
      <c r="Z326" s="7"/>
      <c r="AB326" s="7"/>
      <c r="AC326" s="7"/>
      <c r="AF326" s="7"/>
      <c r="AG326" s="7"/>
      <c r="AJ326" s="7"/>
      <c r="AK326" s="7"/>
      <c r="AM326" s="7"/>
      <c r="AN326" s="7"/>
      <c r="AP326" s="7"/>
      <c r="AQ326" s="7"/>
      <c r="AS326" s="7"/>
      <c r="AT326" s="7"/>
      <c r="AV326" s="7"/>
      <c r="AW326" s="7"/>
    </row>
    <row r="327" spans="6:49" x14ac:dyDescent="0.3">
      <c r="F327" s="7"/>
      <c r="G327" s="7"/>
      <c r="J327" s="7"/>
      <c r="K327" s="7"/>
      <c r="M327" s="7"/>
      <c r="N327" s="7"/>
      <c r="Q327" s="7"/>
      <c r="R327" s="7"/>
      <c r="U327" s="7"/>
      <c r="V327" s="7"/>
      <c r="Y327" s="7"/>
      <c r="Z327" s="7"/>
      <c r="AB327" s="7"/>
      <c r="AC327" s="7"/>
      <c r="AF327" s="7"/>
      <c r="AG327" s="7"/>
      <c r="AJ327" s="7"/>
      <c r="AK327" s="7"/>
      <c r="AM327" s="7"/>
      <c r="AN327" s="7"/>
      <c r="AP327" s="7"/>
      <c r="AQ327" s="7"/>
      <c r="AS327" s="7"/>
      <c r="AT327" s="7"/>
      <c r="AV327" s="7"/>
      <c r="AW327" s="7"/>
    </row>
    <row r="328" spans="6:49" x14ac:dyDescent="0.3">
      <c r="F328" s="7"/>
      <c r="G328" s="7"/>
      <c r="J328" s="7"/>
      <c r="K328" s="7"/>
      <c r="M328" s="7"/>
      <c r="N328" s="7"/>
      <c r="Q328" s="7"/>
      <c r="R328" s="7"/>
      <c r="U328" s="7"/>
      <c r="V328" s="7"/>
      <c r="Y328" s="7"/>
      <c r="Z328" s="7"/>
      <c r="AB328" s="7"/>
      <c r="AC328" s="7"/>
      <c r="AF328" s="7"/>
      <c r="AG328" s="7"/>
      <c r="AJ328" s="7"/>
      <c r="AK328" s="7"/>
      <c r="AM328" s="7"/>
      <c r="AN328" s="7"/>
      <c r="AP328" s="7"/>
      <c r="AQ328" s="7"/>
      <c r="AS328" s="7"/>
      <c r="AT328" s="7"/>
      <c r="AV328" s="7"/>
      <c r="AW328" s="7"/>
    </row>
    <row r="329" spans="6:49" x14ac:dyDescent="0.3">
      <c r="F329" s="7"/>
      <c r="G329" s="7"/>
      <c r="J329" s="7"/>
      <c r="K329" s="7"/>
      <c r="M329" s="7"/>
      <c r="N329" s="7"/>
      <c r="Q329" s="7"/>
      <c r="R329" s="7"/>
      <c r="U329" s="7"/>
      <c r="V329" s="7"/>
      <c r="Y329" s="7"/>
      <c r="Z329" s="7"/>
      <c r="AB329" s="7"/>
      <c r="AC329" s="7"/>
      <c r="AF329" s="7"/>
      <c r="AG329" s="7"/>
      <c r="AJ329" s="7"/>
      <c r="AK329" s="7"/>
      <c r="AM329" s="7"/>
      <c r="AN329" s="7"/>
      <c r="AP329" s="7"/>
      <c r="AQ329" s="7"/>
      <c r="AS329" s="7"/>
      <c r="AT329" s="7"/>
      <c r="AV329" s="7"/>
      <c r="AW329" s="7"/>
    </row>
    <row r="330" spans="6:49" x14ac:dyDescent="0.3">
      <c r="F330" s="7"/>
      <c r="G330" s="7"/>
      <c r="J330" s="7"/>
      <c r="K330" s="7"/>
      <c r="M330" s="7"/>
      <c r="N330" s="7"/>
      <c r="Q330" s="7"/>
      <c r="R330" s="7"/>
      <c r="U330" s="7"/>
      <c r="V330" s="7"/>
      <c r="Y330" s="7"/>
      <c r="Z330" s="7"/>
      <c r="AB330" s="7"/>
      <c r="AC330" s="7"/>
      <c r="AF330" s="7"/>
      <c r="AG330" s="7"/>
      <c r="AJ330" s="7"/>
      <c r="AK330" s="7"/>
      <c r="AM330" s="7"/>
      <c r="AN330" s="7"/>
      <c r="AP330" s="7"/>
      <c r="AQ330" s="7"/>
      <c r="AS330" s="7"/>
      <c r="AT330" s="7"/>
      <c r="AV330" s="7"/>
      <c r="AW330" s="7"/>
    </row>
    <row r="331" spans="6:49" x14ac:dyDescent="0.3">
      <c r="F331" s="7"/>
      <c r="G331" s="7"/>
      <c r="J331" s="7"/>
      <c r="K331" s="7"/>
      <c r="M331" s="7"/>
      <c r="N331" s="7"/>
      <c r="Q331" s="7"/>
      <c r="R331" s="7"/>
      <c r="U331" s="7"/>
      <c r="V331" s="7"/>
      <c r="Y331" s="7"/>
      <c r="Z331" s="7"/>
      <c r="AB331" s="7"/>
      <c r="AC331" s="7"/>
      <c r="AF331" s="7"/>
      <c r="AG331" s="7"/>
      <c r="AJ331" s="7"/>
      <c r="AK331" s="7"/>
      <c r="AM331" s="7"/>
      <c r="AN331" s="7"/>
      <c r="AP331" s="7"/>
      <c r="AQ331" s="7"/>
      <c r="AS331" s="7"/>
      <c r="AT331" s="7"/>
      <c r="AV331" s="7"/>
      <c r="AW331" s="7"/>
    </row>
  </sheetData>
  <mergeCells count="94">
    <mergeCell ref="AV1:AW1"/>
    <mergeCell ref="C2:D2"/>
    <mergeCell ref="F2:G2"/>
    <mergeCell ref="J2:K2"/>
    <mergeCell ref="M2:N2"/>
    <mergeCell ref="Q2:R2"/>
    <mergeCell ref="U2:V2"/>
    <mergeCell ref="Y2:Z2"/>
    <mergeCell ref="AB2:AC2"/>
    <mergeCell ref="AF2:AG2"/>
    <mergeCell ref="AJ2:AK2"/>
    <mergeCell ref="AM2:AN2"/>
    <mergeCell ref="AP2:AQ2"/>
    <mergeCell ref="AS2:AT2"/>
    <mergeCell ref="AV2:AW2"/>
    <mergeCell ref="AI1:AI3"/>
    <mergeCell ref="AJ1:AK1"/>
    <mergeCell ref="AM1:AN1"/>
    <mergeCell ref="AP1:AQ1"/>
    <mergeCell ref="AS1:AT1"/>
    <mergeCell ref="X1:X3"/>
    <mergeCell ref="Y1:Z1"/>
    <mergeCell ref="AB1:AC1"/>
    <mergeCell ref="AE1:AE3"/>
    <mergeCell ref="AF1:AG1"/>
    <mergeCell ref="M1:N1"/>
    <mergeCell ref="P1:P3"/>
    <mergeCell ref="Q1:R1"/>
    <mergeCell ref="T1:T3"/>
    <mergeCell ref="U1:V1"/>
    <mergeCell ref="B1:B3"/>
    <mergeCell ref="C1:D1"/>
    <mergeCell ref="F1:G1"/>
    <mergeCell ref="I1:I3"/>
    <mergeCell ref="J1:K1"/>
    <mergeCell ref="BV1:BW1"/>
    <mergeCell ref="BR2:BS2"/>
    <mergeCell ref="AZ1:BA1"/>
    <mergeCell ref="BC1:BD1"/>
    <mergeCell ref="BF1:BF3"/>
    <mergeCell ref="BG1:BH1"/>
    <mergeCell ref="BU1:BU3"/>
    <mergeCell ref="DS1:DT1"/>
    <mergeCell ref="DC1:DD1"/>
    <mergeCell ref="DF1:DF3"/>
    <mergeCell ref="DG1:DH1"/>
    <mergeCell ref="DI1:DJ1"/>
    <mergeCell ref="DC2:DD2"/>
    <mergeCell ref="DG2:DH2"/>
    <mergeCell ref="DI2:DJ2"/>
    <mergeCell ref="DK2:DL2"/>
    <mergeCell ref="DN2:DO2"/>
    <mergeCell ref="DP2:DQ2"/>
    <mergeCell ref="DS2:DT2"/>
    <mergeCell ref="DU2:DV2"/>
    <mergeCell ref="DU1:DV1"/>
    <mergeCell ref="AZ2:BA2"/>
    <mergeCell ref="BC2:BD2"/>
    <mergeCell ref="BG2:BH2"/>
    <mergeCell ref="BV2:BW2"/>
    <mergeCell ref="BY2:BZ2"/>
    <mergeCell ref="CB2:CC2"/>
    <mergeCell ref="CS2:CT2"/>
    <mergeCell ref="CV2:CW2"/>
    <mergeCell ref="CY2:CZ2"/>
    <mergeCell ref="DK1:DL1"/>
    <mergeCell ref="DM1:DM3"/>
    <mergeCell ref="DN1:DO1"/>
    <mergeCell ref="DP1:DQ1"/>
    <mergeCell ref="DR1:DR3"/>
    <mergeCell ref="AY1:AY3"/>
    <mergeCell ref="DB1:DB3"/>
    <mergeCell ref="BJ1:BJ3"/>
    <mergeCell ref="BK1:BL1"/>
    <mergeCell ref="BN1:BO1"/>
    <mergeCell ref="BQ1:BQ3"/>
    <mergeCell ref="BR1:BS1"/>
    <mergeCell ref="BK2:BL2"/>
    <mergeCell ref="BN2:BO2"/>
    <mergeCell ref="BY1:BZ1"/>
    <mergeCell ref="CB1:CC1"/>
    <mergeCell ref="CR1:CR3"/>
    <mergeCell ref="CS1:CT1"/>
    <mergeCell ref="CV1:CW1"/>
    <mergeCell ref="CY1:CZ1"/>
    <mergeCell ref="CE1:CE3"/>
    <mergeCell ref="CO1:CP1"/>
    <mergeCell ref="CF2:CG2"/>
    <mergeCell ref="CI2:CJ2"/>
    <mergeCell ref="CL2:CM2"/>
    <mergeCell ref="CO2:CP2"/>
    <mergeCell ref="CF1:CG1"/>
    <mergeCell ref="CI1:CJ1"/>
    <mergeCell ref="CL1:CM1"/>
  </mergeCell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G16"/>
  <sheetViews>
    <sheetView zoomScale="60" zoomScaleNormal="6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D49" sqref="D49"/>
    </sheetView>
  </sheetViews>
  <sheetFormatPr defaultRowHeight="14.4" x14ac:dyDescent="0.3"/>
  <cols>
    <col min="1" max="1" width="57.109375" style="29" bestFit="1" customWidth="1"/>
    <col min="2" max="46" width="11.109375" style="29" customWidth="1"/>
    <col min="47" max="47" width="11.109375" style="29" bestFit="1" customWidth="1"/>
    <col min="48" max="48" width="16.88671875" style="29" bestFit="1" customWidth="1"/>
    <col min="49" max="49" width="15.33203125" style="29" bestFit="1" customWidth="1"/>
    <col min="50" max="50" width="11.109375" style="29" bestFit="1" customWidth="1"/>
    <col min="51" max="51" width="16.88671875" style="29" bestFit="1" customWidth="1"/>
    <col min="52" max="52" width="15.33203125" style="29" bestFit="1" customWidth="1"/>
    <col min="53" max="53" width="11.109375" style="29" bestFit="1" customWidth="1"/>
    <col min="54" max="54" width="16.88671875" style="29" bestFit="1" customWidth="1"/>
    <col min="55" max="55" width="15.33203125" style="29" bestFit="1" customWidth="1"/>
    <col min="56" max="56" width="11.109375" style="29" bestFit="1" customWidth="1"/>
    <col min="57" max="57" width="16.88671875" style="29" bestFit="1" customWidth="1"/>
    <col min="58" max="58" width="15.33203125" style="29" bestFit="1" customWidth="1"/>
    <col min="59" max="59" width="11.109375" style="29" bestFit="1" customWidth="1"/>
    <col min="60" max="60" width="16.88671875" style="29" bestFit="1" customWidth="1"/>
    <col min="61" max="61" width="15.33203125" style="29" bestFit="1" customWidth="1"/>
    <col min="62" max="62" width="11.109375" style="29" bestFit="1" customWidth="1"/>
    <col min="63" max="63" width="16.88671875" style="29" bestFit="1" customWidth="1"/>
    <col min="64" max="64" width="15.33203125" style="29" bestFit="1" customWidth="1"/>
    <col min="65" max="65" width="13.5546875" style="29" bestFit="1" customWidth="1"/>
    <col min="66" max="66" width="16.88671875" style="29" bestFit="1" customWidth="1"/>
    <col min="67" max="67" width="15.33203125" style="29" bestFit="1" customWidth="1"/>
    <col min="68" max="68" width="11.33203125" style="29" bestFit="1" customWidth="1"/>
    <col min="69" max="69" width="16.88671875" style="29" bestFit="1" customWidth="1"/>
    <col min="70" max="70" width="15.33203125" style="29" bestFit="1" customWidth="1"/>
    <col min="71" max="71" width="11.33203125" style="29" bestFit="1" customWidth="1"/>
    <col min="72" max="72" width="16.88671875" style="29" bestFit="1" customWidth="1"/>
    <col min="73" max="73" width="15.33203125" style="29" bestFit="1" customWidth="1"/>
    <col min="74" max="74" width="11.109375" style="29" bestFit="1" customWidth="1"/>
    <col min="75" max="75" width="16.88671875" style="29" bestFit="1" customWidth="1"/>
    <col min="76" max="76" width="15.33203125" style="29" bestFit="1" customWidth="1"/>
    <col min="77" max="77" width="11.109375" style="29" bestFit="1" customWidth="1"/>
    <col min="78" max="78" width="16.88671875" style="29" bestFit="1" customWidth="1"/>
    <col min="79" max="79" width="15.33203125" style="29" bestFit="1" customWidth="1"/>
    <col min="80" max="80" width="11.109375" style="29" bestFit="1" customWidth="1"/>
    <col min="81" max="81" width="16.88671875" style="29" bestFit="1" customWidth="1"/>
    <col min="82" max="82" width="15.33203125" style="29" bestFit="1" customWidth="1"/>
    <col min="83" max="83" width="11.33203125" style="29" bestFit="1" customWidth="1"/>
    <col min="84" max="84" width="16.88671875" style="29" bestFit="1" customWidth="1"/>
    <col min="85" max="85" width="15.33203125" style="29" bestFit="1" customWidth="1"/>
    <col min="86" max="86" width="11.33203125" style="29" bestFit="1" customWidth="1"/>
    <col min="87" max="87" width="16.88671875" style="29" bestFit="1" customWidth="1"/>
    <col min="88" max="88" width="15.33203125" style="29" bestFit="1" customWidth="1"/>
    <col min="89" max="89" width="11.33203125" style="29" bestFit="1" customWidth="1"/>
    <col min="90" max="90" width="16.88671875" style="29" bestFit="1" customWidth="1"/>
    <col min="91" max="91" width="15.33203125" style="29" bestFit="1" customWidth="1"/>
    <col min="92" max="92" width="11.109375" style="29" bestFit="1" customWidth="1"/>
    <col min="93" max="93" width="16.88671875" style="29" bestFit="1" customWidth="1"/>
    <col min="94" max="94" width="15.33203125" style="29" bestFit="1" customWidth="1"/>
    <col min="95" max="95" width="10.109375" style="29" bestFit="1" customWidth="1"/>
    <col min="96" max="96" width="16.88671875" style="29" bestFit="1" customWidth="1"/>
    <col min="97" max="97" width="15.33203125" style="29" bestFit="1" customWidth="1"/>
    <col min="98" max="98" width="11.109375" style="29" bestFit="1" customWidth="1"/>
    <col min="99" max="99" width="17.21875" style="29" bestFit="1" customWidth="1"/>
    <col min="100" max="100" width="11.109375" style="29" bestFit="1" customWidth="1"/>
    <col min="101" max="101" width="17.21875" style="29" bestFit="1" customWidth="1"/>
    <col min="102" max="102" width="11.109375" style="29" bestFit="1" customWidth="1"/>
    <col min="103" max="103" width="17.21875" style="29" bestFit="1" customWidth="1"/>
    <col min="104" max="104" width="11.109375" style="29" bestFit="1" customWidth="1"/>
    <col min="105" max="105" width="17.21875" style="29" bestFit="1" customWidth="1"/>
    <col min="106" max="106" width="11.109375" style="29" bestFit="1" customWidth="1"/>
    <col min="107" max="107" width="17.21875" style="29" bestFit="1" customWidth="1"/>
    <col min="108" max="108" width="11.33203125" style="29" bestFit="1" customWidth="1"/>
    <col min="109" max="109" width="17.21875" style="29" bestFit="1" customWidth="1"/>
    <col min="110" max="110" width="11.33203125" style="29" bestFit="1" customWidth="1"/>
    <col min="111" max="111" width="17.21875" style="29" bestFit="1" customWidth="1"/>
    <col min="112" max="16384" width="8.88671875" style="29"/>
  </cols>
  <sheetData>
    <row r="1" spans="1:111" s="33" customFormat="1" ht="15.6" x14ac:dyDescent="0.3">
      <c r="A1" s="37"/>
      <c r="B1" s="162" t="s">
        <v>1</v>
      </c>
      <c r="C1" s="163" t="s">
        <v>372</v>
      </c>
      <c r="D1" s="163"/>
      <c r="E1" s="123"/>
      <c r="F1" s="161" t="s">
        <v>392</v>
      </c>
      <c r="G1" s="161"/>
      <c r="H1" s="123"/>
      <c r="I1" s="161" t="s">
        <v>390</v>
      </c>
      <c r="J1" s="161"/>
      <c r="K1" s="123"/>
      <c r="L1" s="161" t="s">
        <v>388</v>
      </c>
      <c r="M1" s="161"/>
      <c r="N1" s="123"/>
      <c r="O1" s="161" t="s">
        <v>386</v>
      </c>
      <c r="P1" s="161"/>
      <c r="Q1" s="123"/>
      <c r="R1" s="162" t="s">
        <v>1</v>
      </c>
      <c r="S1" s="161" t="s">
        <v>383</v>
      </c>
      <c r="T1" s="161"/>
      <c r="U1" s="123"/>
      <c r="V1" s="162" t="s">
        <v>1</v>
      </c>
      <c r="W1" s="161" t="s">
        <v>382</v>
      </c>
      <c r="X1" s="161"/>
      <c r="Y1" s="123"/>
      <c r="Z1" s="161" t="s">
        <v>381</v>
      </c>
      <c r="AA1" s="161"/>
      <c r="AB1" s="123"/>
      <c r="AC1" s="161" t="s">
        <v>380</v>
      </c>
      <c r="AD1" s="161"/>
      <c r="AE1" s="123"/>
      <c r="AF1" s="161" t="s">
        <v>379</v>
      </c>
      <c r="AG1" s="161"/>
      <c r="AH1" s="123"/>
      <c r="AI1" s="161" t="s">
        <v>378</v>
      </c>
      <c r="AJ1" s="161"/>
      <c r="AK1" s="123"/>
      <c r="AL1" s="161" t="s">
        <v>377</v>
      </c>
      <c r="AM1" s="161"/>
      <c r="AN1" s="123"/>
      <c r="AO1" s="161" t="s">
        <v>376</v>
      </c>
      <c r="AP1" s="161"/>
      <c r="AQ1" s="123"/>
      <c r="AR1" s="161" t="s">
        <v>375</v>
      </c>
      <c r="AS1" s="161"/>
      <c r="AT1" s="123"/>
      <c r="AU1" s="164" t="s">
        <v>345</v>
      </c>
      <c r="AV1" s="164"/>
      <c r="AW1" s="59"/>
      <c r="AX1" s="164" t="s">
        <v>346</v>
      </c>
      <c r="AY1" s="164"/>
      <c r="AZ1" s="59"/>
      <c r="BA1" s="164" t="s">
        <v>35</v>
      </c>
      <c r="BB1" s="164"/>
      <c r="BC1" s="59"/>
      <c r="BD1" s="164" t="s">
        <v>90</v>
      </c>
      <c r="BE1" s="164"/>
      <c r="BF1" s="59"/>
      <c r="BG1" s="164" t="s">
        <v>88</v>
      </c>
      <c r="BH1" s="164"/>
      <c r="BI1" s="59"/>
      <c r="BJ1" s="164" t="s">
        <v>89</v>
      </c>
      <c r="BK1" s="164"/>
      <c r="BL1" s="59"/>
      <c r="BM1" s="164" t="s">
        <v>33</v>
      </c>
      <c r="BN1" s="164"/>
      <c r="BO1" s="59"/>
      <c r="BP1" s="164" t="s">
        <v>32</v>
      </c>
      <c r="BQ1" s="164"/>
      <c r="BR1" s="59"/>
      <c r="BS1" s="164" t="s">
        <v>31</v>
      </c>
      <c r="BT1" s="164"/>
      <c r="BU1" s="59"/>
      <c r="BV1" s="164" t="s">
        <v>87</v>
      </c>
      <c r="BW1" s="164"/>
      <c r="BX1" s="59"/>
      <c r="BY1" s="164" t="s">
        <v>84</v>
      </c>
      <c r="BZ1" s="164"/>
      <c r="CA1" s="59"/>
      <c r="CB1" s="164" t="s">
        <v>85</v>
      </c>
      <c r="CC1" s="164"/>
      <c r="CD1" s="59"/>
      <c r="CE1" s="164" t="s">
        <v>83</v>
      </c>
      <c r="CF1" s="164"/>
      <c r="CG1" s="59"/>
      <c r="CH1" s="164" t="s">
        <v>30</v>
      </c>
      <c r="CI1" s="164"/>
      <c r="CJ1" s="59"/>
      <c r="CK1" s="164" t="s">
        <v>29</v>
      </c>
      <c r="CL1" s="164"/>
      <c r="CM1" s="59"/>
      <c r="CN1" s="164" t="s">
        <v>28</v>
      </c>
      <c r="CO1" s="164"/>
      <c r="CP1" s="59"/>
      <c r="CQ1" s="164" t="s">
        <v>3</v>
      </c>
      <c r="CR1" s="164"/>
      <c r="CS1" s="59"/>
      <c r="CT1" s="164" t="s">
        <v>4</v>
      </c>
      <c r="CU1" s="164"/>
      <c r="CV1" s="164" t="s">
        <v>5</v>
      </c>
      <c r="CW1" s="164"/>
      <c r="CX1" s="164" t="s">
        <v>10</v>
      </c>
      <c r="CY1" s="164"/>
      <c r="CZ1" s="164" t="s">
        <v>12</v>
      </c>
      <c r="DA1" s="164"/>
      <c r="DB1" s="164" t="s">
        <v>13</v>
      </c>
      <c r="DC1" s="164"/>
      <c r="DD1" s="164" t="s">
        <v>14</v>
      </c>
      <c r="DE1" s="164"/>
      <c r="DF1" s="164" t="s">
        <v>15</v>
      </c>
      <c r="DG1" s="164"/>
    </row>
    <row r="2" spans="1:111" s="62" customFormat="1" ht="13.8" hidden="1" customHeight="1" x14ac:dyDescent="0.3">
      <c r="A2" s="60"/>
      <c r="B2" s="162"/>
      <c r="C2" s="159">
        <v>1874</v>
      </c>
      <c r="D2" s="159"/>
      <c r="E2" s="124"/>
      <c r="F2" s="159">
        <v>1875</v>
      </c>
      <c r="G2" s="159"/>
      <c r="H2" s="124"/>
      <c r="I2" s="159">
        <v>1876</v>
      </c>
      <c r="J2" s="159"/>
      <c r="K2" s="124"/>
      <c r="L2" s="159">
        <v>1877</v>
      </c>
      <c r="M2" s="159"/>
      <c r="N2" s="124"/>
      <c r="O2" s="159">
        <v>1878</v>
      </c>
      <c r="P2" s="159"/>
      <c r="Q2" s="124"/>
      <c r="R2" s="162"/>
      <c r="S2" s="159">
        <v>1879</v>
      </c>
      <c r="T2" s="159"/>
      <c r="U2" s="124"/>
      <c r="V2" s="162"/>
      <c r="W2" s="159">
        <v>1880</v>
      </c>
      <c r="X2" s="159"/>
      <c r="Y2" s="124"/>
      <c r="Z2" s="159">
        <v>1881</v>
      </c>
      <c r="AA2" s="159"/>
      <c r="AB2" s="124"/>
      <c r="AC2" s="159">
        <v>1882</v>
      </c>
      <c r="AD2" s="159"/>
      <c r="AE2" s="124"/>
      <c r="AF2" s="159">
        <v>1883</v>
      </c>
      <c r="AG2" s="159"/>
      <c r="AH2" s="124"/>
      <c r="AI2" s="159">
        <v>1884</v>
      </c>
      <c r="AJ2" s="159"/>
      <c r="AK2" s="124"/>
      <c r="AL2" s="159">
        <v>1885</v>
      </c>
      <c r="AM2" s="159"/>
      <c r="AN2" s="124"/>
      <c r="AO2" s="159">
        <v>1886</v>
      </c>
      <c r="AP2" s="159"/>
      <c r="AQ2" s="124"/>
      <c r="AR2" s="159">
        <v>1887</v>
      </c>
      <c r="AS2" s="159"/>
      <c r="AT2" s="124"/>
      <c r="AU2" s="165">
        <v>1888</v>
      </c>
      <c r="AV2" s="165"/>
      <c r="AW2" s="61"/>
      <c r="AX2" s="165">
        <v>1889</v>
      </c>
      <c r="AY2" s="165"/>
      <c r="AZ2" s="61"/>
      <c r="BA2" s="165">
        <v>1890</v>
      </c>
      <c r="BB2" s="165"/>
      <c r="BC2" s="61"/>
      <c r="BD2" s="165">
        <v>1891</v>
      </c>
      <c r="BE2" s="165"/>
      <c r="BF2" s="61"/>
      <c r="BG2" s="165">
        <v>1892</v>
      </c>
      <c r="BH2" s="165"/>
      <c r="BI2" s="61"/>
      <c r="BJ2" s="165">
        <v>1893</v>
      </c>
      <c r="BK2" s="165"/>
      <c r="BL2" s="61"/>
      <c r="BM2" s="165">
        <v>1894</v>
      </c>
      <c r="BN2" s="165"/>
      <c r="BO2" s="61"/>
      <c r="BP2" s="165">
        <v>1895</v>
      </c>
      <c r="BQ2" s="165"/>
      <c r="BR2" s="61"/>
      <c r="BS2" s="165">
        <v>1896</v>
      </c>
      <c r="BT2" s="165"/>
      <c r="BU2" s="61"/>
      <c r="BV2" s="165">
        <v>1897</v>
      </c>
      <c r="BW2" s="165"/>
      <c r="BX2" s="61"/>
      <c r="BY2" s="165">
        <v>1898</v>
      </c>
      <c r="BZ2" s="165"/>
      <c r="CA2" s="61"/>
      <c r="CB2" s="165">
        <v>1899</v>
      </c>
      <c r="CC2" s="165"/>
      <c r="CD2" s="61"/>
      <c r="CE2" s="165">
        <v>1900</v>
      </c>
      <c r="CF2" s="165"/>
      <c r="CG2" s="61"/>
      <c r="CH2" s="165">
        <v>1901</v>
      </c>
      <c r="CI2" s="165"/>
      <c r="CJ2" s="61"/>
      <c r="CK2" s="165">
        <v>1902</v>
      </c>
      <c r="CL2" s="165"/>
      <c r="CM2" s="61"/>
      <c r="CN2" s="165">
        <v>1903</v>
      </c>
      <c r="CO2" s="165"/>
      <c r="CP2" s="61"/>
      <c r="CQ2" s="165">
        <v>1904</v>
      </c>
      <c r="CR2" s="165"/>
      <c r="CS2" s="61"/>
      <c r="CT2" s="165">
        <v>1905</v>
      </c>
      <c r="CU2" s="165"/>
      <c r="CV2" s="165">
        <v>1906</v>
      </c>
      <c r="CW2" s="165"/>
      <c r="CX2" s="165">
        <v>1907</v>
      </c>
      <c r="CY2" s="165"/>
      <c r="CZ2" s="165">
        <v>1908</v>
      </c>
      <c r="DA2" s="165"/>
      <c r="DB2" s="165">
        <v>1909</v>
      </c>
      <c r="DC2" s="165"/>
      <c r="DD2" s="165">
        <v>1910</v>
      </c>
      <c r="DE2" s="165"/>
      <c r="DF2" s="165">
        <v>1911</v>
      </c>
      <c r="DG2" s="165"/>
    </row>
    <row r="3" spans="1:111" s="33" customFormat="1" ht="15.6" x14ac:dyDescent="0.3">
      <c r="A3" s="38" t="s">
        <v>0</v>
      </c>
      <c r="B3" s="162"/>
      <c r="C3" s="3" t="s">
        <v>2</v>
      </c>
      <c r="D3" s="8" t="s">
        <v>11</v>
      </c>
      <c r="E3" s="30" t="s">
        <v>110</v>
      </c>
      <c r="F3" s="3" t="s">
        <v>2</v>
      </c>
      <c r="G3" s="8" t="s">
        <v>11</v>
      </c>
      <c r="H3" s="30" t="s">
        <v>110</v>
      </c>
      <c r="I3" s="3" t="s">
        <v>2</v>
      </c>
      <c r="J3" s="8" t="s">
        <v>11</v>
      </c>
      <c r="K3" s="30" t="s">
        <v>110</v>
      </c>
      <c r="L3" s="3" t="s">
        <v>2</v>
      </c>
      <c r="M3" s="8" t="s">
        <v>11</v>
      </c>
      <c r="N3" s="30" t="s">
        <v>110</v>
      </c>
      <c r="O3" s="3" t="s">
        <v>2</v>
      </c>
      <c r="P3" s="8" t="s">
        <v>11</v>
      </c>
      <c r="Q3" s="30" t="s">
        <v>110</v>
      </c>
      <c r="R3" s="162"/>
      <c r="S3" s="3" t="s">
        <v>2</v>
      </c>
      <c r="T3" s="8" t="s">
        <v>11</v>
      </c>
      <c r="U3" s="30" t="s">
        <v>110</v>
      </c>
      <c r="V3" s="162"/>
      <c r="W3" s="3" t="s">
        <v>2</v>
      </c>
      <c r="X3" s="8" t="s">
        <v>11</v>
      </c>
      <c r="Y3" s="30" t="s">
        <v>110</v>
      </c>
      <c r="Z3" s="3" t="s">
        <v>2</v>
      </c>
      <c r="AA3" s="8" t="s">
        <v>11</v>
      </c>
      <c r="AB3" s="30" t="s">
        <v>110</v>
      </c>
      <c r="AC3" s="3" t="s">
        <v>2</v>
      </c>
      <c r="AD3" s="8" t="s">
        <v>11</v>
      </c>
      <c r="AE3" s="30" t="s">
        <v>110</v>
      </c>
      <c r="AF3" s="3" t="s">
        <v>2</v>
      </c>
      <c r="AG3" s="8" t="s">
        <v>11</v>
      </c>
      <c r="AH3" s="30" t="s">
        <v>110</v>
      </c>
      <c r="AI3" s="3" t="s">
        <v>2</v>
      </c>
      <c r="AJ3" s="8" t="s">
        <v>11</v>
      </c>
      <c r="AK3" s="30" t="s">
        <v>110</v>
      </c>
      <c r="AL3" s="3" t="s">
        <v>2</v>
      </c>
      <c r="AM3" s="8" t="s">
        <v>11</v>
      </c>
      <c r="AN3" s="30" t="s">
        <v>110</v>
      </c>
      <c r="AO3" s="3" t="s">
        <v>2</v>
      </c>
      <c r="AP3" s="8" t="s">
        <v>11</v>
      </c>
      <c r="AQ3" s="30" t="s">
        <v>110</v>
      </c>
      <c r="AR3" s="3" t="s">
        <v>2</v>
      </c>
      <c r="AS3" s="8" t="s">
        <v>11</v>
      </c>
      <c r="AT3" s="30" t="s">
        <v>110</v>
      </c>
      <c r="AU3" s="45" t="s">
        <v>2</v>
      </c>
      <c r="AV3" s="44" t="s">
        <v>11</v>
      </c>
      <c r="AW3" s="30" t="s">
        <v>110</v>
      </c>
      <c r="AX3" s="45" t="s">
        <v>2</v>
      </c>
      <c r="AY3" s="44" t="s">
        <v>11</v>
      </c>
      <c r="AZ3" s="30" t="s">
        <v>110</v>
      </c>
      <c r="BA3" s="45" t="s">
        <v>2</v>
      </c>
      <c r="BB3" s="44" t="s">
        <v>11</v>
      </c>
      <c r="BC3" s="30" t="s">
        <v>110</v>
      </c>
      <c r="BD3" s="45" t="s">
        <v>2</v>
      </c>
      <c r="BE3" s="44" t="s">
        <v>11</v>
      </c>
      <c r="BF3" s="30" t="s">
        <v>110</v>
      </c>
      <c r="BG3" s="45" t="s">
        <v>2</v>
      </c>
      <c r="BH3" s="44" t="s">
        <v>11</v>
      </c>
      <c r="BI3" s="30" t="s">
        <v>110</v>
      </c>
      <c r="BJ3" s="45" t="s">
        <v>2</v>
      </c>
      <c r="BK3" s="44" t="s">
        <v>11</v>
      </c>
      <c r="BL3" s="30" t="s">
        <v>110</v>
      </c>
      <c r="BM3" s="45" t="s">
        <v>2</v>
      </c>
      <c r="BN3" s="44" t="s">
        <v>11</v>
      </c>
      <c r="BO3" s="30" t="s">
        <v>110</v>
      </c>
      <c r="BP3" s="45" t="s">
        <v>2</v>
      </c>
      <c r="BQ3" s="44" t="s">
        <v>11</v>
      </c>
      <c r="BR3" s="30" t="s">
        <v>110</v>
      </c>
      <c r="BS3" s="45" t="s">
        <v>2</v>
      </c>
      <c r="BT3" s="44" t="s">
        <v>11</v>
      </c>
      <c r="BU3" s="30" t="s">
        <v>110</v>
      </c>
      <c r="BV3" s="45" t="s">
        <v>2</v>
      </c>
      <c r="BW3" s="44" t="s">
        <v>11</v>
      </c>
      <c r="BX3" s="30" t="s">
        <v>110</v>
      </c>
      <c r="BY3" s="45" t="s">
        <v>2</v>
      </c>
      <c r="BZ3" s="44" t="s">
        <v>11</v>
      </c>
      <c r="CA3" s="30" t="s">
        <v>110</v>
      </c>
      <c r="CB3" s="45" t="s">
        <v>2</v>
      </c>
      <c r="CC3" s="44" t="s">
        <v>11</v>
      </c>
      <c r="CD3" s="30" t="s">
        <v>110</v>
      </c>
      <c r="CE3" s="45" t="s">
        <v>2</v>
      </c>
      <c r="CF3" s="44" t="s">
        <v>11</v>
      </c>
      <c r="CG3" s="30" t="s">
        <v>110</v>
      </c>
      <c r="CH3" s="45" t="s">
        <v>2</v>
      </c>
      <c r="CI3" s="44" t="s">
        <v>11</v>
      </c>
      <c r="CJ3" s="30" t="s">
        <v>110</v>
      </c>
      <c r="CK3" s="45" t="s">
        <v>2</v>
      </c>
      <c r="CL3" s="44" t="s">
        <v>11</v>
      </c>
      <c r="CM3" s="30" t="s">
        <v>110</v>
      </c>
      <c r="CN3" s="45" t="s">
        <v>2</v>
      </c>
      <c r="CO3" s="44" t="s">
        <v>11</v>
      </c>
      <c r="CP3" s="30" t="s">
        <v>110</v>
      </c>
      <c r="CQ3" s="45" t="s">
        <v>2</v>
      </c>
      <c r="CR3" s="44" t="s">
        <v>11</v>
      </c>
      <c r="CS3" s="30" t="s">
        <v>110</v>
      </c>
      <c r="CT3" s="45" t="s">
        <v>2</v>
      </c>
      <c r="CU3" s="44" t="s">
        <v>110</v>
      </c>
      <c r="CV3" s="45" t="s">
        <v>2</v>
      </c>
      <c r="CW3" s="44" t="s">
        <v>110</v>
      </c>
      <c r="CX3" s="45" t="s">
        <v>2</v>
      </c>
      <c r="CY3" s="44" t="s">
        <v>110</v>
      </c>
      <c r="CZ3" s="45" t="s">
        <v>2</v>
      </c>
      <c r="DA3" s="44" t="s">
        <v>110</v>
      </c>
      <c r="DB3" s="45" t="s">
        <v>2</v>
      </c>
      <c r="DC3" s="44" t="s">
        <v>110</v>
      </c>
      <c r="DD3" s="45" t="s">
        <v>2</v>
      </c>
      <c r="DE3" s="44" t="s">
        <v>110</v>
      </c>
      <c r="DF3" s="45" t="s">
        <v>2</v>
      </c>
      <c r="DG3" s="44" t="s">
        <v>110</v>
      </c>
    </row>
    <row r="4" spans="1:111" ht="15.6" x14ac:dyDescent="0.3">
      <c r="A4" s="19" t="s">
        <v>37</v>
      </c>
      <c r="B4" s="33" t="s">
        <v>399</v>
      </c>
      <c r="C4" s="10"/>
      <c r="D4" s="10"/>
      <c r="E4" s="31" t="s">
        <v>128</v>
      </c>
      <c r="F4" s="7"/>
      <c r="G4" s="7"/>
      <c r="H4" s="31" t="s">
        <v>128</v>
      </c>
      <c r="I4" s="7"/>
      <c r="J4" s="7"/>
      <c r="K4" s="31" t="s">
        <v>128</v>
      </c>
      <c r="L4" s="7"/>
      <c r="M4" s="7"/>
      <c r="N4" s="31" t="s">
        <v>128</v>
      </c>
      <c r="O4" s="7"/>
      <c r="P4" s="7"/>
      <c r="Q4" s="31"/>
      <c r="R4" s="33" t="s">
        <v>399</v>
      </c>
      <c r="S4" s="7">
        <v>17840</v>
      </c>
      <c r="T4" s="7">
        <v>35000</v>
      </c>
      <c r="U4" s="31">
        <v>6076.5937762521362</v>
      </c>
      <c r="V4" s="33" t="s">
        <v>98</v>
      </c>
      <c r="W4" s="7">
        <v>4500</v>
      </c>
      <c r="X4" s="7">
        <v>10500</v>
      </c>
      <c r="Y4" s="31">
        <v>1858.5484379073607</v>
      </c>
      <c r="Z4" s="7">
        <v>3000</v>
      </c>
      <c r="AA4" s="7">
        <v>6000</v>
      </c>
      <c r="AB4" s="31">
        <v>1050.5943664725819</v>
      </c>
      <c r="AC4" s="7">
        <v>450</v>
      </c>
      <c r="AD4" s="7">
        <v>800</v>
      </c>
      <c r="AE4" s="31">
        <v>139.90986645809795</v>
      </c>
      <c r="AF4" s="7">
        <v>82500</v>
      </c>
      <c r="AG4" s="7">
        <v>186900</v>
      </c>
      <c r="AH4" s="31">
        <v>32013.719157360731</v>
      </c>
      <c r="AI4" s="7">
        <v>75000</v>
      </c>
      <c r="AJ4" s="7">
        <v>180000</v>
      </c>
      <c r="AK4" s="31">
        <v>30869.943295385412</v>
      </c>
      <c r="AL4" s="7">
        <v>75000</v>
      </c>
      <c r="AM4" s="7">
        <v>200000</v>
      </c>
      <c r="AN4" s="31">
        <v>32902.532154340835</v>
      </c>
      <c r="AO4" s="7">
        <v>72000</v>
      </c>
      <c r="AP4" s="7">
        <v>180000</v>
      </c>
      <c r="AQ4" s="31">
        <v>27668.615842530635</v>
      </c>
      <c r="AR4" s="7">
        <v>60000</v>
      </c>
      <c r="AS4" s="7">
        <v>150000</v>
      </c>
      <c r="AT4" s="31">
        <v>22707.82865864256</v>
      </c>
      <c r="AU4" s="29">
        <v>37500</v>
      </c>
      <c r="AV4" s="29">
        <v>90000</v>
      </c>
      <c r="AW4" s="31">
        <f>IF(AV4/(INDEX('Standards for Conversions'!$H$47:$H$73,MATCH(AU$2,'Standards for Conversions'!$A$47:$A$73,0)))=0,"",AV4/(INDEX('Standards for Conversions'!$H$47:$H$73,MATCH(AU$2,'Standards for Conversions'!$A$47:$A$73,0))))</f>
        <v>13072.087099157035</v>
      </c>
      <c r="AX4" s="29">
        <v>22500</v>
      </c>
      <c r="AY4" s="29">
        <v>60000</v>
      </c>
      <c r="AZ4" s="31">
        <f>IF(AY4/(INDEX('Standards for Conversions'!$H$47:$H$73,MATCH(AX$2,'Standards for Conversions'!$A$47:$A$73,0)))=0,"",AY4/(INDEX('Standards for Conversions'!$H$47:$H$73,MATCH(AX$2,'Standards for Conversions'!$A$47:$A$73,0))))</f>
        <v>8676.6136916659416</v>
      </c>
      <c r="BA4" s="29">
        <v>27000</v>
      </c>
      <c r="BB4" s="29">
        <v>70000</v>
      </c>
      <c r="BC4" s="31">
        <f>IF(BB4/(INDEX('Standards for Conversions'!$H$47:$H$73,MATCH(BA$2,'Standards for Conversions'!$A$47:$A$73,0)))=0,"",BB4/(INDEX('Standards for Conversions'!$H$47:$H$73,MATCH(BA$2,'Standards for Conversions'!$A$47:$A$73,0))))</f>
        <v>11323.213768430809</v>
      </c>
      <c r="BD4" s="29">
        <v>15000</v>
      </c>
      <c r="BE4" s="29">
        <v>45000</v>
      </c>
      <c r="BF4" s="31">
        <f>IF(BE4/(INDEX('Standards for Conversions'!$H$47:$H$73,MATCH(BD$2,'Standards for Conversions'!$A$47:$A$73,0)))=0,"",BE4/(INDEX('Standards for Conversions'!$H$47:$H$73,MATCH(BD$2,'Standards for Conversions'!$A$47:$A$73,0))))</f>
        <v>6869.5151592508901</v>
      </c>
      <c r="BG4" s="29">
        <v>12000</v>
      </c>
      <c r="BH4" s="29">
        <v>40000</v>
      </c>
      <c r="BI4" s="31">
        <f>IF(BH4/(INDEX('Standards for Conversions'!$H$47:$H$73,MATCH(BG$2,'Standards for Conversions'!$A$47:$A$73,0)))=0,"",BH4/(INDEX('Standards for Conversions'!$H$47:$H$73,MATCH(BG$2,'Standards for Conversions'!$A$47:$A$73,0))))</f>
        <v>5386.3604762318582</v>
      </c>
      <c r="BJ4" s="29">
        <v>9000</v>
      </c>
      <c r="BK4" s="29">
        <v>30000</v>
      </c>
      <c r="BL4" s="31">
        <f>IF(BK4/(INDEX('Standards for Conversions'!$H$47:$H$73,MATCH(BJ$2,'Standards for Conversions'!$A$47:$A$73,0)))=0,"",BK4/(INDEX('Standards for Conversions'!$H$47:$H$73,MATCH(BJ$2,'Standards for Conversions'!$A$47:$A$73,0))))</f>
        <v>3648.4970018249755</v>
      </c>
      <c r="BM4" s="7">
        <f>5000*1.5</f>
        <v>7500</v>
      </c>
      <c r="BN4" s="7">
        <v>28000</v>
      </c>
      <c r="BO4" s="31">
        <f>IF(BN4/(INDEX('Standards for Conversions'!$H$47:$H$73,MATCH(BM$2,'Standards for Conversions'!$A$47:$A$73,0)))=0,"",BN4/(INDEX('Standards for Conversions'!$H$47:$H$73,MATCH(BM$2,'Standards for Conversions'!$A$47:$A$73,0))))</f>
        <v>2744.8418716143792</v>
      </c>
      <c r="BP4" s="45"/>
      <c r="BQ4" s="44"/>
      <c r="BR4" s="31" t="str">
        <f>IF(BQ4/(INDEX('Standards for Conversions'!$H$47:$H$73,MATCH(BP$2,'Standards for Conversions'!$A$47:$A$73,0)))=0,"",BQ4/(INDEX('Standards for Conversions'!$H$47:$H$73,MATCH(BP$2,'Standards for Conversions'!$A$47:$A$73,0))))</f>
        <v/>
      </c>
      <c r="BS4" s="45"/>
      <c r="BT4" s="44"/>
      <c r="BU4" s="31" t="str">
        <f>IF(BT4/(INDEX('Standards for Conversions'!$H$47:$H$73,MATCH(BS$2,'Standards for Conversions'!$A$47:$A$73,0)))=0,"",BT4/(INDEX('Standards for Conversions'!$H$47:$H$73,MATCH(BS$2,'Standards for Conversions'!$A$47:$A$73,0))))</f>
        <v/>
      </c>
      <c r="BV4" s="45"/>
      <c r="BW4" s="44"/>
      <c r="BX4" s="31" t="str">
        <f>IF(BW4/(INDEX('Standards for Conversions'!$H$47:$H$73,MATCH(BV$2,'Standards for Conversions'!$A$47:$A$73,0)))=0,"",BW4/(INDEX('Standards for Conversions'!$H$47:$H$73,MATCH(BV$2,'Standards for Conversions'!$A$47:$A$73,0))))</f>
        <v/>
      </c>
      <c r="BY4" s="45"/>
      <c r="BZ4" s="44"/>
      <c r="CA4" s="31" t="str">
        <f>IF(BZ4/(INDEX('Standards for Conversions'!$H$47:$H$73,MATCH(BY$2,'Standards for Conversions'!$A$47:$A$73,0)))=0,"",BZ4/(INDEX('Standards for Conversions'!$H$47:$H$73,MATCH(BY$2,'Standards for Conversions'!$A$47:$A$73,0))))</f>
        <v/>
      </c>
      <c r="CB4" s="45"/>
      <c r="CC4" s="44"/>
      <c r="CD4" s="31" t="str">
        <f>IF(CC4/(INDEX('Standards for Conversions'!$H$47:$H$73,MATCH(CB$2,'Standards for Conversions'!$A$47:$A$73,0)))=0,"",CC4/(INDEX('Standards for Conversions'!$H$47:$H$73,MATCH(CB$2,'Standards for Conversions'!$A$47:$A$73,0))))</f>
        <v/>
      </c>
      <c r="CE4" s="45"/>
      <c r="CF4" s="44"/>
      <c r="CG4" s="31" t="str">
        <f>IF(CF4/(INDEX('Standards for Conversions'!$H$47:$H$73,MATCH(CE$2,'Standards for Conversions'!$A$47:$A$73,0)))=0,"",CF4/(INDEX('Standards for Conversions'!$H$47:$H$73,MATCH(CE$2,'Standards for Conversions'!$A$47:$A$73,0))))</f>
        <v/>
      </c>
      <c r="CH4" s="45"/>
      <c r="CI4" s="44"/>
      <c r="CJ4" s="31" t="str">
        <f>IF(CI4/(INDEX('Standards for Conversions'!$H$47:$H$73,MATCH(CH$2,'Standards for Conversions'!$A$47:$A$73,0)))=0,"",CI4/(INDEX('Standards for Conversions'!$H$47:$H$73,MATCH(CH$2,'Standards for Conversions'!$A$47:$A$73,0))))</f>
        <v/>
      </c>
      <c r="CK4" s="45"/>
      <c r="CL4" s="44"/>
      <c r="CM4" s="31" t="str">
        <f>IF(CL4/(INDEX('Standards for Conversions'!$H$47:$H$73,MATCH(CK$2,'Standards for Conversions'!$A$47:$A$73,0)))=0,"",CL4/(INDEX('Standards for Conversions'!$H$47:$H$73,MATCH(CK$2,'Standards for Conversions'!$A$47:$A$73,0))))</f>
        <v/>
      </c>
      <c r="CN4" s="45"/>
      <c r="CO4" s="44"/>
      <c r="CP4" s="31" t="str">
        <f>IF(CO4/(INDEX('Standards for Conversions'!$H$47:$H$73,MATCH(CN$2,'Standards for Conversions'!$A$47:$A$73,0)))=0,"",CO4/(INDEX('Standards for Conversions'!$H$47:$H$73,MATCH(CN$2,'Standards for Conversions'!$A$47:$A$73,0))))</f>
        <v/>
      </c>
      <c r="CQ4" s="45"/>
      <c r="CR4" s="44"/>
      <c r="CS4" s="31" t="str">
        <f>IF(CR4/(INDEX('Standards for Conversions'!$H$47:$H$73,MATCH(CQ$2,'Standards for Conversions'!$A$47:$A$73,0)))=0,"",CR4/(INDEX('Standards for Conversions'!$H$47:$H$73,MATCH(CQ$2,'Standards for Conversions'!$A$47:$A$73,0))))</f>
        <v/>
      </c>
      <c r="CT4" s="45"/>
      <c r="CU4" s="44"/>
      <c r="CV4" s="43"/>
      <c r="CW4" s="44"/>
      <c r="CX4" s="43"/>
      <c r="CY4" s="44"/>
      <c r="DD4" s="29">
        <f>(6)*20</f>
        <v>120</v>
      </c>
      <c r="DE4" s="29">
        <v>54</v>
      </c>
    </row>
    <row r="5" spans="1:111" ht="15.6" x14ac:dyDescent="0.3">
      <c r="A5" s="19" t="s">
        <v>68</v>
      </c>
      <c r="B5" s="10" t="s">
        <v>374</v>
      </c>
      <c r="C5" s="10">
        <v>600</v>
      </c>
      <c r="D5" s="10">
        <v>13000</v>
      </c>
      <c r="E5" s="31">
        <v>2568.0489864864862</v>
      </c>
      <c r="F5" s="7">
        <v>1200</v>
      </c>
      <c r="G5" s="7">
        <v>20000</v>
      </c>
      <c r="H5" s="31">
        <v>3853.4497117696469</v>
      </c>
      <c r="I5" s="7">
        <v>1500</v>
      </c>
      <c r="J5" s="7">
        <v>22000</v>
      </c>
      <c r="K5" s="31">
        <v>3931.3656180296048</v>
      </c>
      <c r="L5" s="7">
        <v>3000</v>
      </c>
      <c r="M5" s="7">
        <v>70000</v>
      </c>
      <c r="N5" s="31">
        <v>12997.982297007618</v>
      </c>
      <c r="O5" s="7">
        <v>300</v>
      </c>
      <c r="P5" s="7">
        <v>7500</v>
      </c>
      <c r="Q5" s="31">
        <v>1335.4743987355521</v>
      </c>
      <c r="R5" s="6" t="s">
        <v>374</v>
      </c>
      <c r="S5" s="7">
        <v>400</v>
      </c>
      <c r="T5" s="7">
        <v>11000</v>
      </c>
      <c r="U5" s="31">
        <v>1909.7866153935286</v>
      </c>
      <c r="V5" s="33" t="s">
        <v>98</v>
      </c>
      <c r="W5" s="7">
        <v>1750</v>
      </c>
      <c r="X5" s="7">
        <v>3500</v>
      </c>
      <c r="Y5" s="31">
        <v>619.51614596912032</v>
      </c>
      <c r="Z5" s="7">
        <v>8750</v>
      </c>
      <c r="AA5" s="7">
        <v>15000</v>
      </c>
      <c r="AB5" s="31">
        <v>2626.4859161814547</v>
      </c>
      <c r="AC5" s="7">
        <v>1750</v>
      </c>
      <c r="AD5" s="7">
        <v>3000</v>
      </c>
      <c r="AE5" s="31">
        <v>524.66199921786733</v>
      </c>
      <c r="AF5" s="7">
        <v>7000</v>
      </c>
      <c r="AG5" s="7">
        <v>12000</v>
      </c>
      <c r="AH5" s="31">
        <v>2055.4554836186667</v>
      </c>
      <c r="AI5" s="7">
        <v>8750</v>
      </c>
      <c r="AJ5" s="7">
        <v>15000</v>
      </c>
      <c r="AK5" s="31">
        <v>2572.4952746154509</v>
      </c>
      <c r="AL5" s="7">
        <v>7875</v>
      </c>
      <c r="AM5" s="7">
        <v>12500</v>
      </c>
      <c r="AN5" s="31">
        <v>2056.4082596463022</v>
      </c>
      <c r="AO5" s="7">
        <v>8225</v>
      </c>
      <c r="AP5" s="7">
        <v>14000</v>
      </c>
      <c r="AQ5" s="31">
        <v>2152.0034544190494</v>
      </c>
      <c r="AR5" s="7">
        <v>7000</v>
      </c>
      <c r="AS5" s="7">
        <v>12000</v>
      </c>
      <c r="AT5" s="31">
        <v>1816.6262926914048</v>
      </c>
      <c r="AU5" s="29">
        <v>6125</v>
      </c>
      <c r="AV5" s="29">
        <v>10000</v>
      </c>
      <c r="AW5" s="31">
        <f>IF(AV5/(INDEX('Standards for Conversions'!$H$47:$H$73,MATCH(AU$2,'Standards for Conversions'!$A$47:$A$73,0)))=0,"",AV5/(INDEX('Standards for Conversions'!$H$47:$H$73,MATCH(AU$2,'Standards for Conversions'!$A$47:$A$73,0))))</f>
        <v>1452.4541221285597</v>
      </c>
      <c r="AX5" s="29">
        <v>5250</v>
      </c>
      <c r="AY5" s="29">
        <v>8500</v>
      </c>
      <c r="AZ5" s="31">
        <f>IF(AY5/(INDEX('Standards for Conversions'!$H$47:$H$73,MATCH(AX$2,'Standards for Conversions'!$A$47:$A$73,0)))=0,"",AY5/(INDEX('Standards for Conversions'!$H$47:$H$73,MATCH(AX$2,'Standards for Conversions'!$A$47:$A$73,0))))</f>
        <v>1229.1869396526752</v>
      </c>
      <c r="BA5" s="29">
        <v>6125</v>
      </c>
      <c r="BB5" s="29">
        <v>9000</v>
      </c>
      <c r="BC5" s="31">
        <f>IF(BB5/(INDEX('Standards for Conversions'!$H$47:$H$73,MATCH(BA$2,'Standards for Conversions'!$A$47:$A$73,0)))=0,"",BB5/(INDEX('Standards for Conversions'!$H$47:$H$73,MATCH(BA$2,'Standards for Conversions'!$A$47:$A$73,0))))</f>
        <v>1455.8417702268182</v>
      </c>
      <c r="BD5" s="29">
        <v>7000</v>
      </c>
      <c r="BE5" s="29">
        <v>12000</v>
      </c>
      <c r="BF5" s="31">
        <f>IF(BE5/(INDEX('Standards for Conversions'!$H$47:$H$73,MATCH(BD$2,'Standards for Conversions'!$A$47:$A$73,0)))=0,"",BE5/(INDEX('Standards for Conversions'!$H$47:$H$73,MATCH(BD$2,'Standards for Conversions'!$A$47:$A$73,0))))</f>
        <v>1831.8707091335707</v>
      </c>
      <c r="BG5" s="29">
        <v>5250</v>
      </c>
      <c r="BH5" s="29">
        <v>11000</v>
      </c>
      <c r="BI5" s="31">
        <f>IF(BH5/(INDEX('Standards for Conversions'!$H$47:$H$73,MATCH(BG$2,'Standards for Conversions'!$A$47:$A$73,0)))=0,"",BH5/(INDEX('Standards for Conversions'!$H$47:$H$73,MATCH(BG$2,'Standards for Conversions'!$A$47:$A$73,0))))</f>
        <v>1481.249130963761</v>
      </c>
      <c r="BJ5" s="29">
        <v>3500</v>
      </c>
      <c r="BK5" s="29">
        <v>6000</v>
      </c>
      <c r="BL5" s="31">
        <f>IF(BK5/(INDEX('Standards for Conversions'!$H$47:$H$73,MATCH(BJ$2,'Standards for Conversions'!$A$47:$A$73,0)))=0,"",BK5/(INDEX('Standards for Conversions'!$H$47:$H$73,MATCH(BJ$2,'Standards for Conversions'!$A$47:$A$73,0))))</f>
        <v>729.69940036499509</v>
      </c>
      <c r="BM5" s="7">
        <f>1800*1.75</f>
        <v>3150</v>
      </c>
      <c r="BN5" s="7">
        <v>5000</v>
      </c>
      <c r="BO5" s="31">
        <f>IF(BN5/(INDEX('Standards for Conversions'!$H$47:$H$73,MATCH(BM$2,'Standards for Conversions'!$A$47:$A$73,0)))=0,"",BN5/(INDEX('Standards for Conversions'!$H$47:$H$73,MATCH(BM$2,'Standards for Conversions'!$A$47:$A$73,0))))</f>
        <v>490.15033421685348</v>
      </c>
      <c r="BP5" s="45"/>
      <c r="BQ5" s="44"/>
      <c r="BR5" s="31" t="str">
        <f>IF(BQ5/(INDEX('Standards for Conversions'!$H$47:$H$73,MATCH(BP$2,'Standards for Conversions'!$A$47:$A$73,0)))=0,"",BQ5/(INDEX('Standards for Conversions'!$H$47:$H$73,MATCH(BP$2,'Standards for Conversions'!$A$47:$A$73,0))))</f>
        <v/>
      </c>
      <c r="BS5" s="45"/>
      <c r="BT5" s="44"/>
      <c r="BU5" s="31" t="str">
        <f>IF(BT5/(INDEX('Standards for Conversions'!$H$47:$H$73,MATCH(BS$2,'Standards for Conversions'!$A$47:$A$73,0)))=0,"",BT5/(INDEX('Standards for Conversions'!$H$47:$H$73,MATCH(BS$2,'Standards for Conversions'!$A$47:$A$73,0))))</f>
        <v/>
      </c>
      <c r="BV5" s="45"/>
      <c r="BW5" s="44"/>
      <c r="BX5" s="31" t="str">
        <f>IF(BW5/(INDEX('Standards for Conversions'!$H$47:$H$73,MATCH(BV$2,'Standards for Conversions'!$A$47:$A$73,0)))=0,"",BW5/(INDEX('Standards for Conversions'!$H$47:$H$73,MATCH(BV$2,'Standards for Conversions'!$A$47:$A$73,0))))</f>
        <v/>
      </c>
      <c r="BY5" s="45"/>
      <c r="BZ5" s="44"/>
      <c r="CA5" s="31" t="str">
        <f>IF(BZ5/(INDEX('Standards for Conversions'!$H$47:$H$73,MATCH(BY$2,'Standards for Conversions'!$A$47:$A$73,0)))=0,"",BZ5/(INDEX('Standards for Conversions'!$H$47:$H$73,MATCH(BY$2,'Standards for Conversions'!$A$47:$A$73,0))))</f>
        <v/>
      </c>
      <c r="CB5" s="45"/>
      <c r="CC5" s="44"/>
      <c r="CD5" s="31" t="str">
        <f>IF(CC5/(INDEX('Standards for Conversions'!$H$47:$H$73,MATCH(CB$2,'Standards for Conversions'!$A$47:$A$73,0)))=0,"",CC5/(INDEX('Standards for Conversions'!$H$47:$H$73,MATCH(CB$2,'Standards for Conversions'!$A$47:$A$73,0))))</f>
        <v/>
      </c>
      <c r="CE5" s="45"/>
      <c r="CF5" s="44"/>
      <c r="CG5" s="31" t="str">
        <f>IF(CF5/(INDEX('Standards for Conversions'!$H$47:$H$73,MATCH(CE$2,'Standards for Conversions'!$A$47:$A$73,0)))=0,"",CF5/(INDEX('Standards for Conversions'!$H$47:$H$73,MATCH(CE$2,'Standards for Conversions'!$A$47:$A$73,0))))</f>
        <v/>
      </c>
      <c r="CH5" s="45"/>
      <c r="CI5" s="44"/>
      <c r="CJ5" s="31" t="str">
        <f>IF(CI5/(INDEX('Standards for Conversions'!$H$47:$H$73,MATCH(CH$2,'Standards for Conversions'!$A$47:$A$73,0)))=0,"",CI5/(INDEX('Standards for Conversions'!$H$47:$H$73,MATCH(CH$2,'Standards for Conversions'!$A$47:$A$73,0))))</f>
        <v/>
      </c>
      <c r="CK5" s="45"/>
      <c r="CL5" s="44"/>
      <c r="CM5" s="31" t="str">
        <f>IF(CL5/(INDEX('Standards for Conversions'!$H$47:$H$73,MATCH(CK$2,'Standards for Conversions'!$A$47:$A$73,0)))=0,"",CL5/(INDEX('Standards for Conversions'!$H$47:$H$73,MATCH(CK$2,'Standards for Conversions'!$A$47:$A$73,0))))</f>
        <v/>
      </c>
      <c r="CN5" s="45"/>
      <c r="CO5" s="44"/>
      <c r="CP5" s="31" t="str">
        <f>IF(CO5/(INDEX('Standards for Conversions'!$H$47:$H$73,MATCH(CN$2,'Standards for Conversions'!$A$47:$A$73,0)))=0,"",CO5/(INDEX('Standards for Conversions'!$H$47:$H$73,MATCH(CN$2,'Standards for Conversions'!$A$47:$A$73,0))))</f>
        <v/>
      </c>
      <c r="CQ5" s="45"/>
      <c r="CR5" s="44"/>
      <c r="CS5" s="31" t="str">
        <f>IF(CR5/(INDEX('Standards for Conversions'!$H$47:$H$73,MATCH(CQ$2,'Standards for Conversions'!$A$47:$A$73,0)))=0,"",CR5/(INDEX('Standards for Conversions'!$H$47:$H$73,MATCH(CQ$2,'Standards for Conversions'!$A$47:$A$73,0))))</f>
        <v/>
      </c>
      <c r="CT5" s="45"/>
      <c r="CU5" s="44"/>
      <c r="CV5" s="43"/>
      <c r="CW5" s="44"/>
      <c r="CX5" s="43"/>
      <c r="CY5" s="44"/>
      <c r="DD5" s="29">
        <v>147</v>
      </c>
      <c r="DE5" s="29">
        <v>56</v>
      </c>
      <c r="DF5" s="29">
        <v>1876</v>
      </c>
      <c r="DG5" s="29">
        <v>702</v>
      </c>
    </row>
    <row r="6" spans="1:111" x14ac:dyDescent="0.3">
      <c r="A6" s="19" t="s">
        <v>162</v>
      </c>
      <c r="B6" s="33" t="s">
        <v>98</v>
      </c>
      <c r="C6" s="7"/>
      <c r="D6" s="7"/>
      <c r="E6" s="31" t="s">
        <v>128</v>
      </c>
      <c r="F6" s="7"/>
      <c r="G6" s="7"/>
      <c r="H6" s="31" t="s">
        <v>128</v>
      </c>
      <c r="I6" s="7"/>
      <c r="J6" s="7"/>
      <c r="K6" s="31" t="s">
        <v>128</v>
      </c>
      <c r="L6" s="7"/>
      <c r="M6" s="7"/>
      <c r="N6" s="31" t="s">
        <v>128</v>
      </c>
      <c r="O6" s="7"/>
      <c r="P6" s="7"/>
      <c r="Q6" s="31" t="s">
        <v>128</v>
      </c>
      <c r="R6" s="33" t="s">
        <v>98</v>
      </c>
      <c r="S6" s="7"/>
      <c r="T6" s="7"/>
      <c r="U6" s="31" t="s">
        <v>128</v>
      </c>
      <c r="V6" s="33" t="s">
        <v>98</v>
      </c>
      <c r="W6" s="7"/>
      <c r="X6" s="7"/>
      <c r="Y6" s="31" t="s">
        <v>128</v>
      </c>
      <c r="Z6" s="7"/>
      <c r="AA6" s="7"/>
      <c r="AB6" s="31" t="s">
        <v>128</v>
      </c>
      <c r="AC6" s="7"/>
      <c r="AD6" s="7"/>
      <c r="AE6" s="31" t="s">
        <v>128</v>
      </c>
      <c r="AF6" s="7"/>
      <c r="AG6" s="7"/>
      <c r="AH6" s="31" t="s">
        <v>128</v>
      </c>
      <c r="AI6" s="7"/>
      <c r="AJ6" s="7"/>
      <c r="AK6" s="31" t="s">
        <v>128</v>
      </c>
      <c r="AL6" s="7"/>
      <c r="AM6" s="7"/>
      <c r="AN6" s="31" t="s">
        <v>128</v>
      </c>
      <c r="AO6" s="7"/>
      <c r="AP6" s="7"/>
      <c r="AQ6" s="31" t="s">
        <v>128</v>
      </c>
      <c r="AR6" s="7"/>
      <c r="AS6" s="7"/>
      <c r="AT6" s="31" t="s">
        <v>128</v>
      </c>
      <c r="AW6" s="31" t="str">
        <f>IF(AV6/(INDEX('Standards for Conversions'!$H$47:$H$73,MATCH(AU$2,'Standards for Conversions'!$A$47:$A$73,0)))=0,"",AV6/(INDEX('Standards for Conversions'!$H$47:$H$73,MATCH(AU$2,'Standards for Conversions'!$A$47:$A$73,0))))</f>
        <v/>
      </c>
      <c r="AZ6" s="31" t="str">
        <f>IF(AY6/(INDEX('Standards for Conversions'!$H$47:$H$73,MATCH(AX$2,'Standards for Conversions'!$A$47:$A$73,0)))=0,"",AY6/(INDEX('Standards for Conversions'!$H$47:$H$73,MATCH(AX$2,'Standards for Conversions'!$A$47:$A$73,0))))</f>
        <v/>
      </c>
      <c r="BC6" s="31" t="str">
        <f>IF(BB6/(INDEX('Standards for Conversions'!$H$47:$H$73,MATCH(BA$2,'Standards for Conversions'!$A$47:$A$73,0)))=0,"",BB6/(INDEX('Standards for Conversions'!$H$47:$H$73,MATCH(BA$2,'Standards for Conversions'!$A$47:$A$73,0))))</f>
        <v/>
      </c>
      <c r="BF6" s="31" t="str">
        <f>IF(BE6/(INDEX('Standards for Conversions'!$H$47:$H$73,MATCH(BD$2,'Standards for Conversions'!$A$47:$A$73,0)))=0,"",BE6/(INDEX('Standards for Conversions'!$H$47:$H$73,MATCH(BD$2,'Standards for Conversions'!$A$47:$A$73,0))))</f>
        <v/>
      </c>
      <c r="BI6" s="31" t="str">
        <f>IF(BH6/(INDEX('Standards for Conversions'!$H$47:$H$73,MATCH(BG$2,'Standards for Conversions'!$A$47:$A$73,0)))=0,"",BH6/(INDEX('Standards for Conversions'!$H$47:$H$73,MATCH(BG$2,'Standards for Conversions'!$A$47:$A$73,0))))</f>
        <v/>
      </c>
      <c r="BL6" s="31" t="str">
        <f>IF(BK6/(INDEX('Standards for Conversions'!$H$47:$H$73,MATCH(BJ$2,'Standards for Conversions'!$A$47:$A$73,0)))=0,"",BK6/(INDEX('Standards for Conversions'!$H$47:$H$73,MATCH(BJ$2,'Standards for Conversions'!$A$47:$A$73,0))))</f>
        <v/>
      </c>
      <c r="BM6" s="29">
        <f>(11250+2500+728.5+75+80)*20</f>
        <v>292670</v>
      </c>
      <c r="BN6" s="29">
        <f>450000+100000+30000+3000+2000</f>
        <v>585000</v>
      </c>
      <c r="BO6" s="31">
        <f>IF(BN6/(INDEX('Standards for Conversions'!$H$47:$H$73,MATCH(BM$2,'Standards for Conversions'!$A$47:$A$73,0)))=0,"",BN6/(INDEX('Standards for Conversions'!$H$47:$H$73,MATCH(BM$2,'Standards for Conversions'!$A$47:$A$73,0))))</f>
        <v>57347.589103371858</v>
      </c>
      <c r="BP6" s="29">
        <f>(12500+2625+801+100+75)*20</f>
        <v>322020</v>
      </c>
      <c r="BQ6" s="29">
        <f>500000+105000+33000+4000+3000</f>
        <v>645000</v>
      </c>
      <c r="BR6" s="31">
        <f>IF(BQ6/(INDEX('Standards for Conversions'!$H$47:$H$73,MATCH(BP$2,'Standards for Conversions'!$A$47:$A$73,0)))=0,"",BQ6/(INDEX('Standards for Conversions'!$H$47:$H$73,MATCH(BP$2,'Standards for Conversions'!$A$47:$A$73,0))))</f>
        <v>65141.297009429029</v>
      </c>
      <c r="BS6" s="29">
        <f>(16083+1414+850+75+100)*20</f>
        <v>370440</v>
      </c>
      <c r="BT6" s="29">
        <f>643340+66660+35000+3000+4000</f>
        <v>752000</v>
      </c>
      <c r="BU6" s="31">
        <f>IF(BT6/(INDEX('Standards for Conversions'!$H$47:$H$73,MATCH(BS$2,'Standards for Conversions'!$A$47:$A$73,0)))=0,"",BT6/(INDEX('Standards for Conversions'!$H$47:$H$73,MATCH(BS$2,'Standards for Conversions'!$A$47:$A$73,0))))</f>
        <v>78495.194084759991</v>
      </c>
      <c r="BV6" s="29">
        <f>(14000+1200+700+50+100)*20</f>
        <v>321000</v>
      </c>
      <c r="BW6" s="29">
        <f>750000+70000+40000+2500+5000</f>
        <v>867500</v>
      </c>
      <c r="BX6" s="31">
        <f>IF(BW6/(INDEX('Standards for Conversions'!$H$47:$H$73,MATCH(BV$2,'Standards for Conversions'!$A$47:$A$73,0)))=0,"",BW6/(INDEX('Standards for Conversions'!$H$47:$H$73,MATCH(BV$2,'Standards for Conversions'!$A$47:$A$73,0))))</f>
        <v>81000.253989419463</v>
      </c>
      <c r="BY6" s="29">
        <f>(12000+1000+600+175+125)*20</f>
        <v>278000</v>
      </c>
      <c r="BZ6" s="29">
        <f>600000+60000+30000+35000+6000</f>
        <v>731000</v>
      </c>
      <c r="CA6" s="31">
        <f>IF(BZ6/(INDEX('Standards for Conversions'!$H$47:$H$73,MATCH(BY$2,'Standards for Conversions'!$A$47:$A$73,0)))=0,"",BZ6/(INDEX('Standards for Conversions'!$H$47:$H$73,MATCH(BY$2,'Standards for Conversions'!$A$47:$A$73,0))))</f>
        <v>66707.237342849272</v>
      </c>
      <c r="CB6" s="29">
        <f>(11000+800+500+70+100)*20</f>
        <v>249400</v>
      </c>
      <c r="CC6" s="29">
        <f>550000+48000+24000+3200+5000</f>
        <v>630200</v>
      </c>
      <c r="CD6" s="31">
        <f>IF(CC6/(INDEX('Standards for Conversions'!$H$47:$H$73,MATCH(CB$2,'Standards for Conversions'!$A$47:$A$73,0)))=0,"",CC6/(INDEX('Standards for Conversions'!$H$47:$H$73,MATCH(CB$2,'Standards for Conversions'!$A$47:$A$73,0))))</f>
        <v>58576.204377407943</v>
      </c>
      <c r="CE6" s="29">
        <f>(12000+1500+1000+100+3566)*20</f>
        <v>363320</v>
      </c>
      <c r="CF6" s="29">
        <f>600000+75000+50000+5000+78297</f>
        <v>808297</v>
      </c>
      <c r="CG6" s="31">
        <f>IF(CF6/(INDEX('Standards for Conversions'!$H$47:$H$73,MATCH(CE$2,'Standards for Conversions'!$A$47:$A$73,0)))=0,"",CF6/(INDEX('Standards for Conversions'!$H$47:$H$73,MATCH(CE$2,'Standards for Conversions'!$A$47:$A$73,0))))</f>
        <v>77526.017817496948</v>
      </c>
      <c r="CH6" s="29">
        <f>(14700+1576+548+403+1987)*20</f>
        <v>384280</v>
      </c>
      <c r="CI6" s="29">
        <f>734860+59865+27223+26590+98370</f>
        <v>946908</v>
      </c>
      <c r="CJ6" s="31">
        <f>IF(CI6/(INDEX('Standards for Conversions'!$H$47:$H$73,MATCH(CH$2,'Standards for Conversions'!$A$47:$A$73,0)))=0,"",CI6/(INDEX('Standards for Conversions'!$H$47:$H$73,MATCH(CH$2,'Standards for Conversions'!$A$47:$A$73,0))))</f>
        <v>87211.820135026486</v>
      </c>
      <c r="CK6" s="29">
        <f>(20100+3180+664+622+2360)*20</f>
        <v>538520</v>
      </c>
      <c r="CL6" s="29">
        <f>826880+191240+40040+37640+142700</f>
        <v>1238500</v>
      </c>
      <c r="CM6" s="31">
        <f>IF(CL6/(INDEX('Standards for Conversions'!$H$47:$H$73,MATCH(CK$2,'Standards for Conversions'!$A$47:$A$73,0)))=0,"",CL6/(INDEX('Standards for Conversions'!$H$47:$H$73,MATCH(CK$2,'Standards for Conversions'!$A$47:$A$73,0))))</f>
        <v>100956.67720825727</v>
      </c>
      <c r="CN6" s="29">
        <f>(15200+2800+420+250+2200)*20</f>
        <v>417400</v>
      </c>
      <c r="CO6" s="29">
        <f>768500+168000+21250+11300+110000</f>
        <v>1079050</v>
      </c>
      <c r="CP6" s="31">
        <f>IF(CO6/(INDEX('Standards for Conversions'!$H$47:$H$73,MATCH(CN$2,'Standards for Conversions'!$A$47:$A$73,0)))=0,"",CO6/(INDEX('Standards for Conversions'!$H$47:$H$73,MATCH(CN$2,'Standards for Conversions'!$A$47:$A$73,0))))</f>
        <v>90472.181590553548</v>
      </c>
      <c r="CQ6" s="29">
        <f>22800*20</f>
        <v>456000</v>
      </c>
      <c r="CR6" s="29">
        <f>120000+572000+10000+20000+80000</f>
        <v>802000</v>
      </c>
      <c r="CS6" s="31">
        <f>IF(CR6/(INDEX('Standards for Conversions'!$H$47:$H$73,MATCH(CQ$2,'Standards for Conversions'!$A$47:$A$73,0)))=0,"",CR6/(INDEX('Standards for Conversions'!$H$47:$H$73,MATCH(CQ$2,'Standards for Conversions'!$A$47:$A$73,0))))</f>
        <v>71742.976240911332</v>
      </c>
      <c r="CT6" s="29">
        <f>15400*20</f>
        <v>308000</v>
      </c>
      <c r="CU6" s="29">
        <v>92500</v>
      </c>
      <c r="CV6" s="29">
        <f>25400*20</f>
        <v>508000</v>
      </c>
      <c r="CW6" s="29">
        <v>129333</v>
      </c>
      <c r="CX6" s="29">
        <f>15525*20</f>
        <v>310500</v>
      </c>
      <c r="CY6" s="29">
        <v>115420</v>
      </c>
      <c r="CZ6" s="29">
        <f>15515*20</f>
        <v>310300</v>
      </c>
      <c r="DA6" s="29">
        <v>115297</v>
      </c>
      <c r="DB6" s="29">
        <f>15150*20</f>
        <v>303000</v>
      </c>
      <c r="DC6" s="29">
        <v>114709</v>
      </c>
    </row>
    <row r="7" spans="1:111" ht="15.6" x14ac:dyDescent="0.3">
      <c r="A7" s="19" t="s">
        <v>163</v>
      </c>
      <c r="B7" s="33" t="s">
        <v>98</v>
      </c>
      <c r="C7" s="126" t="s">
        <v>394</v>
      </c>
      <c r="D7" s="7">
        <v>221400</v>
      </c>
      <c r="E7" s="31">
        <v>43735.84966216216</v>
      </c>
      <c r="F7" s="126" t="s">
        <v>393</v>
      </c>
      <c r="G7" s="7">
        <v>52000</v>
      </c>
      <c r="H7" s="31">
        <v>10018.969250601083</v>
      </c>
      <c r="I7" s="126" t="s">
        <v>391</v>
      </c>
      <c r="J7" s="7">
        <v>375000</v>
      </c>
      <c r="K7" s="31">
        <v>67011.913943686435</v>
      </c>
      <c r="L7" s="126" t="s">
        <v>389</v>
      </c>
      <c r="M7" s="7">
        <v>353000</v>
      </c>
      <c r="N7" s="31">
        <v>65546.967869195563</v>
      </c>
      <c r="O7" s="126" t="s">
        <v>387</v>
      </c>
      <c r="P7" s="7">
        <v>229500</v>
      </c>
      <c r="Q7" s="31">
        <v>40865.516601307892</v>
      </c>
      <c r="R7" s="33" t="s">
        <v>98</v>
      </c>
      <c r="S7" s="126" t="s">
        <v>384</v>
      </c>
      <c r="T7" s="7">
        <v>504000</v>
      </c>
      <c r="U7" s="31">
        <v>87502.950378030757</v>
      </c>
      <c r="V7" s="33" t="s">
        <v>98</v>
      </c>
      <c r="W7">
        <v>135000</v>
      </c>
      <c r="X7" s="7">
        <v>452500</v>
      </c>
      <c r="Y7" s="31">
        <v>80094.587443150551</v>
      </c>
      <c r="Z7">
        <v>82500</v>
      </c>
      <c r="AA7" s="7">
        <v>210000</v>
      </c>
      <c r="AB7" s="31">
        <v>36770.802826540363</v>
      </c>
      <c r="AC7" s="7">
        <v>243300</v>
      </c>
      <c r="AD7" s="7">
        <v>454800</v>
      </c>
      <c r="AE7" s="31">
        <v>79538.759081428681</v>
      </c>
      <c r="AF7">
        <v>115725</v>
      </c>
      <c r="AG7" s="7">
        <v>334410</v>
      </c>
      <c r="AH7" s="31">
        <v>57280.405689743187</v>
      </c>
      <c r="AI7">
        <v>147000</v>
      </c>
      <c r="AJ7" s="7">
        <v>420700</v>
      </c>
      <c r="AK7" s="31">
        <v>72149.917468714688</v>
      </c>
      <c r="AL7">
        <v>125887.5</v>
      </c>
      <c r="AM7" s="7">
        <v>256800</v>
      </c>
      <c r="AN7" s="31">
        <v>42246.851286173631</v>
      </c>
      <c r="AO7" s="7">
        <v>140859</v>
      </c>
      <c r="AP7" s="7">
        <v>282050</v>
      </c>
      <c r="AQ7" s="31">
        <v>43355.183879920922</v>
      </c>
      <c r="AR7" s="7">
        <v>157500</v>
      </c>
      <c r="AS7" s="7">
        <v>295000</v>
      </c>
      <c r="AT7" s="31">
        <v>44658.729695330367</v>
      </c>
      <c r="AU7" s="29">
        <f>(55000+35000+35000)*1.5</f>
        <v>187500</v>
      </c>
      <c r="AV7" s="29">
        <f>170000+80000+70000</f>
        <v>320000</v>
      </c>
      <c r="AW7" s="31">
        <f>IF(AV7/(INDEX('Standards for Conversions'!$H$47:$H$73,MATCH(AU$2,'Standards for Conversions'!$A$47:$A$73,0)))=0,"",AV7/(INDEX('Standards for Conversions'!$H$47:$H$73,MATCH(AU$2,'Standards for Conversions'!$A$47:$A$73,0))))</f>
        <v>46478.53190811391</v>
      </c>
      <c r="AX7" s="29">
        <f>(60000+30000+40000)*1.5</f>
        <v>195000</v>
      </c>
      <c r="AY7" s="29">
        <f>190000+78000+80000</f>
        <v>348000</v>
      </c>
      <c r="AZ7" s="31">
        <f>IF(AY7/(INDEX('Standards for Conversions'!$H$47:$H$73,MATCH(AX$2,'Standards for Conversions'!$A$47:$A$73,0)))=0,"",AY7/(INDEX('Standards for Conversions'!$H$47:$H$73,MATCH(AX$2,'Standards for Conversions'!$A$47:$A$73,0))))</f>
        <v>50324.359411662459</v>
      </c>
      <c r="BA7" s="29">
        <f>(50000+20000+30000)*1.5</f>
        <v>150000</v>
      </c>
      <c r="BB7" s="29">
        <f>180000+60000+70000</f>
        <v>310000</v>
      </c>
      <c r="BC7" s="31">
        <f>IF(BB7/(INDEX('Standards for Conversions'!$H$47:$H$73,MATCH(BA$2,'Standards for Conversions'!$A$47:$A$73,0)))=0,"",BB7/(INDEX('Standards for Conversions'!$H$47:$H$73,MATCH(BA$2,'Standards for Conversions'!$A$47:$A$73,0))))</f>
        <v>50145.660974479295</v>
      </c>
      <c r="BD7" s="29">
        <f>(70000+30000+35000)*1.5</f>
        <v>202500</v>
      </c>
      <c r="BE7" s="29">
        <f>250000+65000+70000</f>
        <v>385000</v>
      </c>
      <c r="BF7" s="31">
        <f>IF(BE7/(INDEX('Standards for Conversions'!$H$47:$H$73,MATCH(BD$2,'Standards for Conversions'!$A$47:$A$73,0)))=0,"",BE7/(INDEX('Standards for Conversions'!$H$47:$H$73,MATCH(BD$2,'Standards for Conversions'!$A$47:$A$73,0))))</f>
        <v>58772.518584702062</v>
      </c>
      <c r="BG7" s="29">
        <f>(60000+25000+30000)*1.5</f>
        <v>172500</v>
      </c>
      <c r="BH7" s="29">
        <f>250000+60000+65000</f>
        <v>375000</v>
      </c>
      <c r="BI7" s="31">
        <f>IF(BH7/(INDEX('Standards for Conversions'!$H$47:$H$73,MATCH(BG$2,'Standards for Conversions'!$A$47:$A$73,0)))=0,"",BH7/(INDEX('Standards for Conversions'!$H$47:$H$73,MATCH(BG$2,'Standards for Conversions'!$A$47:$A$73,0))))</f>
        <v>50497.129464673671</v>
      </c>
      <c r="BJ7" s="29">
        <f>(60000+20000+20000)*1.5</f>
        <v>150000</v>
      </c>
      <c r="BK7" s="29">
        <f>300000+60000+60000</f>
        <v>420000</v>
      </c>
      <c r="BL7" s="31">
        <f>IF(BK7/(INDEX('Standards for Conversions'!$H$47:$H$73,MATCH(BJ$2,'Standards for Conversions'!$A$47:$A$73,0)))=0,"",BK7/(INDEX('Standards for Conversions'!$H$47:$H$73,MATCH(BJ$2,'Standards for Conversions'!$A$47:$A$73,0))))</f>
        <v>51078.958025549655</v>
      </c>
      <c r="BM7" s="43"/>
      <c r="BN7" s="44"/>
      <c r="BO7" s="31" t="str">
        <f>IF(BN7/(INDEX('Standards for Conversions'!$H$47:$H$73,MATCH(BM$2,'Standards for Conversions'!$A$47:$A$73,0)))=0,"",BN7/(INDEX('Standards for Conversions'!$H$47:$H$73,MATCH(BM$2,'Standards for Conversions'!$A$47:$A$73,0))))</f>
        <v/>
      </c>
      <c r="BP7" s="43"/>
      <c r="BQ7" s="44"/>
      <c r="BR7" s="31" t="str">
        <f>IF(BQ7/(INDEX('Standards for Conversions'!$H$47:$H$73,MATCH(BP$2,'Standards for Conversions'!$A$47:$A$73,0)))=0,"",BQ7/(INDEX('Standards for Conversions'!$H$47:$H$73,MATCH(BP$2,'Standards for Conversions'!$A$47:$A$73,0))))</f>
        <v/>
      </c>
      <c r="BS7" s="43"/>
      <c r="BT7" s="44"/>
      <c r="BU7" s="31" t="str">
        <f>IF(BT7/(INDEX('Standards for Conversions'!$H$47:$H$73,MATCH(BS$2,'Standards for Conversions'!$A$47:$A$73,0)))=0,"",BT7/(INDEX('Standards for Conversions'!$H$47:$H$73,MATCH(BS$2,'Standards for Conversions'!$A$47:$A$73,0))))</f>
        <v/>
      </c>
      <c r="BV7" s="43"/>
      <c r="BW7" s="44"/>
      <c r="BX7" s="31" t="str">
        <f>IF(BW7/(INDEX('Standards for Conversions'!$H$47:$H$73,MATCH(BV$2,'Standards for Conversions'!$A$47:$A$73,0)))=0,"",BW7/(INDEX('Standards for Conversions'!$H$47:$H$73,MATCH(BV$2,'Standards for Conversions'!$A$47:$A$73,0))))</f>
        <v/>
      </c>
      <c r="BY7" s="43"/>
      <c r="BZ7" s="44"/>
      <c r="CA7" s="31" t="str">
        <f>IF(BZ7/(INDEX('Standards for Conversions'!$H$47:$H$73,MATCH(BY$2,'Standards for Conversions'!$A$47:$A$73,0)))=0,"",BZ7/(INDEX('Standards for Conversions'!$H$47:$H$73,MATCH(BY$2,'Standards for Conversions'!$A$47:$A$73,0))))</f>
        <v/>
      </c>
      <c r="CB7" s="43"/>
      <c r="CC7" s="44"/>
      <c r="CD7" s="31" t="str">
        <f>IF(CC7/(INDEX('Standards for Conversions'!$H$47:$H$73,MATCH(CB$2,'Standards for Conversions'!$A$47:$A$73,0)))=0,"",CC7/(INDEX('Standards for Conversions'!$H$47:$H$73,MATCH(CB$2,'Standards for Conversions'!$A$47:$A$73,0))))</f>
        <v/>
      </c>
      <c r="CE7" s="43"/>
      <c r="CF7" s="44"/>
      <c r="CG7" s="31" t="str">
        <f>IF(CF7/(INDEX('Standards for Conversions'!$H$47:$H$73,MATCH(CE$2,'Standards for Conversions'!$A$47:$A$73,0)))=0,"",CF7/(INDEX('Standards for Conversions'!$H$47:$H$73,MATCH(CE$2,'Standards for Conversions'!$A$47:$A$73,0))))</f>
        <v/>
      </c>
      <c r="CH7" s="43"/>
      <c r="CI7" s="44"/>
      <c r="CJ7" s="31" t="str">
        <f>IF(CI7/(INDEX('Standards for Conversions'!$H$47:$H$73,MATCH(CH$2,'Standards for Conversions'!$A$47:$A$73,0)))=0,"",CI7/(INDEX('Standards for Conversions'!$H$47:$H$73,MATCH(CH$2,'Standards for Conversions'!$A$47:$A$73,0))))</f>
        <v/>
      </c>
      <c r="CK7" s="43"/>
      <c r="CL7" s="44"/>
      <c r="CM7" s="31" t="str">
        <f>IF(CL7/(INDEX('Standards for Conversions'!$H$47:$H$73,MATCH(CK$2,'Standards for Conversions'!$A$47:$A$73,0)))=0,"",CL7/(INDEX('Standards for Conversions'!$H$47:$H$73,MATCH(CK$2,'Standards for Conversions'!$A$47:$A$73,0))))</f>
        <v/>
      </c>
      <c r="CN7" s="43"/>
      <c r="CO7" s="44"/>
      <c r="CP7" s="31" t="str">
        <f>IF(CO7/(INDEX('Standards for Conversions'!$H$47:$H$73,MATCH(CN$2,'Standards for Conversions'!$A$47:$A$73,0)))=0,"",CO7/(INDEX('Standards for Conversions'!$H$47:$H$73,MATCH(CN$2,'Standards for Conversions'!$A$47:$A$73,0))))</f>
        <v/>
      </c>
      <c r="CQ7" s="45"/>
      <c r="CR7" s="44"/>
      <c r="CS7" s="31" t="str">
        <f>IF(CR7/(INDEX('Standards for Conversions'!$H$47:$H$73,MATCH(CQ$2,'Standards for Conversions'!$A$47:$A$73,0)))=0,"",CR7/(INDEX('Standards for Conversions'!$H$47:$H$73,MATCH(CQ$2,'Standards for Conversions'!$A$47:$A$73,0))))</f>
        <v/>
      </c>
      <c r="CT7" s="45"/>
      <c r="CU7" s="44"/>
      <c r="CV7" s="43"/>
      <c r="CW7" s="44"/>
      <c r="CX7" s="43"/>
      <c r="CY7" s="44"/>
      <c r="DD7" s="7">
        <f>20*7135</f>
        <v>142700</v>
      </c>
      <c r="DE7" s="29">
        <v>74547</v>
      </c>
      <c r="DF7" s="7">
        <f>20*6617</f>
        <v>132340</v>
      </c>
      <c r="DG7" s="29">
        <v>55066</v>
      </c>
    </row>
    <row r="8" spans="1:111" ht="15.6" x14ac:dyDescent="0.3">
      <c r="A8" s="19" t="s">
        <v>164</v>
      </c>
      <c r="B8" s="33" t="s">
        <v>98</v>
      </c>
      <c r="C8" s="7">
        <v>141000</v>
      </c>
      <c r="D8" s="7">
        <v>221000</v>
      </c>
      <c r="E8" s="31">
        <v>43656.832770270266</v>
      </c>
      <c r="F8" s="7">
        <v>187500</v>
      </c>
      <c r="G8" s="7">
        <v>250000</v>
      </c>
      <c r="H8" s="31">
        <v>48168.121397120587</v>
      </c>
      <c r="I8" s="7">
        <v>262500</v>
      </c>
      <c r="J8" s="7">
        <v>350000</v>
      </c>
      <c r="K8" s="31">
        <v>62544.453014107348</v>
      </c>
      <c r="L8" s="7">
        <v>255000</v>
      </c>
      <c r="M8" s="7">
        <v>300000</v>
      </c>
      <c r="N8" s="31">
        <v>55705.638415746937</v>
      </c>
      <c r="O8" s="7">
        <v>82500</v>
      </c>
      <c r="P8" s="7">
        <v>165000</v>
      </c>
      <c r="Q8" s="31">
        <v>29380.436772182144</v>
      </c>
      <c r="R8" s="33" t="s">
        <v>98</v>
      </c>
      <c r="S8" s="7">
        <v>187500</v>
      </c>
      <c r="T8" s="7">
        <v>350000</v>
      </c>
      <c r="U8" s="31">
        <v>60765.93776252136</v>
      </c>
      <c r="V8" s="33" t="s">
        <v>98</v>
      </c>
      <c r="W8" s="7">
        <v>150000</v>
      </c>
      <c r="X8" s="7">
        <v>350000</v>
      </c>
      <c r="Y8" s="31">
        <v>61951.614596912026</v>
      </c>
      <c r="Z8" s="7">
        <v>165000</v>
      </c>
      <c r="AA8" s="7">
        <v>400000</v>
      </c>
      <c r="AB8" s="31">
        <v>70039.624431505465</v>
      </c>
      <c r="AC8" s="7">
        <v>213324</v>
      </c>
      <c r="AD8" s="7">
        <v>330615</v>
      </c>
      <c r="AE8" s="31">
        <v>57820.37562380507</v>
      </c>
      <c r="AF8" s="7">
        <v>123982.5</v>
      </c>
      <c r="AG8" s="7">
        <v>462985</v>
      </c>
      <c r="AH8" s="31">
        <v>79303.754756932365</v>
      </c>
      <c r="AI8" s="7">
        <v>120750</v>
      </c>
      <c r="AJ8" s="7">
        <v>250000</v>
      </c>
      <c r="AK8" s="31">
        <v>42874.921243590848</v>
      </c>
      <c r="AL8" s="7">
        <v>118188</v>
      </c>
      <c r="AM8" s="7">
        <v>175000</v>
      </c>
      <c r="AN8" s="31">
        <v>28789.715635048229</v>
      </c>
      <c r="AO8" s="7">
        <v>121327.5</v>
      </c>
      <c r="AP8" s="7">
        <v>198700</v>
      </c>
      <c r="AQ8" s="31">
        <v>30543.07759950465</v>
      </c>
      <c r="AR8" s="7">
        <v>135000</v>
      </c>
      <c r="AS8" s="7">
        <v>180000</v>
      </c>
      <c r="AT8" s="31">
        <v>27249.394390371071</v>
      </c>
      <c r="AU8" s="29">
        <f>(100000)*1.5</f>
        <v>150000</v>
      </c>
      <c r="AV8" s="29">
        <v>190000</v>
      </c>
      <c r="AW8" s="31">
        <f>IF(AV8/(INDEX('Standards for Conversions'!$H$47:$H$73,MATCH(AU$2,'Standards for Conversions'!$A$47:$A$73,0)))=0,"",AV8/(INDEX('Standards for Conversions'!$H$47:$H$73,MATCH(AU$2,'Standards for Conversions'!$A$47:$A$73,0))))</f>
        <v>27596.628320442633</v>
      </c>
      <c r="AX8" s="29">
        <v>165000</v>
      </c>
      <c r="AY8" s="29">
        <v>200000</v>
      </c>
      <c r="AZ8" s="31">
        <f>IF(AY8/(INDEX('Standards for Conversions'!$H$47:$H$73,MATCH(AX$2,'Standards for Conversions'!$A$47:$A$73,0)))=0,"",AY8/(INDEX('Standards for Conversions'!$H$47:$H$73,MATCH(AX$2,'Standards for Conversions'!$A$47:$A$73,0))))</f>
        <v>28922.045638886473</v>
      </c>
      <c r="BA8" s="29">
        <v>135000</v>
      </c>
      <c r="BB8" s="29">
        <v>180000</v>
      </c>
      <c r="BC8" s="31">
        <f>IF(BB8/(INDEX('Standards for Conversions'!$H$47:$H$73,MATCH(BA$2,'Standards for Conversions'!$A$47:$A$73,0)))=0,"",BB8/(INDEX('Standards for Conversions'!$H$47:$H$73,MATCH(BA$2,'Standards for Conversions'!$A$47:$A$73,0))))</f>
        <v>29116.835404536367</v>
      </c>
      <c r="BD8" s="29">
        <f>(100000)*1.5</f>
        <v>150000</v>
      </c>
      <c r="BE8" s="29">
        <v>150000</v>
      </c>
      <c r="BF8" s="31">
        <f>IF(BE8/(INDEX('Standards for Conversions'!$H$47:$H$73,MATCH(BD$2,'Standards for Conversions'!$A$47:$A$73,0)))=0,"",BE8/(INDEX('Standards for Conversions'!$H$47:$H$73,MATCH(BD$2,'Standards for Conversions'!$A$47:$A$73,0))))</f>
        <v>22898.383864169635</v>
      </c>
      <c r="BG8" s="29">
        <v>135000</v>
      </c>
      <c r="BH8" s="29">
        <v>140000</v>
      </c>
      <c r="BI8" s="31">
        <f>IF(BH8/(INDEX('Standards for Conversions'!$H$47:$H$73,MATCH(BG$2,'Standards for Conversions'!$A$47:$A$73,0)))=0,"",BH8/(INDEX('Standards for Conversions'!$H$47:$H$73,MATCH(BG$2,'Standards for Conversions'!$A$47:$A$73,0))))</f>
        <v>18852.261666811504</v>
      </c>
      <c r="BJ8" s="29">
        <f>(80000)*1.5</f>
        <v>120000</v>
      </c>
      <c r="BK8" s="29">
        <v>130000</v>
      </c>
      <c r="BL8" s="31">
        <f>IF(BK8/(INDEX('Standards for Conversions'!$H$47:$H$73,MATCH(BJ$2,'Standards for Conversions'!$A$47:$A$73,0)))=0,"",BK8/(INDEX('Standards for Conversions'!$H$47:$H$73,MATCH(BJ$2,'Standards for Conversions'!$A$47:$A$73,0))))</f>
        <v>15810.153674574893</v>
      </c>
      <c r="BM8" s="43"/>
      <c r="BN8" s="44"/>
      <c r="BO8" s="31" t="str">
        <f>IF(BN8/(INDEX('Standards for Conversions'!$H$47:$H$73,MATCH(BM$2,'Standards for Conversions'!$A$47:$A$73,0)))=0,"",BN8/(INDEX('Standards for Conversions'!$H$47:$H$73,MATCH(BM$2,'Standards for Conversions'!$A$47:$A$73,0))))</f>
        <v/>
      </c>
      <c r="BP8" s="43"/>
      <c r="BQ8" s="44"/>
      <c r="BR8" s="31" t="str">
        <f>IF(BQ8/(INDEX('Standards for Conversions'!$H$47:$H$73,MATCH(BP$2,'Standards for Conversions'!$A$47:$A$73,0)))=0,"",BQ8/(INDEX('Standards for Conversions'!$H$47:$H$73,MATCH(BP$2,'Standards for Conversions'!$A$47:$A$73,0))))</f>
        <v/>
      </c>
      <c r="BS8" s="43"/>
      <c r="BT8" s="44"/>
      <c r="BU8" s="31" t="str">
        <f>IF(BT8/(INDEX('Standards for Conversions'!$H$47:$H$73,MATCH(BS$2,'Standards for Conversions'!$A$47:$A$73,0)))=0,"",BT8/(INDEX('Standards for Conversions'!$H$47:$H$73,MATCH(BS$2,'Standards for Conversions'!$A$47:$A$73,0))))</f>
        <v/>
      </c>
      <c r="BV8" s="43"/>
      <c r="BW8" s="44"/>
      <c r="BX8" s="31" t="str">
        <f>IF(BW8/(INDEX('Standards for Conversions'!$H$47:$H$73,MATCH(BV$2,'Standards for Conversions'!$A$47:$A$73,0)))=0,"",BW8/(INDEX('Standards for Conversions'!$H$47:$H$73,MATCH(BV$2,'Standards for Conversions'!$A$47:$A$73,0))))</f>
        <v/>
      </c>
      <c r="BY8" s="43"/>
      <c r="BZ8" s="44"/>
      <c r="CA8" s="31" t="str">
        <f>IF(BZ8/(INDEX('Standards for Conversions'!$H$47:$H$73,MATCH(BY$2,'Standards for Conversions'!$A$47:$A$73,0)))=0,"",BZ8/(INDEX('Standards for Conversions'!$H$47:$H$73,MATCH(BY$2,'Standards for Conversions'!$A$47:$A$73,0))))</f>
        <v/>
      </c>
      <c r="CB8" s="43"/>
      <c r="CC8" s="44"/>
      <c r="CD8" s="31" t="str">
        <f>IF(CC8/(INDEX('Standards for Conversions'!$H$47:$H$73,MATCH(CB$2,'Standards for Conversions'!$A$47:$A$73,0)))=0,"",CC8/(INDEX('Standards for Conversions'!$H$47:$H$73,MATCH(CB$2,'Standards for Conversions'!$A$47:$A$73,0))))</f>
        <v/>
      </c>
      <c r="CE8" s="43"/>
      <c r="CF8" s="44"/>
      <c r="CG8" s="31" t="str">
        <f>IF(CF8/(INDEX('Standards for Conversions'!$H$47:$H$73,MATCH(CE$2,'Standards for Conversions'!$A$47:$A$73,0)))=0,"",CF8/(INDEX('Standards for Conversions'!$H$47:$H$73,MATCH(CE$2,'Standards for Conversions'!$A$47:$A$73,0))))</f>
        <v/>
      </c>
      <c r="CH8" s="43"/>
      <c r="CI8" s="44"/>
      <c r="CJ8" s="31" t="str">
        <f>IF(CI8/(INDEX('Standards for Conversions'!$H$47:$H$73,MATCH(CH$2,'Standards for Conversions'!$A$47:$A$73,0)))=0,"",CI8/(INDEX('Standards for Conversions'!$H$47:$H$73,MATCH(CH$2,'Standards for Conversions'!$A$47:$A$73,0))))</f>
        <v/>
      </c>
      <c r="CK8" s="43"/>
      <c r="CL8" s="44"/>
      <c r="CM8" s="31" t="str">
        <f>IF(CL8/(INDEX('Standards for Conversions'!$H$47:$H$73,MATCH(CK$2,'Standards for Conversions'!$A$47:$A$73,0)))=0,"",CL8/(INDEX('Standards for Conversions'!$H$47:$H$73,MATCH(CK$2,'Standards for Conversions'!$A$47:$A$73,0))))</f>
        <v/>
      </c>
      <c r="CN8" s="43"/>
      <c r="CO8" s="44"/>
      <c r="CP8" s="31" t="str">
        <f>IF(CO8/(INDEX('Standards for Conversions'!$H$47:$H$73,MATCH(CN$2,'Standards for Conversions'!$A$47:$A$73,0)))=0,"",CO8/(INDEX('Standards for Conversions'!$H$47:$H$73,MATCH(CN$2,'Standards for Conversions'!$A$47:$A$73,0))))</f>
        <v/>
      </c>
      <c r="CQ8" s="45"/>
      <c r="CR8" s="44"/>
      <c r="CS8" s="31" t="str">
        <f>IF(CR8/(INDEX('Standards for Conversions'!$H$47:$H$73,MATCH(CQ$2,'Standards for Conversions'!$A$47:$A$73,0)))=0,"",CR8/(INDEX('Standards for Conversions'!$H$47:$H$73,MATCH(CQ$2,'Standards for Conversions'!$A$47:$A$73,0))))</f>
        <v/>
      </c>
      <c r="CT8" s="45"/>
      <c r="CU8" s="44"/>
      <c r="CV8" s="43"/>
      <c r="CW8" s="44"/>
      <c r="CX8" s="43"/>
      <c r="CY8" s="44"/>
      <c r="DD8" s="7">
        <f>20*5752</f>
        <v>115040</v>
      </c>
      <c r="DE8" s="29">
        <v>57194</v>
      </c>
      <c r="DF8" s="7">
        <f>20*4857</f>
        <v>97140</v>
      </c>
      <c r="DG8" s="29">
        <v>52609</v>
      </c>
    </row>
    <row r="9" spans="1:111" x14ac:dyDescent="0.3">
      <c r="A9" s="19" t="s">
        <v>196</v>
      </c>
      <c r="B9" s="33" t="s">
        <v>97</v>
      </c>
      <c r="C9" s="7"/>
      <c r="D9" s="7"/>
      <c r="E9" s="31" t="s">
        <v>128</v>
      </c>
      <c r="F9" s="7">
        <v>6300</v>
      </c>
      <c r="G9" s="7">
        <v>2100</v>
      </c>
      <c r="H9" s="31">
        <v>404.61221973581297</v>
      </c>
      <c r="I9" s="7"/>
      <c r="J9" s="7"/>
      <c r="K9" s="31" t="s">
        <v>128</v>
      </c>
      <c r="L9" s="7"/>
      <c r="M9" s="7"/>
      <c r="N9" s="31" t="s">
        <v>128</v>
      </c>
      <c r="O9" s="7"/>
      <c r="P9" s="7"/>
      <c r="Q9" s="31" t="s">
        <v>128</v>
      </c>
      <c r="R9" s="33" t="s">
        <v>97</v>
      </c>
      <c r="S9" s="7">
        <v>13500</v>
      </c>
      <c r="T9" s="7">
        <v>3000</v>
      </c>
      <c r="U9" s="31">
        <v>520.85089510732598</v>
      </c>
      <c r="V9" s="33" t="s">
        <v>97</v>
      </c>
      <c r="W9" s="7">
        <v>36000</v>
      </c>
      <c r="X9" s="7">
        <v>8000</v>
      </c>
      <c r="Y9" s="31">
        <v>1416.036905072275</v>
      </c>
      <c r="Z9" s="7">
        <v>9000</v>
      </c>
      <c r="AA9" s="7">
        <v>2500</v>
      </c>
      <c r="AB9" s="31">
        <v>437.74765269690914</v>
      </c>
      <c r="AC9" s="7">
        <v>72000</v>
      </c>
      <c r="AD9" s="7">
        <v>14000</v>
      </c>
      <c r="AE9" s="31">
        <v>2448.4226630167141</v>
      </c>
      <c r="AF9" s="7">
        <v>98370</v>
      </c>
      <c r="AG9" s="7">
        <v>17200</v>
      </c>
      <c r="AH9" s="31">
        <v>2946.1528598534219</v>
      </c>
      <c r="AI9" s="7">
        <v>90000</v>
      </c>
      <c r="AJ9" s="7">
        <v>12000</v>
      </c>
      <c r="AK9" s="31">
        <v>2057.9962196923607</v>
      </c>
      <c r="AL9" s="7">
        <v>81000</v>
      </c>
      <c r="AM9" s="7">
        <v>15000</v>
      </c>
      <c r="AN9" s="31">
        <v>2467.6899115755627</v>
      </c>
      <c r="AO9" s="7">
        <v>76500</v>
      </c>
      <c r="AP9" s="7">
        <v>14000</v>
      </c>
      <c r="AQ9" s="31">
        <v>2152.0034544190494</v>
      </c>
      <c r="AR9" s="7">
        <v>72000</v>
      </c>
      <c r="AS9" s="7">
        <v>14000</v>
      </c>
      <c r="AT9" s="31">
        <v>2119.3973414733059</v>
      </c>
      <c r="AU9" s="29">
        <v>18000</v>
      </c>
      <c r="AV9" s="29">
        <v>4000</v>
      </c>
      <c r="AW9" s="31">
        <f>IF(AV9/(INDEX('Standards for Conversions'!$H$47:$H$73,MATCH(AU$2,'Standards for Conversions'!$A$47:$A$73,0)))=0,"",AV9/(INDEX('Standards for Conversions'!$H$47:$H$73,MATCH(AU$2,'Standards for Conversions'!$A$47:$A$73,0))))</f>
        <v>580.98164885142387</v>
      </c>
      <c r="AX9" s="29">
        <v>13500</v>
      </c>
      <c r="AY9" s="29">
        <v>3000</v>
      </c>
      <c r="AZ9" s="31">
        <f>IF(AY9/(INDEX('Standards for Conversions'!$H$47:$H$73,MATCH(AX$2,'Standards for Conversions'!$A$47:$A$73,0)))=0,"",AY9/(INDEX('Standards for Conversions'!$H$47:$H$73,MATCH(AX$2,'Standards for Conversions'!$A$47:$A$73,0))))</f>
        <v>433.83068458329711</v>
      </c>
      <c r="BA9" s="29">
        <v>18000</v>
      </c>
      <c r="BB9" s="29">
        <v>4000</v>
      </c>
      <c r="BC9" s="31">
        <f>IF(BB9/(INDEX('Standards for Conversions'!$H$47:$H$73,MATCH(BA$2,'Standards for Conversions'!$A$47:$A$73,0)))=0,"",BB9/(INDEX('Standards for Conversions'!$H$47:$H$73,MATCH(BA$2,'Standards for Conversions'!$A$47:$A$73,0))))</f>
        <v>647.04078676747474</v>
      </c>
      <c r="BD9" s="29">
        <v>13500</v>
      </c>
      <c r="BE9" s="29">
        <v>3000</v>
      </c>
      <c r="BF9" s="31">
        <f>IF(BE9/(INDEX('Standards for Conversions'!$H$47:$H$73,MATCH(BD$2,'Standards for Conversions'!$A$47:$A$73,0)))=0,"",BE9/(INDEX('Standards for Conversions'!$H$47:$H$73,MATCH(BD$2,'Standards for Conversions'!$A$47:$A$73,0))))</f>
        <v>457.96767728339267</v>
      </c>
      <c r="BG9" s="29">
        <v>14400</v>
      </c>
      <c r="BH9" s="29">
        <v>3000</v>
      </c>
      <c r="BI9" s="31">
        <f>IF(BH9/(INDEX('Standards for Conversions'!$H$47:$H$73,MATCH(BG$2,'Standards for Conversions'!$A$47:$A$73,0)))=0,"",BH9/(INDEX('Standards for Conversions'!$H$47:$H$73,MATCH(BG$2,'Standards for Conversions'!$A$47:$A$73,0))))</f>
        <v>403.97703571738941</v>
      </c>
      <c r="BJ9" s="29">
        <v>13500</v>
      </c>
      <c r="BK9" s="29">
        <v>2500</v>
      </c>
      <c r="BL9" s="31">
        <f>IF(BK9/(INDEX('Standards for Conversions'!$H$47:$H$73,MATCH(BJ$2,'Standards for Conversions'!$A$47:$A$73,0)))=0,"",BK9/(INDEX('Standards for Conversions'!$H$47:$H$73,MATCH(BJ$2,'Standards for Conversions'!$A$47:$A$73,0))))</f>
        <v>304.04141681874796</v>
      </c>
      <c r="BM9" s="7">
        <f>1200*9</f>
        <v>10800</v>
      </c>
      <c r="BN9" s="7">
        <v>2200</v>
      </c>
      <c r="BO9" s="31">
        <f>IF(BN9/(INDEX('Standards for Conversions'!$H$47:$H$73,MATCH(BM$2,'Standards for Conversions'!$A$47:$A$73,0)))=0,"",BN9/(INDEX('Standards for Conversions'!$H$47:$H$73,MATCH(BM$2,'Standards for Conversions'!$A$47:$A$73,0))))</f>
        <v>215.66614705541554</v>
      </c>
      <c r="BR9" s="31" t="str">
        <f>IF(BQ9/(INDEX('Standards for Conversions'!$H$47:$H$73,MATCH(BP$2,'Standards for Conversions'!$A$47:$A$73,0)))=0,"",BQ9/(INDEX('Standards for Conversions'!$H$47:$H$73,MATCH(BP$2,'Standards for Conversions'!$A$47:$A$73,0))))</f>
        <v/>
      </c>
      <c r="BU9" s="31" t="str">
        <f>IF(BT9/(INDEX('Standards for Conversions'!$H$47:$H$73,MATCH(BS$2,'Standards for Conversions'!$A$47:$A$73,0)))=0,"",BT9/(INDEX('Standards for Conversions'!$H$47:$H$73,MATCH(BS$2,'Standards for Conversions'!$A$47:$A$73,0))))</f>
        <v/>
      </c>
      <c r="BX9" s="31" t="str">
        <f>IF(BW9/(INDEX('Standards for Conversions'!$H$47:$H$73,MATCH(BV$2,'Standards for Conversions'!$A$47:$A$73,0)))=0,"",BW9/(INDEX('Standards for Conversions'!$H$47:$H$73,MATCH(BV$2,'Standards for Conversions'!$A$47:$A$73,0))))</f>
        <v/>
      </c>
      <c r="CA9" s="31" t="str">
        <f>IF(BZ9/(INDEX('Standards for Conversions'!$H$47:$H$73,MATCH(BY$2,'Standards for Conversions'!$A$47:$A$73,0)))=0,"",BZ9/(INDEX('Standards for Conversions'!$H$47:$H$73,MATCH(BY$2,'Standards for Conversions'!$A$47:$A$73,0))))</f>
        <v/>
      </c>
      <c r="CD9" s="31" t="str">
        <f>IF(CC9/(INDEX('Standards for Conversions'!$H$47:$H$73,MATCH(CB$2,'Standards for Conversions'!$A$47:$A$73,0)))=0,"",CC9/(INDEX('Standards for Conversions'!$H$47:$H$73,MATCH(CB$2,'Standards for Conversions'!$A$47:$A$73,0))))</f>
        <v/>
      </c>
      <c r="CG9" s="31" t="str">
        <f>IF(CF9/(INDEX('Standards for Conversions'!$H$47:$H$73,MATCH(CE$2,'Standards for Conversions'!$A$47:$A$73,0)))=0,"",CF9/(INDEX('Standards for Conversions'!$H$47:$H$73,MATCH(CE$2,'Standards for Conversions'!$A$47:$A$73,0))))</f>
        <v/>
      </c>
      <c r="CJ9" s="31" t="str">
        <f>IF(CI9/(INDEX('Standards for Conversions'!$H$47:$H$73,MATCH(CH$2,'Standards for Conversions'!$A$47:$A$73,0)))=0,"",CI9/(INDEX('Standards for Conversions'!$H$47:$H$73,MATCH(CH$2,'Standards for Conversions'!$A$47:$A$73,0))))</f>
        <v/>
      </c>
      <c r="CM9" s="31" t="str">
        <f>IF(CL9/(INDEX('Standards for Conversions'!$H$47:$H$73,MATCH(CK$2,'Standards for Conversions'!$A$47:$A$73,0)))=0,"",CL9/(INDEX('Standards for Conversions'!$H$47:$H$73,MATCH(CK$2,'Standards for Conversions'!$A$47:$A$73,0))))</f>
        <v/>
      </c>
      <c r="CP9" s="31" t="str">
        <f>IF(CO9/(INDEX('Standards for Conversions'!$H$47:$H$73,MATCH(CN$2,'Standards for Conversions'!$A$47:$A$73,0)))=0,"",CO9/(INDEX('Standards for Conversions'!$H$47:$H$73,MATCH(CN$2,'Standards for Conversions'!$A$47:$A$73,0))))</f>
        <v/>
      </c>
      <c r="CS9" s="31" t="str">
        <f>IF(CR9/(INDEX('Standards for Conversions'!$H$47:$H$73,MATCH(CQ$2,'Standards for Conversions'!$A$47:$A$73,0)))=0,"",CR9/(INDEX('Standards for Conversions'!$H$47:$H$73,MATCH(CQ$2,'Standards for Conversions'!$A$47:$A$73,0))))</f>
        <v/>
      </c>
      <c r="DD9" s="29">
        <v>150</v>
      </c>
      <c r="DE9" s="29">
        <v>31</v>
      </c>
      <c r="DF9" s="29">
        <v>69</v>
      </c>
      <c r="DG9" s="29">
        <v>12</v>
      </c>
    </row>
    <row r="10" spans="1:111" x14ac:dyDescent="0.3">
      <c r="A10" s="19" t="s">
        <v>76</v>
      </c>
      <c r="B10" s="33" t="s">
        <v>98</v>
      </c>
      <c r="C10" s="7"/>
      <c r="D10" s="7"/>
      <c r="E10" s="31" t="s">
        <v>128</v>
      </c>
      <c r="F10" s="7">
        <v>6.3</v>
      </c>
      <c r="G10" s="7">
        <v>1500</v>
      </c>
      <c r="H10" s="31">
        <v>289.00872838272352</v>
      </c>
      <c r="I10" s="7"/>
      <c r="J10" s="7"/>
      <c r="K10" s="31" t="s">
        <v>128</v>
      </c>
      <c r="L10" s="7">
        <v>10.08</v>
      </c>
      <c r="M10" s="7">
        <v>3000</v>
      </c>
      <c r="N10" s="31">
        <v>557.05638415746932</v>
      </c>
      <c r="O10" s="7">
        <v>15.120000000000001</v>
      </c>
      <c r="P10" s="7">
        <v>6000</v>
      </c>
      <c r="Q10" s="31">
        <v>1068.3795189884415</v>
      </c>
      <c r="R10" s="33" t="s">
        <v>98</v>
      </c>
      <c r="S10" s="7">
        <v>12.6</v>
      </c>
      <c r="T10" s="7">
        <v>5000</v>
      </c>
      <c r="U10" s="31">
        <v>868.0848251788766</v>
      </c>
      <c r="V10" s="33" t="s">
        <v>98</v>
      </c>
      <c r="W10" s="7">
        <v>5.04</v>
      </c>
      <c r="X10" s="7">
        <v>3500</v>
      </c>
      <c r="Y10" s="31">
        <v>619.51614596912032</v>
      </c>
      <c r="Z10" s="7">
        <v>31.5</v>
      </c>
      <c r="AA10" s="7">
        <v>12500</v>
      </c>
      <c r="AB10" s="31">
        <v>2188.7382634845458</v>
      </c>
      <c r="AC10" s="7">
        <v>25.2</v>
      </c>
      <c r="AD10" s="7">
        <v>13000</v>
      </c>
      <c r="AE10" s="31">
        <v>2273.5353299440917</v>
      </c>
      <c r="AF10" s="7">
        <v>22.68</v>
      </c>
      <c r="AG10" s="7">
        <v>8000</v>
      </c>
      <c r="AH10" s="31">
        <v>1370.3036557457776</v>
      </c>
      <c r="AI10" s="7">
        <v>12.6</v>
      </c>
      <c r="AJ10" s="7">
        <v>5000</v>
      </c>
      <c r="AK10" s="31">
        <v>857.49842487181706</v>
      </c>
      <c r="AL10" s="7">
        <v>10.08</v>
      </c>
      <c r="AM10" s="7">
        <v>2000</v>
      </c>
      <c r="AN10" s="31">
        <v>329.02532154340832</v>
      </c>
      <c r="AO10" s="7">
        <v>6.3</v>
      </c>
      <c r="AP10" s="7">
        <v>4000</v>
      </c>
      <c r="AQ10" s="31">
        <v>614.85812983401411</v>
      </c>
      <c r="AR10" s="7">
        <v>7.5600000000000005</v>
      </c>
      <c r="AS10" s="7">
        <v>5000</v>
      </c>
      <c r="AT10" s="31">
        <v>756.927621954752</v>
      </c>
      <c r="AU10" s="29">
        <v>6.3</v>
      </c>
      <c r="AV10" s="29">
        <v>4000</v>
      </c>
      <c r="AW10" s="31">
        <f>IF(AV10/(INDEX('Standards for Conversions'!$H$47:$H$73,MATCH(AU$2,'Standards for Conversions'!$A$47:$A$73,0)))=0,"",AV10/(INDEX('Standards for Conversions'!$H$47:$H$73,MATCH(AU$2,'Standards for Conversions'!$A$47:$A$73,0))))</f>
        <v>580.98164885142387</v>
      </c>
      <c r="AX10" s="29">
        <v>12.6</v>
      </c>
      <c r="AY10" s="29">
        <v>750</v>
      </c>
      <c r="AZ10" s="31">
        <f>IF(AY10/(INDEX('Standards for Conversions'!$H$47:$H$73,MATCH(AX$2,'Standards for Conversions'!$A$47:$A$73,0)))=0,"",AY10/(INDEX('Standards for Conversions'!$H$47:$H$73,MATCH(AX$2,'Standards for Conversions'!$A$47:$A$73,0))))</f>
        <v>108.45767114582428</v>
      </c>
      <c r="BA10" s="29">
        <v>10.08</v>
      </c>
      <c r="BB10" s="29">
        <v>4000</v>
      </c>
      <c r="BC10" s="31">
        <f>IF(BB10/(INDEX('Standards for Conversions'!$H$47:$H$73,MATCH(BA$2,'Standards for Conversions'!$A$47:$A$73,0)))=0,"",BB10/(INDEX('Standards for Conversions'!$H$47:$H$73,MATCH(BA$2,'Standards for Conversions'!$A$47:$A$73,0))))</f>
        <v>647.04078676747474</v>
      </c>
      <c r="BD10" s="29">
        <v>6.3</v>
      </c>
      <c r="BE10" s="29">
        <v>2500</v>
      </c>
      <c r="BF10" s="31">
        <f>IF(BE10/(INDEX('Standards for Conversions'!$H$47:$H$73,MATCH(BD$2,'Standards for Conversions'!$A$47:$A$73,0)))=0,"",BE10/(INDEX('Standards for Conversions'!$H$47:$H$73,MATCH(BD$2,'Standards for Conversions'!$A$47:$A$73,0))))</f>
        <v>381.63973106949391</v>
      </c>
      <c r="BG10" s="29">
        <v>3.7800000000000002</v>
      </c>
      <c r="BH10" s="29">
        <v>1500</v>
      </c>
      <c r="BI10" s="31">
        <f>IF(BH10/(INDEX('Standards for Conversions'!$H$47:$H$73,MATCH(BG$2,'Standards for Conversions'!$A$47:$A$73,0)))=0,"",BH10/(INDEX('Standards for Conversions'!$H$47:$H$73,MATCH(BG$2,'Standards for Conversions'!$A$47:$A$73,0))))</f>
        <v>201.98851785869471</v>
      </c>
      <c r="BJ10" s="29">
        <v>2.52</v>
      </c>
      <c r="BK10" s="29">
        <v>1000</v>
      </c>
      <c r="BL10" s="31">
        <f>IF(BK10/(INDEX('Standards for Conversions'!$H$47:$H$73,MATCH(BJ$2,'Standards for Conversions'!$A$47:$A$73,0)))=0,"",BK10/(INDEX('Standards for Conversions'!$H$47:$H$73,MATCH(BJ$2,'Standards for Conversions'!$A$47:$A$73,0))))</f>
        <v>121.61656672749918</v>
      </c>
      <c r="BM10" s="7">
        <f>1*1.5</f>
        <v>1.5</v>
      </c>
      <c r="BN10" s="7">
        <v>600</v>
      </c>
      <c r="BO10" s="31">
        <f>IF(BN10/(INDEX('Standards for Conversions'!$H$47:$H$73,MATCH(BM$2,'Standards for Conversions'!$A$47:$A$73,0)))=0,"",BN10/(INDEX('Standards for Conversions'!$H$47:$H$73,MATCH(BM$2,'Standards for Conversions'!$A$47:$A$73,0))))</f>
        <v>58.818040106022416</v>
      </c>
      <c r="BR10" s="31" t="str">
        <f>IF(BQ10/(INDEX('Standards for Conversions'!$H$47:$H$73,MATCH(BP$2,'Standards for Conversions'!$A$47:$A$73,0)))=0,"",BQ10/(INDEX('Standards for Conversions'!$H$47:$H$73,MATCH(BP$2,'Standards for Conversions'!$A$47:$A$73,0))))</f>
        <v/>
      </c>
      <c r="BU10" s="31" t="str">
        <f>IF(BT10/(INDEX('Standards for Conversions'!$H$47:$H$73,MATCH(BS$2,'Standards for Conversions'!$A$47:$A$73,0)))=0,"",BT10/(INDEX('Standards for Conversions'!$H$47:$H$73,MATCH(BS$2,'Standards for Conversions'!$A$47:$A$73,0))))</f>
        <v/>
      </c>
      <c r="BX10" s="31" t="str">
        <f>IF(BW10/(INDEX('Standards for Conversions'!$H$47:$H$73,MATCH(BV$2,'Standards for Conversions'!$A$47:$A$73,0)))=0,"",BW10/(INDEX('Standards for Conversions'!$H$47:$H$73,MATCH(BV$2,'Standards for Conversions'!$A$47:$A$73,0))))</f>
        <v/>
      </c>
      <c r="CA10" s="31" t="str">
        <f>IF(BZ10/(INDEX('Standards for Conversions'!$H$47:$H$73,MATCH(BY$2,'Standards for Conversions'!$A$47:$A$73,0)))=0,"",BZ10/(INDEX('Standards for Conversions'!$H$47:$H$73,MATCH(BY$2,'Standards for Conversions'!$A$47:$A$73,0))))</f>
        <v/>
      </c>
      <c r="CD10" s="31" t="str">
        <f>IF(CC10/(INDEX('Standards for Conversions'!$H$47:$H$73,MATCH(CB$2,'Standards for Conversions'!$A$47:$A$73,0)))=0,"",CC10/(INDEX('Standards for Conversions'!$H$47:$H$73,MATCH(CB$2,'Standards for Conversions'!$A$47:$A$73,0))))</f>
        <v/>
      </c>
      <c r="CG10" s="31" t="str">
        <f>IF(CF10/(INDEX('Standards for Conversions'!$H$47:$H$73,MATCH(CE$2,'Standards for Conversions'!$A$47:$A$73,0)))=0,"",CF10/(INDEX('Standards for Conversions'!$H$47:$H$73,MATCH(CE$2,'Standards for Conversions'!$A$47:$A$73,0))))</f>
        <v/>
      </c>
      <c r="CJ10" s="31" t="str">
        <f>IF(CI10/(INDEX('Standards for Conversions'!$H$47:$H$73,MATCH(CH$2,'Standards for Conversions'!$A$47:$A$73,0)))=0,"",CI10/(INDEX('Standards for Conversions'!$H$47:$H$73,MATCH(CH$2,'Standards for Conversions'!$A$47:$A$73,0))))</f>
        <v/>
      </c>
      <c r="CM10" s="31" t="str">
        <f>IF(CL10/(INDEX('Standards for Conversions'!$H$47:$H$73,MATCH(CK$2,'Standards for Conversions'!$A$47:$A$73,0)))=0,"",CL10/(INDEX('Standards for Conversions'!$H$47:$H$73,MATCH(CK$2,'Standards for Conversions'!$A$47:$A$73,0))))</f>
        <v/>
      </c>
      <c r="CP10" s="31" t="str">
        <f>IF(CO10/(INDEX('Standards for Conversions'!$H$47:$H$73,MATCH(CN$2,'Standards for Conversions'!$A$47:$A$73,0)))=0,"",CO10/(INDEX('Standards for Conversions'!$H$47:$H$73,MATCH(CN$2,'Standards for Conversions'!$A$47:$A$73,0))))</f>
        <v/>
      </c>
      <c r="CS10" s="31" t="str">
        <f>IF(CR10/(INDEX('Standards for Conversions'!$H$47:$H$73,MATCH(CQ$2,'Standards for Conversions'!$A$47:$A$73,0)))=0,"",CR10/(INDEX('Standards for Conversions'!$H$47:$H$73,MATCH(CQ$2,'Standards for Conversions'!$A$47:$A$73,0))))</f>
        <v/>
      </c>
    </row>
    <row r="11" spans="1:111" x14ac:dyDescent="0.3">
      <c r="A11" s="19" t="s">
        <v>79</v>
      </c>
      <c r="B11" s="33" t="s">
        <v>98</v>
      </c>
      <c r="C11" s="7">
        <v>111300</v>
      </c>
      <c r="D11" s="7">
        <v>14000</v>
      </c>
      <c r="E11" s="31">
        <v>2765.5912162162158</v>
      </c>
      <c r="F11" s="7">
        <v>95400</v>
      </c>
      <c r="G11" s="7">
        <v>12000</v>
      </c>
      <c r="H11" s="31">
        <v>2312.0698270617881</v>
      </c>
      <c r="I11" s="7">
        <v>79500</v>
      </c>
      <c r="J11" s="7">
        <v>10000</v>
      </c>
      <c r="K11" s="31">
        <v>1786.9843718316386</v>
      </c>
      <c r="L11" s="7">
        <v>79500</v>
      </c>
      <c r="M11" s="7">
        <v>9000</v>
      </c>
      <c r="N11" s="31">
        <v>1671.1691524724081</v>
      </c>
      <c r="O11" s="7">
        <v>95400</v>
      </c>
      <c r="P11" s="7">
        <v>11000</v>
      </c>
      <c r="Q11" s="31">
        <v>1958.6957848121431</v>
      </c>
      <c r="R11" s="33" t="s">
        <v>98</v>
      </c>
      <c r="S11" s="7">
        <v>159000</v>
      </c>
      <c r="T11" s="7">
        <v>25000</v>
      </c>
      <c r="U11" s="31">
        <v>4340.424125894383</v>
      </c>
      <c r="V11" s="33" t="s">
        <v>98</v>
      </c>
      <c r="W11" s="7">
        <v>159000</v>
      </c>
      <c r="X11" s="7">
        <v>20000</v>
      </c>
      <c r="Y11" s="31">
        <v>3540.0922626806873</v>
      </c>
      <c r="Z11" s="7">
        <v>127200</v>
      </c>
      <c r="AA11" s="7">
        <v>16000</v>
      </c>
      <c r="AB11" s="31">
        <v>2801.5849772602182</v>
      </c>
      <c r="AC11" s="7">
        <v>238500</v>
      </c>
      <c r="AD11" s="7">
        <v>22000</v>
      </c>
      <c r="AE11" s="31">
        <v>3847.5213275976939</v>
      </c>
      <c r="AF11" s="7">
        <v>214650</v>
      </c>
      <c r="AG11" s="7">
        <v>20000</v>
      </c>
      <c r="AH11" s="31">
        <v>3425.7591393644443</v>
      </c>
      <c r="AI11" s="7">
        <v>190800</v>
      </c>
      <c r="AJ11" s="7">
        <v>18000</v>
      </c>
      <c r="AK11" s="31">
        <v>3086.994329538541</v>
      </c>
      <c r="AL11" s="7">
        <v>206700</v>
      </c>
      <c r="AM11" s="7">
        <v>32500</v>
      </c>
      <c r="AN11" s="31">
        <v>5346.6614750803856</v>
      </c>
      <c r="AO11" s="7">
        <v>318000</v>
      </c>
      <c r="AP11" s="7">
        <v>45000</v>
      </c>
      <c r="AQ11" s="31">
        <v>6917.1539606326587</v>
      </c>
      <c r="AR11" s="7">
        <v>477000</v>
      </c>
      <c r="AS11" s="7">
        <v>75000</v>
      </c>
      <c r="AT11" s="31">
        <v>11353.91432932128</v>
      </c>
      <c r="AU11" s="29">
        <v>397500</v>
      </c>
      <c r="AV11" s="29">
        <v>65000</v>
      </c>
      <c r="AW11" s="31">
        <f>IF(AV11/(INDEX('Standards for Conversions'!$H$47:$H$73,MATCH(AU$2,'Standards for Conversions'!$A$47:$A$73,0)))=0,"",AV11/(INDEX('Standards for Conversions'!$H$47:$H$73,MATCH(AU$2,'Standards for Conversions'!$A$47:$A$73,0))))</f>
        <v>9440.9517938356366</v>
      </c>
      <c r="AX11" s="29">
        <v>477000</v>
      </c>
      <c r="AY11" s="29">
        <v>65000</v>
      </c>
      <c r="AZ11" s="31">
        <f>IF(AY11/(INDEX('Standards for Conversions'!$H$47:$H$73,MATCH(AX$2,'Standards for Conversions'!$A$47:$A$73,0)))=0,"",AY11/(INDEX('Standards for Conversions'!$H$47:$H$73,MATCH(AX$2,'Standards for Conversions'!$A$47:$A$73,0))))</f>
        <v>9399.6648326381037</v>
      </c>
      <c r="BA11" s="29">
        <v>397500</v>
      </c>
      <c r="BB11" s="29">
        <v>70000</v>
      </c>
      <c r="BC11" s="31">
        <f>IF(BB11/(INDEX('Standards for Conversions'!$H$47:$H$73,MATCH(BA$2,'Standards for Conversions'!$A$47:$A$73,0)))=0,"",BB11/(INDEX('Standards for Conversions'!$H$47:$H$73,MATCH(BA$2,'Standards for Conversions'!$A$47:$A$73,0))))</f>
        <v>11323.213768430809</v>
      </c>
      <c r="BD11" s="29">
        <v>190800</v>
      </c>
      <c r="BE11" s="29">
        <v>70000</v>
      </c>
      <c r="BF11" s="31">
        <f>IF(BE11/(INDEX('Standards for Conversions'!$H$47:$H$73,MATCH(BD$2,'Standards for Conversions'!$A$47:$A$73,0)))=0,"",BE11/(INDEX('Standards for Conversions'!$H$47:$H$73,MATCH(BD$2,'Standards for Conversions'!$A$47:$A$73,0))))</f>
        <v>10685.91246994583</v>
      </c>
      <c r="BG11" s="29">
        <v>206700</v>
      </c>
      <c r="BH11" s="29">
        <v>45000</v>
      </c>
      <c r="BI11" s="31">
        <f>IF(BH11/(INDEX('Standards for Conversions'!$H$47:$H$73,MATCH(BG$2,'Standards for Conversions'!$A$47:$A$73,0)))=0,"",BH11/(INDEX('Standards for Conversions'!$H$47:$H$73,MATCH(BG$2,'Standards for Conversions'!$A$47:$A$73,0))))</f>
        <v>6059.6555357608404</v>
      </c>
      <c r="BJ11" s="29">
        <v>393600</v>
      </c>
      <c r="BK11" s="29">
        <v>50000</v>
      </c>
      <c r="BL11" s="31">
        <f>IF(BK11/(INDEX('Standards for Conversions'!$H$47:$H$73,MATCH(BJ$2,'Standards for Conversions'!$A$47:$A$73,0)))=0,"",BK11/(INDEX('Standards for Conversions'!$H$47:$H$73,MATCH(BJ$2,'Standards for Conversions'!$A$47:$A$73,0))))</f>
        <v>6080.8283363749588</v>
      </c>
      <c r="BM11" s="29">
        <f>(20000+1500+1000)*20</f>
        <v>450000</v>
      </c>
      <c r="BN11" s="29">
        <f>40000+3000+2000</f>
        <v>45000</v>
      </c>
      <c r="BO11" s="31">
        <f>IF(BN11/(INDEX('Standards for Conversions'!$H$47:$H$73,MATCH(BM$2,'Standards for Conversions'!$A$47:$A$73,0)))=0,"",BN11/(INDEX('Standards for Conversions'!$H$47:$H$73,MATCH(BM$2,'Standards for Conversions'!$A$47:$A$73,0))))</f>
        <v>4411.3530079516813</v>
      </c>
      <c r="BP11" s="29">
        <f>(18000+1250+750)*20</f>
        <v>400000</v>
      </c>
      <c r="BQ11" s="29">
        <f>36000+2500+1500</f>
        <v>40000</v>
      </c>
      <c r="BR11" s="31">
        <f>IF(BQ11/(INDEX('Standards for Conversions'!$H$47:$H$73,MATCH(BP$2,'Standards for Conversions'!$A$47:$A$73,0)))=0,"",BQ11/(INDEX('Standards for Conversions'!$H$47:$H$73,MATCH(BP$2,'Standards for Conversions'!$A$47:$A$73,0))))</f>
        <v>4039.770357173893</v>
      </c>
      <c r="BS11" s="29">
        <f>(16000+1250+350)*20</f>
        <v>352000</v>
      </c>
      <c r="BT11" s="29">
        <f>50000+3500+1000</f>
        <v>54500</v>
      </c>
      <c r="BU11" s="31">
        <f>IF(BT11/(INDEX('Standards for Conversions'!$H$47:$H$73,MATCH(BS$2,'Standards for Conversions'!$A$47:$A$73,0)))=0,"",BT11/(INDEX('Standards for Conversions'!$H$47:$H$73,MATCH(BS$2,'Standards for Conversions'!$A$47:$A$73,0))))</f>
        <v>5688.8139330045469</v>
      </c>
      <c r="BV11" s="29">
        <f>(5000+500+200)*20</f>
        <v>114000</v>
      </c>
      <c r="BW11" s="29">
        <f>20000+2000+800</f>
        <v>22800</v>
      </c>
      <c r="BX11" s="31">
        <f>IF(BW11/(INDEX('Standards for Conversions'!$H$47:$H$73,MATCH(BV$2,'Standards for Conversions'!$A$47:$A$73,0)))=0,"",BW11/(INDEX('Standards for Conversions'!$H$47:$H$73,MATCH(BV$2,'Standards for Conversions'!$A$47:$A$73,0))))</f>
        <v>2128.8827561484309</v>
      </c>
      <c r="BY11" s="29">
        <f>(4000+400+150)*20</f>
        <v>91000</v>
      </c>
      <c r="BZ11" s="29">
        <f>16000+1600+600</f>
        <v>18200</v>
      </c>
      <c r="CA11" s="31">
        <f>IF(BZ11/(INDEX('Standards for Conversions'!$H$47:$H$73,MATCH(BY$2,'Standards for Conversions'!$A$47:$A$73,0)))=0,"",BZ11/(INDEX('Standards for Conversions'!$H$47:$H$73,MATCH(BY$2,'Standards for Conversions'!$A$47:$A$73,0))))</f>
        <v>1660.8368257727177</v>
      </c>
      <c r="CB11" s="29">
        <f>(3200+300+150)*20</f>
        <v>73000</v>
      </c>
      <c r="CC11" s="29">
        <f>12000+1100+500</f>
        <v>13600</v>
      </c>
      <c r="CD11" s="31">
        <f>IF(CC11/(INDEX('Standards for Conversions'!$H$47:$H$73,MATCH(CB$2,'Standards for Conversions'!$A$47:$A$73,0)))=0,"",CC11/(INDEX('Standards for Conversions'!$H$47:$H$73,MATCH(CB$2,'Standards for Conversions'!$A$47:$A$73,0))))</f>
        <v>1264.100887865357</v>
      </c>
      <c r="CF11" s="29">
        <f>1400+400+224</f>
        <v>2024</v>
      </c>
      <c r="CG11" s="31">
        <f>IF(CF11/(INDEX('Standards for Conversions'!$H$47:$H$73,MATCH(CE$2,'Standards for Conversions'!$A$47:$A$73,0)))=0,"",CF11/(INDEX('Standards for Conversions'!$H$47:$H$73,MATCH(CE$2,'Standards for Conversions'!$A$47:$A$73,0))))</f>
        <v>194.12748044668461</v>
      </c>
      <c r="CH11" s="29">
        <f>(325+250)*20</f>
        <v>11500</v>
      </c>
      <c r="CI11" s="29">
        <f>1450+1300</f>
        <v>2750</v>
      </c>
      <c r="CJ11" s="31">
        <f>IF(CI11/(INDEX('Standards for Conversions'!$H$47:$H$73,MATCH(CH$2,'Standards for Conversions'!$A$47:$A$73,0)))=0,"",CI11/(INDEX('Standards for Conversions'!$H$47:$H$73,MATCH(CH$2,'Standards for Conversions'!$A$47:$A$73,0))))</f>
        <v>253.2796273463978</v>
      </c>
      <c r="CK11" s="29">
        <f>(531+361+78)*20</f>
        <v>19400</v>
      </c>
      <c r="CL11" s="29">
        <f>2720+1440+310</f>
        <v>4470</v>
      </c>
      <c r="CM11" s="31">
        <f>IF(CL11/(INDEX('Standards for Conversions'!$H$47:$H$73,MATCH(CK$2,'Standards for Conversions'!$A$47:$A$73,0)))=0,"",CL11/(INDEX('Standards for Conversions'!$H$47:$H$73,MATCH(CK$2,'Standards for Conversions'!$A$47:$A$73,0))))</f>
        <v>364.37331216867983</v>
      </c>
      <c r="CN11" s="29">
        <f>(450+80+50)*20</f>
        <v>11600</v>
      </c>
      <c r="CO11" s="29">
        <f>2200+310+200</f>
        <v>2710</v>
      </c>
      <c r="CP11" s="31">
        <f>IF(CO11/(INDEX('Standards for Conversions'!$H$47:$H$73,MATCH(CN$2,'Standards for Conversions'!$A$47:$A$73,0)))=0,"",CO11/(INDEX('Standards for Conversions'!$H$47:$H$73,MATCH(CN$2,'Standards for Conversions'!$A$47:$A$73,0))))</f>
        <v>227.2180270704788</v>
      </c>
      <c r="CQ11" s="29">
        <f>625*20</f>
        <v>12500</v>
      </c>
      <c r="CR11" s="29">
        <f>5000+1000+200</f>
        <v>6200</v>
      </c>
      <c r="CS11" s="31">
        <f>IF(CR11/(INDEX('Standards for Conversions'!$H$47:$H$73,MATCH(CQ$2,'Standards for Conversions'!$A$47:$A$73,0)))=0,"",CR11/(INDEX('Standards for Conversions'!$H$47:$H$73,MATCH(CQ$2,'Standards for Conversions'!$A$47:$A$73,0))))</f>
        <v>554.62151208684566</v>
      </c>
      <c r="CT11" s="29">
        <f>680*20</f>
        <v>13600</v>
      </c>
      <c r="CU11" s="29">
        <v>350</v>
      </c>
      <c r="CV11" s="29">
        <f>850*20</f>
        <v>17000</v>
      </c>
      <c r="CW11" s="29">
        <v>635</v>
      </c>
      <c r="CX11" s="29">
        <f>750*20</f>
        <v>15000</v>
      </c>
      <c r="CY11" s="29">
        <v>500</v>
      </c>
      <c r="CZ11" s="29">
        <f>885*20</f>
        <v>17700</v>
      </c>
      <c r="DA11" s="29">
        <v>590</v>
      </c>
      <c r="DB11" s="33">
        <f>852*20</f>
        <v>17040</v>
      </c>
      <c r="DC11" s="33">
        <v>568</v>
      </c>
    </row>
    <row r="12" spans="1:111" x14ac:dyDescent="0.3">
      <c r="A12" s="19" t="s">
        <v>70</v>
      </c>
      <c r="B12" s="33" t="s">
        <v>98</v>
      </c>
      <c r="C12" s="7">
        <v>1050</v>
      </c>
      <c r="D12" s="7">
        <v>5000</v>
      </c>
      <c r="E12" s="31">
        <v>987.71114864864853</v>
      </c>
      <c r="F12" s="7">
        <v>1750</v>
      </c>
      <c r="G12" s="7">
        <v>10000</v>
      </c>
      <c r="H12" s="31">
        <v>1926.7248558848235</v>
      </c>
      <c r="I12" s="7">
        <v>2100</v>
      </c>
      <c r="J12" s="7">
        <v>12000</v>
      </c>
      <c r="K12" s="31">
        <v>2144.381246197966</v>
      </c>
      <c r="L12" s="7">
        <v>2100</v>
      </c>
      <c r="M12" s="7">
        <v>12000</v>
      </c>
      <c r="N12" s="31">
        <v>2228.2255366298773</v>
      </c>
      <c r="O12" s="7">
        <v>2275</v>
      </c>
      <c r="P12" s="7">
        <v>13000</v>
      </c>
      <c r="Q12" s="31">
        <v>2314.8222911416237</v>
      </c>
      <c r="R12" s="33" t="s">
        <v>98</v>
      </c>
      <c r="S12" s="7">
        <v>1750</v>
      </c>
      <c r="T12" s="7">
        <v>11000</v>
      </c>
      <c r="U12" s="31">
        <v>1909.7866153935286</v>
      </c>
      <c r="V12" s="33" t="s">
        <v>98</v>
      </c>
      <c r="W12" s="7">
        <v>1750</v>
      </c>
      <c r="X12" s="7">
        <v>18000</v>
      </c>
      <c r="Y12" s="31">
        <v>3186.0830364126186</v>
      </c>
      <c r="Z12" s="7">
        <v>1750</v>
      </c>
      <c r="AA12" s="7">
        <v>18000</v>
      </c>
      <c r="AB12" s="31">
        <v>3151.7830994177457</v>
      </c>
      <c r="AC12" s="7">
        <v>5250</v>
      </c>
      <c r="AD12" s="7">
        <v>30000</v>
      </c>
      <c r="AE12" s="31">
        <v>5246.6199921786729</v>
      </c>
      <c r="AF12" s="7">
        <v>1141</v>
      </c>
      <c r="AG12" s="7">
        <v>10900</v>
      </c>
      <c r="AH12" s="31">
        <v>1867.0387309536222</v>
      </c>
      <c r="AI12" s="7">
        <v>1793.75</v>
      </c>
      <c r="AJ12" s="7">
        <v>8000</v>
      </c>
      <c r="AK12" s="31">
        <v>1371.9974797949071</v>
      </c>
      <c r="AL12" s="7">
        <v>1312.5</v>
      </c>
      <c r="AM12" s="7">
        <v>6000</v>
      </c>
      <c r="AN12" s="31">
        <v>987.07596463022503</v>
      </c>
      <c r="AO12" s="7">
        <v>1400</v>
      </c>
      <c r="AP12" s="7">
        <v>6500</v>
      </c>
      <c r="AQ12" s="31">
        <v>999.14446098027292</v>
      </c>
      <c r="AR12" s="7">
        <v>1312.5</v>
      </c>
      <c r="AS12" s="7">
        <v>6000</v>
      </c>
      <c r="AT12" s="31">
        <v>908.31314634570242</v>
      </c>
      <c r="AU12" s="29">
        <v>875</v>
      </c>
      <c r="AV12" s="29">
        <v>4000</v>
      </c>
      <c r="AW12" s="31">
        <f>IF(AV12/(INDEX('Standards for Conversions'!$H$47:$H$73,MATCH(AU$2,'Standards for Conversions'!$A$47:$A$73,0)))=0,"",AV12/(INDEX('Standards for Conversions'!$H$47:$H$73,MATCH(AU$2,'Standards for Conversions'!$A$47:$A$73,0))))</f>
        <v>580.98164885142387</v>
      </c>
      <c r="AX12" s="29">
        <v>525</v>
      </c>
      <c r="AY12" s="29">
        <v>3000</v>
      </c>
      <c r="AZ12" s="31">
        <f>IF(AY12/(INDEX('Standards for Conversions'!$H$47:$H$73,MATCH(AX$2,'Standards for Conversions'!$A$47:$A$73,0)))=0,"",AY12/(INDEX('Standards for Conversions'!$H$47:$H$73,MATCH(AX$2,'Standards for Conversions'!$A$47:$A$73,0))))</f>
        <v>433.83068458329711</v>
      </c>
      <c r="BA12" s="29">
        <v>700</v>
      </c>
      <c r="BB12" s="29">
        <v>3500</v>
      </c>
      <c r="BC12" s="31">
        <f>IF(BB12/(INDEX('Standards for Conversions'!$H$47:$H$73,MATCH(BA$2,'Standards for Conversions'!$A$47:$A$73,0)))=0,"",BB12/(INDEX('Standards for Conversions'!$H$47:$H$73,MATCH(BA$2,'Standards for Conversions'!$A$47:$A$73,0))))</f>
        <v>566.16068842154039</v>
      </c>
      <c r="BD12" s="29">
        <v>525</v>
      </c>
      <c r="BE12" s="29">
        <v>3000</v>
      </c>
      <c r="BF12" s="31">
        <f>IF(BE12/(INDEX('Standards for Conversions'!$H$47:$H$73,MATCH(BD$2,'Standards for Conversions'!$A$47:$A$73,0)))=0,"",BE12/(INDEX('Standards for Conversions'!$H$47:$H$73,MATCH(BD$2,'Standards for Conversions'!$A$47:$A$73,0))))</f>
        <v>457.96767728339267</v>
      </c>
      <c r="BG12" s="29">
        <v>437.5</v>
      </c>
      <c r="BH12" s="29">
        <v>2500</v>
      </c>
      <c r="BI12" s="31">
        <f>IF(BH12/(INDEX('Standards for Conversions'!$H$47:$H$73,MATCH(BG$2,'Standards for Conversions'!$A$47:$A$73,0)))=0,"",BH12/(INDEX('Standards for Conversions'!$H$47:$H$73,MATCH(BG$2,'Standards for Conversions'!$A$47:$A$73,0))))</f>
        <v>336.64752976449114</v>
      </c>
      <c r="BJ12" s="29">
        <v>525</v>
      </c>
      <c r="BK12" s="29">
        <v>3300</v>
      </c>
      <c r="BL12" s="31">
        <f>IF(BK12/(INDEX('Standards for Conversions'!$H$47:$H$73,MATCH(BJ$2,'Standards for Conversions'!$A$47:$A$73,0)))=0,"",BK12/(INDEX('Standards for Conversions'!$H$47:$H$73,MATCH(BJ$2,'Standards for Conversions'!$A$47:$A$73,0))))</f>
        <v>401.33467020074727</v>
      </c>
      <c r="BM12" s="7">
        <f>250*1.75</f>
        <v>437.5</v>
      </c>
      <c r="BN12" s="7">
        <v>3000</v>
      </c>
      <c r="BO12" s="31">
        <f>IF(BN12/(INDEX('Standards for Conversions'!$H$47:$H$73,MATCH(BM$2,'Standards for Conversions'!$A$47:$A$73,0)))=0,"",BN12/(INDEX('Standards for Conversions'!$H$47:$H$73,MATCH(BM$2,'Standards for Conversions'!$A$47:$A$73,0))))</f>
        <v>294.0902005301121</v>
      </c>
      <c r="BR12" s="31" t="str">
        <f>IF(BQ12/(INDEX('Standards for Conversions'!$H$47:$H$73,MATCH(BP$2,'Standards for Conversions'!$A$47:$A$73,0)))=0,"",BQ12/(INDEX('Standards for Conversions'!$H$47:$H$73,MATCH(BP$2,'Standards for Conversions'!$A$47:$A$73,0))))</f>
        <v/>
      </c>
      <c r="BU12" s="31" t="str">
        <f>IF(BT12/(INDEX('Standards for Conversions'!$H$47:$H$73,MATCH(BS$2,'Standards for Conversions'!$A$47:$A$73,0)))=0,"",BT12/(INDEX('Standards for Conversions'!$H$47:$H$73,MATCH(BS$2,'Standards for Conversions'!$A$47:$A$73,0))))</f>
        <v/>
      </c>
      <c r="BX12" s="31" t="str">
        <f>IF(BW12/(INDEX('Standards for Conversions'!$H$47:$H$73,MATCH(BV$2,'Standards for Conversions'!$A$47:$A$73,0)))=0,"",BW12/(INDEX('Standards for Conversions'!$H$47:$H$73,MATCH(BV$2,'Standards for Conversions'!$A$47:$A$73,0))))</f>
        <v/>
      </c>
      <c r="CA12" s="31" t="str">
        <f>IF(BZ12/(INDEX('Standards for Conversions'!$H$47:$H$73,MATCH(BY$2,'Standards for Conversions'!$A$47:$A$73,0)))=0,"",BZ12/(INDEX('Standards for Conversions'!$H$47:$H$73,MATCH(BY$2,'Standards for Conversions'!$A$47:$A$73,0))))</f>
        <v/>
      </c>
      <c r="CD12" s="31" t="str">
        <f>IF(CC12/(INDEX('Standards for Conversions'!$H$47:$H$73,MATCH(CB$2,'Standards for Conversions'!$A$47:$A$73,0)))=0,"",CC12/(INDEX('Standards for Conversions'!$H$47:$H$73,MATCH(CB$2,'Standards for Conversions'!$A$47:$A$73,0))))</f>
        <v/>
      </c>
      <c r="CG12" s="31" t="str">
        <f>IF(CF12/(INDEX('Standards for Conversions'!$H$47:$H$73,MATCH(CE$2,'Standards for Conversions'!$A$47:$A$73,0)))=0,"",CF12/(INDEX('Standards for Conversions'!$H$47:$H$73,MATCH(CE$2,'Standards for Conversions'!$A$47:$A$73,0))))</f>
        <v/>
      </c>
      <c r="CJ12" s="31" t="str">
        <f>IF(CI12/(INDEX('Standards for Conversions'!$H$47:$H$73,MATCH(CH$2,'Standards for Conversions'!$A$47:$A$73,0)))=0,"",CI12/(INDEX('Standards for Conversions'!$H$47:$H$73,MATCH(CH$2,'Standards for Conversions'!$A$47:$A$73,0))))</f>
        <v/>
      </c>
      <c r="CM12" s="31" t="str">
        <f>IF(CL12/(INDEX('Standards for Conversions'!$H$47:$H$73,MATCH(CK$2,'Standards for Conversions'!$A$47:$A$73,0)))=0,"",CL12/(INDEX('Standards for Conversions'!$H$47:$H$73,MATCH(CK$2,'Standards for Conversions'!$A$47:$A$73,0))))</f>
        <v/>
      </c>
      <c r="CP12" s="31" t="str">
        <f>IF(CO12/(INDEX('Standards for Conversions'!$H$47:$H$73,MATCH(CN$2,'Standards for Conversions'!$A$47:$A$73,0)))=0,"",CO12/(INDEX('Standards for Conversions'!$H$47:$H$73,MATCH(CN$2,'Standards for Conversions'!$A$47:$A$73,0))))</f>
        <v/>
      </c>
      <c r="CS12" s="31" t="str">
        <f>IF(CR12/(INDEX('Standards for Conversions'!$H$47:$H$73,MATCH(CQ$2,'Standards for Conversions'!$A$47:$A$73,0)))=0,"",CR12/(INDEX('Standards for Conversions'!$H$47:$H$73,MATCH(CQ$2,'Standards for Conversions'!$A$47:$A$73,0))))</f>
        <v/>
      </c>
    </row>
    <row r="13" spans="1:111" x14ac:dyDescent="0.3">
      <c r="A13" s="19" t="s">
        <v>368</v>
      </c>
      <c r="B13" s="33" t="s">
        <v>98</v>
      </c>
      <c r="C13" s="7"/>
      <c r="D13" s="7"/>
      <c r="E13" s="31" t="s">
        <v>128</v>
      </c>
      <c r="F13" s="7"/>
      <c r="G13" s="7"/>
      <c r="H13" s="31" t="s">
        <v>128</v>
      </c>
      <c r="I13" s="7"/>
      <c r="J13" s="7"/>
      <c r="K13" s="31" t="s">
        <v>128</v>
      </c>
      <c r="L13" s="7"/>
      <c r="M13" s="7"/>
      <c r="N13" s="31" t="s">
        <v>128</v>
      </c>
      <c r="O13" s="7"/>
      <c r="P13" s="7"/>
      <c r="Q13" s="31" t="s">
        <v>128</v>
      </c>
      <c r="R13" s="33" t="s">
        <v>98</v>
      </c>
      <c r="S13" s="7"/>
      <c r="T13" s="7"/>
      <c r="U13" s="31" t="s">
        <v>128</v>
      </c>
      <c r="V13" s="33" t="s">
        <v>98</v>
      </c>
      <c r="W13" s="7">
        <v>447</v>
      </c>
      <c r="X13" s="7">
        <v>10000</v>
      </c>
      <c r="Y13" s="31">
        <v>1770.0461313403437</v>
      </c>
      <c r="Z13" s="7">
        <v>298</v>
      </c>
      <c r="AA13" s="7">
        <v>7000</v>
      </c>
      <c r="AB13" s="31">
        <v>1225.6934275513456</v>
      </c>
      <c r="AC13" s="7">
        <v>2086</v>
      </c>
      <c r="AD13" s="7">
        <v>45000</v>
      </c>
      <c r="AE13" s="31">
        <v>7869.9299882680098</v>
      </c>
      <c r="AF13" s="7">
        <v>670.5</v>
      </c>
      <c r="AG13" s="7">
        <v>14500</v>
      </c>
      <c r="AH13" s="31">
        <v>2483.6753760392221</v>
      </c>
      <c r="AI13" s="7">
        <v>300.98</v>
      </c>
      <c r="AJ13" s="7">
        <v>5800</v>
      </c>
      <c r="AK13" s="31">
        <v>994.69817285130773</v>
      </c>
      <c r="AL13" s="7">
        <v>819.5</v>
      </c>
      <c r="AM13" s="7">
        <v>11600</v>
      </c>
      <c r="AN13" s="31">
        <v>1908.3468649517683</v>
      </c>
      <c r="AO13" s="7">
        <v>1192</v>
      </c>
      <c r="AP13" s="7">
        <v>74000</v>
      </c>
      <c r="AQ13" s="31">
        <v>11374.875401929261</v>
      </c>
      <c r="AR13" s="7">
        <v>894</v>
      </c>
      <c r="AS13" s="7">
        <v>20000</v>
      </c>
      <c r="AT13" s="31">
        <v>3027.710487819008</v>
      </c>
      <c r="AU13" s="29">
        <v>596</v>
      </c>
      <c r="AV13" s="29">
        <v>14000</v>
      </c>
      <c r="AW13" s="31">
        <f>IF(AV13/(INDEX('Standards for Conversions'!$H$47:$H$73,MATCH(AU$2,'Standards for Conversions'!$A$47:$A$73,0)))=0,"",AV13/(INDEX('Standards for Conversions'!$H$47:$H$73,MATCH(AU$2,'Standards for Conversions'!$A$47:$A$73,0))))</f>
        <v>2033.4357709799833</v>
      </c>
      <c r="AX13" s="29">
        <v>298</v>
      </c>
      <c r="AY13" s="29">
        <v>6700</v>
      </c>
      <c r="AZ13" s="31">
        <f>IF(AY13/(INDEX('Standards for Conversions'!$H$47:$H$73,MATCH(AX$2,'Standards for Conversions'!$A$47:$A$73,0)))=0,"",AY13/(INDEX('Standards for Conversions'!$H$47:$H$73,MATCH(AX$2,'Standards for Conversions'!$A$47:$A$73,0))))</f>
        <v>968.88852890269686</v>
      </c>
      <c r="BA13" s="29">
        <v>447</v>
      </c>
      <c r="BB13" s="29">
        <v>10000</v>
      </c>
      <c r="BC13" s="31">
        <f>IF(BB13/(INDEX('Standards for Conversions'!$H$47:$H$73,MATCH(BA$2,'Standards for Conversions'!$A$47:$A$73,0)))=0,"",BB13/(INDEX('Standards for Conversions'!$H$47:$H$73,MATCH(BA$2,'Standards for Conversions'!$A$47:$A$73,0))))</f>
        <v>1617.6019669186869</v>
      </c>
      <c r="BD13" s="29">
        <v>327.8</v>
      </c>
      <c r="BE13" s="29">
        <v>7000</v>
      </c>
      <c r="BF13" s="31">
        <f>IF(BE13/(INDEX('Standards for Conversions'!$H$47:$H$73,MATCH(BD$2,'Standards for Conversions'!$A$47:$A$73,0)))=0,"",BE13/(INDEX('Standards for Conversions'!$H$47:$H$73,MATCH(BD$2,'Standards for Conversions'!$A$47:$A$73,0))))</f>
        <v>1068.5912469945829</v>
      </c>
      <c r="BG13" s="29">
        <v>298</v>
      </c>
      <c r="BH13" s="29">
        <v>6500</v>
      </c>
      <c r="BI13" s="31">
        <f>IF(BH13/(INDEX('Standards for Conversions'!$H$47:$H$73,MATCH(BG$2,'Standards for Conversions'!$A$47:$A$73,0)))=0,"",BH13/(INDEX('Standards for Conversions'!$H$47:$H$73,MATCH(BG$2,'Standards for Conversions'!$A$47:$A$73,0))))</f>
        <v>875.28357738767704</v>
      </c>
      <c r="BJ13" s="29">
        <v>149</v>
      </c>
      <c r="BK13" s="29">
        <v>3500</v>
      </c>
      <c r="BL13" s="31">
        <f>IF(BK13/(INDEX('Standards for Conversions'!$H$47:$H$73,MATCH(BJ$2,'Standards for Conversions'!$A$47:$A$73,0)))=0,"",BK13/(INDEX('Standards for Conversions'!$H$47:$H$73,MATCH(BJ$2,'Standards for Conversions'!$A$47:$A$73,0))))</f>
        <v>425.65798354624712</v>
      </c>
      <c r="BM13" s="7">
        <f>150*2.98</f>
        <v>447</v>
      </c>
      <c r="BN13" s="7">
        <v>11400</v>
      </c>
      <c r="BO13" s="31">
        <f>IF(BN13/(INDEX('Standards for Conversions'!$H$47:$H$73,MATCH(BM$2,'Standards for Conversions'!$A$47:$A$73,0)))=0,"",BN13/(INDEX('Standards for Conversions'!$H$47:$H$73,MATCH(BM$2,'Standards for Conversions'!$A$47:$A$73,0))))</f>
        <v>1117.542762014426</v>
      </c>
      <c r="BR13" s="31" t="str">
        <f>IF(BQ13/(INDEX('Standards for Conversions'!$H$47:$H$73,MATCH(BP$2,'Standards for Conversions'!$A$47:$A$73,0)))=0,"",BQ13/(INDEX('Standards for Conversions'!$H$47:$H$73,MATCH(BP$2,'Standards for Conversions'!$A$47:$A$73,0))))</f>
        <v/>
      </c>
      <c r="BU13" s="31" t="str">
        <f>IF(BT13/(INDEX('Standards for Conversions'!$H$47:$H$73,MATCH(BS$2,'Standards for Conversions'!$A$47:$A$73,0)))=0,"",BT13/(INDEX('Standards for Conversions'!$H$47:$H$73,MATCH(BS$2,'Standards for Conversions'!$A$47:$A$73,0))))</f>
        <v/>
      </c>
      <c r="BX13" s="31" t="str">
        <f>IF(BW13/(INDEX('Standards for Conversions'!$H$47:$H$73,MATCH(BV$2,'Standards for Conversions'!$A$47:$A$73,0)))=0,"",BW13/(INDEX('Standards for Conversions'!$H$47:$H$73,MATCH(BV$2,'Standards for Conversions'!$A$47:$A$73,0))))</f>
        <v/>
      </c>
      <c r="CA13" s="31" t="str">
        <f>IF(BZ13/(INDEX('Standards for Conversions'!$H$47:$H$73,MATCH(BY$2,'Standards for Conversions'!$A$47:$A$73,0)))=0,"",BZ13/(INDEX('Standards for Conversions'!$H$47:$H$73,MATCH(BY$2,'Standards for Conversions'!$A$47:$A$73,0))))</f>
        <v/>
      </c>
      <c r="CD13" s="31" t="str">
        <f>IF(CC13/(INDEX('Standards for Conversions'!$H$47:$H$73,MATCH(CB$2,'Standards for Conversions'!$A$47:$A$73,0)))=0,"",CC13/(INDEX('Standards for Conversions'!$H$47:$H$73,MATCH(CB$2,'Standards for Conversions'!$A$47:$A$73,0))))</f>
        <v/>
      </c>
      <c r="CG13" s="31" t="str">
        <f>IF(CF13/(INDEX('Standards for Conversions'!$H$47:$H$73,MATCH(CE$2,'Standards for Conversions'!$A$47:$A$73,0)))=0,"",CF13/(INDEX('Standards for Conversions'!$H$47:$H$73,MATCH(CE$2,'Standards for Conversions'!$A$47:$A$73,0))))</f>
        <v/>
      </c>
      <c r="CJ13" s="31" t="str">
        <f>IF(CI13/(INDEX('Standards for Conversions'!$H$47:$H$73,MATCH(CH$2,'Standards for Conversions'!$A$47:$A$73,0)))=0,"",CI13/(INDEX('Standards for Conversions'!$H$47:$H$73,MATCH(CH$2,'Standards for Conversions'!$A$47:$A$73,0))))</f>
        <v/>
      </c>
      <c r="CM13" s="31" t="str">
        <f>IF(CL13/(INDEX('Standards for Conversions'!$H$47:$H$73,MATCH(CK$2,'Standards for Conversions'!$A$47:$A$73,0)))=0,"",CL13/(INDEX('Standards for Conversions'!$H$47:$H$73,MATCH(CK$2,'Standards for Conversions'!$A$47:$A$73,0))))</f>
        <v/>
      </c>
      <c r="CP13" s="31" t="str">
        <f>IF(CO13/(INDEX('Standards for Conversions'!$H$47:$H$73,MATCH(CN$2,'Standards for Conversions'!$A$47:$A$73,0)))=0,"",CO13/(INDEX('Standards for Conversions'!$H$47:$H$73,MATCH(CN$2,'Standards for Conversions'!$A$47:$A$73,0))))</f>
        <v/>
      </c>
      <c r="CS13" s="31" t="str">
        <f>IF(CR13/(INDEX('Standards for Conversions'!$H$47:$H$73,MATCH(CQ$2,'Standards for Conversions'!$A$47:$A$73,0)))=0,"",CR13/(INDEX('Standards for Conversions'!$H$47:$H$73,MATCH(CQ$2,'Standards for Conversions'!$A$47:$A$73,0))))</f>
        <v/>
      </c>
    </row>
    <row r="14" spans="1:111" x14ac:dyDescent="0.3">
      <c r="A14" s="19" t="s">
        <v>142</v>
      </c>
      <c r="B14" s="33" t="s">
        <v>98</v>
      </c>
      <c r="C14" s="7">
        <v>2400</v>
      </c>
      <c r="D14" s="7">
        <v>20000</v>
      </c>
      <c r="E14" s="31">
        <v>3950.8445945945941</v>
      </c>
      <c r="F14" s="7">
        <v>6000</v>
      </c>
      <c r="G14" s="7">
        <v>42000</v>
      </c>
      <c r="H14" s="31">
        <v>8092.2443947162592</v>
      </c>
      <c r="I14" s="7">
        <v>6000</v>
      </c>
      <c r="J14" s="7">
        <v>42000</v>
      </c>
      <c r="K14" s="31">
        <v>7505.3343616928814</v>
      </c>
      <c r="L14" s="7">
        <v>6000</v>
      </c>
      <c r="M14" s="7">
        <v>40000</v>
      </c>
      <c r="N14" s="31">
        <v>7427.4184554329249</v>
      </c>
      <c r="O14" s="7">
        <v>1500</v>
      </c>
      <c r="P14" s="7">
        <v>10000</v>
      </c>
      <c r="Q14" s="31">
        <v>1780.6325316474026</v>
      </c>
      <c r="R14" s="33" t="s">
        <v>98</v>
      </c>
      <c r="S14" s="7">
        <v>1077</v>
      </c>
      <c r="T14" s="7">
        <v>10500</v>
      </c>
      <c r="U14" s="31">
        <v>1822.9781328756408</v>
      </c>
      <c r="V14" s="33" t="s">
        <v>98</v>
      </c>
      <c r="W14" s="7">
        <v>1080</v>
      </c>
      <c r="X14" s="7">
        <v>9000</v>
      </c>
      <c r="Y14" s="31">
        <v>1593.0415182063093</v>
      </c>
      <c r="Z14" s="7">
        <v>1500</v>
      </c>
      <c r="AA14" s="7">
        <v>15000</v>
      </c>
      <c r="AB14" s="31">
        <v>2626.4859161814547</v>
      </c>
      <c r="AC14" s="7">
        <v>7800</v>
      </c>
      <c r="AD14" s="7">
        <v>18000</v>
      </c>
      <c r="AE14" s="31">
        <v>3147.971995307204</v>
      </c>
      <c r="AF14" s="7">
        <v>4800</v>
      </c>
      <c r="AG14" s="7">
        <v>13100</v>
      </c>
      <c r="AH14" s="31">
        <v>2243.8722362837111</v>
      </c>
      <c r="AI14" s="7">
        <v>1500</v>
      </c>
      <c r="AJ14" s="7">
        <v>14000</v>
      </c>
      <c r="AK14" s="31">
        <v>2400.9955896410875</v>
      </c>
      <c r="AL14" s="7">
        <v>3600</v>
      </c>
      <c r="AM14" s="7">
        <v>6500</v>
      </c>
      <c r="AN14" s="31">
        <v>1069.3322950160771</v>
      </c>
      <c r="AO14" s="7">
        <v>5250</v>
      </c>
      <c r="AP14" s="7">
        <v>25000</v>
      </c>
      <c r="AQ14" s="31">
        <v>3842.8633114625882</v>
      </c>
      <c r="AR14" s="7">
        <v>4500</v>
      </c>
      <c r="AS14" s="7">
        <v>24000</v>
      </c>
      <c r="AT14" s="31">
        <v>3633.2525853828097</v>
      </c>
      <c r="AU14" s="29">
        <v>3000</v>
      </c>
      <c r="AV14" s="29">
        <v>21000</v>
      </c>
      <c r="AW14" s="31">
        <f>IF(AV14/(INDEX('Standards for Conversions'!$H$47:$H$73,MATCH(AU$2,'Standards for Conversions'!$A$47:$A$73,0)))=0,"",AV14/(INDEX('Standards for Conversions'!$H$47:$H$73,MATCH(AU$2,'Standards for Conversions'!$A$47:$A$73,0))))</f>
        <v>3050.153656469975</v>
      </c>
      <c r="AX14" s="29">
        <v>3300</v>
      </c>
      <c r="AY14" s="29">
        <v>23000</v>
      </c>
      <c r="AZ14" s="31">
        <f>IF(AY14/(INDEX('Standards for Conversions'!$H$47:$H$73,MATCH(AX$2,'Standards for Conversions'!$A$47:$A$73,0)))=0,"",AY14/(INDEX('Standards for Conversions'!$H$47:$H$73,MATCH(AX$2,'Standards for Conversions'!$A$47:$A$73,0))))</f>
        <v>3326.0352484719442</v>
      </c>
      <c r="BA14" s="29">
        <v>3000</v>
      </c>
      <c r="BB14" s="29">
        <v>21000</v>
      </c>
      <c r="BC14" s="31">
        <f>IF(BB14/(INDEX('Standards for Conversions'!$H$47:$H$73,MATCH(BA$2,'Standards for Conversions'!$A$47:$A$73,0)))=0,"",BB14/(INDEX('Standards for Conversions'!$H$47:$H$73,MATCH(BA$2,'Standards for Conversions'!$A$47:$A$73,0))))</f>
        <v>3396.9641305292425</v>
      </c>
      <c r="BD14" s="29">
        <v>3300</v>
      </c>
      <c r="BE14" s="29">
        <v>22000</v>
      </c>
      <c r="BF14" s="31">
        <f>IF(BE14/(INDEX('Standards for Conversions'!$H$47:$H$73,MATCH(BD$2,'Standards for Conversions'!$A$47:$A$73,0)))=0,"",BE14/(INDEX('Standards for Conversions'!$H$47:$H$73,MATCH(BD$2,'Standards for Conversions'!$A$47:$A$73,0))))</f>
        <v>3358.4296334115465</v>
      </c>
      <c r="BG14" s="29">
        <v>3000</v>
      </c>
      <c r="BH14" s="29">
        <v>22000</v>
      </c>
      <c r="BI14" s="31">
        <f>IF(BH14/(INDEX('Standards for Conversions'!$H$47:$H$73,MATCH(BG$2,'Standards for Conversions'!$A$47:$A$73,0)))=0,"",BH14/(INDEX('Standards for Conversions'!$H$47:$H$73,MATCH(BG$2,'Standards for Conversions'!$A$47:$A$73,0))))</f>
        <v>2962.498261927522</v>
      </c>
      <c r="BJ14" s="29">
        <v>3300</v>
      </c>
      <c r="BK14" s="29">
        <v>28000</v>
      </c>
      <c r="BL14" s="31">
        <f>IF(BK14/(INDEX('Standards for Conversions'!$H$47:$H$73,MATCH(BJ$2,'Standards for Conversions'!$A$47:$A$73,0)))=0,"",BK14/(INDEX('Standards for Conversions'!$H$47:$H$73,MATCH(BJ$2,'Standards for Conversions'!$A$47:$A$73,0))))</f>
        <v>3405.263868369977</v>
      </c>
      <c r="BM14" s="7">
        <f>3*1000</f>
        <v>3000</v>
      </c>
      <c r="BN14" s="7">
        <v>22000</v>
      </c>
      <c r="BO14" s="31">
        <f>IF(BN14/(INDEX('Standards for Conversions'!$H$47:$H$73,MATCH(BM$2,'Standards for Conversions'!$A$47:$A$73,0)))=0,"",BN14/(INDEX('Standards for Conversions'!$H$47:$H$73,MATCH(BM$2,'Standards for Conversions'!$A$47:$A$73,0))))</f>
        <v>2156.6614705541551</v>
      </c>
      <c r="BR14" s="31" t="str">
        <f>IF(BQ14/(INDEX('Standards for Conversions'!$H$47:$H$73,MATCH(BP$2,'Standards for Conversions'!$A$47:$A$73,0)))=0,"",BQ14/(INDEX('Standards for Conversions'!$H$47:$H$73,MATCH(BP$2,'Standards for Conversions'!$A$47:$A$73,0))))</f>
        <v/>
      </c>
      <c r="BU14" s="31" t="str">
        <f>IF(BT14/(INDEX('Standards for Conversions'!$H$47:$H$73,MATCH(BS$2,'Standards for Conversions'!$A$47:$A$73,0)))=0,"",BT14/(INDEX('Standards for Conversions'!$H$47:$H$73,MATCH(BS$2,'Standards for Conversions'!$A$47:$A$73,0))))</f>
        <v/>
      </c>
      <c r="BX14" s="31" t="str">
        <f>IF(BW14/(INDEX('Standards for Conversions'!$H$47:$H$73,MATCH(BV$2,'Standards for Conversions'!$A$47:$A$73,0)))=0,"",BW14/(INDEX('Standards for Conversions'!$H$47:$H$73,MATCH(BV$2,'Standards for Conversions'!$A$47:$A$73,0))))</f>
        <v/>
      </c>
      <c r="CA14" s="31" t="str">
        <f>IF(BZ14/(INDEX('Standards for Conversions'!$H$47:$H$73,MATCH(BY$2,'Standards for Conversions'!$A$47:$A$73,0)))=0,"",BZ14/(INDEX('Standards for Conversions'!$H$47:$H$73,MATCH(BY$2,'Standards for Conversions'!$A$47:$A$73,0))))</f>
        <v/>
      </c>
      <c r="CD14" s="31" t="str">
        <f>IF(CC14/(INDEX('Standards for Conversions'!$H$47:$H$73,MATCH(CB$2,'Standards for Conversions'!$A$47:$A$73,0)))=0,"",CC14/(INDEX('Standards for Conversions'!$H$47:$H$73,MATCH(CB$2,'Standards for Conversions'!$A$47:$A$73,0))))</f>
        <v/>
      </c>
      <c r="CG14" s="31" t="str">
        <f>IF(CF14/(INDEX('Standards for Conversions'!$H$47:$H$73,MATCH(CE$2,'Standards for Conversions'!$A$47:$A$73,0)))=0,"",CF14/(INDEX('Standards for Conversions'!$H$47:$H$73,MATCH(CE$2,'Standards for Conversions'!$A$47:$A$73,0))))</f>
        <v/>
      </c>
      <c r="CJ14" s="31" t="str">
        <f>IF(CI14/(INDEX('Standards for Conversions'!$H$47:$H$73,MATCH(CH$2,'Standards for Conversions'!$A$47:$A$73,0)))=0,"",CI14/(INDEX('Standards for Conversions'!$H$47:$H$73,MATCH(CH$2,'Standards for Conversions'!$A$47:$A$73,0))))</f>
        <v/>
      </c>
      <c r="CM14" s="31" t="str">
        <f>IF(CL14/(INDEX('Standards for Conversions'!$H$47:$H$73,MATCH(CK$2,'Standards for Conversions'!$A$47:$A$73,0)))=0,"",CL14/(INDEX('Standards for Conversions'!$H$47:$H$73,MATCH(CK$2,'Standards for Conversions'!$A$47:$A$73,0))))</f>
        <v/>
      </c>
      <c r="CP14" s="31" t="str">
        <f>IF(CO14/(INDEX('Standards for Conversions'!$H$47:$H$73,MATCH(CN$2,'Standards for Conversions'!$A$47:$A$73,0)))=0,"",CO14/(INDEX('Standards for Conversions'!$H$47:$H$73,MATCH(CN$2,'Standards for Conversions'!$A$47:$A$73,0))))</f>
        <v/>
      </c>
      <c r="CS14" s="31" t="str">
        <f>IF(CR14/(INDEX('Standards for Conversions'!$H$47:$H$73,MATCH(CQ$2,'Standards for Conversions'!$A$47:$A$73,0)))=0,"",CR14/(INDEX('Standards for Conversions'!$H$47:$H$73,MATCH(CQ$2,'Standards for Conversions'!$A$47:$A$73,0))))</f>
        <v/>
      </c>
      <c r="DD14" s="29">
        <v>102</v>
      </c>
      <c r="DE14" s="29">
        <v>283</v>
      </c>
      <c r="DF14" s="29">
        <v>72</v>
      </c>
      <c r="DG14" s="29">
        <v>230</v>
      </c>
    </row>
    <row r="15" spans="1:111" x14ac:dyDescent="0.3">
      <c r="A15" s="19" t="s">
        <v>325</v>
      </c>
      <c r="B15" s="33" t="s">
        <v>432</v>
      </c>
      <c r="C15" s="7"/>
      <c r="D15" s="7"/>
      <c r="E15" s="31"/>
      <c r="F15" s="7"/>
      <c r="G15" s="7"/>
      <c r="H15" s="31"/>
      <c r="I15" s="7"/>
      <c r="J15" s="7"/>
      <c r="K15" s="31"/>
      <c r="L15" s="7"/>
      <c r="M15" s="7"/>
      <c r="N15" s="31"/>
      <c r="O15" s="7"/>
      <c r="P15" s="7"/>
      <c r="Q15" s="31"/>
      <c r="R15" s="33"/>
      <c r="S15" s="7"/>
      <c r="T15" s="7"/>
      <c r="U15" s="31"/>
      <c r="V15" s="33" t="s">
        <v>98</v>
      </c>
      <c r="W15" s="33">
        <v>300</v>
      </c>
      <c r="X15" s="7">
        <v>4000</v>
      </c>
      <c r="Y15" s="7">
        <v>708.01845253613749</v>
      </c>
      <c r="Z15" s="31"/>
      <c r="AA15" s="7"/>
      <c r="AB15" s="7"/>
      <c r="AC15" s="31"/>
      <c r="AD15" s="7"/>
      <c r="AE15" s="7"/>
      <c r="AF15" s="7">
        <v>654</v>
      </c>
      <c r="AG15" s="31">
        <v>1950</v>
      </c>
      <c r="AH15" s="7">
        <v>334.01151608803332</v>
      </c>
      <c r="AI15" s="7">
        <v>600</v>
      </c>
      <c r="AJ15" s="31">
        <v>2000</v>
      </c>
      <c r="AK15" s="7">
        <v>342.99936994872678</v>
      </c>
      <c r="AL15" s="7">
        <v>375</v>
      </c>
      <c r="AM15" s="31">
        <v>1200</v>
      </c>
      <c r="AN15" s="7">
        <v>197.41519292604502</v>
      </c>
      <c r="AO15" s="7">
        <v>135</v>
      </c>
      <c r="AP15" s="31">
        <v>500</v>
      </c>
      <c r="AQ15" s="7">
        <v>76.857266229251763</v>
      </c>
      <c r="AR15" s="7">
        <v>120</v>
      </c>
      <c r="AS15" s="31">
        <v>500</v>
      </c>
      <c r="AT15" s="29">
        <v>75.692762195475197</v>
      </c>
      <c r="AU15" s="31">
        <v>150</v>
      </c>
      <c r="AV15" s="29">
        <v>600</v>
      </c>
      <c r="AW15" s="29">
        <v>87.147247327713572</v>
      </c>
      <c r="AX15" s="31">
        <v>225</v>
      </c>
      <c r="AY15" s="29">
        <v>800</v>
      </c>
      <c r="AZ15" s="29">
        <v>115.68818255554589</v>
      </c>
      <c r="BA15" s="29">
        <v>240</v>
      </c>
      <c r="BB15" s="29">
        <v>1000</v>
      </c>
      <c r="BC15" s="31">
        <v>161.76019669186869</v>
      </c>
      <c r="BD15" s="29">
        <v>300</v>
      </c>
      <c r="BE15" s="31">
        <v>1000</v>
      </c>
      <c r="BF15" s="29">
        <v>152.65589242779757</v>
      </c>
      <c r="BG15" s="29">
        <v>225</v>
      </c>
      <c r="BH15" s="31">
        <v>800</v>
      </c>
      <c r="BI15" s="7">
        <v>107.72720952463717</v>
      </c>
      <c r="BJ15" s="31">
        <v>375</v>
      </c>
      <c r="BK15" s="29">
        <v>1200</v>
      </c>
      <c r="BL15" s="29">
        <v>145.93988007299902</v>
      </c>
      <c r="BM15" s="29">
        <v>360</v>
      </c>
      <c r="BN15" s="29">
        <v>1100</v>
      </c>
      <c r="BO15" s="31">
        <v>107.83307352770777</v>
      </c>
      <c r="BX15" s="31"/>
      <c r="CA15" s="31"/>
      <c r="CD15" s="31"/>
      <c r="CG15" s="31"/>
      <c r="CJ15" s="31"/>
      <c r="CM15" s="31"/>
      <c r="CP15" s="31"/>
      <c r="CS15" s="31"/>
    </row>
    <row r="16" spans="1:111" x14ac:dyDescent="0.3">
      <c r="A16" s="50" t="s">
        <v>34</v>
      </c>
      <c r="B16" s="10"/>
      <c r="C16" s="7"/>
      <c r="D16" s="7">
        <v>751400</v>
      </c>
      <c r="E16" s="31">
        <v>148433.23141891891</v>
      </c>
      <c r="F16" s="7"/>
      <c r="G16" s="7">
        <v>1032450</v>
      </c>
      <c r="H16" s="31">
        <v>198924.70774582861</v>
      </c>
      <c r="I16" s="7"/>
      <c r="J16" s="7">
        <v>1161750</v>
      </c>
      <c r="K16" s="31">
        <v>207602.90939754058</v>
      </c>
      <c r="L16" s="7"/>
      <c r="M16" s="7">
        <v>1379400</v>
      </c>
      <c r="N16" s="31">
        <v>256134.52543560442</v>
      </c>
      <c r="O16" s="7"/>
      <c r="P16" s="7">
        <v>890975</v>
      </c>
      <c r="Q16" s="31">
        <v>158649.90698845446</v>
      </c>
      <c r="R16" s="10"/>
      <c r="S16" s="7"/>
      <c r="T16" s="7">
        <v>1522175</v>
      </c>
      <c r="U16" s="31">
        <v>264275.40375333128</v>
      </c>
      <c r="V16" s="10"/>
      <c r="W16" s="7"/>
      <c r="X16" s="7">
        <v>1470990</v>
      </c>
      <c r="Y16" s="31">
        <v>260372.01587403321</v>
      </c>
      <c r="Z16" s="7"/>
      <c r="AA16" s="7">
        <v>1332040</v>
      </c>
      <c r="AB16" s="31">
        <v>233238.95331935634</v>
      </c>
      <c r="AC16" s="7"/>
      <c r="AD16" s="7">
        <v>1478254</v>
      </c>
      <c r="AE16" s="31">
        <v>258527.8996639364</v>
      </c>
      <c r="AF16" s="7"/>
      <c r="AG16" s="7">
        <v>1604575</v>
      </c>
      <c r="AH16" s="31">
        <v>274844.37355228513</v>
      </c>
      <c r="AI16" s="7"/>
      <c r="AJ16" s="7">
        <v>1641555</v>
      </c>
      <c r="AK16" s="31">
        <v>281526.16536809114</v>
      </c>
      <c r="AL16" s="7"/>
      <c r="AM16" s="7">
        <v>1392535</v>
      </c>
      <c r="AN16" s="31">
        <v>229089.63806772509</v>
      </c>
      <c r="AO16" s="7"/>
      <c r="AP16" s="7">
        <v>1447480</v>
      </c>
      <c r="AQ16" s="31">
        <v>222498.71144303467</v>
      </c>
      <c r="AR16" s="7"/>
      <c r="AS16" s="7">
        <v>1440685</v>
      </c>
      <c r="AT16" s="31">
        <v>218098.85420717639</v>
      </c>
      <c r="AV16" s="29">
        <v>1403100</v>
      </c>
      <c r="AW16" s="31">
        <f>IF(AV16/(INDEX('Standards for Conversions'!$H$47:$H$73,MATCH(AU$2,'Standards for Conversions'!$A$47:$A$73,0)))=0,"",AV16/(INDEX('Standards for Conversions'!$H$47:$H$73,MATCH(AU$2,'Standards for Conversions'!$A$47:$A$73,0))))</f>
        <v>203793.83787585818</v>
      </c>
      <c r="AY16" s="29">
        <v>1406605</v>
      </c>
      <c r="AZ16" s="31">
        <f>IF(AY16/(INDEX('Standards for Conversions'!$H$47:$H$73,MATCH(AX$2,'Standards for Conversions'!$A$47:$A$73,0)))=0,"",AY16/(INDEX('Standards for Conversions'!$H$47:$H$73,MATCH(AX$2,'Standards for Conversions'!$A$47:$A$73,0))))</f>
        <v>203409.47002942953</v>
      </c>
      <c r="BB16" s="29">
        <v>1432690</v>
      </c>
      <c r="BC16" s="31">
        <f>IF(BB16/(INDEX('Standards for Conversions'!$H$47:$H$73,MATCH(BA$2,'Standards for Conversions'!$A$47:$A$73,0)))=0,"",BB16/(INDEX('Standards for Conversions'!$H$47:$H$73,MATCH(BA$2,'Standards for Conversions'!$A$47:$A$73,0))))</f>
        <v>231752.21619847335</v>
      </c>
      <c r="BE16" s="29">
        <v>1583280</v>
      </c>
      <c r="BF16" s="31">
        <f>IF(BE16/(INDEX('Standards for Conversions'!$H$47:$H$73,MATCH(BD$2,'Standards for Conversions'!$A$47:$A$73,0)))=0,"",BE16/(INDEX('Standards for Conversions'!$H$47:$H$73,MATCH(BD$2,'Standards for Conversions'!$A$47:$A$73,0))))</f>
        <v>241697.02136308333</v>
      </c>
      <c r="BH16" s="29">
        <v>1054595</v>
      </c>
      <c r="BI16" s="31">
        <f>IF(BH16/(INDEX('Standards for Conversions'!$H$47:$H$73,MATCH(BG$2,'Standards for Conversions'!$A$47:$A$73,0)))=0,"",BH16/(INDEX('Standards for Conversions'!$H$47:$H$73,MATCH(BG$2,'Standards for Conversions'!$A$47:$A$73,0))))</f>
        <v>142010.72066079342</v>
      </c>
      <c r="BK16" s="29">
        <v>1720320</v>
      </c>
      <c r="BL16" s="31">
        <f>IF(BK16/(INDEX('Standards for Conversions'!$H$47:$H$73,MATCH(BJ$2,'Standards for Conversions'!$A$47:$A$73,0)))=0,"",BK16/(INDEX('Standards for Conversions'!$H$47:$H$73,MATCH(BJ$2,'Standards for Conversions'!$A$47:$A$73,0))))</f>
        <v>209219.41207265138</v>
      </c>
      <c r="BN16" s="29">
        <v>1628580</v>
      </c>
      <c r="BO16" s="31">
        <f>IF(BN16/(INDEX('Standards for Conversions'!$H$47:$H$73,MATCH(BM$2,'Standards for Conversions'!$A$47:$A$73,0)))=0,"",BN16/(INDEX('Standards for Conversions'!$H$47:$H$73,MATCH(BM$2,'Standards for Conversions'!$A$47:$A$73,0))))</f>
        <v>159649.80625977664</v>
      </c>
      <c r="BQ16" s="29">
        <v>1419450</v>
      </c>
      <c r="BR16" s="31">
        <f>IF(BQ16/(INDEX('Standards for Conversions'!$H$47:$H$73,MATCH(BP$2,'Standards for Conversions'!$A$47:$A$73,0)))=0,"",BQ16/(INDEX('Standards for Conversions'!$H$47:$H$73,MATCH(BP$2,'Standards for Conversions'!$A$47:$A$73,0))))</f>
        <v>143356.30083726207</v>
      </c>
      <c r="BT16" s="29">
        <v>1909300</v>
      </c>
      <c r="BU16" s="31">
        <f>IF(BT16/(INDEX('Standards for Conversions'!$H$47:$H$73,MATCH(BS$2,'Standards for Conversions'!$A$47:$A$73,0)))=0,"",BT16/(INDEX('Standards for Conversions'!$H$47:$H$73,MATCH(BS$2,'Standards for Conversions'!$A$47:$A$73,0))))</f>
        <v>199296.37508780885</v>
      </c>
      <c r="BW16" s="29">
        <v>1834500</v>
      </c>
      <c r="BX16" s="31">
        <f>IF(BW16/(INDEX('Standards for Conversions'!$H$47:$H$73,MATCH(BV$2,'Standards for Conversions'!$A$47:$A$73,0)))=0,"",BW16/(INDEX('Standards for Conversions'!$H$47:$H$73,MATCH(BV$2,'Standards for Conversions'!$A$47:$A$73,0))))</f>
        <v>171291.02702431125</v>
      </c>
      <c r="BZ16" s="29">
        <v>1697400</v>
      </c>
      <c r="CA16" s="31">
        <f>IF(BZ16/(INDEX('Standards for Conversions'!$H$47:$H$73,MATCH(BY$2,'Standards for Conversions'!$A$47:$A$73,0)))=0,"",BZ16/(INDEX('Standards for Conversions'!$H$47:$H$73,MATCH(BY$2,'Standards for Conversions'!$A$47:$A$73,0))))</f>
        <v>154895.84769596765</v>
      </c>
      <c r="CC16" s="29">
        <v>1533300</v>
      </c>
      <c r="CD16" s="31">
        <f>IF(CC16/(INDEX('Standards for Conversions'!$H$47:$H$73,MATCH(CB$2,'Standards for Conversions'!$A$47:$A$73,0)))=0,"",CC16/(INDEX('Standards for Conversions'!$H$47:$H$73,MATCH(CB$2,'Standards for Conversions'!$A$47:$A$73,0))))</f>
        <v>142518.08024734943</v>
      </c>
      <c r="CF16" s="29">
        <v>1255831</v>
      </c>
      <c r="CG16" s="31">
        <f>IF(CF16/(INDEX('Standards for Conversions'!$H$47:$H$73,MATCH(CE$2,'Standards for Conversions'!$A$47:$A$73,0)))=0,"",CF16/(INDEX('Standards for Conversions'!$H$47:$H$73,MATCH(CE$2,'Standards for Conversions'!$A$47:$A$73,0))))</f>
        <v>120450.2509371741</v>
      </c>
      <c r="CI16" s="29">
        <v>1641076</v>
      </c>
      <c r="CJ16" s="31">
        <f>IF(CI16/(INDEX('Standards for Conversions'!$H$47:$H$73,MATCH(CH$2,'Standards for Conversions'!$A$47:$A$73,0)))=0,"",CI16/(INDEX('Standards for Conversions'!$H$47:$H$73,MATCH(CH$2,'Standards for Conversions'!$A$47:$A$73,0))))</f>
        <v>151145.86099167896</v>
      </c>
      <c r="CL16" s="29">
        <v>2506515</v>
      </c>
      <c r="CM16" s="31">
        <f>IF(CL16/(INDEX('Standards for Conversions'!$H$47:$H$73,MATCH(CK$2,'Standards for Conversions'!$A$47:$A$73,0)))=0,"",CL16/(INDEX('Standards for Conversions'!$H$47:$H$73,MATCH(CK$2,'Standards for Conversions'!$A$47:$A$73,0))))</f>
        <v>204319.27797549855</v>
      </c>
      <c r="CO16" s="29">
        <v>2509840</v>
      </c>
      <c r="CP16" s="31">
        <f>IF(CO16/(INDEX('Standards for Conversions'!$H$47:$H$73,MATCH(CN$2,'Standards for Conversions'!$A$47:$A$73,0)))=0,"",CO16/(INDEX('Standards for Conversions'!$H$47:$H$73,MATCH(CN$2,'Standards for Conversions'!$A$47:$A$73,0))))</f>
        <v>210435.7538976275</v>
      </c>
      <c r="CR16" s="29">
        <v>2054300</v>
      </c>
      <c r="CS16" s="31">
        <f>IF(CR16/(INDEX('Standards for Conversions'!$H$47:$H$73,MATCH(CQ$2,'Standards for Conversions'!$A$47:$A$73,0)))=0,"",CR16/(INDEX('Standards for Conversions'!$H$47:$H$73,MATCH(CQ$2,'Standards for Conversions'!$A$47:$A$73,0))))</f>
        <v>183767.57617419469</v>
      </c>
      <c r="CU16" s="29">
        <v>178050</v>
      </c>
      <c r="CW16" s="29">
        <v>246255</v>
      </c>
      <c r="CY16" s="29">
        <v>283030</v>
      </c>
      <c r="DA16" s="29">
        <v>303588</v>
      </c>
      <c r="DC16" s="29">
        <v>277580</v>
      </c>
      <c r="DE16" s="29">
        <v>271034</v>
      </c>
      <c r="DG16" s="29">
        <v>290387</v>
      </c>
    </row>
  </sheetData>
  <mergeCells count="79">
    <mergeCell ref="AR1:AS1"/>
    <mergeCell ref="C2:D2"/>
    <mergeCell ref="F2:G2"/>
    <mergeCell ref="I2:J2"/>
    <mergeCell ref="L2:M2"/>
    <mergeCell ref="O2:P2"/>
    <mergeCell ref="S2:T2"/>
    <mergeCell ref="W2:X2"/>
    <mergeCell ref="Z2:AA2"/>
    <mergeCell ref="AC2:AD2"/>
    <mergeCell ref="AF2:AG2"/>
    <mergeCell ref="AI2:AJ2"/>
    <mergeCell ref="AL2:AM2"/>
    <mergeCell ref="AO2:AP2"/>
    <mergeCell ref="AR2:AS2"/>
    <mergeCell ref="AF1:AG1"/>
    <mergeCell ref="AI1:AJ1"/>
    <mergeCell ref="AL1:AM1"/>
    <mergeCell ref="AO1:AP1"/>
    <mergeCell ref="V1:V3"/>
    <mergeCell ref="W1:X1"/>
    <mergeCell ref="Z1:AA1"/>
    <mergeCell ref="AC1:AD1"/>
    <mergeCell ref="L1:M1"/>
    <mergeCell ref="O1:P1"/>
    <mergeCell ref="R1:R3"/>
    <mergeCell ref="S1:T1"/>
    <mergeCell ref="B1:B3"/>
    <mergeCell ref="C1:D1"/>
    <mergeCell ref="F1:G1"/>
    <mergeCell ref="I1:J1"/>
    <mergeCell ref="AU1:AV1"/>
    <mergeCell ref="AX1:AY1"/>
    <mergeCell ref="BA1:BB1"/>
    <mergeCell ref="AU2:AV2"/>
    <mergeCell ref="AX2:AY2"/>
    <mergeCell ref="BA2:BB2"/>
    <mergeCell ref="BM2:BN2"/>
    <mergeCell ref="BP2:BQ2"/>
    <mergeCell ref="BS2:BT2"/>
    <mergeCell ref="BV2:BW2"/>
    <mergeCell ref="BD1:BE1"/>
    <mergeCell ref="BG1:BH1"/>
    <mergeCell ref="BJ1:BK1"/>
    <mergeCell ref="BD2:BE2"/>
    <mergeCell ref="BG2:BH2"/>
    <mergeCell ref="BJ2:BK2"/>
    <mergeCell ref="BM1:BN1"/>
    <mergeCell ref="BP1:BQ1"/>
    <mergeCell ref="BS1:BT1"/>
    <mergeCell ref="BV1:BW1"/>
    <mergeCell ref="BY1:BZ1"/>
    <mergeCell ref="CX2:CY2"/>
    <mergeCell ref="CB1:CC1"/>
    <mergeCell ref="CE1:CF1"/>
    <mergeCell ref="CH1:CI1"/>
    <mergeCell ref="CK1:CL1"/>
    <mergeCell ref="CN1:CO1"/>
    <mergeCell ref="CN2:CO2"/>
    <mergeCell ref="CQ1:CR1"/>
    <mergeCell ref="CT1:CU1"/>
    <mergeCell ref="CV1:CW1"/>
    <mergeCell ref="CX1:CY1"/>
    <mergeCell ref="CQ2:CR2"/>
    <mergeCell ref="CT2:CU2"/>
    <mergeCell ref="CV2:CW2"/>
    <mergeCell ref="BY2:BZ2"/>
    <mergeCell ref="DB1:DC1"/>
    <mergeCell ref="DD1:DE1"/>
    <mergeCell ref="DF1:DG1"/>
    <mergeCell ref="CZ2:DA2"/>
    <mergeCell ref="DB2:DC2"/>
    <mergeCell ref="DD2:DE2"/>
    <mergeCell ref="DF2:DG2"/>
    <mergeCell ref="CB2:CC2"/>
    <mergeCell ref="CE2:CF2"/>
    <mergeCell ref="CH2:CI2"/>
    <mergeCell ref="CK2:CL2"/>
    <mergeCell ref="CZ1:DA1"/>
  </mergeCells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T21"/>
  <sheetViews>
    <sheetView zoomScale="60" zoomScaleNormal="6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RowHeight="14.4" x14ac:dyDescent="0.3"/>
  <cols>
    <col min="1" max="1" width="57.109375" style="29" bestFit="1" customWidth="1"/>
    <col min="2" max="2" width="14.6640625" style="33" customWidth="1"/>
    <col min="3" max="3" width="11.109375" style="29" customWidth="1"/>
    <col min="4" max="6" width="15.88671875" style="29" customWidth="1"/>
    <col min="7" max="7" width="15.33203125" style="66" customWidth="1"/>
    <col min="8" max="10" width="15.88671875" style="29" customWidth="1"/>
    <col min="11" max="11" width="15.33203125" style="66" customWidth="1"/>
    <col min="12" max="14" width="15.88671875" style="29" customWidth="1"/>
    <col min="15" max="15" width="15.33203125" style="66" customWidth="1"/>
    <col min="16" max="18" width="15.88671875" style="29" customWidth="1"/>
    <col min="19" max="19" width="15.33203125" style="66" customWidth="1"/>
    <col min="20" max="22" width="15.88671875" style="29" customWidth="1"/>
    <col min="23" max="23" width="15.33203125" style="66" customWidth="1"/>
    <col min="24" max="27" width="15.88671875" style="29" customWidth="1"/>
    <col min="28" max="28" width="15.33203125" style="66" customWidth="1"/>
    <col min="29" max="32" width="15.88671875" style="29" customWidth="1"/>
    <col min="33" max="33" width="15.33203125" style="66" customWidth="1"/>
    <col min="34" max="36" width="15.88671875" style="29" customWidth="1"/>
    <col min="37" max="37" width="15.33203125" style="66" customWidth="1"/>
    <col min="38" max="40" width="15.88671875" style="29" customWidth="1"/>
    <col min="41" max="41" width="15.33203125" style="66" customWidth="1"/>
    <col min="42" max="44" width="15.88671875" style="29" customWidth="1"/>
    <col min="45" max="45" width="15.33203125" style="66" customWidth="1"/>
    <col min="46" max="48" width="15.88671875" style="29" customWidth="1"/>
    <col min="49" max="49" width="15.33203125" style="66" customWidth="1"/>
    <col min="50" max="52" width="15.88671875" style="29" customWidth="1"/>
    <col min="53" max="53" width="15.33203125" style="66" customWidth="1"/>
    <col min="54" max="56" width="15.88671875" style="29" customWidth="1"/>
    <col min="57" max="57" width="15.33203125" style="66" customWidth="1"/>
    <col min="58" max="60" width="15.88671875" style="29" customWidth="1"/>
    <col min="61" max="61" width="15.33203125" style="66" customWidth="1"/>
    <col min="62" max="62" width="11.109375" style="29" customWidth="1"/>
    <col min="63" max="63" width="16.88671875" style="29" customWidth="1"/>
    <col min="64" max="64" width="15.33203125" style="29" customWidth="1"/>
    <col min="65" max="65" width="15.33203125" style="66" customWidth="1"/>
    <col min="66" max="66" width="11.109375" style="29" customWidth="1"/>
    <col min="67" max="67" width="16.88671875" style="29" customWidth="1"/>
    <col min="68" max="68" width="15.33203125" style="29" customWidth="1"/>
    <col min="69" max="69" width="15.33203125" style="66" customWidth="1"/>
    <col min="70" max="70" width="11.109375" style="29" customWidth="1"/>
    <col min="71" max="71" width="16.88671875" style="29" customWidth="1"/>
    <col min="72" max="72" width="15.33203125" style="29" customWidth="1"/>
    <col min="73" max="73" width="15.33203125" style="66" customWidth="1"/>
    <col min="74" max="74" width="11.109375" style="29" customWidth="1"/>
    <col min="75" max="75" width="16.88671875" style="29" customWidth="1"/>
    <col min="76" max="76" width="15.33203125" style="29" customWidth="1"/>
    <col min="77" max="77" width="15.33203125" style="66" customWidth="1"/>
    <col min="78" max="78" width="11.109375" style="29" customWidth="1"/>
    <col min="79" max="79" width="16.88671875" style="29" customWidth="1"/>
    <col min="80" max="80" width="15.33203125" style="29" customWidth="1"/>
    <col min="81" max="81" width="15.33203125" style="66" customWidth="1"/>
    <col min="82" max="82" width="11.109375" style="29" customWidth="1"/>
    <col min="83" max="83" width="16.88671875" style="29" customWidth="1"/>
    <col min="84" max="84" width="15.33203125" style="29" customWidth="1"/>
    <col min="85" max="85" width="15.33203125" style="66" customWidth="1"/>
    <col min="86" max="86" width="13.5546875" style="29" customWidth="1"/>
    <col min="87" max="87" width="16.88671875" style="29" customWidth="1"/>
    <col min="88" max="88" width="15.33203125" style="29" customWidth="1"/>
    <col min="89" max="89" width="15.33203125" style="66" customWidth="1"/>
    <col min="90" max="90" width="11.33203125" style="29" customWidth="1"/>
    <col min="91" max="91" width="16.88671875" style="29" customWidth="1"/>
    <col min="92" max="92" width="15.33203125" style="29" customWidth="1"/>
    <col min="93" max="93" width="15.33203125" style="66" customWidth="1"/>
    <col min="94" max="94" width="11.33203125" style="29" customWidth="1"/>
    <col min="95" max="95" width="16.88671875" style="29" customWidth="1"/>
    <col min="96" max="96" width="15.33203125" style="29" customWidth="1"/>
    <col min="97" max="97" width="15.33203125" style="66" customWidth="1"/>
    <col min="98" max="98" width="11.109375" style="29" customWidth="1"/>
    <col min="99" max="99" width="16.88671875" style="29" customWidth="1"/>
    <col min="100" max="100" width="15.33203125" style="29" customWidth="1"/>
    <col min="101" max="101" width="15.33203125" style="66" customWidth="1"/>
    <col min="102" max="102" width="11.109375" style="29" customWidth="1"/>
    <col min="103" max="103" width="16.88671875" style="29" customWidth="1"/>
    <col min="104" max="104" width="15.33203125" style="29" customWidth="1"/>
    <col min="105" max="105" width="15.33203125" style="66" customWidth="1"/>
    <col min="106" max="106" width="11.109375" style="29" customWidth="1"/>
    <col min="107" max="107" width="16.88671875" style="29" customWidth="1"/>
    <col min="108" max="108" width="15.33203125" style="29" customWidth="1"/>
    <col min="109" max="109" width="15.33203125" style="66" customWidth="1"/>
    <col min="110" max="110" width="11.33203125" style="29" customWidth="1"/>
    <col min="111" max="111" width="16.88671875" style="29" customWidth="1"/>
    <col min="112" max="112" width="15.33203125" style="29" customWidth="1"/>
    <col min="113" max="113" width="15.33203125" style="66" customWidth="1"/>
    <col min="114" max="114" width="11.33203125" style="29" customWidth="1"/>
    <col min="115" max="115" width="16.88671875" style="29" customWidth="1"/>
    <col min="116" max="116" width="15.33203125" style="29" customWidth="1"/>
    <col min="117" max="117" width="15.33203125" style="66" customWidth="1"/>
    <col min="118" max="118" width="11.33203125" style="29" customWidth="1"/>
    <col min="119" max="119" width="16.88671875" style="29" customWidth="1"/>
    <col min="120" max="120" width="15.33203125" style="29" customWidth="1"/>
    <col min="121" max="121" width="15.33203125" style="66" customWidth="1"/>
    <col min="122" max="122" width="11.109375" style="29" customWidth="1"/>
    <col min="123" max="123" width="16.88671875" style="29" customWidth="1"/>
    <col min="124" max="124" width="15.33203125" style="29" customWidth="1"/>
    <col min="125" max="125" width="15.33203125" style="66" customWidth="1"/>
    <col min="126" max="126" width="10.109375" style="29" customWidth="1"/>
    <col min="127" max="127" width="16.88671875" style="29" customWidth="1"/>
    <col min="128" max="128" width="15.33203125" style="29" customWidth="1"/>
    <col min="129" max="129" width="15.33203125" style="66" customWidth="1"/>
    <col min="130" max="130" width="11.109375" style="29" customWidth="1"/>
    <col min="131" max="131" width="17.21875" style="29" customWidth="1"/>
    <col min="132" max="132" width="15.33203125" style="66" customWidth="1"/>
    <col min="133" max="133" width="11.109375" style="29" customWidth="1"/>
    <col min="134" max="134" width="17.21875" style="29" customWidth="1"/>
    <col min="135" max="135" width="15.33203125" style="66" customWidth="1"/>
    <col min="136" max="136" width="11.109375" style="29" customWidth="1"/>
    <col min="137" max="137" width="17.21875" style="29" customWidth="1"/>
    <col min="138" max="138" width="15.33203125" style="66" customWidth="1"/>
    <col min="139" max="139" width="11.109375" style="29" customWidth="1"/>
    <col min="140" max="140" width="17.21875" style="29" customWidth="1"/>
    <col min="141" max="141" width="15.33203125" style="66" customWidth="1"/>
    <col min="142" max="142" width="11.109375" style="29" customWidth="1"/>
    <col min="143" max="143" width="17.21875" style="29" customWidth="1"/>
    <col min="144" max="144" width="15.33203125" style="66" customWidth="1"/>
    <col min="145" max="145" width="11.33203125" style="29" customWidth="1"/>
    <col min="146" max="146" width="17.21875" style="29" customWidth="1"/>
    <col min="147" max="147" width="15.33203125" style="66" customWidth="1"/>
    <col min="148" max="148" width="11.33203125" style="29" customWidth="1"/>
    <col min="149" max="149" width="17.21875" style="29" customWidth="1"/>
    <col min="150" max="150" width="15.33203125" style="66" customWidth="1"/>
    <col min="151" max="16384" width="8.88671875" style="29"/>
  </cols>
  <sheetData>
    <row r="1" spans="1:150" customFormat="1" ht="15.6" x14ac:dyDescent="0.3">
      <c r="A1" s="37"/>
      <c r="B1" s="158"/>
      <c r="C1" s="162" t="s">
        <v>1</v>
      </c>
      <c r="D1" s="163" t="s">
        <v>372</v>
      </c>
      <c r="E1" s="163"/>
      <c r="F1" s="163"/>
      <c r="G1" s="163"/>
      <c r="H1" s="161" t="s">
        <v>392</v>
      </c>
      <c r="I1" s="161"/>
      <c r="J1" s="161"/>
      <c r="K1" s="161"/>
      <c r="L1" s="161" t="s">
        <v>390</v>
      </c>
      <c r="M1" s="161"/>
      <c r="N1" s="161"/>
      <c r="O1" s="161"/>
      <c r="P1" s="161" t="s">
        <v>388</v>
      </c>
      <c r="Q1" s="161"/>
      <c r="R1" s="161"/>
      <c r="S1" s="161"/>
      <c r="T1" s="161" t="s">
        <v>386</v>
      </c>
      <c r="U1" s="161"/>
      <c r="V1" s="161"/>
      <c r="W1" s="161"/>
      <c r="X1" s="162" t="s">
        <v>1</v>
      </c>
      <c r="Y1" s="161" t="s">
        <v>383</v>
      </c>
      <c r="Z1" s="161"/>
      <c r="AA1" s="161"/>
      <c r="AB1" s="161"/>
      <c r="AC1" s="162" t="s">
        <v>1</v>
      </c>
      <c r="AD1" s="161" t="s">
        <v>382</v>
      </c>
      <c r="AE1" s="161"/>
      <c r="AF1" s="161"/>
      <c r="AG1" s="161"/>
      <c r="AH1" s="161" t="s">
        <v>381</v>
      </c>
      <c r="AI1" s="161"/>
      <c r="AJ1" s="161"/>
      <c r="AK1" s="161"/>
      <c r="AL1" s="161" t="s">
        <v>380</v>
      </c>
      <c r="AM1" s="161"/>
      <c r="AN1" s="161"/>
      <c r="AO1" s="161"/>
      <c r="AP1" s="161" t="s">
        <v>379</v>
      </c>
      <c r="AQ1" s="161"/>
      <c r="AR1" s="161"/>
      <c r="AS1" s="161"/>
      <c r="AT1" s="161" t="s">
        <v>378</v>
      </c>
      <c r="AU1" s="161"/>
      <c r="AV1" s="161"/>
      <c r="AW1" s="161"/>
      <c r="AX1" s="161" t="s">
        <v>377</v>
      </c>
      <c r="AY1" s="161"/>
      <c r="AZ1" s="161"/>
      <c r="BA1" s="161"/>
      <c r="BB1" s="161" t="s">
        <v>376</v>
      </c>
      <c r="BC1" s="161"/>
      <c r="BD1" s="161"/>
      <c r="BE1" s="161"/>
      <c r="BF1" s="161" t="s">
        <v>375</v>
      </c>
      <c r="BG1" s="161"/>
      <c r="BH1" s="161"/>
      <c r="BI1" s="161"/>
      <c r="BJ1" s="151" t="s">
        <v>345</v>
      </c>
      <c r="BK1" s="151"/>
      <c r="BL1" s="151"/>
      <c r="BM1" s="151"/>
      <c r="BN1" s="151" t="s">
        <v>346</v>
      </c>
      <c r="BO1" s="151"/>
      <c r="BP1" s="151"/>
      <c r="BQ1" s="151"/>
      <c r="BR1" s="151" t="s">
        <v>35</v>
      </c>
      <c r="BS1" s="151"/>
      <c r="BT1" s="151"/>
      <c r="BU1" s="151"/>
      <c r="BV1" s="151" t="s">
        <v>90</v>
      </c>
      <c r="BW1" s="151"/>
      <c r="BX1" s="151"/>
      <c r="BY1" s="151"/>
      <c r="BZ1" s="151" t="s">
        <v>88</v>
      </c>
      <c r="CA1" s="151"/>
      <c r="CB1" s="151"/>
      <c r="CC1" s="151"/>
      <c r="CD1" s="151" t="s">
        <v>89</v>
      </c>
      <c r="CE1" s="151"/>
      <c r="CF1" s="151"/>
      <c r="CG1" s="151"/>
      <c r="CH1" s="151" t="s">
        <v>33</v>
      </c>
      <c r="CI1" s="151"/>
      <c r="CJ1" s="151"/>
      <c r="CK1" s="151"/>
      <c r="CL1" s="151" t="s">
        <v>32</v>
      </c>
      <c r="CM1" s="151"/>
      <c r="CN1" s="151"/>
      <c r="CO1" s="151"/>
      <c r="CP1" s="151" t="s">
        <v>31</v>
      </c>
      <c r="CQ1" s="151"/>
      <c r="CR1" s="151"/>
      <c r="CS1" s="151"/>
      <c r="CT1" s="151" t="s">
        <v>87</v>
      </c>
      <c r="CU1" s="151"/>
      <c r="CV1" s="151"/>
      <c r="CW1" s="151"/>
      <c r="CX1" s="151" t="s">
        <v>84</v>
      </c>
      <c r="CY1" s="151"/>
      <c r="CZ1" s="151"/>
      <c r="DA1" s="151"/>
      <c r="DB1" s="151" t="s">
        <v>85</v>
      </c>
      <c r="DC1" s="151"/>
      <c r="DD1" s="151"/>
      <c r="DE1" s="151"/>
      <c r="DF1" s="151" t="s">
        <v>83</v>
      </c>
      <c r="DG1" s="151"/>
      <c r="DH1" s="151"/>
      <c r="DI1" s="151"/>
      <c r="DJ1" s="151" t="s">
        <v>30</v>
      </c>
      <c r="DK1" s="151"/>
      <c r="DL1" s="151"/>
      <c r="DM1" s="151"/>
      <c r="DN1" s="151" t="s">
        <v>29</v>
      </c>
      <c r="DO1" s="151"/>
      <c r="DP1" s="151"/>
      <c r="DQ1" s="151"/>
      <c r="DR1" s="151" t="s">
        <v>28</v>
      </c>
      <c r="DS1" s="151"/>
      <c r="DT1" s="151"/>
      <c r="DU1" s="151"/>
      <c r="DV1" s="151" t="s">
        <v>3</v>
      </c>
      <c r="DW1" s="151"/>
      <c r="DX1" s="151"/>
      <c r="DY1" s="151"/>
      <c r="DZ1" s="151" t="s">
        <v>4</v>
      </c>
      <c r="EA1" s="151"/>
      <c r="EB1" s="151"/>
      <c r="EC1" s="151" t="s">
        <v>5</v>
      </c>
      <c r="ED1" s="151"/>
      <c r="EE1" s="151"/>
      <c r="EF1" s="151" t="s">
        <v>10</v>
      </c>
      <c r="EG1" s="151"/>
      <c r="EH1" s="151"/>
      <c r="EI1" s="151" t="s">
        <v>12</v>
      </c>
      <c r="EJ1" s="151"/>
      <c r="EK1" s="151"/>
      <c r="EL1" s="151" t="s">
        <v>13</v>
      </c>
      <c r="EM1" s="151"/>
      <c r="EN1" s="151"/>
      <c r="EO1" s="151" t="s">
        <v>14</v>
      </c>
      <c r="EP1" s="151"/>
      <c r="EQ1" s="151"/>
      <c r="ER1" s="151" t="s">
        <v>15</v>
      </c>
      <c r="ES1" s="151"/>
      <c r="ET1" s="151"/>
    </row>
    <row r="2" spans="1:150" s="62" customFormat="1" ht="15.6" hidden="1" customHeight="1" x14ac:dyDescent="0.3">
      <c r="A2" s="60"/>
      <c r="B2" s="158"/>
      <c r="C2" s="162"/>
      <c r="D2" s="159">
        <v>1874</v>
      </c>
      <c r="E2" s="159"/>
      <c r="F2" s="124"/>
      <c r="G2" s="124"/>
      <c r="H2" s="159">
        <v>1875</v>
      </c>
      <c r="I2" s="159"/>
      <c r="J2" s="124"/>
      <c r="K2" s="124"/>
      <c r="L2" s="159">
        <v>1876</v>
      </c>
      <c r="M2" s="159"/>
      <c r="N2" s="124"/>
      <c r="O2" s="124"/>
      <c r="P2" s="159">
        <v>1877</v>
      </c>
      <c r="Q2" s="159"/>
      <c r="R2" s="124"/>
      <c r="S2" s="124"/>
      <c r="T2" s="159">
        <v>1878</v>
      </c>
      <c r="U2" s="159"/>
      <c r="V2" s="124"/>
      <c r="W2" s="124"/>
      <c r="X2" s="162"/>
      <c r="Y2" s="159">
        <v>1879</v>
      </c>
      <c r="Z2" s="159"/>
      <c r="AA2" s="124"/>
      <c r="AB2" s="124"/>
      <c r="AC2" s="162"/>
      <c r="AD2" s="159">
        <v>1880</v>
      </c>
      <c r="AE2" s="159"/>
      <c r="AF2" s="124"/>
      <c r="AG2" s="124"/>
      <c r="AH2" s="159">
        <v>1881</v>
      </c>
      <c r="AI2" s="159"/>
      <c r="AJ2" s="124"/>
      <c r="AK2" s="124"/>
      <c r="AL2" s="159">
        <v>1882</v>
      </c>
      <c r="AM2" s="159"/>
      <c r="AN2" s="124"/>
      <c r="AO2" s="124"/>
      <c r="AP2" s="159">
        <v>1883</v>
      </c>
      <c r="AQ2" s="159"/>
      <c r="AR2" s="124"/>
      <c r="AS2" s="124"/>
      <c r="AT2" s="159">
        <v>1884</v>
      </c>
      <c r="AU2" s="159"/>
      <c r="AV2" s="124"/>
      <c r="AW2" s="124"/>
      <c r="AX2" s="159">
        <v>1885</v>
      </c>
      <c r="AY2" s="159"/>
      <c r="AZ2" s="124"/>
      <c r="BA2" s="124"/>
      <c r="BB2" s="159">
        <v>1886</v>
      </c>
      <c r="BC2" s="159"/>
      <c r="BD2" s="124"/>
      <c r="BE2" s="124"/>
      <c r="BF2" s="159">
        <v>1887</v>
      </c>
      <c r="BG2" s="159"/>
      <c r="BH2" s="124"/>
      <c r="BI2" s="124"/>
      <c r="BJ2" s="165">
        <v>1888</v>
      </c>
      <c r="BK2" s="165"/>
      <c r="BL2" s="165"/>
      <c r="BM2" s="165"/>
      <c r="BN2" s="165">
        <v>1889</v>
      </c>
      <c r="BO2" s="165"/>
      <c r="BP2" s="165"/>
      <c r="BQ2" s="165"/>
      <c r="BR2" s="165">
        <v>1890</v>
      </c>
      <c r="BS2" s="165"/>
      <c r="BT2" s="165"/>
      <c r="BU2" s="165"/>
      <c r="BV2" s="165">
        <v>1891</v>
      </c>
      <c r="BW2" s="165"/>
      <c r="BX2" s="165"/>
      <c r="BY2" s="165"/>
      <c r="BZ2" s="165">
        <v>1892</v>
      </c>
      <c r="CA2" s="165"/>
      <c r="CB2" s="165"/>
      <c r="CC2" s="165"/>
      <c r="CD2" s="165">
        <v>1893</v>
      </c>
      <c r="CE2" s="165"/>
      <c r="CF2" s="165"/>
      <c r="CG2" s="165"/>
      <c r="CH2" s="165">
        <v>1894</v>
      </c>
      <c r="CI2" s="165"/>
      <c r="CJ2" s="165"/>
      <c r="CK2" s="165"/>
      <c r="CL2" s="165">
        <v>1895</v>
      </c>
      <c r="CM2" s="165"/>
      <c r="CN2" s="165"/>
      <c r="CO2" s="165"/>
      <c r="CP2" s="165">
        <v>1896</v>
      </c>
      <c r="CQ2" s="165"/>
      <c r="CR2" s="165"/>
      <c r="CS2" s="165"/>
      <c r="CT2" s="165">
        <v>1897</v>
      </c>
      <c r="CU2" s="165"/>
      <c r="CV2" s="165"/>
      <c r="CW2" s="165"/>
      <c r="CX2" s="165">
        <v>1898</v>
      </c>
      <c r="CY2" s="165"/>
      <c r="CZ2" s="165"/>
      <c r="DA2" s="165"/>
      <c r="DB2" s="165">
        <v>1899</v>
      </c>
      <c r="DC2" s="165"/>
      <c r="DD2" s="165"/>
      <c r="DE2" s="165"/>
      <c r="DF2" s="165">
        <v>1900</v>
      </c>
      <c r="DG2" s="165"/>
      <c r="DH2" s="165"/>
      <c r="DI2" s="165"/>
      <c r="DJ2" s="165">
        <v>1901</v>
      </c>
      <c r="DK2" s="165"/>
      <c r="DL2" s="165"/>
      <c r="DM2" s="165"/>
      <c r="DN2" s="165">
        <v>1902</v>
      </c>
      <c r="DO2" s="165"/>
      <c r="DP2" s="165"/>
      <c r="DQ2" s="165"/>
      <c r="DR2" s="165">
        <v>1903</v>
      </c>
      <c r="DS2" s="165"/>
      <c r="DT2" s="165"/>
      <c r="DU2" s="165"/>
      <c r="DV2" s="165">
        <v>1904</v>
      </c>
      <c r="DW2" s="165"/>
      <c r="DX2" s="165"/>
      <c r="DY2" s="165"/>
      <c r="DZ2" s="165">
        <v>1905</v>
      </c>
      <c r="EA2" s="165"/>
      <c r="EB2" s="165"/>
      <c r="EC2" s="165">
        <v>1906</v>
      </c>
      <c r="ED2" s="165"/>
      <c r="EE2" s="165"/>
      <c r="EF2" s="165">
        <v>1907</v>
      </c>
      <c r="EG2" s="165"/>
      <c r="EH2" s="165"/>
      <c r="EI2" s="165">
        <v>1908</v>
      </c>
      <c r="EJ2" s="165"/>
      <c r="EK2" s="165"/>
      <c r="EL2" s="165">
        <v>1909</v>
      </c>
      <c r="EM2" s="165"/>
      <c r="EN2" s="165"/>
      <c r="EO2" s="165">
        <v>1910</v>
      </c>
      <c r="EP2" s="165"/>
      <c r="EQ2" s="165"/>
      <c r="ER2" s="165">
        <v>1911</v>
      </c>
      <c r="ES2" s="165"/>
      <c r="ET2" s="165"/>
    </row>
    <row r="3" spans="1:150" s="33" customFormat="1" ht="15.6" x14ac:dyDescent="0.3">
      <c r="A3" s="38" t="s">
        <v>0</v>
      </c>
      <c r="B3" s="158"/>
      <c r="C3" s="162"/>
      <c r="D3" s="3" t="s">
        <v>2</v>
      </c>
      <c r="E3" s="8" t="s">
        <v>11</v>
      </c>
      <c r="F3" s="30" t="s">
        <v>110</v>
      </c>
      <c r="G3" s="67" t="s">
        <v>127</v>
      </c>
      <c r="H3" s="3" t="s">
        <v>2</v>
      </c>
      <c r="I3" s="8" t="s">
        <v>11</v>
      </c>
      <c r="J3" s="30" t="s">
        <v>110</v>
      </c>
      <c r="K3" s="67" t="s">
        <v>127</v>
      </c>
      <c r="L3" s="3" t="s">
        <v>2</v>
      </c>
      <c r="M3" s="8" t="s">
        <v>11</v>
      </c>
      <c r="N3" s="30" t="s">
        <v>110</v>
      </c>
      <c r="O3" s="67" t="s">
        <v>127</v>
      </c>
      <c r="P3" s="3" t="s">
        <v>2</v>
      </c>
      <c r="Q3" s="8" t="s">
        <v>11</v>
      </c>
      <c r="R3" s="30" t="s">
        <v>110</v>
      </c>
      <c r="S3" s="67" t="s">
        <v>127</v>
      </c>
      <c r="T3" s="3" t="s">
        <v>2</v>
      </c>
      <c r="U3" s="8" t="s">
        <v>11</v>
      </c>
      <c r="V3" s="30" t="s">
        <v>110</v>
      </c>
      <c r="W3" s="67" t="s">
        <v>127</v>
      </c>
      <c r="X3" s="162"/>
      <c r="Y3" s="3" t="s">
        <v>2</v>
      </c>
      <c r="Z3" s="8" t="s">
        <v>11</v>
      </c>
      <c r="AA3" s="30" t="s">
        <v>110</v>
      </c>
      <c r="AB3" s="67" t="s">
        <v>127</v>
      </c>
      <c r="AC3" s="162"/>
      <c r="AD3" s="3" t="s">
        <v>2</v>
      </c>
      <c r="AE3" s="8" t="s">
        <v>11</v>
      </c>
      <c r="AF3" s="30" t="s">
        <v>110</v>
      </c>
      <c r="AG3" s="67" t="s">
        <v>127</v>
      </c>
      <c r="AH3" s="3" t="s">
        <v>2</v>
      </c>
      <c r="AI3" s="8" t="s">
        <v>11</v>
      </c>
      <c r="AJ3" s="30" t="s">
        <v>110</v>
      </c>
      <c r="AK3" s="67" t="s">
        <v>127</v>
      </c>
      <c r="AL3" s="3" t="s">
        <v>2</v>
      </c>
      <c r="AM3" s="8" t="s">
        <v>11</v>
      </c>
      <c r="AN3" s="30" t="s">
        <v>110</v>
      </c>
      <c r="AO3" s="67" t="s">
        <v>127</v>
      </c>
      <c r="AP3" s="3" t="s">
        <v>2</v>
      </c>
      <c r="AQ3" s="8" t="s">
        <v>11</v>
      </c>
      <c r="AR3" s="30" t="s">
        <v>110</v>
      </c>
      <c r="AS3" s="67" t="s">
        <v>127</v>
      </c>
      <c r="AT3" s="3" t="s">
        <v>2</v>
      </c>
      <c r="AU3" s="8" t="s">
        <v>11</v>
      </c>
      <c r="AV3" s="30" t="s">
        <v>110</v>
      </c>
      <c r="AW3" s="67" t="s">
        <v>127</v>
      </c>
      <c r="AX3" s="3" t="s">
        <v>2</v>
      </c>
      <c r="AY3" s="8" t="s">
        <v>11</v>
      </c>
      <c r="AZ3" s="30" t="s">
        <v>110</v>
      </c>
      <c r="BA3" s="67" t="s">
        <v>127</v>
      </c>
      <c r="BB3" s="3" t="s">
        <v>2</v>
      </c>
      <c r="BC3" s="8" t="s">
        <v>11</v>
      </c>
      <c r="BD3" s="30" t="s">
        <v>110</v>
      </c>
      <c r="BE3" s="67" t="s">
        <v>127</v>
      </c>
      <c r="BF3" s="3" t="s">
        <v>2</v>
      </c>
      <c r="BG3" s="8" t="s">
        <v>11</v>
      </c>
      <c r="BH3" s="30" t="s">
        <v>110</v>
      </c>
      <c r="BI3" s="67" t="s">
        <v>127</v>
      </c>
      <c r="BJ3" s="45" t="s">
        <v>2</v>
      </c>
      <c r="BK3" s="44" t="s">
        <v>11</v>
      </c>
      <c r="BL3" s="30" t="s">
        <v>110</v>
      </c>
      <c r="BM3" s="67" t="s">
        <v>127</v>
      </c>
      <c r="BN3" s="45" t="s">
        <v>2</v>
      </c>
      <c r="BO3" s="44" t="s">
        <v>11</v>
      </c>
      <c r="BP3" s="30" t="s">
        <v>110</v>
      </c>
      <c r="BQ3" s="67" t="s">
        <v>127</v>
      </c>
      <c r="BR3" s="45" t="s">
        <v>2</v>
      </c>
      <c r="BS3" s="44" t="s">
        <v>11</v>
      </c>
      <c r="BT3" s="30" t="s">
        <v>110</v>
      </c>
      <c r="BU3" s="67" t="s">
        <v>127</v>
      </c>
      <c r="BV3" s="45" t="s">
        <v>2</v>
      </c>
      <c r="BW3" s="44" t="s">
        <v>11</v>
      </c>
      <c r="BX3" s="30" t="s">
        <v>110</v>
      </c>
      <c r="BY3" s="67" t="s">
        <v>127</v>
      </c>
      <c r="BZ3" s="45" t="s">
        <v>2</v>
      </c>
      <c r="CA3" s="44" t="s">
        <v>11</v>
      </c>
      <c r="CB3" s="30" t="s">
        <v>110</v>
      </c>
      <c r="CC3" s="67" t="s">
        <v>127</v>
      </c>
      <c r="CD3" s="45" t="s">
        <v>2</v>
      </c>
      <c r="CE3" s="44" t="s">
        <v>11</v>
      </c>
      <c r="CF3" s="30" t="s">
        <v>110</v>
      </c>
      <c r="CG3" s="67" t="s">
        <v>127</v>
      </c>
      <c r="CH3" s="45" t="s">
        <v>2</v>
      </c>
      <c r="CI3" s="44" t="s">
        <v>11</v>
      </c>
      <c r="CJ3" s="30" t="s">
        <v>110</v>
      </c>
      <c r="CK3" s="67" t="s">
        <v>127</v>
      </c>
      <c r="CL3" s="45" t="s">
        <v>2</v>
      </c>
      <c r="CM3" s="44" t="s">
        <v>11</v>
      </c>
      <c r="CN3" s="30" t="s">
        <v>110</v>
      </c>
      <c r="CO3" s="67" t="s">
        <v>127</v>
      </c>
      <c r="CP3" s="45" t="s">
        <v>2</v>
      </c>
      <c r="CQ3" s="44" t="s">
        <v>11</v>
      </c>
      <c r="CR3" s="30" t="s">
        <v>110</v>
      </c>
      <c r="CS3" s="67" t="s">
        <v>127</v>
      </c>
      <c r="CT3" s="45" t="s">
        <v>2</v>
      </c>
      <c r="CU3" s="44" t="s">
        <v>11</v>
      </c>
      <c r="CV3" s="30" t="s">
        <v>110</v>
      </c>
      <c r="CW3" s="67" t="s">
        <v>127</v>
      </c>
      <c r="CX3" s="45" t="s">
        <v>2</v>
      </c>
      <c r="CY3" s="44" t="s">
        <v>11</v>
      </c>
      <c r="CZ3" s="30" t="s">
        <v>110</v>
      </c>
      <c r="DA3" s="67" t="s">
        <v>127</v>
      </c>
      <c r="DB3" s="45" t="s">
        <v>2</v>
      </c>
      <c r="DC3" s="44" t="s">
        <v>11</v>
      </c>
      <c r="DD3" s="30" t="s">
        <v>110</v>
      </c>
      <c r="DE3" s="67" t="s">
        <v>127</v>
      </c>
      <c r="DF3" s="45" t="s">
        <v>2</v>
      </c>
      <c r="DG3" s="44" t="s">
        <v>11</v>
      </c>
      <c r="DH3" s="30" t="s">
        <v>110</v>
      </c>
      <c r="DI3" s="67" t="s">
        <v>127</v>
      </c>
      <c r="DJ3" s="45" t="s">
        <v>2</v>
      </c>
      <c r="DK3" s="44" t="s">
        <v>11</v>
      </c>
      <c r="DL3" s="30" t="s">
        <v>110</v>
      </c>
      <c r="DM3" s="67" t="s">
        <v>127</v>
      </c>
      <c r="DN3" s="45" t="s">
        <v>2</v>
      </c>
      <c r="DO3" s="44" t="s">
        <v>11</v>
      </c>
      <c r="DP3" s="30" t="s">
        <v>110</v>
      </c>
      <c r="DQ3" s="67" t="s">
        <v>127</v>
      </c>
      <c r="DR3" s="45" t="s">
        <v>2</v>
      </c>
      <c r="DS3" s="44" t="s">
        <v>11</v>
      </c>
      <c r="DT3" s="30" t="s">
        <v>110</v>
      </c>
      <c r="DU3" s="67" t="s">
        <v>127</v>
      </c>
      <c r="DV3" s="45" t="s">
        <v>2</v>
      </c>
      <c r="DW3" s="44" t="s">
        <v>11</v>
      </c>
      <c r="DX3" s="30" t="s">
        <v>110</v>
      </c>
      <c r="DY3" s="67" t="s">
        <v>127</v>
      </c>
      <c r="DZ3" s="45" t="s">
        <v>2</v>
      </c>
      <c r="EA3" s="44" t="s">
        <v>110</v>
      </c>
      <c r="EB3" s="67" t="s">
        <v>127</v>
      </c>
      <c r="EC3" s="45" t="s">
        <v>2</v>
      </c>
      <c r="ED3" s="44" t="s">
        <v>110</v>
      </c>
      <c r="EE3" s="67" t="s">
        <v>127</v>
      </c>
      <c r="EF3" s="45" t="s">
        <v>2</v>
      </c>
      <c r="EG3" s="44" t="s">
        <v>110</v>
      </c>
      <c r="EH3" s="67" t="s">
        <v>127</v>
      </c>
      <c r="EI3" s="45" t="s">
        <v>2</v>
      </c>
      <c r="EJ3" s="44" t="s">
        <v>110</v>
      </c>
      <c r="EK3" s="67" t="s">
        <v>127</v>
      </c>
      <c r="EL3" s="45" t="s">
        <v>2</v>
      </c>
      <c r="EM3" s="44" t="s">
        <v>110</v>
      </c>
      <c r="EN3" s="67" t="s">
        <v>127</v>
      </c>
      <c r="EO3" s="45" t="s">
        <v>2</v>
      </c>
      <c r="EP3" s="44" t="s">
        <v>110</v>
      </c>
      <c r="EQ3" s="67" t="s">
        <v>127</v>
      </c>
      <c r="ER3" s="45" t="s">
        <v>2</v>
      </c>
      <c r="ES3" s="44" t="s">
        <v>110</v>
      </c>
      <c r="ET3" s="67" t="s">
        <v>127</v>
      </c>
    </row>
    <row r="4" spans="1:150" ht="15.6" x14ac:dyDescent="0.3">
      <c r="A4" s="101" t="s">
        <v>37</v>
      </c>
      <c r="B4" s="52" t="s">
        <v>131</v>
      </c>
      <c r="C4" s="33" t="s">
        <v>399</v>
      </c>
      <c r="D4" s="10"/>
      <c r="E4" s="10"/>
      <c r="F4" s="31" t="s">
        <v>128</v>
      </c>
      <c r="G4" s="68" t="str">
        <f>IFERROR(F4/D4,"")</f>
        <v/>
      </c>
      <c r="H4" s="7"/>
      <c r="I4" s="7"/>
      <c r="J4" s="31" t="s">
        <v>128</v>
      </c>
      <c r="K4" s="68" t="str">
        <f>IFERROR(J4/H4,"")</f>
        <v/>
      </c>
      <c r="L4" s="7"/>
      <c r="M4" s="7"/>
      <c r="N4" s="31" t="s">
        <v>128</v>
      </c>
      <c r="O4" s="68" t="str">
        <f>IFERROR(N4/L4,"")</f>
        <v/>
      </c>
      <c r="P4" s="7"/>
      <c r="Q4" s="7"/>
      <c r="R4" s="31" t="s">
        <v>128</v>
      </c>
      <c r="S4" s="68" t="str">
        <f>IFERROR(R4/P4,"")</f>
        <v/>
      </c>
      <c r="T4" s="7"/>
      <c r="U4" s="7"/>
      <c r="V4" s="31"/>
      <c r="W4" s="68" t="str">
        <f>IFERROR(V4/T4,"")</f>
        <v/>
      </c>
      <c r="X4" s="33" t="s">
        <v>399</v>
      </c>
      <c r="Y4" s="7">
        <v>17840</v>
      </c>
      <c r="Z4" s="7">
        <v>35000</v>
      </c>
      <c r="AA4" s="31">
        <v>6076.5937762521362</v>
      </c>
      <c r="AB4" s="68">
        <f>IFERROR(AA4/Y4,"")</f>
        <v>0.34061624306346056</v>
      </c>
      <c r="AC4" s="33" t="s">
        <v>98</v>
      </c>
      <c r="AD4" s="7">
        <v>4500</v>
      </c>
      <c r="AE4" s="7">
        <v>10500</v>
      </c>
      <c r="AF4" s="31">
        <v>1858.5484379073607</v>
      </c>
      <c r="AG4" s="68">
        <f>IFERROR(AF4/AD4,"")</f>
        <v>0.4130107639794135</v>
      </c>
      <c r="AH4" s="7">
        <v>3000</v>
      </c>
      <c r="AI4" s="7">
        <v>6000</v>
      </c>
      <c r="AJ4" s="31">
        <v>1050.5943664725819</v>
      </c>
      <c r="AK4" s="68">
        <f>IFERROR(AJ4/AH4,"")</f>
        <v>0.35019812215752733</v>
      </c>
      <c r="AL4" s="7">
        <v>450</v>
      </c>
      <c r="AM4" s="7">
        <v>800</v>
      </c>
      <c r="AN4" s="31">
        <v>139.90986645809795</v>
      </c>
      <c r="AO4" s="68">
        <f>IFERROR(AN4/AL4,"")</f>
        <v>0.31091081435132878</v>
      </c>
      <c r="AP4" s="7">
        <v>82500</v>
      </c>
      <c r="AQ4" s="7">
        <v>186900</v>
      </c>
      <c r="AR4" s="31">
        <v>32013.719157360731</v>
      </c>
      <c r="AS4" s="68">
        <f>IFERROR(AR4/AP4,"")</f>
        <v>0.3880450806952816</v>
      </c>
      <c r="AT4" s="7">
        <v>75000</v>
      </c>
      <c r="AU4" s="7">
        <v>180000</v>
      </c>
      <c r="AV4" s="31">
        <v>30869.943295385412</v>
      </c>
      <c r="AW4" s="68">
        <f>IFERROR(AV4/AT4,"")</f>
        <v>0.41159924393847214</v>
      </c>
      <c r="AX4" s="7">
        <v>75000</v>
      </c>
      <c r="AY4" s="7">
        <v>200000</v>
      </c>
      <c r="AZ4" s="31">
        <v>32902.532154340835</v>
      </c>
      <c r="BA4" s="68">
        <f>IFERROR(AZ4/AX4,"")</f>
        <v>0.43870042872454446</v>
      </c>
      <c r="BB4" s="7">
        <v>72000</v>
      </c>
      <c r="BC4" s="7">
        <v>180000</v>
      </c>
      <c r="BD4" s="31">
        <v>27668.615842530635</v>
      </c>
      <c r="BE4" s="68">
        <f>IFERROR(BD4/BB4,"")</f>
        <v>0.38428633114625882</v>
      </c>
      <c r="BF4" s="7">
        <v>60000</v>
      </c>
      <c r="BG4" s="7">
        <v>150000</v>
      </c>
      <c r="BH4" s="31">
        <v>22707.82865864256</v>
      </c>
      <c r="BI4" s="68">
        <f>IFERROR(BH4/BF4,"")</f>
        <v>0.37846381097737603</v>
      </c>
      <c r="BJ4" s="29">
        <v>37500</v>
      </c>
      <c r="BK4" s="29">
        <v>90000</v>
      </c>
      <c r="BL4" s="31">
        <f>IF(BK4/(INDEX('Standards for Conversions'!$H$47:$H$73,MATCH(BJ$2,'Standards for Conversions'!$A$47:$A$73,0)))=0,"",BK4/(INDEX('Standards for Conversions'!$H$47:$H$73,MATCH(BJ$2,'Standards for Conversions'!$A$47:$A$73,0))))</f>
        <v>13072.087099157035</v>
      </c>
      <c r="BM4" s="68">
        <f>IFERROR(BL4/BJ4,"")</f>
        <v>0.3485889893108543</v>
      </c>
      <c r="BN4" s="29">
        <v>22500</v>
      </c>
      <c r="BO4" s="29">
        <v>60000</v>
      </c>
      <c r="BP4" s="31">
        <f>IF(BO4/(INDEX('Standards for Conversions'!$H$47:$H$73,MATCH(BN$2,'Standards for Conversions'!$A$47:$A$73,0)))=0,"",BO4/(INDEX('Standards for Conversions'!$H$47:$H$73,MATCH(BN$2,'Standards for Conversions'!$A$47:$A$73,0))))</f>
        <v>8676.6136916659416</v>
      </c>
      <c r="BQ4" s="68">
        <f>IFERROR(BP4/BN4,"")</f>
        <v>0.38562727518515294</v>
      </c>
      <c r="BR4" s="29">
        <v>27000</v>
      </c>
      <c r="BS4" s="29">
        <v>70000</v>
      </c>
      <c r="BT4" s="31">
        <f>IF(BS4/(INDEX('Standards for Conversions'!$H$47:$H$73,MATCH(BR$2,'Standards for Conversions'!$A$47:$A$73,0)))=0,"",BS4/(INDEX('Standards for Conversions'!$H$47:$H$73,MATCH(BR$2,'Standards for Conversions'!$A$47:$A$73,0))))</f>
        <v>11323.213768430809</v>
      </c>
      <c r="BU4" s="68">
        <f>IFERROR(BT4/BR4,"")</f>
        <v>0.41937828771965957</v>
      </c>
      <c r="BV4" s="29">
        <v>15000</v>
      </c>
      <c r="BW4" s="29">
        <v>45000</v>
      </c>
      <c r="BX4" s="31">
        <f>IF(BW4/(INDEX('Standards for Conversions'!$H$47:$H$73,MATCH(BV$2,'Standards for Conversions'!$A$47:$A$73,0)))=0,"",BW4/(INDEX('Standards for Conversions'!$H$47:$H$73,MATCH(BV$2,'Standards for Conversions'!$A$47:$A$73,0))))</f>
        <v>6869.5151592508901</v>
      </c>
      <c r="BY4" s="68">
        <f>IFERROR(BX4/BV4,"")</f>
        <v>0.45796767728339266</v>
      </c>
      <c r="BZ4" s="29">
        <v>12000</v>
      </c>
      <c r="CA4" s="29">
        <v>40000</v>
      </c>
      <c r="CB4" s="31">
        <f>IF(CA4/(INDEX('Standards for Conversions'!$H$47:$H$73,MATCH(BZ$2,'Standards for Conversions'!$A$47:$A$73,0)))=0,"",CA4/(INDEX('Standards for Conversions'!$H$47:$H$73,MATCH(BZ$2,'Standards for Conversions'!$A$47:$A$73,0))))</f>
        <v>5386.3604762318582</v>
      </c>
      <c r="CC4" s="68">
        <f>IFERROR(CB4/BZ4,"")</f>
        <v>0.4488633730193215</v>
      </c>
      <c r="CD4" s="29">
        <v>9000</v>
      </c>
      <c r="CE4" s="29">
        <v>30000</v>
      </c>
      <c r="CF4" s="31">
        <f>IF(CE4/(INDEX('Standards for Conversions'!$H$47:$H$73,MATCH(CD$2,'Standards for Conversions'!$A$47:$A$73,0)))=0,"",CE4/(INDEX('Standards for Conversions'!$H$47:$H$73,MATCH(CD$2,'Standards for Conversions'!$A$47:$A$73,0))))</f>
        <v>3648.4970018249755</v>
      </c>
      <c r="CG4" s="68">
        <f>IFERROR(CF4/CD4,"")</f>
        <v>0.4053885557583306</v>
      </c>
      <c r="CH4" s="7">
        <f>5000*1.5</f>
        <v>7500</v>
      </c>
      <c r="CI4" s="7">
        <v>28000</v>
      </c>
      <c r="CJ4" s="31">
        <f>IF(CI4/(INDEX('Standards for Conversions'!$H$47:$H$73,MATCH(CH$2,'Standards for Conversions'!$A$47:$A$73,0)))=0,"",CI4/(INDEX('Standards for Conversions'!$H$47:$H$73,MATCH(CH$2,'Standards for Conversions'!$A$47:$A$73,0))))</f>
        <v>2744.8418716143792</v>
      </c>
      <c r="CK4" s="68">
        <f>IFERROR(CJ4/CH4,"")</f>
        <v>0.36597891621525058</v>
      </c>
      <c r="CL4" s="45"/>
      <c r="CM4" s="44"/>
      <c r="CN4" s="31" t="str">
        <f>IF(CM4/(INDEX('Standards for Conversions'!$H$47:$H$73,MATCH(CL$2,'Standards for Conversions'!$A$47:$A$73,0)))=0,"",CM4/(INDEX('Standards for Conversions'!$H$47:$H$73,MATCH(CL$2,'Standards for Conversions'!$A$47:$A$73,0))))</f>
        <v/>
      </c>
      <c r="CO4" s="68" t="str">
        <f>IFERROR(CN4/CL4,"")</f>
        <v/>
      </c>
      <c r="CP4" s="45"/>
      <c r="CQ4" s="44"/>
      <c r="CR4" s="31" t="str">
        <f>IF(CQ4/(INDEX('Standards for Conversions'!$H$47:$H$73,MATCH(CP$2,'Standards for Conversions'!$A$47:$A$73,0)))=0,"",CQ4/(INDEX('Standards for Conversions'!$H$47:$H$73,MATCH(CP$2,'Standards for Conversions'!$A$47:$A$73,0))))</f>
        <v/>
      </c>
      <c r="CS4" s="68" t="str">
        <f>IFERROR(CR4/CP4,"")</f>
        <v/>
      </c>
      <c r="CT4" s="45"/>
      <c r="CU4" s="44"/>
      <c r="CV4" s="31" t="str">
        <f>IF(CU4/(INDEX('Standards for Conversions'!$H$47:$H$73,MATCH(CT$2,'Standards for Conversions'!$A$47:$A$73,0)))=0,"",CU4/(INDEX('Standards for Conversions'!$H$47:$H$73,MATCH(CT$2,'Standards for Conversions'!$A$47:$A$73,0))))</f>
        <v/>
      </c>
      <c r="CW4" s="68" t="str">
        <f>IFERROR(CV4/CT4,"")</f>
        <v/>
      </c>
      <c r="CX4" s="45"/>
      <c r="CY4" s="44"/>
      <c r="CZ4" s="31" t="str">
        <f>IF(CY4/(INDEX('Standards for Conversions'!$H$47:$H$73,MATCH(CX$2,'Standards for Conversions'!$A$47:$A$73,0)))=0,"",CY4/(INDEX('Standards for Conversions'!$H$47:$H$73,MATCH(CX$2,'Standards for Conversions'!$A$47:$A$73,0))))</f>
        <v/>
      </c>
      <c r="DA4" s="68" t="str">
        <f>IFERROR(CZ4/CX4,"")</f>
        <v/>
      </c>
      <c r="DB4" s="45"/>
      <c r="DC4" s="44"/>
      <c r="DD4" s="31" t="str">
        <f>IF(DC4/(INDEX('Standards for Conversions'!$H$47:$H$73,MATCH(DB$2,'Standards for Conversions'!$A$47:$A$73,0)))=0,"",DC4/(INDEX('Standards for Conversions'!$H$47:$H$73,MATCH(DB$2,'Standards for Conversions'!$A$47:$A$73,0))))</f>
        <v/>
      </c>
      <c r="DE4" s="68" t="str">
        <f>IFERROR(DD4/DB4,"")</f>
        <v/>
      </c>
      <c r="DF4" s="45"/>
      <c r="DG4" s="44"/>
      <c r="DH4" s="31" t="str">
        <f>IF(DG4/(INDEX('Standards for Conversions'!$H$47:$H$73,MATCH(DF$2,'Standards for Conversions'!$A$47:$A$73,0)))=0,"",DG4/(INDEX('Standards for Conversions'!$H$47:$H$73,MATCH(DF$2,'Standards for Conversions'!$A$47:$A$73,0))))</f>
        <v/>
      </c>
      <c r="DI4" s="68" t="str">
        <f>IFERROR(DH4/DF4,"")</f>
        <v/>
      </c>
      <c r="DJ4" s="45"/>
      <c r="DK4" s="44"/>
      <c r="DL4" s="31" t="str">
        <f>IF(DK4/(INDEX('Standards for Conversions'!$H$47:$H$73,MATCH(DJ$2,'Standards for Conversions'!$A$47:$A$73,0)))=0,"",DK4/(INDEX('Standards for Conversions'!$H$47:$H$73,MATCH(DJ$2,'Standards for Conversions'!$A$47:$A$73,0))))</f>
        <v/>
      </c>
      <c r="DM4" s="68" t="str">
        <f>IFERROR(DL4/DJ4,"")</f>
        <v/>
      </c>
      <c r="DN4" s="45"/>
      <c r="DO4" s="44"/>
      <c r="DP4" s="31" t="str">
        <f>IF(DO4/(INDEX('Standards for Conversions'!$H$47:$H$73,MATCH(DN$2,'Standards for Conversions'!$A$47:$A$73,0)))=0,"",DO4/(INDEX('Standards for Conversions'!$H$47:$H$73,MATCH(DN$2,'Standards for Conversions'!$A$47:$A$73,0))))</f>
        <v/>
      </c>
      <c r="DQ4" s="68" t="str">
        <f>IFERROR(DP4/DN4,"")</f>
        <v/>
      </c>
      <c r="DR4" s="45"/>
      <c r="DS4" s="44"/>
      <c r="DT4" s="31" t="str">
        <f>IF(DS4/(INDEX('Standards for Conversions'!$H$47:$H$73,MATCH(DR$2,'Standards for Conversions'!$A$47:$A$73,0)))=0,"",DS4/(INDEX('Standards for Conversions'!$H$47:$H$73,MATCH(DR$2,'Standards for Conversions'!$A$47:$A$73,0))))</f>
        <v/>
      </c>
      <c r="DU4" s="68" t="str">
        <f>IFERROR(DT4/DR4,"")</f>
        <v/>
      </c>
      <c r="DV4" s="45"/>
      <c r="DW4" s="44"/>
      <c r="DX4" s="31" t="str">
        <f>IF(DW4/(INDEX('Standards for Conversions'!$H$47:$H$73,MATCH(DV$2,'Standards for Conversions'!$A$47:$A$73,0)))=0,"",DW4/(INDEX('Standards for Conversions'!$H$47:$H$73,MATCH(DV$2,'Standards for Conversions'!$A$47:$A$73,0))))</f>
        <v/>
      </c>
      <c r="DY4" s="68" t="str">
        <f>IFERROR(DX4/DV4,"")</f>
        <v/>
      </c>
      <c r="DZ4" s="45"/>
      <c r="EA4" s="44"/>
      <c r="EB4" s="68" t="str">
        <f>IFERROR(EA4/DZ4,"")</f>
        <v/>
      </c>
      <c r="EC4" s="43"/>
      <c r="ED4" s="44"/>
      <c r="EE4" s="68" t="str">
        <f>IFERROR(ED4/EC4,"")</f>
        <v/>
      </c>
      <c r="EF4" s="43"/>
      <c r="EG4" s="44"/>
      <c r="EH4" s="68" t="str">
        <f>IFERROR(EG4/EF4,"")</f>
        <v/>
      </c>
      <c r="EK4" s="68" t="str">
        <f>IFERROR(EJ4/EI4,"")</f>
        <v/>
      </c>
      <c r="EN4" s="68" t="str">
        <f>IFERROR(EM4/EL4,"")</f>
        <v/>
      </c>
      <c r="EO4" s="29">
        <f>(6)*20</f>
        <v>120</v>
      </c>
      <c r="EP4" s="29">
        <v>54</v>
      </c>
      <c r="EQ4" s="68">
        <f>IFERROR(EP4/EO4,"")</f>
        <v>0.45</v>
      </c>
      <c r="ET4" s="68" t="str">
        <f>IFERROR(ES4/ER4,"")</f>
        <v/>
      </c>
    </row>
    <row r="5" spans="1:150" ht="15.6" x14ac:dyDescent="0.3">
      <c r="A5" s="101" t="s">
        <v>68</v>
      </c>
      <c r="B5" s="52" t="s">
        <v>400</v>
      </c>
      <c r="C5" s="10" t="s">
        <v>374</v>
      </c>
      <c r="D5" s="10">
        <v>600</v>
      </c>
      <c r="E5" s="10">
        <v>13000</v>
      </c>
      <c r="F5" s="31">
        <v>2568.0489864864862</v>
      </c>
      <c r="G5" s="68">
        <f t="shared" ref="G5:G14" si="0">IFERROR(F5/D5,"")</f>
        <v>4.2800816441441434</v>
      </c>
      <c r="H5" s="7">
        <v>1200</v>
      </c>
      <c r="I5" s="7">
        <v>20000</v>
      </c>
      <c r="J5" s="31">
        <v>3853.4497117696469</v>
      </c>
      <c r="K5" s="68">
        <f t="shared" ref="K5:K14" si="1">IFERROR(J5/H5,"")</f>
        <v>3.2112080931413725</v>
      </c>
      <c r="L5" s="7">
        <v>1500</v>
      </c>
      <c r="M5" s="7">
        <v>22000</v>
      </c>
      <c r="N5" s="31">
        <v>3931.3656180296048</v>
      </c>
      <c r="O5" s="68">
        <f t="shared" ref="O5:O14" si="2">IFERROR(N5/L5,"")</f>
        <v>2.6209104120197364</v>
      </c>
      <c r="P5" s="7">
        <v>3000</v>
      </c>
      <c r="Q5" s="7">
        <v>70000</v>
      </c>
      <c r="R5" s="31">
        <v>12997.982297007618</v>
      </c>
      <c r="S5" s="68">
        <f t="shared" ref="S5:S14" si="3">IFERROR(R5/P5,"")</f>
        <v>4.332660765669206</v>
      </c>
      <c r="T5" s="7">
        <v>300</v>
      </c>
      <c r="U5" s="7">
        <v>7500</v>
      </c>
      <c r="V5" s="31">
        <v>1335.4743987355521</v>
      </c>
      <c r="W5" s="68">
        <f t="shared" ref="W5:W14" si="4">IFERROR(V5/T5,"")</f>
        <v>4.4515813291185067</v>
      </c>
      <c r="X5" s="6" t="s">
        <v>374</v>
      </c>
      <c r="Y5" s="7">
        <v>400</v>
      </c>
      <c r="Z5" s="7">
        <v>11000</v>
      </c>
      <c r="AA5" s="31">
        <v>1909.7866153935286</v>
      </c>
      <c r="AB5" s="68">
        <f t="shared" ref="AB5:AB14" si="5">IFERROR(AA5/Y5,"")</f>
        <v>4.7744665384838214</v>
      </c>
      <c r="AC5" s="33" t="s">
        <v>98</v>
      </c>
      <c r="AD5" s="7">
        <v>1750</v>
      </c>
      <c r="AE5" s="7">
        <v>3500</v>
      </c>
      <c r="AF5" s="31">
        <v>619.51614596912032</v>
      </c>
      <c r="AG5" s="68">
        <f t="shared" ref="AG5:AG15" si="6">IFERROR(AF5/AD5,"")</f>
        <v>0.35400922626806874</v>
      </c>
      <c r="AH5" s="7">
        <v>8750</v>
      </c>
      <c r="AI5" s="7">
        <v>15000</v>
      </c>
      <c r="AJ5" s="31">
        <v>2626.4859161814547</v>
      </c>
      <c r="AK5" s="68">
        <f t="shared" ref="AK5:AK14" si="7">IFERROR(AJ5/AH5,"")</f>
        <v>0.30016981899216627</v>
      </c>
      <c r="AL5" s="7">
        <v>1750</v>
      </c>
      <c r="AM5" s="7">
        <v>3000</v>
      </c>
      <c r="AN5" s="31">
        <v>524.66199921786733</v>
      </c>
      <c r="AO5" s="68">
        <f t="shared" ref="AO5:AO14" si="8">IFERROR(AN5/AL5,"")</f>
        <v>0.29980685669592422</v>
      </c>
      <c r="AP5" s="7">
        <v>7000</v>
      </c>
      <c r="AQ5" s="7">
        <v>12000</v>
      </c>
      <c r="AR5" s="31">
        <v>2055.4554836186667</v>
      </c>
      <c r="AS5" s="68">
        <f t="shared" ref="AS5:AS15" si="9">IFERROR(AR5/AP5,"")</f>
        <v>0.29363649765980954</v>
      </c>
      <c r="AT5" s="7">
        <v>8750</v>
      </c>
      <c r="AU5" s="7">
        <v>15000</v>
      </c>
      <c r="AV5" s="31">
        <v>2572.4952746154509</v>
      </c>
      <c r="AW5" s="68">
        <f t="shared" ref="AW5:AW15" si="10">IFERROR(AV5/AT5,"")</f>
        <v>0.29399945995605153</v>
      </c>
      <c r="AX5" s="7">
        <v>7875</v>
      </c>
      <c r="AY5" s="7">
        <v>12500</v>
      </c>
      <c r="AZ5" s="31">
        <v>2056.4082596463022</v>
      </c>
      <c r="BA5" s="68">
        <f t="shared" ref="BA5:BA15" si="11">IFERROR(AZ5/AX5,"")</f>
        <v>0.26113120757413361</v>
      </c>
      <c r="BB5" s="7">
        <v>8225</v>
      </c>
      <c r="BC5" s="7">
        <v>14000</v>
      </c>
      <c r="BD5" s="31">
        <v>2152.0034544190494</v>
      </c>
      <c r="BE5" s="68">
        <f t="shared" ref="BE5:BE15" si="12">IFERROR(BD5/BB5,"")</f>
        <v>0.26164175737617623</v>
      </c>
      <c r="BF5" s="7">
        <v>7000</v>
      </c>
      <c r="BG5" s="7">
        <v>12000</v>
      </c>
      <c r="BH5" s="31">
        <v>1816.6262926914048</v>
      </c>
      <c r="BI5" s="68">
        <f t="shared" ref="BI5:BI15" si="13">IFERROR(BH5/BF5,"")</f>
        <v>0.25951804181305782</v>
      </c>
      <c r="BJ5" s="29">
        <v>6125</v>
      </c>
      <c r="BK5" s="29">
        <v>10000</v>
      </c>
      <c r="BL5" s="31">
        <f>IF(BK5/(INDEX('Standards for Conversions'!$H$47:$H$73,MATCH(BJ$2,'Standards for Conversions'!$A$47:$A$73,0)))=0,"",BK5/(INDEX('Standards for Conversions'!$H$47:$H$73,MATCH(BJ$2,'Standards for Conversions'!$A$47:$A$73,0))))</f>
        <v>1452.4541221285597</v>
      </c>
      <c r="BM5" s="68">
        <f t="shared" ref="BM5:BM15" si="14">IFERROR(BL5/BJ5,"")</f>
        <v>0.23713536687813219</v>
      </c>
      <c r="BN5" s="29">
        <v>5250</v>
      </c>
      <c r="BO5" s="29">
        <v>8500</v>
      </c>
      <c r="BP5" s="31">
        <f>IF(BO5/(INDEX('Standards for Conversions'!$H$47:$H$73,MATCH(BN$2,'Standards for Conversions'!$A$47:$A$73,0)))=0,"",BO5/(INDEX('Standards for Conversions'!$H$47:$H$73,MATCH(BN$2,'Standards for Conversions'!$A$47:$A$73,0))))</f>
        <v>1229.1869396526752</v>
      </c>
      <c r="BQ5" s="68">
        <f t="shared" ref="BQ5:BQ15" si="15">IFERROR(BP5/BN5,"")</f>
        <v>0.23413084564812861</v>
      </c>
      <c r="BR5" s="29">
        <v>6125</v>
      </c>
      <c r="BS5" s="29">
        <v>9000</v>
      </c>
      <c r="BT5" s="31">
        <f>IF(BS5/(INDEX('Standards for Conversions'!$H$47:$H$73,MATCH(BR$2,'Standards for Conversions'!$A$47:$A$73,0)))=0,"",BS5/(INDEX('Standards for Conversions'!$H$47:$H$73,MATCH(BR$2,'Standards for Conversions'!$A$47:$A$73,0))))</f>
        <v>1455.8417702268182</v>
      </c>
      <c r="BU5" s="68">
        <f t="shared" ref="BU5:BU15" si="16">IFERROR(BT5/BR5,"")</f>
        <v>0.2376884522819295</v>
      </c>
      <c r="BV5" s="29">
        <v>7000</v>
      </c>
      <c r="BW5" s="29">
        <v>12000</v>
      </c>
      <c r="BX5" s="31">
        <f>IF(BW5/(INDEX('Standards for Conversions'!$H$47:$H$73,MATCH(BV$2,'Standards for Conversions'!$A$47:$A$73,0)))=0,"",BW5/(INDEX('Standards for Conversions'!$H$47:$H$73,MATCH(BV$2,'Standards for Conversions'!$A$47:$A$73,0))))</f>
        <v>1831.8707091335707</v>
      </c>
      <c r="BY5" s="68">
        <f t="shared" ref="BY5:BY15" si="17">IFERROR(BX5/BV5,"")</f>
        <v>0.26169581559051008</v>
      </c>
      <c r="BZ5" s="29">
        <v>5250</v>
      </c>
      <c r="CA5" s="29">
        <v>11000</v>
      </c>
      <c r="CB5" s="31">
        <f>IF(CA5/(INDEX('Standards for Conversions'!$H$47:$H$73,MATCH(BZ$2,'Standards for Conversions'!$A$47:$A$73,0)))=0,"",CA5/(INDEX('Standards for Conversions'!$H$47:$H$73,MATCH(BZ$2,'Standards for Conversions'!$A$47:$A$73,0))))</f>
        <v>1481.249130963761</v>
      </c>
      <c r="CC5" s="68">
        <f t="shared" ref="CC5:CC15" si="18">IFERROR(CB5/BZ5,"")</f>
        <v>0.28214269161214495</v>
      </c>
      <c r="CD5" s="29">
        <v>3500</v>
      </c>
      <c r="CE5" s="29">
        <v>6000</v>
      </c>
      <c r="CF5" s="31">
        <f>IF(CE5/(INDEX('Standards for Conversions'!$H$47:$H$73,MATCH(CD$2,'Standards for Conversions'!$A$47:$A$73,0)))=0,"",CE5/(INDEX('Standards for Conversions'!$H$47:$H$73,MATCH(CD$2,'Standards for Conversions'!$A$47:$A$73,0))))</f>
        <v>729.69940036499509</v>
      </c>
      <c r="CG5" s="68">
        <f t="shared" ref="CG5:CG15" si="19">IFERROR(CF5/CD5,"")</f>
        <v>0.20848554296142716</v>
      </c>
      <c r="CH5" s="7">
        <f>1800*1.75</f>
        <v>3150</v>
      </c>
      <c r="CI5" s="7">
        <v>5000</v>
      </c>
      <c r="CJ5" s="31">
        <f>IF(CI5/(INDEX('Standards for Conversions'!$H$47:$H$73,MATCH(CH$2,'Standards for Conversions'!$A$47:$A$73,0)))=0,"",CI5/(INDEX('Standards for Conversions'!$H$47:$H$73,MATCH(CH$2,'Standards for Conversions'!$A$47:$A$73,0))))</f>
        <v>490.15033421685348</v>
      </c>
      <c r="CK5" s="68">
        <f t="shared" ref="CK5:CK15" si="20">IFERROR(CJ5/CH5,"")</f>
        <v>0.155603280703763</v>
      </c>
      <c r="CL5" s="45"/>
      <c r="CM5" s="44"/>
      <c r="CN5" s="31" t="str">
        <f>IF(CM5/(INDEX('Standards for Conversions'!$H$47:$H$73,MATCH(CL$2,'Standards for Conversions'!$A$47:$A$73,0)))=0,"",CM5/(INDEX('Standards for Conversions'!$H$47:$H$73,MATCH(CL$2,'Standards for Conversions'!$A$47:$A$73,0))))</f>
        <v/>
      </c>
      <c r="CO5" s="68" t="str">
        <f t="shared" ref="CO5:CO14" si="21">IFERROR(CN5/CL5,"")</f>
        <v/>
      </c>
      <c r="CP5" s="45"/>
      <c r="CQ5" s="44"/>
      <c r="CR5" s="31" t="str">
        <f>IF(CQ5/(INDEX('Standards for Conversions'!$H$47:$H$73,MATCH(CP$2,'Standards for Conversions'!$A$47:$A$73,0)))=0,"",CQ5/(INDEX('Standards for Conversions'!$H$47:$H$73,MATCH(CP$2,'Standards for Conversions'!$A$47:$A$73,0))))</f>
        <v/>
      </c>
      <c r="CS5" s="68" t="str">
        <f t="shared" ref="CS5:CS14" si="22">IFERROR(CR5/CP5,"")</f>
        <v/>
      </c>
      <c r="CT5" s="45"/>
      <c r="CU5" s="44"/>
      <c r="CV5" s="31" t="str">
        <f>IF(CU5/(INDEX('Standards for Conversions'!$H$47:$H$73,MATCH(CT$2,'Standards for Conversions'!$A$47:$A$73,0)))=0,"",CU5/(INDEX('Standards for Conversions'!$H$47:$H$73,MATCH(CT$2,'Standards for Conversions'!$A$47:$A$73,0))))</f>
        <v/>
      </c>
      <c r="CW5" s="68" t="str">
        <f t="shared" ref="CW5:CW14" si="23">IFERROR(CV5/CT5,"")</f>
        <v/>
      </c>
      <c r="CX5" s="45"/>
      <c r="CY5" s="44"/>
      <c r="CZ5" s="31" t="str">
        <f>IF(CY5/(INDEX('Standards for Conversions'!$H$47:$H$73,MATCH(CX$2,'Standards for Conversions'!$A$47:$A$73,0)))=0,"",CY5/(INDEX('Standards for Conversions'!$H$47:$H$73,MATCH(CX$2,'Standards for Conversions'!$A$47:$A$73,0))))</f>
        <v/>
      </c>
      <c r="DA5" s="68" t="str">
        <f t="shared" ref="DA5:DA14" si="24">IFERROR(CZ5/CX5,"")</f>
        <v/>
      </c>
      <c r="DB5" s="45"/>
      <c r="DC5" s="44"/>
      <c r="DD5" s="31" t="str">
        <f>IF(DC5/(INDEX('Standards for Conversions'!$H$47:$H$73,MATCH(DB$2,'Standards for Conversions'!$A$47:$A$73,0)))=0,"",DC5/(INDEX('Standards for Conversions'!$H$47:$H$73,MATCH(DB$2,'Standards for Conversions'!$A$47:$A$73,0))))</f>
        <v/>
      </c>
      <c r="DE5" s="68" t="str">
        <f t="shared" ref="DE5:DE14" si="25">IFERROR(DD5/DB5,"")</f>
        <v/>
      </c>
      <c r="DF5" s="45"/>
      <c r="DG5" s="44"/>
      <c r="DH5" s="31" t="str">
        <f>IF(DG5/(INDEX('Standards for Conversions'!$H$47:$H$73,MATCH(DF$2,'Standards for Conversions'!$A$47:$A$73,0)))=0,"",DG5/(INDEX('Standards for Conversions'!$H$47:$H$73,MATCH(DF$2,'Standards for Conversions'!$A$47:$A$73,0))))</f>
        <v/>
      </c>
      <c r="DI5" s="68" t="str">
        <f t="shared" ref="DI5:DI14" si="26">IFERROR(DH5/DF5,"")</f>
        <v/>
      </c>
      <c r="DJ5" s="45"/>
      <c r="DK5" s="44"/>
      <c r="DL5" s="31" t="str">
        <f>IF(DK5/(INDEX('Standards for Conversions'!$H$47:$H$73,MATCH(DJ$2,'Standards for Conversions'!$A$47:$A$73,0)))=0,"",DK5/(INDEX('Standards for Conversions'!$H$47:$H$73,MATCH(DJ$2,'Standards for Conversions'!$A$47:$A$73,0))))</f>
        <v/>
      </c>
      <c r="DM5" s="68" t="str">
        <f t="shared" ref="DM5:DM14" si="27">IFERROR(DL5/DJ5,"")</f>
        <v/>
      </c>
      <c r="DN5" s="45"/>
      <c r="DO5" s="44"/>
      <c r="DP5" s="31" t="str">
        <f>IF(DO5/(INDEX('Standards for Conversions'!$H$47:$H$73,MATCH(DN$2,'Standards for Conversions'!$A$47:$A$73,0)))=0,"",DO5/(INDEX('Standards for Conversions'!$H$47:$H$73,MATCH(DN$2,'Standards for Conversions'!$A$47:$A$73,0))))</f>
        <v/>
      </c>
      <c r="DQ5" s="68" t="str">
        <f t="shared" ref="DQ5:DQ14" si="28">IFERROR(DP5/DN5,"")</f>
        <v/>
      </c>
      <c r="DR5" s="45"/>
      <c r="DS5" s="44"/>
      <c r="DT5" s="31" t="str">
        <f>IF(DS5/(INDEX('Standards for Conversions'!$H$47:$H$73,MATCH(DR$2,'Standards for Conversions'!$A$47:$A$73,0)))=0,"",DS5/(INDEX('Standards for Conversions'!$H$47:$H$73,MATCH(DR$2,'Standards for Conversions'!$A$47:$A$73,0))))</f>
        <v/>
      </c>
      <c r="DU5" s="68" t="str">
        <f t="shared" ref="DU5:DU14" si="29">IFERROR(DT5/DR5,"")</f>
        <v/>
      </c>
      <c r="DV5" s="45"/>
      <c r="DW5" s="44"/>
      <c r="DX5" s="31" t="str">
        <f>IF(DW5/(INDEX('Standards for Conversions'!$H$47:$H$73,MATCH(DV$2,'Standards for Conversions'!$A$47:$A$73,0)))=0,"",DW5/(INDEX('Standards for Conversions'!$H$47:$H$73,MATCH(DV$2,'Standards for Conversions'!$A$47:$A$73,0))))</f>
        <v/>
      </c>
      <c r="DY5" s="68" t="str">
        <f t="shared" ref="DY5:DY14" si="30">IFERROR(DX5/DV5,"")</f>
        <v/>
      </c>
      <c r="DZ5" s="45"/>
      <c r="EA5" s="44"/>
      <c r="EB5" s="68" t="str">
        <f t="shared" ref="EB5:EB14" si="31">IFERROR(EA5/DZ5,"")</f>
        <v/>
      </c>
      <c r="EC5" s="43"/>
      <c r="ED5" s="44"/>
      <c r="EE5" s="68" t="str">
        <f t="shared" ref="EE5:EE14" si="32">IFERROR(ED5/EC5,"")</f>
        <v/>
      </c>
      <c r="EF5" s="43"/>
      <c r="EG5" s="44"/>
      <c r="EH5" s="68" t="str">
        <f t="shared" ref="EH5:EH14" si="33">IFERROR(EG5/EF5,"")</f>
        <v/>
      </c>
      <c r="EK5" s="68" t="str">
        <f t="shared" ref="EK5:EK14" si="34">IFERROR(EJ5/EI5,"")</f>
        <v/>
      </c>
      <c r="EN5" s="68" t="str">
        <f t="shared" ref="EN5:EN14" si="35">IFERROR(EM5/EL5,"")</f>
        <v/>
      </c>
      <c r="EO5" s="29">
        <v>147</v>
      </c>
      <c r="EP5" s="29">
        <v>56</v>
      </c>
      <c r="EQ5" s="68">
        <f t="shared" ref="EQ5:EQ14" si="36">IFERROR(EP5/EO5,"")</f>
        <v>0.38095238095238093</v>
      </c>
      <c r="ER5" s="29">
        <v>1876</v>
      </c>
      <c r="ES5" s="29">
        <v>702</v>
      </c>
      <c r="ET5" s="68">
        <f t="shared" ref="ET5:ET14" si="37">IFERROR(ES5/ER5,"")</f>
        <v>0.3742004264392324</v>
      </c>
    </row>
    <row r="6" spans="1:150" ht="15.6" x14ac:dyDescent="0.3">
      <c r="A6" s="101" t="s">
        <v>162</v>
      </c>
      <c r="B6" s="52" t="s">
        <v>131</v>
      </c>
      <c r="C6" s="33" t="s">
        <v>98</v>
      </c>
      <c r="D6" s="7"/>
      <c r="E6" s="7"/>
      <c r="F6" s="31" t="s">
        <v>128</v>
      </c>
      <c r="G6" s="68" t="str">
        <f t="shared" si="0"/>
        <v/>
      </c>
      <c r="H6" s="7"/>
      <c r="I6" s="7"/>
      <c r="J6" s="31" t="s">
        <v>128</v>
      </c>
      <c r="K6" s="68" t="str">
        <f t="shared" si="1"/>
        <v/>
      </c>
      <c r="L6" s="7"/>
      <c r="M6" s="7"/>
      <c r="N6" s="31" t="s">
        <v>128</v>
      </c>
      <c r="O6" s="68" t="str">
        <f t="shared" si="2"/>
        <v/>
      </c>
      <c r="P6" s="7"/>
      <c r="Q6" s="7"/>
      <c r="R6" s="31" t="s">
        <v>128</v>
      </c>
      <c r="S6" s="68" t="str">
        <f t="shared" si="3"/>
        <v/>
      </c>
      <c r="T6" s="7"/>
      <c r="U6" s="7"/>
      <c r="V6" s="31" t="s">
        <v>128</v>
      </c>
      <c r="W6" s="68" t="str">
        <f t="shared" si="4"/>
        <v/>
      </c>
      <c r="X6" s="33" t="s">
        <v>98</v>
      </c>
      <c r="Y6" s="7"/>
      <c r="Z6" s="7"/>
      <c r="AA6" s="31" t="s">
        <v>128</v>
      </c>
      <c r="AB6" s="68" t="str">
        <f t="shared" si="5"/>
        <v/>
      </c>
      <c r="AC6" s="33" t="s">
        <v>98</v>
      </c>
      <c r="AD6" s="7"/>
      <c r="AE6" s="7"/>
      <c r="AF6" s="31" t="s">
        <v>128</v>
      </c>
      <c r="AG6" s="68" t="str">
        <f t="shared" si="6"/>
        <v/>
      </c>
      <c r="AH6" s="7"/>
      <c r="AI6" s="7"/>
      <c r="AJ6" s="31" t="s">
        <v>128</v>
      </c>
      <c r="AK6" s="68" t="str">
        <f t="shared" si="7"/>
        <v/>
      </c>
      <c r="AL6" s="7"/>
      <c r="AM6" s="7"/>
      <c r="AN6" s="31" t="s">
        <v>128</v>
      </c>
      <c r="AO6" s="68" t="str">
        <f t="shared" si="8"/>
        <v/>
      </c>
      <c r="AP6" s="7"/>
      <c r="AQ6" s="7"/>
      <c r="AR6" s="31" t="s">
        <v>128</v>
      </c>
      <c r="AS6" s="68" t="str">
        <f t="shared" si="9"/>
        <v/>
      </c>
      <c r="AT6" s="7"/>
      <c r="AU6" s="7"/>
      <c r="AV6" s="31" t="s">
        <v>128</v>
      </c>
      <c r="AW6" s="68" t="str">
        <f t="shared" si="10"/>
        <v/>
      </c>
      <c r="AX6" s="7"/>
      <c r="AY6" s="7"/>
      <c r="AZ6" s="31" t="s">
        <v>128</v>
      </c>
      <c r="BA6" s="68" t="str">
        <f t="shared" si="11"/>
        <v/>
      </c>
      <c r="BB6" s="7"/>
      <c r="BC6" s="7"/>
      <c r="BD6" s="31" t="s">
        <v>128</v>
      </c>
      <c r="BE6" s="68" t="str">
        <f t="shared" si="12"/>
        <v/>
      </c>
      <c r="BF6" s="7"/>
      <c r="BG6" s="7"/>
      <c r="BH6" s="31" t="s">
        <v>128</v>
      </c>
      <c r="BI6" s="68" t="str">
        <f t="shared" si="13"/>
        <v/>
      </c>
      <c r="BL6" s="31" t="str">
        <f>IF(BK6/(INDEX('Standards for Conversions'!$H$47:$H$73,MATCH(BJ$2,'Standards for Conversions'!$A$47:$A$73,0)))=0,"",BK6/(INDEX('Standards for Conversions'!$H$47:$H$73,MATCH(BJ$2,'Standards for Conversions'!$A$47:$A$73,0))))</f>
        <v/>
      </c>
      <c r="BM6" s="68" t="str">
        <f t="shared" si="14"/>
        <v/>
      </c>
      <c r="BP6" s="31" t="str">
        <f>IF(BO6/(INDEX('Standards for Conversions'!$H$47:$H$73,MATCH(BN$2,'Standards for Conversions'!$A$47:$A$73,0)))=0,"",BO6/(INDEX('Standards for Conversions'!$H$47:$H$73,MATCH(BN$2,'Standards for Conversions'!$A$47:$A$73,0))))</f>
        <v/>
      </c>
      <c r="BQ6" s="68" t="str">
        <f t="shared" si="15"/>
        <v/>
      </c>
      <c r="BT6" s="31" t="str">
        <f>IF(BS6/(INDEX('Standards for Conversions'!$H$47:$H$73,MATCH(BR$2,'Standards for Conversions'!$A$47:$A$73,0)))=0,"",BS6/(INDEX('Standards for Conversions'!$H$47:$H$73,MATCH(BR$2,'Standards for Conversions'!$A$47:$A$73,0))))</f>
        <v/>
      </c>
      <c r="BU6" s="68" t="str">
        <f t="shared" si="16"/>
        <v/>
      </c>
      <c r="BX6" s="31" t="str">
        <f>IF(BW6/(INDEX('Standards for Conversions'!$H$47:$H$73,MATCH(BV$2,'Standards for Conversions'!$A$47:$A$73,0)))=0,"",BW6/(INDEX('Standards for Conversions'!$H$47:$H$73,MATCH(BV$2,'Standards for Conversions'!$A$47:$A$73,0))))</f>
        <v/>
      </c>
      <c r="BY6" s="68" t="str">
        <f t="shared" si="17"/>
        <v/>
      </c>
      <c r="CB6" s="31" t="str">
        <f>IF(CA6/(INDEX('Standards for Conversions'!$H$47:$H$73,MATCH(BZ$2,'Standards for Conversions'!$A$47:$A$73,0)))=0,"",CA6/(INDEX('Standards for Conversions'!$H$47:$H$73,MATCH(BZ$2,'Standards for Conversions'!$A$47:$A$73,0))))</f>
        <v/>
      </c>
      <c r="CC6" s="68" t="str">
        <f t="shared" si="18"/>
        <v/>
      </c>
      <c r="CF6" s="31" t="str">
        <f>IF(CE6/(INDEX('Standards for Conversions'!$H$47:$H$73,MATCH(CD$2,'Standards for Conversions'!$A$47:$A$73,0)))=0,"",CE6/(INDEX('Standards for Conversions'!$H$47:$H$73,MATCH(CD$2,'Standards for Conversions'!$A$47:$A$73,0))))</f>
        <v/>
      </c>
      <c r="CG6" s="68" t="str">
        <f t="shared" si="19"/>
        <v/>
      </c>
      <c r="CH6" s="29">
        <f>(11250+2500+728.5+75+80)*20</f>
        <v>292670</v>
      </c>
      <c r="CI6" s="29">
        <f>450000+100000+30000+3000+2000</f>
        <v>585000</v>
      </c>
      <c r="CJ6" s="31">
        <f>IF(CI6/(INDEX('Standards for Conversions'!$H$47:$H$73,MATCH(CH$2,'Standards for Conversions'!$A$47:$A$73,0)))=0,"",CI6/(INDEX('Standards for Conversions'!$H$47:$H$73,MATCH(CH$2,'Standards for Conversions'!$A$47:$A$73,0))))</f>
        <v>57347.589103371858</v>
      </c>
      <c r="CK6" s="68">
        <f t="shared" si="20"/>
        <v>0.19594625039591301</v>
      </c>
      <c r="CL6" s="29">
        <f>(12500+2625+801+100+75)*20</f>
        <v>322020</v>
      </c>
      <c r="CM6" s="29">
        <f>500000+105000+33000+4000+3000</f>
        <v>645000</v>
      </c>
      <c r="CN6" s="31">
        <f>IF(CM6/(INDEX('Standards for Conversions'!$H$47:$H$73,MATCH(CL$2,'Standards for Conversions'!$A$47:$A$73,0)))=0,"",CM6/(INDEX('Standards for Conversions'!$H$47:$H$73,MATCH(CL$2,'Standards for Conversions'!$A$47:$A$73,0))))</f>
        <v>65141.297009429029</v>
      </c>
      <c r="CO6" s="68">
        <f t="shared" si="21"/>
        <v>0.20228960005412405</v>
      </c>
      <c r="CP6" s="29">
        <f>(16083+1414+850+75+100)*20</f>
        <v>370440</v>
      </c>
      <c r="CQ6" s="29">
        <f>643340+66660+35000+3000+4000</f>
        <v>752000</v>
      </c>
      <c r="CR6" s="31">
        <f>IF(CQ6/(INDEX('Standards for Conversions'!$H$47:$H$73,MATCH(CP$2,'Standards for Conversions'!$A$47:$A$73,0)))=0,"",CQ6/(INDEX('Standards for Conversions'!$H$47:$H$73,MATCH(CP$2,'Standards for Conversions'!$A$47:$A$73,0))))</f>
        <v>78495.194084759991</v>
      </c>
      <c r="CS6" s="68">
        <f t="shared" si="22"/>
        <v>0.21189718735762875</v>
      </c>
      <c r="CT6" s="29">
        <f>(14000+1200+700+50+100)*20</f>
        <v>321000</v>
      </c>
      <c r="CU6" s="29">
        <f>750000+70000+40000+2500+5000</f>
        <v>867500</v>
      </c>
      <c r="CV6" s="31">
        <f>IF(CU6/(INDEX('Standards for Conversions'!$H$47:$H$73,MATCH(CT$2,'Standards for Conversions'!$A$47:$A$73,0)))=0,"",CU6/(INDEX('Standards for Conversions'!$H$47:$H$73,MATCH(CT$2,'Standards for Conversions'!$A$47:$A$73,0))))</f>
        <v>81000.253989419463</v>
      </c>
      <c r="CW6" s="68">
        <f t="shared" si="23"/>
        <v>0.25233723984242823</v>
      </c>
      <c r="CX6" s="29">
        <f>(12000+1000+600+175+125)*20</f>
        <v>278000</v>
      </c>
      <c r="CY6" s="29">
        <f>600000+60000+30000+35000+6000</f>
        <v>731000</v>
      </c>
      <c r="CZ6" s="31">
        <f>IF(CY6/(INDEX('Standards for Conversions'!$H$47:$H$73,MATCH(CX$2,'Standards for Conversions'!$A$47:$A$73,0)))=0,"",CY6/(INDEX('Standards for Conversions'!$H$47:$H$73,MATCH(CX$2,'Standards for Conversions'!$A$47:$A$73,0))))</f>
        <v>66707.237342849272</v>
      </c>
      <c r="DA6" s="68">
        <f t="shared" si="24"/>
        <v>0.23995409116132832</v>
      </c>
      <c r="DB6" s="29">
        <f>(11000+800+500+70+100)*20</f>
        <v>249400</v>
      </c>
      <c r="DC6" s="29">
        <f>550000+48000+24000+3200+5000</f>
        <v>630200</v>
      </c>
      <c r="DD6" s="31">
        <f>IF(DC6/(INDEX('Standards for Conversions'!$H$47:$H$73,MATCH(DB$2,'Standards for Conversions'!$A$47:$A$73,0)))=0,"",DC6/(INDEX('Standards for Conversions'!$H$47:$H$73,MATCH(DB$2,'Standards for Conversions'!$A$47:$A$73,0))))</f>
        <v>58576.204377407943</v>
      </c>
      <c r="DE6" s="68">
        <f t="shared" si="25"/>
        <v>0.23486850191422592</v>
      </c>
      <c r="DF6" s="29">
        <f>(12000+1500+1000+100+3566)*20</f>
        <v>363320</v>
      </c>
      <c r="DG6" s="29">
        <f>600000+75000+50000+5000+78297</f>
        <v>808297</v>
      </c>
      <c r="DH6" s="31">
        <f>IF(DG6/(INDEX('Standards for Conversions'!$H$47:$H$73,MATCH(DF$2,'Standards for Conversions'!$A$47:$A$73,0)))=0,"",DG6/(INDEX('Standards for Conversions'!$H$47:$H$73,MATCH(DF$2,'Standards for Conversions'!$A$47:$A$73,0))))</f>
        <v>77526.017817496948</v>
      </c>
      <c r="DI6" s="68">
        <f t="shared" si="26"/>
        <v>0.2133821915047257</v>
      </c>
      <c r="DJ6" s="29">
        <f>(14700+1576+548+403+1987)*20</f>
        <v>384280</v>
      </c>
      <c r="DK6" s="29">
        <f>734860+59865+27223+26590+98370</f>
        <v>946908</v>
      </c>
      <c r="DL6" s="31">
        <f>IF(DK6/(INDEX('Standards for Conversions'!$H$47:$H$73,MATCH(DJ$2,'Standards for Conversions'!$A$47:$A$73,0)))=0,"",DK6/(INDEX('Standards for Conversions'!$H$47:$H$73,MATCH(DJ$2,'Standards for Conversions'!$A$47:$A$73,0))))</f>
        <v>87211.820135026486</v>
      </c>
      <c r="DM6" s="68">
        <f t="shared" si="27"/>
        <v>0.22694863155778724</v>
      </c>
      <c r="DN6" s="29">
        <f>(20100+3180+664+622+2360)*20</f>
        <v>538520</v>
      </c>
      <c r="DO6" s="29">
        <f>826880+191240+40040+37640+142700</f>
        <v>1238500</v>
      </c>
      <c r="DP6" s="31">
        <f>IF(DO6/(INDEX('Standards for Conversions'!$H$47:$H$73,MATCH(DN$2,'Standards for Conversions'!$A$47:$A$73,0)))=0,"",DO6/(INDEX('Standards for Conversions'!$H$47:$H$73,MATCH(DN$2,'Standards for Conversions'!$A$47:$A$73,0))))</f>
        <v>100956.67720825727</v>
      </c>
      <c r="DQ6" s="68">
        <f t="shared" si="28"/>
        <v>0.18747061800538006</v>
      </c>
      <c r="DR6" s="29">
        <f>(15200+2800+420+250+2200)*20</f>
        <v>417400</v>
      </c>
      <c r="DS6" s="29">
        <f>768500+168000+21250+11300+110000</f>
        <v>1079050</v>
      </c>
      <c r="DT6" s="31">
        <f>IF(DS6/(INDEX('Standards for Conversions'!$H$47:$H$73,MATCH(DR$2,'Standards for Conversions'!$A$47:$A$73,0)))=0,"",DS6/(INDEX('Standards for Conversions'!$H$47:$H$73,MATCH(DR$2,'Standards for Conversions'!$A$47:$A$73,0))))</f>
        <v>90472.181590553548</v>
      </c>
      <c r="DU6" s="68">
        <f t="shared" si="29"/>
        <v>0.21675175273251929</v>
      </c>
      <c r="DV6" s="29">
        <f>22800*20</f>
        <v>456000</v>
      </c>
      <c r="DW6" s="29">
        <f>120000+572000+10000+20000+80000</f>
        <v>802000</v>
      </c>
      <c r="DX6" s="31">
        <f>IF(DW6/(INDEX('Standards for Conversions'!$H$47:$H$73,MATCH(DV$2,'Standards for Conversions'!$A$47:$A$73,0)))=0,"",DW6/(INDEX('Standards for Conversions'!$H$47:$H$73,MATCH(DV$2,'Standards for Conversions'!$A$47:$A$73,0))))</f>
        <v>71742.976240911332</v>
      </c>
      <c r="DY6" s="68">
        <f t="shared" si="30"/>
        <v>0.15733108824761258</v>
      </c>
      <c r="DZ6" s="29">
        <f>15400*20</f>
        <v>308000</v>
      </c>
      <c r="EA6" s="29">
        <v>92500</v>
      </c>
      <c r="EB6" s="68">
        <f t="shared" si="31"/>
        <v>0.30032467532467533</v>
      </c>
      <c r="EC6" s="29">
        <f>25400*20</f>
        <v>508000</v>
      </c>
      <c r="ED6" s="29">
        <v>129333</v>
      </c>
      <c r="EE6" s="68">
        <f t="shared" si="32"/>
        <v>0.25459251968503938</v>
      </c>
      <c r="EF6" s="29">
        <f>15525*20</f>
        <v>310500</v>
      </c>
      <c r="EG6" s="29">
        <v>115420</v>
      </c>
      <c r="EH6" s="68">
        <f t="shared" si="33"/>
        <v>0.3717230273752013</v>
      </c>
      <c r="EI6" s="29">
        <f>15515*20</f>
        <v>310300</v>
      </c>
      <c r="EJ6" s="29">
        <v>115297</v>
      </c>
      <c r="EK6" s="68">
        <f t="shared" si="34"/>
        <v>0.37156622623267804</v>
      </c>
      <c r="EL6" s="29">
        <f>15150*20</f>
        <v>303000</v>
      </c>
      <c r="EM6" s="29">
        <v>114709</v>
      </c>
      <c r="EN6" s="68">
        <f t="shared" si="35"/>
        <v>0.37857755775577556</v>
      </c>
      <c r="EQ6" s="68" t="str">
        <f t="shared" si="36"/>
        <v/>
      </c>
      <c r="ET6" s="68" t="str">
        <f t="shared" si="37"/>
        <v/>
      </c>
    </row>
    <row r="7" spans="1:150" ht="15.6" x14ac:dyDescent="0.3">
      <c r="A7" s="101" t="s">
        <v>163</v>
      </c>
      <c r="B7" s="52" t="s">
        <v>131</v>
      </c>
      <c r="C7" s="33" t="s">
        <v>98</v>
      </c>
      <c r="D7" s="126" t="s">
        <v>394</v>
      </c>
      <c r="E7" s="7">
        <v>221400</v>
      </c>
      <c r="F7" s="31">
        <v>43735.84966216216</v>
      </c>
      <c r="G7" s="68" t="str">
        <f t="shared" si="0"/>
        <v/>
      </c>
      <c r="H7" s="126" t="s">
        <v>393</v>
      </c>
      <c r="I7" s="7">
        <v>52000</v>
      </c>
      <c r="J7" s="31">
        <v>10018.969250601083</v>
      </c>
      <c r="K7" s="68" t="str">
        <f t="shared" si="1"/>
        <v/>
      </c>
      <c r="L7" s="126" t="s">
        <v>391</v>
      </c>
      <c r="M7" s="7">
        <v>375000</v>
      </c>
      <c r="N7" s="31">
        <v>67011.913943686435</v>
      </c>
      <c r="O7" s="68" t="str">
        <f t="shared" si="2"/>
        <v/>
      </c>
      <c r="P7" s="126" t="s">
        <v>389</v>
      </c>
      <c r="Q7" s="7">
        <v>353000</v>
      </c>
      <c r="R7" s="31">
        <v>65546.967869195563</v>
      </c>
      <c r="S7" s="68" t="str">
        <f t="shared" si="3"/>
        <v/>
      </c>
      <c r="T7" s="126" t="s">
        <v>387</v>
      </c>
      <c r="U7" s="7">
        <v>229500</v>
      </c>
      <c r="V7" s="31">
        <v>40865.516601307892</v>
      </c>
      <c r="W7" s="68" t="str">
        <f t="shared" si="4"/>
        <v/>
      </c>
      <c r="X7" s="33" t="s">
        <v>98</v>
      </c>
      <c r="Y7" s="126" t="s">
        <v>384</v>
      </c>
      <c r="Z7" s="7">
        <v>504000</v>
      </c>
      <c r="AA7" s="31">
        <v>87502.950378030757</v>
      </c>
      <c r="AB7" s="68" t="str">
        <f t="shared" si="5"/>
        <v/>
      </c>
      <c r="AC7" s="33" t="s">
        <v>98</v>
      </c>
      <c r="AD7">
        <v>135000</v>
      </c>
      <c r="AE7" s="7">
        <v>452500</v>
      </c>
      <c r="AF7" s="31">
        <v>80094.587443150551</v>
      </c>
      <c r="AG7" s="68">
        <f t="shared" si="6"/>
        <v>0.59329324031963371</v>
      </c>
      <c r="AH7">
        <v>82500</v>
      </c>
      <c r="AI7" s="7">
        <v>210000</v>
      </c>
      <c r="AJ7" s="31">
        <v>36770.802826540363</v>
      </c>
      <c r="AK7" s="68">
        <f t="shared" si="7"/>
        <v>0.44570670092776199</v>
      </c>
      <c r="AL7" s="7">
        <v>243300</v>
      </c>
      <c r="AM7" s="7">
        <v>454800</v>
      </c>
      <c r="AN7" s="31">
        <v>79538.759081428681</v>
      </c>
      <c r="AO7" s="68">
        <f t="shared" si="8"/>
        <v>0.32691639573131392</v>
      </c>
      <c r="AP7">
        <v>115725</v>
      </c>
      <c r="AQ7" s="7">
        <v>334410</v>
      </c>
      <c r="AR7" s="31">
        <v>57280.405689743187</v>
      </c>
      <c r="AS7" s="68">
        <f t="shared" si="9"/>
        <v>0.4949700210822483</v>
      </c>
      <c r="AT7">
        <v>147000</v>
      </c>
      <c r="AU7" s="7">
        <v>420700</v>
      </c>
      <c r="AV7" s="31">
        <v>72149.917468714688</v>
      </c>
      <c r="AW7" s="68">
        <f t="shared" si="10"/>
        <v>0.49081576509329722</v>
      </c>
      <c r="AX7">
        <v>125887.5</v>
      </c>
      <c r="AY7" s="7">
        <v>256800</v>
      </c>
      <c r="AZ7" s="31">
        <v>42246.851286173631</v>
      </c>
      <c r="BA7" s="68">
        <f t="shared" si="11"/>
        <v>0.33559210633441472</v>
      </c>
      <c r="BB7" s="7">
        <v>140859</v>
      </c>
      <c r="BC7" s="7">
        <v>282050</v>
      </c>
      <c r="BD7" s="31">
        <v>43355.183879920922</v>
      </c>
      <c r="BE7" s="68">
        <f t="shared" si="12"/>
        <v>0.30779136498144188</v>
      </c>
      <c r="BF7" s="7">
        <v>157500</v>
      </c>
      <c r="BG7" s="7">
        <v>295000</v>
      </c>
      <c r="BH7" s="31">
        <v>44658.729695330367</v>
      </c>
      <c r="BI7" s="68">
        <f t="shared" si="13"/>
        <v>0.2835474901290817</v>
      </c>
      <c r="BJ7" s="29">
        <f>(55000+35000+35000)*1.5</f>
        <v>187500</v>
      </c>
      <c r="BK7" s="29">
        <f>170000+80000+70000</f>
        <v>320000</v>
      </c>
      <c r="BL7" s="31">
        <f>IF(BK7/(INDEX('Standards for Conversions'!$H$47:$H$73,MATCH(BJ$2,'Standards for Conversions'!$A$47:$A$73,0)))=0,"",BK7/(INDEX('Standards for Conversions'!$H$47:$H$73,MATCH(BJ$2,'Standards for Conversions'!$A$47:$A$73,0))))</f>
        <v>46478.53190811391</v>
      </c>
      <c r="BM7" s="68">
        <f t="shared" si="14"/>
        <v>0.24788550350994085</v>
      </c>
      <c r="BN7" s="29">
        <f>(60000+30000+40000)*1.5</f>
        <v>195000</v>
      </c>
      <c r="BO7" s="29">
        <f>190000+78000+80000</f>
        <v>348000</v>
      </c>
      <c r="BP7" s="31">
        <f>IF(BO7/(INDEX('Standards for Conversions'!$H$47:$H$73,MATCH(BN$2,'Standards for Conversions'!$A$47:$A$73,0)))=0,"",BO7/(INDEX('Standards for Conversions'!$H$47:$H$73,MATCH(BN$2,'Standards for Conversions'!$A$47:$A$73,0))))</f>
        <v>50324.359411662459</v>
      </c>
      <c r="BQ7" s="68">
        <f t="shared" si="15"/>
        <v>0.25807363800852545</v>
      </c>
      <c r="BR7" s="29">
        <f>(50000+20000+30000)*1.5</f>
        <v>150000</v>
      </c>
      <c r="BS7" s="29">
        <f>180000+60000+70000</f>
        <v>310000</v>
      </c>
      <c r="BT7" s="31">
        <f>IF(BS7/(INDEX('Standards for Conversions'!$H$47:$H$73,MATCH(BR$2,'Standards for Conversions'!$A$47:$A$73,0)))=0,"",BS7/(INDEX('Standards for Conversions'!$H$47:$H$73,MATCH(BR$2,'Standards for Conversions'!$A$47:$A$73,0))))</f>
        <v>50145.660974479295</v>
      </c>
      <c r="BU7" s="68">
        <f t="shared" si="16"/>
        <v>0.33430440649652865</v>
      </c>
      <c r="BV7" s="29">
        <f>(70000+30000+35000)*1.5</f>
        <v>202500</v>
      </c>
      <c r="BW7" s="29">
        <f>250000+65000+70000</f>
        <v>385000</v>
      </c>
      <c r="BX7" s="31">
        <f>IF(BW7/(INDEX('Standards for Conversions'!$H$47:$H$73,MATCH(BV$2,'Standards for Conversions'!$A$47:$A$73,0)))=0,"",BW7/(INDEX('Standards for Conversions'!$H$47:$H$73,MATCH(BV$2,'Standards for Conversions'!$A$47:$A$73,0))))</f>
        <v>58772.518584702062</v>
      </c>
      <c r="BY7" s="68">
        <f t="shared" si="17"/>
        <v>0.29023465967754103</v>
      </c>
      <c r="BZ7" s="29">
        <f>(60000+25000+30000)*1.5</f>
        <v>172500</v>
      </c>
      <c r="CA7" s="29">
        <f>250000+60000+65000</f>
        <v>375000</v>
      </c>
      <c r="CB7" s="31">
        <f>IF(CA7/(INDEX('Standards for Conversions'!$H$47:$H$73,MATCH(BZ$2,'Standards for Conversions'!$A$47:$A$73,0)))=0,"",CA7/(INDEX('Standards for Conversions'!$H$47:$H$73,MATCH(BZ$2,'Standards for Conversions'!$A$47:$A$73,0))))</f>
        <v>50497.129464673671</v>
      </c>
      <c r="CC7" s="68">
        <f t="shared" si="18"/>
        <v>0.29273698240390533</v>
      </c>
      <c r="CD7" s="29">
        <f>(60000+20000+20000)*1.5</f>
        <v>150000</v>
      </c>
      <c r="CE7" s="29">
        <f>300000+60000+60000</f>
        <v>420000</v>
      </c>
      <c r="CF7" s="31">
        <f>IF(CE7/(INDEX('Standards for Conversions'!$H$47:$H$73,MATCH(CD$2,'Standards for Conversions'!$A$47:$A$73,0)))=0,"",CE7/(INDEX('Standards for Conversions'!$H$47:$H$73,MATCH(CD$2,'Standards for Conversions'!$A$47:$A$73,0))))</f>
        <v>51078.958025549655</v>
      </c>
      <c r="CG7" s="68">
        <f t="shared" si="19"/>
        <v>0.34052638683699771</v>
      </c>
      <c r="CH7" s="43"/>
      <c r="CI7" s="44"/>
      <c r="CJ7" s="31" t="str">
        <f>IF(CI7/(INDEX('Standards for Conversions'!$H$47:$H$73,MATCH(CH$2,'Standards for Conversions'!$A$47:$A$73,0)))=0,"",CI7/(INDEX('Standards for Conversions'!$H$47:$H$73,MATCH(CH$2,'Standards for Conversions'!$A$47:$A$73,0))))</f>
        <v/>
      </c>
      <c r="CK7" s="68" t="str">
        <f t="shared" si="20"/>
        <v/>
      </c>
      <c r="CL7" s="43"/>
      <c r="CM7" s="44"/>
      <c r="CN7" s="31" t="str">
        <f>IF(CM7/(INDEX('Standards for Conversions'!$H$47:$H$73,MATCH(CL$2,'Standards for Conversions'!$A$47:$A$73,0)))=0,"",CM7/(INDEX('Standards for Conversions'!$H$47:$H$73,MATCH(CL$2,'Standards for Conversions'!$A$47:$A$73,0))))</f>
        <v/>
      </c>
      <c r="CO7" s="68" t="str">
        <f t="shared" si="21"/>
        <v/>
      </c>
      <c r="CP7" s="43"/>
      <c r="CQ7" s="44"/>
      <c r="CR7" s="31" t="str">
        <f>IF(CQ7/(INDEX('Standards for Conversions'!$H$47:$H$73,MATCH(CP$2,'Standards for Conversions'!$A$47:$A$73,0)))=0,"",CQ7/(INDEX('Standards for Conversions'!$H$47:$H$73,MATCH(CP$2,'Standards for Conversions'!$A$47:$A$73,0))))</f>
        <v/>
      </c>
      <c r="CS7" s="68" t="str">
        <f t="shared" si="22"/>
        <v/>
      </c>
      <c r="CT7" s="43"/>
      <c r="CU7" s="44"/>
      <c r="CV7" s="31" t="str">
        <f>IF(CU7/(INDEX('Standards for Conversions'!$H$47:$H$73,MATCH(CT$2,'Standards for Conversions'!$A$47:$A$73,0)))=0,"",CU7/(INDEX('Standards for Conversions'!$H$47:$H$73,MATCH(CT$2,'Standards for Conversions'!$A$47:$A$73,0))))</f>
        <v/>
      </c>
      <c r="CW7" s="68" t="str">
        <f t="shared" si="23"/>
        <v/>
      </c>
      <c r="CX7" s="43"/>
      <c r="CY7" s="44"/>
      <c r="CZ7" s="31" t="str">
        <f>IF(CY7/(INDEX('Standards for Conversions'!$H$47:$H$73,MATCH(CX$2,'Standards for Conversions'!$A$47:$A$73,0)))=0,"",CY7/(INDEX('Standards for Conversions'!$H$47:$H$73,MATCH(CX$2,'Standards for Conversions'!$A$47:$A$73,0))))</f>
        <v/>
      </c>
      <c r="DA7" s="68" t="str">
        <f t="shared" si="24"/>
        <v/>
      </c>
      <c r="DB7" s="43"/>
      <c r="DC7" s="44"/>
      <c r="DD7" s="31" t="str">
        <f>IF(DC7/(INDEX('Standards for Conversions'!$H$47:$H$73,MATCH(DB$2,'Standards for Conversions'!$A$47:$A$73,0)))=0,"",DC7/(INDEX('Standards for Conversions'!$H$47:$H$73,MATCH(DB$2,'Standards for Conversions'!$A$47:$A$73,0))))</f>
        <v/>
      </c>
      <c r="DE7" s="68" t="str">
        <f t="shared" si="25"/>
        <v/>
      </c>
      <c r="DF7" s="43"/>
      <c r="DG7" s="44"/>
      <c r="DH7" s="31" t="str">
        <f>IF(DG7/(INDEX('Standards for Conversions'!$H$47:$H$73,MATCH(DF$2,'Standards for Conversions'!$A$47:$A$73,0)))=0,"",DG7/(INDEX('Standards for Conversions'!$H$47:$H$73,MATCH(DF$2,'Standards for Conversions'!$A$47:$A$73,0))))</f>
        <v/>
      </c>
      <c r="DI7" s="68" t="str">
        <f t="shared" si="26"/>
        <v/>
      </c>
      <c r="DJ7" s="43"/>
      <c r="DK7" s="44"/>
      <c r="DL7" s="31" t="str">
        <f>IF(DK7/(INDEX('Standards for Conversions'!$H$47:$H$73,MATCH(DJ$2,'Standards for Conversions'!$A$47:$A$73,0)))=0,"",DK7/(INDEX('Standards for Conversions'!$H$47:$H$73,MATCH(DJ$2,'Standards for Conversions'!$A$47:$A$73,0))))</f>
        <v/>
      </c>
      <c r="DM7" s="68" t="str">
        <f t="shared" si="27"/>
        <v/>
      </c>
      <c r="DN7" s="43"/>
      <c r="DO7" s="44"/>
      <c r="DP7" s="31" t="str">
        <f>IF(DO7/(INDEX('Standards for Conversions'!$H$47:$H$73,MATCH(DN$2,'Standards for Conversions'!$A$47:$A$73,0)))=0,"",DO7/(INDEX('Standards for Conversions'!$H$47:$H$73,MATCH(DN$2,'Standards for Conversions'!$A$47:$A$73,0))))</f>
        <v/>
      </c>
      <c r="DQ7" s="68" t="str">
        <f t="shared" si="28"/>
        <v/>
      </c>
      <c r="DR7" s="43"/>
      <c r="DS7" s="44"/>
      <c r="DT7" s="31" t="str">
        <f>IF(DS7/(INDEX('Standards for Conversions'!$H$47:$H$73,MATCH(DR$2,'Standards for Conversions'!$A$47:$A$73,0)))=0,"",DS7/(INDEX('Standards for Conversions'!$H$47:$H$73,MATCH(DR$2,'Standards for Conversions'!$A$47:$A$73,0))))</f>
        <v/>
      </c>
      <c r="DU7" s="68" t="str">
        <f t="shared" si="29"/>
        <v/>
      </c>
      <c r="DV7" s="45"/>
      <c r="DW7" s="44"/>
      <c r="DX7" s="31" t="str">
        <f>IF(DW7/(INDEX('Standards for Conversions'!$H$47:$H$73,MATCH(DV$2,'Standards for Conversions'!$A$47:$A$73,0)))=0,"",DW7/(INDEX('Standards for Conversions'!$H$47:$H$73,MATCH(DV$2,'Standards for Conversions'!$A$47:$A$73,0))))</f>
        <v/>
      </c>
      <c r="DY7" s="68" t="str">
        <f t="shared" si="30"/>
        <v/>
      </c>
      <c r="DZ7" s="45"/>
      <c r="EA7" s="44"/>
      <c r="EB7" s="68" t="str">
        <f t="shared" si="31"/>
        <v/>
      </c>
      <c r="EC7" s="43"/>
      <c r="ED7" s="44"/>
      <c r="EE7" s="68" t="str">
        <f t="shared" si="32"/>
        <v/>
      </c>
      <c r="EF7" s="43"/>
      <c r="EG7" s="44"/>
      <c r="EH7" s="68" t="str">
        <f t="shared" si="33"/>
        <v/>
      </c>
      <c r="EK7" s="68" t="str">
        <f t="shared" si="34"/>
        <v/>
      </c>
      <c r="EN7" s="68" t="str">
        <f t="shared" si="35"/>
        <v/>
      </c>
      <c r="EO7" s="7">
        <f>20*7135</f>
        <v>142700</v>
      </c>
      <c r="EP7" s="29">
        <v>74547</v>
      </c>
      <c r="EQ7" s="68">
        <f t="shared" si="36"/>
        <v>0.52240364400840922</v>
      </c>
      <c r="ER7" s="7">
        <f>20*6617</f>
        <v>132340</v>
      </c>
      <c r="ES7" s="29">
        <v>55066</v>
      </c>
      <c r="ET7" s="68">
        <f t="shared" si="37"/>
        <v>0.41609490705757896</v>
      </c>
    </row>
    <row r="8" spans="1:150" ht="15.6" x14ac:dyDescent="0.3">
      <c r="A8" s="101" t="s">
        <v>164</v>
      </c>
      <c r="B8" s="52" t="s">
        <v>131</v>
      </c>
      <c r="C8" s="33" t="s">
        <v>98</v>
      </c>
      <c r="D8" s="7">
        <v>141000</v>
      </c>
      <c r="E8" s="7">
        <v>221000</v>
      </c>
      <c r="F8" s="31">
        <v>43656.832770270266</v>
      </c>
      <c r="G8" s="68">
        <f t="shared" si="0"/>
        <v>0.30962292744872527</v>
      </c>
      <c r="H8" s="7">
        <v>187500</v>
      </c>
      <c r="I8" s="7">
        <v>250000</v>
      </c>
      <c r="J8" s="31">
        <v>48168.121397120587</v>
      </c>
      <c r="K8" s="68">
        <f t="shared" si="1"/>
        <v>0.2568966474513098</v>
      </c>
      <c r="L8" s="7">
        <v>262500</v>
      </c>
      <c r="M8" s="7">
        <v>350000</v>
      </c>
      <c r="N8" s="31">
        <v>62544.453014107348</v>
      </c>
      <c r="O8" s="68">
        <f t="shared" si="2"/>
        <v>0.23826458291088515</v>
      </c>
      <c r="P8" s="7">
        <v>255000</v>
      </c>
      <c r="Q8" s="7">
        <v>300000</v>
      </c>
      <c r="R8" s="31">
        <v>55705.638415746937</v>
      </c>
      <c r="S8" s="68">
        <f t="shared" si="3"/>
        <v>0.21845348398332132</v>
      </c>
      <c r="T8" s="7">
        <v>82500</v>
      </c>
      <c r="U8" s="7">
        <v>165000</v>
      </c>
      <c r="V8" s="31">
        <v>29380.436772182144</v>
      </c>
      <c r="W8" s="68">
        <f t="shared" si="4"/>
        <v>0.35612650632948051</v>
      </c>
      <c r="X8" s="33" t="s">
        <v>98</v>
      </c>
      <c r="Y8" s="7">
        <v>187500</v>
      </c>
      <c r="Z8" s="7">
        <v>350000</v>
      </c>
      <c r="AA8" s="31">
        <v>60765.93776252136</v>
      </c>
      <c r="AB8" s="68">
        <f t="shared" si="5"/>
        <v>0.32408500140011393</v>
      </c>
      <c r="AC8" s="33" t="s">
        <v>98</v>
      </c>
      <c r="AD8" s="7">
        <v>150000</v>
      </c>
      <c r="AE8" s="7">
        <v>350000</v>
      </c>
      <c r="AF8" s="31">
        <v>61951.614596912026</v>
      </c>
      <c r="AG8" s="68">
        <f t="shared" si="6"/>
        <v>0.4130107639794135</v>
      </c>
      <c r="AH8" s="7">
        <v>165000</v>
      </c>
      <c r="AI8" s="7">
        <v>400000</v>
      </c>
      <c r="AJ8" s="31">
        <v>70039.624431505465</v>
      </c>
      <c r="AK8" s="68">
        <f t="shared" si="7"/>
        <v>0.4244825723121543</v>
      </c>
      <c r="AL8" s="7">
        <v>213324</v>
      </c>
      <c r="AM8" s="7">
        <v>330615</v>
      </c>
      <c r="AN8" s="31">
        <v>57820.37562380507</v>
      </c>
      <c r="AO8" s="68">
        <f t="shared" si="8"/>
        <v>0.27104486894960284</v>
      </c>
      <c r="AP8" s="7">
        <v>123982.5</v>
      </c>
      <c r="AQ8" s="7">
        <v>462985</v>
      </c>
      <c r="AR8" s="31">
        <v>79303.754756932365</v>
      </c>
      <c r="AS8" s="68">
        <f t="shared" si="9"/>
        <v>0.63963668063583456</v>
      </c>
      <c r="AT8" s="7">
        <v>120750</v>
      </c>
      <c r="AU8" s="7">
        <v>250000</v>
      </c>
      <c r="AV8" s="31">
        <v>42874.921243590848</v>
      </c>
      <c r="AW8" s="68">
        <f t="shared" si="10"/>
        <v>0.35507181154112505</v>
      </c>
      <c r="AX8" s="7">
        <v>118188</v>
      </c>
      <c r="AY8" s="7">
        <v>175000</v>
      </c>
      <c r="AZ8" s="31">
        <v>28789.715635048229</v>
      </c>
      <c r="BA8" s="68">
        <f t="shared" si="11"/>
        <v>0.24359254437885597</v>
      </c>
      <c r="BB8" s="7">
        <v>121327.5</v>
      </c>
      <c r="BC8" s="7">
        <v>198700</v>
      </c>
      <c r="BD8" s="31">
        <v>30543.07759950465</v>
      </c>
      <c r="BE8" s="68">
        <f t="shared" si="12"/>
        <v>0.25174076445574706</v>
      </c>
      <c r="BF8" s="7">
        <v>135000</v>
      </c>
      <c r="BG8" s="7">
        <v>180000</v>
      </c>
      <c r="BH8" s="31">
        <v>27249.394390371071</v>
      </c>
      <c r="BI8" s="68">
        <f t="shared" si="13"/>
        <v>0.20184736585460053</v>
      </c>
      <c r="BJ8" s="29">
        <f>(100000)*1.5</f>
        <v>150000</v>
      </c>
      <c r="BK8" s="29">
        <v>190000</v>
      </c>
      <c r="BL8" s="31">
        <f>IF(BK8/(INDEX('Standards for Conversions'!$H$47:$H$73,MATCH(BJ$2,'Standards for Conversions'!$A$47:$A$73,0)))=0,"",BK8/(INDEX('Standards for Conversions'!$H$47:$H$73,MATCH(BJ$2,'Standards for Conversions'!$A$47:$A$73,0))))</f>
        <v>27596.628320442633</v>
      </c>
      <c r="BM8" s="68">
        <f t="shared" si="14"/>
        <v>0.18397752213628421</v>
      </c>
      <c r="BN8" s="29">
        <v>165000</v>
      </c>
      <c r="BO8" s="29">
        <v>200000</v>
      </c>
      <c r="BP8" s="31">
        <f>IF(BO8/(INDEX('Standards for Conversions'!$H$47:$H$73,MATCH(BN$2,'Standards for Conversions'!$A$47:$A$73,0)))=0,"",BO8/(INDEX('Standards for Conversions'!$H$47:$H$73,MATCH(BN$2,'Standards for Conversions'!$A$47:$A$73,0))))</f>
        <v>28922.045638886473</v>
      </c>
      <c r="BQ8" s="68">
        <f t="shared" si="15"/>
        <v>0.17528512508416044</v>
      </c>
      <c r="BR8" s="29">
        <v>135000</v>
      </c>
      <c r="BS8" s="29">
        <v>180000</v>
      </c>
      <c r="BT8" s="31">
        <f>IF(BS8/(INDEX('Standards for Conversions'!$H$47:$H$73,MATCH(BR$2,'Standards for Conversions'!$A$47:$A$73,0)))=0,"",BS8/(INDEX('Standards for Conversions'!$H$47:$H$73,MATCH(BR$2,'Standards for Conversions'!$A$47:$A$73,0))))</f>
        <v>29116.835404536367</v>
      </c>
      <c r="BU8" s="68">
        <f t="shared" si="16"/>
        <v>0.21568026225582493</v>
      </c>
      <c r="BV8" s="29">
        <f>(100000)*1.5</f>
        <v>150000</v>
      </c>
      <c r="BW8" s="29">
        <v>150000</v>
      </c>
      <c r="BX8" s="31">
        <f>IF(BW8/(INDEX('Standards for Conversions'!$H$47:$H$73,MATCH(BV$2,'Standards for Conversions'!$A$47:$A$73,0)))=0,"",BW8/(INDEX('Standards for Conversions'!$H$47:$H$73,MATCH(BV$2,'Standards for Conversions'!$A$47:$A$73,0))))</f>
        <v>22898.383864169635</v>
      </c>
      <c r="BY8" s="68">
        <f t="shared" si="17"/>
        <v>0.15265589242779756</v>
      </c>
      <c r="BZ8" s="29">
        <v>135000</v>
      </c>
      <c r="CA8" s="29">
        <v>140000</v>
      </c>
      <c r="CB8" s="31">
        <f>IF(CA8/(INDEX('Standards for Conversions'!$H$47:$H$73,MATCH(BZ$2,'Standards for Conversions'!$A$47:$A$73,0)))=0,"",CA8/(INDEX('Standards for Conversions'!$H$47:$H$73,MATCH(BZ$2,'Standards for Conversions'!$A$47:$A$73,0))))</f>
        <v>18852.261666811504</v>
      </c>
      <c r="CC8" s="68">
        <f t="shared" si="18"/>
        <v>0.13964638271712226</v>
      </c>
      <c r="CD8" s="29">
        <f>(80000)*1.5</f>
        <v>120000</v>
      </c>
      <c r="CE8" s="29">
        <v>130000</v>
      </c>
      <c r="CF8" s="31">
        <f>IF(CE8/(INDEX('Standards for Conversions'!$H$47:$H$73,MATCH(CD$2,'Standards for Conversions'!$A$47:$A$73,0)))=0,"",CE8/(INDEX('Standards for Conversions'!$H$47:$H$73,MATCH(CD$2,'Standards for Conversions'!$A$47:$A$73,0))))</f>
        <v>15810.153674574893</v>
      </c>
      <c r="CG8" s="68">
        <f t="shared" si="19"/>
        <v>0.13175128062145744</v>
      </c>
      <c r="CH8" s="43"/>
      <c r="CI8" s="44"/>
      <c r="CJ8" s="31" t="str">
        <f>IF(CI8/(INDEX('Standards for Conversions'!$H$47:$H$73,MATCH(CH$2,'Standards for Conversions'!$A$47:$A$73,0)))=0,"",CI8/(INDEX('Standards for Conversions'!$H$47:$H$73,MATCH(CH$2,'Standards for Conversions'!$A$47:$A$73,0))))</f>
        <v/>
      </c>
      <c r="CK8" s="68" t="str">
        <f t="shared" si="20"/>
        <v/>
      </c>
      <c r="CL8" s="43"/>
      <c r="CM8" s="44"/>
      <c r="CN8" s="31" t="str">
        <f>IF(CM8/(INDEX('Standards for Conversions'!$H$47:$H$73,MATCH(CL$2,'Standards for Conversions'!$A$47:$A$73,0)))=0,"",CM8/(INDEX('Standards for Conversions'!$H$47:$H$73,MATCH(CL$2,'Standards for Conversions'!$A$47:$A$73,0))))</f>
        <v/>
      </c>
      <c r="CO8" s="68" t="str">
        <f t="shared" si="21"/>
        <v/>
      </c>
      <c r="CP8" s="43"/>
      <c r="CQ8" s="44"/>
      <c r="CR8" s="31" t="str">
        <f>IF(CQ8/(INDEX('Standards for Conversions'!$H$47:$H$73,MATCH(CP$2,'Standards for Conversions'!$A$47:$A$73,0)))=0,"",CQ8/(INDEX('Standards for Conversions'!$H$47:$H$73,MATCH(CP$2,'Standards for Conversions'!$A$47:$A$73,0))))</f>
        <v/>
      </c>
      <c r="CS8" s="68" t="str">
        <f t="shared" si="22"/>
        <v/>
      </c>
      <c r="CT8" s="43"/>
      <c r="CU8" s="44"/>
      <c r="CV8" s="31" t="str">
        <f>IF(CU8/(INDEX('Standards for Conversions'!$H$47:$H$73,MATCH(CT$2,'Standards for Conversions'!$A$47:$A$73,0)))=0,"",CU8/(INDEX('Standards for Conversions'!$H$47:$H$73,MATCH(CT$2,'Standards for Conversions'!$A$47:$A$73,0))))</f>
        <v/>
      </c>
      <c r="CW8" s="68" t="str">
        <f t="shared" si="23"/>
        <v/>
      </c>
      <c r="CX8" s="43"/>
      <c r="CY8" s="44"/>
      <c r="CZ8" s="31" t="str">
        <f>IF(CY8/(INDEX('Standards for Conversions'!$H$47:$H$73,MATCH(CX$2,'Standards for Conversions'!$A$47:$A$73,0)))=0,"",CY8/(INDEX('Standards for Conversions'!$H$47:$H$73,MATCH(CX$2,'Standards for Conversions'!$A$47:$A$73,0))))</f>
        <v/>
      </c>
      <c r="DA8" s="68" t="str">
        <f t="shared" si="24"/>
        <v/>
      </c>
      <c r="DB8" s="43"/>
      <c r="DC8" s="44"/>
      <c r="DD8" s="31" t="str">
        <f>IF(DC8/(INDEX('Standards for Conversions'!$H$47:$H$73,MATCH(DB$2,'Standards for Conversions'!$A$47:$A$73,0)))=0,"",DC8/(INDEX('Standards for Conversions'!$H$47:$H$73,MATCH(DB$2,'Standards for Conversions'!$A$47:$A$73,0))))</f>
        <v/>
      </c>
      <c r="DE8" s="68" t="str">
        <f t="shared" si="25"/>
        <v/>
      </c>
      <c r="DF8" s="43"/>
      <c r="DG8" s="44"/>
      <c r="DH8" s="31" t="str">
        <f>IF(DG8/(INDEX('Standards for Conversions'!$H$47:$H$73,MATCH(DF$2,'Standards for Conversions'!$A$47:$A$73,0)))=0,"",DG8/(INDEX('Standards for Conversions'!$H$47:$H$73,MATCH(DF$2,'Standards for Conversions'!$A$47:$A$73,0))))</f>
        <v/>
      </c>
      <c r="DI8" s="68" t="str">
        <f t="shared" si="26"/>
        <v/>
      </c>
      <c r="DJ8" s="43"/>
      <c r="DK8" s="44"/>
      <c r="DL8" s="31" t="str">
        <f>IF(DK8/(INDEX('Standards for Conversions'!$H$47:$H$73,MATCH(DJ$2,'Standards for Conversions'!$A$47:$A$73,0)))=0,"",DK8/(INDEX('Standards for Conversions'!$H$47:$H$73,MATCH(DJ$2,'Standards for Conversions'!$A$47:$A$73,0))))</f>
        <v/>
      </c>
      <c r="DM8" s="68" t="str">
        <f t="shared" si="27"/>
        <v/>
      </c>
      <c r="DN8" s="43"/>
      <c r="DO8" s="44"/>
      <c r="DP8" s="31" t="str">
        <f>IF(DO8/(INDEX('Standards for Conversions'!$H$47:$H$73,MATCH(DN$2,'Standards for Conversions'!$A$47:$A$73,0)))=0,"",DO8/(INDEX('Standards for Conversions'!$H$47:$H$73,MATCH(DN$2,'Standards for Conversions'!$A$47:$A$73,0))))</f>
        <v/>
      </c>
      <c r="DQ8" s="68" t="str">
        <f t="shared" si="28"/>
        <v/>
      </c>
      <c r="DR8" s="43"/>
      <c r="DS8" s="44"/>
      <c r="DT8" s="31" t="str">
        <f>IF(DS8/(INDEX('Standards for Conversions'!$H$47:$H$73,MATCH(DR$2,'Standards for Conversions'!$A$47:$A$73,0)))=0,"",DS8/(INDEX('Standards for Conversions'!$H$47:$H$73,MATCH(DR$2,'Standards for Conversions'!$A$47:$A$73,0))))</f>
        <v/>
      </c>
      <c r="DU8" s="68" t="str">
        <f t="shared" si="29"/>
        <v/>
      </c>
      <c r="DV8" s="45"/>
      <c r="DW8" s="44"/>
      <c r="DX8" s="31" t="str">
        <f>IF(DW8/(INDEX('Standards for Conversions'!$H$47:$H$73,MATCH(DV$2,'Standards for Conversions'!$A$47:$A$73,0)))=0,"",DW8/(INDEX('Standards for Conversions'!$H$47:$H$73,MATCH(DV$2,'Standards for Conversions'!$A$47:$A$73,0))))</f>
        <v/>
      </c>
      <c r="DY8" s="68" t="str">
        <f t="shared" si="30"/>
        <v/>
      </c>
      <c r="DZ8" s="45"/>
      <c r="EA8" s="44"/>
      <c r="EB8" s="68" t="str">
        <f t="shared" si="31"/>
        <v/>
      </c>
      <c r="EC8" s="43"/>
      <c r="ED8" s="44"/>
      <c r="EE8" s="68" t="str">
        <f t="shared" si="32"/>
        <v/>
      </c>
      <c r="EF8" s="43"/>
      <c r="EG8" s="44"/>
      <c r="EH8" s="68" t="str">
        <f t="shared" si="33"/>
        <v/>
      </c>
      <c r="EK8" s="68" t="str">
        <f t="shared" si="34"/>
        <v/>
      </c>
      <c r="EN8" s="68" t="str">
        <f t="shared" si="35"/>
        <v/>
      </c>
      <c r="EO8" s="7">
        <f>20*5752</f>
        <v>115040</v>
      </c>
      <c r="EP8" s="29">
        <v>57194</v>
      </c>
      <c r="EQ8" s="68">
        <f t="shared" si="36"/>
        <v>0.4971662030598053</v>
      </c>
      <c r="ER8" s="7">
        <f>20*4857</f>
        <v>97140</v>
      </c>
      <c r="ES8" s="29">
        <v>52609</v>
      </c>
      <c r="ET8" s="68">
        <f t="shared" si="37"/>
        <v>0.54157916409306162</v>
      </c>
    </row>
    <row r="9" spans="1:150" ht="15.6" x14ac:dyDescent="0.3">
      <c r="A9" s="101" t="s">
        <v>196</v>
      </c>
      <c r="B9" s="52" t="s">
        <v>134</v>
      </c>
      <c r="C9" s="33" t="s">
        <v>97</v>
      </c>
      <c r="D9" s="7"/>
      <c r="E9" s="7"/>
      <c r="F9" s="31" t="s">
        <v>128</v>
      </c>
      <c r="G9" s="68" t="str">
        <f t="shared" si="0"/>
        <v/>
      </c>
      <c r="H9" s="7">
        <v>6300</v>
      </c>
      <c r="I9" s="7">
        <v>2100</v>
      </c>
      <c r="J9" s="31">
        <v>404.61221973581297</v>
      </c>
      <c r="K9" s="68">
        <f t="shared" si="1"/>
        <v>6.422416186282745E-2</v>
      </c>
      <c r="L9" s="7"/>
      <c r="M9" s="7"/>
      <c r="N9" s="31" t="s">
        <v>128</v>
      </c>
      <c r="O9" s="68" t="str">
        <f t="shared" si="2"/>
        <v/>
      </c>
      <c r="P9" s="7"/>
      <c r="Q9" s="7"/>
      <c r="R9" s="31" t="s">
        <v>128</v>
      </c>
      <c r="S9" s="68" t="str">
        <f t="shared" si="3"/>
        <v/>
      </c>
      <c r="T9" s="7"/>
      <c r="U9" s="7"/>
      <c r="V9" s="31" t="s">
        <v>128</v>
      </c>
      <c r="W9" s="68" t="str">
        <f t="shared" si="4"/>
        <v/>
      </c>
      <c r="X9" s="33" t="s">
        <v>97</v>
      </c>
      <c r="Y9" s="7">
        <v>13500</v>
      </c>
      <c r="Z9" s="7">
        <v>3000</v>
      </c>
      <c r="AA9" s="31">
        <v>520.85089510732598</v>
      </c>
      <c r="AB9" s="68">
        <f t="shared" si="5"/>
        <v>3.8581547785727852E-2</v>
      </c>
      <c r="AC9" s="33" t="s">
        <v>97</v>
      </c>
      <c r="AD9" s="7">
        <v>36000</v>
      </c>
      <c r="AE9" s="7">
        <v>8000</v>
      </c>
      <c r="AF9" s="31">
        <v>1416.036905072275</v>
      </c>
      <c r="AG9" s="68">
        <f t="shared" si="6"/>
        <v>3.9334358474229864E-2</v>
      </c>
      <c r="AH9" s="7">
        <v>9000</v>
      </c>
      <c r="AI9" s="7">
        <v>2500</v>
      </c>
      <c r="AJ9" s="31">
        <v>437.74765269690914</v>
      </c>
      <c r="AK9" s="68">
        <f t="shared" si="7"/>
        <v>4.8638628077434347E-2</v>
      </c>
      <c r="AL9" s="7">
        <v>72000</v>
      </c>
      <c r="AM9" s="7">
        <v>14000</v>
      </c>
      <c r="AN9" s="31">
        <v>2448.4226630167141</v>
      </c>
      <c r="AO9" s="68">
        <f t="shared" si="8"/>
        <v>3.4005870319676584E-2</v>
      </c>
      <c r="AP9" s="7">
        <v>98370</v>
      </c>
      <c r="AQ9" s="7">
        <v>17200</v>
      </c>
      <c r="AR9" s="31">
        <v>2946.1528598534219</v>
      </c>
      <c r="AS9" s="68">
        <f t="shared" si="9"/>
        <v>2.9949708852835436E-2</v>
      </c>
      <c r="AT9" s="7">
        <v>90000</v>
      </c>
      <c r="AU9" s="7">
        <v>12000</v>
      </c>
      <c r="AV9" s="31">
        <v>2057.9962196923607</v>
      </c>
      <c r="AW9" s="68">
        <f t="shared" si="10"/>
        <v>2.2866624663248451E-2</v>
      </c>
      <c r="AX9" s="7">
        <v>81000</v>
      </c>
      <c r="AY9" s="7">
        <v>15000</v>
      </c>
      <c r="AZ9" s="31">
        <v>2467.6899115755627</v>
      </c>
      <c r="BA9" s="68">
        <f t="shared" si="11"/>
        <v>3.0465307550315589E-2</v>
      </c>
      <c r="BB9" s="7">
        <v>76500</v>
      </c>
      <c r="BC9" s="7">
        <v>14000</v>
      </c>
      <c r="BD9" s="31">
        <v>2152.0034544190494</v>
      </c>
      <c r="BE9" s="68">
        <f t="shared" si="12"/>
        <v>2.8130764110052935E-2</v>
      </c>
      <c r="BF9" s="7">
        <v>72000</v>
      </c>
      <c r="BG9" s="7">
        <v>14000</v>
      </c>
      <c r="BH9" s="31">
        <v>2119.3973414733059</v>
      </c>
      <c r="BI9" s="68">
        <f t="shared" si="13"/>
        <v>2.9436074187129249E-2</v>
      </c>
      <c r="BJ9" s="29">
        <v>18000</v>
      </c>
      <c r="BK9" s="29">
        <v>4000</v>
      </c>
      <c r="BL9" s="31">
        <f>IF(BK9/(INDEX('Standards for Conversions'!$H$47:$H$73,MATCH(BJ$2,'Standards for Conversions'!$A$47:$A$73,0)))=0,"",BK9/(INDEX('Standards for Conversions'!$H$47:$H$73,MATCH(BJ$2,'Standards for Conversions'!$A$47:$A$73,0))))</f>
        <v>580.98164885142387</v>
      </c>
      <c r="BM9" s="68">
        <f t="shared" si="14"/>
        <v>3.2276758269523545E-2</v>
      </c>
      <c r="BN9" s="29">
        <v>13500</v>
      </c>
      <c r="BO9" s="29">
        <v>3000</v>
      </c>
      <c r="BP9" s="31">
        <f>IF(BO9/(INDEX('Standards for Conversions'!$H$47:$H$73,MATCH(BN$2,'Standards for Conversions'!$A$47:$A$73,0)))=0,"",BO9/(INDEX('Standards for Conversions'!$H$47:$H$73,MATCH(BN$2,'Standards for Conversions'!$A$47:$A$73,0))))</f>
        <v>433.83068458329711</v>
      </c>
      <c r="BQ9" s="68">
        <f t="shared" si="15"/>
        <v>3.2135606265429419E-2</v>
      </c>
      <c r="BR9" s="29">
        <v>18000</v>
      </c>
      <c r="BS9" s="29">
        <v>4000</v>
      </c>
      <c r="BT9" s="31">
        <f>IF(BS9/(INDEX('Standards for Conversions'!$H$47:$H$73,MATCH(BR$2,'Standards for Conversions'!$A$47:$A$73,0)))=0,"",BS9/(INDEX('Standards for Conversions'!$H$47:$H$73,MATCH(BR$2,'Standards for Conversions'!$A$47:$A$73,0))))</f>
        <v>647.04078676747474</v>
      </c>
      <c r="BU9" s="68">
        <f t="shared" si="16"/>
        <v>3.5946710375970817E-2</v>
      </c>
      <c r="BV9" s="29">
        <v>13500</v>
      </c>
      <c r="BW9" s="29">
        <v>3000</v>
      </c>
      <c r="BX9" s="31">
        <f>IF(BW9/(INDEX('Standards for Conversions'!$H$47:$H$73,MATCH(BV$2,'Standards for Conversions'!$A$47:$A$73,0)))=0,"",BW9/(INDEX('Standards for Conversions'!$H$47:$H$73,MATCH(BV$2,'Standards for Conversions'!$A$47:$A$73,0))))</f>
        <v>457.96767728339267</v>
      </c>
      <c r="BY9" s="68">
        <f t="shared" si="17"/>
        <v>3.3923531650621681E-2</v>
      </c>
      <c r="BZ9" s="29">
        <v>14400</v>
      </c>
      <c r="CA9" s="29">
        <v>3000</v>
      </c>
      <c r="CB9" s="31">
        <f>IF(CA9/(INDEX('Standards for Conversions'!$H$47:$H$73,MATCH(BZ$2,'Standards for Conversions'!$A$47:$A$73,0)))=0,"",CA9/(INDEX('Standards for Conversions'!$H$47:$H$73,MATCH(BZ$2,'Standards for Conversions'!$A$47:$A$73,0))))</f>
        <v>403.97703571738941</v>
      </c>
      <c r="CC9" s="68">
        <f t="shared" si="18"/>
        <v>2.8053960813707597E-2</v>
      </c>
      <c r="CD9" s="29">
        <v>13500</v>
      </c>
      <c r="CE9" s="29">
        <v>2500</v>
      </c>
      <c r="CF9" s="31">
        <f>IF(CE9/(INDEX('Standards for Conversions'!$H$47:$H$73,MATCH(CD$2,'Standards for Conversions'!$A$47:$A$73,0)))=0,"",CE9/(INDEX('Standards for Conversions'!$H$47:$H$73,MATCH(CD$2,'Standards for Conversions'!$A$47:$A$73,0))))</f>
        <v>304.04141681874796</v>
      </c>
      <c r="CG9" s="68">
        <f t="shared" si="19"/>
        <v>2.2521586431018367E-2</v>
      </c>
      <c r="CH9" s="7">
        <f>1200*9</f>
        <v>10800</v>
      </c>
      <c r="CI9" s="7">
        <v>2200</v>
      </c>
      <c r="CJ9" s="31">
        <f>IF(CI9/(INDEX('Standards for Conversions'!$H$47:$H$73,MATCH(CH$2,'Standards for Conversions'!$A$47:$A$73,0)))=0,"",CI9/(INDEX('Standards for Conversions'!$H$47:$H$73,MATCH(CH$2,'Standards for Conversions'!$A$47:$A$73,0))))</f>
        <v>215.66614705541554</v>
      </c>
      <c r="CK9" s="68">
        <f t="shared" si="20"/>
        <v>1.9969087690316252E-2</v>
      </c>
      <c r="CN9" s="31" t="str">
        <f>IF(CM9/(INDEX('Standards for Conversions'!$H$47:$H$73,MATCH(CL$2,'Standards for Conversions'!$A$47:$A$73,0)))=0,"",CM9/(INDEX('Standards for Conversions'!$H$47:$H$73,MATCH(CL$2,'Standards for Conversions'!$A$47:$A$73,0))))</f>
        <v/>
      </c>
      <c r="CO9" s="68" t="str">
        <f t="shared" si="21"/>
        <v/>
      </c>
      <c r="CR9" s="31" t="str">
        <f>IF(CQ9/(INDEX('Standards for Conversions'!$H$47:$H$73,MATCH(CP$2,'Standards for Conversions'!$A$47:$A$73,0)))=0,"",CQ9/(INDEX('Standards for Conversions'!$H$47:$H$73,MATCH(CP$2,'Standards for Conversions'!$A$47:$A$73,0))))</f>
        <v/>
      </c>
      <c r="CS9" s="68" t="str">
        <f t="shared" si="22"/>
        <v/>
      </c>
      <c r="CV9" s="31" t="str">
        <f>IF(CU9/(INDEX('Standards for Conversions'!$H$47:$H$73,MATCH(CT$2,'Standards for Conversions'!$A$47:$A$73,0)))=0,"",CU9/(INDEX('Standards for Conversions'!$H$47:$H$73,MATCH(CT$2,'Standards for Conversions'!$A$47:$A$73,0))))</f>
        <v/>
      </c>
      <c r="CW9" s="68" t="str">
        <f t="shared" si="23"/>
        <v/>
      </c>
      <c r="CZ9" s="31" t="str">
        <f>IF(CY9/(INDEX('Standards for Conversions'!$H$47:$H$73,MATCH(CX$2,'Standards for Conversions'!$A$47:$A$73,0)))=0,"",CY9/(INDEX('Standards for Conversions'!$H$47:$H$73,MATCH(CX$2,'Standards for Conversions'!$A$47:$A$73,0))))</f>
        <v/>
      </c>
      <c r="DA9" s="68" t="str">
        <f t="shared" si="24"/>
        <v/>
      </c>
      <c r="DD9" s="31" t="str">
        <f>IF(DC9/(INDEX('Standards for Conversions'!$H$47:$H$73,MATCH(DB$2,'Standards for Conversions'!$A$47:$A$73,0)))=0,"",DC9/(INDEX('Standards for Conversions'!$H$47:$H$73,MATCH(DB$2,'Standards for Conversions'!$A$47:$A$73,0))))</f>
        <v/>
      </c>
      <c r="DE9" s="68" t="str">
        <f t="shared" si="25"/>
        <v/>
      </c>
      <c r="DH9" s="31" t="str">
        <f>IF(DG9/(INDEX('Standards for Conversions'!$H$47:$H$73,MATCH(DF$2,'Standards for Conversions'!$A$47:$A$73,0)))=0,"",DG9/(INDEX('Standards for Conversions'!$H$47:$H$73,MATCH(DF$2,'Standards for Conversions'!$A$47:$A$73,0))))</f>
        <v/>
      </c>
      <c r="DI9" s="68" t="str">
        <f t="shared" si="26"/>
        <v/>
      </c>
      <c r="DL9" s="31" t="str">
        <f>IF(DK9/(INDEX('Standards for Conversions'!$H$47:$H$73,MATCH(DJ$2,'Standards for Conversions'!$A$47:$A$73,0)))=0,"",DK9/(INDEX('Standards for Conversions'!$H$47:$H$73,MATCH(DJ$2,'Standards for Conversions'!$A$47:$A$73,0))))</f>
        <v/>
      </c>
      <c r="DM9" s="68" t="str">
        <f t="shared" si="27"/>
        <v/>
      </c>
      <c r="DP9" s="31" t="str">
        <f>IF(DO9/(INDEX('Standards for Conversions'!$H$47:$H$73,MATCH(DN$2,'Standards for Conversions'!$A$47:$A$73,0)))=0,"",DO9/(INDEX('Standards for Conversions'!$H$47:$H$73,MATCH(DN$2,'Standards for Conversions'!$A$47:$A$73,0))))</f>
        <v/>
      </c>
      <c r="DQ9" s="68" t="str">
        <f t="shared" si="28"/>
        <v/>
      </c>
      <c r="DT9" s="31" t="str">
        <f>IF(DS9/(INDEX('Standards for Conversions'!$H$47:$H$73,MATCH(DR$2,'Standards for Conversions'!$A$47:$A$73,0)))=0,"",DS9/(INDEX('Standards for Conversions'!$H$47:$H$73,MATCH(DR$2,'Standards for Conversions'!$A$47:$A$73,0))))</f>
        <v/>
      </c>
      <c r="DU9" s="68" t="str">
        <f t="shared" si="29"/>
        <v/>
      </c>
      <c r="DX9" s="31" t="str">
        <f>IF(DW9/(INDEX('Standards for Conversions'!$H$47:$H$73,MATCH(DV$2,'Standards for Conversions'!$A$47:$A$73,0)))=0,"",DW9/(INDEX('Standards for Conversions'!$H$47:$H$73,MATCH(DV$2,'Standards for Conversions'!$A$47:$A$73,0))))</f>
        <v/>
      </c>
      <c r="DY9" s="68" t="str">
        <f t="shared" si="30"/>
        <v/>
      </c>
      <c r="EB9" s="68" t="str">
        <f t="shared" si="31"/>
        <v/>
      </c>
      <c r="EE9" s="68" t="str">
        <f t="shared" si="32"/>
        <v/>
      </c>
      <c r="EH9" s="68" t="str">
        <f t="shared" si="33"/>
        <v/>
      </c>
      <c r="EK9" s="68" t="str">
        <f t="shared" si="34"/>
        <v/>
      </c>
      <c r="EN9" s="68" t="str">
        <f t="shared" si="35"/>
        <v/>
      </c>
      <c r="EO9" s="29">
        <v>150</v>
      </c>
      <c r="EP9" s="29">
        <v>31</v>
      </c>
      <c r="EQ9" s="68">
        <f t="shared" si="36"/>
        <v>0.20666666666666667</v>
      </c>
      <c r="ER9" s="29">
        <v>69</v>
      </c>
      <c r="ES9" s="29">
        <v>12</v>
      </c>
      <c r="ET9" s="68">
        <f t="shared" si="37"/>
        <v>0.17391304347826086</v>
      </c>
    </row>
    <row r="10" spans="1:150" ht="15.6" x14ac:dyDescent="0.3">
      <c r="A10" s="101" t="s">
        <v>76</v>
      </c>
      <c r="B10" s="52" t="s">
        <v>131</v>
      </c>
      <c r="C10" s="33" t="s">
        <v>98</v>
      </c>
      <c r="D10" s="7"/>
      <c r="E10" s="7"/>
      <c r="F10" s="31" t="s">
        <v>128</v>
      </c>
      <c r="G10" s="68" t="str">
        <f t="shared" si="0"/>
        <v/>
      </c>
      <c r="H10" s="7">
        <v>6.3</v>
      </c>
      <c r="I10" s="7">
        <v>1500</v>
      </c>
      <c r="J10" s="31">
        <v>289.00872838272352</v>
      </c>
      <c r="K10" s="68">
        <f t="shared" si="1"/>
        <v>45.874401330591034</v>
      </c>
      <c r="L10" s="7"/>
      <c r="M10" s="7"/>
      <c r="N10" s="31" t="s">
        <v>128</v>
      </c>
      <c r="O10" s="68" t="str">
        <f t="shared" si="2"/>
        <v/>
      </c>
      <c r="P10" s="7">
        <v>10.08</v>
      </c>
      <c r="Q10" s="7">
        <v>3000</v>
      </c>
      <c r="R10" s="31">
        <v>557.05638415746932</v>
      </c>
      <c r="S10" s="68">
        <f t="shared" si="3"/>
        <v>55.263530174352113</v>
      </c>
      <c r="T10" s="7">
        <v>15.120000000000001</v>
      </c>
      <c r="U10" s="7">
        <v>6000</v>
      </c>
      <c r="V10" s="31">
        <v>1068.3795189884415</v>
      </c>
      <c r="W10" s="68">
        <f t="shared" si="4"/>
        <v>70.660021097119142</v>
      </c>
      <c r="X10" s="33" t="s">
        <v>98</v>
      </c>
      <c r="Y10" s="7">
        <v>12.6</v>
      </c>
      <c r="Z10" s="7">
        <v>5000</v>
      </c>
      <c r="AA10" s="31">
        <v>868.0848251788766</v>
      </c>
      <c r="AB10" s="68">
        <f t="shared" si="5"/>
        <v>68.89562104594259</v>
      </c>
      <c r="AC10" s="33" t="s">
        <v>98</v>
      </c>
      <c r="AD10" s="7">
        <v>5.04</v>
      </c>
      <c r="AE10" s="7">
        <v>3500</v>
      </c>
      <c r="AF10" s="31">
        <v>619.51614596912032</v>
      </c>
      <c r="AG10" s="68">
        <f t="shared" si="6"/>
        <v>122.91987023196832</v>
      </c>
      <c r="AH10" s="7">
        <v>31.5</v>
      </c>
      <c r="AI10" s="7">
        <v>12500</v>
      </c>
      <c r="AJ10" s="31">
        <v>2188.7382634845458</v>
      </c>
      <c r="AK10" s="68">
        <f t="shared" si="7"/>
        <v>69.483754396334788</v>
      </c>
      <c r="AL10" s="7">
        <v>25.2</v>
      </c>
      <c r="AM10" s="7">
        <v>13000</v>
      </c>
      <c r="AN10" s="31">
        <v>2273.5353299440917</v>
      </c>
      <c r="AO10" s="68">
        <f t="shared" si="8"/>
        <v>90.219655950162377</v>
      </c>
      <c r="AP10" s="7">
        <v>22.68</v>
      </c>
      <c r="AQ10" s="7">
        <v>8000</v>
      </c>
      <c r="AR10" s="31">
        <v>1370.3036557457776</v>
      </c>
      <c r="AS10" s="68">
        <f t="shared" si="9"/>
        <v>60.419032440290017</v>
      </c>
      <c r="AT10" s="7">
        <v>12.6</v>
      </c>
      <c r="AU10" s="7">
        <v>5000</v>
      </c>
      <c r="AV10" s="31">
        <v>857.49842487181706</v>
      </c>
      <c r="AW10" s="68">
        <f t="shared" si="10"/>
        <v>68.055430545382308</v>
      </c>
      <c r="AX10" s="7">
        <v>10.08</v>
      </c>
      <c r="AY10" s="7">
        <v>2000</v>
      </c>
      <c r="AZ10" s="31">
        <v>329.02532154340832</v>
      </c>
      <c r="BA10" s="68">
        <f t="shared" si="11"/>
        <v>32.641400946766701</v>
      </c>
      <c r="BB10" s="7">
        <v>6.3</v>
      </c>
      <c r="BC10" s="7">
        <v>4000</v>
      </c>
      <c r="BD10" s="31">
        <v>614.85812983401411</v>
      </c>
      <c r="BE10" s="68">
        <f t="shared" si="12"/>
        <v>97.596528545081611</v>
      </c>
      <c r="BF10" s="7">
        <v>7.5600000000000005</v>
      </c>
      <c r="BG10" s="7">
        <v>5000</v>
      </c>
      <c r="BH10" s="31">
        <v>756.927621954752</v>
      </c>
      <c r="BI10" s="68">
        <f t="shared" si="13"/>
        <v>100.12270131676613</v>
      </c>
      <c r="BJ10" s="29">
        <v>6.3</v>
      </c>
      <c r="BK10" s="29">
        <v>4000</v>
      </c>
      <c r="BL10" s="31">
        <f>IF(BK10/(INDEX('Standards for Conversions'!$H$47:$H$73,MATCH(BJ$2,'Standards for Conversions'!$A$47:$A$73,0)))=0,"",BK10/(INDEX('Standards for Conversions'!$H$47:$H$73,MATCH(BJ$2,'Standards for Conversions'!$A$47:$A$73,0))))</f>
        <v>580.98164885142387</v>
      </c>
      <c r="BM10" s="68">
        <f t="shared" si="14"/>
        <v>92.219309341495858</v>
      </c>
      <c r="BN10" s="29">
        <v>12.6</v>
      </c>
      <c r="BO10" s="29">
        <v>750</v>
      </c>
      <c r="BP10" s="31">
        <f>IF(BO10/(INDEX('Standards for Conversions'!$H$47:$H$73,MATCH(BN$2,'Standards for Conversions'!$A$47:$A$73,0)))=0,"",BO10/(INDEX('Standards for Conversions'!$H$47:$H$73,MATCH(BN$2,'Standards for Conversions'!$A$47:$A$73,0))))</f>
        <v>108.45767114582428</v>
      </c>
      <c r="BQ10" s="68">
        <f t="shared" si="15"/>
        <v>8.6077516782400227</v>
      </c>
      <c r="BR10" s="29">
        <v>10.08</v>
      </c>
      <c r="BS10" s="29">
        <v>4000</v>
      </c>
      <c r="BT10" s="31">
        <f>IF(BS10/(INDEX('Standards for Conversions'!$H$47:$H$73,MATCH(BR$2,'Standards for Conversions'!$A$47:$A$73,0)))=0,"",BS10/(INDEX('Standards for Conversions'!$H$47:$H$73,MATCH(BR$2,'Standards for Conversions'!$A$47:$A$73,0))))</f>
        <v>647.04078676747474</v>
      </c>
      <c r="BU10" s="68">
        <f t="shared" si="16"/>
        <v>64.190554242805035</v>
      </c>
      <c r="BV10" s="29">
        <v>6.3</v>
      </c>
      <c r="BW10" s="29">
        <v>2500</v>
      </c>
      <c r="BX10" s="31">
        <f>IF(BW10/(INDEX('Standards for Conversions'!$H$47:$H$73,MATCH(BV$2,'Standards for Conversions'!$A$47:$A$73,0)))=0,"",BW10/(INDEX('Standards for Conversions'!$H$47:$H$73,MATCH(BV$2,'Standards for Conversions'!$A$47:$A$73,0))))</f>
        <v>381.63973106949391</v>
      </c>
      <c r="BY10" s="68">
        <f t="shared" si="17"/>
        <v>60.577735090395862</v>
      </c>
      <c r="BZ10" s="29">
        <v>3.7800000000000002</v>
      </c>
      <c r="CA10" s="29">
        <v>1500</v>
      </c>
      <c r="CB10" s="31">
        <f>IF(CA10/(INDEX('Standards for Conversions'!$H$47:$H$73,MATCH(BZ$2,'Standards for Conversions'!$A$47:$A$73,0)))=0,"",CA10/(INDEX('Standards for Conversions'!$H$47:$H$73,MATCH(BZ$2,'Standards for Conversions'!$A$47:$A$73,0))))</f>
        <v>201.98851785869471</v>
      </c>
      <c r="CC10" s="68">
        <f t="shared" si="18"/>
        <v>53.436115835633515</v>
      </c>
      <c r="CD10" s="29">
        <v>2.52</v>
      </c>
      <c r="CE10" s="29">
        <v>1000</v>
      </c>
      <c r="CF10" s="31">
        <f>IF(CE10/(INDEX('Standards for Conversions'!$H$47:$H$73,MATCH(CD$2,'Standards for Conversions'!$A$47:$A$73,0)))=0,"",CE10/(INDEX('Standards for Conversions'!$H$47:$H$73,MATCH(CD$2,'Standards for Conversions'!$A$47:$A$73,0))))</f>
        <v>121.61656672749918</v>
      </c>
      <c r="CG10" s="68">
        <f t="shared" si="19"/>
        <v>48.260542352182213</v>
      </c>
      <c r="CH10" s="7">
        <f>1*1.5</f>
        <v>1.5</v>
      </c>
      <c r="CI10" s="7">
        <v>600</v>
      </c>
      <c r="CJ10" s="31">
        <f>IF(CI10/(INDEX('Standards for Conversions'!$H$47:$H$73,MATCH(CH$2,'Standards for Conversions'!$A$47:$A$73,0)))=0,"",CI10/(INDEX('Standards for Conversions'!$H$47:$H$73,MATCH(CH$2,'Standards for Conversions'!$A$47:$A$73,0))))</f>
        <v>58.818040106022416</v>
      </c>
      <c r="CK10" s="68">
        <f t="shared" si="20"/>
        <v>39.212026737348275</v>
      </c>
      <c r="CN10" s="31" t="str">
        <f>IF(CM10/(INDEX('Standards for Conversions'!$H$47:$H$73,MATCH(CL$2,'Standards for Conversions'!$A$47:$A$73,0)))=0,"",CM10/(INDEX('Standards for Conversions'!$H$47:$H$73,MATCH(CL$2,'Standards for Conversions'!$A$47:$A$73,0))))</f>
        <v/>
      </c>
      <c r="CO10" s="68" t="str">
        <f t="shared" si="21"/>
        <v/>
      </c>
      <c r="CR10" s="31" t="str">
        <f>IF(CQ10/(INDEX('Standards for Conversions'!$H$47:$H$73,MATCH(CP$2,'Standards for Conversions'!$A$47:$A$73,0)))=0,"",CQ10/(INDEX('Standards for Conversions'!$H$47:$H$73,MATCH(CP$2,'Standards for Conversions'!$A$47:$A$73,0))))</f>
        <v/>
      </c>
      <c r="CS10" s="68" t="str">
        <f t="shared" si="22"/>
        <v/>
      </c>
      <c r="CV10" s="31" t="str">
        <f>IF(CU10/(INDEX('Standards for Conversions'!$H$47:$H$73,MATCH(CT$2,'Standards for Conversions'!$A$47:$A$73,0)))=0,"",CU10/(INDEX('Standards for Conversions'!$H$47:$H$73,MATCH(CT$2,'Standards for Conversions'!$A$47:$A$73,0))))</f>
        <v/>
      </c>
      <c r="CW10" s="68" t="str">
        <f t="shared" si="23"/>
        <v/>
      </c>
      <c r="CZ10" s="31" t="str">
        <f>IF(CY10/(INDEX('Standards for Conversions'!$H$47:$H$73,MATCH(CX$2,'Standards for Conversions'!$A$47:$A$73,0)))=0,"",CY10/(INDEX('Standards for Conversions'!$H$47:$H$73,MATCH(CX$2,'Standards for Conversions'!$A$47:$A$73,0))))</f>
        <v/>
      </c>
      <c r="DA10" s="68" t="str">
        <f t="shared" si="24"/>
        <v/>
      </c>
      <c r="DD10" s="31" t="str">
        <f>IF(DC10/(INDEX('Standards for Conversions'!$H$47:$H$73,MATCH(DB$2,'Standards for Conversions'!$A$47:$A$73,0)))=0,"",DC10/(INDEX('Standards for Conversions'!$H$47:$H$73,MATCH(DB$2,'Standards for Conversions'!$A$47:$A$73,0))))</f>
        <v/>
      </c>
      <c r="DE10" s="68" t="str">
        <f t="shared" si="25"/>
        <v/>
      </c>
      <c r="DH10" s="31" t="str">
        <f>IF(DG10/(INDEX('Standards for Conversions'!$H$47:$H$73,MATCH(DF$2,'Standards for Conversions'!$A$47:$A$73,0)))=0,"",DG10/(INDEX('Standards for Conversions'!$H$47:$H$73,MATCH(DF$2,'Standards for Conversions'!$A$47:$A$73,0))))</f>
        <v/>
      </c>
      <c r="DI10" s="68" t="str">
        <f t="shared" si="26"/>
        <v/>
      </c>
      <c r="DL10" s="31" t="str">
        <f>IF(DK10/(INDEX('Standards for Conversions'!$H$47:$H$73,MATCH(DJ$2,'Standards for Conversions'!$A$47:$A$73,0)))=0,"",DK10/(INDEX('Standards for Conversions'!$H$47:$H$73,MATCH(DJ$2,'Standards for Conversions'!$A$47:$A$73,0))))</f>
        <v/>
      </c>
      <c r="DM10" s="68" t="str">
        <f t="shared" si="27"/>
        <v/>
      </c>
      <c r="DP10" s="31" t="str">
        <f>IF(DO10/(INDEX('Standards for Conversions'!$H$47:$H$73,MATCH(DN$2,'Standards for Conversions'!$A$47:$A$73,0)))=0,"",DO10/(INDEX('Standards for Conversions'!$H$47:$H$73,MATCH(DN$2,'Standards for Conversions'!$A$47:$A$73,0))))</f>
        <v/>
      </c>
      <c r="DQ10" s="68" t="str">
        <f t="shared" si="28"/>
        <v/>
      </c>
      <c r="DT10" s="31" t="str">
        <f>IF(DS10/(INDEX('Standards for Conversions'!$H$47:$H$73,MATCH(DR$2,'Standards for Conversions'!$A$47:$A$73,0)))=0,"",DS10/(INDEX('Standards for Conversions'!$H$47:$H$73,MATCH(DR$2,'Standards for Conversions'!$A$47:$A$73,0))))</f>
        <v/>
      </c>
      <c r="DU10" s="68" t="str">
        <f t="shared" si="29"/>
        <v/>
      </c>
      <c r="DX10" s="31" t="str">
        <f>IF(DW10/(INDEX('Standards for Conversions'!$H$47:$H$73,MATCH(DV$2,'Standards for Conversions'!$A$47:$A$73,0)))=0,"",DW10/(INDEX('Standards for Conversions'!$H$47:$H$73,MATCH(DV$2,'Standards for Conversions'!$A$47:$A$73,0))))</f>
        <v/>
      </c>
      <c r="DY10" s="68" t="str">
        <f t="shared" si="30"/>
        <v/>
      </c>
      <c r="EB10" s="68" t="str">
        <f t="shared" si="31"/>
        <v/>
      </c>
      <c r="EE10" s="68" t="str">
        <f t="shared" si="32"/>
        <v/>
      </c>
      <c r="EH10" s="68" t="str">
        <f t="shared" si="33"/>
        <v/>
      </c>
      <c r="EK10" s="68" t="str">
        <f t="shared" si="34"/>
        <v/>
      </c>
      <c r="EN10" s="68" t="str">
        <f t="shared" si="35"/>
        <v/>
      </c>
      <c r="EQ10" s="68" t="str">
        <f t="shared" si="36"/>
        <v/>
      </c>
      <c r="ET10" s="68" t="str">
        <f t="shared" si="37"/>
        <v/>
      </c>
    </row>
    <row r="11" spans="1:150" ht="15.6" x14ac:dyDescent="0.3">
      <c r="A11" s="101" t="s">
        <v>79</v>
      </c>
      <c r="B11" s="52" t="s">
        <v>131</v>
      </c>
      <c r="C11" s="33" t="s">
        <v>98</v>
      </c>
      <c r="D11" s="7">
        <v>111300</v>
      </c>
      <c r="E11" s="7">
        <v>14000</v>
      </c>
      <c r="F11" s="31">
        <v>2765.5912162162158</v>
      </c>
      <c r="G11" s="68">
        <f t="shared" si="0"/>
        <v>2.4848079211286754E-2</v>
      </c>
      <c r="H11" s="7">
        <v>95400</v>
      </c>
      <c r="I11" s="7">
        <v>12000</v>
      </c>
      <c r="J11" s="31">
        <v>2312.0698270617881</v>
      </c>
      <c r="K11" s="68">
        <f t="shared" si="1"/>
        <v>2.4235532778425453E-2</v>
      </c>
      <c r="L11" s="7">
        <v>79500</v>
      </c>
      <c r="M11" s="7">
        <v>10000</v>
      </c>
      <c r="N11" s="31">
        <v>1786.9843718316386</v>
      </c>
      <c r="O11" s="68">
        <f t="shared" si="2"/>
        <v>2.2477790840649541E-2</v>
      </c>
      <c r="P11" s="7">
        <v>79500</v>
      </c>
      <c r="Q11" s="7">
        <v>9000</v>
      </c>
      <c r="R11" s="31">
        <v>1671.1691524724081</v>
      </c>
      <c r="S11" s="68">
        <f t="shared" si="3"/>
        <v>2.1020995628583748E-2</v>
      </c>
      <c r="T11" s="7">
        <v>95400</v>
      </c>
      <c r="U11" s="7">
        <v>11000</v>
      </c>
      <c r="V11" s="31">
        <v>1958.6957848121431</v>
      </c>
      <c r="W11" s="68">
        <f t="shared" si="4"/>
        <v>2.0531402356521417E-2</v>
      </c>
      <c r="X11" s="33" t="s">
        <v>98</v>
      </c>
      <c r="Y11" s="7">
        <v>159000</v>
      </c>
      <c r="Z11" s="7">
        <v>25000</v>
      </c>
      <c r="AA11" s="31">
        <v>4340.424125894383</v>
      </c>
      <c r="AB11" s="68">
        <f t="shared" si="5"/>
        <v>2.7298264942731968E-2</v>
      </c>
      <c r="AC11" s="33" t="s">
        <v>98</v>
      </c>
      <c r="AD11" s="7">
        <v>159000</v>
      </c>
      <c r="AE11" s="7">
        <v>20000</v>
      </c>
      <c r="AF11" s="31">
        <v>3540.0922626806873</v>
      </c>
      <c r="AG11" s="68">
        <f t="shared" si="6"/>
        <v>2.2264731211828221E-2</v>
      </c>
      <c r="AH11" s="7">
        <v>127200</v>
      </c>
      <c r="AI11" s="7">
        <v>16000</v>
      </c>
      <c r="AJ11" s="31">
        <v>2801.5849772602182</v>
      </c>
      <c r="AK11" s="68">
        <f t="shared" si="7"/>
        <v>2.202503912940423E-2</v>
      </c>
      <c r="AL11" s="7">
        <v>238500</v>
      </c>
      <c r="AM11" s="7">
        <v>22000</v>
      </c>
      <c r="AN11" s="31">
        <v>3847.5213275976939</v>
      </c>
      <c r="AO11" s="68">
        <f t="shared" si="8"/>
        <v>1.6132164895587817E-2</v>
      </c>
      <c r="AP11" s="7">
        <v>214650</v>
      </c>
      <c r="AQ11" s="7">
        <v>20000</v>
      </c>
      <c r="AR11" s="31">
        <v>3425.7591393644443</v>
      </c>
      <c r="AS11" s="68">
        <f t="shared" si="9"/>
        <v>1.5959744418189818E-2</v>
      </c>
      <c r="AT11" s="7">
        <v>190800</v>
      </c>
      <c r="AU11" s="7">
        <v>18000</v>
      </c>
      <c r="AV11" s="31">
        <v>3086.994329538541</v>
      </c>
      <c r="AW11" s="68">
        <f t="shared" si="10"/>
        <v>1.6179215563619186E-2</v>
      </c>
      <c r="AX11" s="7">
        <v>206700</v>
      </c>
      <c r="AY11" s="7">
        <v>32500</v>
      </c>
      <c r="AZ11" s="31">
        <v>5346.6614750803856</v>
      </c>
      <c r="BA11" s="68">
        <f t="shared" si="11"/>
        <v>2.5866770561588707E-2</v>
      </c>
      <c r="BB11" s="7">
        <v>318000</v>
      </c>
      <c r="BC11" s="7">
        <v>45000</v>
      </c>
      <c r="BD11" s="31">
        <v>6917.1539606326587</v>
      </c>
      <c r="BE11" s="68">
        <f t="shared" si="12"/>
        <v>2.1752056479976915E-2</v>
      </c>
      <c r="BF11" s="7">
        <v>477000</v>
      </c>
      <c r="BG11" s="7">
        <v>75000</v>
      </c>
      <c r="BH11" s="31">
        <v>11353.91432932128</v>
      </c>
      <c r="BI11" s="68">
        <f t="shared" si="13"/>
        <v>2.380275540738214E-2</v>
      </c>
      <c r="BJ11" s="29">
        <v>397500</v>
      </c>
      <c r="BK11" s="29">
        <v>65000</v>
      </c>
      <c r="BL11" s="31">
        <f>IF(BK11/(INDEX('Standards for Conversions'!$H$47:$H$73,MATCH(BJ$2,'Standards for Conversions'!$A$47:$A$73,0)))=0,"",BK11/(INDEX('Standards for Conversions'!$H$47:$H$73,MATCH(BJ$2,'Standards for Conversions'!$A$47:$A$73,0))))</f>
        <v>9440.9517938356366</v>
      </c>
      <c r="BM11" s="68">
        <f t="shared" si="14"/>
        <v>2.3750822122856948E-2</v>
      </c>
      <c r="BN11" s="29">
        <v>477000</v>
      </c>
      <c r="BO11" s="29">
        <v>65000</v>
      </c>
      <c r="BP11" s="31">
        <f>IF(BO11/(INDEX('Standards for Conversions'!$H$47:$H$73,MATCH(BN$2,'Standards for Conversions'!$A$47:$A$73,0)))=0,"",BO11/(INDEX('Standards for Conversions'!$H$47:$H$73,MATCH(BN$2,'Standards for Conversions'!$A$47:$A$73,0))))</f>
        <v>9399.6648326381037</v>
      </c>
      <c r="BQ11" s="68">
        <f t="shared" si="15"/>
        <v>1.9705796294838793E-2</v>
      </c>
      <c r="BR11" s="29">
        <v>397500</v>
      </c>
      <c r="BS11" s="29">
        <v>70000</v>
      </c>
      <c r="BT11" s="31">
        <f>IF(BS11/(INDEX('Standards for Conversions'!$H$47:$H$73,MATCH(BR$2,'Standards for Conversions'!$A$47:$A$73,0)))=0,"",BS11/(INDEX('Standards for Conversions'!$H$47:$H$73,MATCH(BR$2,'Standards for Conversions'!$A$47:$A$73,0))))</f>
        <v>11323.213768430809</v>
      </c>
      <c r="BU11" s="68">
        <f t="shared" si="16"/>
        <v>2.8486072373410842E-2</v>
      </c>
      <c r="BV11" s="29">
        <v>190800</v>
      </c>
      <c r="BW11" s="29">
        <v>70000</v>
      </c>
      <c r="BX11" s="31">
        <f>IF(BW11/(INDEX('Standards for Conversions'!$H$47:$H$73,MATCH(BV$2,'Standards for Conversions'!$A$47:$A$73,0)))=0,"",BW11/(INDEX('Standards for Conversions'!$H$47:$H$73,MATCH(BV$2,'Standards for Conversions'!$A$47:$A$73,0))))</f>
        <v>10685.91246994583</v>
      </c>
      <c r="BY11" s="68">
        <f t="shared" si="17"/>
        <v>5.6005830555271648E-2</v>
      </c>
      <c r="BZ11" s="29">
        <v>206700</v>
      </c>
      <c r="CA11" s="29">
        <v>45000</v>
      </c>
      <c r="CB11" s="31">
        <f>IF(CA11/(INDEX('Standards for Conversions'!$H$47:$H$73,MATCH(BZ$2,'Standards for Conversions'!$A$47:$A$73,0)))=0,"",CA11/(INDEX('Standards for Conversions'!$H$47:$H$73,MATCH(BZ$2,'Standards for Conversions'!$A$47:$A$73,0))))</f>
        <v>6059.6555357608404</v>
      </c>
      <c r="CC11" s="68">
        <f t="shared" si="18"/>
        <v>2.9316185465703148E-2</v>
      </c>
      <c r="CD11" s="29">
        <v>393600</v>
      </c>
      <c r="CE11" s="29">
        <v>50000</v>
      </c>
      <c r="CF11" s="31">
        <f>IF(CE11/(INDEX('Standards for Conversions'!$H$47:$H$73,MATCH(CD$2,'Standards for Conversions'!$A$47:$A$73,0)))=0,"",CE11/(INDEX('Standards for Conversions'!$H$47:$H$73,MATCH(CD$2,'Standards for Conversions'!$A$47:$A$73,0))))</f>
        <v>6080.8283363749588</v>
      </c>
      <c r="CG11" s="68">
        <f t="shared" si="19"/>
        <v>1.5449258984692477E-2</v>
      </c>
      <c r="CH11" s="29">
        <f>(20000+1500+1000)*20</f>
        <v>450000</v>
      </c>
      <c r="CI11" s="29">
        <f>40000+3000+2000</f>
        <v>45000</v>
      </c>
      <c r="CJ11" s="31">
        <f>IF(CI11/(INDEX('Standards for Conversions'!$H$47:$H$73,MATCH(CH$2,'Standards for Conversions'!$A$47:$A$73,0)))=0,"",CI11/(INDEX('Standards for Conversions'!$H$47:$H$73,MATCH(CH$2,'Standards for Conversions'!$A$47:$A$73,0))))</f>
        <v>4411.3530079516813</v>
      </c>
      <c r="CK11" s="68">
        <f t="shared" si="20"/>
        <v>9.8030066843370692E-3</v>
      </c>
      <c r="CL11" s="29">
        <f>(18000+1250+750)*20</f>
        <v>400000</v>
      </c>
      <c r="CM11" s="29">
        <f>36000+2500+1500</f>
        <v>40000</v>
      </c>
      <c r="CN11" s="31">
        <f>IF(CM11/(INDEX('Standards for Conversions'!$H$47:$H$73,MATCH(CL$2,'Standards for Conversions'!$A$47:$A$73,0)))=0,"",CM11/(INDEX('Standards for Conversions'!$H$47:$H$73,MATCH(CL$2,'Standards for Conversions'!$A$47:$A$73,0))))</f>
        <v>4039.770357173893</v>
      </c>
      <c r="CO11" s="68">
        <f t="shared" si="21"/>
        <v>1.0099425892934732E-2</v>
      </c>
      <c r="CP11" s="29">
        <f>(16000+1250+350)*20</f>
        <v>352000</v>
      </c>
      <c r="CQ11" s="29">
        <f>50000+3500+1000</f>
        <v>54500</v>
      </c>
      <c r="CR11" s="31">
        <f>IF(CQ11/(INDEX('Standards for Conversions'!$H$47:$H$73,MATCH(CP$2,'Standards for Conversions'!$A$47:$A$73,0)))=0,"",CQ11/(INDEX('Standards for Conversions'!$H$47:$H$73,MATCH(CP$2,'Standards for Conversions'!$A$47:$A$73,0))))</f>
        <v>5688.8139330045469</v>
      </c>
      <c r="CS11" s="68">
        <f t="shared" si="22"/>
        <v>1.6161403218762919E-2</v>
      </c>
      <c r="CT11" s="29">
        <f>(5000+500+200)*20</f>
        <v>114000</v>
      </c>
      <c r="CU11" s="29">
        <f>20000+2000+800</f>
        <v>22800</v>
      </c>
      <c r="CV11" s="31">
        <f>IF(CU11/(INDEX('Standards for Conversions'!$H$47:$H$73,MATCH(CT$2,'Standards for Conversions'!$A$47:$A$73,0)))=0,"",CU11/(INDEX('Standards for Conversions'!$H$47:$H$73,MATCH(CT$2,'Standards for Conversions'!$A$47:$A$73,0))))</f>
        <v>2128.8827561484309</v>
      </c>
      <c r="CW11" s="68">
        <f t="shared" si="23"/>
        <v>1.8674410141652904E-2</v>
      </c>
      <c r="CX11" s="29">
        <f>(4000+400+150)*20</f>
        <v>91000</v>
      </c>
      <c r="CY11" s="29">
        <f>16000+1600+600</f>
        <v>18200</v>
      </c>
      <c r="CZ11" s="31">
        <f>IF(CY11/(INDEX('Standards for Conversions'!$H$47:$H$73,MATCH(CX$2,'Standards for Conversions'!$A$47:$A$73,0)))=0,"",CY11/(INDEX('Standards for Conversions'!$H$47:$H$73,MATCH(CX$2,'Standards for Conversions'!$A$47:$A$73,0))))</f>
        <v>1660.8368257727177</v>
      </c>
      <c r="DA11" s="68">
        <f>IFERROR(CZ11/CX11,"")</f>
        <v>1.8250954129370524E-2</v>
      </c>
      <c r="DB11" s="29">
        <f>(3200+300+150)*20</f>
        <v>73000</v>
      </c>
      <c r="DC11" s="29">
        <f>12000+1100+500</f>
        <v>13600</v>
      </c>
      <c r="DD11" s="31">
        <f>IF(DC11/(INDEX('Standards for Conversions'!$H$47:$H$73,MATCH(DB$2,'Standards for Conversions'!$A$47:$A$73,0)))=0,"",DC11/(INDEX('Standards for Conversions'!$H$47:$H$73,MATCH(DB$2,'Standards for Conversions'!$A$47:$A$73,0))))</f>
        <v>1264.100887865357</v>
      </c>
      <c r="DE11" s="68">
        <f t="shared" si="25"/>
        <v>1.7316450518703522E-2</v>
      </c>
      <c r="DG11" s="29">
        <f>1400+400+224</f>
        <v>2024</v>
      </c>
      <c r="DH11" s="31">
        <f>IF(DG11/(INDEX('Standards for Conversions'!$H$47:$H$73,MATCH(DF$2,'Standards for Conversions'!$A$47:$A$73,0)))=0,"",DG11/(INDEX('Standards for Conversions'!$H$47:$H$73,MATCH(DF$2,'Standards for Conversions'!$A$47:$A$73,0))))</f>
        <v>194.12748044668461</v>
      </c>
      <c r="DI11" s="68" t="str">
        <f t="shared" si="26"/>
        <v/>
      </c>
      <c r="DJ11" s="29">
        <f>(325+250)*20</f>
        <v>11500</v>
      </c>
      <c r="DK11" s="29">
        <f>1450+1300</f>
        <v>2750</v>
      </c>
      <c r="DL11" s="31">
        <f>IF(DK11/(INDEX('Standards for Conversions'!$H$47:$H$73,MATCH(DJ$2,'Standards for Conversions'!$A$47:$A$73,0)))=0,"",DK11/(INDEX('Standards for Conversions'!$H$47:$H$73,MATCH(DJ$2,'Standards for Conversions'!$A$47:$A$73,0))))</f>
        <v>253.2796273463978</v>
      </c>
      <c r="DM11" s="68">
        <f t="shared" si="27"/>
        <v>2.2024315421425897E-2</v>
      </c>
      <c r="DN11" s="29">
        <f>(531+361+78)*20</f>
        <v>19400</v>
      </c>
      <c r="DO11" s="29">
        <f>2720+1440+310</f>
        <v>4470</v>
      </c>
      <c r="DP11" s="31">
        <f>IF(DO11/(INDEX('Standards for Conversions'!$H$47:$H$73,MATCH(DN$2,'Standards for Conversions'!$A$47:$A$73,0)))=0,"",DO11/(INDEX('Standards for Conversions'!$H$47:$H$73,MATCH(DN$2,'Standards for Conversions'!$A$47:$A$73,0))))</f>
        <v>364.37331216867983</v>
      </c>
      <c r="DQ11" s="68">
        <f t="shared" si="28"/>
        <v>1.8782129493230919E-2</v>
      </c>
      <c r="DR11" s="29">
        <f>(450+80+50)*20</f>
        <v>11600</v>
      </c>
      <c r="DS11" s="29">
        <f>2200+310+200</f>
        <v>2710</v>
      </c>
      <c r="DT11" s="31">
        <f>IF(DS11/(INDEX('Standards for Conversions'!$H$47:$H$73,MATCH(DR$2,'Standards for Conversions'!$A$47:$A$73,0)))=0,"",DS11/(INDEX('Standards for Conversions'!$H$47:$H$73,MATCH(DR$2,'Standards for Conversions'!$A$47:$A$73,0))))</f>
        <v>227.2180270704788</v>
      </c>
      <c r="DU11" s="68">
        <f t="shared" si="29"/>
        <v>1.9587760954351621E-2</v>
      </c>
      <c r="DV11" s="29">
        <f>625*20</f>
        <v>12500</v>
      </c>
      <c r="DW11" s="29">
        <f>5000+1000+200</f>
        <v>6200</v>
      </c>
      <c r="DX11" s="31">
        <f>IF(DW11/(INDEX('Standards for Conversions'!$H$47:$H$73,MATCH(DV$2,'Standards for Conversions'!$A$47:$A$73,0)))=0,"",DW11/(INDEX('Standards for Conversions'!$H$47:$H$73,MATCH(DV$2,'Standards for Conversions'!$A$47:$A$73,0))))</f>
        <v>554.62151208684566</v>
      </c>
      <c r="DY11" s="68">
        <f t="shared" si="30"/>
        <v>4.4369720966947655E-2</v>
      </c>
      <c r="DZ11" s="29">
        <f>680*20</f>
        <v>13600</v>
      </c>
      <c r="EA11" s="29">
        <v>350</v>
      </c>
      <c r="EB11" s="68">
        <f t="shared" si="31"/>
        <v>2.5735294117647058E-2</v>
      </c>
      <c r="EC11" s="29">
        <f>850*20</f>
        <v>17000</v>
      </c>
      <c r="ED11" s="29">
        <v>635</v>
      </c>
      <c r="EE11" s="68">
        <f t="shared" si="32"/>
        <v>3.7352941176470589E-2</v>
      </c>
      <c r="EF11" s="29">
        <f>750*20</f>
        <v>15000</v>
      </c>
      <c r="EG11" s="29">
        <v>500</v>
      </c>
      <c r="EH11" s="68">
        <f t="shared" si="33"/>
        <v>3.3333333333333333E-2</v>
      </c>
      <c r="EI11" s="29">
        <f>885*20</f>
        <v>17700</v>
      </c>
      <c r="EJ11" s="29">
        <v>590</v>
      </c>
      <c r="EK11" s="68">
        <f t="shared" si="34"/>
        <v>3.3333333333333333E-2</v>
      </c>
      <c r="EL11" s="33">
        <f>852*20</f>
        <v>17040</v>
      </c>
      <c r="EM11" s="33">
        <v>568</v>
      </c>
      <c r="EN11" s="68">
        <f t="shared" si="35"/>
        <v>3.3333333333333333E-2</v>
      </c>
      <c r="EQ11" s="68" t="str">
        <f t="shared" si="36"/>
        <v/>
      </c>
      <c r="ET11" s="68" t="str">
        <f t="shared" si="37"/>
        <v/>
      </c>
    </row>
    <row r="12" spans="1:150" ht="15.6" x14ac:dyDescent="0.3">
      <c r="A12" s="101" t="s">
        <v>70</v>
      </c>
      <c r="B12" s="52" t="s">
        <v>131</v>
      </c>
      <c r="C12" s="33" t="s">
        <v>98</v>
      </c>
      <c r="D12" s="7">
        <v>1050</v>
      </c>
      <c r="E12" s="7">
        <v>5000</v>
      </c>
      <c r="F12" s="31">
        <v>987.71114864864853</v>
      </c>
      <c r="G12" s="68">
        <f t="shared" si="0"/>
        <v>0.94067728442728427</v>
      </c>
      <c r="H12" s="7">
        <v>1750</v>
      </c>
      <c r="I12" s="7">
        <v>10000</v>
      </c>
      <c r="J12" s="31">
        <v>1926.7248558848235</v>
      </c>
      <c r="K12" s="68">
        <f t="shared" si="1"/>
        <v>1.1009856319341849</v>
      </c>
      <c r="L12" s="7">
        <v>2100</v>
      </c>
      <c r="M12" s="7">
        <v>12000</v>
      </c>
      <c r="N12" s="31">
        <v>2144.381246197966</v>
      </c>
      <c r="O12" s="68">
        <f t="shared" si="2"/>
        <v>1.0211339267609363</v>
      </c>
      <c r="P12" s="7">
        <v>2100</v>
      </c>
      <c r="Q12" s="7">
        <v>12000</v>
      </c>
      <c r="R12" s="31">
        <v>2228.2255366298773</v>
      </c>
      <c r="S12" s="68">
        <f t="shared" si="3"/>
        <v>1.0610597793475607</v>
      </c>
      <c r="T12" s="7">
        <v>2275</v>
      </c>
      <c r="U12" s="7">
        <v>13000</v>
      </c>
      <c r="V12" s="31">
        <v>2314.8222911416237</v>
      </c>
      <c r="W12" s="68">
        <f t="shared" si="4"/>
        <v>1.0175043037985159</v>
      </c>
      <c r="X12" s="33" t="s">
        <v>98</v>
      </c>
      <c r="Y12" s="7">
        <v>1750</v>
      </c>
      <c r="Z12" s="7">
        <v>11000</v>
      </c>
      <c r="AA12" s="31">
        <v>1909.7866153935286</v>
      </c>
      <c r="AB12" s="68">
        <f t="shared" si="5"/>
        <v>1.0913066373677307</v>
      </c>
      <c r="AC12" s="33" t="s">
        <v>98</v>
      </c>
      <c r="AD12" s="7">
        <v>1750</v>
      </c>
      <c r="AE12" s="7">
        <v>18000</v>
      </c>
      <c r="AF12" s="31">
        <v>3186.0830364126186</v>
      </c>
      <c r="AG12" s="68">
        <f t="shared" si="6"/>
        <v>1.8206188779500678</v>
      </c>
      <c r="AH12" s="7">
        <v>1750</v>
      </c>
      <c r="AI12" s="7">
        <v>18000</v>
      </c>
      <c r="AJ12" s="31">
        <v>3151.7830994177457</v>
      </c>
      <c r="AK12" s="68">
        <f t="shared" si="7"/>
        <v>1.8010189139529975</v>
      </c>
      <c r="AL12" s="7">
        <v>5250</v>
      </c>
      <c r="AM12" s="7">
        <v>30000</v>
      </c>
      <c r="AN12" s="31">
        <v>5246.6199921786729</v>
      </c>
      <c r="AO12" s="68">
        <f t="shared" si="8"/>
        <v>0.99935618898641387</v>
      </c>
      <c r="AP12" s="7">
        <v>1141</v>
      </c>
      <c r="AQ12" s="7">
        <v>10900</v>
      </c>
      <c r="AR12" s="31">
        <v>1867.0387309536222</v>
      </c>
      <c r="AS12" s="68">
        <f t="shared" si="9"/>
        <v>1.636317906181965</v>
      </c>
      <c r="AT12" s="7">
        <v>1793.75</v>
      </c>
      <c r="AU12" s="7">
        <v>8000</v>
      </c>
      <c r="AV12" s="31">
        <v>1371.9974797949071</v>
      </c>
      <c r="AW12" s="68">
        <f t="shared" si="10"/>
        <v>0.7648766437881015</v>
      </c>
      <c r="AX12" s="7">
        <v>1312.5</v>
      </c>
      <c r="AY12" s="7">
        <v>6000</v>
      </c>
      <c r="AZ12" s="31">
        <v>987.07596463022503</v>
      </c>
      <c r="BA12" s="68">
        <f t="shared" si="11"/>
        <v>0.75205787781350475</v>
      </c>
      <c r="BB12" s="7">
        <v>1400</v>
      </c>
      <c r="BC12" s="7">
        <v>6500</v>
      </c>
      <c r="BD12" s="31">
        <v>999.14446098027292</v>
      </c>
      <c r="BE12" s="68">
        <f t="shared" si="12"/>
        <v>0.71367461498590923</v>
      </c>
      <c r="BF12" s="7">
        <v>1312.5</v>
      </c>
      <c r="BG12" s="7">
        <v>6000</v>
      </c>
      <c r="BH12" s="31">
        <v>908.31314634570242</v>
      </c>
      <c r="BI12" s="68">
        <f t="shared" si="13"/>
        <v>0.6920481115014876</v>
      </c>
      <c r="BJ12" s="29">
        <v>875</v>
      </c>
      <c r="BK12" s="29">
        <v>4000</v>
      </c>
      <c r="BL12" s="31">
        <f>IF(BK12/(INDEX('Standards for Conversions'!$H$47:$H$73,MATCH(BJ$2,'Standards for Conversions'!$A$47:$A$73,0)))=0,"",BK12/(INDEX('Standards for Conversions'!$H$47:$H$73,MATCH(BJ$2,'Standards for Conversions'!$A$47:$A$73,0))))</f>
        <v>580.98164885142387</v>
      </c>
      <c r="BM12" s="68">
        <f t="shared" si="14"/>
        <v>0.66397902725877012</v>
      </c>
      <c r="BN12" s="29">
        <v>525</v>
      </c>
      <c r="BO12" s="29">
        <v>3000</v>
      </c>
      <c r="BP12" s="31">
        <f>IF(BO12/(INDEX('Standards for Conversions'!$H$47:$H$73,MATCH(BN$2,'Standards for Conversions'!$A$47:$A$73,0)))=0,"",BO12/(INDEX('Standards for Conversions'!$H$47:$H$73,MATCH(BN$2,'Standards for Conversions'!$A$47:$A$73,0))))</f>
        <v>433.83068458329711</v>
      </c>
      <c r="BQ12" s="68">
        <f t="shared" si="15"/>
        <v>0.82634416111104214</v>
      </c>
      <c r="BR12" s="29">
        <v>700</v>
      </c>
      <c r="BS12" s="29">
        <v>3500</v>
      </c>
      <c r="BT12" s="31">
        <f>IF(BS12/(INDEX('Standards for Conversions'!$H$47:$H$73,MATCH(BR$2,'Standards for Conversions'!$A$47:$A$73,0)))=0,"",BS12/(INDEX('Standards for Conversions'!$H$47:$H$73,MATCH(BR$2,'Standards for Conversions'!$A$47:$A$73,0))))</f>
        <v>566.16068842154039</v>
      </c>
      <c r="BU12" s="68">
        <f t="shared" si="16"/>
        <v>0.80880098345934337</v>
      </c>
      <c r="BV12" s="29">
        <v>525</v>
      </c>
      <c r="BW12" s="29">
        <v>3000</v>
      </c>
      <c r="BX12" s="31">
        <f>IF(BW12/(INDEX('Standards for Conversions'!$H$47:$H$73,MATCH(BV$2,'Standards for Conversions'!$A$47:$A$73,0)))=0,"",BW12/(INDEX('Standards for Conversions'!$H$47:$H$73,MATCH(BV$2,'Standards for Conversions'!$A$47:$A$73,0))))</f>
        <v>457.96767728339267</v>
      </c>
      <c r="BY12" s="68">
        <f t="shared" si="17"/>
        <v>0.87231938530170028</v>
      </c>
      <c r="BZ12" s="29">
        <v>437.5</v>
      </c>
      <c r="CA12" s="29">
        <v>2500</v>
      </c>
      <c r="CB12" s="31">
        <f>IF(CA12/(INDEX('Standards for Conversions'!$H$47:$H$73,MATCH(BZ$2,'Standards for Conversions'!$A$47:$A$73,0)))=0,"",CA12/(INDEX('Standards for Conversions'!$H$47:$H$73,MATCH(BZ$2,'Standards for Conversions'!$A$47:$A$73,0))))</f>
        <v>336.64752976449114</v>
      </c>
      <c r="CC12" s="68">
        <f t="shared" si="18"/>
        <v>0.76948006803312263</v>
      </c>
      <c r="CD12" s="29">
        <v>525</v>
      </c>
      <c r="CE12" s="29">
        <v>3300</v>
      </c>
      <c r="CF12" s="31">
        <f>IF(CE12/(INDEX('Standards for Conversions'!$H$47:$H$73,MATCH(CD$2,'Standards for Conversions'!$A$47:$A$73,0)))=0,"",CE12/(INDEX('Standards for Conversions'!$H$47:$H$73,MATCH(CD$2,'Standards for Conversions'!$A$47:$A$73,0))))</f>
        <v>401.33467020074727</v>
      </c>
      <c r="CG12" s="68">
        <f t="shared" si="19"/>
        <v>0.76444699085856627</v>
      </c>
      <c r="CH12" s="7">
        <f>250*1.75</f>
        <v>437.5</v>
      </c>
      <c r="CI12" s="7">
        <v>3000</v>
      </c>
      <c r="CJ12" s="31">
        <f>IF(CI12/(INDEX('Standards for Conversions'!$H$47:$H$73,MATCH(CH$2,'Standards for Conversions'!$A$47:$A$73,0)))=0,"",CI12/(INDEX('Standards for Conversions'!$H$47:$H$73,MATCH(CH$2,'Standards for Conversions'!$A$47:$A$73,0))))</f>
        <v>294.0902005301121</v>
      </c>
      <c r="CK12" s="68">
        <f t="shared" si="20"/>
        <v>0.67220617264025617</v>
      </c>
      <c r="CN12" s="31" t="str">
        <f>IF(CM12/(INDEX('Standards for Conversions'!$H$47:$H$73,MATCH(CL$2,'Standards for Conversions'!$A$47:$A$73,0)))=0,"",CM12/(INDEX('Standards for Conversions'!$H$47:$H$73,MATCH(CL$2,'Standards for Conversions'!$A$47:$A$73,0))))</f>
        <v/>
      </c>
      <c r="CO12" s="68" t="str">
        <f t="shared" si="21"/>
        <v/>
      </c>
      <c r="CR12" s="31" t="str">
        <f>IF(CQ12/(INDEX('Standards for Conversions'!$H$47:$H$73,MATCH(CP$2,'Standards for Conversions'!$A$47:$A$73,0)))=0,"",CQ12/(INDEX('Standards for Conversions'!$H$47:$H$73,MATCH(CP$2,'Standards for Conversions'!$A$47:$A$73,0))))</f>
        <v/>
      </c>
      <c r="CS12" s="68" t="str">
        <f t="shared" si="22"/>
        <v/>
      </c>
      <c r="CV12" s="31" t="str">
        <f>IF(CU12/(INDEX('Standards for Conversions'!$H$47:$H$73,MATCH(CT$2,'Standards for Conversions'!$A$47:$A$73,0)))=0,"",CU12/(INDEX('Standards for Conversions'!$H$47:$H$73,MATCH(CT$2,'Standards for Conversions'!$A$47:$A$73,0))))</f>
        <v/>
      </c>
      <c r="CW12" s="68" t="str">
        <f t="shared" si="23"/>
        <v/>
      </c>
      <c r="CZ12" s="31" t="str">
        <f>IF(CY12/(INDEX('Standards for Conversions'!$H$47:$H$73,MATCH(CX$2,'Standards for Conversions'!$A$47:$A$73,0)))=0,"",CY12/(INDEX('Standards for Conversions'!$H$47:$H$73,MATCH(CX$2,'Standards for Conversions'!$A$47:$A$73,0))))</f>
        <v/>
      </c>
      <c r="DA12" s="68" t="str">
        <f t="shared" si="24"/>
        <v/>
      </c>
      <c r="DD12" s="31" t="str">
        <f>IF(DC12/(INDEX('Standards for Conversions'!$H$47:$H$73,MATCH(DB$2,'Standards for Conversions'!$A$47:$A$73,0)))=0,"",DC12/(INDEX('Standards for Conversions'!$H$47:$H$73,MATCH(DB$2,'Standards for Conversions'!$A$47:$A$73,0))))</f>
        <v/>
      </c>
      <c r="DE12" s="68" t="str">
        <f t="shared" si="25"/>
        <v/>
      </c>
      <c r="DH12" s="31" t="str">
        <f>IF(DG12/(INDEX('Standards for Conversions'!$H$47:$H$73,MATCH(DF$2,'Standards for Conversions'!$A$47:$A$73,0)))=0,"",DG12/(INDEX('Standards for Conversions'!$H$47:$H$73,MATCH(DF$2,'Standards for Conversions'!$A$47:$A$73,0))))</f>
        <v/>
      </c>
      <c r="DI12" s="68" t="str">
        <f t="shared" si="26"/>
        <v/>
      </c>
      <c r="DL12" s="31" t="str">
        <f>IF(DK12/(INDEX('Standards for Conversions'!$H$47:$H$73,MATCH(DJ$2,'Standards for Conversions'!$A$47:$A$73,0)))=0,"",DK12/(INDEX('Standards for Conversions'!$H$47:$H$73,MATCH(DJ$2,'Standards for Conversions'!$A$47:$A$73,0))))</f>
        <v/>
      </c>
      <c r="DM12" s="68" t="str">
        <f t="shared" si="27"/>
        <v/>
      </c>
      <c r="DP12" s="31" t="str">
        <f>IF(DO12/(INDEX('Standards for Conversions'!$H$47:$H$73,MATCH(DN$2,'Standards for Conversions'!$A$47:$A$73,0)))=0,"",DO12/(INDEX('Standards for Conversions'!$H$47:$H$73,MATCH(DN$2,'Standards for Conversions'!$A$47:$A$73,0))))</f>
        <v/>
      </c>
      <c r="DQ12" s="68" t="str">
        <f t="shared" si="28"/>
        <v/>
      </c>
      <c r="DT12" s="31" t="str">
        <f>IF(DS12/(INDEX('Standards for Conversions'!$H$47:$H$73,MATCH(DR$2,'Standards for Conversions'!$A$47:$A$73,0)))=0,"",DS12/(INDEX('Standards for Conversions'!$H$47:$H$73,MATCH(DR$2,'Standards for Conversions'!$A$47:$A$73,0))))</f>
        <v/>
      </c>
      <c r="DU12" s="68" t="str">
        <f t="shared" si="29"/>
        <v/>
      </c>
      <c r="DX12" s="31" t="str">
        <f>IF(DW12/(INDEX('Standards for Conversions'!$H$47:$H$73,MATCH(DV$2,'Standards for Conversions'!$A$47:$A$73,0)))=0,"",DW12/(INDEX('Standards for Conversions'!$H$47:$H$73,MATCH(DV$2,'Standards for Conversions'!$A$47:$A$73,0))))</f>
        <v/>
      </c>
      <c r="DY12" s="68" t="str">
        <f t="shared" si="30"/>
        <v/>
      </c>
      <c r="EB12" s="68" t="str">
        <f t="shared" si="31"/>
        <v/>
      </c>
      <c r="EE12" s="68" t="str">
        <f t="shared" si="32"/>
        <v/>
      </c>
      <c r="EH12" s="68" t="str">
        <f t="shared" si="33"/>
        <v/>
      </c>
      <c r="EK12" s="68" t="str">
        <f t="shared" si="34"/>
        <v/>
      </c>
      <c r="EN12" s="68" t="str">
        <f t="shared" si="35"/>
        <v/>
      </c>
      <c r="EQ12" s="68" t="str">
        <f t="shared" si="36"/>
        <v/>
      </c>
      <c r="ET12" s="68" t="str">
        <f t="shared" si="37"/>
        <v/>
      </c>
    </row>
    <row r="13" spans="1:150" ht="15.6" x14ac:dyDescent="0.3">
      <c r="A13" s="101" t="s">
        <v>201</v>
      </c>
      <c r="B13" s="52" t="s">
        <v>131</v>
      </c>
      <c r="C13" s="33" t="s">
        <v>98</v>
      </c>
      <c r="D13" s="7"/>
      <c r="E13" s="7"/>
      <c r="F13" s="31" t="s">
        <v>128</v>
      </c>
      <c r="G13" s="68" t="str">
        <f t="shared" si="0"/>
        <v/>
      </c>
      <c r="H13" s="7"/>
      <c r="I13" s="7"/>
      <c r="J13" s="31" t="s">
        <v>128</v>
      </c>
      <c r="K13" s="68" t="str">
        <f t="shared" si="1"/>
        <v/>
      </c>
      <c r="L13" s="7"/>
      <c r="M13" s="7"/>
      <c r="N13" s="31" t="s">
        <v>128</v>
      </c>
      <c r="O13" s="68" t="str">
        <f t="shared" si="2"/>
        <v/>
      </c>
      <c r="P13" s="7"/>
      <c r="Q13" s="7"/>
      <c r="R13" s="31" t="s">
        <v>128</v>
      </c>
      <c r="S13" s="68" t="str">
        <f t="shared" si="3"/>
        <v/>
      </c>
      <c r="T13" s="7"/>
      <c r="U13" s="7"/>
      <c r="V13" s="31" t="s">
        <v>128</v>
      </c>
      <c r="W13" s="68" t="str">
        <f t="shared" si="4"/>
        <v/>
      </c>
      <c r="X13" s="33" t="s">
        <v>98</v>
      </c>
      <c r="Y13" s="7"/>
      <c r="Z13" s="7"/>
      <c r="AA13" s="31" t="s">
        <v>128</v>
      </c>
      <c r="AB13" s="68" t="str">
        <f t="shared" si="5"/>
        <v/>
      </c>
      <c r="AC13" s="33" t="s">
        <v>98</v>
      </c>
      <c r="AD13" s="7">
        <v>447</v>
      </c>
      <c r="AE13" s="7">
        <v>10000</v>
      </c>
      <c r="AF13" s="31">
        <v>1770.0461313403437</v>
      </c>
      <c r="AG13" s="68">
        <f t="shared" si="6"/>
        <v>3.959834745727838</v>
      </c>
      <c r="AH13" s="7">
        <v>298</v>
      </c>
      <c r="AI13" s="7">
        <v>7000</v>
      </c>
      <c r="AJ13" s="31">
        <v>1225.6934275513456</v>
      </c>
      <c r="AK13" s="68">
        <f t="shared" si="7"/>
        <v>4.1130651931253208</v>
      </c>
      <c r="AL13" s="7">
        <v>2086</v>
      </c>
      <c r="AM13" s="7">
        <v>45000</v>
      </c>
      <c r="AN13" s="31">
        <v>7869.9299882680098</v>
      </c>
      <c r="AO13" s="68">
        <f t="shared" si="8"/>
        <v>3.7727372906366297</v>
      </c>
      <c r="AP13" s="7">
        <v>670.5</v>
      </c>
      <c r="AQ13" s="7">
        <v>14500</v>
      </c>
      <c r="AR13" s="31">
        <v>2483.6753760392221</v>
      </c>
      <c r="AS13" s="68">
        <f t="shared" si="9"/>
        <v>3.7042138345103983</v>
      </c>
      <c r="AT13" s="7">
        <v>300.98</v>
      </c>
      <c r="AU13" s="7">
        <v>5800</v>
      </c>
      <c r="AV13" s="31">
        <v>994.69817285130773</v>
      </c>
      <c r="AW13" s="68">
        <f t="shared" si="10"/>
        <v>3.3048646848671264</v>
      </c>
      <c r="AX13" s="7">
        <v>819.5</v>
      </c>
      <c r="AY13" s="7">
        <v>11600</v>
      </c>
      <c r="AZ13" s="31">
        <v>1908.3468649517683</v>
      </c>
      <c r="BA13" s="68">
        <f t="shared" si="11"/>
        <v>2.328672196402402</v>
      </c>
      <c r="BB13" s="7">
        <v>1192</v>
      </c>
      <c r="BC13" s="7">
        <v>74000</v>
      </c>
      <c r="BD13" s="31">
        <v>11374.875401929261</v>
      </c>
      <c r="BE13" s="68">
        <f t="shared" si="12"/>
        <v>9.542680706316494</v>
      </c>
      <c r="BF13" s="7">
        <v>894</v>
      </c>
      <c r="BG13" s="7">
        <v>20000</v>
      </c>
      <c r="BH13" s="31">
        <v>3027.710487819008</v>
      </c>
      <c r="BI13" s="68">
        <f t="shared" si="13"/>
        <v>3.3867007693724922</v>
      </c>
      <c r="BJ13" s="29">
        <v>596</v>
      </c>
      <c r="BK13" s="29">
        <v>14000</v>
      </c>
      <c r="BL13" s="31">
        <f>IF(BK13/(INDEX('Standards for Conversions'!$H$47:$H$73,MATCH(BJ$2,'Standards for Conversions'!$A$47:$A$73,0)))=0,"",BK13/(INDEX('Standards for Conversions'!$H$47:$H$73,MATCH(BJ$2,'Standards for Conversions'!$A$47:$A$73,0))))</f>
        <v>2033.4357709799833</v>
      </c>
      <c r="BM13" s="68">
        <f t="shared" si="14"/>
        <v>3.4118049848657437</v>
      </c>
      <c r="BN13" s="29">
        <v>298</v>
      </c>
      <c r="BO13" s="29">
        <v>6700</v>
      </c>
      <c r="BP13" s="31">
        <f>IF(BO13/(INDEX('Standards for Conversions'!$H$47:$H$73,MATCH(BN$2,'Standards for Conversions'!$A$47:$A$73,0)))=0,"",BO13/(INDEX('Standards for Conversions'!$H$47:$H$73,MATCH(BN$2,'Standards for Conversions'!$A$47:$A$73,0))))</f>
        <v>968.88852890269686</v>
      </c>
      <c r="BQ13" s="68">
        <f t="shared" si="15"/>
        <v>3.2513037882640834</v>
      </c>
      <c r="BR13" s="29">
        <v>447</v>
      </c>
      <c r="BS13" s="29">
        <v>10000</v>
      </c>
      <c r="BT13" s="31">
        <f>IF(BS13/(INDEX('Standards for Conversions'!$H$47:$H$73,MATCH(BR$2,'Standards for Conversions'!$A$47:$A$73,0)))=0,"",BS13/(INDEX('Standards for Conversions'!$H$47:$H$73,MATCH(BR$2,'Standards for Conversions'!$A$47:$A$73,0))))</f>
        <v>1617.6019669186869</v>
      </c>
      <c r="BU13" s="68">
        <f t="shared" si="16"/>
        <v>3.6187963465742436</v>
      </c>
      <c r="BV13" s="29">
        <v>327.8</v>
      </c>
      <c r="BW13" s="29">
        <v>7000</v>
      </c>
      <c r="BX13" s="31">
        <f>IF(BW13/(INDEX('Standards for Conversions'!$H$47:$H$73,MATCH(BV$2,'Standards for Conversions'!$A$47:$A$73,0)))=0,"",BW13/(INDEX('Standards for Conversions'!$H$47:$H$73,MATCH(BV$2,'Standards for Conversions'!$A$47:$A$73,0))))</f>
        <v>1068.5912469945829</v>
      </c>
      <c r="BY13" s="68">
        <f t="shared" si="17"/>
        <v>3.2598878797882334</v>
      </c>
      <c r="BZ13" s="29">
        <v>298</v>
      </c>
      <c r="CA13" s="29">
        <v>6500</v>
      </c>
      <c r="CB13" s="31">
        <f>IF(CA13/(INDEX('Standards for Conversions'!$H$47:$H$73,MATCH(BZ$2,'Standards for Conversions'!$A$47:$A$73,0)))=0,"",CA13/(INDEX('Standards for Conversions'!$H$47:$H$73,MATCH(BZ$2,'Standards for Conversions'!$A$47:$A$73,0))))</f>
        <v>875.28357738767704</v>
      </c>
      <c r="CC13" s="68">
        <f t="shared" si="18"/>
        <v>2.9371932127103255</v>
      </c>
      <c r="CD13" s="29">
        <v>149</v>
      </c>
      <c r="CE13" s="29">
        <v>3500</v>
      </c>
      <c r="CF13" s="31">
        <f>IF(CE13/(INDEX('Standards for Conversions'!$H$47:$H$73,MATCH(CD$2,'Standards for Conversions'!$A$47:$A$73,0)))=0,"",CE13/(INDEX('Standards for Conversions'!$H$47:$H$73,MATCH(CD$2,'Standards for Conversions'!$A$47:$A$73,0))))</f>
        <v>425.65798354624712</v>
      </c>
      <c r="CG13" s="68">
        <f t="shared" si="19"/>
        <v>2.8567649902432692</v>
      </c>
      <c r="CH13" s="7">
        <f>150*2.98</f>
        <v>447</v>
      </c>
      <c r="CI13" s="7">
        <v>11400</v>
      </c>
      <c r="CJ13" s="31">
        <f>IF(CI13/(INDEX('Standards for Conversions'!$H$47:$H$73,MATCH(CH$2,'Standards for Conversions'!$A$47:$A$73,0)))=0,"",CI13/(INDEX('Standards for Conversions'!$H$47:$H$73,MATCH(CH$2,'Standards for Conversions'!$A$47:$A$73,0))))</f>
        <v>1117.542762014426</v>
      </c>
      <c r="CK13" s="68">
        <f t="shared" si="20"/>
        <v>2.5000956644618033</v>
      </c>
      <c r="CN13" s="31" t="str">
        <f>IF(CM13/(INDEX('Standards for Conversions'!$H$47:$H$73,MATCH(CL$2,'Standards for Conversions'!$A$47:$A$73,0)))=0,"",CM13/(INDEX('Standards for Conversions'!$H$47:$H$73,MATCH(CL$2,'Standards for Conversions'!$A$47:$A$73,0))))</f>
        <v/>
      </c>
      <c r="CO13" s="68" t="str">
        <f t="shared" si="21"/>
        <v/>
      </c>
      <c r="CR13" s="31" t="str">
        <f>IF(CQ13/(INDEX('Standards for Conversions'!$H$47:$H$73,MATCH(CP$2,'Standards for Conversions'!$A$47:$A$73,0)))=0,"",CQ13/(INDEX('Standards for Conversions'!$H$47:$H$73,MATCH(CP$2,'Standards for Conversions'!$A$47:$A$73,0))))</f>
        <v/>
      </c>
      <c r="CS13" s="68" t="str">
        <f t="shared" si="22"/>
        <v/>
      </c>
      <c r="CV13" s="31" t="str">
        <f>IF(CU13/(INDEX('Standards for Conversions'!$H$47:$H$73,MATCH(CT$2,'Standards for Conversions'!$A$47:$A$73,0)))=0,"",CU13/(INDEX('Standards for Conversions'!$H$47:$H$73,MATCH(CT$2,'Standards for Conversions'!$A$47:$A$73,0))))</f>
        <v/>
      </c>
      <c r="CW13" s="68" t="str">
        <f t="shared" si="23"/>
        <v/>
      </c>
      <c r="CZ13" s="31" t="str">
        <f>IF(CY13/(INDEX('Standards for Conversions'!$H$47:$H$73,MATCH(CX$2,'Standards for Conversions'!$A$47:$A$73,0)))=0,"",CY13/(INDEX('Standards for Conversions'!$H$47:$H$73,MATCH(CX$2,'Standards for Conversions'!$A$47:$A$73,0))))</f>
        <v/>
      </c>
      <c r="DA13" s="68" t="str">
        <f t="shared" si="24"/>
        <v/>
      </c>
      <c r="DD13" s="31" t="str">
        <f>IF(DC13/(INDEX('Standards for Conversions'!$H$47:$H$73,MATCH(DB$2,'Standards for Conversions'!$A$47:$A$73,0)))=0,"",DC13/(INDEX('Standards for Conversions'!$H$47:$H$73,MATCH(DB$2,'Standards for Conversions'!$A$47:$A$73,0))))</f>
        <v/>
      </c>
      <c r="DE13" s="68" t="str">
        <f t="shared" si="25"/>
        <v/>
      </c>
      <c r="DH13" s="31" t="str">
        <f>IF(DG13/(INDEX('Standards for Conversions'!$H$47:$H$73,MATCH(DF$2,'Standards for Conversions'!$A$47:$A$73,0)))=0,"",DG13/(INDEX('Standards for Conversions'!$H$47:$H$73,MATCH(DF$2,'Standards for Conversions'!$A$47:$A$73,0))))</f>
        <v/>
      </c>
      <c r="DI13" s="68" t="str">
        <f t="shared" si="26"/>
        <v/>
      </c>
      <c r="DL13" s="31" t="str">
        <f>IF(DK13/(INDEX('Standards for Conversions'!$H$47:$H$73,MATCH(DJ$2,'Standards for Conversions'!$A$47:$A$73,0)))=0,"",DK13/(INDEX('Standards for Conversions'!$H$47:$H$73,MATCH(DJ$2,'Standards for Conversions'!$A$47:$A$73,0))))</f>
        <v/>
      </c>
      <c r="DM13" s="68" t="str">
        <f t="shared" si="27"/>
        <v/>
      </c>
      <c r="DP13" s="31" t="str">
        <f>IF(DO13/(INDEX('Standards for Conversions'!$H$47:$H$73,MATCH(DN$2,'Standards for Conversions'!$A$47:$A$73,0)))=0,"",DO13/(INDEX('Standards for Conversions'!$H$47:$H$73,MATCH(DN$2,'Standards for Conversions'!$A$47:$A$73,0))))</f>
        <v/>
      </c>
      <c r="DQ13" s="68" t="str">
        <f t="shared" si="28"/>
        <v/>
      </c>
      <c r="DT13" s="31" t="str">
        <f>IF(DS13/(INDEX('Standards for Conversions'!$H$47:$H$73,MATCH(DR$2,'Standards for Conversions'!$A$47:$A$73,0)))=0,"",DS13/(INDEX('Standards for Conversions'!$H$47:$H$73,MATCH(DR$2,'Standards for Conversions'!$A$47:$A$73,0))))</f>
        <v/>
      </c>
      <c r="DU13" s="68" t="str">
        <f t="shared" si="29"/>
        <v/>
      </c>
      <c r="DX13" s="31" t="str">
        <f>IF(DW13/(INDEX('Standards for Conversions'!$H$47:$H$73,MATCH(DV$2,'Standards for Conversions'!$A$47:$A$73,0)))=0,"",DW13/(INDEX('Standards for Conversions'!$H$47:$H$73,MATCH(DV$2,'Standards for Conversions'!$A$47:$A$73,0))))</f>
        <v/>
      </c>
      <c r="DY13" s="68" t="str">
        <f t="shared" si="30"/>
        <v/>
      </c>
      <c r="EB13" s="68" t="str">
        <f t="shared" si="31"/>
        <v/>
      </c>
      <c r="EE13" s="68" t="str">
        <f t="shared" si="32"/>
        <v/>
      </c>
      <c r="EH13" s="68" t="str">
        <f t="shared" si="33"/>
        <v/>
      </c>
      <c r="EK13" s="68" t="str">
        <f t="shared" si="34"/>
        <v/>
      </c>
      <c r="EN13" s="68" t="str">
        <f t="shared" si="35"/>
        <v/>
      </c>
      <c r="EQ13" s="68" t="str">
        <f t="shared" si="36"/>
        <v/>
      </c>
      <c r="ET13" s="68" t="str">
        <f t="shared" si="37"/>
        <v/>
      </c>
    </row>
    <row r="14" spans="1:150" ht="15.6" x14ac:dyDescent="0.3">
      <c r="A14" s="101" t="s">
        <v>142</v>
      </c>
      <c r="B14" s="52" t="s">
        <v>131</v>
      </c>
      <c r="C14" s="33" t="s">
        <v>98</v>
      </c>
      <c r="D14" s="7">
        <v>2400</v>
      </c>
      <c r="E14" s="7">
        <v>20000</v>
      </c>
      <c r="F14" s="31">
        <v>3950.8445945945941</v>
      </c>
      <c r="G14" s="68">
        <f t="shared" si="0"/>
        <v>1.6461852477477477</v>
      </c>
      <c r="H14" s="7">
        <v>6000</v>
      </c>
      <c r="I14" s="7">
        <v>42000</v>
      </c>
      <c r="J14" s="31">
        <v>8092.2443947162592</v>
      </c>
      <c r="K14" s="68">
        <f t="shared" si="1"/>
        <v>1.3487073991193765</v>
      </c>
      <c r="L14" s="7">
        <v>6000</v>
      </c>
      <c r="M14" s="7">
        <v>42000</v>
      </c>
      <c r="N14" s="31">
        <v>7505.3343616928814</v>
      </c>
      <c r="O14" s="68">
        <f t="shared" si="2"/>
        <v>1.250889060282147</v>
      </c>
      <c r="P14" s="7">
        <v>6000</v>
      </c>
      <c r="Q14" s="7">
        <v>40000</v>
      </c>
      <c r="R14" s="31">
        <v>7427.4184554329249</v>
      </c>
      <c r="S14" s="68">
        <f t="shared" si="3"/>
        <v>1.2379030759054874</v>
      </c>
      <c r="T14" s="7">
        <v>1500</v>
      </c>
      <c r="U14" s="7">
        <v>10000</v>
      </c>
      <c r="V14" s="31">
        <v>1780.6325316474026</v>
      </c>
      <c r="W14" s="68">
        <f t="shared" si="4"/>
        <v>1.1870883544316018</v>
      </c>
      <c r="X14" s="33" t="s">
        <v>98</v>
      </c>
      <c r="Y14" s="7">
        <v>1077</v>
      </c>
      <c r="Z14" s="7">
        <v>10500</v>
      </c>
      <c r="AA14" s="31">
        <v>1822.9781328756408</v>
      </c>
      <c r="AB14" s="68">
        <f t="shared" si="5"/>
        <v>1.692644505919815</v>
      </c>
      <c r="AC14" s="33" t="s">
        <v>98</v>
      </c>
      <c r="AD14" s="7">
        <v>1080</v>
      </c>
      <c r="AE14" s="7">
        <v>9000</v>
      </c>
      <c r="AF14" s="31">
        <v>1593.0415182063093</v>
      </c>
      <c r="AG14" s="68">
        <f t="shared" si="6"/>
        <v>1.4750384427836198</v>
      </c>
      <c r="AH14" s="7">
        <v>1500</v>
      </c>
      <c r="AI14" s="7">
        <v>15000</v>
      </c>
      <c r="AJ14" s="31">
        <v>2626.4859161814547</v>
      </c>
      <c r="AK14" s="68">
        <f t="shared" si="7"/>
        <v>1.7509906107876365</v>
      </c>
      <c r="AL14" s="7">
        <v>7800</v>
      </c>
      <c r="AM14" s="7">
        <v>18000</v>
      </c>
      <c r="AN14" s="31">
        <v>3147.971995307204</v>
      </c>
      <c r="AO14" s="68">
        <f t="shared" si="8"/>
        <v>0.40358615324451336</v>
      </c>
      <c r="AP14" s="7">
        <v>4800</v>
      </c>
      <c r="AQ14" s="7">
        <v>13100</v>
      </c>
      <c r="AR14" s="31">
        <v>2243.8722362837111</v>
      </c>
      <c r="AS14" s="68">
        <f t="shared" si="9"/>
        <v>0.46747338255910648</v>
      </c>
      <c r="AT14" s="7">
        <v>1500</v>
      </c>
      <c r="AU14" s="7">
        <v>14000</v>
      </c>
      <c r="AV14" s="31">
        <v>2400.9955896410875</v>
      </c>
      <c r="AW14" s="68">
        <f t="shared" si="10"/>
        <v>1.6006637264273917</v>
      </c>
      <c r="AX14" s="7">
        <v>3600</v>
      </c>
      <c r="AY14" s="7">
        <v>6500</v>
      </c>
      <c r="AZ14" s="31">
        <v>1069.3322950160771</v>
      </c>
      <c r="BA14" s="68">
        <f t="shared" si="11"/>
        <v>0.29703674861557694</v>
      </c>
      <c r="BB14" s="7">
        <v>5250</v>
      </c>
      <c r="BC14" s="7">
        <v>25000</v>
      </c>
      <c r="BD14" s="31">
        <v>3842.8633114625882</v>
      </c>
      <c r="BE14" s="68">
        <f t="shared" si="12"/>
        <v>0.73197396408811199</v>
      </c>
      <c r="BF14" s="7">
        <v>4500</v>
      </c>
      <c r="BG14" s="7">
        <v>24000</v>
      </c>
      <c r="BH14" s="31">
        <v>3633.2525853828097</v>
      </c>
      <c r="BI14" s="68">
        <f t="shared" si="13"/>
        <v>0.80738946341840212</v>
      </c>
      <c r="BJ14" s="29">
        <v>3000</v>
      </c>
      <c r="BK14" s="29">
        <v>21000</v>
      </c>
      <c r="BL14" s="31">
        <f>IF(BK14/(INDEX('Standards for Conversions'!$H$47:$H$73,MATCH(BJ$2,'Standards for Conversions'!$A$47:$A$73,0)))=0,"",BK14/(INDEX('Standards for Conversions'!$H$47:$H$73,MATCH(BJ$2,'Standards for Conversions'!$A$47:$A$73,0))))</f>
        <v>3050.153656469975</v>
      </c>
      <c r="BM14" s="68">
        <f t="shared" si="14"/>
        <v>1.0167178854899916</v>
      </c>
      <c r="BN14" s="29">
        <v>3300</v>
      </c>
      <c r="BO14" s="29">
        <v>23000</v>
      </c>
      <c r="BP14" s="31">
        <f>IF(BO14/(INDEX('Standards for Conversions'!$H$47:$H$73,MATCH(BN$2,'Standards for Conversions'!$A$47:$A$73,0)))=0,"",BO14/(INDEX('Standards for Conversions'!$H$47:$H$73,MATCH(BN$2,'Standards for Conversions'!$A$47:$A$73,0))))</f>
        <v>3326.0352484719442</v>
      </c>
      <c r="BQ14" s="68">
        <f t="shared" si="15"/>
        <v>1.0078894692339224</v>
      </c>
      <c r="BR14" s="29">
        <v>3000</v>
      </c>
      <c r="BS14" s="29">
        <v>21000</v>
      </c>
      <c r="BT14" s="31">
        <f>IF(BS14/(INDEX('Standards for Conversions'!$H$47:$H$73,MATCH(BR$2,'Standards for Conversions'!$A$47:$A$73,0)))=0,"",BS14/(INDEX('Standards for Conversions'!$H$47:$H$73,MATCH(BR$2,'Standards for Conversions'!$A$47:$A$73,0))))</f>
        <v>3396.9641305292425</v>
      </c>
      <c r="BU14" s="68">
        <f t="shared" si="16"/>
        <v>1.1323213768430809</v>
      </c>
      <c r="BV14" s="29">
        <v>3300</v>
      </c>
      <c r="BW14" s="29">
        <v>22000</v>
      </c>
      <c r="BX14" s="31">
        <f>IF(BW14/(INDEX('Standards for Conversions'!$H$47:$H$73,MATCH(BV$2,'Standards for Conversions'!$A$47:$A$73,0)))=0,"",BW14/(INDEX('Standards for Conversions'!$H$47:$H$73,MATCH(BV$2,'Standards for Conversions'!$A$47:$A$73,0))))</f>
        <v>3358.4296334115465</v>
      </c>
      <c r="BY14" s="68">
        <f t="shared" si="17"/>
        <v>1.0177059495186505</v>
      </c>
      <c r="BZ14" s="29">
        <v>3000</v>
      </c>
      <c r="CA14" s="29">
        <v>22000</v>
      </c>
      <c r="CB14" s="31">
        <f>IF(CA14/(INDEX('Standards for Conversions'!$H$47:$H$73,MATCH(BZ$2,'Standards for Conversions'!$A$47:$A$73,0)))=0,"",CA14/(INDEX('Standards for Conversions'!$H$47:$H$73,MATCH(BZ$2,'Standards for Conversions'!$A$47:$A$73,0))))</f>
        <v>2962.498261927522</v>
      </c>
      <c r="CC14" s="68">
        <f t="shared" si="18"/>
        <v>0.98749942064250729</v>
      </c>
      <c r="CD14" s="29">
        <v>3300</v>
      </c>
      <c r="CE14" s="29">
        <v>28000</v>
      </c>
      <c r="CF14" s="31">
        <f>IF(CE14/(INDEX('Standards for Conversions'!$H$47:$H$73,MATCH(CD$2,'Standards for Conversions'!$A$47:$A$73,0)))=0,"",CE14/(INDEX('Standards for Conversions'!$H$47:$H$73,MATCH(CD$2,'Standards for Conversions'!$A$47:$A$73,0))))</f>
        <v>3405.263868369977</v>
      </c>
      <c r="CG14" s="68">
        <f t="shared" si="19"/>
        <v>1.0318981419302962</v>
      </c>
      <c r="CH14" s="7">
        <f>3*1000</f>
        <v>3000</v>
      </c>
      <c r="CI14" s="7">
        <v>22000</v>
      </c>
      <c r="CJ14" s="31">
        <f>IF(CI14/(INDEX('Standards for Conversions'!$H$47:$H$73,MATCH(CH$2,'Standards for Conversions'!$A$47:$A$73,0)))=0,"",CI14/(INDEX('Standards for Conversions'!$H$47:$H$73,MATCH(CH$2,'Standards for Conversions'!$A$47:$A$73,0))))</f>
        <v>2156.6614705541551</v>
      </c>
      <c r="CK14" s="68">
        <f t="shared" si="20"/>
        <v>0.71888715685138505</v>
      </c>
      <c r="CN14" s="31" t="str">
        <f>IF(CM14/(INDEX('Standards for Conversions'!$H$47:$H$73,MATCH(CL$2,'Standards for Conversions'!$A$47:$A$73,0)))=0,"",CM14/(INDEX('Standards for Conversions'!$H$47:$H$73,MATCH(CL$2,'Standards for Conversions'!$A$47:$A$73,0))))</f>
        <v/>
      </c>
      <c r="CO14" s="68" t="str">
        <f t="shared" si="21"/>
        <v/>
      </c>
      <c r="CR14" s="31" t="str">
        <f>IF(CQ14/(INDEX('Standards for Conversions'!$H$47:$H$73,MATCH(CP$2,'Standards for Conversions'!$A$47:$A$73,0)))=0,"",CQ14/(INDEX('Standards for Conversions'!$H$47:$H$73,MATCH(CP$2,'Standards for Conversions'!$A$47:$A$73,0))))</f>
        <v/>
      </c>
      <c r="CS14" s="68" t="str">
        <f t="shared" si="22"/>
        <v/>
      </c>
      <c r="CV14" s="31" t="str">
        <f>IF(CU14/(INDEX('Standards for Conversions'!$H$47:$H$73,MATCH(CT$2,'Standards for Conversions'!$A$47:$A$73,0)))=0,"",CU14/(INDEX('Standards for Conversions'!$H$47:$H$73,MATCH(CT$2,'Standards for Conversions'!$A$47:$A$73,0))))</f>
        <v/>
      </c>
      <c r="CW14" s="68" t="str">
        <f t="shared" si="23"/>
        <v/>
      </c>
      <c r="CZ14" s="31" t="str">
        <f>IF(CY14/(INDEX('Standards for Conversions'!$H$47:$H$73,MATCH(CX$2,'Standards for Conversions'!$A$47:$A$73,0)))=0,"",CY14/(INDEX('Standards for Conversions'!$H$47:$H$73,MATCH(CX$2,'Standards for Conversions'!$A$47:$A$73,0))))</f>
        <v/>
      </c>
      <c r="DA14" s="68" t="str">
        <f t="shared" si="24"/>
        <v/>
      </c>
      <c r="DD14" s="31" t="str">
        <f>IF(DC14/(INDEX('Standards for Conversions'!$H$47:$H$73,MATCH(DB$2,'Standards for Conversions'!$A$47:$A$73,0)))=0,"",DC14/(INDEX('Standards for Conversions'!$H$47:$H$73,MATCH(DB$2,'Standards for Conversions'!$A$47:$A$73,0))))</f>
        <v/>
      </c>
      <c r="DE14" s="68" t="str">
        <f t="shared" si="25"/>
        <v/>
      </c>
      <c r="DH14" s="31" t="str">
        <f>IF(DG14/(INDEX('Standards for Conversions'!$H$47:$H$73,MATCH(DF$2,'Standards for Conversions'!$A$47:$A$73,0)))=0,"",DG14/(INDEX('Standards for Conversions'!$H$47:$H$73,MATCH(DF$2,'Standards for Conversions'!$A$47:$A$73,0))))</f>
        <v/>
      </c>
      <c r="DI14" s="68" t="str">
        <f t="shared" si="26"/>
        <v/>
      </c>
      <c r="DL14" s="31" t="str">
        <f>IF(DK14/(INDEX('Standards for Conversions'!$H$47:$H$73,MATCH(DJ$2,'Standards for Conversions'!$A$47:$A$73,0)))=0,"",DK14/(INDEX('Standards for Conversions'!$H$47:$H$73,MATCH(DJ$2,'Standards for Conversions'!$A$47:$A$73,0))))</f>
        <v/>
      </c>
      <c r="DM14" s="68" t="str">
        <f t="shared" si="27"/>
        <v/>
      </c>
      <c r="DP14" s="31" t="str">
        <f>IF(DO14/(INDEX('Standards for Conversions'!$H$47:$H$73,MATCH(DN$2,'Standards for Conversions'!$A$47:$A$73,0)))=0,"",DO14/(INDEX('Standards for Conversions'!$H$47:$H$73,MATCH(DN$2,'Standards for Conversions'!$A$47:$A$73,0))))</f>
        <v/>
      </c>
      <c r="DQ14" s="68" t="str">
        <f t="shared" si="28"/>
        <v/>
      </c>
      <c r="DT14" s="31" t="str">
        <f>IF(DS14/(INDEX('Standards for Conversions'!$H$47:$H$73,MATCH(DR$2,'Standards for Conversions'!$A$47:$A$73,0)))=0,"",DS14/(INDEX('Standards for Conversions'!$H$47:$H$73,MATCH(DR$2,'Standards for Conversions'!$A$47:$A$73,0))))</f>
        <v/>
      </c>
      <c r="DU14" s="68" t="str">
        <f t="shared" si="29"/>
        <v/>
      </c>
      <c r="DX14" s="31" t="str">
        <f>IF(DW14/(INDEX('Standards for Conversions'!$H$47:$H$73,MATCH(DV$2,'Standards for Conversions'!$A$47:$A$73,0)))=0,"",DW14/(INDEX('Standards for Conversions'!$H$47:$H$73,MATCH(DV$2,'Standards for Conversions'!$A$47:$A$73,0))))</f>
        <v/>
      </c>
      <c r="DY14" s="68" t="str">
        <f t="shared" si="30"/>
        <v/>
      </c>
      <c r="EB14" s="68" t="str">
        <f t="shared" si="31"/>
        <v/>
      </c>
      <c r="EE14" s="68" t="str">
        <f t="shared" si="32"/>
        <v/>
      </c>
      <c r="EH14" s="68" t="str">
        <f t="shared" si="33"/>
        <v/>
      </c>
      <c r="EK14" s="68" t="str">
        <f t="shared" si="34"/>
        <v/>
      </c>
      <c r="EN14" s="68" t="str">
        <f t="shared" si="35"/>
        <v/>
      </c>
      <c r="EO14" s="29">
        <v>102</v>
      </c>
      <c r="EP14" s="29">
        <v>283</v>
      </c>
      <c r="EQ14" s="68">
        <f t="shared" si="36"/>
        <v>2.7745098039215685</v>
      </c>
      <c r="ER14" s="29">
        <v>72</v>
      </c>
      <c r="ES14" s="29">
        <v>230</v>
      </c>
      <c r="ET14" s="68">
        <f t="shared" si="37"/>
        <v>3.1944444444444446</v>
      </c>
    </row>
    <row r="15" spans="1:150" ht="15.6" x14ac:dyDescent="0.3">
      <c r="A15" s="101" t="s">
        <v>325</v>
      </c>
      <c r="B15" s="52" t="s">
        <v>434</v>
      </c>
      <c r="C15" s="33" t="s">
        <v>432</v>
      </c>
      <c r="D15" s="7"/>
      <c r="E15" s="7"/>
      <c r="F15" s="31"/>
      <c r="G15" s="68"/>
      <c r="H15" s="7"/>
      <c r="I15" s="7"/>
      <c r="J15" s="31"/>
      <c r="K15" s="68"/>
      <c r="L15" s="7"/>
      <c r="M15" s="7"/>
      <c r="N15" s="31"/>
      <c r="O15" s="68"/>
      <c r="P15" s="7"/>
      <c r="Q15" s="7"/>
      <c r="R15" s="31"/>
      <c r="S15" s="68"/>
      <c r="T15" s="7"/>
      <c r="U15" s="7"/>
      <c r="V15" s="31"/>
      <c r="W15" s="68"/>
      <c r="X15" s="33"/>
      <c r="Y15" s="7"/>
      <c r="Z15" s="7"/>
      <c r="AA15" s="31"/>
      <c r="AB15" s="68"/>
      <c r="AC15" s="33" t="s">
        <v>98</v>
      </c>
      <c r="AD15" s="33">
        <v>300</v>
      </c>
      <c r="AE15" s="7">
        <v>4000</v>
      </c>
      <c r="AF15" s="7">
        <v>708.01845253613749</v>
      </c>
      <c r="AG15" s="68">
        <f t="shared" si="6"/>
        <v>2.3600615084537915</v>
      </c>
      <c r="AH15" s="7"/>
      <c r="AI15" s="7"/>
      <c r="AJ15" s="31"/>
      <c r="AK15" s="7"/>
      <c r="AL15" s="7"/>
      <c r="AP15" s="7">
        <v>654</v>
      </c>
      <c r="AQ15" s="31">
        <v>1950</v>
      </c>
      <c r="AR15" s="7">
        <v>334.01151608803332</v>
      </c>
      <c r="AS15" s="68">
        <f t="shared" si="9"/>
        <v>0.51072097261167171</v>
      </c>
      <c r="AT15" s="7">
        <v>600</v>
      </c>
      <c r="AU15" s="31">
        <v>2000</v>
      </c>
      <c r="AV15" s="7">
        <v>342.99936994872678</v>
      </c>
      <c r="AW15" s="68">
        <f t="shared" si="10"/>
        <v>0.57166561658121129</v>
      </c>
      <c r="AX15" s="7">
        <v>375</v>
      </c>
      <c r="AY15" s="31">
        <v>1200</v>
      </c>
      <c r="AZ15" s="7">
        <v>197.41519292604502</v>
      </c>
      <c r="BA15" s="68">
        <f t="shared" si="11"/>
        <v>0.52644051446945339</v>
      </c>
      <c r="BB15" s="7">
        <v>135</v>
      </c>
      <c r="BC15" s="31">
        <v>500</v>
      </c>
      <c r="BD15" s="7">
        <v>76.857266229251763</v>
      </c>
      <c r="BE15" s="68">
        <f t="shared" si="12"/>
        <v>0.56931308317964269</v>
      </c>
      <c r="BF15" s="7">
        <v>120</v>
      </c>
      <c r="BG15" s="31">
        <v>500</v>
      </c>
      <c r="BH15" s="29">
        <v>75.692762195475197</v>
      </c>
      <c r="BI15" s="68">
        <f t="shared" si="13"/>
        <v>0.6307730182956266</v>
      </c>
      <c r="BJ15" s="31">
        <v>150</v>
      </c>
      <c r="BK15" s="29">
        <v>600</v>
      </c>
      <c r="BL15" s="29">
        <v>87.147247327713572</v>
      </c>
      <c r="BM15" s="68">
        <f t="shared" si="14"/>
        <v>0.58098164885142378</v>
      </c>
      <c r="BN15" s="31">
        <v>225</v>
      </c>
      <c r="BO15" s="29">
        <v>800</v>
      </c>
      <c r="BP15" s="29">
        <v>115.68818255554589</v>
      </c>
      <c r="BQ15" s="68">
        <f t="shared" si="15"/>
        <v>0.51416970024687059</v>
      </c>
      <c r="BR15" s="29">
        <v>240</v>
      </c>
      <c r="BS15" s="29">
        <v>1000</v>
      </c>
      <c r="BT15" s="31">
        <v>161.76019669186869</v>
      </c>
      <c r="BU15" s="68">
        <f t="shared" si="16"/>
        <v>0.6740008195494529</v>
      </c>
      <c r="BV15" s="29">
        <v>300</v>
      </c>
      <c r="BW15" s="31">
        <v>1000</v>
      </c>
      <c r="BX15" s="29">
        <v>152.65589242779757</v>
      </c>
      <c r="BY15" s="68">
        <f t="shared" si="17"/>
        <v>0.50885297475932523</v>
      </c>
      <c r="BZ15" s="29">
        <v>225</v>
      </c>
      <c r="CA15" s="31">
        <v>800</v>
      </c>
      <c r="CB15" s="7">
        <v>107.72720952463717</v>
      </c>
      <c r="CC15" s="68">
        <f t="shared" si="18"/>
        <v>0.47878759788727632</v>
      </c>
      <c r="CD15" s="31">
        <v>375</v>
      </c>
      <c r="CE15" s="29">
        <v>1200</v>
      </c>
      <c r="CF15" s="29">
        <v>145.93988007299902</v>
      </c>
      <c r="CG15" s="68">
        <f t="shared" si="19"/>
        <v>0.38917301352799738</v>
      </c>
      <c r="CH15" s="29">
        <v>360</v>
      </c>
      <c r="CI15" s="29">
        <v>1100</v>
      </c>
      <c r="CJ15" s="31">
        <v>107.83307352770777</v>
      </c>
      <c r="CK15" s="68">
        <f t="shared" si="20"/>
        <v>0.29953631535474379</v>
      </c>
      <c r="CN15" s="31"/>
      <c r="CO15" s="68"/>
      <c r="CR15" s="31"/>
      <c r="CS15" s="68"/>
      <c r="CV15" s="31"/>
      <c r="CW15" s="68"/>
      <c r="CZ15" s="31"/>
      <c r="DA15" s="68"/>
      <c r="DD15" s="31"/>
      <c r="DE15" s="68"/>
      <c r="DH15" s="31"/>
      <c r="DI15" s="68"/>
      <c r="DL15" s="31"/>
      <c r="DM15" s="68"/>
      <c r="DP15" s="31"/>
      <c r="DQ15" s="68"/>
      <c r="DT15" s="31"/>
      <c r="DU15" s="68"/>
      <c r="DX15" s="31"/>
      <c r="DY15" s="68"/>
      <c r="EB15" s="68"/>
      <c r="EE15" s="68"/>
      <c r="EH15" s="68"/>
      <c r="EK15" s="68"/>
      <c r="EN15" s="68"/>
      <c r="EQ15" s="68"/>
      <c r="ET15" s="68"/>
    </row>
    <row r="16" spans="1:150" x14ac:dyDescent="0.3">
      <c r="A16" s="50"/>
      <c r="C16" s="10"/>
      <c r="D16" s="7"/>
      <c r="E16" s="7">
        <v>751400</v>
      </c>
      <c r="F16" s="31">
        <v>148433.23141891891</v>
      </c>
      <c r="G16" s="68"/>
      <c r="H16" s="7"/>
      <c r="I16" s="7">
        <v>1032450</v>
      </c>
      <c r="J16" s="31">
        <v>198924.70774582861</v>
      </c>
      <c r="K16" s="68"/>
      <c r="L16" s="7"/>
      <c r="M16" s="7">
        <v>1161750</v>
      </c>
      <c r="N16" s="31">
        <v>207602.90939754058</v>
      </c>
      <c r="O16" s="68"/>
      <c r="P16" s="7"/>
      <c r="Q16" s="7">
        <v>1379400</v>
      </c>
      <c r="R16" s="31">
        <v>256134.52543560442</v>
      </c>
      <c r="S16" s="68"/>
      <c r="T16" s="7"/>
      <c r="U16" s="7">
        <v>890975</v>
      </c>
      <c r="V16" s="31">
        <v>158649.90698845446</v>
      </c>
      <c r="W16" s="68"/>
      <c r="X16" s="10"/>
      <c r="Y16" s="7"/>
      <c r="Z16" s="7">
        <v>1522175</v>
      </c>
      <c r="AA16" s="31">
        <v>264275.40375333128</v>
      </c>
      <c r="AB16" s="68"/>
      <c r="AC16" s="10"/>
      <c r="AD16" s="7"/>
      <c r="AE16" s="7">
        <v>1470990</v>
      </c>
      <c r="AF16" s="31">
        <v>260372.01587403321</v>
      </c>
      <c r="AG16" s="68"/>
      <c r="AH16" s="7"/>
      <c r="AI16" s="7">
        <v>1332040</v>
      </c>
      <c r="AJ16" s="31">
        <v>233238.95331935634</v>
      </c>
      <c r="AK16" s="68"/>
      <c r="AL16" s="7"/>
      <c r="AM16" s="7">
        <v>1478254</v>
      </c>
      <c r="AN16" s="31">
        <v>258527.8996639364</v>
      </c>
      <c r="AO16" s="68"/>
      <c r="AP16" s="7"/>
      <c r="AQ16" s="7">
        <v>1604575</v>
      </c>
      <c r="AR16" s="31">
        <v>274844.37355228513</v>
      </c>
      <c r="AS16" s="68"/>
      <c r="AT16" s="7"/>
      <c r="AU16" s="7">
        <v>1641555</v>
      </c>
      <c r="AV16" s="31">
        <v>281526.16536809114</v>
      </c>
      <c r="AW16" s="68"/>
      <c r="AX16" s="7"/>
      <c r="AY16" s="7">
        <v>1392535</v>
      </c>
      <c r="AZ16" s="31">
        <v>229089.63806772509</v>
      </c>
      <c r="BA16" s="68"/>
      <c r="BB16" s="7"/>
      <c r="BC16" s="7">
        <v>1447480</v>
      </c>
      <c r="BD16" s="31">
        <v>222498.71144303467</v>
      </c>
      <c r="BE16" s="68"/>
      <c r="BF16" s="7"/>
      <c r="BG16" s="7">
        <v>1440685</v>
      </c>
      <c r="BH16" s="31">
        <v>218098.85420717639</v>
      </c>
      <c r="BI16" s="68"/>
      <c r="BK16" s="29">
        <v>1403100</v>
      </c>
      <c r="BL16" s="31">
        <f>IF(BK16/(INDEX('Standards for Conversions'!$H$47:$H$73,MATCH(BJ$2,'Standards for Conversions'!$A$47:$A$73,0)))=0,"",BK16/(INDEX('Standards for Conversions'!$H$47:$H$73,MATCH(BJ$2,'Standards for Conversions'!$A$47:$A$73,0))))</f>
        <v>203793.83787585818</v>
      </c>
      <c r="BM16" s="68"/>
      <c r="BO16" s="29">
        <v>1406605</v>
      </c>
      <c r="BP16" s="31">
        <f>IF(BO16/(INDEX('Standards for Conversions'!$H$47:$H$73,MATCH(BN$2,'Standards for Conversions'!$A$47:$A$73,0)))=0,"",BO16/(INDEX('Standards for Conversions'!$H$47:$H$73,MATCH(BN$2,'Standards for Conversions'!$A$47:$A$73,0))))</f>
        <v>203409.47002942953</v>
      </c>
      <c r="BQ16" s="68"/>
      <c r="BS16" s="29">
        <v>1432690</v>
      </c>
      <c r="BT16" s="31">
        <f>IF(BS16/(INDEX('Standards for Conversions'!$H$47:$H$73,MATCH(BR$2,'Standards for Conversions'!$A$47:$A$73,0)))=0,"",BS16/(INDEX('Standards for Conversions'!$H$47:$H$73,MATCH(BR$2,'Standards for Conversions'!$A$47:$A$73,0))))</f>
        <v>231752.21619847335</v>
      </c>
      <c r="BU16" s="68"/>
      <c r="BW16" s="29">
        <v>1583280</v>
      </c>
      <c r="BX16" s="31">
        <f>IF(BW16/(INDEX('Standards for Conversions'!$H$47:$H$73,MATCH(BV$2,'Standards for Conversions'!$A$47:$A$73,0)))=0,"",BW16/(INDEX('Standards for Conversions'!$H$47:$H$73,MATCH(BV$2,'Standards for Conversions'!$A$47:$A$73,0))))</f>
        <v>241697.02136308333</v>
      </c>
      <c r="BY16" s="68"/>
      <c r="CA16" s="29">
        <v>1054595</v>
      </c>
      <c r="CB16" s="31">
        <f>IF(CA16/(INDEX('Standards for Conversions'!$H$47:$H$73,MATCH(BZ$2,'Standards for Conversions'!$A$47:$A$73,0)))=0,"",CA16/(INDEX('Standards for Conversions'!$H$47:$H$73,MATCH(BZ$2,'Standards for Conversions'!$A$47:$A$73,0))))</f>
        <v>142010.72066079342</v>
      </c>
      <c r="CC16" s="68"/>
      <c r="CE16" s="29">
        <v>1720320</v>
      </c>
      <c r="CF16" s="31">
        <f>IF(CE16/(INDEX('Standards for Conversions'!$H$47:$H$73,MATCH(CD$2,'Standards for Conversions'!$A$47:$A$73,0)))=0,"",CE16/(INDEX('Standards for Conversions'!$H$47:$H$73,MATCH(CD$2,'Standards for Conversions'!$A$47:$A$73,0))))</f>
        <v>209219.41207265138</v>
      </c>
      <c r="CG16" s="68"/>
      <c r="CI16" s="29">
        <v>1628580</v>
      </c>
      <c r="CJ16" s="31">
        <f>IF(CI16/(INDEX('Standards for Conversions'!$H$47:$H$73,MATCH(CH$2,'Standards for Conversions'!$A$47:$A$73,0)))=0,"",CI16/(INDEX('Standards for Conversions'!$H$47:$H$73,MATCH(CH$2,'Standards for Conversions'!$A$47:$A$73,0))))</f>
        <v>159649.80625977664</v>
      </c>
      <c r="CK16" s="68"/>
      <c r="CM16" s="29">
        <v>1419450</v>
      </c>
      <c r="CN16" s="31">
        <f>IF(CM16/(INDEX('Standards for Conversions'!$H$47:$H$73,MATCH(CL$2,'Standards for Conversions'!$A$47:$A$73,0)))=0,"",CM16/(INDEX('Standards for Conversions'!$H$47:$H$73,MATCH(CL$2,'Standards for Conversions'!$A$47:$A$73,0))))</f>
        <v>143356.30083726207</v>
      </c>
      <c r="CO16" s="68"/>
      <c r="CQ16" s="29">
        <v>1909300</v>
      </c>
      <c r="CR16" s="31">
        <f>IF(CQ16/(INDEX('Standards for Conversions'!$H$47:$H$73,MATCH(CP$2,'Standards for Conversions'!$A$47:$A$73,0)))=0,"",CQ16/(INDEX('Standards for Conversions'!$H$47:$H$73,MATCH(CP$2,'Standards for Conversions'!$A$47:$A$73,0))))</f>
        <v>199296.37508780885</v>
      </c>
      <c r="CS16" s="68"/>
      <c r="CU16" s="29">
        <v>1834500</v>
      </c>
      <c r="CV16" s="31">
        <f>IF(CU16/(INDEX('Standards for Conversions'!$H$47:$H$73,MATCH(CT$2,'Standards for Conversions'!$A$47:$A$73,0)))=0,"",CU16/(INDEX('Standards for Conversions'!$H$47:$H$73,MATCH(CT$2,'Standards for Conversions'!$A$47:$A$73,0))))</f>
        <v>171291.02702431125</v>
      </c>
      <c r="CW16" s="68"/>
      <c r="CY16" s="29">
        <v>1697400</v>
      </c>
      <c r="CZ16" s="31">
        <f>IF(CY16/(INDEX('Standards for Conversions'!$H$47:$H$73,MATCH(CX$2,'Standards for Conversions'!$A$47:$A$73,0)))=0,"",CY16/(INDEX('Standards for Conversions'!$H$47:$H$73,MATCH(CX$2,'Standards for Conversions'!$A$47:$A$73,0))))</f>
        <v>154895.84769596765</v>
      </c>
      <c r="DA16" s="68"/>
      <c r="DC16" s="29">
        <v>1533300</v>
      </c>
      <c r="DD16" s="31">
        <f>IF(DC16/(INDEX('Standards for Conversions'!$H$47:$H$73,MATCH(DB$2,'Standards for Conversions'!$A$47:$A$73,0)))=0,"",DC16/(INDEX('Standards for Conversions'!$H$47:$H$73,MATCH(DB$2,'Standards for Conversions'!$A$47:$A$73,0))))</f>
        <v>142518.08024734943</v>
      </c>
      <c r="DE16" s="68"/>
      <c r="DG16" s="29">
        <v>1255831</v>
      </c>
      <c r="DH16" s="31">
        <f>IF(DG16/(INDEX('Standards for Conversions'!$H$47:$H$73,MATCH(DF$2,'Standards for Conversions'!$A$47:$A$73,0)))=0,"",DG16/(INDEX('Standards for Conversions'!$H$47:$H$73,MATCH(DF$2,'Standards for Conversions'!$A$47:$A$73,0))))</f>
        <v>120450.2509371741</v>
      </c>
      <c r="DI16" s="68"/>
      <c r="DK16" s="29">
        <v>1641076</v>
      </c>
      <c r="DL16" s="31">
        <f>IF(DK16/(INDEX('Standards for Conversions'!$H$47:$H$73,MATCH(DJ$2,'Standards for Conversions'!$A$47:$A$73,0)))=0,"",DK16/(INDEX('Standards for Conversions'!$H$47:$H$73,MATCH(DJ$2,'Standards for Conversions'!$A$47:$A$73,0))))</f>
        <v>151145.86099167896</v>
      </c>
      <c r="DM16" s="68"/>
      <c r="DO16" s="29">
        <v>2506515</v>
      </c>
      <c r="DP16" s="31">
        <f>IF(DO16/(INDEX('Standards for Conversions'!$H$47:$H$73,MATCH(DN$2,'Standards for Conversions'!$A$47:$A$73,0)))=0,"",DO16/(INDEX('Standards for Conversions'!$H$47:$H$73,MATCH(DN$2,'Standards for Conversions'!$A$47:$A$73,0))))</f>
        <v>204319.27797549855</v>
      </c>
      <c r="DQ16" s="68"/>
      <c r="DS16" s="29">
        <v>2509840</v>
      </c>
      <c r="DT16" s="31">
        <f>IF(DS16/(INDEX('Standards for Conversions'!$H$47:$H$73,MATCH(DR$2,'Standards for Conversions'!$A$47:$A$73,0)))=0,"",DS16/(INDEX('Standards for Conversions'!$H$47:$H$73,MATCH(DR$2,'Standards for Conversions'!$A$47:$A$73,0))))</f>
        <v>210435.7538976275</v>
      </c>
      <c r="DU16" s="68"/>
      <c r="DW16" s="29">
        <v>2054300</v>
      </c>
      <c r="DX16" s="31">
        <f>IF(DW16/(INDEX('Standards for Conversions'!$H$47:$H$73,MATCH(DV$2,'Standards for Conversions'!$A$47:$A$73,0)))=0,"",DW16/(INDEX('Standards for Conversions'!$H$47:$H$73,MATCH(DV$2,'Standards for Conversions'!$A$47:$A$73,0))))</f>
        <v>183767.57617419469</v>
      </c>
      <c r="DY16" s="68"/>
      <c r="EA16" s="29">
        <v>178050</v>
      </c>
      <c r="EB16" s="68"/>
      <c r="ED16" s="29">
        <v>246255</v>
      </c>
      <c r="EE16" s="68"/>
      <c r="EG16" s="29">
        <v>283030</v>
      </c>
      <c r="EH16" s="68"/>
      <c r="EJ16" s="29">
        <v>303588</v>
      </c>
      <c r="EK16" s="68"/>
      <c r="EM16" s="29">
        <v>277580</v>
      </c>
      <c r="EN16" s="68"/>
      <c r="EP16" s="29">
        <v>271034</v>
      </c>
      <c r="EQ16" s="68"/>
      <c r="ES16" s="29">
        <v>290387</v>
      </c>
      <c r="ET16" s="68"/>
    </row>
    <row r="19" spans="7:150" ht="15.6" x14ac:dyDescent="0.3">
      <c r="G19" s="67"/>
      <c r="K19" s="67"/>
      <c r="O19" s="67"/>
      <c r="S19" s="67"/>
      <c r="W19" s="67"/>
      <c r="AB19" s="67"/>
      <c r="AG19" s="67"/>
      <c r="AK19" s="67"/>
      <c r="AO19" s="67"/>
      <c r="AS19" s="67"/>
      <c r="AW19" s="67"/>
      <c r="BA19" s="67"/>
      <c r="BE19" s="67"/>
      <c r="BI19" s="67"/>
      <c r="BM19" s="67"/>
      <c r="BQ19" s="67"/>
      <c r="BU19" s="67"/>
      <c r="BY19" s="67"/>
      <c r="CC19" s="67"/>
      <c r="CG19" s="67"/>
      <c r="CK19" s="67"/>
      <c r="CO19" s="67"/>
      <c r="CS19" s="67"/>
      <c r="CW19" s="67"/>
      <c r="DA19" s="67"/>
      <c r="DE19" s="67"/>
      <c r="DI19" s="67"/>
      <c r="DM19" s="67"/>
      <c r="DQ19" s="67"/>
      <c r="DU19" s="67"/>
      <c r="DY19" s="67"/>
      <c r="EB19" s="67"/>
      <c r="EE19" s="67"/>
      <c r="EH19" s="67"/>
      <c r="EK19" s="67"/>
      <c r="EN19" s="67"/>
      <c r="EQ19" s="67"/>
      <c r="ET19" s="67"/>
    </row>
    <row r="20" spans="7:150" x14ac:dyDescent="0.3">
      <c r="G20" s="64"/>
      <c r="K20" s="64"/>
      <c r="O20" s="64"/>
      <c r="S20" s="64"/>
      <c r="W20" s="64"/>
      <c r="AB20" s="64"/>
      <c r="AG20" s="64"/>
      <c r="AK20" s="64"/>
      <c r="AO20" s="64"/>
      <c r="AS20" s="64"/>
      <c r="AW20" s="64"/>
      <c r="BA20" s="64"/>
      <c r="BE20" s="64"/>
      <c r="BI20" s="64"/>
      <c r="BM20" s="64"/>
      <c r="BQ20" s="64"/>
      <c r="BU20" s="64"/>
      <c r="BY20" s="64"/>
      <c r="CC20" s="64"/>
      <c r="CG20" s="64"/>
      <c r="CK20" s="64"/>
      <c r="CO20" s="64"/>
      <c r="CS20" s="64"/>
      <c r="CW20" s="64"/>
      <c r="DA20" s="64"/>
      <c r="DE20" s="64"/>
      <c r="DI20" s="64"/>
      <c r="DM20" s="64"/>
      <c r="DQ20" s="64"/>
      <c r="DU20" s="64"/>
      <c r="DY20" s="64"/>
      <c r="EB20" s="64"/>
      <c r="EE20" s="64"/>
      <c r="EH20" s="64"/>
      <c r="EK20" s="64"/>
      <c r="EN20" s="64"/>
      <c r="EQ20" s="64"/>
      <c r="ET20" s="64"/>
    </row>
    <row r="21" spans="7:150" x14ac:dyDescent="0.3">
      <c r="G21" s="64"/>
      <c r="K21" s="64"/>
      <c r="O21" s="64"/>
      <c r="S21" s="64"/>
      <c r="W21" s="64"/>
      <c r="AB21" s="64"/>
      <c r="AG21" s="64"/>
      <c r="AK21" s="64"/>
      <c r="AO21" s="64"/>
      <c r="AS21" s="64"/>
      <c r="AW21" s="64"/>
      <c r="BA21" s="64"/>
      <c r="BE21" s="64"/>
      <c r="BI21" s="64"/>
      <c r="BM21" s="64"/>
      <c r="BQ21" s="64"/>
      <c r="BU21" s="64"/>
      <c r="BY21" s="64"/>
      <c r="CC21" s="64"/>
      <c r="CG21" s="64"/>
      <c r="CK21" s="64"/>
      <c r="CO21" s="64"/>
      <c r="CS21" s="64"/>
      <c r="CW21" s="64"/>
      <c r="DA21" s="64"/>
      <c r="DE21" s="64"/>
      <c r="DI21" s="64"/>
      <c r="DM21" s="64"/>
      <c r="DQ21" s="64"/>
      <c r="DU21" s="64"/>
      <c r="DY21" s="64"/>
      <c r="EB21" s="64"/>
      <c r="EE21" s="64"/>
      <c r="EH21" s="64"/>
      <c r="EK21" s="64"/>
      <c r="EN21" s="64"/>
      <c r="EQ21" s="64"/>
      <c r="ET21" s="64"/>
    </row>
  </sheetData>
  <mergeCells count="80">
    <mergeCell ref="C1:C3"/>
    <mergeCell ref="BF1:BI1"/>
    <mergeCell ref="Y1:AB1"/>
    <mergeCell ref="T1:W1"/>
    <mergeCell ref="P1:S1"/>
    <mergeCell ref="L1:O1"/>
    <mergeCell ref="D2:E2"/>
    <mergeCell ref="H2:I2"/>
    <mergeCell ref="L2:M2"/>
    <mergeCell ref="P2:Q2"/>
    <mergeCell ref="T2:U2"/>
    <mergeCell ref="Y2:Z2"/>
    <mergeCell ref="AD2:AE2"/>
    <mergeCell ref="AH2:AI2"/>
    <mergeCell ref="AT2:AU2"/>
    <mergeCell ref="AX2:AY2"/>
    <mergeCell ref="BB2:BC2"/>
    <mergeCell ref="H1:K1"/>
    <mergeCell ref="D1:G1"/>
    <mergeCell ref="BR2:BU2"/>
    <mergeCell ref="BV2:BY2"/>
    <mergeCell ref="BR1:BU1"/>
    <mergeCell ref="BV1:BY1"/>
    <mergeCell ref="BF2:BG2"/>
    <mergeCell ref="B1:B3"/>
    <mergeCell ref="BJ2:BM2"/>
    <mergeCell ref="BN2:BQ2"/>
    <mergeCell ref="BJ1:BM1"/>
    <mergeCell ref="BN1:BQ1"/>
    <mergeCell ref="X1:X3"/>
    <mergeCell ref="AC1:AC3"/>
    <mergeCell ref="AH1:AK1"/>
    <mergeCell ref="AD1:AG1"/>
    <mergeCell ref="AL1:AO1"/>
    <mergeCell ref="AP1:AS1"/>
    <mergeCell ref="AT1:AW1"/>
    <mergeCell ref="AX1:BA1"/>
    <mergeCell ref="BB1:BE1"/>
    <mergeCell ref="AL2:AM2"/>
    <mergeCell ref="AP2:AQ2"/>
    <mergeCell ref="BZ1:CC1"/>
    <mergeCell ref="DR2:DU2"/>
    <mergeCell ref="EF2:EH2"/>
    <mergeCell ref="EI2:EK2"/>
    <mergeCell ref="DF2:DI2"/>
    <mergeCell ref="DJ2:DM2"/>
    <mergeCell ref="DN2:DQ2"/>
    <mergeCell ref="DV2:DY2"/>
    <mergeCell ref="DZ2:EB2"/>
    <mergeCell ref="EC2:EE2"/>
    <mergeCell ref="CD1:CG1"/>
    <mergeCell ref="CH1:CK1"/>
    <mergeCell ref="CL1:CO1"/>
    <mergeCell ref="CP1:CS1"/>
    <mergeCell ref="CT1:CW1"/>
    <mergeCell ref="CX1:DA1"/>
    <mergeCell ref="EL2:EN2"/>
    <mergeCell ref="EO2:EQ2"/>
    <mergeCell ref="ER2:ET2"/>
    <mergeCell ref="DB2:DE2"/>
    <mergeCell ref="BZ2:CC2"/>
    <mergeCell ref="CD2:CG2"/>
    <mergeCell ref="CH2:CK2"/>
    <mergeCell ref="CL2:CO2"/>
    <mergeCell ref="CP2:CS2"/>
    <mergeCell ref="CT2:CW2"/>
    <mergeCell ref="CX2:DA2"/>
    <mergeCell ref="DB1:DE1"/>
    <mergeCell ref="DF1:DI1"/>
    <mergeCell ref="DJ1:DM1"/>
    <mergeCell ref="DN1:DQ1"/>
    <mergeCell ref="EI1:EK1"/>
    <mergeCell ref="EL1:EN1"/>
    <mergeCell ref="EO1:EQ1"/>
    <mergeCell ref="ER1:ET1"/>
    <mergeCell ref="DR1:DU1"/>
    <mergeCell ref="DV1:DY1"/>
    <mergeCell ref="DZ1:EB1"/>
    <mergeCell ref="EC1:EE1"/>
    <mergeCell ref="EF1:EH1"/>
  </mergeCells>
  <pageMargins left="0.7" right="0.7" top="0.75" bottom="0.75" header="0.3" footer="0.3"/>
  <pageSetup paperSize="9"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3:B7"/>
  <sheetViews>
    <sheetView topLeftCell="A2" workbookViewId="0">
      <selection activeCell="J31" sqref="J31"/>
    </sheetView>
  </sheetViews>
  <sheetFormatPr defaultRowHeight="14.4" x14ac:dyDescent="0.3"/>
  <sheetData>
    <row r="3" spans="1:2" x14ac:dyDescent="0.3">
      <c r="A3" s="6"/>
      <c r="B3" s="17" t="s">
        <v>192</v>
      </c>
    </row>
    <row r="5" spans="1:2" x14ac:dyDescent="0.3">
      <c r="A5" s="100"/>
      <c r="B5" s="17" t="s">
        <v>193</v>
      </c>
    </row>
    <row r="7" spans="1:2" x14ac:dyDescent="0.3">
      <c r="A7" s="19"/>
      <c r="B7" s="17" t="s">
        <v>357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N46"/>
  <sheetViews>
    <sheetView zoomScale="90" zoomScaleNormal="90" workbookViewId="0">
      <pane xSplit="2" ySplit="8" topLeftCell="AO12" activePane="bottomRight" state="frozenSplit"/>
      <selection activeCell="A9" sqref="A9:A19"/>
      <selection pane="topRight" activeCell="A9" sqref="A9:A19"/>
      <selection pane="bottomLeft" activeCell="A9" sqref="A9:A19"/>
      <selection pane="bottomRight" activeCell="AW18" sqref="AW18"/>
    </sheetView>
  </sheetViews>
  <sheetFormatPr defaultColWidth="9.6640625" defaultRowHeight="12" x14ac:dyDescent="0.2"/>
  <cols>
    <col min="1" max="1" width="6.44140625" style="71" customWidth="1"/>
    <col min="2" max="2" width="13.88671875" style="70" customWidth="1"/>
    <col min="3" max="3" width="7.44140625" style="70" customWidth="1"/>
    <col min="4" max="4" width="12.5546875" style="70" customWidth="1"/>
    <col min="5" max="5" width="12.109375" style="70" customWidth="1"/>
    <col min="6" max="6" width="13.6640625" style="70" customWidth="1"/>
    <col min="7" max="8" width="9.88671875" style="70" customWidth="1"/>
    <col min="9" max="9" width="12.109375" style="70" bestFit="1" customWidth="1"/>
    <col min="10" max="10" width="8.21875" style="70" customWidth="1"/>
    <col min="11" max="11" width="11.44140625" style="70" customWidth="1"/>
    <col min="12" max="12" width="12.88671875" style="70" customWidth="1"/>
    <col min="13" max="13" width="14" style="70" customWidth="1"/>
    <col min="14" max="16" width="9.6640625" style="70"/>
    <col min="17" max="17" width="12.109375" style="70" customWidth="1"/>
    <col min="18" max="21" width="9.6640625" style="70"/>
    <col min="22" max="22" width="12" style="70" customWidth="1"/>
    <col min="23" max="23" width="11.109375" style="70" customWidth="1"/>
    <col min="24" max="24" width="12" style="70" customWidth="1"/>
    <col min="25" max="25" width="9.6640625" style="70"/>
    <col min="26" max="27" width="15.33203125" style="70" customWidth="1"/>
    <col min="28" max="28" width="15.21875" style="70" customWidth="1"/>
    <col min="29" max="29" width="9.6640625" style="70"/>
    <col min="30" max="30" width="13.109375" style="70" customWidth="1"/>
    <col min="31" max="31" width="13.88671875" style="70" customWidth="1"/>
    <col min="32" max="33" width="9.6640625" style="70"/>
    <col min="34" max="34" width="13" style="70" customWidth="1"/>
    <col min="35" max="38" width="9.6640625" style="70"/>
    <col min="39" max="39" width="11.44140625" style="70" customWidth="1"/>
    <col min="40" max="41" width="9.6640625" style="70"/>
    <col min="42" max="42" width="11.109375" style="70" customWidth="1"/>
    <col min="43" max="43" width="9.6640625" style="70"/>
    <col min="44" max="44" width="6.6640625" style="70" customWidth="1"/>
    <col min="45" max="45" width="9.109375" style="70" customWidth="1"/>
    <col min="46" max="46" width="13.33203125" style="70" customWidth="1"/>
    <col min="47" max="47" width="13.88671875" style="70" customWidth="1"/>
    <col min="48" max="48" width="16" style="70" customWidth="1"/>
    <col min="49" max="49" width="11.5546875" style="70" customWidth="1"/>
    <col min="50" max="50" width="10.21875" style="70" customWidth="1"/>
    <col min="51" max="51" width="15.21875" style="70" customWidth="1"/>
    <col min="52" max="52" width="11.21875" style="70" customWidth="1"/>
    <col min="53" max="53" width="18.33203125" style="70" customWidth="1"/>
    <col min="54" max="54" width="12.88671875" style="70" customWidth="1"/>
    <col min="55" max="56" width="13.21875" style="70" customWidth="1"/>
    <col min="57" max="57" width="10.88671875" style="70" customWidth="1"/>
    <col min="58" max="58" width="11.109375" style="70" customWidth="1"/>
    <col min="59" max="59" width="15.21875" style="70" customWidth="1"/>
    <col min="60" max="60" width="9.6640625" style="70"/>
    <col min="61" max="61" width="11" style="70" customWidth="1"/>
    <col min="62" max="62" width="10.77734375" style="70" customWidth="1"/>
    <col min="63" max="63" width="11.44140625" style="70" customWidth="1"/>
    <col min="64" max="64" width="10.44140625" style="70" customWidth="1"/>
    <col min="65" max="65" width="15.33203125" style="70" customWidth="1"/>
    <col min="66" max="255" width="9.6640625" style="70"/>
    <col min="256" max="256" width="6.44140625" style="70" customWidth="1"/>
    <col min="257" max="257" width="13.88671875" style="70" customWidth="1"/>
    <col min="258" max="258" width="14.33203125" style="70" customWidth="1"/>
    <col min="259" max="275" width="9.6640625" style="70"/>
    <col min="276" max="276" width="12" style="70" customWidth="1"/>
    <col min="277" max="277" width="12.77734375" style="70" customWidth="1"/>
    <col min="278" max="278" width="11.109375" style="70" customWidth="1"/>
    <col min="279" max="279" width="12" style="70" customWidth="1"/>
    <col min="280" max="280" width="9.6640625" style="70"/>
    <col min="281" max="281" width="15.33203125" style="70" customWidth="1"/>
    <col min="282" max="282" width="15.21875" style="70" customWidth="1"/>
    <col min="283" max="283" width="21.44140625" style="70" customWidth="1"/>
    <col min="284" max="299" width="9.6640625" style="70"/>
    <col min="300" max="301" width="13.44140625" style="70" customWidth="1"/>
    <col min="302" max="302" width="9.6640625" style="70"/>
    <col min="303" max="303" width="13.88671875" style="70" customWidth="1"/>
    <col min="304" max="304" width="10.6640625" style="70" customWidth="1"/>
    <col min="305" max="305" width="17.33203125" style="70" customWidth="1"/>
    <col min="306" max="307" width="12.6640625" style="70" customWidth="1"/>
    <col min="308" max="308" width="11.21875" style="70" customWidth="1"/>
    <col min="309" max="309" width="18.33203125" style="70" customWidth="1"/>
    <col min="310" max="310" width="12.88671875" style="70" customWidth="1"/>
    <col min="311" max="312" width="13.21875" style="70" customWidth="1"/>
    <col min="313" max="313" width="10.88671875" style="70" customWidth="1"/>
    <col min="314" max="314" width="11.109375" style="70" customWidth="1"/>
    <col min="315" max="315" width="15.21875" style="70" customWidth="1"/>
    <col min="316" max="316" width="9.6640625" style="70"/>
    <col min="317" max="317" width="11" style="70" customWidth="1"/>
    <col min="318" max="318" width="10.77734375" style="70" customWidth="1"/>
    <col min="319" max="319" width="11.44140625" style="70" customWidth="1"/>
    <col min="320" max="320" width="4" style="70" customWidth="1"/>
    <col min="321" max="511" width="9.6640625" style="70"/>
    <col min="512" max="512" width="6.44140625" style="70" customWidth="1"/>
    <col min="513" max="513" width="13.88671875" style="70" customWidth="1"/>
    <col min="514" max="514" width="14.33203125" style="70" customWidth="1"/>
    <col min="515" max="531" width="9.6640625" style="70"/>
    <col min="532" max="532" width="12" style="70" customWidth="1"/>
    <col min="533" max="533" width="12.77734375" style="70" customWidth="1"/>
    <col min="534" max="534" width="11.109375" style="70" customWidth="1"/>
    <col min="535" max="535" width="12" style="70" customWidth="1"/>
    <col min="536" max="536" width="9.6640625" style="70"/>
    <col min="537" max="537" width="15.33203125" style="70" customWidth="1"/>
    <col min="538" max="538" width="15.21875" style="70" customWidth="1"/>
    <col min="539" max="539" width="21.44140625" style="70" customWidth="1"/>
    <col min="540" max="555" width="9.6640625" style="70"/>
    <col min="556" max="557" width="13.44140625" style="70" customWidth="1"/>
    <col min="558" max="558" width="9.6640625" style="70"/>
    <col min="559" max="559" width="13.88671875" style="70" customWidth="1"/>
    <col min="560" max="560" width="10.6640625" style="70" customWidth="1"/>
    <col min="561" max="561" width="17.33203125" style="70" customWidth="1"/>
    <col min="562" max="563" width="12.6640625" style="70" customWidth="1"/>
    <col min="564" max="564" width="11.21875" style="70" customWidth="1"/>
    <col min="565" max="565" width="18.33203125" style="70" customWidth="1"/>
    <col min="566" max="566" width="12.88671875" style="70" customWidth="1"/>
    <col min="567" max="568" width="13.21875" style="70" customWidth="1"/>
    <col min="569" max="569" width="10.88671875" style="70" customWidth="1"/>
    <col min="570" max="570" width="11.109375" style="70" customWidth="1"/>
    <col min="571" max="571" width="15.21875" style="70" customWidth="1"/>
    <col min="572" max="572" width="9.6640625" style="70"/>
    <col min="573" max="573" width="11" style="70" customWidth="1"/>
    <col min="574" max="574" width="10.77734375" style="70" customWidth="1"/>
    <col min="575" max="575" width="11.44140625" style="70" customWidth="1"/>
    <col min="576" max="576" width="4" style="70" customWidth="1"/>
    <col min="577" max="767" width="9.6640625" style="70"/>
    <col min="768" max="768" width="6.44140625" style="70" customWidth="1"/>
    <col min="769" max="769" width="13.88671875" style="70" customWidth="1"/>
    <col min="770" max="770" width="14.33203125" style="70" customWidth="1"/>
    <col min="771" max="787" width="9.6640625" style="70"/>
    <col min="788" max="788" width="12" style="70" customWidth="1"/>
    <col min="789" max="789" width="12.77734375" style="70" customWidth="1"/>
    <col min="790" max="790" width="11.109375" style="70" customWidth="1"/>
    <col min="791" max="791" width="12" style="70" customWidth="1"/>
    <col min="792" max="792" width="9.6640625" style="70"/>
    <col min="793" max="793" width="15.33203125" style="70" customWidth="1"/>
    <col min="794" max="794" width="15.21875" style="70" customWidth="1"/>
    <col min="795" max="795" width="21.44140625" style="70" customWidth="1"/>
    <col min="796" max="811" width="9.6640625" style="70"/>
    <col min="812" max="813" width="13.44140625" style="70" customWidth="1"/>
    <col min="814" max="814" width="9.6640625" style="70"/>
    <col min="815" max="815" width="13.88671875" style="70" customWidth="1"/>
    <col min="816" max="816" width="10.6640625" style="70" customWidth="1"/>
    <col min="817" max="817" width="17.33203125" style="70" customWidth="1"/>
    <col min="818" max="819" width="12.6640625" style="70" customWidth="1"/>
    <col min="820" max="820" width="11.21875" style="70" customWidth="1"/>
    <col min="821" max="821" width="18.33203125" style="70" customWidth="1"/>
    <col min="822" max="822" width="12.88671875" style="70" customWidth="1"/>
    <col min="823" max="824" width="13.21875" style="70" customWidth="1"/>
    <col min="825" max="825" width="10.88671875" style="70" customWidth="1"/>
    <col min="826" max="826" width="11.109375" style="70" customWidth="1"/>
    <col min="827" max="827" width="15.21875" style="70" customWidth="1"/>
    <col min="828" max="828" width="9.6640625" style="70"/>
    <col min="829" max="829" width="11" style="70" customWidth="1"/>
    <col min="830" max="830" width="10.77734375" style="70" customWidth="1"/>
    <col min="831" max="831" width="11.44140625" style="70" customWidth="1"/>
    <col min="832" max="832" width="4" style="70" customWidth="1"/>
    <col min="833" max="1023" width="9.6640625" style="70"/>
    <col min="1024" max="1024" width="6.44140625" style="70" customWidth="1"/>
    <col min="1025" max="1025" width="13.88671875" style="70" customWidth="1"/>
    <col min="1026" max="1026" width="14.33203125" style="70" customWidth="1"/>
    <col min="1027" max="1043" width="9.6640625" style="70"/>
    <col min="1044" max="1044" width="12" style="70" customWidth="1"/>
    <col min="1045" max="1045" width="12.77734375" style="70" customWidth="1"/>
    <col min="1046" max="1046" width="11.109375" style="70" customWidth="1"/>
    <col min="1047" max="1047" width="12" style="70" customWidth="1"/>
    <col min="1048" max="1048" width="9.6640625" style="70"/>
    <col min="1049" max="1049" width="15.33203125" style="70" customWidth="1"/>
    <col min="1050" max="1050" width="15.21875" style="70" customWidth="1"/>
    <col min="1051" max="1051" width="21.44140625" style="70" customWidth="1"/>
    <col min="1052" max="1067" width="9.6640625" style="70"/>
    <col min="1068" max="1069" width="13.44140625" style="70" customWidth="1"/>
    <col min="1070" max="1070" width="9.6640625" style="70"/>
    <col min="1071" max="1071" width="13.88671875" style="70" customWidth="1"/>
    <col min="1072" max="1072" width="10.6640625" style="70" customWidth="1"/>
    <col min="1073" max="1073" width="17.33203125" style="70" customWidth="1"/>
    <col min="1074" max="1075" width="12.6640625" style="70" customWidth="1"/>
    <col min="1076" max="1076" width="11.21875" style="70" customWidth="1"/>
    <col min="1077" max="1077" width="18.33203125" style="70" customWidth="1"/>
    <col min="1078" max="1078" width="12.88671875" style="70" customWidth="1"/>
    <col min="1079" max="1080" width="13.21875" style="70" customWidth="1"/>
    <col min="1081" max="1081" width="10.88671875" style="70" customWidth="1"/>
    <col min="1082" max="1082" width="11.109375" style="70" customWidth="1"/>
    <col min="1083" max="1083" width="15.21875" style="70" customWidth="1"/>
    <col min="1084" max="1084" width="9.6640625" style="70"/>
    <col min="1085" max="1085" width="11" style="70" customWidth="1"/>
    <col min="1086" max="1086" width="10.77734375" style="70" customWidth="1"/>
    <col min="1087" max="1087" width="11.44140625" style="70" customWidth="1"/>
    <col min="1088" max="1088" width="4" style="70" customWidth="1"/>
    <col min="1089" max="1279" width="9.6640625" style="70"/>
    <col min="1280" max="1280" width="6.44140625" style="70" customWidth="1"/>
    <col min="1281" max="1281" width="13.88671875" style="70" customWidth="1"/>
    <col min="1282" max="1282" width="14.33203125" style="70" customWidth="1"/>
    <col min="1283" max="1299" width="9.6640625" style="70"/>
    <col min="1300" max="1300" width="12" style="70" customWidth="1"/>
    <col min="1301" max="1301" width="12.77734375" style="70" customWidth="1"/>
    <col min="1302" max="1302" width="11.109375" style="70" customWidth="1"/>
    <col min="1303" max="1303" width="12" style="70" customWidth="1"/>
    <col min="1304" max="1304" width="9.6640625" style="70"/>
    <col min="1305" max="1305" width="15.33203125" style="70" customWidth="1"/>
    <col min="1306" max="1306" width="15.21875" style="70" customWidth="1"/>
    <col min="1307" max="1307" width="21.44140625" style="70" customWidth="1"/>
    <col min="1308" max="1323" width="9.6640625" style="70"/>
    <col min="1324" max="1325" width="13.44140625" style="70" customWidth="1"/>
    <col min="1326" max="1326" width="9.6640625" style="70"/>
    <col min="1327" max="1327" width="13.88671875" style="70" customWidth="1"/>
    <col min="1328" max="1328" width="10.6640625" style="70" customWidth="1"/>
    <col min="1329" max="1329" width="17.33203125" style="70" customWidth="1"/>
    <col min="1330" max="1331" width="12.6640625" style="70" customWidth="1"/>
    <col min="1332" max="1332" width="11.21875" style="70" customWidth="1"/>
    <col min="1333" max="1333" width="18.33203125" style="70" customWidth="1"/>
    <col min="1334" max="1334" width="12.88671875" style="70" customWidth="1"/>
    <col min="1335" max="1336" width="13.21875" style="70" customWidth="1"/>
    <col min="1337" max="1337" width="10.88671875" style="70" customWidth="1"/>
    <col min="1338" max="1338" width="11.109375" style="70" customWidth="1"/>
    <col min="1339" max="1339" width="15.21875" style="70" customWidth="1"/>
    <col min="1340" max="1340" width="9.6640625" style="70"/>
    <col min="1341" max="1341" width="11" style="70" customWidth="1"/>
    <col min="1342" max="1342" width="10.77734375" style="70" customWidth="1"/>
    <col min="1343" max="1343" width="11.44140625" style="70" customWidth="1"/>
    <col min="1344" max="1344" width="4" style="70" customWidth="1"/>
    <col min="1345" max="1535" width="9.6640625" style="70"/>
    <col min="1536" max="1536" width="6.44140625" style="70" customWidth="1"/>
    <col min="1537" max="1537" width="13.88671875" style="70" customWidth="1"/>
    <col min="1538" max="1538" width="14.33203125" style="70" customWidth="1"/>
    <col min="1539" max="1555" width="9.6640625" style="70"/>
    <col min="1556" max="1556" width="12" style="70" customWidth="1"/>
    <col min="1557" max="1557" width="12.77734375" style="70" customWidth="1"/>
    <col min="1558" max="1558" width="11.109375" style="70" customWidth="1"/>
    <col min="1559" max="1559" width="12" style="70" customWidth="1"/>
    <col min="1560" max="1560" width="9.6640625" style="70"/>
    <col min="1561" max="1561" width="15.33203125" style="70" customWidth="1"/>
    <col min="1562" max="1562" width="15.21875" style="70" customWidth="1"/>
    <col min="1563" max="1563" width="21.44140625" style="70" customWidth="1"/>
    <col min="1564" max="1579" width="9.6640625" style="70"/>
    <col min="1580" max="1581" width="13.44140625" style="70" customWidth="1"/>
    <col min="1582" max="1582" width="9.6640625" style="70"/>
    <col min="1583" max="1583" width="13.88671875" style="70" customWidth="1"/>
    <col min="1584" max="1584" width="10.6640625" style="70" customWidth="1"/>
    <col min="1585" max="1585" width="17.33203125" style="70" customWidth="1"/>
    <col min="1586" max="1587" width="12.6640625" style="70" customWidth="1"/>
    <col min="1588" max="1588" width="11.21875" style="70" customWidth="1"/>
    <col min="1589" max="1589" width="18.33203125" style="70" customWidth="1"/>
    <col min="1590" max="1590" width="12.88671875" style="70" customWidth="1"/>
    <col min="1591" max="1592" width="13.21875" style="70" customWidth="1"/>
    <col min="1593" max="1593" width="10.88671875" style="70" customWidth="1"/>
    <col min="1594" max="1594" width="11.109375" style="70" customWidth="1"/>
    <col min="1595" max="1595" width="15.21875" style="70" customWidth="1"/>
    <col min="1596" max="1596" width="9.6640625" style="70"/>
    <col min="1597" max="1597" width="11" style="70" customWidth="1"/>
    <col min="1598" max="1598" width="10.77734375" style="70" customWidth="1"/>
    <col min="1599" max="1599" width="11.44140625" style="70" customWidth="1"/>
    <col min="1600" max="1600" width="4" style="70" customWidth="1"/>
    <col min="1601" max="1791" width="9.6640625" style="70"/>
    <col min="1792" max="1792" width="6.44140625" style="70" customWidth="1"/>
    <col min="1793" max="1793" width="13.88671875" style="70" customWidth="1"/>
    <col min="1794" max="1794" width="14.33203125" style="70" customWidth="1"/>
    <col min="1795" max="1811" width="9.6640625" style="70"/>
    <col min="1812" max="1812" width="12" style="70" customWidth="1"/>
    <col min="1813" max="1813" width="12.77734375" style="70" customWidth="1"/>
    <col min="1814" max="1814" width="11.109375" style="70" customWidth="1"/>
    <col min="1815" max="1815" width="12" style="70" customWidth="1"/>
    <col min="1816" max="1816" width="9.6640625" style="70"/>
    <col min="1817" max="1817" width="15.33203125" style="70" customWidth="1"/>
    <col min="1818" max="1818" width="15.21875" style="70" customWidth="1"/>
    <col min="1819" max="1819" width="21.44140625" style="70" customWidth="1"/>
    <col min="1820" max="1835" width="9.6640625" style="70"/>
    <col min="1836" max="1837" width="13.44140625" style="70" customWidth="1"/>
    <col min="1838" max="1838" width="9.6640625" style="70"/>
    <col min="1839" max="1839" width="13.88671875" style="70" customWidth="1"/>
    <col min="1840" max="1840" width="10.6640625" style="70" customWidth="1"/>
    <col min="1841" max="1841" width="17.33203125" style="70" customWidth="1"/>
    <col min="1842" max="1843" width="12.6640625" style="70" customWidth="1"/>
    <col min="1844" max="1844" width="11.21875" style="70" customWidth="1"/>
    <col min="1845" max="1845" width="18.33203125" style="70" customWidth="1"/>
    <col min="1846" max="1846" width="12.88671875" style="70" customWidth="1"/>
    <col min="1847" max="1848" width="13.21875" style="70" customWidth="1"/>
    <col min="1849" max="1849" width="10.88671875" style="70" customWidth="1"/>
    <col min="1850" max="1850" width="11.109375" style="70" customWidth="1"/>
    <col min="1851" max="1851" width="15.21875" style="70" customWidth="1"/>
    <col min="1852" max="1852" width="9.6640625" style="70"/>
    <col min="1853" max="1853" width="11" style="70" customWidth="1"/>
    <col min="1854" max="1854" width="10.77734375" style="70" customWidth="1"/>
    <col min="1855" max="1855" width="11.44140625" style="70" customWidth="1"/>
    <col min="1856" max="1856" width="4" style="70" customWidth="1"/>
    <col min="1857" max="2047" width="9.6640625" style="70"/>
    <col min="2048" max="2048" width="6.44140625" style="70" customWidth="1"/>
    <col min="2049" max="2049" width="13.88671875" style="70" customWidth="1"/>
    <col min="2050" max="2050" width="14.33203125" style="70" customWidth="1"/>
    <col min="2051" max="2067" width="9.6640625" style="70"/>
    <col min="2068" max="2068" width="12" style="70" customWidth="1"/>
    <col min="2069" max="2069" width="12.77734375" style="70" customWidth="1"/>
    <col min="2070" max="2070" width="11.109375" style="70" customWidth="1"/>
    <col min="2071" max="2071" width="12" style="70" customWidth="1"/>
    <col min="2072" max="2072" width="9.6640625" style="70"/>
    <col min="2073" max="2073" width="15.33203125" style="70" customWidth="1"/>
    <col min="2074" max="2074" width="15.21875" style="70" customWidth="1"/>
    <col min="2075" max="2075" width="21.44140625" style="70" customWidth="1"/>
    <col min="2076" max="2091" width="9.6640625" style="70"/>
    <col min="2092" max="2093" width="13.44140625" style="70" customWidth="1"/>
    <col min="2094" max="2094" width="9.6640625" style="70"/>
    <col min="2095" max="2095" width="13.88671875" style="70" customWidth="1"/>
    <col min="2096" max="2096" width="10.6640625" style="70" customWidth="1"/>
    <col min="2097" max="2097" width="17.33203125" style="70" customWidth="1"/>
    <col min="2098" max="2099" width="12.6640625" style="70" customWidth="1"/>
    <col min="2100" max="2100" width="11.21875" style="70" customWidth="1"/>
    <col min="2101" max="2101" width="18.33203125" style="70" customWidth="1"/>
    <col min="2102" max="2102" width="12.88671875" style="70" customWidth="1"/>
    <col min="2103" max="2104" width="13.21875" style="70" customWidth="1"/>
    <col min="2105" max="2105" width="10.88671875" style="70" customWidth="1"/>
    <col min="2106" max="2106" width="11.109375" style="70" customWidth="1"/>
    <col min="2107" max="2107" width="15.21875" style="70" customWidth="1"/>
    <col min="2108" max="2108" width="9.6640625" style="70"/>
    <col min="2109" max="2109" width="11" style="70" customWidth="1"/>
    <col min="2110" max="2110" width="10.77734375" style="70" customWidth="1"/>
    <col min="2111" max="2111" width="11.44140625" style="70" customWidth="1"/>
    <col min="2112" max="2112" width="4" style="70" customWidth="1"/>
    <col min="2113" max="2303" width="9.6640625" style="70"/>
    <col min="2304" max="2304" width="6.44140625" style="70" customWidth="1"/>
    <col min="2305" max="2305" width="13.88671875" style="70" customWidth="1"/>
    <col min="2306" max="2306" width="14.33203125" style="70" customWidth="1"/>
    <col min="2307" max="2323" width="9.6640625" style="70"/>
    <col min="2324" max="2324" width="12" style="70" customWidth="1"/>
    <col min="2325" max="2325" width="12.77734375" style="70" customWidth="1"/>
    <col min="2326" max="2326" width="11.109375" style="70" customWidth="1"/>
    <col min="2327" max="2327" width="12" style="70" customWidth="1"/>
    <col min="2328" max="2328" width="9.6640625" style="70"/>
    <col min="2329" max="2329" width="15.33203125" style="70" customWidth="1"/>
    <col min="2330" max="2330" width="15.21875" style="70" customWidth="1"/>
    <col min="2331" max="2331" width="21.44140625" style="70" customWidth="1"/>
    <col min="2332" max="2347" width="9.6640625" style="70"/>
    <col min="2348" max="2349" width="13.44140625" style="70" customWidth="1"/>
    <col min="2350" max="2350" width="9.6640625" style="70"/>
    <col min="2351" max="2351" width="13.88671875" style="70" customWidth="1"/>
    <col min="2352" max="2352" width="10.6640625" style="70" customWidth="1"/>
    <col min="2353" max="2353" width="17.33203125" style="70" customWidth="1"/>
    <col min="2354" max="2355" width="12.6640625" style="70" customWidth="1"/>
    <col min="2356" max="2356" width="11.21875" style="70" customWidth="1"/>
    <col min="2357" max="2357" width="18.33203125" style="70" customWidth="1"/>
    <col min="2358" max="2358" width="12.88671875" style="70" customWidth="1"/>
    <col min="2359" max="2360" width="13.21875" style="70" customWidth="1"/>
    <col min="2361" max="2361" width="10.88671875" style="70" customWidth="1"/>
    <col min="2362" max="2362" width="11.109375" style="70" customWidth="1"/>
    <col min="2363" max="2363" width="15.21875" style="70" customWidth="1"/>
    <col min="2364" max="2364" width="9.6640625" style="70"/>
    <col min="2365" max="2365" width="11" style="70" customWidth="1"/>
    <col min="2366" max="2366" width="10.77734375" style="70" customWidth="1"/>
    <col min="2367" max="2367" width="11.44140625" style="70" customWidth="1"/>
    <col min="2368" max="2368" width="4" style="70" customWidth="1"/>
    <col min="2369" max="2559" width="9.6640625" style="70"/>
    <col min="2560" max="2560" width="6.44140625" style="70" customWidth="1"/>
    <col min="2561" max="2561" width="13.88671875" style="70" customWidth="1"/>
    <col min="2562" max="2562" width="14.33203125" style="70" customWidth="1"/>
    <col min="2563" max="2579" width="9.6640625" style="70"/>
    <col min="2580" max="2580" width="12" style="70" customWidth="1"/>
    <col min="2581" max="2581" width="12.77734375" style="70" customWidth="1"/>
    <col min="2582" max="2582" width="11.109375" style="70" customWidth="1"/>
    <col min="2583" max="2583" width="12" style="70" customWidth="1"/>
    <col min="2584" max="2584" width="9.6640625" style="70"/>
    <col min="2585" max="2585" width="15.33203125" style="70" customWidth="1"/>
    <col min="2586" max="2586" width="15.21875" style="70" customWidth="1"/>
    <col min="2587" max="2587" width="21.44140625" style="70" customWidth="1"/>
    <col min="2588" max="2603" width="9.6640625" style="70"/>
    <col min="2604" max="2605" width="13.44140625" style="70" customWidth="1"/>
    <col min="2606" max="2606" width="9.6640625" style="70"/>
    <col min="2607" max="2607" width="13.88671875" style="70" customWidth="1"/>
    <col min="2608" max="2608" width="10.6640625" style="70" customWidth="1"/>
    <col min="2609" max="2609" width="17.33203125" style="70" customWidth="1"/>
    <col min="2610" max="2611" width="12.6640625" style="70" customWidth="1"/>
    <col min="2612" max="2612" width="11.21875" style="70" customWidth="1"/>
    <col min="2613" max="2613" width="18.33203125" style="70" customWidth="1"/>
    <col min="2614" max="2614" width="12.88671875" style="70" customWidth="1"/>
    <col min="2615" max="2616" width="13.21875" style="70" customWidth="1"/>
    <col min="2617" max="2617" width="10.88671875" style="70" customWidth="1"/>
    <col min="2618" max="2618" width="11.109375" style="70" customWidth="1"/>
    <col min="2619" max="2619" width="15.21875" style="70" customWidth="1"/>
    <col min="2620" max="2620" width="9.6640625" style="70"/>
    <col min="2621" max="2621" width="11" style="70" customWidth="1"/>
    <col min="2622" max="2622" width="10.77734375" style="70" customWidth="1"/>
    <col min="2623" max="2623" width="11.44140625" style="70" customWidth="1"/>
    <col min="2624" max="2624" width="4" style="70" customWidth="1"/>
    <col min="2625" max="2815" width="9.6640625" style="70"/>
    <col min="2816" max="2816" width="6.44140625" style="70" customWidth="1"/>
    <col min="2817" max="2817" width="13.88671875" style="70" customWidth="1"/>
    <col min="2818" max="2818" width="14.33203125" style="70" customWidth="1"/>
    <col min="2819" max="2835" width="9.6640625" style="70"/>
    <col min="2836" max="2836" width="12" style="70" customWidth="1"/>
    <col min="2837" max="2837" width="12.77734375" style="70" customWidth="1"/>
    <col min="2838" max="2838" width="11.109375" style="70" customWidth="1"/>
    <col min="2839" max="2839" width="12" style="70" customWidth="1"/>
    <col min="2840" max="2840" width="9.6640625" style="70"/>
    <col min="2841" max="2841" width="15.33203125" style="70" customWidth="1"/>
    <col min="2842" max="2842" width="15.21875" style="70" customWidth="1"/>
    <col min="2843" max="2843" width="21.44140625" style="70" customWidth="1"/>
    <col min="2844" max="2859" width="9.6640625" style="70"/>
    <col min="2860" max="2861" width="13.44140625" style="70" customWidth="1"/>
    <col min="2862" max="2862" width="9.6640625" style="70"/>
    <col min="2863" max="2863" width="13.88671875" style="70" customWidth="1"/>
    <col min="2864" max="2864" width="10.6640625" style="70" customWidth="1"/>
    <col min="2865" max="2865" width="17.33203125" style="70" customWidth="1"/>
    <col min="2866" max="2867" width="12.6640625" style="70" customWidth="1"/>
    <col min="2868" max="2868" width="11.21875" style="70" customWidth="1"/>
    <col min="2869" max="2869" width="18.33203125" style="70" customWidth="1"/>
    <col min="2870" max="2870" width="12.88671875" style="70" customWidth="1"/>
    <col min="2871" max="2872" width="13.21875" style="70" customWidth="1"/>
    <col min="2873" max="2873" width="10.88671875" style="70" customWidth="1"/>
    <col min="2874" max="2874" width="11.109375" style="70" customWidth="1"/>
    <col min="2875" max="2875" width="15.21875" style="70" customWidth="1"/>
    <col min="2876" max="2876" width="9.6640625" style="70"/>
    <col min="2877" max="2877" width="11" style="70" customWidth="1"/>
    <col min="2878" max="2878" width="10.77734375" style="70" customWidth="1"/>
    <col min="2879" max="2879" width="11.44140625" style="70" customWidth="1"/>
    <col min="2880" max="2880" width="4" style="70" customWidth="1"/>
    <col min="2881" max="3071" width="9.6640625" style="70"/>
    <col min="3072" max="3072" width="6.44140625" style="70" customWidth="1"/>
    <col min="3073" max="3073" width="13.88671875" style="70" customWidth="1"/>
    <col min="3074" max="3074" width="14.33203125" style="70" customWidth="1"/>
    <col min="3075" max="3091" width="9.6640625" style="70"/>
    <col min="3092" max="3092" width="12" style="70" customWidth="1"/>
    <col min="3093" max="3093" width="12.77734375" style="70" customWidth="1"/>
    <col min="3094" max="3094" width="11.109375" style="70" customWidth="1"/>
    <col min="3095" max="3095" width="12" style="70" customWidth="1"/>
    <col min="3096" max="3096" width="9.6640625" style="70"/>
    <col min="3097" max="3097" width="15.33203125" style="70" customWidth="1"/>
    <col min="3098" max="3098" width="15.21875" style="70" customWidth="1"/>
    <col min="3099" max="3099" width="21.44140625" style="70" customWidth="1"/>
    <col min="3100" max="3115" width="9.6640625" style="70"/>
    <col min="3116" max="3117" width="13.44140625" style="70" customWidth="1"/>
    <col min="3118" max="3118" width="9.6640625" style="70"/>
    <col min="3119" max="3119" width="13.88671875" style="70" customWidth="1"/>
    <col min="3120" max="3120" width="10.6640625" style="70" customWidth="1"/>
    <col min="3121" max="3121" width="17.33203125" style="70" customWidth="1"/>
    <col min="3122" max="3123" width="12.6640625" style="70" customWidth="1"/>
    <col min="3124" max="3124" width="11.21875" style="70" customWidth="1"/>
    <col min="3125" max="3125" width="18.33203125" style="70" customWidth="1"/>
    <col min="3126" max="3126" width="12.88671875" style="70" customWidth="1"/>
    <col min="3127" max="3128" width="13.21875" style="70" customWidth="1"/>
    <col min="3129" max="3129" width="10.88671875" style="70" customWidth="1"/>
    <col min="3130" max="3130" width="11.109375" style="70" customWidth="1"/>
    <col min="3131" max="3131" width="15.21875" style="70" customWidth="1"/>
    <col min="3132" max="3132" width="9.6640625" style="70"/>
    <col min="3133" max="3133" width="11" style="70" customWidth="1"/>
    <col min="3134" max="3134" width="10.77734375" style="70" customWidth="1"/>
    <col min="3135" max="3135" width="11.44140625" style="70" customWidth="1"/>
    <col min="3136" max="3136" width="4" style="70" customWidth="1"/>
    <col min="3137" max="3327" width="9.6640625" style="70"/>
    <col min="3328" max="3328" width="6.44140625" style="70" customWidth="1"/>
    <col min="3329" max="3329" width="13.88671875" style="70" customWidth="1"/>
    <col min="3330" max="3330" width="14.33203125" style="70" customWidth="1"/>
    <col min="3331" max="3347" width="9.6640625" style="70"/>
    <col min="3348" max="3348" width="12" style="70" customWidth="1"/>
    <col min="3349" max="3349" width="12.77734375" style="70" customWidth="1"/>
    <col min="3350" max="3350" width="11.109375" style="70" customWidth="1"/>
    <col min="3351" max="3351" width="12" style="70" customWidth="1"/>
    <col min="3352" max="3352" width="9.6640625" style="70"/>
    <col min="3353" max="3353" width="15.33203125" style="70" customWidth="1"/>
    <col min="3354" max="3354" width="15.21875" style="70" customWidth="1"/>
    <col min="3355" max="3355" width="21.44140625" style="70" customWidth="1"/>
    <col min="3356" max="3371" width="9.6640625" style="70"/>
    <col min="3372" max="3373" width="13.44140625" style="70" customWidth="1"/>
    <col min="3374" max="3374" width="9.6640625" style="70"/>
    <col min="3375" max="3375" width="13.88671875" style="70" customWidth="1"/>
    <col min="3376" max="3376" width="10.6640625" style="70" customWidth="1"/>
    <col min="3377" max="3377" width="17.33203125" style="70" customWidth="1"/>
    <col min="3378" max="3379" width="12.6640625" style="70" customWidth="1"/>
    <col min="3380" max="3380" width="11.21875" style="70" customWidth="1"/>
    <col min="3381" max="3381" width="18.33203125" style="70" customWidth="1"/>
    <col min="3382" max="3382" width="12.88671875" style="70" customWidth="1"/>
    <col min="3383" max="3384" width="13.21875" style="70" customWidth="1"/>
    <col min="3385" max="3385" width="10.88671875" style="70" customWidth="1"/>
    <col min="3386" max="3386" width="11.109375" style="70" customWidth="1"/>
    <col min="3387" max="3387" width="15.21875" style="70" customWidth="1"/>
    <col min="3388" max="3388" width="9.6640625" style="70"/>
    <col min="3389" max="3389" width="11" style="70" customWidth="1"/>
    <col min="3390" max="3390" width="10.77734375" style="70" customWidth="1"/>
    <col min="3391" max="3391" width="11.44140625" style="70" customWidth="1"/>
    <col min="3392" max="3392" width="4" style="70" customWidth="1"/>
    <col min="3393" max="3583" width="9.6640625" style="70"/>
    <col min="3584" max="3584" width="6.44140625" style="70" customWidth="1"/>
    <col min="3585" max="3585" width="13.88671875" style="70" customWidth="1"/>
    <col min="3586" max="3586" width="14.33203125" style="70" customWidth="1"/>
    <col min="3587" max="3603" width="9.6640625" style="70"/>
    <col min="3604" max="3604" width="12" style="70" customWidth="1"/>
    <col min="3605" max="3605" width="12.77734375" style="70" customWidth="1"/>
    <col min="3606" max="3606" width="11.109375" style="70" customWidth="1"/>
    <col min="3607" max="3607" width="12" style="70" customWidth="1"/>
    <col min="3608" max="3608" width="9.6640625" style="70"/>
    <col min="3609" max="3609" width="15.33203125" style="70" customWidth="1"/>
    <col min="3610" max="3610" width="15.21875" style="70" customWidth="1"/>
    <col min="3611" max="3611" width="21.44140625" style="70" customWidth="1"/>
    <col min="3612" max="3627" width="9.6640625" style="70"/>
    <col min="3628" max="3629" width="13.44140625" style="70" customWidth="1"/>
    <col min="3630" max="3630" width="9.6640625" style="70"/>
    <col min="3631" max="3631" width="13.88671875" style="70" customWidth="1"/>
    <col min="3632" max="3632" width="10.6640625" style="70" customWidth="1"/>
    <col min="3633" max="3633" width="17.33203125" style="70" customWidth="1"/>
    <col min="3634" max="3635" width="12.6640625" style="70" customWidth="1"/>
    <col min="3636" max="3636" width="11.21875" style="70" customWidth="1"/>
    <col min="3637" max="3637" width="18.33203125" style="70" customWidth="1"/>
    <col min="3638" max="3638" width="12.88671875" style="70" customWidth="1"/>
    <col min="3639" max="3640" width="13.21875" style="70" customWidth="1"/>
    <col min="3641" max="3641" width="10.88671875" style="70" customWidth="1"/>
    <col min="3642" max="3642" width="11.109375" style="70" customWidth="1"/>
    <col min="3643" max="3643" width="15.21875" style="70" customWidth="1"/>
    <col min="3644" max="3644" width="9.6640625" style="70"/>
    <col min="3645" max="3645" width="11" style="70" customWidth="1"/>
    <col min="3646" max="3646" width="10.77734375" style="70" customWidth="1"/>
    <col min="3647" max="3647" width="11.44140625" style="70" customWidth="1"/>
    <col min="3648" max="3648" width="4" style="70" customWidth="1"/>
    <col min="3649" max="3839" width="9.6640625" style="70"/>
    <col min="3840" max="3840" width="6.44140625" style="70" customWidth="1"/>
    <col min="3841" max="3841" width="13.88671875" style="70" customWidth="1"/>
    <col min="3842" max="3842" width="14.33203125" style="70" customWidth="1"/>
    <col min="3843" max="3859" width="9.6640625" style="70"/>
    <col min="3860" max="3860" width="12" style="70" customWidth="1"/>
    <col min="3861" max="3861" width="12.77734375" style="70" customWidth="1"/>
    <col min="3862" max="3862" width="11.109375" style="70" customWidth="1"/>
    <col min="3863" max="3863" width="12" style="70" customWidth="1"/>
    <col min="3864" max="3864" width="9.6640625" style="70"/>
    <col min="3865" max="3865" width="15.33203125" style="70" customWidth="1"/>
    <col min="3866" max="3866" width="15.21875" style="70" customWidth="1"/>
    <col min="3867" max="3867" width="21.44140625" style="70" customWidth="1"/>
    <col min="3868" max="3883" width="9.6640625" style="70"/>
    <col min="3884" max="3885" width="13.44140625" style="70" customWidth="1"/>
    <col min="3886" max="3886" width="9.6640625" style="70"/>
    <col min="3887" max="3887" width="13.88671875" style="70" customWidth="1"/>
    <col min="3888" max="3888" width="10.6640625" style="70" customWidth="1"/>
    <col min="3889" max="3889" width="17.33203125" style="70" customWidth="1"/>
    <col min="3890" max="3891" width="12.6640625" style="70" customWidth="1"/>
    <col min="3892" max="3892" width="11.21875" style="70" customWidth="1"/>
    <col min="3893" max="3893" width="18.33203125" style="70" customWidth="1"/>
    <col min="3894" max="3894" width="12.88671875" style="70" customWidth="1"/>
    <col min="3895" max="3896" width="13.21875" style="70" customWidth="1"/>
    <col min="3897" max="3897" width="10.88671875" style="70" customWidth="1"/>
    <col min="3898" max="3898" width="11.109375" style="70" customWidth="1"/>
    <col min="3899" max="3899" width="15.21875" style="70" customWidth="1"/>
    <col min="3900" max="3900" width="9.6640625" style="70"/>
    <col min="3901" max="3901" width="11" style="70" customWidth="1"/>
    <col min="3902" max="3902" width="10.77734375" style="70" customWidth="1"/>
    <col min="3903" max="3903" width="11.44140625" style="70" customWidth="1"/>
    <col min="3904" max="3904" width="4" style="70" customWidth="1"/>
    <col min="3905" max="4095" width="9.6640625" style="70"/>
    <col min="4096" max="4096" width="6.44140625" style="70" customWidth="1"/>
    <col min="4097" max="4097" width="13.88671875" style="70" customWidth="1"/>
    <col min="4098" max="4098" width="14.33203125" style="70" customWidth="1"/>
    <col min="4099" max="4115" width="9.6640625" style="70"/>
    <col min="4116" max="4116" width="12" style="70" customWidth="1"/>
    <col min="4117" max="4117" width="12.77734375" style="70" customWidth="1"/>
    <col min="4118" max="4118" width="11.109375" style="70" customWidth="1"/>
    <col min="4119" max="4119" width="12" style="70" customWidth="1"/>
    <col min="4120" max="4120" width="9.6640625" style="70"/>
    <col min="4121" max="4121" width="15.33203125" style="70" customWidth="1"/>
    <col min="4122" max="4122" width="15.21875" style="70" customWidth="1"/>
    <col min="4123" max="4123" width="21.44140625" style="70" customWidth="1"/>
    <col min="4124" max="4139" width="9.6640625" style="70"/>
    <col min="4140" max="4141" width="13.44140625" style="70" customWidth="1"/>
    <col min="4142" max="4142" width="9.6640625" style="70"/>
    <col min="4143" max="4143" width="13.88671875" style="70" customWidth="1"/>
    <col min="4144" max="4144" width="10.6640625" style="70" customWidth="1"/>
    <col min="4145" max="4145" width="17.33203125" style="70" customWidth="1"/>
    <col min="4146" max="4147" width="12.6640625" style="70" customWidth="1"/>
    <col min="4148" max="4148" width="11.21875" style="70" customWidth="1"/>
    <col min="4149" max="4149" width="18.33203125" style="70" customWidth="1"/>
    <col min="4150" max="4150" width="12.88671875" style="70" customWidth="1"/>
    <col min="4151" max="4152" width="13.21875" style="70" customWidth="1"/>
    <col min="4153" max="4153" width="10.88671875" style="70" customWidth="1"/>
    <col min="4154" max="4154" width="11.109375" style="70" customWidth="1"/>
    <col min="4155" max="4155" width="15.21875" style="70" customWidth="1"/>
    <col min="4156" max="4156" width="9.6640625" style="70"/>
    <col min="4157" max="4157" width="11" style="70" customWidth="1"/>
    <col min="4158" max="4158" width="10.77734375" style="70" customWidth="1"/>
    <col min="4159" max="4159" width="11.44140625" style="70" customWidth="1"/>
    <col min="4160" max="4160" width="4" style="70" customWidth="1"/>
    <col min="4161" max="4351" width="9.6640625" style="70"/>
    <col min="4352" max="4352" width="6.44140625" style="70" customWidth="1"/>
    <col min="4353" max="4353" width="13.88671875" style="70" customWidth="1"/>
    <col min="4354" max="4354" width="14.33203125" style="70" customWidth="1"/>
    <col min="4355" max="4371" width="9.6640625" style="70"/>
    <col min="4372" max="4372" width="12" style="70" customWidth="1"/>
    <col min="4373" max="4373" width="12.77734375" style="70" customWidth="1"/>
    <col min="4374" max="4374" width="11.109375" style="70" customWidth="1"/>
    <col min="4375" max="4375" width="12" style="70" customWidth="1"/>
    <col min="4376" max="4376" width="9.6640625" style="70"/>
    <col min="4377" max="4377" width="15.33203125" style="70" customWidth="1"/>
    <col min="4378" max="4378" width="15.21875" style="70" customWidth="1"/>
    <col min="4379" max="4379" width="21.44140625" style="70" customWidth="1"/>
    <col min="4380" max="4395" width="9.6640625" style="70"/>
    <col min="4396" max="4397" width="13.44140625" style="70" customWidth="1"/>
    <col min="4398" max="4398" width="9.6640625" style="70"/>
    <col min="4399" max="4399" width="13.88671875" style="70" customWidth="1"/>
    <col min="4400" max="4400" width="10.6640625" style="70" customWidth="1"/>
    <col min="4401" max="4401" width="17.33203125" style="70" customWidth="1"/>
    <col min="4402" max="4403" width="12.6640625" style="70" customWidth="1"/>
    <col min="4404" max="4404" width="11.21875" style="70" customWidth="1"/>
    <col min="4405" max="4405" width="18.33203125" style="70" customWidth="1"/>
    <col min="4406" max="4406" width="12.88671875" style="70" customWidth="1"/>
    <col min="4407" max="4408" width="13.21875" style="70" customWidth="1"/>
    <col min="4409" max="4409" width="10.88671875" style="70" customWidth="1"/>
    <col min="4410" max="4410" width="11.109375" style="70" customWidth="1"/>
    <col min="4411" max="4411" width="15.21875" style="70" customWidth="1"/>
    <col min="4412" max="4412" width="9.6640625" style="70"/>
    <col min="4413" max="4413" width="11" style="70" customWidth="1"/>
    <col min="4414" max="4414" width="10.77734375" style="70" customWidth="1"/>
    <col min="4415" max="4415" width="11.44140625" style="70" customWidth="1"/>
    <col min="4416" max="4416" width="4" style="70" customWidth="1"/>
    <col min="4417" max="4607" width="9.6640625" style="70"/>
    <col min="4608" max="4608" width="6.44140625" style="70" customWidth="1"/>
    <col min="4609" max="4609" width="13.88671875" style="70" customWidth="1"/>
    <col min="4610" max="4610" width="14.33203125" style="70" customWidth="1"/>
    <col min="4611" max="4627" width="9.6640625" style="70"/>
    <col min="4628" max="4628" width="12" style="70" customWidth="1"/>
    <col min="4629" max="4629" width="12.77734375" style="70" customWidth="1"/>
    <col min="4630" max="4630" width="11.109375" style="70" customWidth="1"/>
    <col min="4631" max="4631" width="12" style="70" customWidth="1"/>
    <col min="4632" max="4632" width="9.6640625" style="70"/>
    <col min="4633" max="4633" width="15.33203125" style="70" customWidth="1"/>
    <col min="4634" max="4634" width="15.21875" style="70" customWidth="1"/>
    <col min="4635" max="4635" width="21.44140625" style="70" customWidth="1"/>
    <col min="4636" max="4651" width="9.6640625" style="70"/>
    <col min="4652" max="4653" width="13.44140625" style="70" customWidth="1"/>
    <col min="4654" max="4654" width="9.6640625" style="70"/>
    <col min="4655" max="4655" width="13.88671875" style="70" customWidth="1"/>
    <col min="4656" max="4656" width="10.6640625" style="70" customWidth="1"/>
    <col min="4657" max="4657" width="17.33203125" style="70" customWidth="1"/>
    <col min="4658" max="4659" width="12.6640625" style="70" customWidth="1"/>
    <col min="4660" max="4660" width="11.21875" style="70" customWidth="1"/>
    <col min="4661" max="4661" width="18.33203125" style="70" customWidth="1"/>
    <col min="4662" max="4662" width="12.88671875" style="70" customWidth="1"/>
    <col min="4663" max="4664" width="13.21875" style="70" customWidth="1"/>
    <col min="4665" max="4665" width="10.88671875" style="70" customWidth="1"/>
    <col min="4666" max="4666" width="11.109375" style="70" customWidth="1"/>
    <col min="4667" max="4667" width="15.21875" style="70" customWidth="1"/>
    <col min="4668" max="4668" width="9.6640625" style="70"/>
    <col min="4669" max="4669" width="11" style="70" customWidth="1"/>
    <col min="4670" max="4670" width="10.77734375" style="70" customWidth="1"/>
    <col min="4671" max="4671" width="11.44140625" style="70" customWidth="1"/>
    <col min="4672" max="4672" width="4" style="70" customWidth="1"/>
    <col min="4673" max="4863" width="9.6640625" style="70"/>
    <col min="4864" max="4864" width="6.44140625" style="70" customWidth="1"/>
    <col min="4865" max="4865" width="13.88671875" style="70" customWidth="1"/>
    <col min="4866" max="4866" width="14.33203125" style="70" customWidth="1"/>
    <col min="4867" max="4883" width="9.6640625" style="70"/>
    <col min="4884" max="4884" width="12" style="70" customWidth="1"/>
    <col min="4885" max="4885" width="12.77734375" style="70" customWidth="1"/>
    <col min="4886" max="4886" width="11.109375" style="70" customWidth="1"/>
    <col min="4887" max="4887" width="12" style="70" customWidth="1"/>
    <col min="4888" max="4888" width="9.6640625" style="70"/>
    <col min="4889" max="4889" width="15.33203125" style="70" customWidth="1"/>
    <col min="4890" max="4890" width="15.21875" style="70" customWidth="1"/>
    <col min="4891" max="4891" width="21.44140625" style="70" customWidth="1"/>
    <col min="4892" max="4907" width="9.6640625" style="70"/>
    <col min="4908" max="4909" width="13.44140625" style="70" customWidth="1"/>
    <col min="4910" max="4910" width="9.6640625" style="70"/>
    <col min="4911" max="4911" width="13.88671875" style="70" customWidth="1"/>
    <col min="4912" max="4912" width="10.6640625" style="70" customWidth="1"/>
    <col min="4913" max="4913" width="17.33203125" style="70" customWidth="1"/>
    <col min="4914" max="4915" width="12.6640625" style="70" customWidth="1"/>
    <col min="4916" max="4916" width="11.21875" style="70" customWidth="1"/>
    <col min="4917" max="4917" width="18.33203125" style="70" customWidth="1"/>
    <col min="4918" max="4918" width="12.88671875" style="70" customWidth="1"/>
    <col min="4919" max="4920" width="13.21875" style="70" customWidth="1"/>
    <col min="4921" max="4921" width="10.88671875" style="70" customWidth="1"/>
    <col min="4922" max="4922" width="11.109375" style="70" customWidth="1"/>
    <col min="4923" max="4923" width="15.21875" style="70" customWidth="1"/>
    <col min="4924" max="4924" width="9.6640625" style="70"/>
    <col min="4925" max="4925" width="11" style="70" customWidth="1"/>
    <col min="4926" max="4926" width="10.77734375" style="70" customWidth="1"/>
    <col min="4927" max="4927" width="11.44140625" style="70" customWidth="1"/>
    <col min="4928" max="4928" width="4" style="70" customWidth="1"/>
    <col min="4929" max="5119" width="9.6640625" style="70"/>
    <col min="5120" max="5120" width="6.44140625" style="70" customWidth="1"/>
    <col min="5121" max="5121" width="13.88671875" style="70" customWidth="1"/>
    <col min="5122" max="5122" width="14.33203125" style="70" customWidth="1"/>
    <col min="5123" max="5139" width="9.6640625" style="70"/>
    <col min="5140" max="5140" width="12" style="70" customWidth="1"/>
    <col min="5141" max="5141" width="12.77734375" style="70" customWidth="1"/>
    <col min="5142" max="5142" width="11.109375" style="70" customWidth="1"/>
    <col min="5143" max="5143" width="12" style="70" customWidth="1"/>
    <col min="5144" max="5144" width="9.6640625" style="70"/>
    <col min="5145" max="5145" width="15.33203125" style="70" customWidth="1"/>
    <col min="5146" max="5146" width="15.21875" style="70" customWidth="1"/>
    <col min="5147" max="5147" width="21.44140625" style="70" customWidth="1"/>
    <col min="5148" max="5163" width="9.6640625" style="70"/>
    <col min="5164" max="5165" width="13.44140625" style="70" customWidth="1"/>
    <col min="5166" max="5166" width="9.6640625" style="70"/>
    <col min="5167" max="5167" width="13.88671875" style="70" customWidth="1"/>
    <col min="5168" max="5168" width="10.6640625" style="70" customWidth="1"/>
    <col min="5169" max="5169" width="17.33203125" style="70" customWidth="1"/>
    <col min="5170" max="5171" width="12.6640625" style="70" customWidth="1"/>
    <col min="5172" max="5172" width="11.21875" style="70" customWidth="1"/>
    <col min="5173" max="5173" width="18.33203125" style="70" customWidth="1"/>
    <col min="5174" max="5174" width="12.88671875" style="70" customWidth="1"/>
    <col min="5175" max="5176" width="13.21875" style="70" customWidth="1"/>
    <col min="5177" max="5177" width="10.88671875" style="70" customWidth="1"/>
    <col min="5178" max="5178" width="11.109375" style="70" customWidth="1"/>
    <col min="5179" max="5179" width="15.21875" style="70" customWidth="1"/>
    <col min="5180" max="5180" width="9.6640625" style="70"/>
    <col min="5181" max="5181" width="11" style="70" customWidth="1"/>
    <col min="5182" max="5182" width="10.77734375" style="70" customWidth="1"/>
    <col min="5183" max="5183" width="11.44140625" style="70" customWidth="1"/>
    <col min="5184" max="5184" width="4" style="70" customWidth="1"/>
    <col min="5185" max="5375" width="9.6640625" style="70"/>
    <col min="5376" max="5376" width="6.44140625" style="70" customWidth="1"/>
    <col min="5377" max="5377" width="13.88671875" style="70" customWidth="1"/>
    <col min="5378" max="5378" width="14.33203125" style="70" customWidth="1"/>
    <col min="5379" max="5395" width="9.6640625" style="70"/>
    <col min="5396" max="5396" width="12" style="70" customWidth="1"/>
    <col min="5397" max="5397" width="12.77734375" style="70" customWidth="1"/>
    <col min="5398" max="5398" width="11.109375" style="70" customWidth="1"/>
    <col min="5399" max="5399" width="12" style="70" customWidth="1"/>
    <col min="5400" max="5400" width="9.6640625" style="70"/>
    <col min="5401" max="5401" width="15.33203125" style="70" customWidth="1"/>
    <col min="5402" max="5402" width="15.21875" style="70" customWidth="1"/>
    <col min="5403" max="5403" width="21.44140625" style="70" customWidth="1"/>
    <col min="5404" max="5419" width="9.6640625" style="70"/>
    <col min="5420" max="5421" width="13.44140625" style="70" customWidth="1"/>
    <col min="5422" max="5422" width="9.6640625" style="70"/>
    <col min="5423" max="5423" width="13.88671875" style="70" customWidth="1"/>
    <col min="5424" max="5424" width="10.6640625" style="70" customWidth="1"/>
    <col min="5425" max="5425" width="17.33203125" style="70" customWidth="1"/>
    <col min="5426" max="5427" width="12.6640625" style="70" customWidth="1"/>
    <col min="5428" max="5428" width="11.21875" style="70" customWidth="1"/>
    <col min="5429" max="5429" width="18.33203125" style="70" customWidth="1"/>
    <col min="5430" max="5430" width="12.88671875" style="70" customWidth="1"/>
    <col min="5431" max="5432" width="13.21875" style="70" customWidth="1"/>
    <col min="5433" max="5433" width="10.88671875" style="70" customWidth="1"/>
    <col min="5434" max="5434" width="11.109375" style="70" customWidth="1"/>
    <col min="5435" max="5435" width="15.21875" style="70" customWidth="1"/>
    <col min="5436" max="5436" width="9.6640625" style="70"/>
    <col min="5437" max="5437" width="11" style="70" customWidth="1"/>
    <col min="5438" max="5438" width="10.77734375" style="70" customWidth="1"/>
    <col min="5439" max="5439" width="11.44140625" style="70" customWidth="1"/>
    <col min="5440" max="5440" width="4" style="70" customWidth="1"/>
    <col min="5441" max="5631" width="9.6640625" style="70"/>
    <col min="5632" max="5632" width="6.44140625" style="70" customWidth="1"/>
    <col min="5633" max="5633" width="13.88671875" style="70" customWidth="1"/>
    <col min="5634" max="5634" width="14.33203125" style="70" customWidth="1"/>
    <col min="5635" max="5651" width="9.6640625" style="70"/>
    <col min="5652" max="5652" width="12" style="70" customWidth="1"/>
    <col min="5653" max="5653" width="12.77734375" style="70" customWidth="1"/>
    <col min="5654" max="5654" width="11.109375" style="70" customWidth="1"/>
    <col min="5655" max="5655" width="12" style="70" customWidth="1"/>
    <col min="5656" max="5656" width="9.6640625" style="70"/>
    <col min="5657" max="5657" width="15.33203125" style="70" customWidth="1"/>
    <col min="5658" max="5658" width="15.21875" style="70" customWidth="1"/>
    <col min="5659" max="5659" width="21.44140625" style="70" customWidth="1"/>
    <col min="5660" max="5675" width="9.6640625" style="70"/>
    <col min="5676" max="5677" width="13.44140625" style="70" customWidth="1"/>
    <col min="5678" max="5678" width="9.6640625" style="70"/>
    <col min="5679" max="5679" width="13.88671875" style="70" customWidth="1"/>
    <col min="5680" max="5680" width="10.6640625" style="70" customWidth="1"/>
    <col min="5681" max="5681" width="17.33203125" style="70" customWidth="1"/>
    <col min="5682" max="5683" width="12.6640625" style="70" customWidth="1"/>
    <col min="5684" max="5684" width="11.21875" style="70" customWidth="1"/>
    <col min="5685" max="5685" width="18.33203125" style="70" customWidth="1"/>
    <col min="5686" max="5686" width="12.88671875" style="70" customWidth="1"/>
    <col min="5687" max="5688" width="13.21875" style="70" customWidth="1"/>
    <col min="5689" max="5689" width="10.88671875" style="70" customWidth="1"/>
    <col min="5690" max="5690" width="11.109375" style="70" customWidth="1"/>
    <col min="5691" max="5691" width="15.21875" style="70" customWidth="1"/>
    <col min="5692" max="5692" width="9.6640625" style="70"/>
    <col min="5693" max="5693" width="11" style="70" customWidth="1"/>
    <col min="5694" max="5694" width="10.77734375" style="70" customWidth="1"/>
    <col min="5695" max="5695" width="11.44140625" style="70" customWidth="1"/>
    <col min="5696" max="5696" width="4" style="70" customWidth="1"/>
    <col min="5697" max="5887" width="9.6640625" style="70"/>
    <col min="5888" max="5888" width="6.44140625" style="70" customWidth="1"/>
    <col min="5889" max="5889" width="13.88671875" style="70" customWidth="1"/>
    <col min="5890" max="5890" width="14.33203125" style="70" customWidth="1"/>
    <col min="5891" max="5907" width="9.6640625" style="70"/>
    <col min="5908" max="5908" width="12" style="70" customWidth="1"/>
    <col min="5909" max="5909" width="12.77734375" style="70" customWidth="1"/>
    <col min="5910" max="5910" width="11.109375" style="70" customWidth="1"/>
    <col min="5911" max="5911" width="12" style="70" customWidth="1"/>
    <col min="5912" max="5912" width="9.6640625" style="70"/>
    <col min="5913" max="5913" width="15.33203125" style="70" customWidth="1"/>
    <col min="5914" max="5914" width="15.21875" style="70" customWidth="1"/>
    <col min="5915" max="5915" width="21.44140625" style="70" customWidth="1"/>
    <col min="5916" max="5931" width="9.6640625" style="70"/>
    <col min="5932" max="5933" width="13.44140625" style="70" customWidth="1"/>
    <col min="5934" max="5934" width="9.6640625" style="70"/>
    <col min="5935" max="5935" width="13.88671875" style="70" customWidth="1"/>
    <col min="5936" max="5936" width="10.6640625" style="70" customWidth="1"/>
    <col min="5937" max="5937" width="17.33203125" style="70" customWidth="1"/>
    <col min="5938" max="5939" width="12.6640625" style="70" customWidth="1"/>
    <col min="5940" max="5940" width="11.21875" style="70" customWidth="1"/>
    <col min="5941" max="5941" width="18.33203125" style="70" customWidth="1"/>
    <col min="5942" max="5942" width="12.88671875" style="70" customWidth="1"/>
    <col min="5943" max="5944" width="13.21875" style="70" customWidth="1"/>
    <col min="5945" max="5945" width="10.88671875" style="70" customWidth="1"/>
    <col min="5946" max="5946" width="11.109375" style="70" customWidth="1"/>
    <col min="5947" max="5947" width="15.21875" style="70" customWidth="1"/>
    <col min="5948" max="5948" width="9.6640625" style="70"/>
    <col min="5949" max="5949" width="11" style="70" customWidth="1"/>
    <col min="5950" max="5950" width="10.77734375" style="70" customWidth="1"/>
    <col min="5951" max="5951" width="11.44140625" style="70" customWidth="1"/>
    <col min="5952" max="5952" width="4" style="70" customWidth="1"/>
    <col min="5953" max="6143" width="9.6640625" style="70"/>
    <col min="6144" max="6144" width="6.44140625" style="70" customWidth="1"/>
    <col min="6145" max="6145" width="13.88671875" style="70" customWidth="1"/>
    <col min="6146" max="6146" width="14.33203125" style="70" customWidth="1"/>
    <col min="6147" max="6163" width="9.6640625" style="70"/>
    <col min="6164" max="6164" width="12" style="70" customWidth="1"/>
    <col min="6165" max="6165" width="12.77734375" style="70" customWidth="1"/>
    <col min="6166" max="6166" width="11.109375" style="70" customWidth="1"/>
    <col min="6167" max="6167" width="12" style="70" customWidth="1"/>
    <col min="6168" max="6168" width="9.6640625" style="70"/>
    <col min="6169" max="6169" width="15.33203125" style="70" customWidth="1"/>
    <col min="6170" max="6170" width="15.21875" style="70" customWidth="1"/>
    <col min="6171" max="6171" width="21.44140625" style="70" customWidth="1"/>
    <col min="6172" max="6187" width="9.6640625" style="70"/>
    <col min="6188" max="6189" width="13.44140625" style="70" customWidth="1"/>
    <col min="6190" max="6190" width="9.6640625" style="70"/>
    <col min="6191" max="6191" width="13.88671875" style="70" customWidth="1"/>
    <col min="6192" max="6192" width="10.6640625" style="70" customWidth="1"/>
    <col min="6193" max="6193" width="17.33203125" style="70" customWidth="1"/>
    <col min="6194" max="6195" width="12.6640625" style="70" customWidth="1"/>
    <col min="6196" max="6196" width="11.21875" style="70" customWidth="1"/>
    <col min="6197" max="6197" width="18.33203125" style="70" customWidth="1"/>
    <col min="6198" max="6198" width="12.88671875" style="70" customWidth="1"/>
    <col min="6199" max="6200" width="13.21875" style="70" customWidth="1"/>
    <col min="6201" max="6201" width="10.88671875" style="70" customWidth="1"/>
    <col min="6202" max="6202" width="11.109375" style="70" customWidth="1"/>
    <col min="6203" max="6203" width="15.21875" style="70" customWidth="1"/>
    <col min="6204" max="6204" width="9.6640625" style="70"/>
    <col min="6205" max="6205" width="11" style="70" customWidth="1"/>
    <col min="6206" max="6206" width="10.77734375" style="70" customWidth="1"/>
    <col min="6207" max="6207" width="11.44140625" style="70" customWidth="1"/>
    <col min="6208" max="6208" width="4" style="70" customWidth="1"/>
    <col min="6209" max="6399" width="9.6640625" style="70"/>
    <col min="6400" max="6400" width="6.44140625" style="70" customWidth="1"/>
    <col min="6401" max="6401" width="13.88671875" style="70" customWidth="1"/>
    <col min="6402" max="6402" width="14.33203125" style="70" customWidth="1"/>
    <col min="6403" max="6419" width="9.6640625" style="70"/>
    <col min="6420" max="6420" width="12" style="70" customWidth="1"/>
    <col min="6421" max="6421" width="12.77734375" style="70" customWidth="1"/>
    <col min="6422" max="6422" width="11.109375" style="70" customWidth="1"/>
    <col min="6423" max="6423" width="12" style="70" customWidth="1"/>
    <col min="6424" max="6424" width="9.6640625" style="70"/>
    <col min="6425" max="6425" width="15.33203125" style="70" customWidth="1"/>
    <col min="6426" max="6426" width="15.21875" style="70" customWidth="1"/>
    <col min="6427" max="6427" width="21.44140625" style="70" customWidth="1"/>
    <col min="6428" max="6443" width="9.6640625" style="70"/>
    <col min="6444" max="6445" width="13.44140625" style="70" customWidth="1"/>
    <col min="6446" max="6446" width="9.6640625" style="70"/>
    <col min="6447" max="6447" width="13.88671875" style="70" customWidth="1"/>
    <col min="6448" max="6448" width="10.6640625" style="70" customWidth="1"/>
    <col min="6449" max="6449" width="17.33203125" style="70" customWidth="1"/>
    <col min="6450" max="6451" width="12.6640625" style="70" customWidth="1"/>
    <col min="6452" max="6452" width="11.21875" style="70" customWidth="1"/>
    <col min="6453" max="6453" width="18.33203125" style="70" customWidth="1"/>
    <col min="6454" max="6454" width="12.88671875" style="70" customWidth="1"/>
    <col min="6455" max="6456" width="13.21875" style="70" customWidth="1"/>
    <col min="6457" max="6457" width="10.88671875" style="70" customWidth="1"/>
    <col min="6458" max="6458" width="11.109375" style="70" customWidth="1"/>
    <col min="6459" max="6459" width="15.21875" style="70" customWidth="1"/>
    <col min="6460" max="6460" width="9.6640625" style="70"/>
    <col min="6461" max="6461" width="11" style="70" customWidth="1"/>
    <col min="6462" max="6462" width="10.77734375" style="70" customWidth="1"/>
    <col min="6463" max="6463" width="11.44140625" style="70" customWidth="1"/>
    <col min="6464" max="6464" width="4" style="70" customWidth="1"/>
    <col min="6465" max="6655" width="9.6640625" style="70"/>
    <col min="6656" max="6656" width="6.44140625" style="70" customWidth="1"/>
    <col min="6657" max="6657" width="13.88671875" style="70" customWidth="1"/>
    <col min="6658" max="6658" width="14.33203125" style="70" customWidth="1"/>
    <col min="6659" max="6675" width="9.6640625" style="70"/>
    <col min="6676" max="6676" width="12" style="70" customWidth="1"/>
    <col min="6677" max="6677" width="12.77734375" style="70" customWidth="1"/>
    <col min="6678" max="6678" width="11.109375" style="70" customWidth="1"/>
    <col min="6679" max="6679" width="12" style="70" customWidth="1"/>
    <col min="6680" max="6680" width="9.6640625" style="70"/>
    <col min="6681" max="6681" width="15.33203125" style="70" customWidth="1"/>
    <col min="6682" max="6682" width="15.21875" style="70" customWidth="1"/>
    <col min="6683" max="6683" width="21.44140625" style="70" customWidth="1"/>
    <col min="6684" max="6699" width="9.6640625" style="70"/>
    <col min="6700" max="6701" width="13.44140625" style="70" customWidth="1"/>
    <col min="6702" max="6702" width="9.6640625" style="70"/>
    <col min="6703" max="6703" width="13.88671875" style="70" customWidth="1"/>
    <col min="6704" max="6704" width="10.6640625" style="70" customWidth="1"/>
    <col min="6705" max="6705" width="17.33203125" style="70" customWidth="1"/>
    <col min="6706" max="6707" width="12.6640625" style="70" customWidth="1"/>
    <col min="6708" max="6708" width="11.21875" style="70" customWidth="1"/>
    <col min="6709" max="6709" width="18.33203125" style="70" customWidth="1"/>
    <col min="6710" max="6710" width="12.88671875" style="70" customWidth="1"/>
    <col min="6711" max="6712" width="13.21875" style="70" customWidth="1"/>
    <col min="6713" max="6713" width="10.88671875" style="70" customWidth="1"/>
    <col min="6714" max="6714" width="11.109375" style="70" customWidth="1"/>
    <col min="6715" max="6715" width="15.21875" style="70" customWidth="1"/>
    <col min="6716" max="6716" width="9.6640625" style="70"/>
    <col min="6717" max="6717" width="11" style="70" customWidth="1"/>
    <col min="6718" max="6718" width="10.77734375" style="70" customWidth="1"/>
    <col min="6719" max="6719" width="11.44140625" style="70" customWidth="1"/>
    <col min="6720" max="6720" width="4" style="70" customWidth="1"/>
    <col min="6721" max="6911" width="9.6640625" style="70"/>
    <col min="6912" max="6912" width="6.44140625" style="70" customWidth="1"/>
    <col min="6913" max="6913" width="13.88671875" style="70" customWidth="1"/>
    <col min="6914" max="6914" width="14.33203125" style="70" customWidth="1"/>
    <col min="6915" max="6931" width="9.6640625" style="70"/>
    <col min="6932" max="6932" width="12" style="70" customWidth="1"/>
    <col min="6933" max="6933" width="12.77734375" style="70" customWidth="1"/>
    <col min="6934" max="6934" width="11.109375" style="70" customWidth="1"/>
    <col min="6935" max="6935" width="12" style="70" customWidth="1"/>
    <col min="6936" max="6936" width="9.6640625" style="70"/>
    <col min="6937" max="6937" width="15.33203125" style="70" customWidth="1"/>
    <col min="6938" max="6938" width="15.21875" style="70" customWidth="1"/>
    <col min="6939" max="6939" width="21.44140625" style="70" customWidth="1"/>
    <col min="6940" max="6955" width="9.6640625" style="70"/>
    <col min="6956" max="6957" width="13.44140625" style="70" customWidth="1"/>
    <col min="6958" max="6958" width="9.6640625" style="70"/>
    <col min="6959" max="6959" width="13.88671875" style="70" customWidth="1"/>
    <col min="6960" max="6960" width="10.6640625" style="70" customWidth="1"/>
    <col min="6961" max="6961" width="17.33203125" style="70" customWidth="1"/>
    <col min="6962" max="6963" width="12.6640625" style="70" customWidth="1"/>
    <col min="6964" max="6964" width="11.21875" style="70" customWidth="1"/>
    <col min="6965" max="6965" width="18.33203125" style="70" customWidth="1"/>
    <col min="6966" max="6966" width="12.88671875" style="70" customWidth="1"/>
    <col min="6967" max="6968" width="13.21875" style="70" customWidth="1"/>
    <col min="6969" max="6969" width="10.88671875" style="70" customWidth="1"/>
    <col min="6970" max="6970" width="11.109375" style="70" customWidth="1"/>
    <col min="6971" max="6971" width="15.21875" style="70" customWidth="1"/>
    <col min="6972" max="6972" width="9.6640625" style="70"/>
    <col min="6973" max="6973" width="11" style="70" customWidth="1"/>
    <col min="6974" max="6974" width="10.77734375" style="70" customWidth="1"/>
    <col min="6975" max="6975" width="11.44140625" style="70" customWidth="1"/>
    <col min="6976" max="6976" width="4" style="70" customWidth="1"/>
    <col min="6977" max="7167" width="9.6640625" style="70"/>
    <col min="7168" max="7168" width="6.44140625" style="70" customWidth="1"/>
    <col min="7169" max="7169" width="13.88671875" style="70" customWidth="1"/>
    <col min="7170" max="7170" width="14.33203125" style="70" customWidth="1"/>
    <col min="7171" max="7187" width="9.6640625" style="70"/>
    <col min="7188" max="7188" width="12" style="70" customWidth="1"/>
    <col min="7189" max="7189" width="12.77734375" style="70" customWidth="1"/>
    <col min="7190" max="7190" width="11.109375" style="70" customWidth="1"/>
    <col min="7191" max="7191" width="12" style="70" customWidth="1"/>
    <col min="7192" max="7192" width="9.6640625" style="70"/>
    <col min="7193" max="7193" width="15.33203125" style="70" customWidth="1"/>
    <col min="7194" max="7194" width="15.21875" style="70" customWidth="1"/>
    <col min="7195" max="7195" width="21.44140625" style="70" customWidth="1"/>
    <col min="7196" max="7211" width="9.6640625" style="70"/>
    <col min="7212" max="7213" width="13.44140625" style="70" customWidth="1"/>
    <col min="7214" max="7214" width="9.6640625" style="70"/>
    <col min="7215" max="7215" width="13.88671875" style="70" customWidth="1"/>
    <col min="7216" max="7216" width="10.6640625" style="70" customWidth="1"/>
    <col min="7217" max="7217" width="17.33203125" style="70" customWidth="1"/>
    <col min="7218" max="7219" width="12.6640625" style="70" customWidth="1"/>
    <col min="7220" max="7220" width="11.21875" style="70" customWidth="1"/>
    <col min="7221" max="7221" width="18.33203125" style="70" customWidth="1"/>
    <col min="7222" max="7222" width="12.88671875" style="70" customWidth="1"/>
    <col min="7223" max="7224" width="13.21875" style="70" customWidth="1"/>
    <col min="7225" max="7225" width="10.88671875" style="70" customWidth="1"/>
    <col min="7226" max="7226" width="11.109375" style="70" customWidth="1"/>
    <col min="7227" max="7227" width="15.21875" style="70" customWidth="1"/>
    <col min="7228" max="7228" width="9.6640625" style="70"/>
    <col min="7229" max="7229" width="11" style="70" customWidth="1"/>
    <col min="7230" max="7230" width="10.77734375" style="70" customWidth="1"/>
    <col min="7231" max="7231" width="11.44140625" style="70" customWidth="1"/>
    <col min="7232" max="7232" width="4" style="70" customWidth="1"/>
    <col min="7233" max="7423" width="9.6640625" style="70"/>
    <col min="7424" max="7424" width="6.44140625" style="70" customWidth="1"/>
    <col min="7425" max="7425" width="13.88671875" style="70" customWidth="1"/>
    <col min="7426" max="7426" width="14.33203125" style="70" customWidth="1"/>
    <col min="7427" max="7443" width="9.6640625" style="70"/>
    <col min="7444" max="7444" width="12" style="70" customWidth="1"/>
    <col min="7445" max="7445" width="12.77734375" style="70" customWidth="1"/>
    <col min="7446" max="7446" width="11.109375" style="70" customWidth="1"/>
    <col min="7447" max="7447" width="12" style="70" customWidth="1"/>
    <col min="7448" max="7448" width="9.6640625" style="70"/>
    <col min="7449" max="7449" width="15.33203125" style="70" customWidth="1"/>
    <col min="7450" max="7450" width="15.21875" style="70" customWidth="1"/>
    <col min="7451" max="7451" width="21.44140625" style="70" customWidth="1"/>
    <col min="7452" max="7467" width="9.6640625" style="70"/>
    <col min="7468" max="7469" width="13.44140625" style="70" customWidth="1"/>
    <col min="7470" max="7470" width="9.6640625" style="70"/>
    <col min="7471" max="7471" width="13.88671875" style="70" customWidth="1"/>
    <col min="7472" max="7472" width="10.6640625" style="70" customWidth="1"/>
    <col min="7473" max="7473" width="17.33203125" style="70" customWidth="1"/>
    <col min="7474" max="7475" width="12.6640625" style="70" customWidth="1"/>
    <col min="7476" max="7476" width="11.21875" style="70" customWidth="1"/>
    <col min="7477" max="7477" width="18.33203125" style="70" customWidth="1"/>
    <col min="7478" max="7478" width="12.88671875" style="70" customWidth="1"/>
    <col min="7479" max="7480" width="13.21875" style="70" customWidth="1"/>
    <col min="7481" max="7481" width="10.88671875" style="70" customWidth="1"/>
    <col min="7482" max="7482" width="11.109375" style="70" customWidth="1"/>
    <col min="7483" max="7483" width="15.21875" style="70" customWidth="1"/>
    <col min="7484" max="7484" width="9.6640625" style="70"/>
    <col min="7485" max="7485" width="11" style="70" customWidth="1"/>
    <col min="7486" max="7486" width="10.77734375" style="70" customWidth="1"/>
    <col min="7487" max="7487" width="11.44140625" style="70" customWidth="1"/>
    <col min="7488" max="7488" width="4" style="70" customWidth="1"/>
    <col min="7489" max="7679" width="9.6640625" style="70"/>
    <col min="7680" max="7680" width="6.44140625" style="70" customWidth="1"/>
    <col min="7681" max="7681" width="13.88671875" style="70" customWidth="1"/>
    <col min="7682" max="7682" width="14.33203125" style="70" customWidth="1"/>
    <col min="7683" max="7699" width="9.6640625" style="70"/>
    <col min="7700" max="7700" width="12" style="70" customWidth="1"/>
    <col min="7701" max="7701" width="12.77734375" style="70" customWidth="1"/>
    <col min="7702" max="7702" width="11.109375" style="70" customWidth="1"/>
    <col min="7703" max="7703" width="12" style="70" customWidth="1"/>
    <col min="7704" max="7704" width="9.6640625" style="70"/>
    <col min="7705" max="7705" width="15.33203125" style="70" customWidth="1"/>
    <col min="7706" max="7706" width="15.21875" style="70" customWidth="1"/>
    <col min="7707" max="7707" width="21.44140625" style="70" customWidth="1"/>
    <col min="7708" max="7723" width="9.6640625" style="70"/>
    <col min="7724" max="7725" width="13.44140625" style="70" customWidth="1"/>
    <col min="7726" max="7726" width="9.6640625" style="70"/>
    <col min="7727" max="7727" width="13.88671875" style="70" customWidth="1"/>
    <col min="7728" max="7728" width="10.6640625" style="70" customWidth="1"/>
    <col min="7729" max="7729" width="17.33203125" style="70" customWidth="1"/>
    <col min="7730" max="7731" width="12.6640625" style="70" customWidth="1"/>
    <col min="7732" max="7732" width="11.21875" style="70" customWidth="1"/>
    <col min="7733" max="7733" width="18.33203125" style="70" customWidth="1"/>
    <col min="7734" max="7734" width="12.88671875" style="70" customWidth="1"/>
    <col min="7735" max="7736" width="13.21875" style="70" customWidth="1"/>
    <col min="7737" max="7737" width="10.88671875" style="70" customWidth="1"/>
    <col min="7738" max="7738" width="11.109375" style="70" customWidth="1"/>
    <col min="7739" max="7739" width="15.21875" style="70" customWidth="1"/>
    <col min="7740" max="7740" width="9.6640625" style="70"/>
    <col min="7741" max="7741" width="11" style="70" customWidth="1"/>
    <col min="7742" max="7742" width="10.77734375" style="70" customWidth="1"/>
    <col min="7743" max="7743" width="11.44140625" style="70" customWidth="1"/>
    <col min="7744" max="7744" width="4" style="70" customWidth="1"/>
    <col min="7745" max="7935" width="9.6640625" style="70"/>
    <col min="7936" max="7936" width="6.44140625" style="70" customWidth="1"/>
    <col min="7937" max="7937" width="13.88671875" style="70" customWidth="1"/>
    <col min="7938" max="7938" width="14.33203125" style="70" customWidth="1"/>
    <col min="7939" max="7955" width="9.6640625" style="70"/>
    <col min="7956" max="7956" width="12" style="70" customWidth="1"/>
    <col min="7957" max="7957" width="12.77734375" style="70" customWidth="1"/>
    <col min="7958" max="7958" width="11.109375" style="70" customWidth="1"/>
    <col min="7959" max="7959" width="12" style="70" customWidth="1"/>
    <col min="7960" max="7960" width="9.6640625" style="70"/>
    <col min="7961" max="7961" width="15.33203125" style="70" customWidth="1"/>
    <col min="7962" max="7962" width="15.21875" style="70" customWidth="1"/>
    <col min="7963" max="7963" width="21.44140625" style="70" customWidth="1"/>
    <col min="7964" max="7979" width="9.6640625" style="70"/>
    <col min="7980" max="7981" width="13.44140625" style="70" customWidth="1"/>
    <col min="7982" max="7982" width="9.6640625" style="70"/>
    <col min="7983" max="7983" width="13.88671875" style="70" customWidth="1"/>
    <col min="7984" max="7984" width="10.6640625" style="70" customWidth="1"/>
    <col min="7985" max="7985" width="17.33203125" style="70" customWidth="1"/>
    <col min="7986" max="7987" width="12.6640625" style="70" customWidth="1"/>
    <col min="7988" max="7988" width="11.21875" style="70" customWidth="1"/>
    <col min="7989" max="7989" width="18.33203125" style="70" customWidth="1"/>
    <col min="7990" max="7990" width="12.88671875" style="70" customWidth="1"/>
    <col min="7991" max="7992" width="13.21875" style="70" customWidth="1"/>
    <col min="7993" max="7993" width="10.88671875" style="70" customWidth="1"/>
    <col min="7994" max="7994" width="11.109375" style="70" customWidth="1"/>
    <col min="7995" max="7995" width="15.21875" style="70" customWidth="1"/>
    <col min="7996" max="7996" width="9.6640625" style="70"/>
    <col min="7997" max="7997" width="11" style="70" customWidth="1"/>
    <col min="7998" max="7998" width="10.77734375" style="70" customWidth="1"/>
    <col min="7999" max="7999" width="11.44140625" style="70" customWidth="1"/>
    <col min="8000" max="8000" width="4" style="70" customWidth="1"/>
    <col min="8001" max="8191" width="9.6640625" style="70"/>
    <col min="8192" max="8192" width="6.44140625" style="70" customWidth="1"/>
    <col min="8193" max="8193" width="13.88671875" style="70" customWidth="1"/>
    <col min="8194" max="8194" width="14.33203125" style="70" customWidth="1"/>
    <col min="8195" max="8211" width="9.6640625" style="70"/>
    <col min="8212" max="8212" width="12" style="70" customWidth="1"/>
    <col min="8213" max="8213" width="12.77734375" style="70" customWidth="1"/>
    <col min="8214" max="8214" width="11.109375" style="70" customWidth="1"/>
    <col min="8215" max="8215" width="12" style="70" customWidth="1"/>
    <col min="8216" max="8216" width="9.6640625" style="70"/>
    <col min="8217" max="8217" width="15.33203125" style="70" customWidth="1"/>
    <col min="8218" max="8218" width="15.21875" style="70" customWidth="1"/>
    <col min="8219" max="8219" width="21.44140625" style="70" customWidth="1"/>
    <col min="8220" max="8235" width="9.6640625" style="70"/>
    <col min="8236" max="8237" width="13.44140625" style="70" customWidth="1"/>
    <col min="8238" max="8238" width="9.6640625" style="70"/>
    <col min="8239" max="8239" width="13.88671875" style="70" customWidth="1"/>
    <col min="8240" max="8240" width="10.6640625" style="70" customWidth="1"/>
    <col min="8241" max="8241" width="17.33203125" style="70" customWidth="1"/>
    <col min="8242" max="8243" width="12.6640625" style="70" customWidth="1"/>
    <col min="8244" max="8244" width="11.21875" style="70" customWidth="1"/>
    <col min="8245" max="8245" width="18.33203125" style="70" customWidth="1"/>
    <col min="8246" max="8246" width="12.88671875" style="70" customWidth="1"/>
    <col min="8247" max="8248" width="13.21875" style="70" customWidth="1"/>
    <col min="8249" max="8249" width="10.88671875" style="70" customWidth="1"/>
    <col min="8250" max="8250" width="11.109375" style="70" customWidth="1"/>
    <col min="8251" max="8251" width="15.21875" style="70" customWidth="1"/>
    <col min="8252" max="8252" width="9.6640625" style="70"/>
    <col min="8253" max="8253" width="11" style="70" customWidth="1"/>
    <col min="8254" max="8254" width="10.77734375" style="70" customWidth="1"/>
    <col min="8255" max="8255" width="11.44140625" style="70" customWidth="1"/>
    <col min="8256" max="8256" width="4" style="70" customWidth="1"/>
    <col min="8257" max="8447" width="9.6640625" style="70"/>
    <col min="8448" max="8448" width="6.44140625" style="70" customWidth="1"/>
    <col min="8449" max="8449" width="13.88671875" style="70" customWidth="1"/>
    <col min="8450" max="8450" width="14.33203125" style="70" customWidth="1"/>
    <col min="8451" max="8467" width="9.6640625" style="70"/>
    <col min="8468" max="8468" width="12" style="70" customWidth="1"/>
    <col min="8469" max="8469" width="12.77734375" style="70" customWidth="1"/>
    <col min="8470" max="8470" width="11.109375" style="70" customWidth="1"/>
    <col min="8471" max="8471" width="12" style="70" customWidth="1"/>
    <col min="8472" max="8472" width="9.6640625" style="70"/>
    <col min="8473" max="8473" width="15.33203125" style="70" customWidth="1"/>
    <col min="8474" max="8474" width="15.21875" style="70" customWidth="1"/>
    <col min="8475" max="8475" width="21.44140625" style="70" customWidth="1"/>
    <col min="8476" max="8491" width="9.6640625" style="70"/>
    <col min="8492" max="8493" width="13.44140625" style="70" customWidth="1"/>
    <col min="8494" max="8494" width="9.6640625" style="70"/>
    <col min="8495" max="8495" width="13.88671875" style="70" customWidth="1"/>
    <col min="8496" max="8496" width="10.6640625" style="70" customWidth="1"/>
    <col min="8497" max="8497" width="17.33203125" style="70" customWidth="1"/>
    <col min="8498" max="8499" width="12.6640625" style="70" customWidth="1"/>
    <col min="8500" max="8500" width="11.21875" style="70" customWidth="1"/>
    <col min="8501" max="8501" width="18.33203125" style="70" customWidth="1"/>
    <col min="8502" max="8502" width="12.88671875" style="70" customWidth="1"/>
    <col min="8503" max="8504" width="13.21875" style="70" customWidth="1"/>
    <col min="8505" max="8505" width="10.88671875" style="70" customWidth="1"/>
    <col min="8506" max="8506" width="11.109375" style="70" customWidth="1"/>
    <col min="8507" max="8507" width="15.21875" style="70" customWidth="1"/>
    <col min="8508" max="8508" width="9.6640625" style="70"/>
    <col min="8509" max="8509" width="11" style="70" customWidth="1"/>
    <col min="8510" max="8510" width="10.77734375" style="70" customWidth="1"/>
    <col min="8511" max="8511" width="11.44140625" style="70" customWidth="1"/>
    <col min="8512" max="8512" width="4" style="70" customWidth="1"/>
    <col min="8513" max="8703" width="9.6640625" style="70"/>
    <col min="8704" max="8704" width="6.44140625" style="70" customWidth="1"/>
    <col min="8705" max="8705" width="13.88671875" style="70" customWidth="1"/>
    <col min="8706" max="8706" width="14.33203125" style="70" customWidth="1"/>
    <col min="8707" max="8723" width="9.6640625" style="70"/>
    <col min="8724" max="8724" width="12" style="70" customWidth="1"/>
    <col min="8725" max="8725" width="12.77734375" style="70" customWidth="1"/>
    <col min="8726" max="8726" width="11.109375" style="70" customWidth="1"/>
    <col min="8727" max="8727" width="12" style="70" customWidth="1"/>
    <col min="8728" max="8728" width="9.6640625" style="70"/>
    <col min="8729" max="8729" width="15.33203125" style="70" customWidth="1"/>
    <col min="8730" max="8730" width="15.21875" style="70" customWidth="1"/>
    <col min="8731" max="8731" width="21.44140625" style="70" customWidth="1"/>
    <col min="8732" max="8747" width="9.6640625" style="70"/>
    <col min="8748" max="8749" width="13.44140625" style="70" customWidth="1"/>
    <col min="8750" max="8750" width="9.6640625" style="70"/>
    <col min="8751" max="8751" width="13.88671875" style="70" customWidth="1"/>
    <col min="8752" max="8752" width="10.6640625" style="70" customWidth="1"/>
    <col min="8753" max="8753" width="17.33203125" style="70" customWidth="1"/>
    <col min="8754" max="8755" width="12.6640625" style="70" customWidth="1"/>
    <col min="8756" max="8756" width="11.21875" style="70" customWidth="1"/>
    <col min="8757" max="8757" width="18.33203125" style="70" customWidth="1"/>
    <col min="8758" max="8758" width="12.88671875" style="70" customWidth="1"/>
    <col min="8759" max="8760" width="13.21875" style="70" customWidth="1"/>
    <col min="8761" max="8761" width="10.88671875" style="70" customWidth="1"/>
    <col min="8762" max="8762" width="11.109375" style="70" customWidth="1"/>
    <col min="8763" max="8763" width="15.21875" style="70" customWidth="1"/>
    <col min="8764" max="8764" width="9.6640625" style="70"/>
    <col min="8765" max="8765" width="11" style="70" customWidth="1"/>
    <col min="8766" max="8766" width="10.77734375" style="70" customWidth="1"/>
    <col min="8767" max="8767" width="11.44140625" style="70" customWidth="1"/>
    <col min="8768" max="8768" width="4" style="70" customWidth="1"/>
    <col min="8769" max="8959" width="9.6640625" style="70"/>
    <col min="8960" max="8960" width="6.44140625" style="70" customWidth="1"/>
    <col min="8961" max="8961" width="13.88671875" style="70" customWidth="1"/>
    <col min="8962" max="8962" width="14.33203125" style="70" customWidth="1"/>
    <col min="8963" max="8979" width="9.6640625" style="70"/>
    <col min="8980" max="8980" width="12" style="70" customWidth="1"/>
    <col min="8981" max="8981" width="12.77734375" style="70" customWidth="1"/>
    <col min="8982" max="8982" width="11.109375" style="70" customWidth="1"/>
    <col min="8983" max="8983" width="12" style="70" customWidth="1"/>
    <col min="8984" max="8984" width="9.6640625" style="70"/>
    <col min="8985" max="8985" width="15.33203125" style="70" customWidth="1"/>
    <col min="8986" max="8986" width="15.21875" style="70" customWidth="1"/>
    <col min="8987" max="8987" width="21.44140625" style="70" customWidth="1"/>
    <col min="8988" max="9003" width="9.6640625" style="70"/>
    <col min="9004" max="9005" width="13.44140625" style="70" customWidth="1"/>
    <col min="9006" max="9006" width="9.6640625" style="70"/>
    <col min="9007" max="9007" width="13.88671875" style="70" customWidth="1"/>
    <col min="9008" max="9008" width="10.6640625" style="70" customWidth="1"/>
    <col min="9009" max="9009" width="17.33203125" style="70" customWidth="1"/>
    <col min="9010" max="9011" width="12.6640625" style="70" customWidth="1"/>
    <col min="9012" max="9012" width="11.21875" style="70" customWidth="1"/>
    <col min="9013" max="9013" width="18.33203125" style="70" customWidth="1"/>
    <col min="9014" max="9014" width="12.88671875" style="70" customWidth="1"/>
    <col min="9015" max="9016" width="13.21875" style="70" customWidth="1"/>
    <col min="9017" max="9017" width="10.88671875" style="70" customWidth="1"/>
    <col min="9018" max="9018" width="11.109375" style="70" customWidth="1"/>
    <col min="9019" max="9019" width="15.21875" style="70" customWidth="1"/>
    <col min="9020" max="9020" width="9.6640625" style="70"/>
    <col min="9021" max="9021" width="11" style="70" customWidth="1"/>
    <col min="9022" max="9022" width="10.77734375" style="70" customWidth="1"/>
    <col min="9023" max="9023" width="11.44140625" style="70" customWidth="1"/>
    <col min="9024" max="9024" width="4" style="70" customWidth="1"/>
    <col min="9025" max="9215" width="9.6640625" style="70"/>
    <col min="9216" max="9216" width="6.44140625" style="70" customWidth="1"/>
    <col min="9217" max="9217" width="13.88671875" style="70" customWidth="1"/>
    <col min="9218" max="9218" width="14.33203125" style="70" customWidth="1"/>
    <col min="9219" max="9235" width="9.6640625" style="70"/>
    <col min="9236" max="9236" width="12" style="70" customWidth="1"/>
    <col min="9237" max="9237" width="12.77734375" style="70" customWidth="1"/>
    <col min="9238" max="9238" width="11.109375" style="70" customWidth="1"/>
    <col min="9239" max="9239" width="12" style="70" customWidth="1"/>
    <col min="9240" max="9240" width="9.6640625" style="70"/>
    <col min="9241" max="9241" width="15.33203125" style="70" customWidth="1"/>
    <col min="9242" max="9242" width="15.21875" style="70" customWidth="1"/>
    <col min="9243" max="9243" width="21.44140625" style="70" customWidth="1"/>
    <col min="9244" max="9259" width="9.6640625" style="70"/>
    <col min="9260" max="9261" width="13.44140625" style="70" customWidth="1"/>
    <col min="9262" max="9262" width="9.6640625" style="70"/>
    <col min="9263" max="9263" width="13.88671875" style="70" customWidth="1"/>
    <col min="9264" max="9264" width="10.6640625" style="70" customWidth="1"/>
    <col min="9265" max="9265" width="17.33203125" style="70" customWidth="1"/>
    <col min="9266" max="9267" width="12.6640625" style="70" customWidth="1"/>
    <col min="9268" max="9268" width="11.21875" style="70" customWidth="1"/>
    <col min="9269" max="9269" width="18.33203125" style="70" customWidth="1"/>
    <col min="9270" max="9270" width="12.88671875" style="70" customWidth="1"/>
    <col min="9271" max="9272" width="13.21875" style="70" customWidth="1"/>
    <col min="9273" max="9273" width="10.88671875" style="70" customWidth="1"/>
    <col min="9274" max="9274" width="11.109375" style="70" customWidth="1"/>
    <col min="9275" max="9275" width="15.21875" style="70" customWidth="1"/>
    <col min="9276" max="9276" width="9.6640625" style="70"/>
    <col min="9277" max="9277" width="11" style="70" customWidth="1"/>
    <col min="9278" max="9278" width="10.77734375" style="70" customWidth="1"/>
    <col min="9279" max="9279" width="11.44140625" style="70" customWidth="1"/>
    <col min="9280" max="9280" width="4" style="70" customWidth="1"/>
    <col min="9281" max="9471" width="9.6640625" style="70"/>
    <col min="9472" max="9472" width="6.44140625" style="70" customWidth="1"/>
    <col min="9473" max="9473" width="13.88671875" style="70" customWidth="1"/>
    <col min="9474" max="9474" width="14.33203125" style="70" customWidth="1"/>
    <col min="9475" max="9491" width="9.6640625" style="70"/>
    <col min="9492" max="9492" width="12" style="70" customWidth="1"/>
    <col min="9493" max="9493" width="12.77734375" style="70" customWidth="1"/>
    <col min="9494" max="9494" width="11.109375" style="70" customWidth="1"/>
    <col min="9495" max="9495" width="12" style="70" customWidth="1"/>
    <col min="9496" max="9496" width="9.6640625" style="70"/>
    <col min="9497" max="9497" width="15.33203125" style="70" customWidth="1"/>
    <col min="9498" max="9498" width="15.21875" style="70" customWidth="1"/>
    <col min="9499" max="9499" width="21.44140625" style="70" customWidth="1"/>
    <col min="9500" max="9515" width="9.6640625" style="70"/>
    <col min="9516" max="9517" width="13.44140625" style="70" customWidth="1"/>
    <col min="9518" max="9518" width="9.6640625" style="70"/>
    <col min="9519" max="9519" width="13.88671875" style="70" customWidth="1"/>
    <col min="9520" max="9520" width="10.6640625" style="70" customWidth="1"/>
    <col min="9521" max="9521" width="17.33203125" style="70" customWidth="1"/>
    <col min="9522" max="9523" width="12.6640625" style="70" customWidth="1"/>
    <col min="9524" max="9524" width="11.21875" style="70" customWidth="1"/>
    <col min="9525" max="9525" width="18.33203125" style="70" customWidth="1"/>
    <col min="9526" max="9526" width="12.88671875" style="70" customWidth="1"/>
    <col min="9527" max="9528" width="13.21875" style="70" customWidth="1"/>
    <col min="9529" max="9529" width="10.88671875" style="70" customWidth="1"/>
    <col min="9530" max="9530" width="11.109375" style="70" customWidth="1"/>
    <col min="9531" max="9531" width="15.21875" style="70" customWidth="1"/>
    <col min="9532" max="9532" width="9.6640625" style="70"/>
    <col min="9533" max="9533" width="11" style="70" customWidth="1"/>
    <col min="9534" max="9534" width="10.77734375" style="70" customWidth="1"/>
    <col min="9535" max="9535" width="11.44140625" style="70" customWidth="1"/>
    <col min="9536" max="9536" width="4" style="70" customWidth="1"/>
    <col min="9537" max="9727" width="9.6640625" style="70"/>
    <col min="9728" max="9728" width="6.44140625" style="70" customWidth="1"/>
    <col min="9729" max="9729" width="13.88671875" style="70" customWidth="1"/>
    <col min="9730" max="9730" width="14.33203125" style="70" customWidth="1"/>
    <col min="9731" max="9747" width="9.6640625" style="70"/>
    <col min="9748" max="9748" width="12" style="70" customWidth="1"/>
    <col min="9749" max="9749" width="12.77734375" style="70" customWidth="1"/>
    <col min="9750" max="9750" width="11.109375" style="70" customWidth="1"/>
    <col min="9751" max="9751" width="12" style="70" customWidth="1"/>
    <col min="9752" max="9752" width="9.6640625" style="70"/>
    <col min="9753" max="9753" width="15.33203125" style="70" customWidth="1"/>
    <col min="9754" max="9754" width="15.21875" style="70" customWidth="1"/>
    <col min="9755" max="9755" width="21.44140625" style="70" customWidth="1"/>
    <col min="9756" max="9771" width="9.6640625" style="70"/>
    <col min="9772" max="9773" width="13.44140625" style="70" customWidth="1"/>
    <col min="9774" max="9774" width="9.6640625" style="70"/>
    <col min="9775" max="9775" width="13.88671875" style="70" customWidth="1"/>
    <col min="9776" max="9776" width="10.6640625" style="70" customWidth="1"/>
    <col min="9777" max="9777" width="17.33203125" style="70" customWidth="1"/>
    <col min="9778" max="9779" width="12.6640625" style="70" customWidth="1"/>
    <col min="9780" max="9780" width="11.21875" style="70" customWidth="1"/>
    <col min="9781" max="9781" width="18.33203125" style="70" customWidth="1"/>
    <col min="9782" max="9782" width="12.88671875" style="70" customWidth="1"/>
    <col min="9783" max="9784" width="13.21875" style="70" customWidth="1"/>
    <col min="9785" max="9785" width="10.88671875" style="70" customWidth="1"/>
    <col min="9786" max="9786" width="11.109375" style="70" customWidth="1"/>
    <col min="9787" max="9787" width="15.21875" style="70" customWidth="1"/>
    <col min="9788" max="9788" width="9.6640625" style="70"/>
    <col min="9789" max="9789" width="11" style="70" customWidth="1"/>
    <col min="9790" max="9790" width="10.77734375" style="70" customWidth="1"/>
    <col min="9791" max="9791" width="11.44140625" style="70" customWidth="1"/>
    <col min="9792" max="9792" width="4" style="70" customWidth="1"/>
    <col min="9793" max="9983" width="9.6640625" style="70"/>
    <col min="9984" max="9984" width="6.44140625" style="70" customWidth="1"/>
    <col min="9985" max="9985" width="13.88671875" style="70" customWidth="1"/>
    <col min="9986" max="9986" width="14.33203125" style="70" customWidth="1"/>
    <col min="9987" max="10003" width="9.6640625" style="70"/>
    <col min="10004" max="10004" width="12" style="70" customWidth="1"/>
    <col min="10005" max="10005" width="12.77734375" style="70" customWidth="1"/>
    <col min="10006" max="10006" width="11.109375" style="70" customWidth="1"/>
    <col min="10007" max="10007" width="12" style="70" customWidth="1"/>
    <col min="10008" max="10008" width="9.6640625" style="70"/>
    <col min="10009" max="10009" width="15.33203125" style="70" customWidth="1"/>
    <col min="10010" max="10010" width="15.21875" style="70" customWidth="1"/>
    <col min="10011" max="10011" width="21.44140625" style="70" customWidth="1"/>
    <col min="10012" max="10027" width="9.6640625" style="70"/>
    <col min="10028" max="10029" width="13.44140625" style="70" customWidth="1"/>
    <col min="10030" max="10030" width="9.6640625" style="70"/>
    <col min="10031" max="10031" width="13.88671875" style="70" customWidth="1"/>
    <col min="10032" max="10032" width="10.6640625" style="70" customWidth="1"/>
    <col min="10033" max="10033" width="17.33203125" style="70" customWidth="1"/>
    <col min="10034" max="10035" width="12.6640625" style="70" customWidth="1"/>
    <col min="10036" max="10036" width="11.21875" style="70" customWidth="1"/>
    <col min="10037" max="10037" width="18.33203125" style="70" customWidth="1"/>
    <col min="10038" max="10038" width="12.88671875" style="70" customWidth="1"/>
    <col min="10039" max="10040" width="13.21875" style="70" customWidth="1"/>
    <col min="10041" max="10041" width="10.88671875" style="70" customWidth="1"/>
    <col min="10042" max="10042" width="11.109375" style="70" customWidth="1"/>
    <col min="10043" max="10043" width="15.21875" style="70" customWidth="1"/>
    <col min="10044" max="10044" width="9.6640625" style="70"/>
    <col min="10045" max="10045" width="11" style="70" customWidth="1"/>
    <col min="10046" max="10046" width="10.77734375" style="70" customWidth="1"/>
    <col min="10047" max="10047" width="11.44140625" style="70" customWidth="1"/>
    <col min="10048" max="10048" width="4" style="70" customWidth="1"/>
    <col min="10049" max="10239" width="9.6640625" style="70"/>
    <col min="10240" max="10240" width="6.44140625" style="70" customWidth="1"/>
    <col min="10241" max="10241" width="13.88671875" style="70" customWidth="1"/>
    <col min="10242" max="10242" width="14.33203125" style="70" customWidth="1"/>
    <col min="10243" max="10259" width="9.6640625" style="70"/>
    <col min="10260" max="10260" width="12" style="70" customWidth="1"/>
    <col min="10261" max="10261" width="12.77734375" style="70" customWidth="1"/>
    <col min="10262" max="10262" width="11.109375" style="70" customWidth="1"/>
    <col min="10263" max="10263" width="12" style="70" customWidth="1"/>
    <col min="10264" max="10264" width="9.6640625" style="70"/>
    <col min="10265" max="10265" width="15.33203125" style="70" customWidth="1"/>
    <col min="10266" max="10266" width="15.21875" style="70" customWidth="1"/>
    <col min="10267" max="10267" width="21.44140625" style="70" customWidth="1"/>
    <col min="10268" max="10283" width="9.6640625" style="70"/>
    <col min="10284" max="10285" width="13.44140625" style="70" customWidth="1"/>
    <col min="10286" max="10286" width="9.6640625" style="70"/>
    <col min="10287" max="10287" width="13.88671875" style="70" customWidth="1"/>
    <col min="10288" max="10288" width="10.6640625" style="70" customWidth="1"/>
    <col min="10289" max="10289" width="17.33203125" style="70" customWidth="1"/>
    <col min="10290" max="10291" width="12.6640625" style="70" customWidth="1"/>
    <col min="10292" max="10292" width="11.21875" style="70" customWidth="1"/>
    <col min="10293" max="10293" width="18.33203125" style="70" customWidth="1"/>
    <col min="10294" max="10294" width="12.88671875" style="70" customWidth="1"/>
    <col min="10295" max="10296" width="13.21875" style="70" customWidth="1"/>
    <col min="10297" max="10297" width="10.88671875" style="70" customWidth="1"/>
    <col min="10298" max="10298" width="11.109375" style="70" customWidth="1"/>
    <col min="10299" max="10299" width="15.21875" style="70" customWidth="1"/>
    <col min="10300" max="10300" width="9.6640625" style="70"/>
    <col min="10301" max="10301" width="11" style="70" customWidth="1"/>
    <col min="10302" max="10302" width="10.77734375" style="70" customWidth="1"/>
    <col min="10303" max="10303" width="11.44140625" style="70" customWidth="1"/>
    <col min="10304" max="10304" width="4" style="70" customWidth="1"/>
    <col min="10305" max="10495" width="9.6640625" style="70"/>
    <col min="10496" max="10496" width="6.44140625" style="70" customWidth="1"/>
    <col min="10497" max="10497" width="13.88671875" style="70" customWidth="1"/>
    <col min="10498" max="10498" width="14.33203125" style="70" customWidth="1"/>
    <col min="10499" max="10515" width="9.6640625" style="70"/>
    <col min="10516" max="10516" width="12" style="70" customWidth="1"/>
    <col min="10517" max="10517" width="12.77734375" style="70" customWidth="1"/>
    <col min="10518" max="10518" width="11.109375" style="70" customWidth="1"/>
    <col min="10519" max="10519" width="12" style="70" customWidth="1"/>
    <col min="10520" max="10520" width="9.6640625" style="70"/>
    <col min="10521" max="10521" width="15.33203125" style="70" customWidth="1"/>
    <col min="10522" max="10522" width="15.21875" style="70" customWidth="1"/>
    <col min="10523" max="10523" width="21.44140625" style="70" customWidth="1"/>
    <col min="10524" max="10539" width="9.6640625" style="70"/>
    <col min="10540" max="10541" width="13.44140625" style="70" customWidth="1"/>
    <col min="10542" max="10542" width="9.6640625" style="70"/>
    <col min="10543" max="10543" width="13.88671875" style="70" customWidth="1"/>
    <col min="10544" max="10544" width="10.6640625" style="70" customWidth="1"/>
    <col min="10545" max="10545" width="17.33203125" style="70" customWidth="1"/>
    <col min="10546" max="10547" width="12.6640625" style="70" customWidth="1"/>
    <col min="10548" max="10548" width="11.21875" style="70" customWidth="1"/>
    <col min="10549" max="10549" width="18.33203125" style="70" customWidth="1"/>
    <col min="10550" max="10550" width="12.88671875" style="70" customWidth="1"/>
    <col min="10551" max="10552" width="13.21875" style="70" customWidth="1"/>
    <col min="10553" max="10553" width="10.88671875" style="70" customWidth="1"/>
    <col min="10554" max="10554" width="11.109375" style="70" customWidth="1"/>
    <col min="10555" max="10555" width="15.21875" style="70" customWidth="1"/>
    <col min="10556" max="10556" width="9.6640625" style="70"/>
    <col min="10557" max="10557" width="11" style="70" customWidth="1"/>
    <col min="10558" max="10558" width="10.77734375" style="70" customWidth="1"/>
    <col min="10559" max="10559" width="11.44140625" style="70" customWidth="1"/>
    <col min="10560" max="10560" width="4" style="70" customWidth="1"/>
    <col min="10561" max="10751" width="9.6640625" style="70"/>
    <col min="10752" max="10752" width="6.44140625" style="70" customWidth="1"/>
    <col min="10753" max="10753" width="13.88671875" style="70" customWidth="1"/>
    <col min="10754" max="10754" width="14.33203125" style="70" customWidth="1"/>
    <col min="10755" max="10771" width="9.6640625" style="70"/>
    <col min="10772" max="10772" width="12" style="70" customWidth="1"/>
    <col min="10773" max="10773" width="12.77734375" style="70" customWidth="1"/>
    <col min="10774" max="10774" width="11.109375" style="70" customWidth="1"/>
    <col min="10775" max="10775" width="12" style="70" customWidth="1"/>
    <col min="10776" max="10776" width="9.6640625" style="70"/>
    <col min="10777" max="10777" width="15.33203125" style="70" customWidth="1"/>
    <col min="10778" max="10778" width="15.21875" style="70" customWidth="1"/>
    <col min="10779" max="10779" width="21.44140625" style="70" customWidth="1"/>
    <col min="10780" max="10795" width="9.6640625" style="70"/>
    <col min="10796" max="10797" width="13.44140625" style="70" customWidth="1"/>
    <col min="10798" max="10798" width="9.6640625" style="70"/>
    <col min="10799" max="10799" width="13.88671875" style="70" customWidth="1"/>
    <col min="10800" max="10800" width="10.6640625" style="70" customWidth="1"/>
    <col min="10801" max="10801" width="17.33203125" style="70" customWidth="1"/>
    <col min="10802" max="10803" width="12.6640625" style="70" customWidth="1"/>
    <col min="10804" max="10804" width="11.21875" style="70" customWidth="1"/>
    <col min="10805" max="10805" width="18.33203125" style="70" customWidth="1"/>
    <col min="10806" max="10806" width="12.88671875" style="70" customWidth="1"/>
    <col min="10807" max="10808" width="13.21875" style="70" customWidth="1"/>
    <col min="10809" max="10809" width="10.88671875" style="70" customWidth="1"/>
    <col min="10810" max="10810" width="11.109375" style="70" customWidth="1"/>
    <col min="10811" max="10811" width="15.21875" style="70" customWidth="1"/>
    <col min="10812" max="10812" width="9.6640625" style="70"/>
    <col min="10813" max="10813" width="11" style="70" customWidth="1"/>
    <col min="10814" max="10814" width="10.77734375" style="70" customWidth="1"/>
    <col min="10815" max="10815" width="11.44140625" style="70" customWidth="1"/>
    <col min="10816" max="10816" width="4" style="70" customWidth="1"/>
    <col min="10817" max="11007" width="9.6640625" style="70"/>
    <col min="11008" max="11008" width="6.44140625" style="70" customWidth="1"/>
    <col min="11009" max="11009" width="13.88671875" style="70" customWidth="1"/>
    <col min="11010" max="11010" width="14.33203125" style="70" customWidth="1"/>
    <col min="11011" max="11027" width="9.6640625" style="70"/>
    <col min="11028" max="11028" width="12" style="70" customWidth="1"/>
    <col min="11029" max="11029" width="12.77734375" style="70" customWidth="1"/>
    <col min="11030" max="11030" width="11.109375" style="70" customWidth="1"/>
    <col min="11031" max="11031" width="12" style="70" customWidth="1"/>
    <col min="11032" max="11032" width="9.6640625" style="70"/>
    <col min="11033" max="11033" width="15.33203125" style="70" customWidth="1"/>
    <col min="11034" max="11034" width="15.21875" style="70" customWidth="1"/>
    <col min="11035" max="11035" width="21.44140625" style="70" customWidth="1"/>
    <col min="11036" max="11051" width="9.6640625" style="70"/>
    <col min="11052" max="11053" width="13.44140625" style="70" customWidth="1"/>
    <col min="11054" max="11054" width="9.6640625" style="70"/>
    <col min="11055" max="11055" width="13.88671875" style="70" customWidth="1"/>
    <col min="11056" max="11056" width="10.6640625" style="70" customWidth="1"/>
    <col min="11057" max="11057" width="17.33203125" style="70" customWidth="1"/>
    <col min="11058" max="11059" width="12.6640625" style="70" customWidth="1"/>
    <col min="11060" max="11060" width="11.21875" style="70" customWidth="1"/>
    <col min="11061" max="11061" width="18.33203125" style="70" customWidth="1"/>
    <col min="11062" max="11062" width="12.88671875" style="70" customWidth="1"/>
    <col min="11063" max="11064" width="13.21875" style="70" customWidth="1"/>
    <col min="11065" max="11065" width="10.88671875" style="70" customWidth="1"/>
    <col min="11066" max="11066" width="11.109375" style="70" customWidth="1"/>
    <col min="11067" max="11067" width="15.21875" style="70" customWidth="1"/>
    <col min="11068" max="11068" width="9.6640625" style="70"/>
    <col min="11069" max="11069" width="11" style="70" customWidth="1"/>
    <col min="11070" max="11070" width="10.77734375" style="70" customWidth="1"/>
    <col min="11071" max="11071" width="11.44140625" style="70" customWidth="1"/>
    <col min="11072" max="11072" width="4" style="70" customWidth="1"/>
    <col min="11073" max="11263" width="9.6640625" style="70"/>
    <col min="11264" max="11264" width="6.44140625" style="70" customWidth="1"/>
    <col min="11265" max="11265" width="13.88671875" style="70" customWidth="1"/>
    <col min="11266" max="11266" width="14.33203125" style="70" customWidth="1"/>
    <col min="11267" max="11283" width="9.6640625" style="70"/>
    <col min="11284" max="11284" width="12" style="70" customWidth="1"/>
    <col min="11285" max="11285" width="12.77734375" style="70" customWidth="1"/>
    <col min="11286" max="11286" width="11.109375" style="70" customWidth="1"/>
    <col min="11287" max="11287" width="12" style="70" customWidth="1"/>
    <col min="11288" max="11288" width="9.6640625" style="70"/>
    <col min="11289" max="11289" width="15.33203125" style="70" customWidth="1"/>
    <col min="11290" max="11290" width="15.21875" style="70" customWidth="1"/>
    <col min="11291" max="11291" width="21.44140625" style="70" customWidth="1"/>
    <col min="11292" max="11307" width="9.6640625" style="70"/>
    <col min="11308" max="11309" width="13.44140625" style="70" customWidth="1"/>
    <col min="11310" max="11310" width="9.6640625" style="70"/>
    <col min="11311" max="11311" width="13.88671875" style="70" customWidth="1"/>
    <col min="11312" max="11312" width="10.6640625" style="70" customWidth="1"/>
    <col min="11313" max="11313" width="17.33203125" style="70" customWidth="1"/>
    <col min="11314" max="11315" width="12.6640625" style="70" customWidth="1"/>
    <col min="11316" max="11316" width="11.21875" style="70" customWidth="1"/>
    <col min="11317" max="11317" width="18.33203125" style="70" customWidth="1"/>
    <col min="11318" max="11318" width="12.88671875" style="70" customWidth="1"/>
    <col min="11319" max="11320" width="13.21875" style="70" customWidth="1"/>
    <col min="11321" max="11321" width="10.88671875" style="70" customWidth="1"/>
    <col min="11322" max="11322" width="11.109375" style="70" customWidth="1"/>
    <col min="11323" max="11323" width="15.21875" style="70" customWidth="1"/>
    <col min="11324" max="11324" width="9.6640625" style="70"/>
    <col min="11325" max="11325" width="11" style="70" customWidth="1"/>
    <col min="11326" max="11326" width="10.77734375" style="70" customWidth="1"/>
    <col min="11327" max="11327" width="11.44140625" style="70" customWidth="1"/>
    <col min="11328" max="11328" width="4" style="70" customWidth="1"/>
    <col min="11329" max="11519" width="9.6640625" style="70"/>
    <col min="11520" max="11520" width="6.44140625" style="70" customWidth="1"/>
    <col min="11521" max="11521" width="13.88671875" style="70" customWidth="1"/>
    <col min="11522" max="11522" width="14.33203125" style="70" customWidth="1"/>
    <col min="11523" max="11539" width="9.6640625" style="70"/>
    <col min="11540" max="11540" width="12" style="70" customWidth="1"/>
    <col min="11541" max="11541" width="12.77734375" style="70" customWidth="1"/>
    <col min="11542" max="11542" width="11.109375" style="70" customWidth="1"/>
    <col min="11543" max="11543" width="12" style="70" customWidth="1"/>
    <col min="11544" max="11544" width="9.6640625" style="70"/>
    <col min="11545" max="11545" width="15.33203125" style="70" customWidth="1"/>
    <col min="11546" max="11546" width="15.21875" style="70" customWidth="1"/>
    <col min="11547" max="11547" width="21.44140625" style="70" customWidth="1"/>
    <col min="11548" max="11563" width="9.6640625" style="70"/>
    <col min="11564" max="11565" width="13.44140625" style="70" customWidth="1"/>
    <col min="11566" max="11566" width="9.6640625" style="70"/>
    <col min="11567" max="11567" width="13.88671875" style="70" customWidth="1"/>
    <col min="11568" max="11568" width="10.6640625" style="70" customWidth="1"/>
    <col min="11569" max="11569" width="17.33203125" style="70" customWidth="1"/>
    <col min="11570" max="11571" width="12.6640625" style="70" customWidth="1"/>
    <col min="11572" max="11572" width="11.21875" style="70" customWidth="1"/>
    <col min="11573" max="11573" width="18.33203125" style="70" customWidth="1"/>
    <col min="11574" max="11574" width="12.88671875" style="70" customWidth="1"/>
    <col min="11575" max="11576" width="13.21875" style="70" customWidth="1"/>
    <col min="11577" max="11577" width="10.88671875" style="70" customWidth="1"/>
    <col min="11578" max="11578" width="11.109375" style="70" customWidth="1"/>
    <col min="11579" max="11579" width="15.21875" style="70" customWidth="1"/>
    <col min="11580" max="11580" width="9.6640625" style="70"/>
    <col min="11581" max="11581" width="11" style="70" customWidth="1"/>
    <col min="11582" max="11582" width="10.77734375" style="70" customWidth="1"/>
    <col min="11583" max="11583" width="11.44140625" style="70" customWidth="1"/>
    <col min="11584" max="11584" width="4" style="70" customWidth="1"/>
    <col min="11585" max="11775" width="9.6640625" style="70"/>
    <col min="11776" max="11776" width="6.44140625" style="70" customWidth="1"/>
    <col min="11777" max="11777" width="13.88671875" style="70" customWidth="1"/>
    <col min="11778" max="11778" width="14.33203125" style="70" customWidth="1"/>
    <col min="11779" max="11795" width="9.6640625" style="70"/>
    <col min="11796" max="11796" width="12" style="70" customWidth="1"/>
    <col min="11797" max="11797" width="12.77734375" style="70" customWidth="1"/>
    <col min="11798" max="11798" width="11.109375" style="70" customWidth="1"/>
    <col min="11799" max="11799" width="12" style="70" customWidth="1"/>
    <col min="11800" max="11800" width="9.6640625" style="70"/>
    <col min="11801" max="11801" width="15.33203125" style="70" customWidth="1"/>
    <col min="11802" max="11802" width="15.21875" style="70" customWidth="1"/>
    <col min="11803" max="11803" width="21.44140625" style="70" customWidth="1"/>
    <col min="11804" max="11819" width="9.6640625" style="70"/>
    <col min="11820" max="11821" width="13.44140625" style="70" customWidth="1"/>
    <col min="11822" max="11822" width="9.6640625" style="70"/>
    <col min="11823" max="11823" width="13.88671875" style="70" customWidth="1"/>
    <col min="11824" max="11824" width="10.6640625" style="70" customWidth="1"/>
    <col min="11825" max="11825" width="17.33203125" style="70" customWidth="1"/>
    <col min="11826" max="11827" width="12.6640625" style="70" customWidth="1"/>
    <col min="11828" max="11828" width="11.21875" style="70" customWidth="1"/>
    <col min="11829" max="11829" width="18.33203125" style="70" customWidth="1"/>
    <col min="11830" max="11830" width="12.88671875" style="70" customWidth="1"/>
    <col min="11831" max="11832" width="13.21875" style="70" customWidth="1"/>
    <col min="11833" max="11833" width="10.88671875" style="70" customWidth="1"/>
    <col min="11834" max="11834" width="11.109375" style="70" customWidth="1"/>
    <col min="11835" max="11835" width="15.21875" style="70" customWidth="1"/>
    <col min="11836" max="11836" width="9.6640625" style="70"/>
    <col min="11837" max="11837" width="11" style="70" customWidth="1"/>
    <col min="11838" max="11838" width="10.77734375" style="70" customWidth="1"/>
    <col min="11839" max="11839" width="11.44140625" style="70" customWidth="1"/>
    <col min="11840" max="11840" width="4" style="70" customWidth="1"/>
    <col min="11841" max="12031" width="9.6640625" style="70"/>
    <col min="12032" max="12032" width="6.44140625" style="70" customWidth="1"/>
    <col min="12033" max="12033" width="13.88671875" style="70" customWidth="1"/>
    <col min="12034" max="12034" width="14.33203125" style="70" customWidth="1"/>
    <col min="12035" max="12051" width="9.6640625" style="70"/>
    <col min="12052" max="12052" width="12" style="70" customWidth="1"/>
    <col min="12053" max="12053" width="12.77734375" style="70" customWidth="1"/>
    <col min="12054" max="12054" width="11.109375" style="70" customWidth="1"/>
    <col min="12055" max="12055" width="12" style="70" customWidth="1"/>
    <col min="12056" max="12056" width="9.6640625" style="70"/>
    <col min="12057" max="12057" width="15.33203125" style="70" customWidth="1"/>
    <col min="12058" max="12058" width="15.21875" style="70" customWidth="1"/>
    <col min="12059" max="12059" width="21.44140625" style="70" customWidth="1"/>
    <col min="12060" max="12075" width="9.6640625" style="70"/>
    <col min="12076" max="12077" width="13.44140625" style="70" customWidth="1"/>
    <col min="12078" max="12078" width="9.6640625" style="70"/>
    <col min="12079" max="12079" width="13.88671875" style="70" customWidth="1"/>
    <col min="12080" max="12080" width="10.6640625" style="70" customWidth="1"/>
    <col min="12081" max="12081" width="17.33203125" style="70" customWidth="1"/>
    <col min="12082" max="12083" width="12.6640625" style="70" customWidth="1"/>
    <col min="12084" max="12084" width="11.21875" style="70" customWidth="1"/>
    <col min="12085" max="12085" width="18.33203125" style="70" customWidth="1"/>
    <col min="12086" max="12086" width="12.88671875" style="70" customWidth="1"/>
    <col min="12087" max="12088" width="13.21875" style="70" customWidth="1"/>
    <col min="12089" max="12089" width="10.88671875" style="70" customWidth="1"/>
    <col min="12090" max="12090" width="11.109375" style="70" customWidth="1"/>
    <col min="12091" max="12091" width="15.21875" style="70" customWidth="1"/>
    <col min="12092" max="12092" width="9.6640625" style="70"/>
    <col min="12093" max="12093" width="11" style="70" customWidth="1"/>
    <col min="12094" max="12094" width="10.77734375" style="70" customWidth="1"/>
    <col min="12095" max="12095" width="11.44140625" style="70" customWidth="1"/>
    <col min="12096" max="12096" width="4" style="70" customWidth="1"/>
    <col min="12097" max="12287" width="9.6640625" style="70"/>
    <col min="12288" max="12288" width="6.44140625" style="70" customWidth="1"/>
    <col min="12289" max="12289" width="13.88671875" style="70" customWidth="1"/>
    <col min="12290" max="12290" width="14.33203125" style="70" customWidth="1"/>
    <col min="12291" max="12307" width="9.6640625" style="70"/>
    <col min="12308" max="12308" width="12" style="70" customWidth="1"/>
    <col min="12309" max="12309" width="12.77734375" style="70" customWidth="1"/>
    <col min="12310" max="12310" width="11.109375" style="70" customWidth="1"/>
    <col min="12311" max="12311" width="12" style="70" customWidth="1"/>
    <col min="12312" max="12312" width="9.6640625" style="70"/>
    <col min="12313" max="12313" width="15.33203125" style="70" customWidth="1"/>
    <col min="12314" max="12314" width="15.21875" style="70" customWidth="1"/>
    <col min="12315" max="12315" width="21.44140625" style="70" customWidth="1"/>
    <col min="12316" max="12331" width="9.6640625" style="70"/>
    <col min="12332" max="12333" width="13.44140625" style="70" customWidth="1"/>
    <col min="12334" max="12334" width="9.6640625" style="70"/>
    <col min="12335" max="12335" width="13.88671875" style="70" customWidth="1"/>
    <col min="12336" max="12336" width="10.6640625" style="70" customWidth="1"/>
    <col min="12337" max="12337" width="17.33203125" style="70" customWidth="1"/>
    <col min="12338" max="12339" width="12.6640625" style="70" customWidth="1"/>
    <col min="12340" max="12340" width="11.21875" style="70" customWidth="1"/>
    <col min="12341" max="12341" width="18.33203125" style="70" customWidth="1"/>
    <col min="12342" max="12342" width="12.88671875" style="70" customWidth="1"/>
    <col min="12343" max="12344" width="13.21875" style="70" customWidth="1"/>
    <col min="12345" max="12345" width="10.88671875" style="70" customWidth="1"/>
    <col min="12346" max="12346" width="11.109375" style="70" customWidth="1"/>
    <col min="12347" max="12347" width="15.21875" style="70" customWidth="1"/>
    <col min="12348" max="12348" width="9.6640625" style="70"/>
    <col min="12349" max="12349" width="11" style="70" customWidth="1"/>
    <col min="12350" max="12350" width="10.77734375" style="70" customWidth="1"/>
    <col min="12351" max="12351" width="11.44140625" style="70" customWidth="1"/>
    <col min="12352" max="12352" width="4" style="70" customWidth="1"/>
    <col min="12353" max="12543" width="9.6640625" style="70"/>
    <col min="12544" max="12544" width="6.44140625" style="70" customWidth="1"/>
    <col min="12545" max="12545" width="13.88671875" style="70" customWidth="1"/>
    <col min="12546" max="12546" width="14.33203125" style="70" customWidth="1"/>
    <col min="12547" max="12563" width="9.6640625" style="70"/>
    <col min="12564" max="12564" width="12" style="70" customWidth="1"/>
    <col min="12565" max="12565" width="12.77734375" style="70" customWidth="1"/>
    <col min="12566" max="12566" width="11.109375" style="70" customWidth="1"/>
    <col min="12567" max="12567" width="12" style="70" customWidth="1"/>
    <col min="12568" max="12568" width="9.6640625" style="70"/>
    <col min="12569" max="12569" width="15.33203125" style="70" customWidth="1"/>
    <col min="12570" max="12570" width="15.21875" style="70" customWidth="1"/>
    <col min="12571" max="12571" width="21.44140625" style="70" customWidth="1"/>
    <col min="12572" max="12587" width="9.6640625" style="70"/>
    <col min="12588" max="12589" width="13.44140625" style="70" customWidth="1"/>
    <col min="12590" max="12590" width="9.6640625" style="70"/>
    <col min="12591" max="12591" width="13.88671875" style="70" customWidth="1"/>
    <col min="12592" max="12592" width="10.6640625" style="70" customWidth="1"/>
    <col min="12593" max="12593" width="17.33203125" style="70" customWidth="1"/>
    <col min="12594" max="12595" width="12.6640625" style="70" customWidth="1"/>
    <col min="12596" max="12596" width="11.21875" style="70" customWidth="1"/>
    <col min="12597" max="12597" width="18.33203125" style="70" customWidth="1"/>
    <col min="12598" max="12598" width="12.88671875" style="70" customWidth="1"/>
    <col min="12599" max="12600" width="13.21875" style="70" customWidth="1"/>
    <col min="12601" max="12601" width="10.88671875" style="70" customWidth="1"/>
    <col min="12602" max="12602" width="11.109375" style="70" customWidth="1"/>
    <col min="12603" max="12603" width="15.21875" style="70" customWidth="1"/>
    <col min="12604" max="12604" width="9.6640625" style="70"/>
    <col min="12605" max="12605" width="11" style="70" customWidth="1"/>
    <col min="12606" max="12606" width="10.77734375" style="70" customWidth="1"/>
    <col min="12607" max="12607" width="11.44140625" style="70" customWidth="1"/>
    <col min="12608" max="12608" width="4" style="70" customWidth="1"/>
    <col min="12609" max="12799" width="9.6640625" style="70"/>
    <col min="12800" max="12800" width="6.44140625" style="70" customWidth="1"/>
    <col min="12801" max="12801" width="13.88671875" style="70" customWidth="1"/>
    <col min="12802" max="12802" width="14.33203125" style="70" customWidth="1"/>
    <col min="12803" max="12819" width="9.6640625" style="70"/>
    <col min="12820" max="12820" width="12" style="70" customWidth="1"/>
    <col min="12821" max="12821" width="12.77734375" style="70" customWidth="1"/>
    <col min="12822" max="12822" width="11.109375" style="70" customWidth="1"/>
    <col min="12823" max="12823" width="12" style="70" customWidth="1"/>
    <col min="12824" max="12824" width="9.6640625" style="70"/>
    <col min="12825" max="12825" width="15.33203125" style="70" customWidth="1"/>
    <col min="12826" max="12826" width="15.21875" style="70" customWidth="1"/>
    <col min="12827" max="12827" width="21.44140625" style="70" customWidth="1"/>
    <col min="12828" max="12843" width="9.6640625" style="70"/>
    <col min="12844" max="12845" width="13.44140625" style="70" customWidth="1"/>
    <col min="12846" max="12846" width="9.6640625" style="70"/>
    <col min="12847" max="12847" width="13.88671875" style="70" customWidth="1"/>
    <col min="12848" max="12848" width="10.6640625" style="70" customWidth="1"/>
    <col min="12849" max="12849" width="17.33203125" style="70" customWidth="1"/>
    <col min="12850" max="12851" width="12.6640625" style="70" customWidth="1"/>
    <col min="12852" max="12852" width="11.21875" style="70" customWidth="1"/>
    <col min="12853" max="12853" width="18.33203125" style="70" customWidth="1"/>
    <col min="12854" max="12854" width="12.88671875" style="70" customWidth="1"/>
    <col min="12855" max="12856" width="13.21875" style="70" customWidth="1"/>
    <col min="12857" max="12857" width="10.88671875" style="70" customWidth="1"/>
    <col min="12858" max="12858" width="11.109375" style="70" customWidth="1"/>
    <col min="12859" max="12859" width="15.21875" style="70" customWidth="1"/>
    <col min="12860" max="12860" width="9.6640625" style="70"/>
    <col min="12861" max="12861" width="11" style="70" customWidth="1"/>
    <col min="12862" max="12862" width="10.77734375" style="70" customWidth="1"/>
    <col min="12863" max="12863" width="11.44140625" style="70" customWidth="1"/>
    <col min="12864" max="12864" width="4" style="70" customWidth="1"/>
    <col min="12865" max="13055" width="9.6640625" style="70"/>
    <col min="13056" max="13056" width="6.44140625" style="70" customWidth="1"/>
    <col min="13057" max="13057" width="13.88671875" style="70" customWidth="1"/>
    <col min="13058" max="13058" width="14.33203125" style="70" customWidth="1"/>
    <col min="13059" max="13075" width="9.6640625" style="70"/>
    <col min="13076" max="13076" width="12" style="70" customWidth="1"/>
    <col min="13077" max="13077" width="12.77734375" style="70" customWidth="1"/>
    <col min="13078" max="13078" width="11.109375" style="70" customWidth="1"/>
    <col min="13079" max="13079" width="12" style="70" customWidth="1"/>
    <col min="13080" max="13080" width="9.6640625" style="70"/>
    <col min="13081" max="13081" width="15.33203125" style="70" customWidth="1"/>
    <col min="13082" max="13082" width="15.21875" style="70" customWidth="1"/>
    <col min="13083" max="13083" width="21.44140625" style="70" customWidth="1"/>
    <col min="13084" max="13099" width="9.6640625" style="70"/>
    <col min="13100" max="13101" width="13.44140625" style="70" customWidth="1"/>
    <col min="13102" max="13102" width="9.6640625" style="70"/>
    <col min="13103" max="13103" width="13.88671875" style="70" customWidth="1"/>
    <col min="13104" max="13104" width="10.6640625" style="70" customWidth="1"/>
    <col min="13105" max="13105" width="17.33203125" style="70" customWidth="1"/>
    <col min="13106" max="13107" width="12.6640625" style="70" customWidth="1"/>
    <col min="13108" max="13108" width="11.21875" style="70" customWidth="1"/>
    <col min="13109" max="13109" width="18.33203125" style="70" customWidth="1"/>
    <col min="13110" max="13110" width="12.88671875" style="70" customWidth="1"/>
    <col min="13111" max="13112" width="13.21875" style="70" customWidth="1"/>
    <col min="13113" max="13113" width="10.88671875" style="70" customWidth="1"/>
    <col min="13114" max="13114" width="11.109375" style="70" customWidth="1"/>
    <col min="13115" max="13115" width="15.21875" style="70" customWidth="1"/>
    <col min="13116" max="13116" width="9.6640625" style="70"/>
    <col min="13117" max="13117" width="11" style="70" customWidth="1"/>
    <col min="13118" max="13118" width="10.77734375" style="70" customWidth="1"/>
    <col min="13119" max="13119" width="11.44140625" style="70" customWidth="1"/>
    <col min="13120" max="13120" width="4" style="70" customWidth="1"/>
    <col min="13121" max="13311" width="9.6640625" style="70"/>
    <col min="13312" max="13312" width="6.44140625" style="70" customWidth="1"/>
    <col min="13313" max="13313" width="13.88671875" style="70" customWidth="1"/>
    <col min="13314" max="13314" width="14.33203125" style="70" customWidth="1"/>
    <col min="13315" max="13331" width="9.6640625" style="70"/>
    <col min="13332" max="13332" width="12" style="70" customWidth="1"/>
    <col min="13333" max="13333" width="12.77734375" style="70" customWidth="1"/>
    <col min="13334" max="13334" width="11.109375" style="70" customWidth="1"/>
    <col min="13335" max="13335" width="12" style="70" customWidth="1"/>
    <col min="13336" max="13336" width="9.6640625" style="70"/>
    <col min="13337" max="13337" width="15.33203125" style="70" customWidth="1"/>
    <col min="13338" max="13338" width="15.21875" style="70" customWidth="1"/>
    <col min="13339" max="13339" width="21.44140625" style="70" customWidth="1"/>
    <col min="13340" max="13355" width="9.6640625" style="70"/>
    <col min="13356" max="13357" width="13.44140625" style="70" customWidth="1"/>
    <col min="13358" max="13358" width="9.6640625" style="70"/>
    <col min="13359" max="13359" width="13.88671875" style="70" customWidth="1"/>
    <col min="13360" max="13360" width="10.6640625" style="70" customWidth="1"/>
    <col min="13361" max="13361" width="17.33203125" style="70" customWidth="1"/>
    <col min="13362" max="13363" width="12.6640625" style="70" customWidth="1"/>
    <col min="13364" max="13364" width="11.21875" style="70" customWidth="1"/>
    <col min="13365" max="13365" width="18.33203125" style="70" customWidth="1"/>
    <col min="13366" max="13366" width="12.88671875" style="70" customWidth="1"/>
    <col min="13367" max="13368" width="13.21875" style="70" customWidth="1"/>
    <col min="13369" max="13369" width="10.88671875" style="70" customWidth="1"/>
    <col min="13370" max="13370" width="11.109375" style="70" customWidth="1"/>
    <col min="13371" max="13371" width="15.21875" style="70" customWidth="1"/>
    <col min="13372" max="13372" width="9.6640625" style="70"/>
    <col min="13373" max="13373" width="11" style="70" customWidth="1"/>
    <col min="13374" max="13374" width="10.77734375" style="70" customWidth="1"/>
    <col min="13375" max="13375" width="11.44140625" style="70" customWidth="1"/>
    <col min="13376" max="13376" width="4" style="70" customWidth="1"/>
    <col min="13377" max="13567" width="9.6640625" style="70"/>
    <col min="13568" max="13568" width="6.44140625" style="70" customWidth="1"/>
    <col min="13569" max="13569" width="13.88671875" style="70" customWidth="1"/>
    <col min="13570" max="13570" width="14.33203125" style="70" customWidth="1"/>
    <col min="13571" max="13587" width="9.6640625" style="70"/>
    <col min="13588" max="13588" width="12" style="70" customWidth="1"/>
    <col min="13589" max="13589" width="12.77734375" style="70" customWidth="1"/>
    <col min="13590" max="13590" width="11.109375" style="70" customWidth="1"/>
    <col min="13591" max="13591" width="12" style="70" customWidth="1"/>
    <col min="13592" max="13592" width="9.6640625" style="70"/>
    <col min="13593" max="13593" width="15.33203125" style="70" customWidth="1"/>
    <col min="13594" max="13594" width="15.21875" style="70" customWidth="1"/>
    <col min="13595" max="13595" width="21.44140625" style="70" customWidth="1"/>
    <col min="13596" max="13611" width="9.6640625" style="70"/>
    <col min="13612" max="13613" width="13.44140625" style="70" customWidth="1"/>
    <col min="13614" max="13614" width="9.6640625" style="70"/>
    <col min="13615" max="13615" width="13.88671875" style="70" customWidth="1"/>
    <col min="13616" max="13616" width="10.6640625" style="70" customWidth="1"/>
    <col min="13617" max="13617" width="17.33203125" style="70" customWidth="1"/>
    <col min="13618" max="13619" width="12.6640625" style="70" customWidth="1"/>
    <col min="13620" max="13620" width="11.21875" style="70" customWidth="1"/>
    <col min="13621" max="13621" width="18.33203125" style="70" customWidth="1"/>
    <col min="13622" max="13622" width="12.88671875" style="70" customWidth="1"/>
    <col min="13623" max="13624" width="13.21875" style="70" customWidth="1"/>
    <col min="13625" max="13625" width="10.88671875" style="70" customWidth="1"/>
    <col min="13626" max="13626" width="11.109375" style="70" customWidth="1"/>
    <col min="13627" max="13627" width="15.21875" style="70" customWidth="1"/>
    <col min="13628" max="13628" width="9.6640625" style="70"/>
    <col min="13629" max="13629" width="11" style="70" customWidth="1"/>
    <col min="13630" max="13630" width="10.77734375" style="70" customWidth="1"/>
    <col min="13631" max="13631" width="11.44140625" style="70" customWidth="1"/>
    <col min="13632" max="13632" width="4" style="70" customWidth="1"/>
    <col min="13633" max="13823" width="9.6640625" style="70"/>
    <col min="13824" max="13824" width="6.44140625" style="70" customWidth="1"/>
    <col min="13825" max="13825" width="13.88671875" style="70" customWidth="1"/>
    <col min="13826" max="13826" width="14.33203125" style="70" customWidth="1"/>
    <col min="13827" max="13843" width="9.6640625" style="70"/>
    <col min="13844" max="13844" width="12" style="70" customWidth="1"/>
    <col min="13845" max="13845" width="12.77734375" style="70" customWidth="1"/>
    <col min="13846" max="13846" width="11.109375" style="70" customWidth="1"/>
    <col min="13847" max="13847" width="12" style="70" customWidth="1"/>
    <col min="13848" max="13848" width="9.6640625" style="70"/>
    <col min="13849" max="13849" width="15.33203125" style="70" customWidth="1"/>
    <col min="13850" max="13850" width="15.21875" style="70" customWidth="1"/>
    <col min="13851" max="13851" width="21.44140625" style="70" customWidth="1"/>
    <col min="13852" max="13867" width="9.6640625" style="70"/>
    <col min="13868" max="13869" width="13.44140625" style="70" customWidth="1"/>
    <col min="13870" max="13870" width="9.6640625" style="70"/>
    <col min="13871" max="13871" width="13.88671875" style="70" customWidth="1"/>
    <col min="13872" max="13872" width="10.6640625" style="70" customWidth="1"/>
    <col min="13873" max="13873" width="17.33203125" style="70" customWidth="1"/>
    <col min="13874" max="13875" width="12.6640625" style="70" customWidth="1"/>
    <col min="13876" max="13876" width="11.21875" style="70" customWidth="1"/>
    <col min="13877" max="13877" width="18.33203125" style="70" customWidth="1"/>
    <col min="13878" max="13878" width="12.88671875" style="70" customWidth="1"/>
    <col min="13879" max="13880" width="13.21875" style="70" customWidth="1"/>
    <col min="13881" max="13881" width="10.88671875" style="70" customWidth="1"/>
    <col min="13882" max="13882" width="11.109375" style="70" customWidth="1"/>
    <col min="13883" max="13883" width="15.21875" style="70" customWidth="1"/>
    <col min="13884" max="13884" width="9.6640625" style="70"/>
    <col min="13885" max="13885" width="11" style="70" customWidth="1"/>
    <col min="13886" max="13886" width="10.77734375" style="70" customWidth="1"/>
    <col min="13887" max="13887" width="11.44140625" style="70" customWidth="1"/>
    <col min="13888" max="13888" width="4" style="70" customWidth="1"/>
    <col min="13889" max="14079" width="9.6640625" style="70"/>
    <col min="14080" max="14080" width="6.44140625" style="70" customWidth="1"/>
    <col min="14081" max="14081" width="13.88671875" style="70" customWidth="1"/>
    <col min="14082" max="14082" width="14.33203125" style="70" customWidth="1"/>
    <col min="14083" max="14099" width="9.6640625" style="70"/>
    <col min="14100" max="14100" width="12" style="70" customWidth="1"/>
    <col min="14101" max="14101" width="12.77734375" style="70" customWidth="1"/>
    <col min="14102" max="14102" width="11.109375" style="70" customWidth="1"/>
    <col min="14103" max="14103" width="12" style="70" customWidth="1"/>
    <col min="14104" max="14104" width="9.6640625" style="70"/>
    <col min="14105" max="14105" width="15.33203125" style="70" customWidth="1"/>
    <col min="14106" max="14106" width="15.21875" style="70" customWidth="1"/>
    <col min="14107" max="14107" width="21.44140625" style="70" customWidth="1"/>
    <col min="14108" max="14123" width="9.6640625" style="70"/>
    <col min="14124" max="14125" width="13.44140625" style="70" customWidth="1"/>
    <col min="14126" max="14126" width="9.6640625" style="70"/>
    <col min="14127" max="14127" width="13.88671875" style="70" customWidth="1"/>
    <col min="14128" max="14128" width="10.6640625" style="70" customWidth="1"/>
    <col min="14129" max="14129" width="17.33203125" style="70" customWidth="1"/>
    <col min="14130" max="14131" width="12.6640625" style="70" customWidth="1"/>
    <col min="14132" max="14132" width="11.21875" style="70" customWidth="1"/>
    <col min="14133" max="14133" width="18.33203125" style="70" customWidth="1"/>
    <col min="14134" max="14134" width="12.88671875" style="70" customWidth="1"/>
    <col min="14135" max="14136" width="13.21875" style="70" customWidth="1"/>
    <col min="14137" max="14137" width="10.88671875" style="70" customWidth="1"/>
    <col min="14138" max="14138" width="11.109375" style="70" customWidth="1"/>
    <col min="14139" max="14139" width="15.21875" style="70" customWidth="1"/>
    <col min="14140" max="14140" width="9.6640625" style="70"/>
    <col min="14141" max="14141" width="11" style="70" customWidth="1"/>
    <col min="14142" max="14142" width="10.77734375" style="70" customWidth="1"/>
    <col min="14143" max="14143" width="11.44140625" style="70" customWidth="1"/>
    <col min="14144" max="14144" width="4" style="70" customWidth="1"/>
    <col min="14145" max="14335" width="9.6640625" style="70"/>
    <col min="14336" max="14336" width="6.44140625" style="70" customWidth="1"/>
    <col min="14337" max="14337" width="13.88671875" style="70" customWidth="1"/>
    <col min="14338" max="14338" width="14.33203125" style="70" customWidth="1"/>
    <col min="14339" max="14355" width="9.6640625" style="70"/>
    <col min="14356" max="14356" width="12" style="70" customWidth="1"/>
    <col min="14357" max="14357" width="12.77734375" style="70" customWidth="1"/>
    <col min="14358" max="14358" width="11.109375" style="70" customWidth="1"/>
    <col min="14359" max="14359" width="12" style="70" customWidth="1"/>
    <col min="14360" max="14360" width="9.6640625" style="70"/>
    <col min="14361" max="14361" width="15.33203125" style="70" customWidth="1"/>
    <col min="14362" max="14362" width="15.21875" style="70" customWidth="1"/>
    <col min="14363" max="14363" width="21.44140625" style="70" customWidth="1"/>
    <col min="14364" max="14379" width="9.6640625" style="70"/>
    <col min="14380" max="14381" width="13.44140625" style="70" customWidth="1"/>
    <col min="14382" max="14382" width="9.6640625" style="70"/>
    <col min="14383" max="14383" width="13.88671875" style="70" customWidth="1"/>
    <col min="14384" max="14384" width="10.6640625" style="70" customWidth="1"/>
    <col min="14385" max="14385" width="17.33203125" style="70" customWidth="1"/>
    <col min="14386" max="14387" width="12.6640625" style="70" customWidth="1"/>
    <col min="14388" max="14388" width="11.21875" style="70" customWidth="1"/>
    <col min="14389" max="14389" width="18.33203125" style="70" customWidth="1"/>
    <col min="14390" max="14390" width="12.88671875" style="70" customWidth="1"/>
    <col min="14391" max="14392" width="13.21875" style="70" customWidth="1"/>
    <col min="14393" max="14393" width="10.88671875" style="70" customWidth="1"/>
    <col min="14394" max="14394" width="11.109375" style="70" customWidth="1"/>
    <col min="14395" max="14395" width="15.21875" style="70" customWidth="1"/>
    <col min="14396" max="14396" width="9.6640625" style="70"/>
    <col min="14397" max="14397" width="11" style="70" customWidth="1"/>
    <col min="14398" max="14398" width="10.77734375" style="70" customWidth="1"/>
    <col min="14399" max="14399" width="11.44140625" style="70" customWidth="1"/>
    <col min="14400" max="14400" width="4" style="70" customWidth="1"/>
    <col min="14401" max="14591" width="9.6640625" style="70"/>
    <col min="14592" max="14592" width="6.44140625" style="70" customWidth="1"/>
    <col min="14593" max="14593" width="13.88671875" style="70" customWidth="1"/>
    <col min="14594" max="14594" width="14.33203125" style="70" customWidth="1"/>
    <col min="14595" max="14611" width="9.6640625" style="70"/>
    <col min="14612" max="14612" width="12" style="70" customWidth="1"/>
    <col min="14613" max="14613" width="12.77734375" style="70" customWidth="1"/>
    <col min="14614" max="14614" width="11.109375" style="70" customWidth="1"/>
    <col min="14615" max="14615" width="12" style="70" customWidth="1"/>
    <col min="14616" max="14616" width="9.6640625" style="70"/>
    <col min="14617" max="14617" width="15.33203125" style="70" customWidth="1"/>
    <col min="14618" max="14618" width="15.21875" style="70" customWidth="1"/>
    <col min="14619" max="14619" width="21.44140625" style="70" customWidth="1"/>
    <col min="14620" max="14635" width="9.6640625" style="70"/>
    <col min="14636" max="14637" width="13.44140625" style="70" customWidth="1"/>
    <col min="14638" max="14638" width="9.6640625" style="70"/>
    <col min="14639" max="14639" width="13.88671875" style="70" customWidth="1"/>
    <col min="14640" max="14640" width="10.6640625" style="70" customWidth="1"/>
    <col min="14641" max="14641" width="17.33203125" style="70" customWidth="1"/>
    <col min="14642" max="14643" width="12.6640625" style="70" customWidth="1"/>
    <col min="14644" max="14644" width="11.21875" style="70" customWidth="1"/>
    <col min="14645" max="14645" width="18.33203125" style="70" customWidth="1"/>
    <col min="14646" max="14646" width="12.88671875" style="70" customWidth="1"/>
    <col min="14647" max="14648" width="13.21875" style="70" customWidth="1"/>
    <col min="14649" max="14649" width="10.88671875" style="70" customWidth="1"/>
    <col min="14650" max="14650" width="11.109375" style="70" customWidth="1"/>
    <col min="14651" max="14651" width="15.21875" style="70" customWidth="1"/>
    <col min="14652" max="14652" width="9.6640625" style="70"/>
    <col min="14653" max="14653" width="11" style="70" customWidth="1"/>
    <col min="14654" max="14654" width="10.77734375" style="70" customWidth="1"/>
    <col min="14655" max="14655" width="11.44140625" style="70" customWidth="1"/>
    <col min="14656" max="14656" width="4" style="70" customWidth="1"/>
    <col min="14657" max="14847" width="9.6640625" style="70"/>
    <col min="14848" max="14848" width="6.44140625" style="70" customWidth="1"/>
    <col min="14849" max="14849" width="13.88671875" style="70" customWidth="1"/>
    <col min="14850" max="14850" width="14.33203125" style="70" customWidth="1"/>
    <col min="14851" max="14867" width="9.6640625" style="70"/>
    <col min="14868" max="14868" width="12" style="70" customWidth="1"/>
    <col min="14869" max="14869" width="12.77734375" style="70" customWidth="1"/>
    <col min="14870" max="14870" width="11.109375" style="70" customWidth="1"/>
    <col min="14871" max="14871" width="12" style="70" customWidth="1"/>
    <col min="14872" max="14872" width="9.6640625" style="70"/>
    <col min="14873" max="14873" width="15.33203125" style="70" customWidth="1"/>
    <col min="14874" max="14874" width="15.21875" style="70" customWidth="1"/>
    <col min="14875" max="14875" width="21.44140625" style="70" customWidth="1"/>
    <col min="14876" max="14891" width="9.6640625" style="70"/>
    <col min="14892" max="14893" width="13.44140625" style="70" customWidth="1"/>
    <col min="14894" max="14894" width="9.6640625" style="70"/>
    <col min="14895" max="14895" width="13.88671875" style="70" customWidth="1"/>
    <col min="14896" max="14896" width="10.6640625" style="70" customWidth="1"/>
    <col min="14897" max="14897" width="17.33203125" style="70" customWidth="1"/>
    <col min="14898" max="14899" width="12.6640625" style="70" customWidth="1"/>
    <col min="14900" max="14900" width="11.21875" style="70" customWidth="1"/>
    <col min="14901" max="14901" width="18.33203125" style="70" customWidth="1"/>
    <col min="14902" max="14902" width="12.88671875" style="70" customWidth="1"/>
    <col min="14903" max="14904" width="13.21875" style="70" customWidth="1"/>
    <col min="14905" max="14905" width="10.88671875" style="70" customWidth="1"/>
    <col min="14906" max="14906" width="11.109375" style="70" customWidth="1"/>
    <col min="14907" max="14907" width="15.21875" style="70" customWidth="1"/>
    <col min="14908" max="14908" width="9.6640625" style="70"/>
    <col min="14909" max="14909" width="11" style="70" customWidth="1"/>
    <col min="14910" max="14910" width="10.77734375" style="70" customWidth="1"/>
    <col min="14911" max="14911" width="11.44140625" style="70" customWidth="1"/>
    <col min="14912" max="14912" width="4" style="70" customWidth="1"/>
    <col min="14913" max="15103" width="9.6640625" style="70"/>
    <col min="15104" max="15104" width="6.44140625" style="70" customWidth="1"/>
    <col min="15105" max="15105" width="13.88671875" style="70" customWidth="1"/>
    <col min="15106" max="15106" width="14.33203125" style="70" customWidth="1"/>
    <col min="15107" max="15123" width="9.6640625" style="70"/>
    <col min="15124" max="15124" width="12" style="70" customWidth="1"/>
    <col min="15125" max="15125" width="12.77734375" style="70" customWidth="1"/>
    <col min="15126" max="15126" width="11.109375" style="70" customWidth="1"/>
    <col min="15127" max="15127" width="12" style="70" customWidth="1"/>
    <col min="15128" max="15128" width="9.6640625" style="70"/>
    <col min="15129" max="15129" width="15.33203125" style="70" customWidth="1"/>
    <col min="15130" max="15130" width="15.21875" style="70" customWidth="1"/>
    <col min="15131" max="15131" width="21.44140625" style="70" customWidth="1"/>
    <col min="15132" max="15147" width="9.6640625" style="70"/>
    <col min="15148" max="15149" width="13.44140625" style="70" customWidth="1"/>
    <col min="15150" max="15150" width="9.6640625" style="70"/>
    <col min="15151" max="15151" width="13.88671875" style="70" customWidth="1"/>
    <col min="15152" max="15152" width="10.6640625" style="70" customWidth="1"/>
    <col min="15153" max="15153" width="17.33203125" style="70" customWidth="1"/>
    <col min="15154" max="15155" width="12.6640625" style="70" customWidth="1"/>
    <col min="15156" max="15156" width="11.21875" style="70" customWidth="1"/>
    <col min="15157" max="15157" width="18.33203125" style="70" customWidth="1"/>
    <col min="15158" max="15158" width="12.88671875" style="70" customWidth="1"/>
    <col min="15159" max="15160" width="13.21875" style="70" customWidth="1"/>
    <col min="15161" max="15161" width="10.88671875" style="70" customWidth="1"/>
    <col min="15162" max="15162" width="11.109375" style="70" customWidth="1"/>
    <col min="15163" max="15163" width="15.21875" style="70" customWidth="1"/>
    <col min="15164" max="15164" width="9.6640625" style="70"/>
    <col min="15165" max="15165" width="11" style="70" customWidth="1"/>
    <col min="15166" max="15166" width="10.77734375" style="70" customWidth="1"/>
    <col min="15167" max="15167" width="11.44140625" style="70" customWidth="1"/>
    <col min="15168" max="15168" width="4" style="70" customWidth="1"/>
    <col min="15169" max="15359" width="9.6640625" style="70"/>
    <col min="15360" max="15360" width="6.44140625" style="70" customWidth="1"/>
    <col min="15361" max="15361" width="13.88671875" style="70" customWidth="1"/>
    <col min="15362" max="15362" width="14.33203125" style="70" customWidth="1"/>
    <col min="15363" max="15379" width="9.6640625" style="70"/>
    <col min="15380" max="15380" width="12" style="70" customWidth="1"/>
    <col min="15381" max="15381" width="12.77734375" style="70" customWidth="1"/>
    <col min="15382" max="15382" width="11.109375" style="70" customWidth="1"/>
    <col min="15383" max="15383" width="12" style="70" customWidth="1"/>
    <col min="15384" max="15384" width="9.6640625" style="70"/>
    <col min="15385" max="15385" width="15.33203125" style="70" customWidth="1"/>
    <col min="15386" max="15386" width="15.21875" style="70" customWidth="1"/>
    <col min="15387" max="15387" width="21.44140625" style="70" customWidth="1"/>
    <col min="15388" max="15403" width="9.6640625" style="70"/>
    <col min="15404" max="15405" width="13.44140625" style="70" customWidth="1"/>
    <col min="15406" max="15406" width="9.6640625" style="70"/>
    <col min="15407" max="15407" width="13.88671875" style="70" customWidth="1"/>
    <col min="15408" max="15408" width="10.6640625" style="70" customWidth="1"/>
    <col min="15409" max="15409" width="17.33203125" style="70" customWidth="1"/>
    <col min="15410" max="15411" width="12.6640625" style="70" customWidth="1"/>
    <col min="15412" max="15412" width="11.21875" style="70" customWidth="1"/>
    <col min="15413" max="15413" width="18.33203125" style="70" customWidth="1"/>
    <col min="15414" max="15414" width="12.88671875" style="70" customWidth="1"/>
    <col min="15415" max="15416" width="13.21875" style="70" customWidth="1"/>
    <col min="15417" max="15417" width="10.88671875" style="70" customWidth="1"/>
    <col min="15418" max="15418" width="11.109375" style="70" customWidth="1"/>
    <col min="15419" max="15419" width="15.21875" style="70" customWidth="1"/>
    <col min="15420" max="15420" width="9.6640625" style="70"/>
    <col min="15421" max="15421" width="11" style="70" customWidth="1"/>
    <col min="15422" max="15422" width="10.77734375" style="70" customWidth="1"/>
    <col min="15423" max="15423" width="11.44140625" style="70" customWidth="1"/>
    <col min="15424" max="15424" width="4" style="70" customWidth="1"/>
    <col min="15425" max="15615" width="9.6640625" style="70"/>
    <col min="15616" max="15616" width="6.44140625" style="70" customWidth="1"/>
    <col min="15617" max="15617" width="13.88671875" style="70" customWidth="1"/>
    <col min="15618" max="15618" width="14.33203125" style="70" customWidth="1"/>
    <col min="15619" max="15635" width="9.6640625" style="70"/>
    <col min="15636" max="15636" width="12" style="70" customWidth="1"/>
    <col min="15637" max="15637" width="12.77734375" style="70" customWidth="1"/>
    <col min="15638" max="15638" width="11.109375" style="70" customWidth="1"/>
    <col min="15639" max="15639" width="12" style="70" customWidth="1"/>
    <col min="15640" max="15640" width="9.6640625" style="70"/>
    <col min="15641" max="15641" width="15.33203125" style="70" customWidth="1"/>
    <col min="15642" max="15642" width="15.21875" style="70" customWidth="1"/>
    <col min="15643" max="15643" width="21.44140625" style="70" customWidth="1"/>
    <col min="15644" max="15659" width="9.6640625" style="70"/>
    <col min="15660" max="15661" width="13.44140625" style="70" customWidth="1"/>
    <col min="15662" max="15662" width="9.6640625" style="70"/>
    <col min="15663" max="15663" width="13.88671875" style="70" customWidth="1"/>
    <col min="15664" max="15664" width="10.6640625" style="70" customWidth="1"/>
    <col min="15665" max="15665" width="17.33203125" style="70" customWidth="1"/>
    <col min="15666" max="15667" width="12.6640625" style="70" customWidth="1"/>
    <col min="15668" max="15668" width="11.21875" style="70" customWidth="1"/>
    <col min="15669" max="15669" width="18.33203125" style="70" customWidth="1"/>
    <col min="15670" max="15670" width="12.88671875" style="70" customWidth="1"/>
    <col min="15671" max="15672" width="13.21875" style="70" customWidth="1"/>
    <col min="15673" max="15673" width="10.88671875" style="70" customWidth="1"/>
    <col min="15674" max="15674" width="11.109375" style="70" customWidth="1"/>
    <col min="15675" max="15675" width="15.21875" style="70" customWidth="1"/>
    <col min="15676" max="15676" width="9.6640625" style="70"/>
    <col min="15677" max="15677" width="11" style="70" customWidth="1"/>
    <col min="15678" max="15678" width="10.77734375" style="70" customWidth="1"/>
    <col min="15679" max="15679" width="11.44140625" style="70" customWidth="1"/>
    <col min="15680" max="15680" width="4" style="70" customWidth="1"/>
    <col min="15681" max="15871" width="9.6640625" style="70"/>
    <col min="15872" max="15872" width="6.44140625" style="70" customWidth="1"/>
    <col min="15873" max="15873" width="13.88671875" style="70" customWidth="1"/>
    <col min="15874" max="15874" width="14.33203125" style="70" customWidth="1"/>
    <col min="15875" max="15891" width="9.6640625" style="70"/>
    <col min="15892" max="15892" width="12" style="70" customWidth="1"/>
    <col min="15893" max="15893" width="12.77734375" style="70" customWidth="1"/>
    <col min="15894" max="15894" width="11.109375" style="70" customWidth="1"/>
    <col min="15895" max="15895" width="12" style="70" customWidth="1"/>
    <col min="15896" max="15896" width="9.6640625" style="70"/>
    <col min="15897" max="15897" width="15.33203125" style="70" customWidth="1"/>
    <col min="15898" max="15898" width="15.21875" style="70" customWidth="1"/>
    <col min="15899" max="15899" width="21.44140625" style="70" customWidth="1"/>
    <col min="15900" max="15915" width="9.6640625" style="70"/>
    <col min="15916" max="15917" width="13.44140625" style="70" customWidth="1"/>
    <col min="15918" max="15918" width="9.6640625" style="70"/>
    <col min="15919" max="15919" width="13.88671875" style="70" customWidth="1"/>
    <col min="15920" max="15920" width="10.6640625" style="70" customWidth="1"/>
    <col min="15921" max="15921" width="17.33203125" style="70" customWidth="1"/>
    <col min="15922" max="15923" width="12.6640625" style="70" customWidth="1"/>
    <col min="15924" max="15924" width="11.21875" style="70" customWidth="1"/>
    <col min="15925" max="15925" width="18.33203125" style="70" customWidth="1"/>
    <col min="15926" max="15926" width="12.88671875" style="70" customWidth="1"/>
    <col min="15927" max="15928" width="13.21875" style="70" customWidth="1"/>
    <col min="15929" max="15929" width="10.88671875" style="70" customWidth="1"/>
    <col min="15930" max="15930" width="11.109375" style="70" customWidth="1"/>
    <col min="15931" max="15931" width="15.21875" style="70" customWidth="1"/>
    <col min="15932" max="15932" width="9.6640625" style="70"/>
    <col min="15933" max="15933" width="11" style="70" customWidth="1"/>
    <col min="15934" max="15934" width="10.77734375" style="70" customWidth="1"/>
    <col min="15935" max="15935" width="11.44140625" style="70" customWidth="1"/>
    <col min="15936" max="15936" width="4" style="70" customWidth="1"/>
    <col min="15937" max="16127" width="9.6640625" style="70"/>
    <col min="16128" max="16128" width="6.44140625" style="70" customWidth="1"/>
    <col min="16129" max="16129" width="13.88671875" style="70" customWidth="1"/>
    <col min="16130" max="16130" width="14.33203125" style="70" customWidth="1"/>
    <col min="16131" max="16147" width="9.6640625" style="70"/>
    <col min="16148" max="16148" width="12" style="70" customWidth="1"/>
    <col min="16149" max="16149" width="12.77734375" style="70" customWidth="1"/>
    <col min="16150" max="16150" width="11.109375" style="70" customWidth="1"/>
    <col min="16151" max="16151" width="12" style="70" customWidth="1"/>
    <col min="16152" max="16152" width="9.6640625" style="70"/>
    <col min="16153" max="16153" width="15.33203125" style="70" customWidth="1"/>
    <col min="16154" max="16154" width="15.21875" style="70" customWidth="1"/>
    <col min="16155" max="16155" width="21.44140625" style="70" customWidth="1"/>
    <col min="16156" max="16171" width="9.6640625" style="70"/>
    <col min="16172" max="16173" width="13.44140625" style="70" customWidth="1"/>
    <col min="16174" max="16174" width="9.6640625" style="70"/>
    <col min="16175" max="16175" width="13.88671875" style="70" customWidth="1"/>
    <col min="16176" max="16176" width="10.6640625" style="70" customWidth="1"/>
    <col min="16177" max="16177" width="17.33203125" style="70" customWidth="1"/>
    <col min="16178" max="16179" width="12.6640625" style="70" customWidth="1"/>
    <col min="16180" max="16180" width="11.21875" style="70" customWidth="1"/>
    <col min="16181" max="16181" width="18.33203125" style="70" customWidth="1"/>
    <col min="16182" max="16182" width="12.88671875" style="70" customWidth="1"/>
    <col min="16183" max="16184" width="13.21875" style="70" customWidth="1"/>
    <col min="16185" max="16185" width="10.88671875" style="70" customWidth="1"/>
    <col min="16186" max="16186" width="11.109375" style="70" customWidth="1"/>
    <col min="16187" max="16187" width="15.21875" style="70" customWidth="1"/>
    <col min="16188" max="16188" width="9.6640625" style="70"/>
    <col min="16189" max="16189" width="11" style="70" customWidth="1"/>
    <col min="16190" max="16190" width="10.77734375" style="70" customWidth="1"/>
    <col min="16191" max="16191" width="11.44140625" style="70" customWidth="1"/>
    <col min="16192" max="16192" width="4" style="70" customWidth="1"/>
    <col min="16193" max="16384" width="9.6640625" style="70"/>
  </cols>
  <sheetData>
    <row r="1" spans="1:92" ht="13.2" x14ac:dyDescent="0.2">
      <c r="A1" s="69" t="s">
        <v>136</v>
      </c>
    </row>
    <row r="2" spans="1:92" x14ac:dyDescent="0.2">
      <c r="C2" s="72" t="s">
        <v>137</v>
      </c>
    </row>
    <row r="3" spans="1:92" s="71" customFormat="1" x14ac:dyDescent="0.2">
      <c r="A3" s="73"/>
      <c r="B3" s="74" t="s">
        <v>77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6"/>
      <c r="CE3" s="76"/>
      <c r="CF3" s="76"/>
      <c r="CG3" s="76"/>
      <c r="CH3" s="76"/>
      <c r="CI3" s="76"/>
      <c r="CJ3" s="76"/>
      <c r="CK3" s="77"/>
      <c r="CL3" s="77"/>
      <c r="CM3" s="77"/>
      <c r="CN3" s="77"/>
    </row>
    <row r="4" spans="1:92" s="71" customFormat="1" x14ac:dyDescent="0.2">
      <c r="A4" s="73"/>
      <c r="B4" s="78" t="s">
        <v>138</v>
      </c>
      <c r="C4" s="75" t="s">
        <v>131</v>
      </c>
      <c r="D4" s="75" t="s">
        <v>424</v>
      </c>
      <c r="E4" s="75" t="s">
        <v>132</v>
      </c>
      <c r="F4" s="75" t="s">
        <v>131</v>
      </c>
      <c r="G4" s="75" t="s">
        <v>131</v>
      </c>
      <c r="H4" s="75" t="s">
        <v>131</v>
      </c>
      <c r="I4" s="75" t="s">
        <v>424</v>
      </c>
      <c r="J4" s="75" t="s">
        <v>131</v>
      </c>
      <c r="K4" s="75" t="s">
        <v>131</v>
      </c>
      <c r="L4" s="75" t="s">
        <v>131</v>
      </c>
      <c r="M4" s="75" t="s">
        <v>424</v>
      </c>
      <c r="N4" s="75" t="s">
        <v>131</v>
      </c>
      <c r="O4" s="75" t="s">
        <v>424</v>
      </c>
      <c r="P4" s="75" t="s">
        <v>131</v>
      </c>
      <c r="Q4" s="75" t="s">
        <v>131</v>
      </c>
      <c r="R4" s="75" t="s">
        <v>424</v>
      </c>
      <c r="S4" s="75" t="s">
        <v>131</v>
      </c>
      <c r="T4" s="75" t="s">
        <v>424</v>
      </c>
      <c r="U4" s="75" t="s">
        <v>131</v>
      </c>
      <c r="V4" s="75" t="s">
        <v>424</v>
      </c>
      <c r="W4" s="75" t="s">
        <v>131</v>
      </c>
      <c r="X4" s="75" t="s">
        <v>134</v>
      </c>
      <c r="Y4" s="75" t="s">
        <v>134</v>
      </c>
      <c r="Z4" s="75" t="s">
        <v>134</v>
      </c>
      <c r="AA4" s="75" t="s">
        <v>134</v>
      </c>
      <c r="AB4" s="75" t="s">
        <v>133</v>
      </c>
      <c r="AC4" s="75" t="s">
        <v>424</v>
      </c>
      <c r="AD4" s="75" t="s">
        <v>131</v>
      </c>
      <c r="AE4" s="75" t="s">
        <v>134</v>
      </c>
      <c r="AF4" s="75" t="s">
        <v>131</v>
      </c>
      <c r="AG4" s="75" t="s">
        <v>131</v>
      </c>
      <c r="AH4" s="75" t="s">
        <v>131</v>
      </c>
      <c r="AI4" s="75" t="s">
        <v>131</v>
      </c>
      <c r="AJ4" s="75" t="s">
        <v>131</v>
      </c>
      <c r="AK4" s="75" t="s">
        <v>416</v>
      </c>
      <c r="AL4" s="75" t="s">
        <v>135</v>
      </c>
      <c r="AM4" s="75" t="s">
        <v>131</v>
      </c>
      <c r="AN4" s="75" t="s">
        <v>131</v>
      </c>
      <c r="AO4" s="75" t="s">
        <v>131</v>
      </c>
      <c r="AP4" s="75" t="s">
        <v>423</v>
      </c>
      <c r="AQ4" s="75" t="s">
        <v>131</v>
      </c>
      <c r="AR4" s="75" t="s">
        <v>131</v>
      </c>
      <c r="AS4" s="75" t="s">
        <v>131</v>
      </c>
      <c r="AT4" s="75" t="s">
        <v>131</v>
      </c>
      <c r="AU4" s="75" t="s">
        <v>433</v>
      </c>
      <c r="AV4" s="75" t="s">
        <v>131</v>
      </c>
      <c r="AW4" s="75" t="s">
        <v>439</v>
      </c>
      <c r="AX4" s="75"/>
      <c r="AY4" s="75"/>
      <c r="AZ4" s="75"/>
      <c r="BA4" s="75"/>
      <c r="BB4" s="75"/>
      <c r="BC4" s="75"/>
      <c r="BD4" s="75"/>
      <c r="BE4" s="75"/>
      <c r="BF4" s="75"/>
      <c r="BG4" s="75"/>
      <c r="BH4" s="75"/>
      <c r="BI4" s="75"/>
      <c r="BJ4" s="75"/>
      <c r="BK4" s="75"/>
      <c r="BL4" s="75"/>
      <c r="BM4" s="75"/>
      <c r="BN4" s="75"/>
      <c r="BO4" s="75"/>
      <c r="BP4" s="75"/>
      <c r="BQ4" s="75"/>
      <c r="BR4" s="75"/>
      <c r="BS4" s="75"/>
      <c r="BT4" s="75"/>
      <c r="BU4" s="75"/>
      <c r="BV4" s="75"/>
      <c r="BW4" s="75"/>
      <c r="BX4" s="75"/>
      <c r="BY4" s="75"/>
      <c r="BZ4" s="75"/>
      <c r="CA4" s="75"/>
      <c r="CB4" s="75"/>
      <c r="CC4" s="75"/>
      <c r="CD4" s="75"/>
      <c r="CE4" s="75"/>
      <c r="CF4" s="75"/>
      <c r="CG4" s="75"/>
      <c r="CH4" s="75"/>
      <c r="CI4" s="75"/>
      <c r="CJ4" s="75"/>
      <c r="CK4" s="77"/>
      <c r="CL4" s="77"/>
      <c r="CM4" s="77"/>
      <c r="CN4" s="77"/>
    </row>
    <row r="5" spans="1:92" s="71" customFormat="1" x14ac:dyDescent="0.2">
      <c r="A5" s="73"/>
      <c r="B5" s="74" t="s">
        <v>139</v>
      </c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6"/>
      <c r="CE5" s="76"/>
      <c r="CF5" s="76"/>
      <c r="CG5" s="76"/>
      <c r="CH5" s="76"/>
      <c r="CI5" s="76"/>
      <c r="CJ5" s="76"/>
      <c r="CK5" s="77"/>
      <c r="CL5" s="77"/>
      <c r="CM5" s="77"/>
      <c r="CN5" s="77"/>
    </row>
    <row r="6" spans="1:92" s="81" customFormat="1" x14ac:dyDescent="0.2">
      <c r="A6" s="80"/>
      <c r="B6" s="74" t="s">
        <v>140</v>
      </c>
      <c r="C6" s="79"/>
      <c r="D6" s="79"/>
      <c r="E6" s="79"/>
      <c r="F6" s="79"/>
      <c r="G6" s="79"/>
      <c r="H6" s="79"/>
      <c r="I6" s="79"/>
      <c r="J6" s="79"/>
      <c r="K6" s="79" t="s">
        <v>178</v>
      </c>
      <c r="L6" s="79"/>
      <c r="M6" s="79"/>
      <c r="N6" s="79"/>
      <c r="O6" s="79"/>
      <c r="P6" s="79"/>
      <c r="Q6" s="79"/>
      <c r="R6" s="79"/>
      <c r="S6" s="79"/>
      <c r="T6" s="79"/>
      <c r="U6" s="79" t="s">
        <v>361</v>
      </c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  <c r="AN6" s="79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  <c r="BM6" s="79"/>
      <c r="BN6" s="79"/>
      <c r="BO6" s="79"/>
      <c r="BP6" s="79"/>
      <c r="BQ6" s="79"/>
      <c r="BR6" s="79"/>
      <c r="BS6" s="79"/>
      <c r="BT6" s="79"/>
      <c r="BU6" s="79"/>
      <c r="BV6" s="79"/>
      <c r="BW6" s="79"/>
      <c r="BX6" s="79"/>
      <c r="BY6" s="79"/>
      <c r="BZ6" s="79"/>
      <c r="CA6" s="75"/>
      <c r="CB6" s="75"/>
      <c r="CC6" s="75"/>
      <c r="CD6" s="76"/>
      <c r="CE6" s="76"/>
      <c r="CF6" s="76"/>
      <c r="CG6" s="76"/>
      <c r="CH6" s="76"/>
      <c r="CI6" s="76"/>
      <c r="CJ6" s="76"/>
      <c r="CK6" s="80"/>
      <c r="CL6" s="80"/>
      <c r="CM6" s="80"/>
      <c r="CN6" s="80"/>
    </row>
    <row r="7" spans="1:92" s="84" customFormat="1" ht="30.6" x14ac:dyDescent="0.2">
      <c r="A7" s="82"/>
      <c r="B7" s="74" t="s">
        <v>141</v>
      </c>
      <c r="C7" s="76" t="s">
        <v>37</v>
      </c>
      <c r="D7" s="76" t="s">
        <v>37</v>
      </c>
      <c r="E7" s="76" t="s">
        <v>37</v>
      </c>
      <c r="F7" s="76" t="s">
        <v>155</v>
      </c>
      <c r="G7" s="76" t="s">
        <v>358</v>
      </c>
      <c r="H7" s="76" t="s">
        <v>68</v>
      </c>
      <c r="I7" s="76" t="s">
        <v>68</v>
      </c>
      <c r="J7" s="76" t="s">
        <v>156</v>
      </c>
      <c r="K7" s="76" t="s">
        <v>198</v>
      </c>
      <c r="L7" s="76" t="s">
        <v>199</v>
      </c>
      <c r="M7" s="76" t="s">
        <v>199</v>
      </c>
      <c r="N7" s="76" t="s">
        <v>200</v>
      </c>
      <c r="O7" s="76" t="s">
        <v>200</v>
      </c>
      <c r="P7" s="76" t="s">
        <v>179</v>
      </c>
      <c r="Q7" s="76" t="s">
        <v>69</v>
      </c>
      <c r="R7" s="76" t="s">
        <v>69</v>
      </c>
      <c r="S7" s="76" t="s">
        <v>157</v>
      </c>
      <c r="T7" s="76" t="s">
        <v>157</v>
      </c>
      <c r="U7" s="76" t="s">
        <v>426</v>
      </c>
      <c r="V7" s="76" t="s">
        <v>360</v>
      </c>
      <c r="W7" s="76" t="s">
        <v>67</v>
      </c>
      <c r="X7" s="76" t="s">
        <v>93</v>
      </c>
      <c r="Y7" s="76" t="s">
        <v>196</v>
      </c>
      <c r="Z7" s="76" t="s">
        <v>158</v>
      </c>
      <c r="AA7" s="76" t="s">
        <v>159</v>
      </c>
      <c r="AB7" s="76" t="s">
        <v>159</v>
      </c>
      <c r="AC7" s="76" t="s">
        <v>103</v>
      </c>
      <c r="AD7" s="76" t="s">
        <v>103</v>
      </c>
      <c r="AE7" s="76" t="s">
        <v>196</v>
      </c>
      <c r="AF7" s="76" t="s">
        <v>70</v>
      </c>
      <c r="AG7" s="76" t="s">
        <v>160</v>
      </c>
      <c r="AH7" s="76" t="s">
        <v>143</v>
      </c>
      <c r="AI7" s="76" t="s">
        <v>161</v>
      </c>
      <c r="AJ7" s="76" t="s">
        <v>108</v>
      </c>
      <c r="AK7" s="76" t="s">
        <v>108</v>
      </c>
      <c r="AL7" s="76" t="s">
        <v>109</v>
      </c>
      <c r="AM7" s="76" t="s">
        <v>320</v>
      </c>
      <c r="AN7" s="76" t="s">
        <v>321</v>
      </c>
      <c r="AO7" s="76" t="s">
        <v>428</v>
      </c>
      <c r="AP7" s="76" t="s">
        <v>420</v>
      </c>
      <c r="AQ7" s="76" t="s">
        <v>363</v>
      </c>
      <c r="AR7" s="76" t="s">
        <v>362</v>
      </c>
      <c r="AS7" s="76" t="s">
        <v>107</v>
      </c>
      <c r="AT7" s="76" t="s">
        <v>325</v>
      </c>
      <c r="AU7" s="76" t="s">
        <v>325</v>
      </c>
      <c r="AV7" s="76" t="s">
        <v>237</v>
      </c>
      <c r="AW7" s="76" t="s">
        <v>237</v>
      </c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83"/>
      <c r="CL7" s="83"/>
      <c r="CM7" s="83"/>
      <c r="CN7" s="83"/>
    </row>
    <row r="8" spans="1:92" x14ac:dyDescent="0.2">
      <c r="A8" s="85" t="s">
        <v>113</v>
      </c>
      <c r="B8" s="86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  <c r="AF8" s="87"/>
      <c r="AG8" s="87"/>
      <c r="AH8" s="87"/>
      <c r="AI8" s="87"/>
      <c r="AJ8" s="87"/>
      <c r="AK8" s="87"/>
      <c r="AL8" s="87"/>
      <c r="AM8" s="87"/>
      <c r="AN8" s="87"/>
      <c r="AO8" s="87"/>
      <c r="AP8" s="87"/>
      <c r="AQ8" s="87"/>
      <c r="AR8" s="87"/>
      <c r="AS8" s="87"/>
      <c r="AT8" s="87"/>
      <c r="AU8" s="87"/>
      <c r="AV8" s="87"/>
      <c r="AW8" s="87"/>
      <c r="AX8" s="87"/>
      <c r="AY8" s="87"/>
      <c r="AZ8" s="87"/>
      <c r="BA8" s="87"/>
      <c r="BB8" s="87"/>
      <c r="BC8" s="87"/>
      <c r="BD8" s="87"/>
      <c r="BE8" s="87"/>
      <c r="BF8" s="87"/>
      <c r="BG8" s="87"/>
      <c r="BH8" s="87"/>
      <c r="BI8" s="87"/>
      <c r="BJ8" s="87"/>
      <c r="BK8" s="87"/>
      <c r="BL8" s="87"/>
      <c r="BM8" s="87"/>
      <c r="BN8" s="87"/>
      <c r="BO8" s="87"/>
      <c r="BP8" s="87"/>
      <c r="BQ8" s="87"/>
      <c r="BR8" s="87"/>
      <c r="BS8" s="87"/>
      <c r="BT8" s="87"/>
      <c r="BU8" s="87"/>
      <c r="BV8" s="87"/>
      <c r="BW8" s="87"/>
      <c r="BX8" s="87"/>
      <c r="BY8" s="87"/>
      <c r="BZ8" s="87"/>
      <c r="CA8" s="87"/>
      <c r="CB8" s="87"/>
      <c r="CC8" s="87"/>
    </row>
    <row r="9" spans="1:92" x14ac:dyDescent="0.2">
      <c r="A9" s="88" t="s">
        <v>401</v>
      </c>
      <c r="C9" s="89">
        <v>0.58272866638692322</v>
      </c>
      <c r="D9" s="89">
        <v>2.7866458739303561</v>
      </c>
      <c r="E9" s="89">
        <v>0.35770289559543222</v>
      </c>
      <c r="F9" s="89" t="s">
        <v>128</v>
      </c>
      <c r="G9" s="89">
        <v>0.72714931188857568</v>
      </c>
      <c r="H9" s="89" t="s">
        <v>128</v>
      </c>
      <c r="I9" s="89">
        <v>3.6055162595164618</v>
      </c>
      <c r="J9" s="89" t="s">
        <v>128</v>
      </c>
      <c r="K9" s="89" t="s">
        <v>128</v>
      </c>
      <c r="L9" s="89" t="s">
        <v>128</v>
      </c>
      <c r="M9" s="89">
        <v>2.5607326076076071</v>
      </c>
      <c r="N9" s="89" t="s">
        <v>128</v>
      </c>
      <c r="O9" s="89">
        <v>1.8294551324723736</v>
      </c>
      <c r="P9" s="89" t="s">
        <v>128</v>
      </c>
      <c r="Q9" s="89" t="s">
        <v>128</v>
      </c>
      <c r="R9" s="89">
        <v>1.3468788390663389</v>
      </c>
      <c r="S9" s="89" t="s">
        <v>128</v>
      </c>
      <c r="T9" s="89">
        <v>2.4387929596262929</v>
      </c>
      <c r="U9" s="89" t="s">
        <v>128</v>
      </c>
      <c r="V9" s="89">
        <v>4.938555743243243</v>
      </c>
      <c r="W9" s="89">
        <v>3.652704897551224</v>
      </c>
      <c r="X9" s="89">
        <v>0.52290590222575517</v>
      </c>
      <c r="Y9" s="89" t="s">
        <v>128</v>
      </c>
      <c r="Z9" s="89">
        <v>6.5847409909909907E-2</v>
      </c>
      <c r="AA9" s="89" t="s">
        <v>128</v>
      </c>
      <c r="AB9" s="89">
        <v>1.552117519305019</v>
      </c>
      <c r="AC9" s="89" t="s">
        <v>128</v>
      </c>
      <c r="AD9" s="89">
        <v>0.34656531531531526</v>
      </c>
      <c r="AE9" s="89" t="s">
        <v>128</v>
      </c>
      <c r="AF9" s="89">
        <v>1.1493366093366091</v>
      </c>
      <c r="AG9" s="89">
        <v>0.58739124547948074</v>
      </c>
      <c r="AH9" s="89">
        <v>2.8220318532818531</v>
      </c>
      <c r="AI9" s="89" t="s">
        <v>128</v>
      </c>
      <c r="AJ9" s="89" t="s">
        <v>128</v>
      </c>
      <c r="AK9" s="89" t="s">
        <v>128</v>
      </c>
      <c r="AL9" s="89" t="s">
        <v>128</v>
      </c>
      <c r="AM9" s="89" t="s">
        <v>128</v>
      </c>
      <c r="AO9" s="89">
        <v>37.041722675888174</v>
      </c>
      <c r="AP9" s="89" t="s">
        <v>128</v>
      </c>
      <c r="AQ9" s="89">
        <v>18.427446803146427</v>
      </c>
      <c r="AR9" s="89" t="s">
        <v>128</v>
      </c>
      <c r="AS9" s="89">
        <v>5.2177028454762207</v>
      </c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</row>
    <row r="10" spans="1:92" x14ac:dyDescent="0.2">
      <c r="A10" s="88" t="s">
        <v>402</v>
      </c>
      <c r="C10" s="89">
        <v>0.49372939134976079</v>
      </c>
      <c r="D10" s="89">
        <v>2.3120698270617881</v>
      </c>
      <c r="E10" s="89">
        <v>0.30827597694157177</v>
      </c>
      <c r="F10" s="89" t="s">
        <v>128</v>
      </c>
      <c r="G10" s="89">
        <v>0.47281591555455799</v>
      </c>
      <c r="H10" s="89" t="s">
        <v>128</v>
      </c>
      <c r="I10" s="89">
        <v>2.8900872838272353</v>
      </c>
      <c r="J10" s="89" t="s">
        <v>128</v>
      </c>
      <c r="K10" s="89" t="s">
        <v>128</v>
      </c>
      <c r="L10" s="89" t="s">
        <v>128</v>
      </c>
      <c r="M10" s="89">
        <v>2.6974147982387531</v>
      </c>
      <c r="N10" s="89" t="s">
        <v>128</v>
      </c>
      <c r="O10" s="89">
        <v>1.7944986402848846</v>
      </c>
      <c r="P10" s="89" t="s">
        <v>128</v>
      </c>
      <c r="Q10" s="89" t="s">
        <v>128</v>
      </c>
      <c r="R10" s="89">
        <v>1.156034913530894</v>
      </c>
      <c r="S10" s="89" t="s">
        <v>128</v>
      </c>
      <c r="T10" s="89">
        <v>3.0277104878190086</v>
      </c>
      <c r="U10" s="89" t="s">
        <v>128</v>
      </c>
      <c r="V10" s="89">
        <v>5.1379329490261956</v>
      </c>
      <c r="W10" s="89">
        <v>3.7052401074708143</v>
      </c>
      <c r="X10" s="89">
        <v>0.42816107908551632</v>
      </c>
      <c r="Y10" s="89" t="s">
        <v>128</v>
      </c>
      <c r="Z10" s="89">
        <v>6.422416186282745E-2</v>
      </c>
      <c r="AA10" s="89" t="s">
        <v>128</v>
      </c>
      <c r="AB10" s="89">
        <v>1.5138552439095043</v>
      </c>
      <c r="AC10" s="89">
        <v>5.1379329490261956</v>
      </c>
      <c r="AD10" s="89" t="s">
        <v>128</v>
      </c>
      <c r="AE10" s="89" t="s">
        <v>128</v>
      </c>
      <c r="AF10" s="89">
        <v>1.1009856319341849</v>
      </c>
      <c r="AG10" s="89">
        <v>0.74867022971524577</v>
      </c>
      <c r="AH10" s="89">
        <v>2.752464079835462</v>
      </c>
      <c r="AI10" s="89" t="s">
        <v>128</v>
      </c>
      <c r="AJ10" s="89" t="s">
        <v>128</v>
      </c>
      <c r="AK10" s="89" t="s">
        <v>128</v>
      </c>
      <c r="AL10" s="89" t="s">
        <v>128</v>
      </c>
      <c r="AM10" s="89" t="s">
        <v>128</v>
      </c>
      <c r="AO10" s="89">
        <v>35.292262859403969</v>
      </c>
      <c r="AP10" s="89" t="s">
        <v>128</v>
      </c>
      <c r="AQ10" s="89">
        <v>20.915914782913156</v>
      </c>
      <c r="AR10" s="89" t="s">
        <v>128</v>
      </c>
      <c r="AS10" s="89">
        <v>3.7052401074708143</v>
      </c>
      <c r="AT10" s="89"/>
      <c r="AU10" s="89"/>
      <c r="AV10" s="89">
        <v>2.1795530043945965</v>
      </c>
      <c r="AW10" s="89"/>
      <c r="AX10" s="89"/>
      <c r="AY10" s="89"/>
      <c r="AZ10" s="89"/>
      <c r="BA10" s="89"/>
      <c r="BB10" s="89"/>
      <c r="BC10" s="89"/>
      <c r="BD10" s="89"/>
      <c r="BE10" s="89"/>
      <c r="BF10" s="89"/>
      <c r="BG10" s="89"/>
      <c r="BH10" s="89"/>
      <c r="BI10" s="89"/>
      <c r="BJ10" s="89"/>
      <c r="BK10" s="89"/>
      <c r="BL10" s="89"/>
      <c r="BM10" s="89"/>
      <c r="BN10" s="89"/>
      <c r="BO10" s="89"/>
      <c r="BP10" s="89"/>
      <c r="BQ10" s="89"/>
      <c r="BR10" s="89"/>
      <c r="BS10" s="89"/>
      <c r="BT10" s="89"/>
      <c r="BU10" s="89"/>
      <c r="BV10" s="89"/>
      <c r="BW10" s="89"/>
      <c r="BX10" s="89"/>
      <c r="BY10" s="89"/>
      <c r="BZ10" s="89"/>
      <c r="CA10" s="89"/>
      <c r="CB10" s="89"/>
      <c r="CC10" s="89"/>
      <c r="CD10" s="89"/>
      <c r="CE10" s="89"/>
      <c r="CF10" s="89"/>
      <c r="CG10" s="89"/>
      <c r="CH10" s="89"/>
      <c r="CI10" s="89"/>
      <c r="CJ10" s="89"/>
      <c r="CK10" s="89"/>
    </row>
    <row r="11" spans="1:92" x14ac:dyDescent="0.2">
      <c r="A11" s="88" t="s">
        <v>403</v>
      </c>
      <c r="C11" s="89">
        <v>0.47652916582177024</v>
      </c>
      <c r="D11" s="89">
        <v>2.6804765577474576</v>
      </c>
      <c r="E11" s="89">
        <v>0.28591749949306211</v>
      </c>
      <c r="F11" s="89" t="s">
        <v>128</v>
      </c>
      <c r="G11" s="89">
        <v>0.36543647685718583</v>
      </c>
      <c r="H11" s="89" t="s">
        <v>128</v>
      </c>
      <c r="I11" s="89">
        <v>2.382645829108851</v>
      </c>
      <c r="J11" s="89" t="s">
        <v>128</v>
      </c>
      <c r="K11" s="89" t="s">
        <v>128</v>
      </c>
      <c r="L11" s="89" t="s">
        <v>128</v>
      </c>
      <c r="M11" s="89">
        <v>2.9783072863860638</v>
      </c>
      <c r="N11" s="89" t="s">
        <v>128</v>
      </c>
      <c r="O11" s="89">
        <v>1.6838891196105823</v>
      </c>
      <c r="P11" s="89" t="s">
        <v>128</v>
      </c>
      <c r="Q11" s="89" t="s">
        <v>128</v>
      </c>
      <c r="R11" s="89">
        <v>1.250889060282147</v>
      </c>
      <c r="S11" s="89" t="s">
        <v>128</v>
      </c>
      <c r="T11" s="89">
        <v>3.5739687436632765</v>
      </c>
      <c r="U11" s="89" t="s">
        <v>128</v>
      </c>
      <c r="V11" s="113">
        <v>1.7869843718316385</v>
      </c>
      <c r="W11" s="89">
        <v>1.9183006476404785</v>
      </c>
      <c r="X11" s="89">
        <v>0.31768611054784679</v>
      </c>
      <c r="Y11" s="89" t="s">
        <v>128</v>
      </c>
      <c r="Z11" s="89">
        <v>7.9421527636961711E-2</v>
      </c>
      <c r="AA11" s="89" t="s">
        <v>128</v>
      </c>
      <c r="AB11" s="113">
        <v>1.5010668723385763</v>
      </c>
      <c r="AC11" s="89">
        <v>5.5843261619738698</v>
      </c>
      <c r="AD11" s="89" t="s">
        <v>128</v>
      </c>
      <c r="AE11" s="89" t="s">
        <v>128</v>
      </c>
      <c r="AF11" s="89">
        <v>1.1463051822993737</v>
      </c>
      <c r="AG11" s="89">
        <v>1.8116892248984353</v>
      </c>
      <c r="AH11" s="89">
        <v>2.5528348169023403</v>
      </c>
      <c r="AI11" s="89" t="s">
        <v>128</v>
      </c>
      <c r="AJ11" s="89" t="s">
        <v>128</v>
      </c>
      <c r="AK11" s="89" t="s">
        <v>128</v>
      </c>
      <c r="AL11" s="89" t="s">
        <v>128</v>
      </c>
      <c r="AM11" s="89" t="s">
        <v>128</v>
      </c>
      <c r="AO11" s="89">
        <v>41.365378977584221</v>
      </c>
      <c r="AP11" s="89" t="s">
        <v>128</v>
      </c>
      <c r="AQ11" s="89">
        <v>16.546151591033691</v>
      </c>
      <c r="AR11" s="89" t="s">
        <v>128</v>
      </c>
      <c r="AS11" s="89">
        <v>3.5703403489996597</v>
      </c>
      <c r="AT11" s="89"/>
      <c r="AU11" s="89"/>
      <c r="AV11" s="89">
        <v>2.0214755337461976</v>
      </c>
      <c r="AW11" s="89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89"/>
      <c r="BM11" s="89"/>
      <c r="BN11" s="89"/>
      <c r="BO11" s="89"/>
      <c r="BP11" s="89"/>
      <c r="BQ11" s="89"/>
      <c r="BR11" s="89"/>
      <c r="BS11" s="89"/>
      <c r="BT11" s="89"/>
      <c r="BU11" s="89"/>
      <c r="BV11" s="89"/>
      <c r="BW11" s="89"/>
      <c r="BX11" s="89"/>
      <c r="BY11" s="89"/>
      <c r="BZ11" s="89"/>
      <c r="CA11" s="89"/>
      <c r="CB11" s="89"/>
      <c r="CC11" s="89"/>
      <c r="CD11" s="89"/>
      <c r="CE11" s="89"/>
      <c r="CF11" s="89"/>
      <c r="CG11" s="89"/>
      <c r="CH11" s="89"/>
      <c r="CI11" s="89"/>
      <c r="CJ11" s="89"/>
      <c r="CK11" s="89"/>
    </row>
    <row r="12" spans="1:92" x14ac:dyDescent="0.2">
      <c r="A12" s="88" t="s">
        <v>404</v>
      </c>
      <c r="C12" s="89">
        <v>0.55705638415746928</v>
      </c>
      <c r="D12" s="89">
        <v>3.7137092277164623</v>
      </c>
      <c r="E12" s="89">
        <v>0.37137092277164624</v>
      </c>
      <c r="F12" s="89" t="s">
        <v>128</v>
      </c>
      <c r="G12" s="89">
        <v>0.56958730486448828</v>
      </c>
      <c r="H12" s="89">
        <v>0.40320271615207304</v>
      </c>
      <c r="I12" s="89">
        <v>4.332660765669206</v>
      </c>
      <c r="J12" s="89" t="s">
        <v>128</v>
      </c>
      <c r="K12" s="89" t="s">
        <v>128</v>
      </c>
      <c r="L12" s="89" t="s">
        <v>128</v>
      </c>
      <c r="M12" s="89">
        <v>3.7137092277164627</v>
      </c>
      <c r="N12" s="89" t="s">
        <v>128</v>
      </c>
      <c r="O12" s="113">
        <v>2.7601892908703438</v>
      </c>
      <c r="P12" s="89" t="s">
        <v>128</v>
      </c>
      <c r="Q12" s="89" t="s">
        <v>128</v>
      </c>
      <c r="R12" s="89">
        <v>1.8568546138582311</v>
      </c>
      <c r="S12" s="89" t="s">
        <v>128</v>
      </c>
      <c r="T12" s="89">
        <v>5.5705638415746934</v>
      </c>
      <c r="U12" s="89" t="s">
        <v>128</v>
      </c>
      <c r="V12" s="89">
        <v>3.7137092277164627</v>
      </c>
      <c r="W12" s="89">
        <v>1.8719509928326883</v>
      </c>
      <c r="X12" s="89" t="s">
        <v>128</v>
      </c>
      <c r="Y12" s="89" t="s">
        <v>128</v>
      </c>
      <c r="Z12" s="89">
        <v>8.2526871727032505E-2</v>
      </c>
      <c r="AA12" s="89" t="s">
        <v>128</v>
      </c>
      <c r="AB12" s="89">
        <v>2.2282255366298775</v>
      </c>
      <c r="AC12" s="89">
        <v>6.189515379527438</v>
      </c>
      <c r="AD12" s="89" t="s">
        <v>128</v>
      </c>
      <c r="AE12" s="89" t="s">
        <v>128</v>
      </c>
      <c r="AF12" s="89">
        <v>1.1671657572823166</v>
      </c>
      <c r="AG12" s="89">
        <v>1.5915896690213411</v>
      </c>
      <c r="AH12" s="89">
        <v>2.1221195586951214</v>
      </c>
      <c r="AI12" s="89" t="s">
        <v>128</v>
      </c>
      <c r="AJ12" s="89" t="s">
        <v>128</v>
      </c>
      <c r="AK12" s="89" t="s">
        <v>128</v>
      </c>
      <c r="AL12" s="89" t="s">
        <v>128</v>
      </c>
      <c r="AM12" s="89" t="s">
        <v>128</v>
      </c>
      <c r="AO12" s="89">
        <v>36.842353449568073</v>
      </c>
      <c r="AP12" s="89" t="s">
        <v>128</v>
      </c>
      <c r="AQ12" s="89">
        <v>24.27260933148014</v>
      </c>
      <c r="AR12" s="89" t="s">
        <v>128</v>
      </c>
      <c r="AS12" s="89">
        <v>3.7740947436142909</v>
      </c>
      <c r="AT12" s="89"/>
      <c r="AU12" s="89"/>
      <c r="AV12" s="89">
        <v>2.1005142690703975</v>
      </c>
      <c r="AW12" s="89"/>
      <c r="AX12" s="89"/>
      <c r="AY12" s="89"/>
      <c r="AZ12" s="89"/>
      <c r="BA12" s="89"/>
      <c r="BB12" s="89"/>
      <c r="BC12" s="89"/>
      <c r="BD12" s="89"/>
      <c r="BE12" s="89"/>
      <c r="BF12" s="89"/>
      <c r="BG12" s="89"/>
      <c r="BH12" s="89"/>
      <c r="BI12" s="89"/>
      <c r="BJ12" s="89"/>
      <c r="BK12" s="89"/>
      <c r="BL12" s="89"/>
      <c r="BM12" s="89"/>
      <c r="BN12" s="89"/>
      <c r="BO12" s="89"/>
      <c r="BP12" s="89"/>
      <c r="BQ12" s="89"/>
      <c r="BR12" s="89"/>
      <c r="BS12" s="89"/>
      <c r="BT12" s="89"/>
      <c r="BU12" s="89"/>
      <c r="BV12" s="89"/>
      <c r="BW12" s="89"/>
      <c r="BX12" s="89"/>
      <c r="BY12" s="89"/>
      <c r="BZ12" s="89"/>
      <c r="CA12" s="89"/>
      <c r="CB12" s="89"/>
      <c r="CC12" s="89"/>
      <c r="CD12" s="89"/>
      <c r="CE12" s="89"/>
      <c r="CF12" s="89"/>
      <c r="CG12" s="89"/>
      <c r="CH12" s="89"/>
      <c r="CI12" s="89"/>
      <c r="CJ12" s="89"/>
      <c r="CK12" s="89"/>
    </row>
    <row r="13" spans="1:92" x14ac:dyDescent="0.2">
      <c r="A13" s="88" t="s">
        <v>405</v>
      </c>
      <c r="B13" s="90"/>
      <c r="C13" s="89">
        <v>0.58125398109805593</v>
      </c>
      <c r="D13" s="89"/>
      <c r="E13" s="89">
        <v>0.38156411392444345</v>
      </c>
      <c r="F13" s="89" t="s">
        <v>128</v>
      </c>
      <c r="G13" s="89">
        <v>0.54620629805135057</v>
      </c>
      <c r="H13" s="89">
        <v>0.386651635443436</v>
      </c>
      <c r="I13" s="89">
        <v>3.5612650632948051</v>
      </c>
      <c r="J13" s="89" t="s">
        <v>128</v>
      </c>
      <c r="K13" s="89" t="s">
        <v>128</v>
      </c>
      <c r="L13" s="89" t="s">
        <v>128</v>
      </c>
      <c r="M13" s="89">
        <v>3.5612650632948055</v>
      </c>
      <c r="N13" s="89" t="s">
        <v>128</v>
      </c>
      <c r="O13" s="113">
        <v>5.3418975949422087</v>
      </c>
      <c r="P13" s="89" t="s">
        <v>128</v>
      </c>
      <c r="Q13" s="89" t="s">
        <v>128</v>
      </c>
      <c r="R13" s="89">
        <v>1.2464427721531819</v>
      </c>
      <c r="S13" s="89" t="s">
        <v>128</v>
      </c>
      <c r="T13" s="89">
        <v>5.3418975949422087</v>
      </c>
      <c r="U13" s="89" t="s">
        <v>128</v>
      </c>
      <c r="V13" s="89">
        <v>3.5612650632948055</v>
      </c>
      <c r="W13" s="89">
        <v>1.9784805907193364</v>
      </c>
      <c r="X13" s="89">
        <v>0.32550109861619986</v>
      </c>
      <c r="Y13" s="89" t="s">
        <v>128</v>
      </c>
      <c r="Z13" s="89">
        <v>5.3958561565072803E-2</v>
      </c>
      <c r="AA13" s="89" t="s">
        <v>128</v>
      </c>
      <c r="AB13" s="89">
        <v>1.238700891580802</v>
      </c>
      <c r="AC13" s="89">
        <v>7.122530126589611</v>
      </c>
      <c r="AD13" s="89" t="s">
        <v>128</v>
      </c>
      <c r="AE13" s="89" t="s">
        <v>128</v>
      </c>
      <c r="AF13" s="89">
        <v>1.0175043037985159</v>
      </c>
      <c r="AG13" s="89">
        <v>1.3566724050646877</v>
      </c>
      <c r="AH13" s="89">
        <v>2.4420103291164379</v>
      </c>
      <c r="AI13" s="89" t="s">
        <v>128</v>
      </c>
      <c r="AJ13" s="89" t="s">
        <v>128</v>
      </c>
      <c r="AK13" s="89" t="s">
        <v>128</v>
      </c>
      <c r="AL13" s="89" t="s">
        <v>128</v>
      </c>
      <c r="AM13" s="89" t="s">
        <v>128</v>
      </c>
      <c r="AO13" s="89">
        <v>26.497507911419678</v>
      </c>
      <c r="AP13" s="89" t="s">
        <v>128</v>
      </c>
      <c r="AQ13" s="89">
        <v>22.741156215164782</v>
      </c>
      <c r="AR13" s="89" t="s">
        <v>128</v>
      </c>
      <c r="AS13" s="89">
        <v>3.6937298582099198</v>
      </c>
      <c r="AT13" s="89"/>
      <c r="AU13" s="89"/>
      <c r="AV13" s="89">
        <v>2.0142901941712701</v>
      </c>
      <c r="AW13" s="89"/>
      <c r="AX13" s="89"/>
      <c r="AY13" s="89"/>
      <c r="AZ13" s="89"/>
      <c r="BA13" s="89"/>
      <c r="BB13" s="89"/>
      <c r="BC13" s="89"/>
      <c r="BD13" s="89"/>
      <c r="BE13" s="89"/>
      <c r="BF13" s="89"/>
      <c r="BG13" s="89"/>
      <c r="BH13" s="89"/>
      <c r="BI13" s="89"/>
      <c r="BJ13" s="89"/>
      <c r="BK13" s="89"/>
      <c r="BL13" s="89"/>
      <c r="BM13" s="89"/>
      <c r="BN13" s="89"/>
      <c r="BO13" s="89"/>
      <c r="BP13" s="89"/>
      <c r="BQ13" s="89"/>
      <c r="BR13" s="89"/>
      <c r="BS13" s="89"/>
      <c r="BT13" s="89"/>
      <c r="BU13" s="89"/>
      <c r="BV13" s="89"/>
      <c r="BW13" s="89"/>
      <c r="BX13" s="89"/>
      <c r="BY13" s="89"/>
      <c r="BZ13" s="89"/>
      <c r="CA13" s="89"/>
      <c r="CB13" s="89"/>
      <c r="CC13" s="89"/>
      <c r="CD13" s="89"/>
      <c r="CE13" s="89"/>
      <c r="CF13" s="89"/>
      <c r="CG13" s="89"/>
      <c r="CH13" s="89"/>
      <c r="CI13" s="89"/>
      <c r="CJ13" s="89"/>
      <c r="CK13" s="89"/>
    </row>
    <row r="14" spans="1:92" x14ac:dyDescent="0.2">
      <c r="A14" s="88" t="s">
        <v>406</v>
      </c>
      <c r="C14" s="89">
        <v>0.5198825136290387</v>
      </c>
      <c r="D14" s="89"/>
      <c r="E14" s="89">
        <v>0.42825518042157912</v>
      </c>
      <c r="F14" s="89" t="s">
        <v>128</v>
      </c>
      <c r="G14" s="89">
        <v>0.36311412096160489</v>
      </c>
      <c r="H14" s="89">
        <v>0.37699683836339787</v>
      </c>
      <c r="I14" s="89">
        <v>5.2085089510732594</v>
      </c>
      <c r="J14" s="89" t="s">
        <v>128</v>
      </c>
      <c r="K14" s="89" t="s">
        <v>128</v>
      </c>
      <c r="L14" s="113">
        <v>0.17021271081938757</v>
      </c>
      <c r="M14" s="89" t="s">
        <v>128</v>
      </c>
      <c r="N14" s="89">
        <v>0.25563234115696981</v>
      </c>
      <c r="O14" s="89">
        <v>5.2085089510732594</v>
      </c>
      <c r="P14" s="89">
        <v>0.2192165960284749</v>
      </c>
      <c r="Q14" s="89">
        <v>0.34723393007155062</v>
      </c>
      <c r="R14" s="89" t="s">
        <v>128</v>
      </c>
      <c r="S14" s="89" t="s">
        <v>128</v>
      </c>
      <c r="T14" s="89">
        <v>5.2085089510732594</v>
      </c>
      <c r="U14" s="89" t="s">
        <v>128</v>
      </c>
      <c r="V14" s="89">
        <v>6.9446786014310131</v>
      </c>
      <c r="W14" s="89">
        <v>1.8519142937149367</v>
      </c>
      <c r="X14" s="89">
        <v>0.38640995471067952</v>
      </c>
      <c r="Y14" s="89" t="s">
        <v>128</v>
      </c>
      <c r="Z14" s="89">
        <v>3.8952524206744464E-2</v>
      </c>
      <c r="AA14" s="89" t="s">
        <v>128</v>
      </c>
      <c r="AB14" s="89">
        <v>1.9290773892863924</v>
      </c>
      <c r="AC14" s="89">
        <v>6.9446786014310131</v>
      </c>
      <c r="AD14" s="89" t="s">
        <v>128</v>
      </c>
      <c r="AE14" s="89" t="s">
        <v>128</v>
      </c>
      <c r="AF14" s="89">
        <v>1.1969865291286372</v>
      </c>
      <c r="AG14" s="89">
        <v>0.79367755444925869</v>
      </c>
      <c r="AH14" s="89">
        <v>1.9841938861231463</v>
      </c>
      <c r="AI14" s="89" t="s">
        <v>128</v>
      </c>
      <c r="AJ14" s="89" t="s">
        <v>128</v>
      </c>
      <c r="AK14" s="89" t="s">
        <v>128</v>
      </c>
      <c r="AL14" s="89" t="s">
        <v>128</v>
      </c>
      <c r="AM14" s="89" t="s">
        <v>128</v>
      </c>
      <c r="AO14" s="89">
        <v>30.365107053582101</v>
      </c>
      <c r="AP14" s="89" t="s">
        <v>128</v>
      </c>
      <c r="AQ14" s="89">
        <v>23.148928671436707</v>
      </c>
      <c r="AR14" s="89" t="s">
        <v>128</v>
      </c>
      <c r="AS14" s="89">
        <v>3.6635911792241576</v>
      </c>
      <c r="AT14" s="89"/>
      <c r="AU14" s="89"/>
      <c r="AV14" s="89">
        <v>1.9639928171467798</v>
      </c>
      <c r="AW14" s="89"/>
      <c r="AX14" s="89"/>
      <c r="AY14" s="89"/>
      <c r="AZ14" s="89"/>
      <c r="BA14" s="89"/>
      <c r="BB14" s="89"/>
      <c r="BC14" s="89"/>
      <c r="BD14" s="89"/>
      <c r="BE14" s="89"/>
      <c r="BF14" s="89"/>
      <c r="BG14" s="89"/>
      <c r="BH14" s="89"/>
      <c r="BI14" s="89"/>
      <c r="BJ14" s="89"/>
      <c r="BK14" s="89"/>
      <c r="BL14" s="89"/>
      <c r="BM14" s="89"/>
      <c r="BN14" s="89"/>
      <c r="BO14" s="89"/>
      <c r="BP14" s="89"/>
      <c r="BQ14" s="89"/>
      <c r="BR14" s="89"/>
      <c r="BS14" s="89"/>
      <c r="BT14" s="89"/>
      <c r="BU14" s="89"/>
      <c r="BV14" s="89"/>
      <c r="BW14" s="89"/>
      <c r="BX14" s="89"/>
      <c r="BY14" s="89"/>
      <c r="BZ14" s="89"/>
      <c r="CA14" s="89"/>
      <c r="CB14" s="89"/>
      <c r="CC14" s="89"/>
      <c r="CD14" s="89"/>
      <c r="CE14" s="89"/>
      <c r="CF14" s="89"/>
      <c r="CG14" s="89"/>
      <c r="CH14" s="89"/>
      <c r="CI14" s="89"/>
      <c r="CJ14" s="89"/>
      <c r="CK14" s="89"/>
    </row>
    <row r="15" spans="1:92" x14ac:dyDescent="0.2">
      <c r="A15" s="88" t="s">
        <v>407</v>
      </c>
      <c r="C15" s="89">
        <v>0.41306193191140816</v>
      </c>
      <c r="D15" s="89"/>
      <c r="E15" s="89">
        <v>0.47201230169075831</v>
      </c>
      <c r="F15" s="89" t="s">
        <v>128</v>
      </c>
      <c r="G15" s="89">
        <v>0.34493861816087534</v>
      </c>
      <c r="H15" s="113">
        <v>0.26564804522507734</v>
      </c>
      <c r="I15" s="89" t="s">
        <v>128</v>
      </c>
      <c r="J15" s="89" t="s">
        <v>128</v>
      </c>
      <c r="K15" s="89">
        <v>0.57907725125638276</v>
      </c>
      <c r="L15" s="89">
        <v>0.30394647816456366</v>
      </c>
      <c r="M15" s="89" t="s">
        <v>128</v>
      </c>
      <c r="N15" s="89">
        <v>0.21718357439758815</v>
      </c>
      <c r="O15" s="89">
        <v>3.5400922626806874</v>
      </c>
      <c r="P15" s="89">
        <v>0.34868922495025623</v>
      </c>
      <c r="Q15" s="89">
        <v>0.18433865832600471</v>
      </c>
      <c r="R15" s="89" t="s">
        <v>128</v>
      </c>
      <c r="S15" s="89" t="s">
        <v>128</v>
      </c>
      <c r="T15" s="89" t="s">
        <v>128</v>
      </c>
      <c r="U15" s="89">
        <v>0.39941806785763345</v>
      </c>
      <c r="V15" s="89" t="s">
        <v>128</v>
      </c>
      <c r="W15" s="89">
        <v>1.3939923744988054</v>
      </c>
      <c r="X15" s="89">
        <v>0.39415210187434857</v>
      </c>
      <c r="Y15" s="89" t="s">
        <v>128</v>
      </c>
      <c r="Z15" s="89">
        <v>3.9766604171748869E-2</v>
      </c>
      <c r="AA15" s="89" t="s">
        <v>128</v>
      </c>
      <c r="AB15" s="89">
        <v>2.3377967772419632</v>
      </c>
      <c r="AC15" s="89">
        <v>5.9001537711344794</v>
      </c>
      <c r="AD15" s="89" t="s">
        <v>128</v>
      </c>
      <c r="AE15" s="89" t="s">
        <v>128</v>
      </c>
      <c r="AF15" s="89">
        <v>1.1970429931475979</v>
      </c>
      <c r="AG15" s="89">
        <v>1.1433838363937623</v>
      </c>
      <c r="AH15" s="89">
        <v>2.0229098643889643</v>
      </c>
      <c r="AI15" s="89" t="s">
        <v>128</v>
      </c>
      <c r="AJ15" s="89" t="s">
        <v>128</v>
      </c>
      <c r="AK15" s="89" t="s">
        <v>128</v>
      </c>
      <c r="AL15" s="89" t="s">
        <v>128</v>
      </c>
      <c r="AM15" s="89" t="s">
        <v>128</v>
      </c>
      <c r="AO15" s="89">
        <v>26.089115314540212</v>
      </c>
      <c r="AP15" s="89" t="s">
        <v>128</v>
      </c>
      <c r="AQ15" s="89">
        <v>23.184886092533858</v>
      </c>
      <c r="AR15" s="89" t="s">
        <v>128</v>
      </c>
      <c r="AS15" s="89">
        <v>3.9453855259468025</v>
      </c>
      <c r="AU15" s="89">
        <v>2.4064071271998602</v>
      </c>
      <c r="BB15" s="89"/>
      <c r="BC15" s="89"/>
      <c r="BD15" s="89"/>
      <c r="BE15" s="89"/>
      <c r="BF15" s="89"/>
      <c r="BG15" s="89"/>
      <c r="BH15" s="89"/>
      <c r="BI15" s="89"/>
      <c r="BJ15" s="89"/>
      <c r="BK15" s="89"/>
      <c r="BL15" s="89"/>
      <c r="BM15" s="89"/>
      <c r="BN15" s="89"/>
      <c r="BO15" s="89"/>
      <c r="BP15" s="89"/>
      <c r="BQ15" s="89"/>
      <c r="BR15" s="89"/>
      <c r="BS15" s="89"/>
      <c r="BT15" s="89"/>
      <c r="BU15" s="89"/>
      <c r="BV15" s="89"/>
      <c r="BW15" s="89"/>
      <c r="BX15" s="89"/>
      <c r="BY15" s="89"/>
      <c r="BZ15" s="89"/>
      <c r="CA15" s="89"/>
      <c r="CB15" s="89"/>
      <c r="CC15" s="89"/>
      <c r="CD15" s="89"/>
      <c r="CE15" s="89"/>
      <c r="CF15" s="89"/>
      <c r="CG15" s="89"/>
      <c r="CH15" s="89"/>
      <c r="CI15" s="89"/>
      <c r="CJ15" s="89"/>
      <c r="CK15" s="89"/>
    </row>
    <row r="16" spans="1:92" x14ac:dyDescent="0.2">
      <c r="A16" s="88" t="s">
        <v>408</v>
      </c>
      <c r="C16" s="89">
        <v>0.31051708802884165</v>
      </c>
      <c r="D16" s="89"/>
      <c r="E16" s="89">
        <v>0.43774765269690907</v>
      </c>
      <c r="F16" s="89" t="s">
        <v>128</v>
      </c>
      <c r="G16" s="113">
        <v>0.15039183160139208</v>
      </c>
      <c r="H16" s="89">
        <v>0.30448260374780078</v>
      </c>
      <c r="I16" s="89" t="s">
        <v>128</v>
      </c>
      <c r="J16" s="89" t="s">
        <v>128</v>
      </c>
      <c r="K16" s="89">
        <v>0.60033963798433254</v>
      </c>
      <c r="L16" s="89">
        <v>0.2301915789817226</v>
      </c>
      <c r="M16" s="89" t="s">
        <v>128</v>
      </c>
      <c r="N16" s="89">
        <v>0.15346105265448173</v>
      </c>
      <c r="O16" s="89">
        <v>3.5019812215752726</v>
      </c>
      <c r="P16" s="89">
        <v>0.35807578952712399</v>
      </c>
      <c r="Q16" s="89">
        <v>0.17743371522648049</v>
      </c>
      <c r="R16" s="89" t="s">
        <v>128</v>
      </c>
      <c r="S16" s="89">
        <v>0.21484547371627441</v>
      </c>
      <c r="T16" s="89" t="s">
        <v>128</v>
      </c>
      <c r="U16" s="89">
        <v>0.38672185268929393</v>
      </c>
      <c r="V16" s="89" t="s">
        <v>128</v>
      </c>
      <c r="W16" s="89">
        <v>1.2168500406281757</v>
      </c>
      <c r="X16" s="89">
        <v>0.2387714469255868</v>
      </c>
      <c r="Y16" s="89" t="s">
        <v>128</v>
      </c>
      <c r="Z16" s="89">
        <v>4.5525755880478552E-2</v>
      </c>
      <c r="AA16" s="89" t="s">
        <v>128</v>
      </c>
      <c r="AB16" s="89">
        <v>2.1887382634845456</v>
      </c>
      <c r="AC16" s="89">
        <v>5.2529718323629089</v>
      </c>
      <c r="AD16" s="89" t="s">
        <v>128</v>
      </c>
      <c r="AE16" s="89" t="s">
        <v>128</v>
      </c>
      <c r="AF16" s="89">
        <v>1.2229140773754921</v>
      </c>
      <c r="AG16" s="89">
        <v>1.2006792759686651</v>
      </c>
      <c r="AH16" s="89">
        <v>2.5014151582680522</v>
      </c>
      <c r="AI16" s="89" t="s">
        <v>128</v>
      </c>
      <c r="AJ16" s="89" t="s">
        <v>128</v>
      </c>
      <c r="AK16" s="89" t="s">
        <v>128</v>
      </c>
      <c r="AL16" s="89" t="s">
        <v>128</v>
      </c>
      <c r="AM16" s="89" t="s">
        <v>128</v>
      </c>
      <c r="AO16" s="89">
        <v>20.26609503226431</v>
      </c>
      <c r="AP16" s="89" t="s">
        <v>128</v>
      </c>
      <c r="AQ16" s="89">
        <v>33.115661669742536</v>
      </c>
      <c r="AR16" s="89" t="s">
        <v>128</v>
      </c>
      <c r="AS16" s="89">
        <v>3.6819441454617801</v>
      </c>
      <c r="AT16" s="89">
        <v>0.48895586867277396</v>
      </c>
      <c r="AU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  <c r="BU16" s="89"/>
      <c r="BV16" s="89"/>
      <c r="BW16" s="89"/>
      <c r="BX16" s="89"/>
      <c r="BY16" s="89"/>
      <c r="BZ16" s="89"/>
      <c r="CA16" s="89"/>
      <c r="CB16" s="89"/>
      <c r="CC16" s="89"/>
      <c r="CD16" s="89"/>
      <c r="CE16" s="89"/>
      <c r="CF16" s="89"/>
      <c r="CG16" s="89"/>
      <c r="CH16" s="89"/>
      <c r="CI16" s="89"/>
      <c r="CJ16" s="89"/>
      <c r="CK16" s="89"/>
    </row>
    <row r="17" spans="1:89" x14ac:dyDescent="0.2">
      <c r="A17" s="88" t="s">
        <v>409</v>
      </c>
      <c r="C17" s="89">
        <v>0.35866865982509066</v>
      </c>
      <c r="D17" s="89"/>
      <c r="E17" s="89">
        <v>0.47952978423138409</v>
      </c>
      <c r="F17" s="89" t="s">
        <v>128</v>
      </c>
      <c r="G17" s="89">
        <v>0.30579660220765709</v>
      </c>
      <c r="H17" s="89">
        <v>0.25303992332167957</v>
      </c>
      <c r="I17" s="89" t="s">
        <v>128</v>
      </c>
      <c r="J17" s="89" t="s">
        <v>128</v>
      </c>
      <c r="K17" s="89">
        <v>0.67156735899887021</v>
      </c>
      <c r="L17" s="89">
        <v>0.27816662838181261</v>
      </c>
      <c r="M17" s="89" t="s">
        <v>128</v>
      </c>
      <c r="N17" s="89">
        <v>0.19798758400399566</v>
      </c>
      <c r="O17" s="89" t="s">
        <v>128</v>
      </c>
      <c r="P17" s="89">
        <v>0.36921360464627984</v>
      </c>
      <c r="Q17" s="89">
        <v>0.11897097487933499</v>
      </c>
      <c r="R17" s="89" t="s">
        <v>128</v>
      </c>
      <c r="S17" s="89">
        <v>0.28634424171044648</v>
      </c>
      <c r="T17" s="89" t="s">
        <v>128</v>
      </c>
      <c r="U17" s="89">
        <v>0.29772359402720555</v>
      </c>
      <c r="V17" s="89" t="s">
        <v>128</v>
      </c>
      <c r="W17" s="89">
        <v>1.3514824511877406</v>
      </c>
      <c r="X17" s="89">
        <v>0.22165999204354342</v>
      </c>
      <c r="Y17" s="89" t="s">
        <v>128</v>
      </c>
      <c r="Z17" s="89">
        <v>3.5895414411642589E-2</v>
      </c>
      <c r="AA17" s="89" t="s">
        <v>128</v>
      </c>
      <c r="AB17" s="89">
        <v>0.96623298409459402</v>
      </c>
      <c r="AC17" s="89" t="s">
        <v>128</v>
      </c>
      <c r="AD17" s="89">
        <v>0.50691980600760123</v>
      </c>
      <c r="AE17" s="89" t="s">
        <v>128</v>
      </c>
      <c r="AF17" s="89">
        <v>1.1622834181358086</v>
      </c>
      <c r="AG17" s="89">
        <v>1.0046041855022689</v>
      </c>
      <c r="AH17" s="89">
        <v>1.998712377972828</v>
      </c>
      <c r="AI17" s="89" t="s">
        <v>128</v>
      </c>
      <c r="AJ17" s="89"/>
      <c r="AK17" s="89">
        <v>1.4398051990030556</v>
      </c>
      <c r="AL17" s="89" t="s">
        <v>128</v>
      </c>
      <c r="AM17" s="89" t="s">
        <v>128</v>
      </c>
      <c r="AO17" s="89">
        <v>28.381064609203502</v>
      </c>
      <c r="AP17" s="89" t="s">
        <v>128</v>
      </c>
      <c r="AQ17" s="89">
        <v>27.978073908496455</v>
      </c>
      <c r="AR17" s="89" t="s">
        <v>128</v>
      </c>
      <c r="AS17" s="89">
        <v>7.0233311942741352</v>
      </c>
      <c r="AT17" s="89">
        <v>0.48836462820279475</v>
      </c>
      <c r="AU17" s="89"/>
      <c r="AW17" s="89"/>
      <c r="AX17" s="89"/>
      <c r="AY17" s="89"/>
      <c r="AZ17" s="89"/>
      <c r="BA17" s="89"/>
      <c r="BB17" s="89"/>
      <c r="BC17" s="89"/>
      <c r="BD17" s="89"/>
      <c r="BE17" s="89"/>
      <c r="BF17" s="89"/>
      <c r="BG17" s="89"/>
      <c r="BH17" s="89"/>
      <c r="BI17" s="89"/>
      <c r="BJ17" s="89"/>
      <c r="BK17" s="89"/>
      <c r="BL17" s="89"/>
      <c r="BM17" s="89"/>
      <c r="BN17" s="89"/>
      <c r="BO17" s="89"/>
      <c r="BP17" s="89"/>
      <c r="BQ17" s="89"/>
      <c r="BR17" s="89"/>
      <c r="BS17" s="89"/>
      <c r="BT17" s="89"/>
      <c r="BU17" s="89"/>
      <c r="BV17" s="89"/>
      <c r="BW17" s="89"/>
      <c r="BX17" s="89"/>
      <c r="BY17" s="89"/>
      <c r="BZ17" s="89"/>
      <c r="CA17" s="89"/>
      <c r="CB17" s="89"/>
      <c r="CC17" s="89"/>
      <c r="CD17" s="89"/>
      <c r="CE17" s="89"/>
      <c r="CF17" s="89"/>
      <c r="CG17" s="89"/>
      <c r="CH17" s="89"/>
      <c r="CI17" s="89"/>
      <c r="CJ17" s="89"/>
      <c r="CK17" s="89"/>
    </row>
    <row r="18" spans="1:89" x14ac:dyDescent="0.2">
      <c r="A18" s="88" t="s">
        <v>410</v>
      </c>
      <c r="C18" s="89">
        <v>0.6992465027239172</v>
      </c>
      <c r="D18" s="89"/>
      <c r="E18" s="89">
        <v>0.3440099526459458</v>
      </c>
      <c r="F18" s="89" t="s">
        <v>128</v>
      </c>
      <c r="G18" s="89">
        <v>0.40779112546229995</v>
      </c>
      <c r="H18" s="89">
        <v>0.27428935323979092</v>
      </c>
      <c r="I18" s="89" t="s">
        <v>128</v>
      </c>
      <c r="J18" s="89" t="s">
        <v>128</v>
      </c>
      <c r="K18" s="89">
        <v>0.41598503835139677</v>
      </c>
      <c r="L18" s="89">
        <v>0.29555053924731595</v>
      </c>
      <c r="M18" s="89" t="s">
        <v>128</v>
      </c>
      <c r="N18" s="89">
        <v>0.2071456356741522</v>
      </c>
      <c r="O18" s="89" t="s">
        <v>128</v>
      </c>
      <c r="P18" s="89">
        <v>0.33233480345673849</v>
      </c>
      <c r="Q18" s="89">
        <v>0.16396795880718706</v>
      </c>
      <c r="R18" s="89" t="s">
        <v>128</v>
      </c>
      <c r="S18" s="89">
        <v>0.31276669820675856</v>
      </c>
      <c r="T18" s="89" t="s">
        <v>128</v>
      </c>
      <c r="U18" s="89">
        <v>0.35754938450205487</v>
      </c>
      <c r="V18" s="89" t="s">
        <v>128</v>
      </c>
      <c r="W18" s="89">
        <v>1.7249812205683255</v>
      </c>
      <c r="X18" s="89">
        <v>0.28991828403312464</v>
      </c>
      <c r="Y18" s="89" t="s">
        <v>128</v>
      </c>
      <c r="Z18" s="113">
        <v>2.745798945502078E-2</v>
      </c>
      <c r="AA18" s="89" t="s">
        <v>128</v>
      </c>
      <c r="AB18" s="89">
        <v>0.87510877197661208</v>
      </c>
      <c r="AC18" s="89" t="s">
        <v>128</v>
      </c>
      <c r="AD18" s="89">
        <v>0.51658272736447974</v>
      </c>
      <c r="AE18" s="89" t="s">
        <v>128</v>
      </c>
      <c r="AF18" s="89">
        <v>1.1434038377173905</v>
      </c>
      <c r="AG18" s="89">
        <v>0.91161657770202309</v>
      </c>
      <c r="AH18" s="89">
        <v>1.5660613208523173</v>
      </c>
      <c r="AI18" s="89" t="s">
        <v>128</v>
      </c>
      <c r="AJ18" s="89"/>
      <c r="AK18" s="89">
        <v>1.9285755154940576</v>
      </c>
      <c r="AL18" s="89" t="s">
        <v>128</v>
      </c>
      <c r="AM18" s="89" t="s">
        <v>128</v>
      </c>
      <c r="AO18" s="89">
        <v>89.001203918065173</v>
      </c>
      <c r="AP18" s="89" t="s">
        <v>128</v>
      </c>
      <c r="AQ18" s="89">
        <v>30.364573914018326</v>
      </c>
      <c r="AR18" s="89" t="s">
        <v>128</v>
      </c>
      <c r="AS18" s="89">
        <v>7.3357939465405284</v>
      </c>
      <c r="AT18" s="89">
        <v>0.50969247469235068</v>
      </c>
      <c r="AU18" s="89"/>
      <c r="AW18" s="89">
        <v>0.22838394262429626</v>
      </c>
      <c r="AX18" s="89"/>
      <c r="AY18" s="89"/>
      <c r="AZ18" s="89"/>
      <c r="BA18" s="89"/>
      <c r="BB18" s="89"/>
      <c r="BC18" s="89"/>
      <c r="BD18" s="89"/>
      <c r="BE18" s="89"/>
      <c r="BF18" s="89"/>
      <c r="BG18" s="89"/>
      <c r="BH18" s="89"/>
      <c r="BI18" s="89"/>
      <c r="BJ18" s="89"/>
      <c r="BK18" s="89"/>
      <c r="BL18" s="89"/>
      <c r="BM18" s="89"/>
      <c r="BN18" s="89"/>
      <c r="BO18" s="89"/>
      <c r="BP18" s="89"/>
      <c r="BQ18" s="89"/>
      <c r="BR18" s="89"/>
      <c r="BS18" s="89"/>
      <c r="BT18" s="89"/>
      <c r="BU18" s="89"/>
      <c r="BV18" s="89"/>
      <c r="BW18" s="89"/>
      <c r="BX18" s="89"/>
      <c r="BY18" s="89"/>
      <c r="BZ18" s="89"/>
      <c r="CA18" s="89"/>
      <c r="CB18" s="89"/>
      <c r="CC18" s="89"/>
      <c r="CD18" s="89"/>
      <c r="CE18" s="89"/>
      <c r="CF18" s="89"/>
      <c r="CG18" s="89"/>
      <c r="CH18" s="89"/>
      <c r="CI18" s="89"/>
      <c r="CJ18" s="89"/>
      <c r="CK18" s="89"/>
    </row>
    <row r="19" spans="1:89" x14ac:dyDescent="0.2">
      <c r="A19" s="88" t="s">
        <v>411</v>
      </c>
      <c r="C19" s="89">
        <v>0.54388841912918984</v>
      </c>
      <c r="D19" s="89"/>
      <c r="E19" s="89">
        <v>0.34299936994872682</v>
      </c>
      <c r="F19" s="89" t="s">
        <v>128</v>
      </c>
      <c r="G19" s="89">
        <v>0.4208581226364746</v>
      </c>
      <c r="H19" s="89">
        <v>0.26337451621062952</v>
      </c>
      <c r="I19" s="89" t="s">
        <v>128</v>
      </c>
      <c r="J19" s="89">
        <v>0.89090745441227737</v>
      </c>
      <c r="K19" s="89" t="s">
        <v>128</v>
      </c>
      <c r="L19" s="89">
        <v>0.26303632664779664</v>
      </c>
      <c r="M19" s="89" t="s">
        <v>128</v>
      </c>
      <c r="N19" s="89">
        <v>0.21774833301626295</v>
      </c>
      <c r="O19" s="89" t="s">
        <v>128</v>
      </c>
      <c r="P19" s="89">
        <v>0.34397058100096478</v>
      </c>
      <c r="Q19" s="89">
        <v>0.17149968497436341</v>
      </c>
      <c r="R19" s="89" t="s">
        <v>128</v>
      </c>
      <c r="S19" s="89">
        <v>0.31564359197735598</v>
      </c>
      <c r="T19" s="89" t="s">
        <v>128</v>
      </c>
      <c r="U19" s="89">
        <v>0.31564359197735592</v>
      </c>
      <c r="V19" s="89" t="s">
        <v>128</v>
      </c>
      <c r="W19" s="89">
        <v>1.6630272482362511</v>
      </c>
      <c r="X19" s="89">
        <v>0.33347160967237327</v>
      </c>
      <c r="Y19" s="89" t="s">
        <v>128</v>
      </c>
      <c r="Z19" s="89">
        <v>2.3202898555355046E-2</v>
      </c>
      <c r="AA19" s="89">
        <v>0.10888868887261169</v>
      </c>
      <c r="AB19" s="89" t="s">
        <v>128</v>
      </c>
      <c r="AC19" s="89" t="s">
        <v>128</v>
      </c>
      <c r="AD19" s="89">
        <v>0.57166561658121129</v>
      </c>
      <c r="AE19" s="89" t="s">
        <v>128</v>
      </c>
      <c r="AF19" s="89">
        <v>1.1433312331624226</v>
      </c>
      <c r="AG19" s="89">
        <v>0.78399855988280409</v>
      </c>
      <c r="AH19" s="89">
        <v>1.5679971197656082</v>
      </c>
      <c r="AI19" s="89" t="s">
        <v>128</v>
      </c>
      <c r="AJ19" s="89"/>
      <c r="AK19" s="89">
        <v>1.7149968497436341</v>
      </c>
      <c r="AL19" s="89" t="s">
        <v>128</v>
      </c>
      <c r="AM19" s="89" t="s">
        <v>128</v>
      </c>
      <c r="AO19" s="89">
        <v>80.354604740330913</v>
      </c>
      <c r="AP19" s="89" t="s">
        <v>128</v>
      </c>
      <c r="AQ19" s="89">
        <v>28.518466133303058</v>
      </c>
      <c r="AR19" s="89" t="s">
        <v>128</v>
      </c>
      <c r="AS19" s="89">
        <v>10.482358055475748</v>
      </c>
      <c r="AT19" s="89">
        <v>0.50306574259146597</v>
      </c>
      <c r="AU19" s="89"/>
      <c r="AV19" s="89">
        <v>0.43650937917682986</v>
      </c>
      <c r="AW19" s="89"/>
      <c r="AX19" s="89"/>
      <c r="AY19" s="89"/>
      <c r="AZ19" s="89"/>
      <c r="BA19" s="89"/>
      <c r="BB19" s="89"/>
      <c r="BC19" s="89"/>
      <c r="BD19" s="89"/>
      <c r="BE19" s="89"/>
      <c r="BF19" s="89"/>
      <c r="BG19" s="89"/>
      <c r="BH19" s="89"/>
      <c r="BI19" s="89"/>
      <c r="BJ19" s="89"/>
      <c r="BK19" s="89"/>
      <c r="BL19" s="89"/>
      <c r="BM19" s="89"/>
      <c r="BN19" s="89"/>
      <c r="BO19" s="89"/>
      <c r="BP19" s="89"/>
      <c r="BQ19" s="89"/>
      <c r="BR19" s="89"/>
      <c r="BS19" s="89"/>
      <c r="BT19" s="89"/>
      <c r="BU19" s="89"/>
      <c r="BV19" s="89"/>
      <c r="BW19" s="89"/>
      <c r="BX19" s="89"/>
      <c r="BY19" s="89"/>
      <c r="BZ19" s="89"/>
      <c r="CA19" s="89"/>
      <c r="CB19" s="89"/>
      <c r="CC19" s="89"/>
      <c r="CD19" s="89"/>
      <c r="CE19" s="89"/>
      <c r="CF19" s="89"/>
      <c r="CG19" s="89"/>
      <c r="CH19" s="89"/>
      <c r="CI19" s="89"/>
      <c r="CJ19" s="89"/>
      <c r="CK19" s="89"/>
    </row>
    <row r="20" spans="1:89" x14ac:dyDescent="0.2">
      <c r="A20" s="88" t="s">
        <v>412</v>
      </c>
      <c r="C20" s="89">
        <v>0.44022336360403946</v>
      </c>
      <c r="D20" s="89"/>
      <c r="E20" s="89">
        <v>0.26322025723472664</v>
      </c>
      <c r="F20" s="89" t="s">
        <v>128</v>
      </c>
      <c r="G20" s="89">
        <v>0.40371205097350715</v>
      </c>
      <c r="H20" s="89">
        <v>0.2329145512703131</v>
      </c>
      <c r="I20" s="89" t="s">
        <v>128</v>
      </c>
      <c r="J20" s="89">
        <v>1.1750904340836013</v>
      </c>
      <c r="K20" s="89">
        <v>0.94007234726688094</v>
      </c>
      <c r="L20" s="89">
        <v>0.32801604141597462</v>
      </c>
      <c r="M20" s="89" t="s">
        <v>128</v>
      </c>
      <c r="N20" s="89">
        <v>0.2069840076584725</v>
      </c>
      <c r="O20" s="89" t="s">
        <v>128</v>
      </c>
      <c r="P20" s="89">
        <v>0.41195107242194606</v>
      </c>
      <c r="Q20" s="89">
        <v>0.24128523579849945</v>
      </c>
      <c r="R20" s="89" t="s">
        <v>128</v>
      </c>
      <c r="S20" s="89">
        <v>0.30278403823013039</v>
      </c>
      <c r="T20" s="89" t="s">
        <v>128</v>
      </c>
      <c r="U20" s="89">
        <v>0.3532480446018188</v>
      </c>
      <c r="V20" s="89" t="s">
        <v>128</v>
      </c>
      <c r="W20" s="89">
        <v>1.3559831433304101</v>
      </c>
      <c r="X20" s="89">
        <v>0.24372246040252468</v>
      </c>
      <c r="Y20" s="89" t="s">
        <v>128</v>
      </c>
      <c r="Z20" s="89">
        <v>4.710405244318025E-2</v>
      </c>
      <c r="AA20" s="89">
        <v>7.5791740734931459E-2</v>
      </c>
      <c r="AB20" s="89" t="s">
        <v>128</v>
      </c>
      <c r="AC20" s="89" t="s">
        <v>128</v>
      </c>
      <c r="AD20" s="89">
        <v>0.32902532154340836</v>
      </c>
      <c r="AE20" s="89" t="s">
        <v>128</v>
      </c>
      <c r="AF20" s="89">
        <v>0.77052358463481851</v>
      </c>
      <c r="AG20" s="89">
        <v>0.79906149517684888</v>
      </c>
      <c r="AH20" s="89">
        <v>1.5041157556270095</v>
      </c>
      <c r="AI20" s="89" t="s">
        <v>128</v>
      </c>
      <c r="AJ20" s="89"/>
      <c r="AK20" s="89">
        <v>1.5818525074202323</v>
      </c>
      <c r="AL20" s="89" t="s">
        <v>128</v>
      </c>
      <c r="AM20" s="89" t="s">
        <v>128</v>
      </c>
      <c r="AO20" s="89">
        <v>34.721490222786151</v>
      </c>
      <c r="AP20" s="89" t="s">
        <v>128</v>
      </c>
      <c r="AQ20" s="89">
        <v>30.386176881353727</v>
      </c>
      <c r="AR20" s="89" t="s">
        <v>128</v>
      </c>
      <c r="AS20" s="89">
        <v>7.3635579603055366</v>
      </c>
      <c r="AT20" s="89">
        <v>0.43870042872454451</v>
      </c>
      <c r="AV20" s="89">
        <v>0.74440117996246224</v>
      </c>
    </row>
    <row r="21" spans="1:89" x14ac:dyDescent="0.2">
      <c r="A21" s="88" t="s">
        <v>413</v>
      </c>
      <c r="C21" s="89">
        <v>0.38045965935429737</v>
      </c>
      <c r="D21" s="89"/>
      <c r="E21" s="89">
        <v>0.34158784990778562</v>
      </c>
      <c r="F21" s="89" t="s">
        <v>128</v>
      </c>
      <c r="G21" s="89">
        <v>0.3772135765852847</v>
      </c>
      <c r="H21" s="89">
        <v>0.28233281471970034</v>
      </c>
      <c r="I21" s="89" t="s">
        <v>128</v>
      </c>
      <c r="J21" s="89">
        <v>0.87836875690573435</v>
      </c>
      <c r="K21" s="89">
        <v>0.87836875690573446</v>
      </c>
      <c r="L21" s="89">
        <v>0.40415740348423362</v>
      </c>
      <c r="M21" s="89" t="s">
        <v>128</v>
      </c>
      <c r="N21" s="89">
        <v>0.25437099736836633</v>
      </c>
      <c r="O21" s="89" t="s">
        <v>128</v>
      </c>
      <c r="P21" s="89">
        <v>0.42436527365844529</v>
      </c>
      <c r="Q21" s="89">
        <v>0.20495270994467138</v>
      </c>
      <c r="R21" s="89" t="s">
        <v>128</v>
      </c>
      <c r="S21" s="89">
        <v>0.3772135765852847</v>
      </c>
      <c r="T21" s="89" t="s">
        <v>128</v>
      </c>
      <c r="U21" s="89">
        <v>0.33006187951212412</v>
      </c>
      <c r="V21" s="89" t="s">
        <v>128</v>
      </c>
      <c r="W21" s="89">
        <v>1.7307117728661139</v>
      </c>
      <c r="X21" s="89">
        <v>0.21349240619236601</v>
      </c>
      <c r="Y21" s="89" t="s">
        <v>128</v>
      </c>
      <c r="Z21" s="89">
        <v>4.8035791393282352E-2</v>
      </c>
      <c r="AA21" s="89">
        <v>5.8557917127048963E-2</v>
      </c>
      <c r="AB21" s="89" t="s">
        <v>128</v>
      </c>
      <c r="AC21" s="89" t="s">
        <v>128</v>
      </c>
      <c r="AD21" s="89">
        <v>0.51238177486167846</v>
      </c>
      <c r="AE21" s="89" t="s">
        <v>128</v>
      </c>
      <c r="AF21" s="89">
        <v>0.75075669222320318</v>
      </c>
      <c r="AG21" s="89">
        <v>0.79053188121516094</v>
      </c>
      <c r="AH21" s="113">
        <v>0.99548459115983234</v>
      </c>
      <c r="AI21" s="89" t="s">
        <v>128</v>
      </c>
      <c r="AJ21" s="89"/>
      <c r="AK21" s="89">
        <v>1.5371453245850353</v>
      </c>
      <c r="AL21" s="89" t="s">
        <v>128</v>
      </c>
      <c r="AM21" s="89" t="s">
        <v>128</v>
      </c>
      <c r="AO21" s="89">
        <v>23.467867550916569</v>
      </c>
      <c r="AP21" s="89" t="s">
        <v>128</v>
      </c>
      <c r="AQ21" s="89">
        <v>30.052589582479392</v>
      </c>
      <c r="AR21" s="89" t="s">
        <v>128</v>
      </c>
      <c r="AS21" s="89">
        <v>5.750062140114391</v>
      </c>
      <c r="AT21" s="89">
        <v>0.51238177486167846</v>
      </c>
      <c r="AV21" s="89">
        <v>0.65206956642464731</v>
      </c>
    </row>
    <row r="22" spans="1:89" x14ac:dyDescent="0.2">
      <c r="A22" s="88" t="s">
        <v>414</v>
      </c>
      <c r="C22" s="89">
        <v>0.35651877759667233</v>
      </c>
      <c r="D22" s="89"/>
      <c r="E22" s="89">
        <v>0.36332525853828102</v>
      </c>
      <c r="F22" s="89" t="s">
        <v>128</v>
      </c>
      <c r="G22" s="89">
        <v>0.46437277420536932</v>
      </c>
      <c r="H22" s="89">
        <v>0.26738222489830205</v>
      </c>
      <c r="I22" s="89" t="s">
        <v>128</v>
      </c>
      <c r="J22" s="89">
        <v>0.77855412543917346</v>
      </c>
      <c r="K22" s="89" t="s">
        <v>128</v>
      </c>
      <c r="L22" s="89">
        <v>0.46437277420536932</v>
      </c>
      <c r="M22" s="89" t="s">
        <v>128</v>
      </c>
      <c r="N22" s="89">
        <v>0.23168706153902299</v>
      </c>
      <c r="O22" s="89" t="s">
        <v>128</v>
      </c>
      <c r="P22" s="89">
        <v>0.51744394840026875</v>
      </c>
      <c r="Q22" s="89">
        <v>0.20184736585460056</v>
      </c>
      <c r="R22" s="89" t="s">
        <v>128</v>
      </c>
      <c r="S22" s="89">
        <v>0.18574910968214778</v>
      </c>
      <c r="T22" s="89" t="s">
        <v>128</v>
      </c>
      <c r="U22" s="89">
        <v>0.34054003441727093</v>
      </c>
      <c r="V22" s="89" t="s">
        <v>128</v>
      </c>
      <c r="W22" s="89">
        <v>1.7964415561059448</v>
      </c>
      <c r="X22" s="89">
        <v>0.21306110840207834</v>
      </c>
      <c r="Y22" s="89" t="s">
        <v>128</v>
      </c>
      <c r="Z22" s="89">
        <v>3.0277104878190079E-2</v>
      </c>
      <c r="AA22" s="89">
        <v>5.7820860010432448E-2</v>
      </c>
      <c r="AB22" s="89" t="s">
        <v>128</v>
      </c>
      <c r="AC22" s="89" t="s">
        <v>128</v>
      </c>
      <c r="AD22" s="89">
        <v>0.60554209756380162</v>
      </c>
      <c r="AE22" s="89" t="s">
        <v>128</v>
      </c>
      <c r="AF22" s="89">
        <v>0.72774900614243732</v>
      </c>
      <c r="AG22" s="89">
        <v>0.80327012942136955</v>
      </c>
      <c r="AH22" s="113">
        <v>0.98040149129377407</v>
      </c>
      <c r="AI22" s="89" t="s">
        <v>128</v>
      </c>
      <c r="AJ22" s="89"/>
      <c r="AK22" s="89">
        <v>1.5138552439095039</v>
      </c>
      <c r="AL22" s="89" t="s">
        <v>128</v>
      </c>
      <c r="AM22" s="89" t="s">
        <v>128</v>
      </c>
      <c r="AO22" s="89">
        <v>22.842808893010346</v>
      </c>
      <c r="AP22" s="89" t="s">
        <v>128</v>
      </c>
      <c r="AQ22" s="89">
        <v>31.538650914781336</v>
      </c>
      <c r="AR22" s="89" t="s">
        <v>128</v>
      </c>
      <c r="AS22" s="89">
        <v>4.2105794597626351</v>
      </c>
      <c r="AT22" s="89">
        <v>0.50461841463650137</v>
      </c>
      <c r="AV22" s="89">
        <v>0.9513921844579587</v>
      </c>
    </row>
    <row r="23" spans="1:89" x14ac:dyDescent="0.2">
      <c r="A23" s="88" t="s">
        <v>165</v>
      </c>
      <c r="C23" s="89">
        <v>0.34573881271855084</v>
      </c>
      <c r="D23" s="89"/>
      <c r="E23" s="89">
        <v>0.36311353053213991</v>
      </c>
      <c r="F23" s="89" t="s">
        <v>128</v>
      </c>
      <c r="G23" s="89">
        <v>0.4469089606549414</v>
      </c>
      <c r="H23" s="89">
        <v>0.23713536687813219</v>
      </c>
      <c r="I23" s="89" t="s">
        <v>128</v>
      </c>
      <c r="J23" s="89">
        <v>0.69164482006121886</v>
      </c>
      <c r="K23" s="89" t="s">
        <v>128</v>
      </c>
      <c r="L23" s="89">
        <v>0.37242413387911788</v>
      </c>
      <c r="M23" s="89" t="s">
        <v>128</v>
      </c>
      <c r="N23" s="89">
        <v>0.23108463331426241</v>
      </c>
      <c r="O23" s="89" t="s">
        <v>128</v>
      </c>
      <c r="P23" s="89">
        <v>0.47415950703634024</v>
      </c>
      <c r="Q23" s="89">
        <v>0.17429449465542715</v>
      </c>
      <c r="R23" s="89" t="s">
        <v>128</v>
      </c>
      <c r="S23" s="89">
        <v>0.17876358426197655</v>
      </c>
      <c r="T23" s="89" t="s">
        <v>128</v>
      </c>
      <c r="U23" s="89">
        <v>0.26814537639296482</v>
      </c>
      <c r="V23" s="89" t="s">
        <v>128</v>
      </c>
      <c r="W23" s="89">
        <v>1.9542110006820621</v>
      </c>
      <c r="X23" s="89">
        <v>0.21018937340838922</v>
      </c>
      <c r="Y23" s="89" t="s">
        <v>128</v>
      </c>
      <c r="Z23" s="89">
        <v>3.2276758269523545E-2</v>
      </c>
      <c r="AA23" s="89">
        <v>5.99425510719723E-2</v>
      </c>
      <c r="AB23" s="89" t="s">
        <v>128</v>
      </c>
      <c r="AC23" s="89" t="s">
        <v>128</v>
      </c>
      <c r="AD23" s="89">
        <v>0.58098164885142378</v>
      </c>
      <c r="AE23" s="89" t="s">
        <v>128</v>
      </c>
      <c r="AF23" s="89">
        <v>0.70228550960062219</v>
      </c>
      <c r="AG23" s="89">
        <v>0.82997378407346267</v>
      </c>
      <c r="AH23" s="89">
        <v>1.3279580545175402</v>
      </c>
      <c r="AI23" s="89" t="s">
        <v>128</v>
      </c>
      <c r="AJ23" s="89"/>
      <c r="AK23" s="89">
        <v>1.4524541221285596</v>
      </c>
      <c r="AL23" s="89" t="s">
        <v>128</v>
      </c>
      <c r="AM23" s="89">
        <v>19.052253145204865</v>
      </c>
      <c r="AN23" s="89">
        <v>25.936680752295707</v>
      </c>
      <c r="AO23" s="89">
        <v>20.979892875190298</v>
      </c>
      <c r="AP23" s="89">
        <v>22.414415464946906</v>
      </c>
      <c r="AQ23" s="89">
        <v>26.897298557936288</v>
      </c>
      <c r="AR23" s="89" t="s">
        <v>128</v>
      </c>
      <c r="AS23" s="89">
        <v>1.9533968733058469</v>
      </c>
      <c r="AV23" s="89">
        <v>0.82152382473334817</v>
      </c>
    </row>
    <row r="24" spans="1:89" x14ac:dyDescent="0.2">
      <c r="A24" s="88" t="s">
        <v>154</v>
      </c>
      <c r="C24" s="89">
        <v>0.42344826900597105</v>
      </c>
      <c r="D24" s="89"/>
      <c r="E24" s="89">
        <v>0.41447628535525438</v>
      </c>
      <c r="F24" s="89" t="s">
        <v>128</v>
      </c>
      <c r="G24" s="89">
        <v>0.40797945202416241</v>
      </c>
      <c r="H24" s="89">
        <v>0.24826620303794819</v>
      </c>
      <c r="I24" s="89" t="s">
        <v>128</v>
      </c>
      <c r="J24" s="89">
        <v>0.42132089687316082</v>
      </c>
      <c r="K24" s="89">
        <v>0.74370974499993792</v>
      </c>
      <c r="L24" s="89">
        <v>0.16685795560896041</v>
      </c>
      <c r="M24" s="89" t="s">
        <v>128</v>
      </c>
      <c r="N24" s="89">
        <v>0.19635880391228988</v>
      </c>
      <c r="O24" s="89" t="s">
        <v>128</v>
      </c>
      <c r="P24" s="89">
        <v>0.41271804530216327</v>
      </c>
      <c r="Q24" s="89">
        <v>0.15737555795599623</v>
      </c>
      <c r="R24" s="89" t="s">
        <v>128</v>
      </c>
      <c r="S24" s="89">
        <v>0.434106897903342</v>
      </c>
      <c r="T24" s="89" t="s">
        <v>128</v>
      </c>
      <c r="U24" s="89">
        <v>0.24917454704271422</v>
      </c>
      <c r="V24" s="89" t="s">
        <v>128</v>
      </c>
      <c r="W24" s="89">
        <v>3.5893808502247482</v>
      </c>
      <c r="X24" s="89">
        <v>0.15275811814850759</v>
      </c>
      <c r="Y24" s="89" t="s">
        <v>128</v>
      </c>
      <c r="Z24" s="89">
        <v>3.2234473786984401E-2</v>
      </c>
      <c r="AA24" s="89">
        <v>0.10626402935984455</v>
      </c>
      <c r="AB24" s="89" t="s">
        <v>128</v>
      </c>
      <c r="AC24" s="89" t="s">
        <v>128</v>
      </c>
      <c r="AD24" s="89">
        <v>0.9062240966851095</v>
      </c>
      <c r="AE24" s="89" t="s">
        <v>128</v>
      </c>
      <c r="AF24" s="89">
        <v>0.7147417267673587</v>
      </c>
      <c r="AG24" s="89">
        <v>0.71366086641408177</v>
      </c>
      <c r="AH24" s="89">
        <v>1.0806039029913628</v>
      </c>
      <c r="AI24" s="89" t="s">
        <v>128</v>
      </c>
      <c r="AJ24" s="113"/>
      <c r="AK24" s="113">
        <v>1.0677055181688924</v>
      </c>
      <c r="AL24" s="89" t="s">
        <v>128</v>
      </c>
      <c r="AM24" s="89">
        <v>17.682408674784575</v>
      </c>
      <c r="AN24" s="89">
        <v>57.385011188266809</v>
      </c>
      <c r="AO24" s="89">
        <v>20.47836659826924</v>
      </c>
      <c r="AP24" s="89">
        <v>24.303748776762152</v>
      </c>
      <c r="AQ24" s="89">
        <v>45.90800895061345</v>
      </c>
      <c r="AR24" s="89" t="s">
        <v>128</v>
      </c>
      <c r="AS24" s="89">
        <v>4.330210665959898</v>
      </c>
      <c r="AV24" s="89">
        <v>0.63010992677312583</v>
      </c>
    </row>
    <row r="25" spans="1:89" x14ac:dyDescent="0.2">
      <c r="A25" s="88" t="s">
        <v>166</v>
      </c>
      <c r="C25" s="89">
        <v>0.46454732383295205</v>
      </c>
      <c r="D25" s="89"/>
      <c r="E25" s="89">
        <v>0.48528059007560609</v>
      </c>
      <c r="F25" s="89" t="s">
        <v>128</v>
      </c>
      <c r="G25" s="89">
        <v>0.60312399128551941</v>
      </c>
      <c r="H25" s="89">
        <v>0.31894766697548665</v>
      </c>
      <c r="I25" s="89" t="s">
        <v>128</v>
      </c>
      <c r="J25" s="89">
        <v>0.40647434040520852</v>
      </c>
      <c r="K25" s="89" t="s">
        <v>128</v>
      </c>
      <c r="L25" s="89">
        <v>0.27651315673823706</v>
      </c>
      <c r="M25" s="89" t="s">
        <v>128</v>
      </c>
      <c r="N25" s="89">
        <v>0.21858074991391832</v>
      </c>
      <c r="O25" s="89" t="s">
        <v>128</v>
      </c>
      <c r="P25" s="89">
        <v>0.47277183526748712</v>
      </c>
      <c r="Q25" s="89">
        <v>0.23878886178323475</v>
      </c>
      <c r="R25" s="89" t="s">
        <v>128</v>
      </c>
      <c r="S25" s="89">
        <v>0.33845210384760216</v>
      </c>
      <c r="T25" s="89" t="s">
        <v>128</v>
      </c>
      <c r="U25" s="89">
        <v>0.29863420927729606</v>
      </c>
      <c r="V25" s="89" t="s">
        <v>128</v>
      </c>
      <c r="W25" s="113">
        <v>4.4068004201653119</v>
      </c>
      <c r="X25" s="89">
        <v>0.1797335518798541</v>
      </c>
      <c r="Y25" s="89" t="s">
        <v>128</v>
      </c>
      <c r="Z25" s="89">
        <v>3.2951151177973252E-2</v>
      </c>
      <c r="AA25" s="89">
        <v>0.21031508160269494</v>
      </c>
      <c r="AB25" s="89" t="s">
        <v>128</v>
      </c>
      <c r="AC25" s="89" t="s">
        <v>128</v>
      </c>
      <c r="AD25" s="89" t="s">
        <v>128</v>
      </c>
      <c r="AE25" s="89" t="s">
        <v>128</v>
      </c>
      <c r="AF25" s="89">
        <v>0.99785214047060289</v>
      </c>
      <c r="AG25" s="89">
        <v>0.77592818694852106</v>
      </c>
      <c r="AH25" s="89">
        <v>1.1831602958033824</v>
      </c>
      <c r="AI25" s="89" t="s">
        <v>128</v>
      </c>
      <c r="AJ25" s="113"/>
      <c r="AK25" s="113">
        <v>0.71893420751941639</v>
      </c>
      <c r="AL25" s="89" t="s">
        <v>128</v>
      </c>
      <c r="AM25" s="89">
        <v>37.979411260326309</v>
      </c>
      <c r="AN25" s="89">
        <v>85.587405657073376</v>
      </c>
      <c r="AO25" s="89">
        <v>40.24645861255236</v>
      </c>
      <c r="AP25" s="89">
        <v>21.999386750094139</v>
      </c>
      <c r="AQ25" s="89">
        <v>58.028261035495753</v>
      </c>
      <c r="AR25" s="89" t="s">
        <v>128</v>
      </c>
      <c r="AS25" s="89">
        <v>3.9696199008726865</v>
      </c>
      <c r="AV25" s="89">
        <v>0.36597329568296083</v>
      </c>
    </row>
    <row r="26" spans="1:89" x14ac:dyDescent="0.2">
      <c r="A26" s="88" t="s">
        <v>167</v>
      </c>
      <c r="C26" s="89">
        <v>0.43660334859917971</v>
      </c>
      <c r="D26" s="89"/>
      <c r="E26" s="89">
        <v>0.42743649879783319</v>
      </c>
      <c r="F26" s="89" t="s">
        <v>128</v>
      </c>
      <c r="G26" s="89">
        <v>0.56365252588725256</v>
      </c>
      <c r="H26" s="89">
        <v>0.27580686447039054</v>
      </c>
      <c r="I26" s="89" t="s">
        <v>128</v>
      </c>
      <c r="J26" s="89">
        <v>0.34445432137554322</v>
      </c>
      <c r="K26" s="89" t="s">
        <v>128</v>
      </c>
      <c r="L26" s="89">
        <v>0.26303784541405117</v>
      </c>
      <c r="M26" s="89" t="s">
        <v>128</v>
      </c>
      <c r="N26" s="89">
        <v>0.21269906637254812</v>
      </c>
      <c r="O26" s="89" t="s">
        <v>128</v>
      </c>
      <c r="P26" s="89">
        <v>0.38751111154748613</v>
      </c>
      <c r="Q26" s="89">
        <v>0.20354118990373007</v>
      </c>
      <c r="R26" s="89" t="s">
        <v>128</v>
      </c>
      <c r="S26" s="89">
        <v>0.35228282867953281</v>
      </c>
      <c r="T26" s="89" t="s">
        <v>128</v>
      </c>
      <c r="U26" s="89">
        <v>0.31314029215958478</v>
      </c>
      <c r="V26" s="89" t="s">
        <v>128</v>
      </c>
      <c r="W26" s="89">
        <v>3.6857458712297069</v>
      </c>
      <c r="X26" s="89">
        <v>0.16824237994294805</v>
      </c>
      <c r="Y26" s="89" t="s">
        <v>128</v>
      </c>
      <c r="Z26" s="89">
        <v>2.9683090194293969E-2</v>
      </c>
      <c r="AA26" s="89">
        <v>0.18092550213664896</v>
      </c>
      <c r="AB26" s="89" t="s">
        <v>128</v>
      </c>
      <c r="AC26" s="89" t="s">
        <v>128</v>
      </c>
      <c r="AD26" s="89">
        <v>1.0177059495186505</v>
      </c>
      <c r="AE26" s="89" t="s">
        <v>128</v>
      </c>
      <c r="AF26" s="89">
        <v>0.79179759588923571</v>
      </c>
      <c r="AG26" s="89">
        <v>0.58154625686780026</v>
      </c>
      <c r="AH26" s="89">
        <v>1.0467832623620403</v>
      </c>
      <c r="AI26" s="89" t="s">
        <v>128</v>
      </c>
      <c r="AJ26" s="89"/>
      <c r="AK26" s="89">
        <v>0.76327946213898779</v>
      </c>
      <c r="AL26" s="89" t="s">
        <v>128</v>
      </c>
      <c r="AM26" s="89">
        <v>31.803310922457822</v>
      </c>
      <c r="AN26" s="89">
        <v>60.577735090395862</v>
      </c>
      <c r="AO26" s="89">
        <v>33.389302805729997</v>
      </c>
      <c r="AP26" s="89">
        <v>22.898383864169634</v>
      </c>
      <c r="AQ26" s="89">
        <v>54.51996158135627</v>
      </c>
      <c r="AR26" s="89" t="s">
        <v>128</v>
      </c>
      <c r="AS26" s="89">
        <v>3.6168830148360671</v>
      </c>
      <c r="AV26" s="89">
        <v>0.60440681391096329</v>
      </c>
    </row>
    <row r="27" spans="1:89" x14ac:dyDescent="0.2">
      <c r="A27" s="88" t="s">
        <v>168</v>
      </c>
      <c r="C27" s="89">
        <v>0.42915215872188256</v>
      </c>
      <c r="D27" s="89"/>
      <c r="E27" s="89">
        <v>0.40397703571738941</v>
      </c>
      <c r="F27" s="89" t="s">
        <v>128</v>
      </c>
      <c r="G27" s="89">
        <v>0.17060870286707244</v>
      </c>
      <c r="H27" s="89">
        <v>0.28988722784627335</v>
      </c>
      <c r="I27" s="89" t="s">
        <v>128</v>
      </c>
      <c r="J27" s="89">
        <v>0.32226088319335905</v>
      </c>
      <c r="K27" s="89" t="s">
        <v>128</v>
      </c>
      <c r="L27" s="89">
        <v>0.19888100219933016</v>
      </c>
      <c r="M27" s="89" t="s">
        <v>128</v>
      </c>
      <c r="N27" s="89">
        <v>0.19556631882934133</v>
      </c>
      <c r="O27" s="89" t="s">
        <v>128</v>
      </c>
      <c r="P27" s="89">
        <v>0.3777764134913747</v>
      </c>
      <c r="Q27" s="89">
        <v>0.2564933560110409</v>
      </c>
      <c r="R27" s="89" t="s">
        <v>128</v>
      </c>
      <c r="S27" s="89">
        <v>0.31568413047512728</v>
      </c>
      <c r="T27" s="89" t="s">
        <v>128</v>
      </c>
      <c r="U27" s="89">
        <v>0.31075156593645337</v>
      </c>
      <c r="V27" s="89" t="s">
        <v>128</v>
      </c>
      <c r="W27" s="89">
        <v>3.9499976825700296</v>
      </c>
      <c r="X27" s="89">
        <v>0.2184943403057015</v>
      </c>
      <c r="Y27" s="89" t="s">
        <v>128</v>
      </c>
      <c r="Z27" s="89">
        <v>2.5934328218894135E-2</v>
      </c>
      <c r="AA27" s="89">
        <v>0.1870264054247173</v>
      </c>
      <c r="AB27" s="89" t="s">
        <v>128</v>
      </c>
      <c r="AC27" s="89" t="s">
        <v>128</v>
      </c>
      <c r="AD27" s="89">
        <v>0.89772674603864311</v>
      </c>
      <c r="AE27" s="89" t="s">
        <v>128</v>
      </c>
      <c r="AF27" s="89">
        <v>0.85716816765880532</v>
      </c>
      <c r="AG27" s="89">
        <v>0.49466575802129314</v>
      </c>
      <c r="AH27" s="89">
        <v>0.94705239142538178</v>
      </c>
      <c r="AI27" s="89" t="s">
        <v>128</v>
      </c>
      <c r="AJ27" s="89"/>
      <c r="AK27" s="89">
        <v>0.75409046667246016</v>
      </c>
      <c r="AL27" s="89" t="s">
        <v>128</v>
      </c>
      <c r="AM27" s="89">
        <v>27.870601592702968</v>
      </c>
      <c r="AN27" s="89">
        <v>53.436115835633515</v>
      </c>
      <c r="AO27" s="89">
        <v>28.718746614980283</v>
      </c>
      <c r="AP27" s="89">
        <v>21.545441904927433</v>
      </c>
      <c r="AQ27" s="89">
        <v>48.983106182664052</v>
      </c>
      <c r="AR27" s="89" t="s">
        <v>128</v>
      </c>
      <c r="AS27" s="89">
        <v>3.1441121059417911</v>
      </c>
      <c r="AV27" s="89">
        <v>0.55392435995802736</v>
      </c>
    </row>
    <row r="28" spans="1:89" x14ac:dyDescent="0.2">
      <c r="A28" s="88" t="s">
        <v>169</v>
      </c>
      <c r="C28" s="89">
        <v>0.38868619556750378</v>
      </c>
      <c r="D28" s="89"/>
      <c r="E28" s="89">
        <v>0.36484970018249752</v>
      </c>
      <c r="F28" s="89" t="s">
        <v>128</v>
      </c>
      <c r="G28" s="89">
        <v>0.27263494079571243</v>
      </c>
      <c r="H28" s="89">
        <v>0.23559722344553277</v>
      </c>
      <c r="I28" s="89"/>
      <c r="J28" s="89">
        <v>0.37420482069999744</v>
      </c>
      <c r="K28" s="89" t="s">
        <v>128</v>
      </c>
      <c r="L28" s="89">
        <v>0.22719578399642704</v>
      </c>
      <c r="M28" s="89"/>
      <c r="N28" s="89">
        <v>0.18201407284472962</v>
      </c>
      <c r="O28" s="89"/>
      <c r="P28" s="89">
        <v>0.30661716585990983</v>
      </c>
      <c r="Q28" s="89">
        <v>0.17457410499071863</v>
      </c>
      <c r="R28" s="89"/>
      <c r="S28" s="89">
        <v>0.2222118887767206</v>
      </c>
      <c r="T28" s="89"/>
      <c r="U28" s="89">
        <v>0.33955622619073844</v>
      </c>
      <c r="V28" s="89"/>
      <c r="W28" s="89">
        <v>3.457793089679507</v>
      </c>
      <c r="X28" s="89">
        <v>0.14249769192465325</v>
      </c>
      <c r="Y28" s="89" t="s">
        <v>128</v>
      </c>
      <c r="Z28" s="89">
        <v>2.2455499922572134E-2</v>
      </c>
      <c r="AA28" s="89">
        <v>0.7324019907367173</v>
      </c>
      <c r="AB28" s="89"/>
      <c r="AC28" s="89"/>
      <c r="AD28" s="89" t="s">
        <v>128</v>
      </c>
      <c r="AE28" s="89" t="s">
        <v>128</v>
      </c>
      <c r="AF28" s="89">
        <v>0.65583260293443324</v>
      </c>
      <c r="AG28" s="89">
        <v>0.59980959780569321</v>
      </c>
      <c r="AH28" s="89">
        <v>1.3899036197428476</v>
      </c>
      <c r="AI28" s="89" t="s">
        <v>128</v>
      </c>
      <c r="AJ28" s="89"/>
      <c r="AK28" s="89">
        <v>0.72969940036499503</v>
      </c>
      <c r="AL28" s="89" t="s">
        <v>128</v>
      </c>
      <c r="AM28" s="89">
        <v>25.689575408419525</v>
      </c>
      <c r="AN28" s="89">
        <v>43.43448811696399</v>
      </c>
      <c r="AO28" s="89">
        <v>25.819642831414097</v>
      </c>
      <c r="AP28" s="89">
        <v>13.47643036710126</v>
      </c>
      <c r="AQ28" s="89">
        <v>35.052393918953392</v>
      </c>
      <c r="AR28" s="89" t="s">
        <v>128</v>
      </c>
      <c r="AS28" s="89">
        <v>2.4701886315857813</v>
      </c>
      <c r="AV28" s="89">
        <v>1.2381777155514622</v>
      </c>
    </row>
    <row r="29" spans="1:89" ht="14.4" x14ac:dyDescent="0.3">
      <c r="A29" s="88" t="s">
        <v>170</v>
      </c>
      <c r="C29" s="89">
        <v>0.30499679987548273</v>
      </c>
      <c r="D29" s="89"/>
      <c r="E29" s="89" t="s">
        <v>128</v>
      </c>
      <c r="F29" s="89">
        <v>0.19606013368674138</v>
      </c>
      <c r="G29" s="89" t="s">
        <v>128</v>
      </c>
      <c r="H29" s="89" t="s">
        <v>128</v>
      </c>
      <c r="I29" s="89"/>
      <c r="J29" s="89" t="s">
        <v>128</v>
      </c>
      <c r="K29" s="89" t="s">
        <v>128</v>
      </c>
      <c r="L29" s="89" t="s">
        <v>128</v>
      </c>
      <c r="M29" s="89"/>
      <c r="N29" s="89" t="s">
        <v>128</v>
      </c>
      <c r="O29" s="89"/>
      <c r="P29" s="89" t="s">
        <v>128</v>
      </c>
      <c r="Q29" s="89" t="s">
        <v>128</v>
      </c>
      <c r="R29" s="89"/>
      <c r="S29" s="89" t="s">
        <v>128</v>
      </c>
      <c r="T29" s="89"/>
      <c r="U29" s="89" t="s">
        <v>128</v>
      </c>
      <c r="V29" s="89"/>
      <c r="W29" s="113">
        <v>0.57926857680173593</v>
      </c>
      <c r="X29" s="89">
        <v>0.19185283468058814</v>
      </c>
      <c r="Y29" s="89">
        <v>6.5353377895580461E-2</v>
      </c>
      <c r="Z29" s="89" t="s">
        <v>128</v>
      </c>
      <c r="AA29" s="89" t="s">
        <v>128</v>
      </c>
      <c r="AB29" s="89"/>
      <c r="AC29" s="89"/>
      <c r="AD29" s="89" t="s">
        <v>128</v>
      </c>
      <c r="AE29" s="89" t="s">
        <v>128</v>
      </c>
      <c r="AF29" s="89">
        <v>0.64558807951561248</v>
      </c>
      <c r="AG29" s="89" t="s">
        <v>128</v>
      </c>
      <c r="AH29" s="89" t="s">
        <v>128</v>
      </c>
      <c r="AI29" s="89" t="s">
        <v>128</v>
      </c>
      <c r="AJ29" s="89"/>
      <c r="AK29" s="89" t="s">
        <v>128</v>
      </c>
      <c r="AL29" s="89">
        <v>16.105845393412778</v>
      </c>
      <c r="AM29" s="89"/>
      <c r="AN29" s="89"/>
      <c r="AO29" s="89" t="s">
        <v>128</v>
      </c>
      <c r="AP29" s="89"/>
      <c r="AQ29" s="89"/>
      <c r="AR29" s="89" t="s">
        <v>128</v>
      </c>
      <c r="AS29" s="89">
        <v>3.2676688947790229</v>
      </c>
      <c r="AT29" s="134"/>
      <c r="AU29" s="134"/>
      <c r="AV29" s="89">
        <v>1.1089374077304377</v>
      </c>
      <c r="AW29" s="134"/>
      <c r="AX29" s="134"/>
      <c r="AY29" s="134"/>
    </row>
    <row r="30" spans="1:89" x14ac:dyDescent="0.2">
      <c r="A30" s="88" t="s">
        <v>171</v>
      </c>
      <c r="C30" s="89">
        <v>0.31421916531448213</v>
      </c>
      <c r="D30" s="89"/>
      <c r="E30" s="89" t="s">
        <v>128</v>
      </c>
      <c r="F30" s="89">
        <v>0.20198851785869465</v>
      </c>
      <c r="G30" s="89" t="s">
        <v>128</v>
      </c>
      <c r="H30" s="89" t="s">
        <v>128</v>
      </c>
      <c r="I30" s="89"/>
      <c r="J30" s="89" t="s">
        <v>128</v>
      </c>
      <c r="K30" s="89" t="s">
        <v>128</v>
      </c>
      <c r="L30" s="89" t="s">
        <v>128</v>
      </c>
      <c r="M30" s="89"/>
      <c r="N30" s="89" t="s">
        <v>128</v>
      </c>
      <c r="O30" s="89"/>
      <c r="P30" s="89" t="s">
        <v>128</v>
      </c>
      <c r="Q30" s="89" t="s">
        <v>128</v>
      </c>
      <c r="R30" s="89"/>
      <c r="S30" s="89" t="s">
        <v>128</v>
      </c>
      <c r="T30" s="89"/>
      <c r="U30" s="89" t="s">
        <v>128</v>
      </c>
      <c r="V30" s="89"/>
      <c r="W30" s="113">
        <v>0.51644791497961695</v>
      </c>
      <c r="X30" s="89">
        <v>0.20198851785869468</v>
      </c>
      <c r="Y30" s="89">
        <v>6.7329505952898216E-2</v>
      </c>
      <c r="Z30" s="89" t="s">
        <v>128</v>
      </c>
      <c r="AA30" s="89" t="s">
        <v>128</v>
      </c>
      <c r="AB30" s="89"/>
      <c r="AC30" s="89"/>
      <c r="AD30" s="89" t="s">
        <v>128</v>
      </c>
      <c r="AE30" s="89" t="s">
        <v>128</v>
      </c>
      <c r="AF30" s="89">
        <v>0.67329505952898216</v>
      </c>
      <c r="AG30" s="89" t="s">
        <v>128</v>
      </c>
      <c r="AH30" s="89" t="s">
        <v>128</v>
      </c>
      <c r="AI30" s="89" t="s">
        <v>128</v>
      </c>
      <c r="AJ30" s="89" t="s">
        <v>128</v>
      </c>
      <c r="AK30" s="89" t="s">
        <v>128</v>
      </c>
      <c r="AL30" s="89">
        <v>16.624825606742132</v>
      </c>
      <c r="AM30" s="89"/>
      <c r="AN30" s="89"/>
      <c r="AO30" s="89"/>
      <c r="AP30" s="89"/>
      <c r="AQ30" s="89"/>
      <c r="AR30" s="89" t="s">
        <v>128</v>
      </c>
      <c r="AS30" s="89">
        <v>3.3664752976449108</v>
      </c>
    </row>
    <row r="31" spans="1:89" x14ac:dyDescent="0.2">
      <c r="A31" s="88" t="s">
        <v>172</v>
      </c>
      <c r="C31" s="89">
        <v>0.32448412345379013</v>
      </c>
      <c r="D31" s="89"/>
      <c r="E31" s="89" t="s">
        <v>128</v>
      </c>
      <c r="F31" s="89">
        <v>0.20876381405521274</v>
      </c>
      <c r="G31" s="89" t="s">
        <v>128</v>
      </c>
      <c r="H31" s="89" t="s">
        <v>128</v>
      </c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 t="s">
        <v>128</v>
      </c>
      <c r="V31" s="89"/>
      <c r="W31" s="89">
        <v>1.5657286054140955</v>
      </c>
      <c r="X31" s="89">
        <v>0.20876381405521272</v>
      </c>
      <c r="Y31" s="89">
        <v>6.9587938018404252E-2</v>
      </c>
      <c r="Z31" s="89" t="s">
        <v>128</v>
      </c>
      <c r="AA31" s="89" t="s">
        <v>128</v>
      </c>
      <c r="AB31" s="89"/>
      <c r="AC31" s="89"/>
      <c r="AD31" s="89" t="s">
        <v>128</v>
      </c>
      <c r="AE31" s="89" t="s">
        <v>128</v>
      </c>
      <c r="AF31" s="89">
        <v>0.69587938018404238</v>
      </c>
      <c r="AG31" s="89" t="s">
        <v>128</v>
      </c>
      <c r="AH31" s="89" t="s">
        <v>128</v>
      </c>
      <c r="AI31" s="89" t="s">
        <v>128</v>
      </c>
      <c r="AJ31" s="89" t="s">
        <v>128</v>
      </c>
      <c r="AK31" s="89" t="s">
        <v>128</v>
      </c>
      <c r="AL31" s="89">
        <v>16.936137232956</v>
      </c>
      <c r="AM31" s="89"/>
      <c r="AN31" s="89"/>
      <c r="AO31" s="89"/>
      <c r="AP31" s="89"/>
      <c r="AQ31" s="89"/>
      <c r="AR31" s="89" t="s">
        <v>128</v>
      </c>
      <c r="AS31" s="89">
        <v>3.4793969009202126</v>
      </c>
    </row>
    <row r="32" spans="1:89" x14ac:dyDescent="0.2">
      <c r="A32" s="88" t="s">
        <v>173</v>
      </c>
      <c r="C32" s="89">
        <v>0.42441841231029326</v>
      </c>
      <c r="D32" s="89"/>
      <c r="E32" s="89" t="s">
        <v>128</v>
      </c>
      <c r="F32" s="89">
        <v>0.32502929044016127</v>
      </c>
      <c r="G32" s="89" t="s">
        <v>128</v>
      </c>
      <c r="H32" s="89" t="s">
        <v>128</v>
      </c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 t="s">
        <v>128</v>
      </c>
      <c r="V32" s="89"/>
      <c r="W32" s="89">
        <v>1.6599475681469247</v>
      </c>
      <c r="X32" s="89">
        <v>0.24950236500732975</v>
      </c>
      <c r="Y32" s="89">
        <v>7.4697640566611601E-2</v>
      </c>
      <c r="Z32" s="89" t="s">
        <v>128</v>
      </c>
      <c r="AA32" s="89" t="s">
        <v>128</v>
      </c>
      <c r="AB32" s="89"/>
      <c r="AC32" s="89"/>
      <c r="AD32" s="89" t="s">
        <v>128</v>
      </c>
      <c r="AE32" s="89" t="s">
        <v>128</v>
      </c>
      <c r="AF32" s="89">
        <v>0.65360435495785163</v>
      </c>
      <c r="AG32" s="89" t="s">
        <v>128</v>
      </c>
      <c r="AH32" s="89" t="s">
        <v>128</v>
      </c>
      <c r="AI32" s="89" t="s">
        <v>128</v>
      </c>
      <c r="AJ32" s="89" t="s">
        <v>128</v>
      </c>
      <c r="AK32" s="89" t="s">
        <v>128</v>
      </c>
      <c r="AL32" s="89">
        <v>15.264300463611939</v>
      </c>
      <c r="AM32" s="89"/>
      <c r="AN32" s="89"/>
      <c r="AO32" s="89"/>
      <c r="AP32" s="89"/>
      <c r="AQ32" s="89"/>
      <c r="AR32" s="89" t="s">
        <v>128</v>
      </c>
      <c r="AS32" s="89">
        <v>3.0812776733727287</v>
      </c>
    </row>
    <row r="33" spans="1:48" x14ac:dyDescent="0.2">
      <c r="A33" s="88" t="s">
        <v>174</v>
      </c>
      <c r="C33" s="89">
        <v>0.41064646791083681</v>
      </c>
      <c r="D33" s="89"/>
      <c r="E33" s="89" t="s">
        <v>128</v>
      </c>
      <c r="F33" s="89">
        <v>0.2991128593424614</v>
      </c>
      <c r="G33" s="89" t="s">
        <v>128</v>
      </c>
      <c r="H33" s="89" t="s">
        <v>128</v>
      </c>
      <c r="I33" s="89"/>
      <c r="J33" s="89" t="s">
        <v>128</v>
      </c>
      <c r="K33" s="89" t="s">
        <v>128</v>
      </c>
      <c r="L33" s="89" t="s">
        <v>128</v>
      </c>
      <c r="M33" s="89"/>
      <c r="N33" s="89" t="s">
        <v>128</v>
      </c>
      <c r="O33" s="89"/>
      <c r="P33" s="89" t="s">
        <v>128</v>
      </c>
      <c r="Q33" s="89" t="s">
        <v>128</v>
      </c>
      <c r="R33" s="89"/>
      <c r="S33" s="89" t="s">
        <v>128</v>
      </c>
      <c r="T33" s="89"/>
      <c r="U33" s="89" t="s">
        <v>128</v>
      </c>
      <c r="V33" s="89"/>
      <c r="W33" s="89">
        <v>1.1993484142157773</v>
      </c>
      <c r="X33" s="89">
        <v>0.20600086839091483</v>
      </c>
      <c r="Y33" s="89">
        <v>7.6045642205710515E-2</v>
      </c>
      <c r="Z33" s="89" t="s">
        <v>128</v>
      </c>
      <c r="AA33" s="89" t="s">
        <v>128</v>
      </c>
      <c r="AB33" s="89"/>
      <c r="AC33" s="89"/>
      <c r="AD33" s="89" t="s">
        <v>128</v>
      </c>
      <c r="AE33" s="89" t="s">
        <v>128</v>
      </c>
      <c r="AF33" s="89">
        <v>0.60836513764568412</v>
      </c>
      <c r="AG33" s="89" t="s">
        <v>128</v>
      </c>
      <c r="AH33" s="89" t="s">
        <v>128</v>
      </c>
      <c r="AI33" s="89" t="s">
        <v>128</v>
      </c>
      <c r="AJ33" s="89" t="s">
        <v>128</v>
      </c>
      <c r="AK33" s="89" t="s">
        <v>128</v>
      </c>
      <c r="AL33" s="89">
        <v>13.715868557829969</v>
      </c>
      <c r="AM33" s="89"/>
      <c r="AN33" s="89"/>
      <c r="AO33" s="89"/>
      <c r="AP33" s="89"/>
      <c r="AQ33" s="89"/>
      <c r="AR33" s="89" t="s">
        <v>128</v>
      </c>
      <c r="AS33" s="89">
        <v>2.6615974771998681</v>
      </c>
    </row>
    <row r="34" spans="1:48" x14ac:dyDescent="0.2">
      <c r="A34" s="88" t="s">
        <v>175</v>
      </c>
      <c r="C34" s="89">
        <v>0.41826867613191959</v>
      </c>
      <c r="D34" s="89"/>
      <c r="E34" s="89" t="s">
        <v>128</v>
      </c>
      <c r="F34" s="89">
        <v>0.40516512424652451</v>
      </c>
      <c r="G34" s="89" t="s">
        <v>128</v>
      </c>
      <c r="H34" s="89" t="s">
        <v>128</v>
      </c>
      <c r="I34" s="89"/>
      <c r="J34" s="89" t="s">
        <v>128</v>
      </c>
      <c r="K34" s="89" t="s">
        <v>128</v>
      </c>
      <c r="L34" s="89" t="s">
        <v>128</v>
      </c>
      <c r="M34" s="89"/>
      <c r="N34" s="89" t="s">
        <v>128</v>
      </c>
      <c r="O34" s="89"/>
      <c r="P34" s="89" t="s">
        <v>128</v>
      </c>
      <c r="Q34" s="89" t="s">
        <v>128</v>
      </c>
      <c r="R34" s="89"/>
      <c r="S34" s="89" t="s">
        <v>128</v>
      </c>
      <c r="T34" s="89"/>
      <c r="U34" s="89" t="s">
        <v>128</v>
      </c>
      <c r="V34" s="89"/>
      <c r="W34" s="89">
        <v>1.4871775151357143</v>
      </c>
      <c r="X34" s="89">
        <v>0.20493040063189699</v>
      </c>
      <c r="Y34" s="89">
        <v>5.8598027090945262E-2</v>
      </c>
      <c r="Z34" s="89" t="s">
        <v>128</v>
      </c>
      <c r="AA34" s="89" t="s">
        <v>128</v>
      </c>
      <c r="AB34" s="89"/>
      <c r="AC34" s="89"/>
      <c r="AD34" s="89" t="s">
        <v>128</v>
      </c>
      <c r="AE34" s="89" t="s">
        <v>128</v>
      </c>
      <c r="AF34" s="89">
        <v>0.61578443986088172</v>
      </c>
      <c r="AG34" s="89" t="s">
        <v>128</v>
      </c>
      <c r="AH34" s="89" t="s">
        <v>128</v>
      </c>
      <c r="AI34" s="89" t="s">
        <v>128</v>
      </c>
      <c r="AJ34" s="89" t="s">
        <v>128</v>
      </c>
      <c r="AK34" s="89" t="s">
        <v>128</v>
      </c>
      <c r="AL34" s="89">
        <v>20.721024295282639</v>
      </c>
      <c r="AM34" s="89"/>
      <c r="AN34" s="89"/>
      <c r="AO34" s="89"/>
      <c r="AP34" s="89"/>
      <c r="AQ34" s="89"/>
      <c r="AR34" s="89" t="s">
        <v>128</v>
      </c>
      <c r="AS34" s="89">
        <v>2.9161062661130939</v>
      </c>
    </row>
    <row r="35" spans="1:48" x14ac:dyDescent="0.2">
      <c r="A35" s="88" t="s">
        <v>176</v>
      </c>
      <c r="C35" s="89">
        <v>0.38234001867723466</v>
      </c>
      <c r="D35" s="89"/>
      <c r="E35" s="89" t="s">
        <v>128</v>
      </c>
      <c r="F35" s="89">
        <v>0.21343845032808564</v>
      </c>
      <c r="G35" s="89" t="s">
        <v>128</v>
      </c>
      <c r="H35" s="89" t="s">
        <v>128</v>
      </c>
      <c r="I35" s="89"/>
      <c r="J35" s="89" t="s">
        <v>128</v>
      </c>
      <c r="K35" s="89" t="s">
        <v>128</v>
      </c>
      <c r="L35" s="89" t="s">
        <v>128</v>
      </c>
      <c r="M35" s="89"/>
      <c r="N35" s="89" t="s">
        <v>128</v>
      </c>
      <c r="O35" s="89"/>
      <c r="P35" s="89" t="s">
        <v>128</v>
      </c>
      <c r="Q35" s="89" t="s">
        <v>128</v>
      </c>
      <c r="R35" s="89"/>
      <c r="S35" s="89" t="s">
        <v>128</v>
      </c>
      <c r="T35" s="89"/>
      <c r="U35" s="89" t="s">
        <v>128</v>
      </c>
      <c r="V35" s="89"/>
      <c r="W35" s="89">
        <v>1.1575079533612302</v>
      </c>
      <c r="X35" s="89">
        <v>0.22270071912042255</v>
      </c>
      <c r="Y35" s="89">
        <v>4.7956393390979402E-2</v>
      </c>
      <c r="Z35" s="89" t="s">
        <v>128</v>
      </c>
      <c r="AA35" s="89" t="s">
        <v>128</v>
      </c>
      <c r="AB35" s="89"/>
      <c r="AC35" s="89"/>
      <c r="AD35" s="89" t="s">
        <v>128</v>
      </c>
      <c r="AE35" s="89" t="s">
        <v>128</v>
      </c>
      <c r="AF35" s="89">
        <v>0.56750229303438593</v>
      </c>
      <c r="AG35" s="89" t="s">
        <v>128</v>
      </c>
      <c r="AH35" s="89" t="s">
        <v>128</v>
      </c>
      <c r="AI35" s="89" t="s">
        <v>128</v>
      </c>
      <c r="AJ35" s="89" t="s">
        <v>128</v>
      </c>
      <c r="AK35" s="89" t="s">
        <v>128</v>
      </c>
      <c r="AL35" s="89">
        <v>15.606882843469876</v>
      </c>
      <c r="AM35" s="89"/>
      <c r="AN35" s="89"/>
      <c r="AO35" s="89"/>
      <c r="AP35" s="89"/>
      <c r="AQ35" s="89"/>
      <c r="AR35" s="89" t="s">
        <v>128</v>
      </c>
      <c r="AS35" s="113">
        <v>4.4011458769425786</v>
      </c>
    </row>
    <row r="36" spans="1:48" x14ac:dyDescent="0.2">
      <c r="A36" s="88" t="s">
        <v>177</v>
      </c>
      <c r="C36" s="89">
        <v>0.43251046796247983</v>
      </c>
      <c r="D36" s="89"/>
      <c r="E36" s="89" t="s">
        <v>128</v>
      </c>
      <c r="F36" s="89">
        <v>0.23668118294448134</v>
      </c>
      <c r="G36" s="89" t="s">
        <v>128</v>
      </c>
      <c r="H36" s="89" t="s">
        <v>128</v>
      </c>
      <c r="I36" s="89"/>
      <c r="J36" s="89" t="s">
        <v>128</v>
      </c>
      <c r="K36" s="89" t="s">
        <v>128</v>
      </c>
      <c r="L36" s="89" t="s">
        <v>128</v>
      </c>
      <c r="M36" s="89"/>
      <c r="N36" s="89" t="s">
        <v>128</v>
      </c>
      <c r="O36" s="89"/>
      <c r="P36" s="89" t="s">
        <v>128</v>
      </c>
      <c r="Q36" s="89" t="s">
        <v>128</v>
      </c>
      <c r="R36" s="89"/>
      <c r="S36" s="89" t="s">
        <v>128</v>
      </c>
      <c r="T36" s="89"/>
      <c r="U36" s="89" t="s">
        <v>128</v>
      </c>
      <c r="V36" s="89"/>
      <c r="W36" s="89">
        <v>1.4273511899954878</v>
      </c>
      <c r="X36" s="89">
        <v>0.24702374358754078</v>
      </c>
      <c r="Y36" s="89">
        <v>9.3692371640050731E-2</v>
      </c>
      <c r="Z36" s="89" t="s">
        <v>128</v>
      </c>
      <c r="AA36" s="89" t="s">
        <v>128</v>
      </c>
      <c r="AB36" s="89"/>
      <c r="AC36" s="89"/>
      <c r="AD36" s="89" t="s">
        <v>128</v>
      </c>
      <c r="AE36" s="89" t="s">
        <v>128</v>
      </c>
      <c r="AF36" s="89">
        <v>0.51386701435956872</v>
      </c>
      <c r="AG36" s="89" t="s">
        <v>128</v>
      </c>
      <c r="AH36" s="89" t="s">
        <v>128</v>
      </c>
      <c r="AI36" s="89" t="s">
        <v>128</v>
      </c>
      <c r="AJ36" s="89" t="s">
        <v>128</v>
      </c>
      <c r="AK36" s="89" t="s">
        <v>128</v>
      </c>
      <c r="AL36" s="89">
        <v>14.277624426392119</v>
      </c>
      <c r="AM36" s="89"/>
      <c r="AN36" s="89"/>
      <c r="AO36" s="89"/>
      <c r="AP36" s="89"/>
      <c r="AQ36" s="89"/>
      <c r="AR36" s="89">
        <v>21.64765468013702</v>
      </c>
      <c r="AS36" s="89">
        <v>2.3729787205019925</v>
      </c>
    </row>
    <row r="37" spans="1:48" x14ac:dyDescent="0.2">
      <c r="A37" s="88" t="s">
        <v>144</v>
      </c>
      <c r="C37" s="89">
        <v>0.42173432928507276</v>
      </c>
      <c r="D37" s="89"/>
      <c r="E37" s="89" t="s">
        <v>128</v>
      </c>
      <c r="F37" s="89">
        <v>0.13940539983106598</v>
      </c>
      <c r="G37" s="89" t="s">
        <v>128</v>
      </c>
      <c r="H37" s="89" t="s">
        <v>128</v>
      </c>
      <c r="I37" s="89"/>
      <c r="J37" s="89" t="s">
        <v>128</v>
      </c>
      <c r="K37" s="89" t="s">
        <v>128</v>
      </c>
      <c r="L37" s="89" t="s">
        <v>128</v>
      </c>
      <c r="M37" s="89"/>
      <c r="N37" s="89" t="s">
        <v>128</v>
      </c>
      <c r="O37" s="89"/>
      <c r="P37" s="89" t="s">
        <v>128</v>
      </c>
      <c r="Q37" s="89" t="s">
        <v>128</v>
      </c>
      <c r="R37" s="89"/>
      <c r="S37" s="89" t="s">
        <v>128</v>
      </c>
      <c r="T37" s="89"/>
      <c r="U37" s="89" t="s">
        <v>128</v>
      </c>
      <c r="V37" s="89"/>
      <c r="W37" s="89">
        <v>1.1591952653872661</v>
      </c>
      <c r="X37" s="89">
        <v>0.29427529608265057</v>
      </c>
      <c r="Y37" s="113">
        <v>0.10184746949871722</v>
      </c>
      <c r="Z37" s="89" t="s">
        <v>128</v>
      </c>
      <c r="AA37" s="89" t="s">
        <v>128</v>
      </c>
      <c r="AB37" s="89"/>
      <c r="AC37" s="89"/>
      <c r="AD37" s="89" t="s">
        <v>128</v>
      </c>
      <c r="AE37" s="89" t="s">
        <v>128</v>
      </c>
      <c r="AF37" s="89">
        <v>0.46135620392109616</v>
      </c>
      <c r="AG37" s="89" t="s">
        <v>128</v>
      </c>
      <c r="AH37" s="89" t="s">
        <v>128</v>
      </c>
      <c r="AI37" s="89" t="s">
        <v>128</v>
      </c>
      <c r="AJ37" s="89" t="s">
        <v>128</v>
      </c>
      <c r="AK37" s="89" t="s">
        <v>128</v>
      </c>
      <c r="AL37" s="89">
        <v>13.378533244537557</v>
      </c>
      <c r="AM37" s="89"/>
      <c r="AN37" s="89"/>
      <c r="AO37" s="89"/>
      <c r="AP37" s="89"/>
      <c r="AQ37" s="89"/>
      <c r="AR37" s="89">
        <v>19.524850966320013</v>
      </c>
      <c r="AS37" s="89">
        <v>2.1172236006102563</v>
      </c>
    </row>
    <row r="38" spans="1:48" x14ac:dyDescent="0.2">
      <c r="A38" s="88" t="s">
        <v>145</v>
      </c>
      <c r="C38" s="89">
        <v>0.46952802641870151</v>
      </c>
      <c r="D38" s="89"/>
      <c r="E38" s="89" t="s">
        <v>128</v>
      </c>
      <c r="F38" s="89">
        <v>0.17501555541502051</v>
      </c>
      <c r="G38" s="89" t="s">
        <v>128</v>
      </c>
      <c r="H38" s="89" t="s">
        <v>128</v>
      </c>
      <c r="I38" s="89"/>
      <c r="J38" s="89" t="s">
        <v>128</v>
      </c>
      <c r="K38" s="89" t="s">
        <v>128</v>
      </c>
      <c r="L38" s="89" t="s">
        <v>128</v>
      </c>
      <c r="M38" s="89"/>
      <c r="N38" s="89" t="s">
        <v>128</v>
      </c>
      <c r="O38" s="89"/>
      <c r="P38" s="89" t="s">
        <v>128</v>
      </c>
      <c r="Q38" s="89" t="s">
        <v>128</v>
      </c>
      <c r="R38" s="89"/>
      <c r="S38" s="89" t="s">
        <v>128</v>
      </c>
      <c r="T38" s="89"/>
      <c r="U38" s="89" t="s">
        <v>128</v>
      </c>
      <c r="V38" s="89"/>
      <c r="W38" s="89">
        <v>1.2115499967411139</v>
      </c>
      <c r="X38" s="89">
        <v>0.27812864084133915</v>
      </c>
      <c r="Y38" s="89">
        <v>8.7314666691509946E-2</v>
      </c>
      <c r="Z38" s="89" t="s">
        <v>128</v>
      </c>
      <c r="AA38" s="89" t="s">
        <v>128</v>
      </c>
      <c r="AB38" s="89"/>
      <c r="AC38" s="89"/>
      <c r="AD38" s="89" t="s">
        <v>128</v>
      </c>
      <c r="AE38" s="89" t="s">
        <v>128</v>
      </c>
      <c r="AF38" s="89">
        <v>0.50741133081507106</v>
      </c>
      <c r="AG38" s="89" t="s">
        <v>128</v>
      </c>
      <c r="AH38" s="89" t="s">
        <v>128</v>
      </c>
      <c r="AI38" s="89" t="s">
        <v>128</v>
      </c>
      <c r="AJ38" s="89" t="s">
        <v>128</v>
      </c>
      <c r="AK38" s="89" t="s">
        <v>128</v>
      </c>
      <c r="AL38" s="89">
        <v>13.998202835708982</v>
      </c>
      <c r="AM38" s="89"/>
      <c r="AN38" s="89"/>
      <c r="AO38" s="89"/>
      <c r="AP38" s="89"/>
      <c r="AQ38" s="89"/>
      <c r="AR38" s="89">
        <v>20.59059783630186</v>
      </c>
      <c r="AS38" s="89">
        <v>2.1733322651429559</v>
      </c>
    </row>
    <row r="39" spans="1:48" x14ac:dyDescent="0.2">
      <c r="A39" s="88" t="s">
        <v>146</v>
      </c>
      <c r="C39" s="89">
        <v>0.35782033037861011</v>
      </c>
      <c r="D39" s="89"/>
      <c r="E39" s="89" t="s">
        <v>128</v>
      </c>
      <c r="F39" s="89">
        <v>0.23212490597379001</v>
      </c>
      <c r="G39" s="89" t="s">
        <v>128</v>
      </c>
      <c r="H39" s="89" t="s">
        <v>128</v>
      </c>
      <c r="I39" s="89"/>
      <c r="J39" s="89" t="s">
        <v>128</v>
      </c>
      <c r="K39" s="89" t="s">
        <v>128</v>
      </c>
      <c r="L39" s="89" t="s">
        <v>128</v>
      </c>
      <c r="M39" s="89"/>
      <c r="N39" s="89" t="s">
        <v>128</v>
      </c>
      <c r="O39" s="89"/>
      <c r="P39" s="89" t="s">
        <v>128</v>
      </c>
      <c r="Q39" s="89" t="s">
        <v>128</v>
      </c>
      <c r="R39" s="89"/>
      <c r="S39" s="89" t="s">
        <v>128</v>
      </c>
      <c r="T39" s="89"/>
      <c r="U39" s="89" t="s">
        <v>128</v>
      </c>
      <c r="V39" s="89"/>
      <c r="W39" s="89">
        <v>2.2109223665670217</v>
      </c>
      <c r="X39" s="89">
        <v>0.26836524778395759</v>
      </c>
      <c r="Y39" s="89">
        <v>8.9455082594652527E-2</v>
      </c>
      <c r="Z39" s="89" t="s">
        <v>128</v>
      </c>
      <c r="AA39" s="89" t="s">
        <v>128</v>
      </c>
      <c r="AB39" s="89"/>
      <c r="AC39" s="89"/>
      <c r="AD39" s="89" t="s">
        <v>128</v>
      </c>
      <c r="AE39" s="89" t="s">
        <v>128</v>
      </c>
      <c r="AF39" s="89">
        <v>0.84982328464919898</v>
      </c>
      <c r="AG39" s="89" t="s">
        <v>128</v>
      </c>
      <c r="AH39" s="89" t="s">
        <v>128</v>
      </c>
      <c r="AI39" s="89" t="s">
        <v>128</v>
      </c>
      <c r="AJ39" s="89" t="s">
        <v>128</v>
      </c>
      <c r="AK39" s="89" t="s">
        <v>128</v>
      </c>
      <c r="AL39" s="89">
        <v>14.415047595252579</v>
      </c>
      <c r="AM39" s="89"/>
      <c r="AN39" s="89"/>
      <c r="AO39" s="89"/>
      <c r="AP39" s="89"/>
      <c r="AQ39" s="89"/>
      <c r="AR39" s="89">
        <v>25.897798603019773</v>
      </c>
      <c r="AS39" s="89">
        <v>2.9818360864884172</v>
      </c>
    </row>
    <row r="40" spans="1:48" x14ac:dyDescent="0.2">
      <c r="A40" s="88" t="s">
        <v>147</v>
      </c>
      <c r="C40" s="89">
        <v>0.35</v>
      </c>
      <c r="D40" s="89"/>
      <c r="E40" s="89" t="s">
        <v>128</v>
      </c>
      <c r="F40" s="89">
        <v>0.27575757575757576</v>
      </c>
      <c r="G40" s="89" t="s">
        <v>128</v>
      </c>
      <c r="H40" s="89" t="s">
        <v>128</v>
      </c>
      <c r="I40" s="89"/>
      <c r="J40" s="89" t="s">
        <v>128</v>
      </c>
      <c r="K40" s="89" t="s">
        <v>128</v>
      </c>
      <c r="L40" s="89" t="s">
        <v>128</v>
      </c>
      <c r="M40" s="89"/>
      <c r="N40" s="89" t="s">
        <v>128</v>
      </c>
      <c r="O40" s="89"/>
      <c r="P40" s="89" t="s">
        <v>128</v>
      </c>
      <c r="Q40" s="89" t="s">
        <v>128</v>
      </c>
      <c r="R40" s="89"/>
      <c r="S40" s="89" t="s">
        <v>128</v>
      </c>
      <c r="T40" s="89"/>
      <c r="U40" s="89" t="s">
        <v>128</v>
      </c>
      <c r="V40" s="89"/>
      <c r="W40" s="89">
        <v>2.16734693877551</v>
      </c>
      <c r="X40" s="89">
        <v>0.375</v>
      </c>
      <c r="Y40" s="89">
        <v>5.8035714285714288E-2</v>
      </c>
      <c r="Z40" s="89" t="s">
        <v>128</v>
      </c>
      <c r="AA40" s="89" t="s">
        <v>128</v>
      </c>
      <c r="AB40" s="89"/>
      <c r="AC40" s="89"/>
      <c r="AD40" s="89" t="s">
        <v>128</v>
      </c>
      <c r="AE40" s="89" t="s">
        <v>128</v>
      </c>
      <c r="AF40" s="89">
        <v>0.9</v>
      </c>
      <c r="AG40" s="89" t="s">
        <v>128</v>
      </c>
      <c r="AH40" s="89" t="s">
        <v>128</v>
      </c>
      <c r="AI40" s="89" t="s">
        <v>128</v>
      </c>
      <c r="AJ40" s="89" t="s">
        <v>128</v>
      </c>
      <c r="AK40" s="89" t="s">
        <v>128</v>
      </c>
      <c r="AL40" s="89">
        <v>18.148148148148149</v>
      </c>
      <c r="AM40" s="89"/>
      <c r="AN40" s="89"/>
      <c r="AO40" s="89"/>
      <c r="AP40" s="89"/>
      <c r="AQ40" s="89"/>
      <c r="AR40" s="89">
        <v>105.55555555555556</v>
      </c>
      <c r="AS40" s="89">
        <v>5</v>
      </c>
    </row>
    <row r="41" spans="1:48" x14ac:dyDescent="0.2">
      <c r="A41" s="88" t="s">
        <v>148</v>
      </c>
      <c r="C41" s="89">
        <v>0.4</v>
      </c>
      <c r="D41" s="89"/>
      <c r="E41" s="89" t="s">
        <v>128</v>
      </c>
      <c r="F41" s="89">
        <v>0.25600000000000001</v>
      </c>
      <c r="G41" s="89" t="s">
        <v>128</v>
      </c>
      <c r="H41" s="89" t="s">
        <v>128</v>
      </c>
      <c r="I41" s="89"/>
      <c r="J41" s="89" t="s">
        <v>128</v>
      </c>
      <c r="K41" s="89" t="s">
        <v>128</v>
      </c>
      <c r="L41" s="89" t="s">
        <v>128</v>
      </c>
      <c r="M41" s="89"/>
      <c r="N41" s="89" t="s">
        <v>128</v>
      </c>
      <c r="O41" s="89"/>
      <c r="P41" s="89" t="s">
        <v>128</v>
      </c>
      <c r="Q41" s="89" t="s">
        <v>128</v>
      </c>
      <c r="R41" s="89"/>
      <c r="S41" s="89" t="s">
        <v>128</v>
      </c>
      <c r="T41" s="89"/>
      <c r="U41" s="89" t="s">
        <v>128</v>
      </c>
      <c r="V41" s="89"/>
      <c r="W41" s="89">
        <v>2.591320754716981</v>
      </c>
      <c r="X41" s="89">
        <v>0.33337499999999998</v>
      </c>
      <c r="Y41" s="89">
        <v>4.5680555555555558E-2</v>
      </c>
      <c r="Z41" s="89" t="s">
        <v>128</v>
      </c>
      <c r="AA41" s="89" t="s">
        <v>128</v>
      </c>
      <c r="AB41" s="89"/>
      <c r="AC41" s="89"/>
      <c r="AD41" s="89" t="s">
        <v>128</v>
      </c>
      <c r="AE41" s="89" t="s">
        <v>128</v>
      </c>
      <c r="AF41" s="89">
        <v>0.66665116279069769</v>
      </c>
      <c r="AG41" s="89" t="s">
        <v>128</v>
      </c>
      <c r="AH41" s="89" t="s">
        <v>128</v>
      </c>
      <c r="AI41" s="89" t="s">
        <v>128</v>
      </c>
      <c r="AJ41" s="89" t="s">
        <v>128</v>
      </c>
      <c r="AK41" s="89" t="s">
        <v>128</v>
      </c>
      <c r="AL41" s="89">
        <v>16.570033567287155</v>
      </c>
      <c r="AM41" s="89"/>
      <c r="AN41" s="89"/>
      <c r="AO41" s="89"/>
      <c r="AP41" s="89"/>
      <c r="AQ41" s="89"/>
      <c r="AR41" s="89">
        <v>89.581249999999997</v>
      </c>
      <c r="AS41" s="89">
        <v>4.8321804511278197</v>
      </c>
    </row>
    <row r="42" spans="1:48" x14ac:dyDescent="0.2">
      <c r="A42" s="88" t="s">
        <v>149</v>
      </c>
      <c r="C42" s="89">
        <v>0.45833333333333331</v>
      </c>
      <c r="D42" s="89"/>
      <c r="E42" s="89" t="s">
        <v>128</v>
      </c>
      <c r="F42" s="89">
        <v>0.26250000000000001</v>
      </c>
      <c r="G42" s="89" t="s">
        <v>128</v>
      </c>
      <c r="H42" s="89" t="s">
        <v>128</v>
      </c>
      <c r="I42" s="89"/>
      <c r="J42" s="89" t="s">
        <v>128</v>
      </c>
      <c r="K42" s="89" t="s">
        <v>128</v>
      </c>
      <c r="L42" s="89" t="s">
        <v>128</v>
      </c>
      <c r="M42" s="89"/>
      <c r="N42" s="89" t="s">
        <v>128</v>
      </c>
      <c r="O42" s="89"/>
      <c r="P42" s="89" t="s">
        <v>128</v>
      </c>
      <c r="Q42" s="89" t="s">
        <v>128</v>
      </c>
      <c r="R42" s="89"/>
      <c r="S42" s="89" t="s">
        <v>128</v>
      </c>
      <c r="T42" s="89"/>
      <c r="U42" s="89" t="s">
        <v>128</v>
      </c>
      <c r="V42" s="89"/>
      <c r="W42" s="89">
        <v>2.666596638655462</v>
      </c>
      <c r="X42" s="89">
        <v>0.34444444444444444</v>
      </c>
      <c r="Y42" s="89">
        <v>4.6130801687763713E-2</v>
      </c>
      <c r="Z42" s="89" t="s">
        <v>128</v>
      </c>
      <c r="AA42" s="89" t="s">
        <v>128</v>
      </c>
      <c r="AB42" s="89"/>
      <c r="AC42" s="89"/>
      <c r="AD42" s="89" t="s">
        <v>128</v>
      </c>
      <c r="AE42" s="89" t="s">
        <v>128</v>
      </c>
      <c r="AF42" s="89">
        <v>0.54642156862745095</v>
      </c>
      <c r="AG42" s="89" t="s">
        <v>128</v>
      </c>
      <c r="AH42" s="89" t="s">
        <v>128</v>
      </c>
      <c r="AI42" s="89" t="s">
        <v>128</v>
      </c>
      <c r="AJ42" s="89" t="s">
        <v>128</v>
      </c>
      <c r="AK42" s="89" t="s">
        <v>128</v>
      </c>
      <c r="AL42" s="89">
        <v>17.013894564773192</v>
      </c>
      <c r="AM42" s="89"/>
      <c r="AN42" s="89"/>
      <c r="AO42" s="89"/>
      <c r="AP42" s="89"/>
      <c r="AQ42" s="89"/>
      <c r="AR42" s="89">
        <v>89.168750000000003</v>
      </c>
      <c r="AS42" s="89">
        <v>4.4668292682926829</v>
      </c>
    </row>
    <row r="43" spans="1:48" x14ac:dyDescent="0.2">
      <c r="A43" s="88" t="s">
        <v>150</v>
      </c>
      <c r="C43" s="89">
        <v>0.45</v>
      </c>
      <c r="D43" s="89"/>
      <c r="E43" s="89" t="s">
        <v>128</v>
      </c>
      <c r="F43" s="89">
        <v>0.30042800366860289</v>
      </c>
      <c r="G43" s="89" t="s">
        <v>128</v>
      </c>
      <c r="H43" s="89" t="s">
        <v>128</v>
      </c>
      <c r="I43" s="89"/>
      <c r="J43" s="89" t="s">
        <v>128</v>
      </c>
      <c r="K43" s="89" t="s">
        <v>128</v>
      </c>
      <c r="L43" s="89" t="s">
        <v>128</v>
      </c>
      <c r="M43" s="89"/>
      <c r="N43" s="89" t="s">
        <v>128</v>
      </c>
      <c r="O43" s="89"/>
      <c r="P43" s="89" t="s">
        <v>128</v>
      </c>
      <c r="Q43" s="89" t="s">
        <v>128</v>
      </c>
      <c r="R43" s="89"/>
      <c r="S43" s="89" t="s">
        <v>128</v>
      </c>
      <c r="T43" s="89"/>
      <c r="U43" s="89" t="s">
        <v>128</v>
      </c>
      <c r="V43" s="89"/>
      <c r="W43" s="89">
        <v>2.6667981072555205</v>
      </c>
      <c r="X43" s="89">
        <v>0.37406931964056483</v>
      </c>
      <c r="Y43" s="89">
        <v>8.0404280618311536E-2</v>
      </c>
      <c r="Z43" s="89" t="s">
        <v>128</v>
      </c>
      <c r="AA43" s="89" t="s">
        <v>128</v>
      </c>
      <c r="AB43" s="89"/>
      <c r="AC43" s="89"/>
      <c r="AD43" s="89" t="s">
        <v>128</v>
      </c>
      <c r="AE43" s="89" t="s">
        <v>128</v>
      </c>
      <c r="AF43" s="89">
        <v>0.58225806451612905</v>
      </c>
      <c r="AG43" s="89" t="s">
        <v>128</v>
      </c>
      <c r="AH43" s="89" t="s">
        <v>128</v>
      </c>
      <c r="AI43" s="89" t="s">
        <v>128</v>
      </c>
      <c r="AJ43" s="89" t="s">
        <v>128</v>
      </c>
      <c r="AK43" s="89" t="s">
        <v>128</v>
      </c>
      <c r="AL43" s="89">
        <v>17.170711753476958</v>
      </c>
      <c r="AM43" s="89"/>
      <c r="AN43" s="89"/>
      <c r="AO43" s="89"/>
      <c r="AP43" s="89"/>
      <c r="AQ43" s="89"/>
      <c r="AR43" s="89">
        <v>91.275675675675672</v>
      </c>
      <c r="AS43" s="89">
        <v>4.6547274749721916</v>
      </c>
    </row>
    <row r="44" spans="1:48" x14ac:dyDescent="0.2">
      <c r="A44" s="88" t="s">
        <v>151</v>
      </c>
      <c r="C44" s="89">
        <v>0.45500000000000002</v>
      </c>
      <c r="D44" s="89"/>
      <c r="E44" s="89" t="s">
        <v>128</v>
      </c>
      <c r="F44" s="89">
        <v>0.30901840490797544</v>
      </c>
      <c r="G44" s="89" t="s">
        <v>128</v>
      </c>
      <c r="H44" s="89" t="s">
        <v>128</v>
      </c>
      <c r="I44" s="89"/>
      <c r="J44" s="89" t="s">
        <v>128</v>
      </c>
      <c r="K44" s="89" t="s">
        <v>128</v>
      </c>
      <c r="L44" s="89" t="s">
        <v>128</v>
      </c>
      <c r="M44" s="89"/>
      <c r="N44" s="89" t="s">
        <v>128</v>
      </c>
      <c r="O44" s="89"/>
      <c r="P44" s="89" t="s">
        <v>128</v>
      </c>
      <c r="Q44" s="89" t="s">
        <v>128</v>
      </c>
      <c r="R44" s="89"/>
      <c r="S44" s="89" t="s">
        <v>128</v>
      </c>
      <c r="T44" s="89"/>
      <c r="U44" s="89" t="s">
        <v>128</v>
      </c>
      <c r="V44" s="89"/>
      <c r="W44" s="89">
        <v>2.8667081260364844</v>
      </c>
      <c r="X44" s="89">
        <v>0.39168137916709939</v>
      </c>
      <c r="Y44" s="89">
        <v>8.2583205556056638E-2</v>
      </c>
      <c r="Z44" s="89" t="s">
        <v>128</v>
      </c>
      <c r="AA44" s="89" t="s">
        <v>128</v>
      </c>
      <c r="AB44" s="89"/>
      <c r="AC44" s="89"/>
      <c r="AD44" s="89" t="s">
        <v>128</v>
      </c>
      <c r="AE44" s="89" t="s">
        <v>128</v>
      </c>
      <c r="AF44" s="89">
        <v>0.66330147619688606</v>
      </c>
      <c r="AG44" s="89" t="s">
        <v>128</v>
      </c>
      <c r="AH44" s="89" t="s">
        <v>128</v>
      </c>
      <c r="AI44" s="89" t="s">
        <v>128</v>
      </c>
      <c r="AJ44" s="89" t="s">
        <v>128</v>
      </c>
      <c r="AK44" s="89"/>
      <c r="AL44" s="89">
        <v>16.909462776111262</v>
      </c>
      <c r="AM44" s="89"/>
      <c r="AN44" s="89"/>
      <c r="AO44" s="89"/>
      <c r="AP44" s="89"/>
      <c r="AQ44" s="89"/>
      <c r="AR44" s="89">
        <v>91.217142857142861</v>
      </c>
      <c r="AS44" s="89">
        <v>4.789437896645512</v>
      </c>
    </row>
    <row r="45" spans="1:48" x14ac:dyDescent="0.2">
      <c r="A45" s="88" t="s">
        <v>152</v>
      </c>
      <c r="C45" s="89">
        <v>0.50610478359908884</v>
      </c>
      <c r="D45" s="89"/>
      <c r="E45" s="89" t="s">
        <v>128</v>
      </c>
      <c r="F45" s="89" t="s">
        <v>128</v>
      </c>
      <c r="G45" s="89">
        <v>0.52747909199522103</v>
      </c>
      <c r="H45" s="89">
        <v>0.37644584647739221</v>
      </c>
      <c r="I45" s="89"/>
      <c r="J45" s="89">
        <v>0.50500645994832039</v>
      </c>
      <c r="K45" s="89" t="s">
        <v>128</v>
      </c>
      <c r="L45" s="89" t="s">
        <v>128</v>
      </c>
      <c r="M45" s="89"/>
      <c r="N45" s="89" t="s">
        <v>128</v>
      </c>
      <c r="O45" s="89"/>
      <c r="P45" s="89" t="s">
        <v>128</v>
      </c>
      <c r="Q45" s="89" t="s">
        <v>128</v>
      </c>
      <c r="R45" s="89"/>
      <c r="S45" s="89" t="s">
        <v>128</v>
      </c>
      <c r="T45" s="89"/>
      <c r="U45" s="89" t="s">
        <v>128</v>
      </c>
      <c r="V45" s="89"/>
      <c r="W45" s="89">
        <v>3.0780948708060163</v>
      </c>
      <c r="X45" s="89">
        <v>0.26965725806451613</v>
      </c>
      <c r="Y45" s="89" t="s">
        <v>128</v>
      </c>
      <c r="Z45" s="89">
        <v>3.437113402061856E-2</v>
      </c>
      <c r="AA45" s="89" t="s">
        <v>128</v>
      </c>
      <c r="AB45" s="89"/>
      <c r="AC45" s="89"/>
      <c r="AD45" s="89" t="s">
        <v>128</v>
      </c>
      <c r="AE45" s="89">
        <v>0.16840202458423717</v>
      </c>
      <c r="AF45" s="89" t="s">
        <v>128</v>
      </c>
      <c r="AG45" s="89">
        <v>0.875</v>
      </c>
      <c r="AH45" s="89">
        <v>0.64402173913043481</v>
      </c>
      <c r="AI45" s="89">
        <v>0.73794113114501469</v>
      </c>
      <c r="AJ45" s="89">
        <v>0.34579545454545457</v>
      </c>
      <c r="AK45" s="89"/>
      <c r="AL45" s="89" t="s">
        <v>128</v>
      </c>
      <c r="AM45" s="89"/>
      <c r="AN45" s="89"/>
      <c r="AO45" s="89"/>
      <c r="AP45" s="89"/>
      <c r="AQ45" s="89"/>
      <c r="AR45" s="89" t="s">
        <v>128</v>
      </c>
      <c r="AS45" s="89">
        <v>4.8492922564529559</v>
      </c>
    </row>
    <row r="46" spans="1:48" x14ac:dyDescent="0.2">
      <c r="A46" s="88" t="s">
        <v>153</v>
      </c>
      <c r="C46" s="89">
        <v>0.55538228614685847</v>
      </c>
      <c r="D46" s="89"/>
      <c r="E46" s="89" t="s">
        <v>128</v>
      </c>
      <c r="F46" s="89" t="s">
        <v>128</v>
      </c>
      <c r="G46" s="89">
        <v>0.52110817941952503</v>
      </c>
      <c r="H46" s="89">
        <v>0.24970131421744324</v>
      </c>
      <c r="I46" s="89"/>
      <c r="J46" s="89">
        <v>0.46808510638297873</v>
      </c>
      <c r="K46" s="89" t="s">
        <v>128</v>
      </c>
      <c r="L46" s="89" t="s">
        <v>128</v>
      </c>
      <c r="M46" s="89"/>
      <c r="N46" s="89" t="s">
        <v>128</v>
      </c>
      <c r="O46" s="89"/>
      <c r="P46" s="89" t="s">
        <v>128</v>
      </c>
      <c r="Q46" s="89" t="s">
        <v>128</v>
      </c>
      <c r="R46" s="89"/>
      <c r="S46" s="89" t="s">
        <v>128</v>
      </c>
      <c r="T46" s="89"/>
      <c r="U46" s="89" t="s">
        <v>128</v>
      </c>
      <c r="V46" s="89"/>
      <c r="W46" s="89">
        <v>3.260184473481937</v>
      </c>
      <c r="X46" s="89">
        <v>0.31680045871559631</v>
      </c>
      <c r="Y46" s="89" t="s">
        <v>128</v>
      </c>
      <c r="Z46" s="89">
        <v>2.8128329099401786E-2</v>
      </c>
      <c r="AA46" s="89" t="s">
        <v>128</v>
      </c>
      <c r="AB46" s="89"/>
      <c r="AC46" s="89"/>
      <c r="AD46" s="89" t="s">
        <v>128</v>
      </c>
      <c r="AE46" s="89">
        <v>0.15666089083681581</v>
      </c>
      <c r="AF46" s="89" t="s">
        <v>128</v>
      </c>
      <c r="AG46" s="89">
        <v>1.0263157894736843</v>
      </c>
      <c r="AH46" s="89">
        <v>1.1366120218579234</v>
      </c>
      <c r="AI46" s="89">
        <v>0.8496180493871025</v>
      </c>
      <c r="AJ46" s="89">
        <v>0.55490196078431375</v>
      </c>
      <c r="AK46" s="89"/>
      <c r="AL46" s="89">
        <v>14.033020296879734</v>
      </c>
      <c r="AM46" s="89"/>
      <c r="AN46" s="89"/>
      <c r="AO46" s="89"/>
      <c r="AP46" s="89"/>
      <c r="AQ46" s="89"/>
      <c r="AR46" s="89">
        <v>43.383333333333333</v>
      </c>
      <c r="AS46" s="89">
        <v>5.7519280205655523</v>
      </c>
      <c r="AV46" s="89">
        <v>2.4444444444444446</v>
      </c>
    </row>
  </sheetData>
  <pageMargins left="0.75" right="0.75" top="1" bottom="1" header="0.5" footer="0.5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X46"/>
  <sheetViews>
    <sheetView zoomScale="90" zoomScaleNormal="90" workbookViewId="0">
      <pane xSplit="2" ySplit="8" topLeftCell="H9" activePane="bottomRight" state="frozenSplit"/>
      <selection activeCell="A9" sqref="A9:A19"/>
      <selection pane="topRight" activeCell="A9" sqref="A9:A19"/>
      <selection pane="bottomLeft" activeCell="A9" sqref="A9:A19"/>
      <selection pane="bottomRight" activeCell="Q21" sqref="Q21"/>
    </sheetView>
  </sheetViews>
  <sheetFormatPr defaultColWidth="9.6640625" defaultRowHeight="12" x14ac:dyDescent="0.2"/>
  <cols>
    <col min="1" max="1" width="6.44140625" style="71" customWidth="1"/>
    <col min="2" max="2" width="13.88671875" style="70" customWidth="1"/>
    <col min="3" max="4" width="11.88671875" style="70" customWidth="1"/>
    <col min="5" max="5" width="9.88671875" style="70" customWidth="1"/>
    <col min="6" max="6" width="11.77734375" style="70" customWidth="1"/>
    <col min="7" max="7" width="13.109375" style="70" customWidth="1"/>
    <col min="8" max="8" width="11.5546875" style="70" customWidth="1"/>
    <col min="9" max="9" width="10.6640625" style="70" customWidth="1"/>
    <col min="10" max="10" width="14.109375" style="70" customWidth="1"/>
    <col min="11" max="11" width="10.6640625" style="70" customWidth="1"/>
    <col min="12" max="12" width="7.21875" style="70" customWidth="1"/>
    <col min="13" max="13" width="11.88671875" style="70" customWidth="1"/>
    <col min="14" max="14" width="9" style="70" customWidth="1"/>
    <col min="15" max="18" width="9.6640625" style="70"/>
    <col min="19" max="19" width="7.109375" style="70" customWidth="1"/>
    <col min="20" max="21" width="9.6640625" style="70"/>
    <col min="22" max="23" width="18.6640625" style="70" customWidth="1"/>
    <col min="24" max="24" width="12.77734375" style="70" customWidth="1"/>
    <col min="25" max="25" width="11.109375" style="70" customWidth="1"/>
    <col min="26" max="26" width="12" style="70" customWidth="1"/>
    <col min="27" max="27" width="9.6640625" style="70"/>
    <col min="28" max="28" width="15.33203125" style="70" customWidth="1"/>
    <col min="29" max="29" width="15.21875" style="70" customWidth="1"/>
    <col min="30" max="30" width="13.21875" style="70" customWidth="1"/>
    <col min="31" max="46" width="9.6640625" style="70"/>
    <col min="47" max="48" width="13.44140625" style="70" customWidth="1"/>
    <col min="49" max="49" width="9.6640625" style="70"/>
    <col min="50" max="50" width="13.88671875" style="70" customWidth="1"/>
    <col min="51" max="51" width="10.6640625" style="70" customWidth="1"/>
    <col min="52" max="52" width="17.33203125" style="70" customWidth="1"/>
    <col min="53" max="54" width="12.6640625" style="70" customWidth="1"/>
    <col min="55" max="55" width="11.21875" style="70" customWidth="1"/>
    <col min="56" max="56" width="18.33203125" style="70" customWidth="1"/>
    <col min="57" max="57" width="12.88671875" style="70" customWidth="1"/>
    <col min="58" max="59" width="13.21875" style="70" customWidth="1"/>
    <col min="60" max="60" width="10.88671875" style="70" customWidth="1"/>
    <col min="61" max="61" width="11.109375" style="70" customWidth="1"/>
    <col min="62" max="62" width="15.21875" style="70" customWidth="1"/>
    <col min="63" max="63" width="9.6640625" style="70"/>
    <col min="64" max="64" width="11" style="70" customWidth="1"/>
    <col min="65" max="65" width="10.77734375" style="70" customWidth="1"/>
    <col min="66" max="66" width="11.44140625" style="70" customWidth="1"/>
    <col min="67" max="67" width="4" style="70" customWidth="1"/>
    <col min="68" max="258" width="9.6640625" style="70"/>
    <col min="259" max="259" width="6.44140625" style="70" customWidth="1"/>
    <col min="260" max="260" width="13.88671875" style="70" customWidth="1"/>
    <col min="261" max="261" width="11.88671875" style="70" customWidth="1"/>
    <col min="262" max="264" width="9.6640625" style="70"/>
    <col min="265" max="265" width="15.44140625" style="70" customWidth="1"/>
    <col min="266" max="266" width="16.21875" style="70" customWidth="1"/>
    <col min="267" max="278" width="9.6640625" style="70"/>
    <col min="279" max="279" width="12" style="70" customWidth="1"/>
    <col min="280" max="280" width="12.77734375" style="70" customWidth="1"/>
    <col min="281" max="281" width="11.109375" style="70" customWidth="1"/>
    <col min="282" max="282" width="12" style="70" customWidth="1"/>
    <col min="283" max="283" width="9.6640625" style="70"/>
    <col min="284" max="284" width="15.33203125" style="70" customWidth="1"/>
    <col min="285" max="285" width="15.21875" style="70" customWidth="1"/>
    <col min="286" max="286" width="21.44140625" style="70" customWidth="1"/>
    <col min="287" max="302" width="9.6640625" style="70"/>
    <col min="303" max="304" width="13.44140625" style="70" customWidth="1"/>
    <col min="305" max="305" width="9.6640625" style="70"/>
    <col min="306" max="306" width="13.88671875" style="70" customWidth="1"/>
    <col min="307" max="307" width="10.6640625" style="70" customWidth="1"/>
    <col min="308" max="308" width="17.33203125" style="70" customWidth="1"/>
    <col min="309" max="310" width="12.6640625" style="70" customWidth="1"/>
    <col min="311" max="311" width="11.21875" style="70" customWidth="1"/>
    <col min="312" max="312" width="18.33203125" style="70" customWidth="1"/>
    <col min="313" max="313" width="12.88671875" style="70" customWidth="1"/>
    <col min="314" max="315" width="13.21875" style="70" customWidth="1"/>
    <col min="316" max="316" width="10.88671875" style="70" customWidth="1"/>
    <col min="317" max="317" width="11.109375" style="70" customWidth="1"/>
    <col min="318" max="318" width="15.21875" style="70" customWidth="1"/>
    <col min="319" max="319" width="9.6640625" style="70"/>
    <col min="320" max="320" width="11" style="70" customWidth="1"/>
    <col min="321" max="321" width="10.77734375" style="70" customWidth="1"/>
    <col min="322" max="322" width="11.44140625" style="70" customWidth="1"/>
    <col min="323" max="323" width="4" style="70" customWidth="1"/>
    <col min="324" max="514" width="9.6640625" style="70"/>
    <col min="515" max="515" width="6.44140625" style="70" customWidth="1"/>
    <col min="516" max="516" width="13.88671875" style="70" customWidth="1"/>
    <col min="517" max="517" width="11.88671875" style="70" customWidth="1"/>
    <col min="518" max="520" width="9.6640625" style="70"/>
    <col min="521" max="521" width="15.44140625" style="70" customWidth="1"/>
    <col min="522" max="522" width="16.21875" style="70" customWidth="1"/>
    <col min="523" max="534" width="9.6640625" style="70"/>
    <col min="535" max="535" width="12" style="70" customWidth="1"/>
    <col min="536" max="536" width="12.77734375" style="70" customWidth="1"/>
    <col min="537" max="537" width="11.109375" style="70" customWidth="1"/>
    <col min="538" max="538" width="12" style="70" customWidth="1"/>
    <col min="539" max="539" width="9.6640625" style="70"/>
    <col min="540" max="540" width="15.33203125" style="70" customWidth="1"/>
    <col min="541" max="541" width="15.21875" style="70" customWidth="1"/>
    <col min="542" max="542" width="21.44140625" style="70" customWidth="1"/>
    <col min="543" max="558" width="9.6640625" style="70"/>
    <col min="559" max="560" width="13.44140625" style="70" customWidth="1"/>
    <col min="561" max="561" width="9.6640625" style="70"/>
    <col min="562" max="562" width="13.88671875" style="70" customWidth="1"/>
    <col min="563" max="563" width="10.6640625" style="70" customWidth="1"/>
    <col min="564" max="564" width="17.33203125" style="70" customWidth="1"/>
    <col min="565" max="566" width="12.6640625" style="70" customWidth="1"/>
    <col min="567" max="567" width="11.21875" style="70" customWidth="1"/>
    <col min="568" max="568" width="18.33203125" style="70" customWidth="1"/>
    <col min="569" max="569" width="12.88671875" style="70" customWidth="1"/>
    <col min="570" max="571" width="13.21875" style="70" customWidth="1"/>
    <col min="572" max="572" width="10.88671875" style="70" customWidth="1"/>
    <col min="573" max="573" width="11.109375" style="70" customWidth="1"/>
    <col min="574" max="574" width="15.21875" style="70" customWidth="1"/>
    <col min="575" max="575" width="9.6640625" style="70"/>
    <col min="576" max="576" width="11" style="70" customWidth="1"/>
    <col min="577" max="577" width="10.77734375" style="70" customWidth="1"/>
    <col min="578" max="578" width="11.44140625" style="70" customWidth="1"/>
    <col min="579" max="579" width="4" style="70" customWidth="1"/>
    <col min="580" max="770" width="9.6640625" style="70"/>
    <col min="771" max="771" width="6.44140625" style="70" customWidth="1"/>
    <col min="772" max="772" width="13.88671875" style="70" customWidth="1"/>
    <col min="773" max="773" width="11.88671875" style="70" customWidth="1"/>
    <col min="774" max="776" width="9.6640625" style="70"/>
    <col min="777" max="777" width="15.44140625" style="70" customWidth="1"/>
    <col min="778" max="778" width="16.21875" style="70" customWidth="1"/>
    <col min="779" max="790" width="9.6640625" style="70"/>
    <col min="791" max="791" width="12" style="70" customWidth="1"/>
    <col min="792" max="792" width="12.77734375" style="70" customWidth="1"/>
    <col min="793" max="793" width="11.109375" style="70" customWidth="1"/>
    <col min="794" max="794" width="12" style="70" customWidth="1"/>
    <col min="795" max="795" width="9.6640625" style="70"/>
    <col min="796" max="796" width="15.33203125" style="70" customWidth="1"/>
    <col min="797" max="797" width="15.21875" style="70" customWidth="1"/>
    <col min="798" max="798" width="21.44140625" style="70" customWidth="1"/>
    <col min="799" max="814" width="9.6640625" style="70"/>
    <col min="815" max="816" width="13.44140625" style="70" customWidth="1"/>
    <col min="817" max="817" width="9.6640625" style="70"/>
    <col min="818" max="818" width="13.88671875" style="70" customWidth="1"/>
    <col min="819" max="819" width="10.6640625" style="70" customWidth="1"/>
    <col min="820" max="820" width="17.33203125" style="70" customWidth="1"/>
    <col min="821" max="822" width="12.6640625" style="70" customWidth="1"/>
    <col min="823" max="823" width="11.21875" style="70" customWidth="1"/>
    <col min="824" max="824" width="18.33203125" style="70" customWidth="1"/>
    <col min="825" max="825" width="12.88671875" style="70" customWidth="1"/>
    <col min="826" max="827" width="13.21875" style="70" customWidth="1"/>
    <col min="828" max="828" width="10.88671875" style="70" customWidth="1"/>
    <col min="829" max="829" width="11.109375" style="70" customWidth="1"/>
    <col min="830" max="830" width="15.21875" style="70" customWidth="1"/>
    <col min="831" max="831" width="9.6640625" style="70"/>
    <col min="832" max="832" width="11" style="70" customWidth="1"/>
    <col min="833" max="833" width="10.77734375" style="70" customWidth="1"/>
    <col min="834" max="834" width="11.44140625" style="70" customWidth="1"/>
    <col min="835" max="835" width="4" style="70" customWidth="1"/>
    <col min="836" max="1026" width="9.6640625" style="70"/>
    <col min="1027" max="1027" width="6.44140625" style="70" customWidth="1"/>
    <col min="1028" max="1028" width="13.88671875" style="70" customWidth="1"/>
    <col min="1029" max="1029" width="11.88671875" style="70" customWidth="1"/>
    <col min="1030" max="1032" width="9.6640625" style="70"/>
    <col min="1033" max="1033" width="15.44140625" style="70" customWidth="1"/>
    <col min="1034" max="1034" width="16.21875" style="70" customWidth="1"/>
    <col min="1035" max="1046" width="9.6640625" style="70"/>
    <col min="1047" max="1047" width="12" style="70" customWidth="1"/>
    <col min="1048" max="1048" width="12.77734375" style="70" customWidth="1"/>
    <col min="1049" max="1049" width="11.109375" style="70" customWidth="1"/>
    <col min="1050" max="1050" width="12" style="70" customWidth="1"/>
    <col min="1051" max="1051" width="9.6640625" style="70"/>
    <col min="1052" max="1052" width="15.33203125" style="70" customWidth="1"/>
    <col min="1053" max="1053" width="15.21875" style="70" customWidth="1"/>
    <col min="1054" max="1054" width="21.44140625" style="70" customWidth="1"/>
    <col min="1055" max="1070" width="9.6640625" style="70"/>
    <col min="1071" max="1072" width="13.44140625" style="70" customWidth="1"/>
    <col min="1073" max="1073" width="9.6640625" style="70"/>
    <col min="1074" max="1074" width="13.88671875" style="70" customWidth="1"/>
    <col min="1075" max="1075" width="10.6640625" style="70" customWidth="1"/>
    <col min="1076" max="1076" width="17.33203125" style="70" customWidth="1"/>
    <col min="1077" max="1078" width="12.6640625" style="70" customWidth="1"/>
    <col min="1079" max="1079" width="11.21875" style="70" customWidth="1"/>
    <col min="1080" max="1080" width="18.33203125" style="70" customWidth="1"/>
    <col min="1081" max="1081" width="12.88671875" style="70" customWidth="1"/>
    <col min="1082" max="1083" width="13.21875" style="70" customWidth="1"/>
    <col min="1084" max="1084" width="10.88671875" style="70" customWidth="1"/>
    <col min="1085" max="1085" width="11.109375" style="70" customWidth="1"/>
    <col min="1086" max="1086" width="15.21875" style="70" customWidth="1"/>
    <col min="1087" max="1087" width="9.6640625" style="70"/>
    <col min="1088" max="1088" width="11" style="70" customWidth="1"/>
    <col min="1089" max="1089" width="10.77734375" style="70" customWidth="1"/>
    <col min="1090" max="1090" width="11.44140625" style="70" customWidth="1"/>
    <col min="1091" max="1091" width="4" style="70" customWidth="1"/>
    <col min="1092" max="1282" width="9.6640625" style="70"/>
    <col min="1283" max="1283" width="6.44140625" style="70" customWidth="1"/>
    <col min="1284" max="1284" width="13.88671875" style="70" customWidth="1"/>
    <col min="1285" max="1285" width="11.88671875" style="70" customWidth="1"/>
    <col min="1286" max="1288" width="9.6640625" style="70"/>
    <col min="1289" max="1289" width="15.44140625" style="70" customWidth="1"/>
    <col min="1290" max="1290" width="16.21875" style="70" customWidth="1"/>
    <col min="1291" max="1302" width="9.6640625" style="70"/>
    <col min="1303" max="1303" width="12" style="70" customWidth="1"/>
    <col min="1304" max="1304" width="12.77734375" style="70" customWidth="1"/>
    <col min="1305" max="1305" width="11.109375" style="70" customWidth="1"/>
    <col min="1306" max="1306" width="12" style="70" customWidth="1"/>
    <col min="1307" max="1307" width="9.6640625" style="70"/>
    <col min="1308" max="1308" width="15.33203125" style="70" customWidth="1"/>
    <col min="1309" max="1309" width="15.21875" style="70" customWidth="1"/>
    <col min="1310" max="1310" width="21.44140625" style="70" customWidth="1"/>
    <col min="1311" max="1326" width="9.6640625" style="70"/>
    <col min="1327" max="1328" width="13.44140625" style="70" customWidth="1"/>
    <col min="1329" max="1329" width="9.6640625" style="70"/>
    <col min="1330" max="1330" width="13.88671875" style="70" customWidth="1"/>
    <col min="1331" max="1331" width="10.6640625" style="70" customWidth="1"/>
    <col min="1332" max="1332" width="17.33203125" style="70" customWidth="1"/>
    <col min="1333" max="1334" width="12.6640625" style="70" customWidth="1"/>
    <col min="1335" max="1335" width="11.21875" style="70" customWidth="1"/>
    <col min="1336" max="1336" width="18.33203125" style="70" customWidth="1"/>
    <col min="1337" max="1337" width="12.88671875" style="70" customWidth="1"/>
    <col min="1338" max="1339" width="13.21875" style="70" customWidth="1"/>
    <col min="1340" max="1340" width="10.88671875" style="70" customWidth="1"/>
    <col min="1341" max="1341" width="11.109375" style="70" customWidth="1"/>
    <col min="1342" max="1342" width="15.21875" style="70" customWidth="1"/>
    <col min="1343" max="1343" width="9.6640625" style="70"/>
    <col min="1344" max="1344" width="11" style="70" customWidth="1"/>
    <col min="1345" max="1345" width="10.77734375" style="70" customWidth="1"/>
    <col min="1346" max="1346" width="11.44140625" style="70" customWidth="1"/>
    <col min="1347" max="1347" width="4" style="70" customWidth="1"/>
    <col min="1348" max="1538" width="9.6640625" style="70"/>
    <col min="1539" max="1539" width="6.44140625" style="70" customWidth="1"/>
    <col min="1540" max="1540" width="13.88671875" style="70" customWidth="1"/>
    <col min="1541" max="1541" width="11.88671875" style="70" customWidth="1"/>
    <col min="1542" max="1544" width="9.6640625" style="70"/>
    <col min="1545" max="1545" width="15.44140625" style="70" customWidth="1"/>
    <col min="1546" max="1546" width="16.21875" style="70" customWidth="1"/>
    <col min="1547" max="1558" width="9.6640625" style="70"/>
    <col min="1559" max="1559" width="12" style="70" customWidth="1"/>
    <col min="1560" max="1560" width="12.77734375" style="70" customWidth="1"/>
    <col min="1561" max="1561" width="11.109375" style="70" customWidth="1"/>
    <col min="1562" max="1562" width="12" style="70" customWidth="1"/>
    <col min="1563" max="1563" width="9.6640625" style="70"/>
    <col min="1564" max="1564" width="15.33203125" style="70" customWidth="1"/>
    <col min="1565" max="1565" width="15.21875" style="70" customWidth="1"/>
    <col min="1566" max="1566" width="21.44140625" style="70" customWidth="1"/>
    <col min="1567" max="1582" width="9.6640625" style="70"/>
    <col min="1583" max="1584" width="13.44140625" style="70" customWidth="1"/>
    <col min="1585" max="1585" width="9.6640625" style="70"/>
    <col min="1586" max="1586" width="13.88671875" style="70" customWidth="1"/>
    <col min="1587" max="1587" width="10.6640625" style="70" customWidth="1"/>
    <col min="1588" max="1588" width="17.33203125" style="70" customWidth="1"/>
    <col min="1589" max="1590" width="12.6640625" style="70" customWidth="1"/>
    <col min="1591" max="1591" width="11.21875" style="70" customWidth="1"/>
    <col min="1592" max="1592" width="18.33203125" style="70" customWidth="1"/>
    <col min="1593" max="1593" width="12.88671875" style="70" customWidth="1"/>
    <col min="1594" max="1595" width="13.21875" style="70" customWidth="1"/>
    <col min="1596" max="1596" width="10.88671875" style="70" customWidth="1"/>
    <col min="1597" max="1597" width="11.109375" style="70" customWidth="1"/>
    <col min="1598" max="1598" width="15.21875" style="70" customWidth="1"/>
    <col min="1599" max="1599" width="9.6640625" style="70"/>
    <col min="1600" max="1600" width="11" style="70" customWidth="1"/>
    <col min="1601" max="1601" width="10.77734375" style="70" customWidth="1"/>
    <col min="1602" max="1602" width="11.44140625" style="70" customWidth="1"/>
    <col min="1603" max="1603" width="4" style="70" customWidth="1"/>
    <col min="1604" max="1794" width="9.6640625" style="70"/>
    <col min="1795" max="1795" width="6.44140625" style="70" customWidth="1"/>
    <col min="1796" max="1796" width="13.88671875" style="70" customWidth="1"/>
    <col min="1797" max="1797" width="11.88671875" style="70" customWidth="1"/>
    <col min="1798" max="1800" width="9.6640625" style="70"/>
    <col min="1801" max="1801" width="15.44140625" style="70" customWidth="1"/>
    <col min="1802" max="1802" width="16.21875" style="70" customWidth="1"/>
    <col min="1803" max="1814" width="9.6640625" style="70"/>
    <col min="1815" max="1815" width="12" style="70" customWidth="1"/>
    <col min="1816" max="1816" width="12.77734375" style="70" customWidth="1"/>
    <col min="1817" max="1817" width="11.109375" style="70" customWidth="1"/>
    <col min="1818" max="1818" width="12" style="70" customWidth="1"/>
    <col min="1819" max="1819" width="9.6640625" style="70"/>
    <col min="1820" max="1820" width="15.33203125" style="70" customWidth="1"/>
    <col min="1821" max="1821" width="15.21875" style="70" customWidth="1"/>
    <col min="1822" max="1822" width="21.44140625" style="70" customWidth="1"/>
    <col min="1823" max="1838" width="9.6640625" style="70"/>
    <col min="1839" max="1840" width="13.44140625" style="70" customWidth="1"/>
    <col min="1841" max="1841" width="9.6640625" style="70"/>
    <col min="1842" max="1842" width="13.88671875" style="70" customWidth="1"/>
    <col min="1843" max="1843" width="10.6640625" style="70" customWidth="1"/>
    <col min="1844" max="1844" width="17.33203125" style="70" customWidth="1"/>
    <col min="1845" max="1846" width="12.6640625" style="70" customWidth="1"/>
    <col min="1847" max="1847" width="11.21875" style="70" customWidth="1"/>
    <col min="1848" max="1848" width="18.33203125" style="70" customWidth="1"/>
    <col min="1849" max="1849" width="12.88671875" style="70" customWidth="1"/>
    <col min="1850" max="1851" width="13.21875" style="70" customWidth="1"/>
    <col min="1852" max="1852" width="10.88671875" style="70" customWidth="1"/>
    <col min="1853" max="1853" width="11.109375" style="70" customWidth="1"/>
    <col min="1854" max="1854" width="15.21875" style="70" customWidth="1"/>
    <col min="1855" max="1855" width="9.6640625" style="70"/>
    <col min="1856" max="1856" width="11" style="70" customWidth="1"/>
    <col min="1857" max="1857" width="10.77734375" style="70" customWidth="1"/>
    <col min="1858" max="1858" width="11.44140625" style="70" customWidth="1"/>
    <col min="1859" max="1859" width="4" style="70" customWidth="1"/>
    <col min="1860" max="2050" width="9.6640625" style="70"/>
    <col min="2051" max="2051" width="6.44140625" style="70" customWidth="1"/>
    <col min="2052" max="2052" width="13.88671875" style="70" customWidth="1"/>
    <col min="2053" max="2053" width="11.88671875" style="70" customWidth="1"/>
    <col min="2054" max="2056" width="9.6640625" style="70"/>
    <col min="2057" max="2057" width="15.44140625" style="70" customWidth="1"/>
    <col min="2058" max="2058" width="16.21875" style="70" customWidth="1"/>
    <col min="2059" max="2070" width="9.6640625" style="70"/>
    <col min="2071" max="2071" width="12" style="70" customWidth="1"/>
    <col min="2072" max="2072" width="12.77734375" style="70" customWidth="1"/>
    <col min="2073" max="2073" width="11.109375" style="70" customWidth="1"/>
    <col min="2074" max="2074" width="12" style="70" customWidth="1"/>
    <col min="2075" max="2075" width="9.6640625" style="70"/>
    <col min="2076" max="2076" width="15.33203125" style="70" customWidth="1"/>
    <col min="2077" max="2077" width="15.21875" style="70" customWidth="1"/>
    <col min="2078" max="2078" width="21.44140625" style="70" customWidth="1"/>
    <col min="2079" max="2094" width="9.6640625" style="70"/>
    <col min="2095" max="2096" width="13.44140625" style="70" customWidth="1"/>
    <col min="2097" max="2097" width="9.6640625" style="70"/>
    <col min="2098" max="2098" width="13.88671875" style="70" customWidth="1"/>
    <col min="2099" max="2099" width="10.6640625" style="70" customWidth="1"/>
    <col min="2100" max="2100" width="17.33203125" style="70" customWidth="1"/>
    <col min="2101" max="2102" width="12.6640625" style="70" customWidth="1"/>
    <col min="2103" max="2103" width="11.21875" style="70" customWidth="1"/>
    <col min="2104" max="2104" width="18.33203125" style="70" customWidth="1"/>
    <col min="2105" max="2105" width="12.88671875" style="70" customWidth="1"/>
    <col min="2106" max="2107" width="13.21875" style="70" customWidth="1"/>
    <col min="2108" max="2108" width="10.88671875" style="70" customWidth="1"/>
    <col min="2109" max="2109" width="11.109375" style="70" customWidth="1"/>
    <col min="2110" max="2110" width="15.21875" style="70" customWidth="1"/>
    <col min="2111" max="2111" width="9.6640625" style="70"/>
    <col min="2112" max="2112" width="11" style="70" customWidth="1"/>
    <col min="2113" max="2113" width="10.77734375" style="70" customWidth="1"/>
    <col min="2114" max="2114" width="11.44140625" style="70" customWidth="1"/>
    <col min="2115" max="2115" width="4" style="70" customWidth="1"/>
    <col min="2116" max="2306" width="9.6640625" style="70"/>
    <col min="2307" max="2307" width="6.44140625" style="70" customWidth="1"/>
    <col min="2308" max="2308" width="13.88671875" style="70" customWidth="1"/>
    <col min="2309" max="2309" width="11.88671875" style="70" customWidth="1"/>
    <col min="2310" max="2312" width="9.6640625" style="70"/>
    <col min="2313" max="2313" width="15.44140625" style="70" customWidth="1"/>
    <col min="2314" max="2314" width="16.21875" style="70" customWidth="1"/>
    <col min="2315" max="2326" width="9.6640625" style="70"/>
    <col min="2327" max="2327" width="12" style="70" customWidth="1"/>
    <col min="2328" max="2328" width="12.77734375" style="70" customWidth="1"/>
    <col min="2329" max="2329" width="11.109375" style="70" customWidth="1"/>
    <col min="2330" max="2330" width="12" style="70" customWidth="1"/>
    <col min="2331" max="2331" width="9.6640625" style="70"/>
    <col min="2332" max="2332" width="15.33203125" style="70" customWidth="1"/>
    <col min="2333" max="2333" width="15.21875" style="70" customWidth="1"/>
    <col min="2334" max="2334" width="21.44140625" style="70" customWidth="1"/>
    <col min="2335" max="2350" width="9.6640625" style="70"/>
    <col min="2351" max="2352" width="13.44140625" style="70" customWidth="1"/>
    <col min="2353" max="2353" width="9.6640625" style="70"/>
    <col min="2354" max="2354" width="13.88671875" style="70" customWidth="1"/>
    <col min="2355" max="2355" width="10.6640625" style="70" customWidth="1"/>
    <col min="2356" max="2356" width="17.33203125" style="70" customWidth="1"/>
    <col min="2357" max="2358" width="12.6640625" style="70" customWidth="1"/>
    <col min="2359" max="2359" width="11.21875" style="70" customWidth="1"/>
    <col min="2360" max="2360" width="18.33203125" style="70" customWidth="1"/>
    <col min="2361" max="2361" width="12.88671875" style="70" customWidth="1"/>
    <col min="2362" max="2363" width="13.21875" style="70" customWidth="1"/>
    <col min="2364" max="2364" width="10.88671875" style="70" customWidth="1"/>
    <col min="2365" max="2365" width="11.109375" style="70" customWidth="1"/>
    <col min="2366" max="2366" width="15.21875" style="70" customWidth="1"/>
    <col min="2367" max="2367" width="9.6640625" style="70"/>
    <col min="2368" max="2368" width="11" style="70" customWidth="1"/>
    <col min="2369" max="2369" width="10.77734375" style="70" customWidth="1"/>
    <col min="2370" max="2370" width="11.44140625" style="70" customWidth="1"/>
    <col min="2371" max="2371" width="4" style="70" customWidth="1"/>
    <col min="2372" max="2562" width="9.6640625" style="70"/>
    <col min="2563" max="2563" width="6.44140625" style="70" customWidth="1"/>
    <col min="2564" max="2564" width="13.88671875" style="70" customWidth="1"/>
    <col min="2565" max="2565" width="11.88671875" style="70" customWidth="1"/>
    <col min="2566" max="2568" width="9.6640625" style="70"/>
    <col min="2569" max="2569" width="15.44140625" style="70" customWidth="1"/>
    <col min="2570" max="2570" width="16.21875" style="70" customWidth="1"/>
    <col min="2571" max="2582" width="9.6640625" style="70"/>
    <col min="2583" max="2583" width="12" style="70" customWidth="1"/>
    <col min="2584" max="2584" width="12.77734375" style="70" customWidth="1"/>
    <col min="2585" max="2585" width="11.109375" style="70" customWidth="1"/>
    <col min="2586" max="2586" width="12" style="70" customWidth="1"/>
    <col min="2587" max="2587" width="9.6640625" style="70"/>
    <col min="2588" max="2588" width="15.33203125" style="70" customWidth="1"/>
    <col min="2589" max="2589" width="15.21875" style="70" customWidth="1"/>
    <col min="2590" max="2590" width="21.44140625" style="70" customWidth="1"/>
    <col min="2591" max="2606" width="9.6640625" style="70"/>
    <col min="2607" max="2608" width="13.44140625" style="70" customWidth="1"/>
    <col min="2609" max="2609" width="9.6640625" style="70"/>
    <col min="2610" max="2610" width="13.88671875" style="70" customWidth="1"/>
    <col min="2611" max="2611" width="10.6640625" style="70" customWidth="1"/>
    <col min="2612" max="2612" width="17.33203125" style="70" customWidth="1"/>
    <col min="2613" max="2614" width="12.6640625" style="70" customWidth="1"/>
    <col min="2615" max="2615" width="11.21875" style="70" customWidth="1"/>
    <col min="2616" max="2616" width="18.33203125" style="70" customWidth="1"/>
    <col min="2617" max="2617" width="12.88671875" style="70" customWidth="1"/>
    <col min="2618" max="2619" width="13.21875" style="70" customWidth="1"/>
    <col min="2620" max="2620" width="10.88671875" style="70" customWidth="1"/>
    <col min="2621" max="2621" width="11.109375" style="70" customWidth="1"/>
    <col min="2622" max="2622" width="15.21875" style="70" customWidth="1"/>
    <col min="2623" max="2623" width="9.6640625" style="70"/>
    <col min="2624" max="2624" width="11" style="70" customWidth="1"/>
    <col min="2625" max="2625" width="10.77734375" style="70" customWidth="1"/>
    <col min="2626" max="2626" width="11.44140625" style="70" customWidth="1"/>
    <col min="2627" max="2627" width="4" style="70" customWidth="1"/>
    <col min="2628" max="2818" width="9.6640625" style="70"/>
    <col min="2819" max="2819" width="6.44140625" style="70" customWidth="1"/>
    <col min="2820" max="2820" width="13.88671875" style="70" customWidth="1"/>
    <col min="2821" max="2821" width="11.88671875" style="70" customWidth="1"/>
    <col min="2822" max="2824" width="9.6640625" style="70"/>
    <col min="2825" max="2825" width="15.44140625" style="70" customWidth="1"/>
    <col min="2826" max="2826" width="16.21875" style="70" customWidth="1"/>
    <col min="2827" max="2838" width="9.6640625" style="70"/>
    <col min="2839" max="2839" width="12" style="70" customWidth="1"/>
    <col min="2840" max="2840" width="12.77734375" style="70" customWidth="1"/>
    <col min="2841" max="2841" width="11.109375" style="70" customWidth="1"/>
    <col min="2842" max="2842" width="12" style="70" customWidth="1"/>
    <col min="2843" max="2843" width="9.6640625" style="70"/>
    <col min="2844" max="2844" width="15.33203125" style="70" customWidth="1"/>
    <col min="2845" max="2845" width="15.21875" style="70" customWidth="1"/>
    <col min="2846" max="2846" width="21.44140625" style="70" customWidth="1"/>
    <col min="2847" max="2862" width="9.6640625" style="70"/>
    <col min="2863" max="2864" width="13.44140625" style="70" customWidth="1"/>
    <col min="2865" max="2865" width="9.6640625" style="70"/>
    <col min="2866" max="2866" width="13.88671875" style="70" customWidth="1"/>
    <col min="2867" max="2867" width="10.6640625" style="70" customWidth="1"/>
    <col min="2868" max="2868" width="17.33203125" style="70" customWidth="1"/>
    <col min="2869" max="2870" width="12.6640625" style="70" customWidth="1"/>
    <col min="2871" max="2871" width="11.21875" style="70" customWidth="1"/>
    <col min="2872" max="2872" width="18.33203125" style="70" customWidth="1"/>
    <col min="2873" max="2873" width="12.88671875" style="70" customWidth="1"/>
    <col min="2874" max="2875" width="13.21875" style="70" customWidth="1"/>
    <col min="2876" max="2876" width="10.88671875" style="70" customWidth="1"/>
    <col min="2877" max="2877" width="11.109375" style="70" customWidth="1"/>
    <col min="2878" max="2878" width="15.21875" style="70" customWidth="1"/>
    <col min="2879" max="2879" width="9.6640625" style="70"/>
    <col min="2880" max="2880" width="11" style="70" customWidth="1"/>
    <col min="2881" max="2881" width="10.77734375" style="70" customWidth="1"/>
    <col min="2882" max="2882" width="11.44140625" style="70" customWidth="1"/>
    <col min="2883" max="2883" width="4" style="70" customWidth="1"/>
    <col min="2884" max="3074" width="9.6640625" style="70"/>
    <col min="3075" max="3075" width="6.44140625" style="70" customWidth="1"/>
    <col min="3076" max="3076" width="13.88671875" style="70" customWidth="1"/>
    <col min="3077" max="3077" width="11.88671875" style="70" customWidth="1"/>
    <col min="3078" max="3080" width="9.6640625" style="70"/>
    <col min="3081" max="3081" width="15.44140625" style="70" customWidth="1"/>
    <col min="3082" max="3082" width="16.21875" style="70" customWidth="1"/>
    <col min="3083" max="3094" width="9.6640625" style="70"/>
    <col min="3095" max="3095" width="12" style="70" customWidth="1"/>
    <col min="3096" max="3096" width="12.77734375" style="70" customWidth="1"/>
    <col min="3097" max="3097" width="11.109375" style="70" customWidth="1"/>
    <col min="3098" max="3098" width="12" style="70" customWidth="1"/>
    <col min="3099" max="3099" width="9.6640625" style="70"/>
    <col min="3100" max="3100" width="15.33203125" style="70" customWidth="1"/>
    <col min="3101" max="3101" width="15.21875" style="70" customWidth="1"/>
    <col min="3102" max="3102" width="21.44140625" style="70" customWidth="1"/>
    <col min="3103" max="3118" width="9.6640625" style="70"/>
    <col min="3119" max="3120" width="13.44140625" style="70" customWidth="1"/>
    <col min="3121" max="3121" width="9.6640625" style="70"/>
    <col min="3122" max="3122" width="13.88671875" style="70" customWidth="1"/>
    <col min="3123" max="3123" width="10.6640625" style="70" customWidth="1"/>
    <col min="3124" max="3124" width="17.33203125" style="70" customWidth="1"/>
    <col min="3125" max="3126" width="12.6640625" style="70" customWidth="1"/>
    <col min="3127" max="3127" width="11.21875" style="70" customWidth="1"/>
    <col min="3128" max="3128" width="18.33203125" style="70" customWidth="1"/>
    <col min="3129" max="3129" width="12.88671875" style="70" customWidth="1"/>
    <col min="3130" max="3131" width="13.21875" style="70" customWidth="1"/>
    <col min="3132" max="3132" width="10.88671875" style="70" customWidth="1"/>
    <col min="3133" max="3133" width="11.109375" style="70" customWidth="1"/>
    <col min="3134" max="3134" width="15.21875" style="70" customWidth="1"/>
    <col min="3135" max="3135" width="9.6640625" style="70"/>
    <col min="3136" max="3136" width="11" style="70" customWidth="1"/>
    <col min="3137" max="3137" width="10.77734375" style="70" customWidth="1"/>
    <col min="3138" max="3138" width="11.44140625" style="70" customWidth="1"/>
    <col min="3139" max="3139" width="4" style="70" customWidth="1"/>
    <col min="3140" max="3330" width="9.6640625" style="70"/>
    <col min="3331" max="3331" width="6.44140625" style="70" customWidth="1"/>
    <col min="3332" max="3332" width="13.88671875" style="70" customWidth="1"/>
    <col min="3333" max="3333" width="11.88671875" style="70" customWidth="1"/>
    <col min="3334" max="3336" width="9.6640625" style="70"/>
    <col min="3337" max="3337" width="15.44140625" style="70" customWidth="1"/>
    <col min="3338" max="3338" width="16.21875" style="70" customWidth="1"/>
    <col min="3339" max="3350" width="9.6640625" style="70"/>
    <col min="3351" max="3351" width="12" style="70" customWidth="1"/>
    <col min="3352" max="3352" width="12.77734375" style="70" customWidth="1"/>
    <col min="3353" max="3353" width="11.109375" style="70" customWidth="1"/>
    <col min="3354" max="3354" width="12" style="70" customWidth="1"/>
    <col min="3355" max="3355" width="9.6640625" style="70"/>
    <col min="3356" max="3356" width="15.33203125" style="70" customWidth="1"/>
    <col min="3357" max="3357" width="15.21875" style="70" customWidth="1"/>
    <col min="3358" max="3358" width="21.44140625" style="70" customWidth="1"/>
    <col min="3359" max="3374" width="9.6640625" style="70"/>
    <col min="3375" max="3376" width="13.44140625" style="70" customWidth="1"/>
    <col min="3377" max="3377" width="9.6640625" style="70"/>
    <col min="3378" max="3378" width="13.88671875" style="70" customWidth="1"/>
    <col min="3379" max="3379" width="10.6640625" style="70" customWidth="1"/>
    <col min="3380" max="3380" width="17.33203125" style="70" customWidth="1"/>
    <col min="3381" max="3382" width="12.6640625" style="70" customWidth="1"/>
    <col min="3383" max="3383" width="11.21875" style="70" customWidth="1"/>
    <col min="3384" max="3384" width="18.33203125" style="70" customWidth="1"/>
    <col min="3385" max="3385" width="12.88671875" style="70" customWidth="1"/>
    <col min="3386" max="3387" width="13.21875" style="70" customWidth="1"/>
    <col min="3388" max="3388" width="10.88671875" style="70" customWidth="1"/>
    <col min="3389" max="3389" width="11.109375" style="70" customWidth="1"/>
    <col min="3390" max="3390" width="15.21875" style="70" customWidth="1"/>
    <col min="3391" max="3391" width="9.6640625" style="70"/>
    <col min="3392" max="3392" width="11" style="70" customWidth="1"/>
    <col min="3393" max="3393" width="10.77734375" style="70" customWidth="1"/>
    <col min="3394" max="3394" width="11.44140625" style="70" customWidth="1"/>
    <col min="3395" max="3395" width="4" style="70" customWidth="1"/>
    <col min="3396" max="3586" width="9.6640625" style="70"/>
    <col min="3587" max="3587" width="6.44140625" style="70" customWidth="1"/>
    <col min="3588" max="3588" width="13.88671875" style="70" customWidth="1"/>
    <col min="3589" max="3589" width="11.88671875" style="70" customWidth="1"/>
    <col min="3590" max="3592" width="9.6640625" style="70"/>
    <col min="3593" max="3593" width="15.44140625" style="70" customWidth="1"/>
    <col min="3594" max="3594" width="16.21875" style="70" customWidth="1"/>
    <col min="3595" max="3606" width="9.6640625" style="70"/>
    <col min="3607" max="3607" width="12" style="70" customWidth="1"/>
    <col min="3608" max="3608" width="12.77734375" style="70" customWidth="1"/>
    <col min="3609" max="3609" width="11.109375" style="70" customWidth="1"/>
    <col min="3610" max="3610" width="12" style="70" customWidth="1"/>
    <col min="3611" max="3611" width="9.6640625" style="70"/>
    <col min="3612" max="3612" width="15.33203125" style="70" customWidth="1"/>
    <col min="3613" max="3613" width="15.21875" style="70" customWidth="1"/>
    <col min="3614" max="3614" width="21.44140625" style="70" customWidth="1"/>
    <col min="3615" max="3630" width="9.6640625" style="70"/>
    <col min="3631" max="3632" width="13.44140625" style="70" customWidth="1"/>
    <col min="3633" max="3633" width="9.6640625" style="70"/>
    <col min="3634" max="3634" width="13.88671875" style="70" customWidth="1"/>
    <col min="3635" max="3635" width="10.6640625" style="70" customWidth="1"/>
    <col min="3636" max="3636" width="17.33203125" style="70" customWidth="1"/>
    <col min="3637" max="3638" width="12.6640625" style="70" customWidth="1"/>
    <col min="3639" max="3639" width="11.21875" style="70" customWidth="1"/>
    <col min="3640" max="3640" width="18.33203125" style="70" customWidth="1"/>
    <col min="3641" max="3641" width="12.88671875" style="70" customWidth="1"/>
    <col min="3642" max="3643" width="13.21875" style="70" customWidth="1"/>
    <col min="3644" max="3644" width="10.88671875" style="70" customWidth="1"/>
    <col min="3645" max="3645" width="11.109375" style="70" customWidth="1"/>
    <col min="3646" max="3646" width="15.21875" style="70" customWidth="1"/>
    <col min="3647" max="3647" width="9.6640625" style="70"/>
    <col min="3648" max="3648" width="11" style="70" customWidth="1"/>
    <col min="3649" max="3649" width="10.77734375" style="70" customWidth="1"/>
    <col min="3650" max="3650" width="11.44140625" style="70" customWidth="1"/>
    <col min="3651" max="3651" width="4" style="70" customWidth="1"/>
    <col min="3652" max="3842" width="9.6640625" style="70"/>
    <col min="3843" max="3843" width="6.44140625" style="70" customWidth="1"/>
    <col min="3844" max="3844" width="13.88671875" style="70" customWidth="1"/>
    <col min="3845" max="3845" width="11.88671875" style="70" customWidth="1"/>
    <col min="3846" max="3848" width="9.6640625" style="70"/>
    <col min="3849" max="3849" width="15.44140625" style="70" customWidth="1"/>
    <col min="3850" max="3850" width="16.21875" style="70" customWidth="1"/>
    <col min="3851" max="3862" width="9.6640625" style="70"/>
    <col min="3863" max="3863" width="12" style="70" customWidth="1"/>
    <col min="3864" max="3864" width="12.77734375" style="70" customWidth="1"/>
    <col min="3865" max="3865" width="11.109375" style="70" customWidth="1"/>
    <col min="3866" max="3866" width="12" style="70" customWidth="1"/>
    <col min="3867" max="3867" width="9.6640625" style="70"/>
    <col min="3868" max="3868" width="15.33203125" style="70" customWidth="1"/>
    <col min="3869" max="3869" width="15.21875" style="70" customWidth="1"/>
    <col min="3870" max="3870" width="21.44140625" style="70" customWidth="1"/>
    <col min="3871" max="3886" width="9.6640625" style="70"/>
    <col min="3887" max="3888" width="13.44140625" style="70" customWidth="1"/>
    <col min="3889" max="3889" width="9.6640625" style="70"/>
    <col min="3890" max="3890" width="13.88671875" style="70" customWidth="1"/>
    <col min="3891" max="3891" width="10.6640625" style="70" customWidth="1"/>
    <col min="3892" max="3892" width="17.33203125" style="70" customWidth="1"/>
    <col min="3893" max="3894" width="12.6640625" style="70" customWidth="1"/>
    <col min="3895" max="3895" width="11.21875" style="70" customWidth="1"/>
    <col min="3896" max="3896" width="18.33203125" style="70" customWidth="1"/>
    <col min="3897" max="3897" width="12.88671875" style="70" customWidth="1"/>
    <col min="3898" max="3899" width="13.21875" style="70" customWidth="1"/>
    <col min="3900" max="3900" width="10.88671875" style="70" customWidth="1"/>
    <col min="3901" max="3901" width="11.109375" style="70" customWidth="1"/>
    <col min="3902" max="3902" width="15.21875" style="70" customWidth="1"/>
    <col min="3903" max="3903" width="9.6640625" style="70"/>
    <col min="3904" max="3904" width="11" style="70" customWidth="1"/>
    <col min="3905" max="3905" width="10.77734375" style="70" customWidth="1"/>
    <col min="3906" max="3906" width="11.44140625" style="70" customWidth="1"/>
    <col min="3907" max="3907" width="4" style="70" customWidth="1"/>
    <col min="3908" max="4098" width="9.6640625" style="70"/>
    <col min="4099" max="4099" width="6.44140625" style="70" customWidth="1"/>
    <col min="4100" max="4100" width="13.88671875" style="70" customWidth="1"/>
    <col min="4101" max="4101" width="11.88671875" style="70" customWidth="1"/>
    <col min="4102" max="4104" width="9.6640625" style="70"/>
    <col min="4105" max="4105" width="15.44140625" style="70" customWidth="1"/>
    <col min="4106" max="4106" width="16.21875" style="70" customWidth="1"/>
    <col min="4107" max="4118" width="9.6640625" style="70"/>
    <col min="4119" max="4119" width="12" style="70" customWidth="1"/>
    <col min="4120" max="4120" width="12.77734375" style="70" customWidth="1"/>
    <col min="4121" max="4121" width="11.109375" style="70" customWidth="1"/>
    <col min="4122" max="4122" width="12" style="70" customWidth="1"/>
    <col min="4123" max="4123" width="9.6640625" style="70"/>
    <col min="4124" max="4124" width="15.33203125" style="70" customWidth="1"/>
    <col min="4125" max="4125" width="15.21875" style="70" customWidth="1"/>
    <col min="4126" max="4126" width="21.44140625" style="70" customWidth="1"/>
    <col min="4127" max="4142" width="9.6640625" style="70"/>
    <col min="4143" max="4144" width="13.44140625" style="70" customWidth="1"/>
    <col min="4145" max="4145" width="9.6640625" style="70"/>
    <col min="4146" max="4146" width="13.88671875" style="70" customWidth="1"/>
    <col min="4147" max="4147" width="10.6640625" style="70" customWidth="1"/>
    <col min="4148" max="4148" width="17.33203125" style="70" customWidth="1"/>
    <col min="4149" max="4150" width="12.6640625" style="70" customWidth="1"/>
    <col min="4151" max="4151" width="11.21875" style="70" customWidth="1"/>
    <col min="4152" max="4152" width="18.33203125" style="70" customWidth="1"/>
    <col min="4153" max="4153" width="12.88671875" style="70" customWidth="1"/>
    <col min="4154" max="4155" width="13.21875" style="70" customWidth="1"/>
    <col min="4156" max="4156" width="10.88671875" style="70" customWidth="1"/>
    <col min="4157" max="4157" width="11.109375" style="70" customWidth="1"/>
    <col min="4158" max="4158" width="15.21875" style="70" customWidth="1"/>
    <col min="4159" max="4159" width="9.6640625" style="70"/>
    <col min="4160" max="4160" width="11" style="70" customWidth="1"/>
    <col min="4161" max="4161" width="10.77734375" style="70" customWidth="1"/>
    <col min="4162" max="4162" width="11.44140625" style="70" customWidth="1"/>
    <col min="4163" max="4163" width="4" style="70" customWidth="1"/>
    <col min="4164" max="4354" width="9.6640625" style="70"/>
    <col min="4355" max="4355" width="6.44140625" style="70" customWidth="1"/>
    <col min="4356" max="4356" width="13.88671875" style="70" customWidth="1"/>
    <col min="4357" max="4357" width="11.88671875" style="70" customWidth="1"/>
    <col min="4358" max="4360" width="9.6640625" style="70"/>
    <col min="4361" max="4361" width="15.44140625" style="70" customWidth="1"/>
    <col min="4362" max="4362" width="16.21875" style="70" customWidth="1"/>
    <col min="4363" max="4374" width="9.6640625" style="70"/>
    <col min="4375" max="4375" width="12" style="70" customWidth="1"/>
    <col min="4376" max="4376" width="12.77734375" style="70" customWidth="1"/>
    <col min="4377" max="4377" width="11.109375" style="70" customWidth="1"/>
    <col min="4378" max="4378" width="12" style="70" customWidth="1"/>
    <col min="4379" max="4379" width="9.6640625" style="70"/>
    <col min="4380" max="4380" width="15.33203125" style="70" customWidth="1"/>
    <col min="4381" max="4381" width="15.21875" style="70" customWidth="1"/>
    <col min="4382" max="4382" width="21.44140625" style="70" customWidth="1"/>
    <col min="4383" max="4398" width="9.6640625" style="70"/>
    <col min="4399" max="4400" width="13.44140625" style="70" customWidth="1"/>
    <col min="4401" max="4401" width="9.6640625" style="70"/>
    <col min="4402" max="4402" width="13.88671875" style="70" customWidth="1"/>
    <col min="4403" max="4403" width="10.6640625" style="70" customWidth="1"/>
    <col min="4404" max="4404" width="17.33203125" style="70" customWidth="1"/>
    <col min="4405" max="4406" width="12.6640625" style="70" customWidth="1"/>
    <col min="4407" max="4407" width="11.21875" style="70" customWidth="1"/>
    <col min="4408" max="4408" width="18.33203125" style="70" customWidth="1"/>
    <col min="4409" max="4409" width="12.88671875" style="70" customWidth="1"/>
    <col min="4410" max="4411" width="13.21875" style="70" customWidth="1"/>
    <col min="4412" max="4412" width="10.88671875" style="70" customWidth="1"/>
    <col min="4413" max="4413" width="11.109375" style="70" customWidth="1"/>
    <col min="4414" max="4414" width="15.21875" style="70" customWidth="1"/>
    <col min="4415" max="4415" width="9.6640625" style="70"/>
    <col min="4416" max="4416" width="11" style="70" customWidth="1"/>
    <col min="4417" max="4417" width="10.77734375" style="70" customWidth="1"/>
    <col min="4418" max="4418" width="11.44140625" style="70" customWidth="1"/>
    <col min="4419" max="4419" width="4" style="70" customWidth="1"/>
    <col min="4420" max="4610" width="9.6640625" style="70"/>
    <col min="4611" max="4611" width="6.44140625" style="70" customWidth="1"/>
    <col min="4612" max="4612" width="13.88671875" style="70" customWidth="1"/>
    <col min="4613" max="4613" width="11.88671875" style="70" customWidth="1"/>
    <col min="4614" max="4616" width="9.6640625" style="70"/>
    <col min="4617" max="4617" width="15.44140625" style="70" customWidth="1"/>
    <col min="4618" max="4618" width="16.21875" style="70" customWidth="1"/>
    <col min="4619" max="4630" width="9.6640625" style="70"/>
    <col min="4631" max="4631" width="12" style="70" customWidth="1"/>
    <col min="4632" max="4632" width="12.77734375" style="70" customWidth="1"/>
    <col min="4633" max="4633" width="11.109375" style="70" customWidth="1"/>
    <col min="4634" max="4634" width="12" style="70" customWidth="1"/>
    <col min="4635" max="4635" width="9.6640625" style="70"/>
    <col min="4636" max="4636" width="15.33203125" style="70" customWidth="1"/>
    <col min="4637" max="4637" width="15.21875" style="70" customWidth="1"/>
    <col min="4638" max="4638" width="21.44140625" style="70" customWidth="1"/>
    <col min="4639" max="4654" width="9.6640625" style="70"/>
    <col min="4655" max="4656" width="13.44140625" style="70" customWidth="1"/>
    <col min="4657" max="4657" width="9.6640625" style="70"/>
    <col min="4658" max="4658" width="13.88671875" style="70" customWidth="1"/>
    <col min="4659" max="4659" width="10.6640625" style="70" customWidth="1"/>
    <col min="4660" max="4660" width="17.33203125" style="70" customWidth="1"/>
    <col min="4661" max="4662" width="12.6640625" style="70" customWidth="1"/>
    <col min="4663" max="4663" width="11.21875" style="70" customWidth="1"/>
    <col min="4664" max="4664" width="18.33203125" style="70" customWidth="1"/>
    <col min="4665" max="4665" width="12.88671875" style="70" customWidth="1"/>
    <col min="4666" max="4667" width="13.21875" style="70" customWidth="1"/>
    <col min="4668" max="4668" width="10.88671875" style="70" customWidth="1"/>
    <col min="4669" max="4669" width="11.109375" style="70" customWidth="1"/>
    <col min="4670" max="4670" width="15.21875" style="70" customWidth="1"/>
    <col min="4671" max="4671" width="9.6640625" style="70"/>
    <col min="4672" max="4672" width="11" style="70" customWidth="1"/>
    <col min="4673" max="4673" width="10.77734375" style="70" customWidth="1"/>
    <col min="4674" max="4674" width="11.44140625" style="70" customWidth="1"/>
    <col min="4675" max="4675" width="4" style="70" customWidth="1"/>
    <col min="4676" max="4866" width="9.6640625" style="70"/>
    <col min="4867" max="4867" width="6.44140625" style="70" customWidth="1"/>
    <col min="4868" max="4868" width="13.88671875" style="70" customWidth="1"/>
    <col min="4869" max="4869" width="11.88671875" style="70" customWidth="1"/>
    <col min="4870" max="4872" width="9.6640625" style="70"/>
    <col min="4873" max="4873" width="15.44140625" style="70" customWidth="1"/>
    <col min="4874" max="4874" width="16.21875" style="70" customWidth="1"/>
    <col min="4875" max="4886" width="9.6640625" style="70"/>
    <col min="4887" max="4887" width="12" style="70" customWidth="1"/>
    <col min="4888" max="4888" width="12.77734375" style="70" customWidth="1"/>
    <col min="4889" max="4889" width="11.109375" style="70" customWidth="1"/>
    <col min="4890" max="4890" width="12" style="70" customWidth="1"/>
    <col min="4891" max="4891" width="9.6640625" style="70"/>
    <col min="4892" max="4892" width="15.33203125" style="70" customWidth="1"/>
    <col min="4893" max="4893" width="15.21875" style="70" customWidth="1"/>
    <col min="4894" max="4894" width="21.44140625" style="70" customWidth="1"/>
    <col min="4895" max="4910" width="9.6640625" style="70"/>
    <col min="4911" max="4912" width="13.44140625" style="70" customWidth="1"/>
    <col min="4913" max="4913" width="9.6640625" style="70"/>
    <col min="4914" max="4914" width="13.88671875" style="70" customWidth="1"/>
    <col min="4915" max="4915" width="10.6640625" style="70" customWidth="1"/>
    <col min="4916" max="4916" width="17.33203125" style="70" customWidth="1"/>
    <col min="4917" max="4918" width="12.6640625" style="70" customWidth="1"/>
    <col min="4919" max="4919" width="11.21875" style="70" customWidth="1"/>
    <col min="4920" max="4920" width="18.33203125" style="70" customWidth="1"/>
    <col min="4921" max="4921" width="12.88671875" style="70" customWidth="1"/>
    <col min="4922" max="4923" width="13.21875" style="70" customWidth="1"/>
    <col min="4924" max="4924" width="10.88671875" style="70" customWidth="1"/>
    <col min="4925" max="4925" width="11.109375" style="70" customWidth="1"/>
    <col min="4926" max="4926" width="15.21875" style="70" customWidth="1"/>
    <col min="4927" max="4927" width="9.6640625" style="70"/>
    <col min="4928" max="4928" width="11" style="70" customWidth="1"/>
    <col min="4929" max="4929" width="10.77734375" style="70" customWidth="1"/>
    <col min="4930" max="4930" width="11.44140625" style="70" customWidth="1"/>
    <col min="4931" max="4931" width="4" style="70" customWidth="1"/>
    <col min="4932" max="5122" width="9.6640625" style="70"/>
    <col min="5123" max="5123" width="6.44140625" style="70" customWidth="1"/>
    <col min="5124" max="5124" width="13.88671875" style="70" customWidth="1"/>
    <col min="5125" max="5125" width="11.88671875" style="70" customWidth="1"/>
    <col min="5126" max="5128" width="9.6640625" style="70"/>
    <col min="5129" max="5129" width="15.44140625" style="70" customWidth="1"/>
    <col min="5130" max="5130" width="16.21875" style="70" customWidth="1"/>
    <col min="5131" max="5142" width="9.6640625" style="70"/>
    <col min="5143" max="5143" width="12" style="70" customWidth="1"/>
    <col min="5144" max="5144" width="12.77734375" style="70" customWidth="1"/>
    <col min="5145" max="5145" width="11.109375" style="70" customWidth="1"/>
    <col min="5146" max="5146" width="12" style="70" customWidth="1"/>
    <col min="5147" max="5147" width="9.6640625" style="70"/>
    <col min="5148" max="5148" width="15.33203125" style="70" customWidth="1"/>
    <col min="5149" max="5149" width="15.21875" style="70" customWidth="1"/>
    <col min="5150" max="5150" width="21.44140625" style="70" customWidth="1"/>
    <col min="5151" max="5166" width="9.6640625" style="70"/>
    <col min="5167" max="5168" width="13.44140625" style="70" customWidth="1"/>
    <col min="5169" max="5169" width="9.6640625" style="70"/>
    <col min="5170" max="5170" width="13.88671875" style="70" customWidth="1"/>
    <col min="5171" max="5171" width="10.6640625" style="70" customWidth="1"/>
    <col min="5172" max="5172" width="17.33203125" style="70" customWidth="1"/>
    <col min="5173" max="5174" width="12.6640625" style="70" customWidth="1"/>
    <col min="5175" max="5175" width="11.21875" style="70" customWidth="1"/>
    <col min="5176" max="5176" width="18.33203125" style="70" customWidth="1"/>
    <col min="5177" max="5177" width="12.88671875" style="70" customWidth="1"/>
    <col min="5178" max="5179" width="13.21875" style="70" customWidth="1"/>
    <col min="5180" max="5180" width="10.88671875" style="70" customWidth="1"/>
    <col min="5181" max="5181" width="11.109375" style="70" customWidth="1"/>
    <col min="5182" max="5182" width="15.21875" style="70" customWidth="1"/>
    <col min="5183" max="5183" width="9.6640625" style="70"/>
    <col min="5184" max="5184" width="11" style="70" customWidth="1"/>
    <col min="5185" max="5185" width="10.77734375" style="70" customWidth="1"/>
    <col min="5186" max="5186" width="11.44140625" style="70" customWidth="1"/>
    <col min="5187" max="5187" width="4" style="70" customWidth="1"/>
    <col min="5188" max="5378" width="9.6640625" style="70"/>
    <col min="5379" max="5379" width="6.44140625" style="70" customWidth="1"/>
    <col min="5380" max="5380" width="13.88671875" style="70" customWidth="1"/>
    <col min="5381" max="5381" width="11.88671875" style="70" customWidth="1"/>
    <col min="5382" max="5384" width="9.6640625" style="70"/>
    <col min="5385" max="5385" width="15.44140625" style="70" customWidth="1"/>
    <col min="5386" max="5386" width="16.21875" style="70" customWidth="1"/>
    <col min="5387" max="5398" width="9.6640625" style="70"/>
    <col min="5399" max="5399" width="12" style="70" customWidth="1"/>
    <col min="5400" max="5400" width="12.77734375" style="70" customWidth="1"/>
    <col min="5401" max="5401" width="11.109375" style="70" customWidth="1"/>
    <col min="5402" max="5402" width="12" style="70" customWidth="1"/>
    <col min="5403" max="5403" width="9.6640625" style="70"/>
    <col min="5404" max="5404" width="15.33203125" style="70" customWidth="1"/>
    <col min="5405" max="5405" width="15.21875" style="70" customWidth="1"/>
    <col min="5406" max="5406" width="21.44140625" style="70" customWidth="1"/>
    <col min="5407" max="5422" width="9.6640625" style="70"/>
    <col min="5423" max="5424" width="13.44140625" style="70" customWidth="1"/>
    <col min="5425" max="5425" width="9.6640625" style="70"/>
    <col min="5426" max="5426" width="13.88671875" style="70" customWidth="1"/>
    <col min="5427" max="5427" width="10.6640625" style="70" customWidth="1"/>
    <col min="5428" max="5428" width="17.33203125" style="70" customWidth="1"/>
    <col min="5429" max="5430" width="12.6640625" style="70" customWidth="1"/>
    <col min="5431" max="5431" width="11.21875" style="70" customWidth="1"/>
    <col min="5432" max="5432" width="18.33203125" style="70" customWidth="1"/>
    <col min="5433" max="5433" width="12.88671875" style="70" customWidth="1"/>
    <col min="5434" max="5435" width="13.21875" style="70" customWidth="1"/>
    <col min="5436" max="5436" width="10.88671875" style="70" customWidth="1"/>
    <col min="5437" max="5437" width="11.109375" style="70" customWidth="1"/>
    <col min="5438" max="5438" width="15.21875" style="70" customWidth="1"/>
    <col min="5439" max="5439" width="9.6640625" style="70"/>
    <col min="5440" max="5440" width="11" style="70" customWidth="1"/>
    <col min="5441" max="5441" width="10.77734375" style="70" customWidth="1"/>
    <col min="5442" max="5442" width="11.44140625" style="70" customWidth="1"/>
    <col min="5443" max="5443" width="4" style="70" customWidth="1"/>
    <col min="5444" max="5634" width="9.6640625" style="70"/>
    <col min="5635" max="5635" width="6.44140625" style="70" customWidth="1"/>
    <col min="5636" max="5636" width="13.88671875" style="70" customWidth="1"/>
    <col min="5637" max="5637" width="11.88671875" style="70" customWidth="1"/>
    <col min="5638" max="5640" width="9.6640625" style="70"/>
    <col min="5641" max="5641" width="15.44140625" style="70" customWidth="1"/>
    <col min="5642" max="5642" width="16.21875" style="70" customWidth="1"/>
    <col min="5643" max="5654" width="9.6640625" style="70"/>
    <col min="5655" max="5655" width="12" style="70" customWidth="1"/>
    <col min="5656" max="5656" width="12.77734375" style="70" customWidth="1"/>
    <col min="5657" max="5657" width="11.109375" style="70" customWidth="1"/>
    <col min="5658" max="5658" width="12" style="70" customWidth="1"/>
    <col min="5659" max="5659" width="9.6640625" style="70"/>
    <col min="5660" max="5660" width="15.33203125" style="70" customWidth="1"/>
    <col min="5661" max="5661" width="15.21875" style="70" customWidth="1"/>
    <col min="5662" max="5662" width="21.44140625" style="70" customWidth="1"/>
    <col min="5663" max="5678" width="9.6640625" style="70"/>
    <col min="5679" max="5680" width="13.44140625" style="70" customWidth="1"/>
    <col min="5681" max="5681" width="9.6640625" style="70"/>
    <col min="5682" max="5682" width="13.88671875" style="70" customWidth="1"/>
    <col min="5683" max="5683" width="10.6640625" style="70" customWidth="1"/>
    <col min="5684" max="5684" width="17.33203125" style="70" customWidth="1"/>
    <col min="5685" max="5686" width="12.6640625" style="70" customWidth="1"/>
    <col min="5687" max="5687" width="11.21875" style="70" customWidth="1"/>
    <col min="5688" max="5688" width="18.33203125" style="70" customWidth="1"/>
    <col min="5689" max="5689" width="12.88671875" style="70" customWidth="1"/>
    <col min="5690" max="5691" width="13.21875" style="70" customWidth="1"/>
    <col min="5692" max="5692" width="10.88671875" style="70" customWidth="1"/>
    <col min="5693" max="5693" width="11.109375" style="70" customWidth="1"/>
    <col min="5694" max="5694" width="15.21875" style="70" customWidth="1"/>
    <col min="5695" max="5695" width="9.6640625" style="70"/>
    <col min="5696" max="5696" width="11" style="70" customWidth="1"/>
    <col min="5697" max="5697" width="10.77734375" style="70" customWidth="1"/>
    <col min="5698" max="5698" width="11.44140625" style="70" customWidth="1"/>
    <col min="5699" max="5699" width="4" style="70" customWidth="1"/>
    <col min="5700" max="5890" width="9.6640625" style="70"/>
    <col min="5891" max="5891" width="6.44140625" style="70" customWidth="1"/>
    <col min="5892" max="5892" width="13.88671875" style="70" customWidth="1"/>
    <col min="5893" max="5893" width="11.88671875" style="70" customWidth="1"/>
    <col min="5894" max="5896" width="9.6640625" style="70"/>
    <col min="5897" max="5897" width="15.44140625" style="70" customWidth="1"/>
    <col min="5898" max="5898" width="16.21875" style="70" customWidth="1"/>
    <col min="5899" max="5910" width="9.6640625" style="70"/>
    <col min="5911" max="5911" width="12" style="70" customWidth="1"/>
    <col min="5912" max="5912" width="12.77734375" style="70" customWidth="1"/>
    <col min="5913" max="5913" width="11.109375" style="70" customWidth="1"/>
    <col min="5914" max="5914" width="12" style="70" customWidth="1"/>
    <col min="5915" max="5915" width="9.6640625" style="70"/>
    <col min="5916" max="5916" width="15.33203125" style="70" customWidth="1"/>
    <col min="5917" max="5917" width="15.21875" style="70" customWidth="1"/>
    <col min="5918" max="5918" width="21.44140625" style="70" customWidth="1"/>
    <col min="5919" max="5934" width="9.6640625" style="70"/>
    <col min="5935" max="5936" width="13.44140625" style="70" customWidth="1"/>
    <col min="5937" max="5937" width="9.6640625" style="70"/>
    <col min="5938" max="5938" width="13.88671875" style="70" customWidth="1"/>
    <col min="5939" max="5939" width="10.6640625" style="70" customWidth="1"/>
    <col min="5940" max="5940" width="17.33203125" style="70" customWidth="1"/>
    <col min="5941" max="5942" width="12.6640625" style="70" customWidth="1"/>
    <col min="5943" max="5943" width="11.21875" style="70" customWidth="1"/>
    <col min="5944" max="5944" width="18.33203125" style="70" customWidth="1"/>
    <col min="5945" max="5945" width="12.88671875" style="70" customWidth="1"/>
    <col min="5946" max="5947" width="13.21875" style="70" customWidth="1"/>
    <col min="5948" max="5948" width="10.88671875" style="70" customWidth="1"/>
    <col min="5949" max="5949" width="11.109375" style="70" customWidth="1"/>
    <col min="5950" max="5950" width="15.21875" style="70" customWidth="1"/>
    <col min="5951" max="5951" width="9.6640625" style="70"/>
    <col min="5952" max="5952" width="11" style="70" customWidth="1"/>
    <col min="5953" max="5953" width="10.77734375" style="70" customWidth="1"/>
    <col min="5954" max="5954" width="11.44140625" style="70" customWidth="1"/>
    <col min="5955" max="5955" width="4" style="70" customWidth="1"/>
    <col min="5956" max="6146" width="9.6640625" style="70"/>
    <col min="6147" max="6147" width="6.44140625" style="70" customWidth="1"/>
    <col min="6148" max="6148" width="13.88671875" style="70" customWidth="1"/>
    <col min="6149" max="6149" width="11.88671875" style="70" customWidth="1"/>
    <col min="6150" max="6152" width="9.6640625" style="70"/>
    <col min="6153" max="6153" width="15.44140625" style="70" customWidth="1"/>
    <col min="6154" max="6154" width="16.21875" style="70" customWidth="1"/>
    <col min="6155" max="6166" width="9.6640625" style="70"/>
    <col min="6167" max="6167" width="12" style="70" customWidth="1"/>
    <col min="6168" max="6168" width="12.77734375" style="70" customWidth="1"/>
    <col min="6169" max="6169" width="11.109375" style="70" customWidth="1"/>
    <col min="6170" max="6170" width="12" style="70" customWidth="1"/>
    <col min="6171" max="6171" width="9.6640625" style="70"/>
    <col min="6172" max="6172" width="15.33203125" style="70" customWidth="1"/>
    <col min="6173" max="6173" width="15.21875" style="70" customWidth="1"/>
    <col min="6174" max="6174" width="21.44140625" style="70" customWidth="1"/>
    <col min="6175" max="6190" width="9.6640625" style="70"/>
    <col min="6191" max="6192" width="13.44140625" style="70" customWidth="1"/>
    <col min="6193" max="6193" width="9.6640625" style="70"/>
    <col min="6194" max="6194" width="13.88671875" style="70" customWidth="1"/>
    <col min="6195" max="6195" width="10.6640625" style="70" customWidth="1"/>
    <col min="6196" max="6196" width="17.33203125" style="70" customWidth="1"/>
    <col min="6197" max="6198" width="12.6640625" style="70" customWidth="1"/>
    <col min="6199" max="6199" width="11.21875" style="70" customWidth="1"/>
    <col min="6200" max="6200" width="18.33203125" style="70" customWidth="1"/>
    <col min="6201" max="6201" width="12.88671875" style="70" customWidth="1"/>
    <col min="6202" max="6203" width="13.21875" style="70" customWidth="1"/>
    <col min="6204" max="6204" width="10.88671875" style="70" customWidth="1"/>
    <col min="6205" max="6205" width="11.109375" style="70" customWidth="1"/>
    <col min="6206" max="6206" width="15.21875" style="70" customWidth="1"/>
    <col min="6207" max="6207" width="9.6640625" style="70"/>
    <col min="6208" max="6208" width="11" style="70" customWidth="1"/>
    <col min="6209" max="6209" width="10.77734375" style="70" customWidth="1"/>
    <col min="6210" max="6210" width="11.44140625" style="70" customWidth="1"/>
    <col min="6211" max="6211" width="4" style="70" customWidth="1"/>
    <col min="6212" max="6402" width="9.6640625" style="70"/>
    <col min="6403" max="6403" width="6.44140625" style="70" customWidth="1"/>
    <col min="6404" max="6404" width="13.88671875" style="70" customWidth="1"/>
    <col min="6405" max="6405" width="11.88671875" style="70" customWidth="1"/>
    <col min="6406" max="6408" width="9.6640625" style="70"/>
    <col min="6409" max="6409" width="15.44140625" style="70" customWidth="1"/>
    <col min="6410" max="6410" width="16.21875" style="70" customWidth="1"/>
    <col min="6411" max="6422" width="9.6640625" style="70"/>
    <col min="6423" max="6423" width="12" style="70" customWidth="1"/>
    <col min="6424" max="6424" width="12.77734375" style="70" customWidth="1"/>
    <col min="6425" max="6425" width="11.109375" style="70" customWidth="1"/>
    <col min="6426" max="6426" width="12" style="70" customWidth="1"/>
    <col min="6427" max="6427" width="9.6640625" style="70"/>
    <col min="6428" max="6428" width="15.33203125" style="70" customWidth="1"/>
    <col min="6429" max="6429" width="15.21875" style="70" customWidth="1"/>
    <col min="6430" max="6430" width="21.44140625" style="70" customWidth="1"/>
    <col min="6431" max="6446" width="9.6640625" style="70"/>
    <col min="6447" max="6448" width="13.44140625" style="70" customWidth="1"/>
    <col min="6449" max="6449" width="9.6640625" style="70"/>
    <col min="6450" max="6450" width="13.88671875" style="70" customWidth="1"/>
    <col min="6451" max="6451" width="10.6640625" style="70" customWidth="1"/>
    <col min="6452" max="6452" width="17.33203125" style="70" customWidth="1"/>
    <col min="6453" max="6454" width="12.6640625" style="70" customWidth="1"/>
    <col min="6455" max="6455" width="11.21875" style="70" customWidth="1"/>
    <col min="6456" max="6456" width="18.33203125" style="70" customWidth="1"/>
    <col min="6457" max="6457" width="12.88671875" style="70" customWidth="1"/>
    <col min="6458" max="6459" width="13.21875" style="70" customWidth="1"/>
    <col min="6460" max="6460" width="10.88671875" style="70" customWidth="1"/>
    <col min="6461" max="6461" width="11.109375" style="70" customWidth="1"/>
    <col min="6462" max="6462" width="15.21875" style="70" customWidth="1"/>
    <col min="6463" max="6463" width="9.6640625" style="70"/>
    <col min="6464" max="6464" width="11" style="70" customWidth="1"/>
    <col min="6465" max="6465" width="10.77734375" style="70" customWidth="1"/>
    <col min="6466" max="6466" width="11.44140625" style="70" customWidth="1"/>
    <col min="6467" max="6467" width="4" style="70" customWidth="1"/>
    <col min="6468" max="6658" width="9.6640625" style="70"/>
    <col min="6659" max="6659" width="6.44140625" style="70" customWidth="1"/>
    <col min="6660" max="6660" width="13.88671875" style="70" customWidth="1"/>
    <col min="6661" max="6661" width="11.88671875" style="70" customWidth="1"/>
    <col min="6662" max="6664" width="9.6640625" style="70"/>
    <col min="6665" max="6665" width="15.44140625" style="70" customWidth="1"/>
    <col min="6666" max="6666" width="16.21875" style="70" customWidth="1"/>
    <col min="6667" max="6678" width="9.6640625" style="70"/>
    <col min="6679" max="6679" width="12" style="70" customWidth="1"/>
    <col min="6680" max="6680" width="12.77734375" style="70" customWidth="1"/>
    <col min="6681" max="6681" width="11.109375" style="70" customWidth="1"/>
    <col min="6682" max="6682" width="12" style="70" customWidth="1"/>
    <col min="6683" max="6683" width="9.6640625" style="70"/>
    <col min="6684" max="6684" width="15.33203125" style="70" customWidth="1"/>
    <col min="6685" max="6685" width="15.21875" style="70" customWidth="1"/>
    <col min="6686" max="6686" width="21.44140625" style="70" customWidth="1"/>
    <col min="6687" max="6702" width="9.6640625" style="70"/>
    <col min="6703" max="6704" width="13.44140625" style="70" customWidth="1"/>
    <col min="6705" max="6705" width="9.6640625" style="70"/>
    <col min="6706" max="6706" width="13.88671875" style="70" customWidth="1"/>
    <col min="6707" max="6707" width="10.6640625" style="70" customWidth="1"/>
    <col min="6708" max="6708" width="17.33203125" style="70" customWidth="1"/>
    <col min="6709" max="6710" width="12.6640625" style="70" customWidth="1"/>
    <col min="6711" max="6711" width="11.21875" style="70" customWidth="1"/>
    <col min="6712" max="6712" width="18.33203125" style="70" customWidth="1"/>
    <col min="6713" max="6713" width="12.88671875" style="70" customWidth="1"/>
    <col min="6714" max="6715" width="13.21875" style="70" customWidth="1"/>
    <col min="6716" max="6716" width="10.88671875" style="70" customWidth="1"/>
    <col min="6717" max="6717" width="11.109375" style="70" customWidth="1"/>
    <col min="6718" max="6718" width="15.21875" style="70" customWidth="1"/>
    <col min="6719" max="6719" width="9.6640625" style="70"/>
    <col min="6720" max="6720" width="11" style="70" customWidth="1"/>
    <col min="6721" max="6721" width="10.77734375" style="70" customWidth="1"/>
    <col min="6722" max="6722" width="11.44140625" style="70" customWidth="1"/>
    <col min="6723" max="6723" width="4" style="70" customWidth="1"/>
    <col min="6724" max="6914" width="9.6640625" style="70"/>
    <col min="6915" max="6915" width="6.44140625" style="70" customWidth="1"/>
    <col min="6916" max="6916" width="13.88671875" style="70" customWidth="1"/>
    <col min="6917" max="6917" width="11.88671875" style="70" customWidth="1"/>
    <col min="6918" max="6920" width="9.6640625" style="70"/>
    <col min="6921" max="6921" width="15.44140625" style="70" customWidth="1"/>
    <col min="6922" max="6922" width="16.21875" style="70" customWidth="1"/>
    <col min="6923" max="6934" width="9.6640625" style="70"/>
    <col min="6935" max="6935" width="12" style="70" customWidth="1"/>
    <col min="6936" max="6936" width="12.77734375" style="70" customWidth="1"/>
    <col min="6937" max="6937" width="11.109375" style="70" customWidth="1"/>
    <col min="6938" max="6938" width="12" style="70" customWidth="1"/>
    <col min="6939" max="6939" width="9.6640625" style="70"/>
    <col min="6940" max="6940" width="15.33203125" style="70" customWidth="1"/>
    <col min="6941" max="6941" width="15.21875" style="70" customWidth="1"/>
    <col min="6942" max="6942" width="21.44140625" style="70" customWidth="1"/>
    <col min="6943" max="6958" width="9.6640625" style="70"/>
    <col min="6959" max="6960" width="13.44140625" style="70" customWidth="1"/>
    <col min="6961" max="6961" width="9.6640625" style="70"/>
    <col min="6962" max="6962" width="13.88671875" style="70" customWidth="1"/>
    <col min="6963" max="6963" width="10.6640625" style="70" customWidth="1"/>
    <col min="6964" max="6964" width="17.33203125" style="70" customWidth="1"/>
    <col min="6965" max="6966" width="12.6640625" style="70" customWidth="1"/>
    <col min="6967" max="6967" width="11.21875" style="70" customWidth="1"/>
    <col min="6968" max="6968" width="18.33203125" style="70" customWidth="1"/>
    <col min="6969" max="6969" width="12.88671875" style="70" customWidth="1"/>
    <col min="6970" max="6971" width="13.21875" style="70" customWidth="1"/>
    <col min="6972" max="6972" width="10.88671875" style="70" customWidth="1"/>
    <col min="6973" max="6973" width="11.109375" style="70" customWidth="1"/>
    <col min="6974" max="6974" width="15.21875" style="70" customWidth="1"/>
    <col min="6975" max="6975" width="9.6640625" style="70"/>
    <col min="6976" max="6976" width="11" style="70" customWidth="1"/>
    <col min="6977" max="6977" width="10.77734375" style="70" customWidth="1"/>
    <col min="6978" max="6978" width="11.44140625" style="70" customWidth="1"/>
    <col min="6979" max="6979" width="4" style="70" customWidth="1"/>
    <col min="6980" max="7170" width="9.6640625" style="70"/>
    <col min="7171" max="7171" width="6.44140625" style="70" customWidth="1"/>
    <col min="7172" max="7172" width="13.88671875" style="70" customWidth="1"/>
    <col min="7173" max="7173" width="11.88671875" style="70" customWidth="1"/>
    <col min="7174" max="7176" width="9.6640625" style="70"/>
    <col min="7177" max="7177" width="15.44140625" style="70" customWidth="1"/>
    <col min="7178" max="7178" width="16.21875" style="70" customWidth="1"/>
    <col min="7179" max="7190" width="9.6640625" style="70"/>
    <col min="7191" max="7191" width="12" style="70" customWidth="1"/>
    <col min="7192" max="7192" width="12.77734375" style="70" customWidth="1"/>
    <col min="7193" max="7193" width="11.109375" style="70" customWidth="1"/>
    <col min="7194" max="7194" width="12" style="70" customWidth="1"/>
    <col min="7195" max="7195" width="9.6640625" style="70"/>
    <col min="7196" max="7196" width="15.33203125" style="70" customWidth="1"/>
    <col min="7197" max="7197" width="15.21875" style="70" customWidth="1"/>
    <col min="7198" max="7198" width="21.44140625" style="70" customWidth="1"/>
    <col min="7199" max="7214" width="9.6640625" style="70"/>
    <col min="7215" max="7216" width="13.44140625" style="70" customWidth="1"/>
    <col min="7217" max="7217" width="9.6640625" style="70"/>
    <col min="7218" max="7218" width="13.88671875" style="70" customWidth="1"/>
    <col min="7219" max="7219" width="10.6640625" style="70" customWidth="1"/>
    <col min="7220" max="7220" width="17.33203125" style="70" customWidth="1"/>
    <col min="7221" max="7222" width="12.6640625" style="70" customWidth="1"/>
    <col min="7223" max="7223" width="11.21875" style="70" customWidth="1"/>
    <col min="7224" max="7224" width="18.33203125" style="70" customWidth="1"/>
    <col min="7225" max="7225" width="12.88671875" style="70" customWidth="1"/>
    <col min="7226" max="7227" width="13.21875" style="70" customWidth="1"/>
    <col min="7228" max="7228" width="10.88671875" style="70" customWidth="1"/>
    <col min="7229" max="7229" width="11.109375" style="70" customWidth="1"/>
    <col min="7230" max="7230" width="15.21875" style="70" customWidth="1"/>
    <col min="7231" max="7231" width="9.6640625" style="70"/>
    <col min="7232" max="7232" width="11" style="70" customWidth="1"/>
    <col min="7233" max="7233" width="10.77734375" style="70" customWidth="1"/>
    <col min="7234" max="7234" width="11.44140625" style="70" customWidth="1"/>
    <col min="7235" max="7235" width="4" style="70" customWidth="1"/>
    <col min="7236" max="7426" width="9.6640625" style="70"/>
    <col min="7427" max="7427" width="6.44140625" style="70" customWidth="1"/>
    <col min="7428" max="7428" width="13.88671875" style="70" customWidth="1"/>
    <col min="7429" max="7429" width="11.88671875" style="70" customWidth="1"/>
    <col min="7430" max="7432" width="9.6640625" style="70"/>
    <col min="7433" max="7433" width="15.44140625" style="70" customWidth="1"/>
    <col min="7434" max="7434" width="16.21875" style="70" customWidth="1"/>
    <col min="7435" max="7446" width="9.6640625" style="70"/>
    <col min="7447" max="7447" width="12" style="70" customWidth="1"/>
    <col min="7448" max="7448" width="12.77734375" style="70" customWidth="1"/>
    <col min="7449" max="7449" width="11.109375" style="70" customWidth="1"/>
    <col min="7450" max="7450" width="12" style="70" customWidth="1"/>
    <col min="7451" max="7451" width="9.6640625" style="70"/>
    <col min="7452" max="7452" width="15.33203125" style="70" customWidth="1"/>
    <col min="7453" max="7453" width="15.21875" style="70" customWidth="1"/>
    <col min="7454" max="7454" width="21.44140625" style="70" customWidth="1"/>
    <col min="7455" max="7470" width="9.6640625" style="70"/>
    <col min="7471" max="7472" width="13.44140625" style="70" customWidth="1"/>
    <col min="7473" max="7473" width="9.6640625" style="70"/>
    <col min="7474" max="7474" width="13.88671875" style="70" customWidth="1"/>
    <col min="7475" max="7475" width="10.6640625" style="70" customWidth="1"/>
    <col min="7476" max="7476" width="17.33203125" style="70" customWidth="1"/>
    <col min="7477" max="7478" width="12.6640625" style="70" customWidth="1"/>
    <col min="7479" max="7479" width="11.21875" style="70" customWidth="1"/>
    <col min="7480" max="7480" width="18.33203125" style="70" customWidth="1"/>
    <col min="7481" max="7481" width="12.88671875" style="70" customWidth="1"/>
    <col min="7482" max="7483" width="13.21875" style="70" customWidth="1"/>
    <col min="7484" max="7484" width="10.88671875" style="70" customWidth="1"/>
    <col min="7485" max="7485" width="11.109375" style="70" customWidth="1"/>
    <col min="7486" max="7486" width="15.21875" style="70" customWidth="1"/>
    <col min="7487" max="7487" width="9.6640625" style="70"/>
    <col min="7488" max="7488" width="11" style="70" customWidth="1"/>
    <col min="7489" max="7489" width="10.77734375" style="70" customWidth="1"/>
    <col min="7490" max="7490" width="11.44140625" style="70" customWidth="1"/>
    <col min="7491" max="7491" width="4" style="70" customWidth="1"/>
    <col min="7492" max="7682" width="9.6640625" style="70"/>
    <col min="7683" max="7683" width="6.44140625" style="70" customWidth="1"/>
    <col min="7684" max="7684" width="13.88671875" style="70" customWidth="1"/>
    <col min="7685" max="7685" width="11.88671875" style="70" customWidth="1"/>
    <col min="7686" max="7688" width="9.6640625" style="70"/>
    <col min="7689" max="7689" width="15.44140625" style="70" customWidth="1"/>
    <col min="7690" max="7690" width="16.21875" style="70" customWidth="1"/>
    <col min="7691" max="7702" width="9.6640625" style="70"/>
    <col min="7703" max="7703" width="12" style="70" customWidth="1"/>
    <col min="7704" max="7704" width="12.77734375" style="70" customWidth="1"/>
    <col min="7705" max="7705" width="11.109375" style="70" customWidth="1"/>
    <col min="7706" max="7706" width="12" style="70" customWidth="1"/>
    <col min="7707" max="7707" width="9.6640625" style="70"/>
    <col min="7708" max="7708" width="15.33203125" style="70" customWidth="1"/>
    <col min="7709" max="7709" width="15.21875" style="70" customWidth="1"/>
    <col min="7710" max="7710" width="21.44140625" style="70" customWidth="1"/>
    <col min="7711" max="7726" width="9.6640625" style="70"/>
    <col min="7727" max="7728" width="13.44140625" style="70" customWidth="1"/>
    <col min="7729" max="7729" width="9.6640625" style="70"/>
    <col min="7730" max="7730" width="13.88671875" style="70" customWidth="1"/>
    <col min="7731" max="7731" width="10.6640625" style="70" customWidth="1"/>
    <col min="7732" max="7732" width="17.33203125" style="70" customWidth="1"/>
    <col min="7733" max="7734" width="12.6640625" style="70" customWidth="1"/>
    <col min="7735" max="7735" width="11.21875" style="70" customWidth="1"/>
    <col min="7736" max="7736" width="18.33203125" style="70" customWidth="1"/>
    <col min="7737" max="7737" width="12.88671875" style="70" customWidth="1"/>
    <col min="7738" max="7739" width="13.21875" style="70" customWidth="1"/>
    <col min="7740" max="7740" width="10.88671875" style="70" customWidth="1"/>
    <col min="7741" max="7741" width="11.109375" style="70" customWidth="1"/>
    <col min="7742" max="7742" width="15.21875" style="70" customWidth="1"/>
    <col min="7743" max="7743" width="9.6640625" style="70"/>
    <col min="7744" max="7744" width="11" style="70" customWidth="1"/>
    <col min="7745" max="7745" width="10.77734375" style="70" customWidth="1"/>
    <col min="7746" max="7746" width="11.44140625" style="70" customWidth="1"/>
    <col min="7747" max="7747" width="4" style="70" customWidth="1"/>
    <col min="7748" max="7938" width="9.6640625" style="70"/>
    <col min="7939" max="7939" width="6.44140625" style="70" customWidth="1"/>
    <col min="7940" max="7940" width="13.88671875" style="70" customWidth="1"/>
    <col min="7941" max="7941" width="11.88671875" style="70" customWidth="1"/>
    <col min="7942" max="7944" width="9.6640625" style="70"/>
    <col min="7945" max="7945" width="15.44140625" style="70" customWidth="1"/>
    <col min="7946" max="7946" width="16.21875" style="70" customWidth="1"/>
    <col min="7947" max="7958" width="9.6640625" style="70"/>
    <col min="7959" max="7959" width="12" style="70" customWidth="1"/>
    <col min="7960" max="7960" width="12.77734375" style="70" customWidth="1"/>
    <col min="7961" max="7961" width="11.109375" style="70" customWidth="1"/>
    <col min="7962" max="7962" width="12" style="70" customWidth="1"/>
    <col min="7963" max="7963" width="9.6640625" style="70"/>
    <col min="7964" max="7964" width="15.33203125" style="70" customWidth="1"/>
    <col min="7965" max="7965" width="15.21875" style="70" customWidth="1"/>
    <col min="7966" max="7966" width="21.44140625" style="70" customWidth="1"/>
    <col min="7967" max="7982" width="9.6640625" style="70"/>
    <col min="7983" max="7984" width="13.44140625" style="70" customWidth="1"/>
    <col min="7985" max="7985" width="9.6640625" style="70"/>
    <col min="7986" max="7986" width="13.88671875" style="70" customWidth="1"/>
    <col min="7987" max="7987" width="10.6640625" style="70" customWidth="1"/>
    <col min="7988" max="7988" width="17.33203125" style="70" customWidth="1"/>
    <col min="7989" max="7990" width="12.6640625" style="70" customWidth="1"/>
    <col min="7991" max="7991" width="11.21875" style="70" customWidth="1"/>
    <col min="7992" max="7992" width="18.33203125" style="70" customWidth="1"/>
    <col min="7993" max="7993" width="12.88671875" style="70" customWidth="1"/>
    <col min="7994" max="7995" width="13.21875" style="70" customWidth="1"/>
    <col min="7996" max="7996" width="10.88671875" style="70" customWidth="1"/>
    <col min="7997" max="7997" width="11.109375" style="70" customWidth="1"/>
    <col min="7998" max="7998" width="15.21875" style="70" customWidth="1"/>
    <col min="7999" max="7999" width="9.6640625" style="70"/>
    <col min="8000" max="8000" width="11" style="70" customWidth="1"/>
    <col min="8001" max="8001" width="10.77734375" style="70" customWidth="1"/>
    <col min="8002" max="8002" width="11.44140625" style="70" customWidth="1"/>
    <col min="8003" max="8003" width="4" style="70" customWidth="1"/>
    <col min="8004" max="8194" width="9.6640625" style="70"/>
    <col min="8195" max="8195" width="6.44140625" style="70" customWidth="1"/>
    <col min="8196" max="8196" width="13.88671875" style="70" customWidth="1"/>
    <col min="8197" max="8197" width="11.88671875" style="70" customWidth="1"/>
    <col min="8198" max="8200" width="9.6640625" style="70"/>
    <col min="8201" max="8201" width="15.44140625" style="70" customWidth="1"/>
    <col min="8202" max="8202" width="16.21875" style="70" customWidth="1"/>
    <col min="8203" max="8214" width="9.6640625" style="70"/>
    <col min="8215" max="8215" width="12" style="70" customWidth="1"/>
    <col min="8216" max="8216" width="12.77734375" style="70" customWidth="1"/>
    <col min="8217" max="8217" width="11.109375" style="70" customWidth="1"/>
    <col min="8218" max="8218" width="12" style="70" customWidth="1"/>
    <col min="8219" max="8219" width="9.6640625" style="70"/>
    <col min="8220" max="8220" width="15.33203125" style="70" customWidth="1"/>
    <col min="8221" max="8221" width="15.21875" style="70" customWidth="1"/>
    <col min="8222" max="8222" width="21.44140625" style="70" customWidth="1"/>
    <col min="8223" max="8238" width="9.6640625" style="70"/>
    <col min="8239" max="8240" width="13.44140625" style="70" customWidth="1"/>
    <col min="8241" max="8241" width="9.6640625" style="70"/>
    <col min="8242" max="8242" width="13.88671875" style="70" customWidth="1"/>
    <col min="8243" max="8243" width="10.6640625" style="70" customWidth="1"/>
    <col min="8244" max="8244" width="17.33203125" style="70" customWidth="1"/>
    <col min="8245" max="8246" width="12.6640625" style="70" customWidth="1"/>
    <col min="8247" max="8247" width="11.21875" style="70" customWidth="1"/>
    <col min="8248" max="8248" width="18.33203125" style="70" customWidth="1"/>
    <col min="8249" max="8249" width="12.88671875" style="70" customWidth="1"/>
    <col min="8250" max="8251" width="13.21875" style="70" customWidth="1"/>
    <col min="8252" max="8252" width="10.88671875" style="70" customWidth="1"/>
    <col min="8253" max="8253" width="11.109375" style="70" customWidth="1"/>
    <col min="8254" max="8254" width="15.21875" style="70" customWidth="1"/>
    <col min="8255" max="8255" width="9.6640625" style="70"/>
    <col min="8256" max="8256" width="11" style="70" customWidth="1"/>
    <col min="8257" max="8257" width="10.77734375" style="70" customWidth="1"/>
    <col min="8258" max="8258" width="11.44140625" style="70" customWidth="1"/>
    <col min="8259" max="8259" width="4" style="70" customWidth="1"/>
    <col min="8260" max="8450" width="9.6640625" style="70"/>
    <col min="8451" max="8451" width="6.44140625" style="70" customWidth="1"/>
    <col min="8452" max="8452" width="13.88671875" style="70" customWidth="1"/>
    <col min="8453" max="8453" width="11.88671875" style="70" customWidth="1"/>
    <col min="8454" max="8456" width="9.6640625" style="70"/>
    <col min="8457" max="8457" width="15.44140625" style="70" customWidth="1"/>
    <col min="8458" max="8458" width="16.21875" style="70" customWidth="1"/>
    <col min="8459" max="8470" width="9.6640625" style="70"/>
    <col min="8471" max="8471" width="12" style="70" customWidth="1"/>
    <col min="8472" max="8472" width="12.77734375" style="70" customWidth="1"/>
    <col min="8473" max="8473" width="11.109375" style="70" customWidth="1"/>
    <col min="8474" max="8474" width="12" style="70" customWidth="1"/>
    <col min="8475" max="8475" width="9.6640625" style="70"/>
    <col min="8476" max="8476" width="15.33203125" style="70" customWidth="1"/>
    <col min="8477" max="8477" width="15.21875" style="70" customWidth="1"/>
    <col min="8478" max="8478" width="21.44140625" style="70" customWidth="1"/>
    <col min="8479" max="8494" width="9.6640625" style="70"/>
    <col min="8495" max="8496" width="13.44140625" style="70" customWidth="1"/>
    <col min="8497" max="8497" width="9.6640625" style="70"/>
    <col min="8498" max="8498" width="13.88671875" style="70" customWidth="1"/>
    <col min="8499" max="8499" width="10.6640625" style="70" customWidth="1"/>
    <col min="8500" max="8500" width="17.33203125" style="70" customWidth="1"/>
    <col min="8501" max="8502" width="12.6640625" style="70" customWidth="1"/>
    <col min="8503" max="8503" width="11.21875" style="70" customWidth="1"/>
    <col min="8504" max="8504" width="18.33203125" style="70" customWidth="1"/>
    <col min="8505" max="8505" width="12.88671875" style="70" customWidth="1"/>
    <col min="8506" max="8507" width="13.21875" style="70" customWidth="1"/>
    <col min="8508" max="8508" width="10.88671875" style="70" customWidth="1"/>
    <col min="8509" max="8509" width="11.109375" style="70" customWidth="1"/>
    <col min="8510" max="8510" width="15.21875" style="70" customWidth="1"/>
    <col min="8511" max="8511" width="9.6640625" style="70"/>
    <col min="8512" max="8512" width="11" style="70" customWidth="1"/>
    <col min="8513" max="8513" width="10.77734375" style="70" customWidth="1"/>
    <col min="8514" max="8514" width="11.44140625" style="70" customWidth="1"/>
    <col min="8515" max="8515" width="4" style="70" customWidth="1"/>
    <col min="8516" max="8706" width="9.6640625" style="70"/>
    <col min="8707" max="8707" width="6.44140625" style="70" customWidth="1"/>
    <col min="8708" max="8708" width="13.88671875" style="70" customWidth="1"/>
    <col min="8709" max="8709" width="11.88671875" style="70" customWidth="1"/>
    <col min="8710" max="8712" width="9.6640625" style="70"/>
    <col min="8713" max="8713" width="15.44140625" style="70" customWidth="1"/>
    <col min="8714" max="8714" width="16.21875" style="70" customWidth="1"/>
    <col min="8715" max="8726" width="9.6640625" style="70"/>
    <col min="8727" max="8727" width="12" style="70" customWidth="1"/>
    <col min="8728" max="8728" width="12.77734375" style="70" customWidth="1"/>
    <col min="8729" max="8729" width="11.109375" style="70" customWidth="1"/>
    <col min="8730" max="8730" width="12" style="70" customWidth="1"/>
    <col min="8731" max="8731" width="9.6640625" style="70"/>
    <col min="8732" max="8732" width="15.33203125" style="70" customWidth="1"/>
    <col min="8733" max="8733" width="15.21875" style="70" customWidth="1"/>
    <col min="8734" max="8734" width="21.44140625" style="70" customWidth="1"/>
    <col min="8735" max="8750" width="9.6640625" style="70"/>
    <col min="8751" max="8752" width="13.44140625" style="70" customWidth="1"/>
    <col min="8753" max="8753" width="9.6640625" style="70"/>
    <col min="8754" max="8754" width="13.88671875" style="70" customWidth="1"/>
    <col min="8755" max="8755" width="10.6640625" style="70" customWidth="1"/>
    <col min="8756" max="8756" width="17.33203125" style="70" customWidth="1"/>
    <col min="8757" max="8758" width="12.6640625" style="70" customWidth="1"/>
    <col min="8759" max="8759" width="11.21875" style="70" customWidth="1"/>
    <col min="8760" max="8760" width="18.33203125" style="70" customWidth="1"/>
    <col min="8761" max="8761" width="12.88671875" style="70" customWidth="1"/>
    <col min="8762" max="8763" width="13.21875" style="70" customWidth="1"/>
    <col min="8764" max="8764" width="10.88671875" style="70" customWidth="1"/>
    <col min="8765" max="8765" width="11.109375" style="70" customWidth="1"/>
    <col min="8766" max="8766" width="15.21875" style="70" customWidth="1"/>
    <col min="8767" max="8767" width="9.6640625" style="70"/>
    <col min="8768" max="8768" width="11" style="70" customWidth="1"/>
    <col min="8769" max="8769" width="10.77734375" style="70" customWidth="1"/>
    <col min="8770" max="8770" width="11.44140625" style="70" customWidth="1"/>
    <col min="8771" max="8771" width="4" style="70" customWidth="1"/>
    <col min="8772" max="8962" width="9.6640625" style="70"/>
    <col min="8963" max="8963" width="6.44140625" style="70" customWidth="1"/>
    <col min="8964" max="8964" width="13.88671875" style="70" customWidth="1"/>
    <col min="8965" max="8965" width="11.88671875" style="70" customWidth="1"/>
    <col min="8966" max="8968" width="9.6640625" style="70"/>
    <col min="8969" max="8969" width="15.44140625" style="70" customWidth="1"/>
    <col min="8970" max="8970" width="16.21875" style="70" customWidth="1"/>
    <col min="8971" max="8982" width="9.6640625" style="70"/>
    <col min="8983" max="8983" width="12" style="70" customWidth="1"/>
    <col min="8984" max="8984" width="12.77734375" style="70" customWidth="1"/>
    <col min="8985" max="8985" width="11.109375" style="70" customWidth="1"/>
    <col min="8986" max="8986" width="12" style="70" customWidth="1"/>
    <col min="8987" max="8987" width="9.6640625" style="70"/>
    <col min="8988" max="8988" width="15.33203125" style="70" customWidth="1"/>
    <col min="8989" max="8989" width="15.21875" style="70" customWidth="1"/>
    <col min="8990" max="8990" width="21.44140625" style="70" customWidth="1"/>
    <col min="8991" max="9006" width="9.6640625" style="70"/>
    <col min="9007" max="9008" width="13.44140625" style="70" customWidth="1"/>
    <col min="9009" max="9009" width="9.6640625" style="70"/>
    <col min="9010" max="9010" width="13.88671875" style="70" customWidth="1"/>
    <col min="9011" max="9011" width="10.6640625" style="70" customWidth="1"/>
    <col min="9012" max="9012" width="17.33203125" style="70" customWidth="1"/>
    <col min="9013" max="9014" width="12.6640625" style="70" customWidth="1"/>
    <col min="9015" max="9015" width="11.21875" style="70" customWidth="1"/>
    <col min="9016" max="9016" width="18.33203125" style="70" customWidth="1"/>
    <col min="9017" max="9017" width="12.88671875" style="70" customWidth="1"/>
    <col min="9018" max="9019" width="13.21875" style="70" customWidth="1"/>
    <col min="9020" max="9020" width="10.88671875" style="70" customWidth="1"/>
    <col min="9021" max="9021" width="11.109375" style="70" customWidth="1"/>
    <col min="9022" max="9022" width="15.21875" style="70" customWidth="1"/>
    <col min="9023" max="9023" width="9.6640625" style="70"/>
    <col min="9024" max="9024" width="11" style="70" customWidth="1"/>
    <col min="9025" max="9025" width="10.77734375" style="70" customWidth="1"/>
    <col min="9026" max="9026" width="11.44140625" style="70" customWidth="1"/>
    <col min="9027" max="9027" width="4" style="70" customWidth="1"/>
    <col min="9028" max="9218" width="9.6640625" style="70"/>
    <col min="9219" max="9219" width="6.44140625" style="70" customWidth="1"/>
    <col min="9220" max="9220" width="13.88671875" style="70" customWidth="1"/>
    <col min="9221" max="9221" width="11.88671875" style="70" customWidth="1"/>
    <col min="9222" max="9224" width="9.6640625" style="70"/>
    <col min="9225" max="9225" width="15.44140625" style="70" customWidth="1"/>
    <col min="9226" max="9226" width="16.21875" style="70" customWidth="1"/>
    <col min="9227" max="9238" width="9.6640625" style="70"/>
    <col min="9239" max="9239" width="12" style="70" customWidth="1"/>
    <col min="9240" max="9240" width="12.77734375" style="70" customWidth="1"/>
    <col min="9241" max="9241" width="11.109375" style="70" customWidth="1"/>
    <col min="9242" max="9242" width="12" style="70" customWidth="1"/>
    <col min="9243" max="9243" width="9.6640625" style="70"/>
    <col min="9244" max="9244" width="15.33203125" style="70" customWidth="1"/>
    <col min="9245" max="9245" width="15.21875" style="70" customWidth="1"/>
    <col min="9246" max="9246" width="21.44140625" style="70" customWidth="1"/>
    <col min="9247" max="9262" width="9.6640625" style="70"/>
    <col min="9263" max="9264" width="13.44140625" style="70" customWidth="1"/>
    <col min="9265" max="9265" width="9.6640625" style="70"/>
    <col min="9266" max="9266" width="13.88671875" style="70" customWidth="1"/>
    <col min="9267" max="9267" width="10.6640625" style="70" customWidth="1"/>
    <col min="9268" max="9268" width="17.33203125" style="70" customWidth="1"/>
    <col min="9269" max="9270" width="12.6640625" style="70" customWidth="1"/>
    <col min="9271" max="9271" width="11.21875" style="70" customWidth="1"/>
    <col min="9272" max="9272" width="18.33203125" style="70" customWidth="1"/>
    <col min="9273" max="9273" width="12.88671875" style="70" customWidth="1"/>
    <col min="9274" max="9275" width="13.21875" style="70" customWidth="1"/>
    <col min="9276" max="9276" width="10.88671875" style="70" customWidth="1"/>
    <col min="9277" max="9277" width="11.109375" style="70" customWidth="1"/>
    <col min="9278" max="9278" width="15.21875" style="70" customWidth="1"/>
    <col min="9279" max="9279" width="9.6640625" style="70"/>
    <col min="9280" max="9280" width="11" style="70" customWidth="1"/>
    <col min="9281" max="9281" width="10.77734375" style="70" customWidth="1"/>
    <col min="9282" max="9282" width="11.44140625" style="70" customWidth="1"/>
    <col min="9283" max="9283" width="4" style="70" customWidth="1"/>
    <col min="9284" max="9474" width="9.6640625" style="70"/>
    <col min="9475" max="9475" width="6.44140625" style="70" customWidth="1"/>
    <col min="9476" max="9476" width="13.88671875" style="70" customWidth="1"/>
    <col min="9477" max="9477" width="11.88671875" style="70" customWidth="1"/>
    <col min="9478" max="9480" width="9.6640625" style="70"/>
    <col min="9481" max="9481" width="15.44140625" style="70" customWidth="1"/>
    <col min="9482" max="9482" width="16.21875" style="70" customWidth="1"/>
    <col min="9483" max="9494" width="9.6640625" style="70"/>
    <col min="9495" max="9495" width="12" style="70" customWidth="1"/>
    <col min="9496" max="9496" width="12.77734375" style="70" customWidth="1"/>
    <col min="9497" max="9497" width="11.109375" style="70" customWidth="1"/>
    <col min="9498" max="9498" width="12" style="70" customWidth="1"/>
    <col min="9499" max="9499" width="9.6640625" style="70"/>
    <col min="9500" max="9500" width="15.33203125" style="70" customWidth="1"/>
    <col min="9501" max="9501" width="15.21875" style="70" customWidth="1"/>
    <col min="9502" max="9502" width="21.44140625" style="70" customWidth="1"/>
    <col min="9503" max="9518" width="9.6640625" style="70"/>
    <col min="9519" max="9520" width="13.44140625" style="70" customWidth="1"/>
    <col min="9521" max="9521" width="9.6640625" style="70"/>
    <col min="9522" max="9522" width="13.88671875" style="70" customWidth="1"/>
    <col min="9523" max="9523" width="10.6640625" style="70" customWidth="1"/>
    <col min="9524" max="9524" width="17.33203125" style="70" customWidth="1"/>
    <col min="9525" max="9526" width="12.6640625" style="70" customWidth="1"/>
    <col min="9527" max="9527" width="11.21875" style="70" customWidth="1"/>
    <col min="9528" max="9528" width="18.33203125" style="70" customWidth="1"/>
    <col min="9529" max="9529" width="12.88671875" style="70" customWidth="1"/>
    <col min="9530" max="9531" width="13.21875" style="70" customWidth="1"/>
    <col min="9532" max="9532" width="10.88671875" style="70" customWidth="1"/>
    <col min="9533" max="9533" width="11.109375" style="70" customWidth="1"/>
    <col min="9534" max="9534" width="15.21875" style="70" customWidth="1"/>
    <col min="9535" max="9535" width="9.6640625" style="70"/>
    <col min="9536" max="9536" width="11" style="70" customWidth="1"/>
    <col min="9537" max="9537" width="10.77734375" style="70" customWidth="1"/>
    <col min="9538" max="9538" width="11.44140625" style="70" customWidth="1"/>
    <col min="9539" max="9539" width="4" style="70" customWidth="1"/>
    <col min="9540" max="9730" width="9.6640625" style="70"/>
    <col min="9731" max="9731" width="6.44140625" style="70" customWidth="1"/>
    <col min="9732" max="9732" width="13.88671875" style="70" customWidth="1"/>
    <col min="9733" max="9733" width="11.88671875" style="70" customWidth="1"/>
    <col min="9734" max="9736" width="9.6640625" style="70"/>
    <col min="9737" max="9737" width="15.44140625" style="70" customWidth="1"/>
    <col min="9738" max="9738" width="16.21875" style="70" customWidth="1"/>
    <col min="9739" max="9750" width="9.6640625" style="70"/>
    <col min="9751" max="9751" width="12" style="70" customWidth="1"/>
    <col min="9752" max="9752" width="12.77734375" style="70" customWidth="1"/>
    <col min="9753" max="9753" width="11.109375" style="70" customWidth="1"/>
    <col min="9754" max="9754" width="12" style="70" customWidth="1"/>
    <col min="9755" max="9755" width="9.6640625" style="70"/>
    <col min="9756" max="9756" width="15.33203125" style="70" customWidth="1"/>
    <col min="9757" max="9757" width="15.21875" style="70" customWidth="1"/>
    <col min="9758" max="9758" width="21.44140625" style="70" customWidth="1"/>
    <col min="9759" max="9774" width="9.6640625" style="70"/>
    <col min="9775" max="9776" width="13.44140625" style="70" customWidth="1"/>
    <col min="9777" max="9777" width="9.6640625" style="70"/>
    <col min="9778" max="9778" width="13.88671875" style="70" customWidth="1"/>
    <col min="9779" max="9779" width="10.6640625" style="70" customWidth="1"/>
    <col min="9780" max="9780" width="17.33203125" style="70" customWidth="1"/>
    <col min="9781" max="9782" width="12.6640625" style="70" customWidth="1"/>
    <col min="9783" max="9783" width="11.21875" style="70" customWidth="1"/>
    <col min="9784" max="9784" width="18.33203125" style="70" customWidth="1"/>
    <col min="9785" max="9785" width="12.88671875" style="70" customWidth="1"/>
    <col min="9786" max="9787" width="13.21875" style="70" customWidth="1"/>
    <col min="9788" max="9788" width="10.88671875" style="70" customWidth="1"/>
    <col min="9789" max="9789" width="11.109375" style="70" customWidth="1"/>
    <col min="9790" max="9790" width="15.21875" style="70" customWidth="1"/>
    <col min="9791" max="9791" width="9.6640625" style="70"/>
    <col min="9792" max="9792" width="11" style="70" customWidth="1"/>
    <col min="9793" max="9793" width="10.77734375" style="70" customWidth="1"/>
    <col min="9794" max="9794" width="11.44140625" style="70" customWidth="1"/>
    <col min="9795" max="9795" width="4" style="70" customWidth="1"/>
    <col min="9796" max="9986" width="9.6640625" style="70"/>
    <col min="9987" max="9987" width="6.44140625" style="70" customWidth="1"/>
    <col min="9988" max="9988" width="13.88671875" style="70" customWidth="1"/>
    <col min="9989" max="9989" width="11.88671875" style="70" customWidth="1"/>
    <col min="9990" max="9992" width="9.6640625" style="70"/>
    <col min="9993" max="9993" width="15.44140625" style="70" customWidth="1"/>
    <col min="9994" max="9994" width="16.21875" style="70" customWidth="1"/>
    <col min="9995" max="10006" width="9.6640625" style="70"/>
    <col min="10007" max="10007" width="12" style="70" customWidth="1"/>
    <col min="10008" max="10008" width="12.77734375" style="70" customWidth="1"/>
    <col min="10009" max="10009" width="11.109375" style="70" customWidth="1"/>
    <col min="10010" max="10010" width="12" style="70" customWidth="1"/>
    <col min="10011" max="10011" width="9.6640625" style="70"/>
    <col min="10012" max="10012" width="15.33203125" style="70" customWidth="1"/>
    <col min="10013" max="10013" width="15.21875" style="70" customWidth="1"/>
    <col min="10014" max="10014" width="21.44140625" style="70" customWidth="1"/>
    <col min="10015" max="10030" width="9.6640625" style="70"/>
    <col min="10031" max="10032" width="13.44140625" style="70" customWidth="1"/>
    <col min="10033" max="10033" width="9.6640625" style="70"/>
    <col min="10034" max="10034" width="13.88671875" style="70" customWidth="1"/>
    <col min="10035" max="10035" width="10.6640625" style="70" customWidth="1"/>
    <col min="10036" max="10036" width="17.33203125" style="70" customWidth="1"/>
    <col min="10037" max="10038" width="12.6640625" style="70" customWidth="1"/>
    <col min="10039" max="10039" width="11.21875" style="70" customWidth="1"/>
    <col min="10040" max="10040" width="18.33203125" style="70" customWidth="1"/>
    <col min="10041" max="10041" width="12.88671875" style="70" customWidth="1"/>
    <col min="10042" max="10043" width="13.21875" style="70" customWidth="1"/>
    <col min="10044" max="10044" width="10.88671875" style="70" customWidth="1"/>
    <col min="10045" max="10045" width="11.109375" style="70" customWidth="1"/>
    <col min="10046" max="10046" width="15.21875" style="70" customWidth="1"/>
    <col min="10047" max="10047" width="9.6640625" style="70"/>
    <col min="10048" max="10048" width="11" style="70" customWidth="1"/>
    <col min="10049" max="10049" width="10.77734375" style="70" customWidth="1"/>
    <col min="10050" max="10050" width="11.44140625" style="70" customWidth="1"/>
    <col min="10051" max="10051" width="4" style="70" customWidth="1"/>
    <col min="10052" max="10242" width="9.6640625" style="70"/>
    <col min="10243" max="10243" width="6.44140625" style="70" customWidth="1"/>
    <col min="10244" max="10244" width="13.88671875" style="70" customWidth="1"/>
    <col min="10245" max="10245" width="11.88671875" style="70" customWidth="1"/>
    <col min="10246" max="10248" width="9.6640625" style="70"/>
    <col min="10249" max="10249" width="15.44140625" style="70" customWidth="1"/>
    <col min="10250" max="10250" width="16.21875" style="70" customWidth="1"/>
    <col min="10251" max="10262" width="9.6640625" style="70"/>
    <col min="10263" max="10263" width="12" style="70" customWidth="1"/>
    <col min="10264" max="10264" width="12.77734375" style="70" customWidth="1"/>
    <col min="10265" max="10265" width="11.109375" style="70" customWidth="1"/>
    <col min="10266" max="10266" width="12" style="70" customWidth="1"/>
    <col min="10267" max="10267" width="9.6640625" style="70"/>
    <col min="10268" max="10268" width="15.33203125" style="70" customWidth="1"/>
    <col min="10269" max="10269" width="15.21875" style="70" customWidth="1"/>
    <col min="10270" max="10270" width="21.44140625" style="70" customWidth="1"/>
    <col min="10271" max="10286" width="9.6640625" style="70"/>
    <col min="10287" max="10288" width="13.44140625" style="70" customWidth="1"/>
    <col min="10289" max="10289" width="9.6640625" style="70"/>
    <col min="10290" max="10290" width="13.88671875" style="70" customWidth="1"/>
    <col min="10291" max="10291" width="10.6640625" style="70" customWidth="1"/>
    <col min="10292" max="10292" width="17.33203125" style="70" customWidth="1"/>
    <col min="10293" max="10294" width="12.6640625" style="70" customWidth="1"/>
    <col min="10295" max="10295" width="11.21875" style="70" customWidth="1"/>
    <col min="10296" max="10296" width="18.33203125" style="70" customWidth="1"/>
    <col min="10297" max="10297" width="12.88671875" style="70" customWidth="1"/>
    <col min="10298" max="10299" width="13.21875" style="70" customWidth="1"/>
    <col min="10300" max="10300" width="10.88671875" style="70" customWidth="1"/>
    <col min="10301" max="10301" width="11.109375" style="70" customWidth="1"/>
    <col min="10302" max="10302" width="15.21875" style="70" customWidth="1"/>
    <col min="10303" max="10303" width="9.6640625" style="70"/>
    <col min="10304" max="10304" width="11" style="70" customWidth="1"/>
    <col min="10305" max="10305" width="10.77734375" style="70" customWidth="1"/>
    <col min="10306" max="10306" width="11.44140625" style="70" customWidth="1"/>
    <col min="10307" max="10307" width="4" style="70" customWidth="1"/>
    <col min="10308" max="10498" width="9.6640625" style="70"/>
    <col min="10499" max="10499" width="6.44140625" style="70" customWidth="1"/>
    <col min="10500" max="10500" width="13.88671875" style="70" customWidth="1"/>
    <col min="10501" max="10501" width="11.88671875" style="70" customWidth="1"/>
    <col min="10502" max="10504" width="9.6640625" style="70"/>
    <col min="10505" max="10505" width="15.44140625" style="70" customWidth="1"/>
    <col min="10506" max="10506" width="16.21875" style="70" customWidth="1"/>
    <col min="10507" max="10518" width="9.6640625" style="70"/>
    <col min="10519" max="10519" width="12" style="70" customWidth="1"/>
    <col min="10520" max="10520" width="12.77734375" style="70" customWidth="1"/>
    <col min="10521" max="10521" width="11.109375" style="70" customWidth="1"/>
    <col min="10522" max="10522" width="12" style="70" customWidth="1"/>
    <col min="10523" max="10523" width="9.6640625" style="70"/>
    <col min="10524" max="10524" width="15.33203125" style="70" customWidth="1"/>
    <col min="10525" max="10525" width="15.21875" style="70" customWidth="1"/>
    <col min="10526" max="10526" width="21.44140625" style="70" customWidth="1"/>
    <col min="10527" max="10542" width="9.6640625" style="70"/>
    <col min="10543" max="10544" width="13.44140625" style="70" customWidth="1"/>
    <col min="10545" max="10545" width="9.6640625" style="70"/>
    <col min="10546" max="10546" width="13.88671875" style="70" customWidth="1"/>
    <col min="10547" max="10547" width="10.6640625" style="70" customWidth="1"/>
    <col min="10548" max="10548" width="17.33203125" style="70" customWidth="1"/>
    <col min="10549" max="10550" width="12.6640625" style="70" customWidth="1"/>
    <col min="10551" max="10551" width="11.21875" style="70" customWidth="1"/>
    <col min="10552" max="10552" width="18.33203125" style="70" customWidth="1"/>
    <col min="10553" max="10553" width="12.88671875" style="70" customWidth="1"/>
    <col min="10554" max="10555" width="13.21875" style="70" customWidth="1"/>
    <col min="10556" max="10556" width="10.88671875" style="70" customWidth="1"/>
    <col min="10557" max="10557" width="11.109375" style="70" customWidth="1"/>
    <col min="10558" max="10558" width="15.21875" style="70" customWidth="1"/>
    <col min="10559" max="10559" width="9.6640625" style="70"/>
    <col min="10560" max="10560" width="11" style="70" customWidth="1"/>
    <col min="10561" max="10561" width="10.77734375" style="70" customWidth="1"/>
    <col min="10562" max="10562" width="11.44140625" style="70" customWidth="1"/>
    <col min="10563" max="10563" width="4" style="70" customWidth="1"/>
    <col min="10564" max="10754" width="9.6640625" style="70"/>
    <col min="10755" max="10755" width="6.44140625" style="70" customWidth="1"/>
    <col min="10756" max="10756" width="13.88671875" style="70" customWidth="1"/>
    <col min="10757" max="10757" width="11.88671875" style="70" customWidth="1"/>
    <col min="10758" max="10760" width="9.6640625" style="70"/>
    <col min="10761" max="10761" width="15.44140625" style="70" customWidth="1"/>
    <col min="10762" max="10762" width="16.21875" style="70" customWidth="1"/>
    <col min="10763" max="10774" width="9.6640625" style="70"/>
    <col min="10775" max="10775" width="12" style="70" customWidth="1"/>
    <col min="10776" max="10776" width="12.77734375" style="70" customWidth="1"/>
    <col min="10777" max="10777" width="11.109375" style="70" customWidth="1"/>
    <col min="10778" max="10778" width="12" style="70" customWidth="1"/>
    <col min="10779" max="10779" width="9.6640625" style="70"/>
    <col min="10780" max="10780" width="15.33203125" style="70" customWidth="1"/>
    <col min="10781" max="10781" width="15.21875" style="70" customWidth="1"/>
    <col min="10782" max="10782" width="21.44140625" style="70" customWidth="1"/>
    <col min="10783" max="10798" width="9.6640625" style="70"/>
    <col min="10799" max="10800" width="13.44140625" style="70" customWidth="1"/>
    <col min="10801" max="10801" width="9.6640625" style="70"/>
    <col min="10802" max="10802" width="13.88671875" style="70" customWidth="1"/>
    <col min="10803" max="10803" width="10.6640625" style="70" customWidth="1"/>
    <col min="10804" max="10804" width="17.33203125" style="70" customWidth="1"/>
    <col min="10805" max="10806" width="12.6640625" style="70" customWidth="1"/>
    <col min="10807" max="10807" width="11.21875" style="70" customWidth="1"/>
    <col min="10808" max="10808" width="18.33203125" style="70" customWidth="1"/>
    <col min="10809" max="10809" width="12.88671875" style="70" customWidth="1"/>
    <col min="10810" max="10811" width="13.21875" style="70" customWidth="1"/>
    <col min="10812" max="10812" width="10.88671875" style="70" customWidth="1"/>
    <col min="10813" max="10813" width="11.109375" style="70" customWidth="1"/>
    <col min="10814" max="10814" width="15.21875" style="70" customWidth="1"/>
    <col min="10815" max="10815" width="9.6640625" style="70"/>
    <col min="10816" max="10816" width="11" style="70" customWidth="1"/>
    <col min="10817" max="10817" width="10.77734375" style="70" customWidth="1"/>
    <col min="10818" max="10818" width="11.44140625" style="70" customWidth="1"/>
    <col min="10819" max="10819" width="4" style="70" customWidth="1"/>
    <col min="10820" max="11010" width="9.6640625" style="70"/>
    <col min="11011" max="11011" width="6.44140625" style="70" customWidth="1"/>
    <col min="11012" max="11012" width="13.88671875" style="70" customWidth="1"/>
    <col min="11013" max="11013" width="11.88671875" style="70" customWidth="1"/>
    <col min="11014" max="11016" width="9.6640625" style="70"/>
    <col min="11017" max="11017" width="15.44140625" style="70" customWidth="1"/>
    <col min="11018" max="11018" width="16.21875" style="70" customWidth="1"/>
    <col min="11019" max="11030" width="9.6640625" style="70"/>
    <col min="11031" max="11031" width="12" style="70" customWidth="1"/>
    <col min="11032" max="11032" width="12.77734375" style="70" customWidth="1"/>
    <col min="11033" max="11033" width="11.109375" style="70" customWidth="1"/>
    <col min="11034" max="11034" width="12" style="70" customWidth="1"/>
    <col min="11035" max="11035" width="9.6640625" style="70"/>
    <col min="11036" max="11036" width="15.33203125" style="70" customWidth="1"/>
    <col min="11037" max="11037" width="15.21875" style="70" customWidth="1"/>
    <col min="11038" max="11038" width="21.44140625" style="70" customWidth="1"/>
    <col min="11039" max="11054" width="9.6640625" style="70"/>
    <col min="11055" max="11056" width="13.44140625" style="70" customWidth="1"/>
    <col min="11057" max="11057" width="9.6640625" style="70"/>
    <col min="11058" max="11058" width="13.88671875" style="70" customWidth="1"/>
    <col min="11059" max="11059" width="10.6640625" style="70" customWidth="1"/>
    <col min="11060" max="11060" width="17.33203125" style="70" customWidth="1"/>
    <col min="11061" max="11062" width="12.6640625" style="70" customWidth="1"/>
    <col min="11063" max="11063" width="11.21875" style="70" customWidth="1"/>
    <col min="11064" max="11064" width="18.33203125" style="70" customWidth="1"/>
    <col min="11065" max="11065" width="12.88671875" style="70" customWidth="1"/>
    <col min="11066" max="11067" width="13.21875" style="70" customWidth="1"/>
    <col min="11068" max="11068" width="10.88671875" style="70" customWidth="1"/>
    <col min="11069" max="11069" width="11.109375" style="70" customWidth="1"/>
    <col min="11070" max="11070" width="15.21875" style="70" customWidth="1"/>
    <col min="11071" max="11071" width="9.6640625" style="70"/>
    <col min="11072" max="11072" width="11" style="70" customWidth="1"/>
    <col min="11073" max="11073" width="10.77734375" style="70" customWidth="1"/>
    <col min="11074" max="11074" width="11.44140625" style="70" customWidth="1"/>
    <col min="11075" max="11075" width="4" style="70" customWidth="1"/>
    <col min="11076" max="11266" width="9.6640625" style="70"/>
    <col min="11267" max="11267" width="6.44140625" style="70" customWidth="1"/>
    <col min="11268" max="11268" width="13.88671875" style="70" customWidth="1"/>
    <col min="11269" max="11269" width="11.88671875" style="70" customWidth="1"/>
    <col min="11270" max="11272" width="9.6640625" style="70"/>
    <col min="11273" max="11273" width="15.44140625" style="70" customWidth="1"/>
    <col min="11274" max="11274" width="16.21875" style="70" customWidth="1"/>
    <col min="11275" max="11286" width="9.6640625" style="70"/>
    <col min="11287" max="11287" width="12" style="70" customWidth="1"/>
    <col min="11288" max="11288" width="12.77734375" style="70" customWidth="1"/>
    <col min="11289" max="11289" width="11.109375" style="70" customWidth="1"/>
    <col min="11290" max="11290" width="12" style="70" customWidth="1"/>
    <col min="11291" max="11291" width="9.6640625" style="70"/>
    <col min="11292" max="11292" width="15.33203125" style="70" customWidth="1"/>
    <col min="11293" max="11293" width="15.21875" style="70" customWidth="1"/>
    <col min="11294" max="11294" width="21.44140625" style="70" customWidth="1"/>
    <col min="11295" max="11310" width="9.6640625" style="70"/>
    <col min="11311" max="11312" width="13.44140625" style="70" customWidth="1"/>
    <col min="11313" max="11313" width="9.6640625" style="70"/>
    <col min="11314" max="11314" width="13.88671875" style="70" customWidth="1"/>
    <col min="11315" max="11315" width="10.6640625" style="70" customWidth="1"/>
    <col min="11316" max="11316" width="17.33203125" style="70" customWidth="1"/>
    <col min="11317" max="11318" width="12.6640625" style="70" customWidth="1"/>
    <col min="11319" max="11319" width="11.21875" style="70" customWidth="1"/>
    <col min="11320" max="11320" width="18.33203125" style="70" customWidth="1"/>
    <col min="11321" max="11321" width="12.88671875" style="70" customWidth="1"/>
    <col min="11322" max="11323" width="13.21875" style="70" customWidth="1"/>
    <col min="11324" max="11324" width="10.88671875" style="70" customWidth="1"/>
    <col min="11325" max="11325" width="11.109375" style="70" customWidth="1"/>
    <col min="11326" max="11326" width="15.21875" style="70" customWidth="1"/>
    <col min="11327" max="11327" width="9.6640625" style="70"/>
    <col min="11328" max="11328" width="11" style="70" customWidth="1"/>
    <col min="11329" max="11329" width="10.77734375" style="70" customWidth="1"/>
    <col min="11330" max="11330" width="11.44140625" style="70" customWidth="1"/>
    <col min="11331" max="11331" width="4" style="70" customWidth="1"/>
    <col min="11332" max="11522" width="9.6640625" style="70"/>
    <col min="11523" max="11523" width="6.44140625" style="70" customWidth="1"/>
    <col min="11524" max="11524" width="13.88671875" style="70" customWidth="1"/>
    <col min="11525" max="11525" width="11.88671875" style="70" customWidth="1"/>
    <col min="11526" max="11528" width="9.6640625" style="70"/>
    <col min="11529" max="11529" width="15.44140625" style="70" customWidth="1"/>
    <col min="11530" max="11530" width="16.21875" style="70" customWidth="1"/>
    <col min="11531" max="11542" width="9.6640625" style="70"/>
    <col min="11543" max="11543" width="12" style="70" customWidth="1"/>
    <col min="11544" max="11544" width="12.77734375" style="70" customWidth="1"/>
    <col min="11545" max="11545" width="11.109375" style="70" customWidth="1"/>
    <col min="11546" max="11546" width="12" style="70" customWidth="1"/>
    <col min="11547" max="11547" width="9.6640625" style="70"/>
    <col min="11548" max="11548" width="15.33203125" style="70" customWidth="1"/>
    <col min="11549" max="11549" width="15.21875" style="70" customWidth="1"/>
    <col min="11550" max="11550" width="21.44140625" style="70" customWidth="1"/>
    <col min="11551" max="11566" width="9.6640625" style="70"/>
    <col min="11567" max="11568" width="13.44140625" style="70" customWidth="1"/>
    <col min="11569" max="11569" width="9.6640625" style="70"/>
    <col min="11570" max="11570" width="13.88671875" style="70" customWidth="1"/>
    <col min="11571" max="11571" width="10.6640625" style="70" customWidth="1"/>
    <col min="11572" max="11572" width="17.33203125" style="70" customWidth="1"/>
    <col min="11573" max="11574" width="12.6640625" style="70" customWidth="1"/>
    <col min="11575" max="11575" width="11.21875" style="70" customWidth="1"/>
    <col min="11576" max="11576" width="18.33203125" style="70" customWidth="1"/>
    <col min="11577" max="11577" width="12.88671875" style="70" customWidth="1"/>
    <col min="11578" max="11579" width="13.21875" style="70" customWidth="1"/>
    <col min="11580" max="11580" width="10.88671875" style="70" customWidth="1"/>
    <col min="11581" max="11581" width="11.109375" style="70" customWidth="1"/>
    <col min="11582" max="11582" width="15.21875" style="70" customWidth="1"/>
    <col min="11583" max="11583" width="9.6640625" style="70"/>
    <col min="11584" max="11584" width="11" style="70" customWidth="1"/>
    <col min="11585" max="11585" width="10.77734375" style="70" customWidth="1"/>
    <col min="11586" max="11586" width="11.44140625" style="70" customWidth="1"/>
    <col min="11587" max="11587" width="4" style="70" customWidth="1"/>
    <col min="11588" max="11778" width="9.6640625" style="70"/>
    <col min="11779" max="11779" width="6.44140625" style="70" customWidth="1"/>
    <col min="11780" max="11780" width="13.88671875" style="70" customWidth="1"/>
    <col min="11781" max="11781" width="11.88671875" style="70" customWidth="1"/>
    <col min="11782" max="11784" width="9.6640625" style="70"/>
    <col min="11785" max="11785" width="15.44140625" style="70" customWidth="1"/>
    <col min="11786" max="11786" width="16.21875" style="70" customWidth="1"/>
    <col min="11787" max="11798" width="9.6640625" style="70"/>
    <col min="11799" max="11799" width="12" style="70" customWidth="1"/>
    <col min="11800" max="11800" width="12.77734375" style="70" customWidth="1"/>
    <col min="11801" max="11801" width="11.109375" style="70" customWidth="1"/>
    <col min="11802" max="11802" width="12" style="70" customWidth="1"/>
    <col min="11803" max="11803" width="9.6640625" style="70"/>
    <col min="11804" max="11804" width="15.33203125" style="70" customWidth="1"/>
    <col min="11805" max="11805" width="15.21875" style="70" customWidth="1"/>
    <col min="11806" max="11806" width="21.44140625" style="70" customWidth="1"/>
    <col min="11807" max="11822" width="9.6640625" style="70"/>
    <col min="11823" max="11824" width="13.44140625" style="70" customWidth="1"/>
    <col min="11825" max="11825" width="9.6640625" style="70"/>
    <col min="11826" max="11826" width="13.88671875" style="70" customWidth="1"/>
    <col min="11827" max="11827" width="10.6640625" style="70" customWidth="1"/>
    <col min="11828" max="11828" width="17.33203125" style="70" customWidth="1"/>
    <col min="11829" max="11830" width="12.6640625" style="70" customWidth="1"/>
    <col min="11831" max="11831" width="11.21875" style="70" customWidth="1"/>
    <col min="11832" max="11832" width="18.33203125" style="70" customWidth="1"/>
    <col min="11833" max="11833" width="12.88671875" style="70" customWidth="1"/>
    <col min="11834" max="11835" width="13.21875" style="70" customWidth="1"/>
    <col min="11836" max="11836" width="10.88671875" style="70" customWidth="1"/>
    <col min="11837" max="11837" width="11.109375" style="70" customWidth="1"/>
    <col min="11838" max="11838" width="15.21875" style="70" customWidth="1"/>
    <col min="11839" max="11839" width="9.6640625" style="70"/>
    <col min="11840" max="11840" width="11" style="70" customWidth="1"/>
    <col min="11841" max="11841" width="10.77734375" style="70" customWidth="1"/>
    <col min="11842" max="11842" width="11.44140625" style="70" customWidth="1"/>
    <col min="11843" max="11843" width="4" style="70" customWidth="1"/>
    <col min="11844" max="12034" width="9.6640625" style="70"/>
    <col min="12035" max="12035" width="6.44140625" style="70" customWidth="1"/>
    <col min="12036" max="12036" width="13.88671875" style="70" customWidth="1"/>
    <col min="12037" max="12037" width="11.88671875" style="70" customWidth="1"/>
    <col min="12038" max="12040" width="9.6640625" style="70"/>
    <col min="12041" max="12041" width="15.44140625" style="70" customWidth="1"/>
    <col min="12042" max="12042" width="16.21875" style="70" customWidth="1"/>
    <col min="12043" max="12054" width="9.6640625" style="70"/>
    <col min="12055" max="12055" width="12" style="70" customWidth="1"/>
    <col min="12056" max="12056" width="12.77734375" style="70" customWidth="1"/>
    <col min="12057" max="12057" width="11.109375" style="70" customWidth="1"/>
    <col min="12058" max="12058" width="12" style="70" customWidth="1"/>
    <col min="12059" max="12059" width="9.6640625" style="70"/>
    <col min="12060" max="12060" width="15.33203125" style="70" customWidth="1"/>
    <col min="12061" max="12061" width="15.21875" style="70" customWidth="1"/>
    <col min="12062" max="12062" width="21.44140625" style="70" customWidth="1"/>
    <col min="12063" max="12078" width="9.6640625" style="70"/>
    <col min="12079" max="12080" width="13.44140625" style="70" customWidth="1"/>
    <col min="12081" max="12081" width="9.6640625" style="70"/>
    <col min="12082" max="12082" width="13.88671875" style="70" customWidth="1"/>
    <col min="12083" max="12083" width="10.6640625" style="70" customWidth="1"/>
    <col min="12084" max="12084" width="17.33203125" style="70" customWidth="1"/>
    <col min="12085" max="12086" width="12.6640625" style="70" customWidth="1"/>
    <col min="12087" max="12087" width="11.21875" style="70" customWidth="1"/>
    <col min="12088" max="12088" width="18.33203125" style="70" customWidth="1"/>
    <col min="12089" max="12089" width="12.88671875" style="70" customWidth="1"/>
    <col min="12090" max="12091" width="13.21875" style="70" customWidth="1"/>
    <col min="12092" max="12092" width="10.88671875" style="70" customWidth="1"/>
    <col min="12093" max="12093" width="11.109375" style="70" customWidth="1"/>
    <col min="12094" max="12094" width="15.21875" style="70" customWidth="1"/>
    <col min="12095" max="12095" width="9.6640625" style="70"/>
    <col min="12096" max="12096" width="11" style="70" customWidth="1"/>
    <col min="12097" max="12097" width="10.77734375" style="70" customWidth="1"/>
    <col min="12098" max="12098" width="11.44140625" style="70" customWidth="1"/>
    <col min="12099" max="12099" width="4" style="70" customWidth="1"/>
    <col min="12100" max="12290" width="9.6640625" style="70"/>
    <col min="12291" max="12291" width="6.44140625" style="70" customWidth="1"/>
    <col min="12292" max="12292" width="13.88671875" style="70" customWidth="1"/>
    <col min="12293" max="12293" width="11.88671875" style="70" customWidth="1"/>
    <col min="12294" max="12296" width="9.6640625" style="70"/>
    <col min="12297" max="12297" width="15.44140625" style="70" customWidth="1"/>
    <col min="12298" max="12298" width="16.21875" style="70" customWidth="1"/>
    <col min="12299" max="12310" width="9.6640625" style="70"/>
    <col min="12311" max="12311" width="12" style="70" customWidth="1"/>
    <col min="12312" max="12312" width="12.77734375" style="70" customWidth="1"/>
    <col min="12313" max="12313" width="11.109375" style="70" customWidth="1"/>
    <col min="12314" max="12314" width="12" style="70" customWidth="1"/>
    <col min="12315" max="12315" width="9.6640625" style="70"/>
    <col min="12316" max="12316" width="15.33203125" style="70" customWidth="1"/>
    <col min="12317" max="12317" width="15.21875" style="70" customWidth="1"/>
    <col min="12318" max="12318" width="21.44140625" style="70" customWidth="1"/>
    <col min="12319" max="12334" width="9.6640625" style="70"/>
    <col min="12335" max="12336" width="13.44140625" style="70" customWidth="1"/>
    <col min="12337" max="12337" width="9.6640625" style="70"/>
    <col min="12338" max="12338" width="13.88671875" style="70" customWidth="1"/>
    <col min="12339" max="12339" width="10.6640625" style="70" customWidth="1"/>
    <col min="12340" max="12340" width="17.33203125" style="70" customWidth="1"/>
    <col min="12341" max="12342" width="12.6640625" style="70" customWidth="1"/>
    <col min="12343" max="12343" width="11.21875" style="70" customWidth="1"/>
    <col min="12344" max="12344" width="18.33203125" style="70" customWidth="1"/>
    <col min="12345" max="12345" width="12.88671875" style="70" customWidth="1"/>
    <col min="12346" max="12347" width="13.21875" style="70" customWidth="1"/>
    <col min="12348" max="12348" width="10.88671875" style="70" customWidth="1"/>
    <col min="12349" max="12349" width="11.109375" style="70" customWidth="1"/>
    <col min="12350" max="12350" width="15.21875" style="70" customWidth="1"/>
    <col min="12351" max="12351" width="9.6640625" style="70"/>
    <col min="12352" max="12352" width="11" style="70" customWidth="1"/>
    <col min="12353" max="12353" width="10.77734375" style="70" customWidth="1"/>
    <col min="12354" max="12354" width="11.44140625" style="70" customWidth="1"/>
    <col min="12355" max="12355" width="4" style="70" customWidth="1"/>
    <col min="12356" max="12546" width="9.6640625" style="70"/>
    <col min="12547" max="12547" width="6.44140625" style="70" customWidth="1"/>
    <col min="12548" max="12548" width="13.88671875" style="70" customWidth="1"/>
    <col min="12549" max="12549" width="11.88671875" style="70" customWidth="1"/>
    <col min="12550" max="12552" width="9.6640625" style="70"/>
    <col min="12553" max="12553" width="15.44140625" style="70" customWidth="1"/>
    <col min="12554" max="12554" width="16.21875" style="70" customWidth="1"/>
    <col min="12555" max="12566" width="9.6640625" style="70"/>
    <col min="12567" max="12567" width="12" style="70" customWidth="1"/>
    <col min="12568" max="12568" width="12.77734375" style="70" customWidth="1"/>
    <col min="12569" max="12569" width="11.109375" style="70" customWidth="1"/>
    <col min="12570" max="12570" width="12" style="70" customWidth="1"/>
    <col min="12571" max="12571" width="9.6640625" style="70"/>
    <col min="12572" max="12572" width="15.33203125" style="70" customWidth="1"/>
    <col min="12573" max="12573" width="15.21875" style="70" customWidth="1"/>
    <col min="12574" max="12574" width="21.44140625" style="70" customWidth="1"/>
    <col min="12575" max="12590" width="9.6640625" style="70"/>
    <col min="12591" max="12592" width="13.44140625" style="70" customWidth="1"/>
    <col min="12593" max="12593" width="9.6640625" style="70"/>
    <col min="12594" max="12594" width="13.88671875" style="70" customWidth="1"/>
    <col min="12595" max="12595" width="10.6640625" style="70" customWidth="1"/>
    <col min="12596" max="12596" width="17.33203125" style="70" customWidth="1"/>
    <col min="12597" max="12598" width="12.6640625" style="70" customWidth="1"/>
    <col min="12599" max="12599" width="11.21875" style="70" customWidth="1"/>
    <col min="12600" max="12600" width="18.33203125" style="70" customWidth="1"/>
    <col min="12601" max="12601" width="12.88671875" style="70" customWidth="1"/>
    <col min="12602" max="12603" width="13.21875" style="70" customWidth="1"/>
    <col min="12604" max="12604" width="10.88671875" style="70" customWidth="1"/>
    <col min="12605" max="12605" width="11.109375" style="70" customWidth="1"/>
    <col min="12606" max="12606" width="15.21875" style="70" customWidth="1"/>
    <col min="12607" max="12607" width="9.6640625" style="70"/>
    <col min="12608" max="12608" width="11" style="70" customWidth="1"/>
    <col min="12609" max="12609" width="10.77734375" style="70" customWidth="1"/>
    <col min="12610" max="12610" width="11.44140625" style="70" customWidth="1"/>
    <col min="12611" max="12611" width="4" style="70" customWidth="1"/>
    <col min="12612" max="12802" width="9.6640625" style="70"/>
    <col min="12803" max="12803" width="6.44140625" style="70" customWidth="1"/>
    <col min="12804" max="12804" width="13.88671875" style="70" customWidth="1"/>
    <col min="12805" max="12805" width="11.88671875" style="70" customWidth="1"/>
    <col min="12806" max="12808" width="9.6640625" style="70"/>
    <col min="12809" max="12809" width="15.44140625" style="70" customWidth="1"/>
    <col min="12810" max="12810" width="16.21875" style="70" customWidth="1"/>
    <col min="12811" max="12822" width="9.6640625" style="70"/>
    <col min="12823" max="12823" width="12" style="70" customWidth="1"/>
    <col min="12824" max="12824" width="12.77734375" style="70" customWidth="1"/>
    <col min="12825" max="12825" width="11.109375" style="70" customWidth="1"/>
    <col min="12826" max="12826" width="12" style="70" customWidth="1"/>
    <col min="12827" max="12827" width="9.6640625" style="70"/>
    <col min="12828" max="12828" width="15.33203125" style="70" customWidth="1"/>
    <col min="12829" max="12829" width="15.21875" style="70" customWidth="1"/>
    <col min="12830" max="12830" width="21.44140625" style="70" customWidth="1"/>
    <col min="12831" max="12846" width="9.6640625" style="70"/>
    <col min="12847" max="12848" width="13.44140625" style="70" customWidth="1"/>
    <col min="12849" max="12849" width="9.6640625" style="70"/>
    <col min="12850" max="12850" width="13.88671875" style="70" customWidth="1"/>
    <col min="12851" max="12851" width="10.6640625" style="70" customWidth="1"/>
    <col min="12852" max="12852" width="17.33203125" style="70" customWidth="1"/>
    <col min="12853" max="12854" width="12.6640625" style="70" customWidth="1"/>
    <col min="12855" max="12855" width="11.21875" style="70" customWidth="1"/>
    <col min="12856" max="12856" width="18.33203125" style="70" customWidth="1"/>
    <col min="12857" max="12857" width="12.88671875" style="70" customWidth="1"/>
    <col min="12858" max="12859" width="13.21875" style="70" customWidth="1"/>
    <col min="12860" max="12860" width="10.88671875" style="70" customWidth="1"/>
    <col min="12861" max="12861" width="11.109375" style="70" customWidth="1"/>
    <col min="12862" max="12862" width="15.21875" style="70" customWidth="1"/>
    <col min="12863" max="12863" width="9.6640625" style="70"/>
    <col min="12864" max="12864" width="11" style="70" customWidth="1"/>
    <col min="12865" max="12865" width="10.77734375" style="70" customWidth="1"/>
    <col min="12866" max="12866" width="11.44140625" style="70" customWidth="1"/>
    <col min="12867" max="12867" width="4" style="70" customWidth="1"/>
    <col min="12868" max="13058" width="9.6640625" style="70"/>
    <col min="13059" max="13059" width="6.44140625" style="70" customWidth="1"/>
    <col min="13060" max="13060" width="13.88671875" style="70" customWidth="1"/>
    <col min="13061" max="13061" width="11.88671875" style="70" customWidth="1"/>
    <col min="13062" max="13064" width="9.6640625" style="70"/>
    <col min="13065" max="13065" width="15.44140625" style="70" customWidth="1"/>
    <col min="13066" max="13066" width="16.21875" style="70" customWidth="1"/>
    <col min="13067" max="13078" width="9.6640625" style="70"/>
    <col min="13079" max="13079" width="12" style="70" customWidth="1"/>
    <col min="13080" max="13080" width="12.77734375" style="70" customWidth="1"/>
    <col min="13081" max="13081" width="11.109375" style="70" customWidth="1"/>
    <col min="13082" max="13082" width="12" style="70" customWidth="1"/>
    <col min="13083" max="13083" width="9.6640625" style="70"/>
    <col min="13084" max="13084" width="15.33203125" style="70" customWidth="1"/>
    <col min="13085" max="13085" width="15.21875" style="70" customWidth="1"/>
    <col min="13086" max="13086" width="21.44140625" style="70" customWidth="1"/>
    <col min="13087" max="13102" width="9.6640625" style="70"/>
    <col min="13103" max="13104" width="13.44140625" style="70" customWidth="1"/>
    <col min="13105" max="13105" width="9.6640625" style="70"/>
    <col min="13106" max="13106" width="13.88671875" style="70" customWidth="1"/>
    <col min="13107" max="13107" width="10.6640625" style="70" customWidth="1"/>
    <col min="13108" max="13108" width="17.33203125" style="70" customWidth="1"/>
    <col min="13109" max="13110" width="12.6640625" style="70" customWidth="1"/>
    <col min="13111" max="13111" width="11.21875" style="70" customWidth="1"/>
    <col min="13112" max="13112" width="18.33203125" style="70" customWidth="1"/>
    <col min="13113" max="13113" width="12.88671875" style="70" customWidth="1"/>
    <col min="13114" max="13115" width="13.21875" style="70" customWidth="1"/>
    <col min="13116" max="13116" width="10.88671875" style="70" customWidth="1"/>
    <col min="13117" max="13117" width="11.109375" style="70" customWidth="1"/>
    <col min="13118" max="13118" width="15.21875" style="70" customWidth="1"/>
    <col min="13119" max="13119" width="9.6640625" style="70"/>
    <col min="13120" max="13120" width="11" style="70" customWidth="1"/>
    <col min="13121" max="13121" width="10.77734375" style="70" customWidth="1"/>
    <col min="13122" max="13122" width="11.44140625" style="70" customWidth="1"/>
    <col min="13123" max="13123" width="4" style="70" customWidth="1"/>
    <col min="13124" max="13314" width="9.6640625" style="70"/>
    <col min="13315" max="13315" width="6.44140625" style="70" customWidth="1"/>
    <col min="13316" max="13316" width="13.88671875" style="70" customWidth="1"/>
    <col min="13317" max="13317" width="11.88671875" style="70" customWidth="1"/>
    <col min="13318" max="13320" width="9.6640625" style="70"/>
    <col min="13321" max="13321" width="15.44140625" style="70" customWidth="1"/>
    <col min="13322" max="13322" width="16.21875" style="70" customWidth="1"/>
    <col min="13323" max="13334" width="9.6640625" style="70"/>
    <col min="13335" max="13335" width="12" style="70" customWidth="1"/>
    <col min="13336" max="13336" width="12.77734375" style="70" customWidth="1"/>
    <col min="13337" max="13337" width="11.109375" style="70" customWidth="1"/>
    <col min="13338" max="13338" width="12" style="70" customWidth="1"/>
    <col min="13339" max="13339" width="9.6640625" style="70"/>
    <col min="13340" max="13340" width="15.33203125" style="70" customWidth="1"/>
    <col min="13341" max="13341" width="15.21875" style="70" customWidth="1"/>
    <col min="13342" max="13342" width="21.44140625" style="70" customWidth="1"/>
    <col min="13343" max="13358" width="9.6640625" style="70"/>
    <col min="13359" max="13360" width="13.44140625" style="70" customWidth="1"/>
    <col min="13361" max="13361" width="9.6640625" style="70"/>
    <col min="13362" max="13362" width="13.88671875" style="70" customWidth="1"/>
    <col min="13363" max="13363" width="10.6640625" style="70" customWidth="1"/>
    <col min="13364" max="13364" width="17.33203125" style="70" customWidth="1"/>
    <col min="13365" max="13366" width="12.6640625" style="70" customWidth="1"/>
    <col min="13367" max="13367" width="11.21875" style="70" customWidth="1"/>
    <col min="13368" max="13368" width="18.33203125" style="70" customWidth="1"/>
    <col min="13369" max="13369" width="12.88671875" style="70" customWidth="1"/>
    <col min="13370" max="13371" width="13.21875" style="70" customWidth="1"/>
    <col min="13372" max="13372" width="10.88671875" style="70" customWidth="1"/>
    <col min="13373" max="13373" width="11.109375" style="70" customWidth="1"/>
    <col min="13374" max="13374" width="15.21875" style="70" customWidth="1"/>
    <col min="13375" max="13375" width="9.6640625" style="70"/>
    <col min="13376" max="13376" width="11" style="70" customWidth="1"/>
    <col min="13377" max="13377" width="10.77734375" style="70" customWidth="1"/>
    <col min="13378" max="13378" width="11.44140625" style="70" customWidth="1"/>
    <col min="13379" max="13379" width="4" style="70" customWidth="1"/>
    <col min="13380" max="13570" width="9.6640625" style="70"/>
    <col min="13571" max="13571" width="6.44140625" style="70" customWidth="1"/>
    <col min="13572" max="13572" width="13.88671875" style="70" customWidth="1"/>
    <col min="13573" max="13573" width="11.88671875" style="70" customWidth="1"/>
    <col min="13574" max="13576" width="9.6640625" style="70"/>
    <col min="13577" max="13577" width="15.44140625" style="70" customWidth="1"/>
    <col min="13578" max="13578" width="16.21875" style="70" customWidth="1"/>
    <col min="13579" max="13590" width="9.6640625" style="70"/>
    <col min="13591" max="13591" width="12" style="70" customWidth="1"/>
    <col min="13592" max="13592" width="12.77734375" style="70" customWidth="1"/>
    <col min="13593" max="13593" width="11.109375" style="70" customWidth="1"/>
    <col min="13594" max="13594" width="12" style="70" customWidth="1"/>
    <col min="13595" max="13595" width="9.6640625" style="70"/>
    <col min="13596" max="13596" width="15.33203125" style="70" customWidth="1"/>
    <col min="13597" max="13597" width="15.21875" style="70" customWidth="1"/>
    <col min="13598" max="13598" width="21.44140625" style="70" customWidth="1"/>
    <col min="13599" max="13614" width="9.6640625" style="70"/>
    <col min="13615" max="13616" width="13.44140625" style="70" customWidth="1"/>
    <col min="13617" max="13617" width="9.6640625" style="70"/>
    <col min="13618" max="13618" width="13.88671875" style="70" customWidth="1"/>
    <col min="13619" max="13619" width="10.6640625" style="70" customWidth="1"/>
    <col min="13620" max="13620" width="17.33203125" style="70" customWidth="1"/>
    <col min="13621" max="13622" width="12.6640625" style="70" customWidth="1"/>
    <col min="13623" max="13623" width="11.21875" style="70" customWidth="1"/>
    <col min="13624" max="13624" width="18.33203125" style="70" customWidth="1"/>
    <col min="13625" max="13625" width="12.88671875" style="70" customWidth="1"/>
    <col min="13626" max="13627" width="13.21875" style="70" customWidth="1"/>
    <col min="13628" max="13628" width="10.88671875" style="70" customWidth="1"/>
    <col min="13629" max="13629" width="11.109375" style="70" customWidth="1"/>
    <col min="13630" max="13630" width="15.21875" style="70" customWidth="1"/>
    <col min="13631" max="13631" width="9.6640625" style="70"/>
    <col min="13632" max="13632" width="11" style="70" customWidth="1"/>
    <col min="13633" max="13633" width="10.77734375" style="70" customWidth="1"/>
    <col min="13634" max="13634" width="11.44140625" style="70" customWidth="1"/>
    <col min="13635" max="13635" width="4" style="70" customWidth="1"/>
    <col min="13636" max="13826" width="9.6640625" style="70"/>
    <col min="13827" max="13827" width="6.44140625" style="70" customWidth="1"/>
    <col min="13828" max="13828" width="13.88671875" style="70" customWidth="1"/>
    <col min="13829" max="13829" width="11.88671875" style="70" customWidth="1"/>
    <col min="13830" max="13832" width="9.6640625" style="70"/>
    <col min="13833" max="13833" width="15.44140625" style="70" customWidth="1"/>
    <col min="13834" max="13834" width="16.21875" style="70" customWidth="1"/>
    <col min="13835" max="13846" width="9.6640625" style="70"/>
    <col min="13847" max="13847" width="12" style="70" customWidth="1"/>
    <col min="13848" max="13848" width="12.77734375" style="70" customWidth="1"/>
    <col min="13849" max="13849" width="11.109375" style="70" customWidth="1"/>
    <col min="13850" max="13850" width="12" style="70" customWidth="1"/>
    <col min="13851" max="13851" width="9.6640625" style="70"/>
    <col min="13852" max="13852" width="15.33203125" style="70" customWidth="1"/>
    <col min="13853" max="13853" width="15.21875" style="70" customWidth="1"/>
    <col min="13854" max="13854" width="21.44140625" style="70" customWidth="1"/>
    <col min="13855" max="13870" width="9.6640625" style="70"/>
    <col min="13871" max="13872" width="13.44140625" style="70" customWidth="1"/>
    <col min="13873" max="13873" width="9.6640625" style="70"/>
    <col min="13874" max="13874" width="13.88671875" style="70" customWidth="1"/>
    <col min="13875" max="13875" width="10.6640625" style="70" customWidth="1"/>
    <col min="13876" max="13876" width="17.33203125" style="70" customWidth="1"/>
    <col min="13877" max="13878" width="12.6640625" style="70" customWidth="1"/>
    <col min="13879" max="13879" width="11.21875" style="70" customWidth="1"/>
    <col min="13880" max="13880" width="18.33203125" style="70" customWidth="1"/>
    <col min="13881" max="13881" width="12.88671875" style="70" customWidth="1"/>
    <col min="13882" max="13883" width="13.21875" style="70" customWidth="1"/>
    <col min="13884" max="13884" width="10.88671875" style="70" customWidth="1"/>
    <col min="13885" max="13885" width="11.109375" style="70" customWidth="1"/>
    <col min="13886" max="13886" width="15.21875" style="70" customWidth="1"/>
    <col min="13887" max="13887" width="9.6640625" style="70"/>
    <col min="13888" max="13888" width="11" style="70" customWidth="1"/>
    <col min="13889" max="13889" width="10.77734375" style="70" customWidth="1"/>
    <col min="13890" max="13890" width="11.44140625" style="70" customWidth="1"/>
    <col min="13891" max="13891" width="4" style="70" customWidth="1"/>
    <col min="13892" max="14082" width="9.6640625" style="70"/>
    <col min="14083" max="14083" width="6.44140625" style="70" customWidth="1"/>
    <col min="14084" max="14084" width="13.88671875" style="70" customWidth="1"/>
    <col min="14085" max="14085" width="11.88671875" style="70" customWidth="1"/>
    <col min="14086" max="14088" width="9.6640625" style="70"/>
    <col min="14089" max="14089" width="15.44140625" style="70" customWidth="1"/>
    <col min="14090" max="14090" width="16.21875" style="70" customWidth="1"/>
    <col min="14091" max="14102" width="9.6640625" style="70"/>
    <col min="14103" max="14103" width="12" style="70" customWidth="1"/>
    <col min="14104" max="14104" width="12.77734375" style="70" customWidth="1"/>
    <col min="14105" max="14105" width="11.109375" style="70" customWidth="1"/>
    <col min="14106" max="14106" width="12" style="70" customWidth="1"/>
    <col min="14107" max="14107" width="9.6640625" style="70"/>
    <col min="14108" max="14108" width="15.33203125" style="70" customWidth="1"/>
    <col min="14109" max="14109" width="15.21875" style="70" customWidth="1"/>
    <col min="14110" max="14110" width="21.44140625" style="70" customWidth="1"/>
    <col min="14111" max="14126" width="9.6640625" style="70"/>
    <col min="14127" max="14128" width="13.44140625" style="70" customWidth="1"/>
    <col min="14129" max="14129" width="9.6640625" style="70"/>
    <col min="14130" max="14130" width="13.88671875" style="70" customWidth="1"/>
    <col min="14131" max="14131" width="10.6640625" style="70" customWidth="1"/>
    <col min="14132" max="14132" width="17.33203125" style="70" customWidth="1"/>
    <col min="14133" max="14134" width="12.6640625" style="70" customWidth="1"/>
    <col min="14135" max="14135" width="11.21875" style="70" customWidth="1"/>
    <col min="14136" max="14136" width="18.33203125" style="70" customWidth="1"/>
    <col min="14137" max="14137" width="12.88671875" style="70" customWidth="1"/>
    <col min="14138" max="14139" width="13.21875" style="70" customWidth="1"/>
    <col min="14140" max="14140" width="10.88671875" style="70" customWidth="1"/>
    <col min="14141" max="14141" width="11.109375" style="70" customWidth="1"/>
    <col min="14142" max="14142" width="15.21875" style="70" customWidth="1"/>
    <col min="14143" max="14143" width="9.6640625" style="70"/>
    <col min="14144" max="14144" width="11" style="70" customWidth="1"/>
    <col min="14145" max="14145" width="10.77734375" style="70" customWidth="1"/>
    <col min="14146" max="14146" width="11.44140625" style="70" customWidth="1"/>
    <col min="14147" max="14147" width="4" style="70" customWidth="1"/>
    <col min="14148" max="14338" width="9.6640625" style="70"/>
    <col min="14339" max="14339" width="6.44140625" style="70" customWidth="1"/>
    <col min="14340" max="14340" width="13.88671875" style="70" customWidth="1"/>
    <col min="14341" max="14341" width="11.88671875" style="70" customWidth="1"/>
    <col min="14342" max="14344" width="9.6640625" style="70"/>
    <col min="14345" max="14345" width="15.44140625" style="70" customWidth="1"/>
    <col min="14346" max="14346" width="16.21875" style="70" customWidth="1"/>
    <col min="14347" max="14358" width="9.6640625" style="70"/>
    <col min="14359" max="14359" width="12" style="70" customWidth="1"/>
    <col min="14360" max="14360" width="12.77734375" style="70" customWidth="1"/>
    <col min="14361" max="14361" width="11.109375" style="70" customWidth="1"/>
    <col min="14362" max="14362" width="12" style="70" customWidth="1"/>
    <col min="14363" max="14363" width="9.6640625" style="70"/>
    <col min="14364" max="14364" width="15.33203125" style="70" customWidth="1"/>
    <col min="14365" max="14365" width="15.21875" style="70" customWidth="1"/>
    <col min="14366" max="14366" width="21.44140625" style="70" customWidth="1"/>
    <col min="14367" max="14382" width="9.6640625" style="70"/>
    <col min="14383" max="14384" width="13.44140625" style="70" customWidth="1"/>
    <col min="14385" max="14385" width="9.6640625" style="70"/>
    <col min="14386" max="14386" width="13.88671875" style="70" customWidth="1"/>
    <col min="14387" max="14387" width="10.6640625" style="70" customWidth="1"/>
    <col min="14388" max="14388" width="17.33203125" style="70" customWidth="1"/>
    <col min="14389" max="14390" width="12.6640625" style="70" customWidth="1"/>
    <col min="14391" max="14391" width="11.21875" style="70" customWidth="1"/>
    <col min="14392" max="14392" width="18.33203125" style="70" customWidth="1"/>
    <col min="14393" max="14393" width="12.88671875" style="70" customWidth="1"/>
    <col min="14394" max="14395" width="13.21875" style="70" customWidth="1"/>
    <col min="14396" max="14396" width="10.88671875" style="70" customWidth="1"/>
    <col min="14397" max="14397" width="11.109375" style="70" customWidth="1"/>
    <col min="14398" max="14398" width="15.21875" style="70" customWidth="1"/>
    <col min="14399" max="14399" width="9.6640625" style="70"/>
    <col min="14400" max="14400" width="11" style="70" customWidth="1"/>
    <col min="14401" max="14401" width="10.77734375" style="70" customWidth="1"/>
    <col min="14402" max="14402" width="11.44140625" style="70" customWidth="1"/>
    <col min="14403" max="14403" width="4" style="70" customWidth="1"/>
    <col min="14404" max="14594" width="9.6640625" style="70"/>
    <col min="14595" max="14595" width="6.44140625" style="70" customWidth="1"/>
    <col min="14596" max="14596" width="13.88671875" style="70" customWidth="1"/>
    <col min="14597" max="14597" width="11.88671875" style="70" customWidth="1"/>
    <col min="14598" max="14600" width="9.6640625" style="70"/>
    <col min="14601" max="14601" width="15.44140625" style="70" customWidth="1"/>
    <col min="14602" max="14602" width="16.21875" style="70" customWidth="1"/>
    <col min="14603" max="14614" width="9.6640625" style="70"/>
    <col min="14615" max="14615" width="12" style="70" customWidth="1"/>
    <col min="14616" max="14616" width="12.77734375" style="70" customWidth="1"/>
    <col min="14617" max="14617" width="11.109375" style="70" customWidth="1"/>
    <col min="14618" max="14618" width="12" style="70" customWidth="1"/>
    <col min="14619" max="14619" width="9.6640625" style="70"/>
    <col min="14620" max="14620" width="15.33203125" style="70" customWidth="1"/>
    <col min="14621" max="14621" width="15.21875" style="70" customWidth="1"/>
    <col min="14622" max="14622" width="21.44140625" style="70" customWidth="1"/>
    <col min="14623" max="14638" width="9.6640625" style="70"/>
    <col min="14639" max="14640" width="13.44140625" style="70" customWidth="1"/>
    <col min="14641" max="14641" width="9.6640625" style="70"/>
    <col min="14642" max="14642" width="13.88671875" style="70" customWidth="1"/>
    <col min="14643" max="14643" width="10.6640625" style="70" customWidth="1"/>
    <col min="14644" max="14644" width="17.33203125" style="70" customWidth="1"/>
    <col min="14645" max="14646" width="12.6640625" style="70" customWidth="1"/>
    <col min="14647" max="14647" width="11.21875" style="70" customWidth="1"/>
    <col min="14648" max="14648" width="18.33203125" style="70" customWidth="1"/>
    <col min="14649" max="14649" width="12.88671875" style="70" customWidth="1"/>
    <col min="14650" max="14651" width="13.21875" style="70" customWidth="1"/>
    <col min="14652" max="14652" width="10.88671875" style="70" customWidth="1"/>
    <col min="14653" max="14653" width="11.109375" style="70" customWidth="1"/>
    <col min="14654" max="14654" width="15.21875" style="70" customWidth="1"/>
    <col min="14655" max="14655" width="9.6640625" style="70"/>
    <col min="14656" max="14656" width="11" style="70" customWidth="1"/>
    <col min="14657" max="14657" width="10.77734375" style="70" customWidth="1"/>
    <col min="14658" max="14658" width="11.44140625" style="70" customWidth="1"/>
    <col min="14659" max="14659" width="4" style="70" customWidth="1"/>
    <col min="14660" max="14850" width="9.6640625" style="70"/>
    <col min="14851" max="14851" width="6.44140625" style="70" customWidth="1"/>
    <col min="14852" max="14852" width="13.88671875" style="70" customWidth="1"/>
    <col min="14853" max="14853" width="11.88671875" style="70" customWidth="1"/>
    <col min="14854" max="14856" width="9.6640625" style="70"/>
    <col min="14857" max="14857" width="15.44140625" style="70" customWidth="1"/>
    <col min="14858" max="14858" width="16.21875" style="70" customWidth="1"/>
    <col min="14859" max="14870" width="9.6640625" style="70"/>
    <col min="14871" max="14871" width="12" style="70" customWidth="1"/>
    <col min="14872" max="14872" width="12.77734375" style="70" customWidth="1"/>
    <col min="14873" max="14873" width="11.109375" style="70" customWidth="1"/>
    <col min="14874" max="14874" width="12" style="70" customWidth="1"/>
    <col min="14875" max="14875" width="9.6640625" style="70"/>
    <col min="14876" max="14876" width="15.33203125" style="70" customWidth="1"/>
    <col min="14877" max="14877" width="15.21875" style="70" customWidth="1"/>
    <col min="14878" max="14878" width="21.44140625" style="70" customWidth="1"/>
    <col min="14879" max="14894" width="9.6640625" style="70"/>
    <col min="14895" max="14896" width="13.44140625" style="70" customWidth="1"/>
    <col min="14897" max="14897" width="9.6640625" style="70"/>
    <col min="14898" max="14898" width="13.88671875" style="70" customWidth="1"/>
    <col min="14899" max="14899" width="10.6640625" style="70" customWidth="1"/>
    <col min="14900" max="14900" width="17.33203125" style="70" customWidth="1"/>
    <col min="14901" max="14902" width="12.6640625" style="70" customWidth="1"/>
    <col min="14903" max="14903" width="11.21875" style="70" customWidth="1"/>
    <col min="14904" max="14904" width="18.33203125" style="70" customWidth="1"/>
    <col min="14905" max="14905" width="12.88671875" style="70" customWidth="1"/>
    <col min="14906" max="14907" width="13.21875" style="70" customWidth="1"/>
    <col min="14908" max="14908" width="10.88671875" style="70" customWidth="1"/>
    <col min="14909" max="14909" width="11.109375" style="70" customWidth="1"/>
    <col min="14910" max="14910" width="15.21875" style="70" customWidth="1"/>
    <col min="14911" max="14911" width="9.6640625" style="70"/>
    <col min="14912" max="14912" width="11" style="70" customWidth="1"/>
    <col min="14913" max="14913" width="10.77734375" style="70" customWidth="1"/>
    <col min="14914" max="14914" width="11.44140625" style="70" customWidth="1"/>
    <col min="14915" max="14915" width="4" style="70" customWidth="1"/>
    <col min="14916" max="15106" width="9.6640625" style="70"/>
    <col min="15107" max="15107" width="6.44140625" style="70" customWidth="1"/>
    <col min="15108" max="15108" width="13.88671875" style="70" customWidth="1"/>
    <col min="15109" max="15109" width="11.88671875" style="70" customWidth="1"/>
    <col min="15110" max="15112" width="9.6640625" style="70"/>
    <col min="15113" max="15113" width="15.44140625" style="70" customWidth="1"/>
    <col min="15114" max="15114" width="16.21875" style="70" customWidth="1"/>
    <col min="15115" max="15126" width="9.6640625" style="70"/>
    <col min="15127" max="15127" width="12" style="70" customWidth="1"/>
    <col min="15128" max="15128" width="12.77734375" style="70" customWidth="1"/>
    <col min="15129" max="15129" width="11.109375" style="70" customWidth="1"/>
    <col min="15130" max="15130" width="12" style="70" customWidth="1"/>
    <col min="15131" max="15131" width="9.6640625" style="70"/>
    <col min="15132" max="15132" width="15.33203125" style="70" customWidth="1"/>
    <col min="15133" max="15133" width="15.21875" style="70" customWidth="1"/>
    <col min="15134" max="15134" width="21.44140625" style="70" customWidth="1"/>
    <col min="15135" max="15150" width="9.6640625" style="70"/>
    <col min="15151" max="15152" width="13.44140625" style="70" customWidth="1"/>
    <col min="15153" max="15153" width="9.6640625" style="70"/>
    <col min="15154" max="15154" width="13.88671875" style="70" customWidth="1"/>
    <col min="15155" max="15155" width="10.6640625" style="70" customWidth="1"/>
    <col min="15156" max="15156" width="17.33203125" style="70" customWidth="1"/>
    <col min="15157" max="15158" width="12.6640625" style="70" customWidth="1"/>
    <col min="15159" max="15159" width="11.21875" style="70" customWidth="1"/>
    <col min="15160" max="15160" width="18.33203125" style="70" customWidth="1"/>
    <col min="15161" max="15161" width="12.88671875" style="70" customWidth="1"/>
    <col min="15162" max="15163" width="13.21875" style="70" customWidth="1"/>
    <col min="15164" max="15164" width="10.88671875" style="70" customWidth="1"/>
    <col min="15165" max="15165" width="11.109375" style="70" customWidth="1"/>
    <col min="15166" max="15166" width="15.21875" style="70" customWidth="1"/>
    <col min="15167" max="15167" width="9.6640625" style="70"/>
    <col min="15168" max="15168" width="11" style="70" customWidth="1"/>
    <col min="15169" max="15169" width="10.77734375" style="70" customWidth="1"/>
    <col min="15170" max="15170" width="11.44140625" style="70" customWidth="1"/>
    <col min="15171" max="15171" width="4" style="70" customWidth="1"/>
    <col min="15172" max="15362" width="9.6640625" style="70"/>
    <col min="15363" max="15363" width="6.44140625" style="70" customWidth="1"/>
    <col min="15364" max="15364" width="13.88671875" style="70" customWidth="1"/>
    <col min="15365" max="15365" width="11.88671875" style="70" customWidth="1"/>
    <col min="15366" max="15368" width="9.6640625" style="70"/>
    <col min="15369" max="15369" width="15.44140625" style="70" customWidth="1"/>
    <col min="15370" max="15370" width="16.21875" style="70" customWidth="1"/>
    <col min="15371" max="15382" width="9.6640625" style="70"/>
    <col min="15383" max="15383" width="12" style="70" customWidth="1"/>
    <col min="15384" max="15384" width="12.77734375" style="70" customWidth="1"/>
    <col min="15385" max="15385" width="11.109375" style="70" customWidth="1"/>
    <col min="15386" max="15386" width="12" style="70" customWidth="1"/>
    <col min="15387" max="15387" width="9.6640625" style="70"/>
    <col min="15388" max="15388" width="15.33203125" style="70" customWidth="1"/>
    <col min="15389" max="15389" width="15.21875" style="70" customWidth="1"/>
    <col min="15390" max="15390" width="21.44140625" style="70" customWidth="1"/>
    <col min="15391" max="15406" width="9.6640625" style="70"/>
    <col min="15407" max="15408" width="13.44140625" style="70" customWidth="1"/>
    <col min="15409" max="15409" width="9.6640625" style="70"/>
    <col min="15410" max="15410" width="13.88671875" style="70" customWidth="1"/>
    <col min="15411" max="15411" width="10.6640625" style="70" customWidth="1"/>
    <col min="15412" max="15412" width="17.33203125" style="70" customWidth="1"/>
    <col min="15413" max="15414" width="12.6640625" style="70" customWidth="1"/>
    <col min="15415" max="15415" width="11.21875" style="70" customWidth="1"/>
    <col min="15416" max="15416" width="18.33203125" style="70" customWidth="1"/>
    <col min="15417" max="15417" width="12.88671875" style="70" customWidth="1"/>
    <col min="15418" max="15419" width="13.21875" style="70" customWidth="1"/>
    <col min="15420" max="15420" width="10.88671875" style="70" customWidth="1"/>
    <col min="15421" max="15421" width="11.109375" style="70" customWidth="1"/>
    <col min="15422" max="15422" width="15.21875" style="70" customWidth="1"/>
    <col min="15423" max="15423" width="9.6640625" style="70"/>
    <col min="15424" max="15424" width="11" style="70" customWidth="1"/>
    <col min="15425" max="15425" width="10.77734375" style="70" customWidth="1"/>
    <col min="15426" max="15426" width="11.44140625" style="70" customWidth="1"/>
    <col min="15427" max="15427" width="4" style="70" customWidth="1"/>
    <col min="15428" max="15618" width="9.6640625" style="70"/>
    <col min="15619" max="15619" width="6.44140625" style="70" customWidth="1"/>
    <col min="15620" max="15620" width="13.88671875" style="70" customWidth="1"/>
    <col min="15621" max="15621" width="11.88671875" style="70" customWidth="1"/>
    <col min="15622" max="15624" width="9.6640625" style="70"/>
    <col min="15625" max="15625" width="15.44140625" style="70" customWidth="1"/>
    <col min="15626" max="15626" width="16.21875" style="70" customWidth="1"/>
    <col min="15627" max="15638" width="9.6640625" style="70"/>
    <col min="15639" max="15639" width="12" style="70" customWidth="1"/>
    <col min="15640" max="15640" width="12.77734375" style="70" customWidth="1"/>
    <col min="15641" max="15641" width="11.109375" style="70" customWidth="1"/>
    <col min="15642" max="15642" width="12" style="70" customWidth="1"/>
    <col min="15643" max="15643" width="9.6640625" style="70"/>
    <col min="15644" max="15644" width="15.33203125" style="70" customWidth="1"/>
    <col min="15645" max="15645" width="15.21875" style="70" customWidth="1"/>
    <col min="15646" max="15646" width="21.44140625" style="70" customWidth="1"/>
    <col min="15647" max="15662" width="9.6640625" style="70"/>
    <col min="15663" max="15664" width="13.44140625" style="70" customWidth="1"/>
    <col min="15665" max="15665" width="9.6640625" style="70"/>
    <col min="15666" max="15666" width="13.88671875" style="70" customWidth="1"/>
    <col min="15667" max="15667" width="10.6640625" style="70" customWidth="1"/>
    <col min="15668" max="15668" width="17.33203125" style="70" customWidth="1"/>
    <col min="15669" max="15670" width="12.6640625" style="70" customWidth="1"/>
    <col min="15671" max="15671" width="11.21875" style="70" customWidth="1"/>
    <col min="15672" max="15672" width="18.33203125" style="70" customWidth="1"/>
    <col min="15673" max="15673" width="12.88671875" style="70" customWidth="1"/>
    <col min="15674" max="15675" width="13.21875" style="70" customWidth="1"/>
    <col min="15676" max="15676" width="10.88671875" style="70" customWidth="1"/>
    <col min="15677" max="15677" width="11.109375" style="70" customWidth="1"/>
    <col min="15678" max="15678" width="15.21875" style="70" customWidth="1"/>
    <col min="15679" max="15679" width="9.6640625" style="70"/>
    <col min="15680" max="15680" width="11" style="70" customWidth="1"/>
    <col min="15681" max="15681" width="10.77734375" style="70" customWidth="1"/>
    <col min="15682" max="15682" width="11.44140625" style="70" customWidth="1"/>
    <col min="15683" max="15683" width="4" style="70" customWidth="1"/>
    <col min="15684" max="15874" width="9.6640625" style="70"/>
    <col min="15875" max="15875" width="6.44140625" style="70" customWidth="1"/>
    <col min="15876" max="15876" width="13.88671875" style="70" customWidth="1"/>
    <col min="15877" max="15877" width="11.88671875" style="70" customWidth="1"/>
    <col min="15878" max="15880" width="9.6640625" style="70"/>
    <col min="15881" max="15881" width="15.44140625" style="70" customWidth="1"/>
    <col min="15882" max="15882" width="16.21875" style="70" customWidth="1"/>
    <col min="15883" max="15894" width="9.6640625" style="70"/>
    <col min="15895" max="15895" width="12" style="70" customWidth="1"/>
    <col min="15896" max="15896" width="12.77734375" style="70" customWidth="1"/>
    <col min="15897" max="15897" width="11.109375" style="70" customWidth="1"/>
    <col min="15898" max="15898" width="12" style="70" customWidth="1"/>
    <col min="15899" max="15899" width="9.6640625" style="70"/>
    <col min="15900" max="15900" width="15.33203125" style="70" customWidth="1"/>
    <col min="15901" max="15901" width="15.21875" style="70" customWidth="1"/>
    <col min="15902" max="15902" width="21.44140625" style="70" customWidth="1"/>
    <col min="15903" max="15918" width="9.6640625" style="70"/>
    <col min="15919" max="15920" width="13.44140625" style="70" customWidth="1"/>
    <col min="15921" max="15921" width="9.6640625" style="70"/>
    <col min="15922" max="15922" width="13.88671875" style="70" customWidth="1"/>
    <col min="15923" max="15923" width="10.6640625" style="70" customWidth="1"/>
    <col min="15924" max="15924" width="17.33203125" style="70" customWidth="1"/>
    <col min="15925" max="15926" width="12.6640625" style="70" customWidth="1"/>
    <col min="15927" max="15927" width="11.21875" style="70" customWidth="1"/>
    <col min="15928" max="15928" width="18.33203125" style="70" customWidth="1"/>
    <col min="15929" max="15929" width="12.88671875" style="70" customWidth="1"/>
    <col min="15930" max="15931" width="13.21875" style="70" customWidth="1"/>
    <col min="15932" max="15932" width="10.88671875" style="70" customWidth="1"/>
    <col min="15933" max="15933" width="11.109375" style="70" customWidth="1"/>
    <col min="15934" max="15934" width="15.21875" style="70" customWidth="1"/>
    <col min="15935" max="15935" width="9.6640625" style="70"/>
    <col min="15936" max="15936" width="11" style="70" customWidth="1"/>
    <col min="15937" max="15937" width="10.77734375" style="70" customWidth="1"/>
    <col min="15938" max="15938" width="11.44140625" style="70" customWidth="1"/>
    <col min="15939" max="15939" width="4" style="70" customWidth="1"/>
    <col min="15940" max="16130" width="9.6640625" style="70"/>
    <col min="16131" max="16131" width="6.44140625" style="70" customWidth="1"/>
    <col min="16132" max="16132" width="13.88671875" style="70" customWidth="1"/>
    <col min="16133" max="16133" width="11.88671875" style="70" customWidth="1"/>
    <col min="16134" max="16136" width="9.6640625" style="70"/>
    <col min="16137" max="16137" width="15.44140625" style="70" customWidth="1"/>
    <col min="16138" max="16138" width="16.21875" style="70" customWidth="1"/>
    <col min="16139" max="16150" width="9.6640625" style="70"/>
    <col min="16151" max="16151" width="12" style="70" customWidth="1"/>
    <col min="16152" max="16152" width="12.77734375" style="70" customWidth="1"/>
    <col min="16153" max="16153" width="11.109375" style="70" customWidth="1"/>
    <col min="16154" max="16154" width="12" style="70" customWidth="1"/>
    <col min="16155" max="16155" width="9.6640625" style="70"/>
    <col min="16156" max="16156" width="15.33203125" style="70" customWidth="1"/>
    <col min="16157" max="16157" width="15.21875" style="70" customWidth="1"/>
    <col min="16158" max="16158" width="21.44140625" style="70" customWidth="1"/>
    <col min="16159" max="16174" width="9.6640625" style="70"/>
    <col min="16175" max="16176" width="13.44140625" style="70" customWidth="1"/>
    <col min="16177" max="16177" width="9.6640625" style="70"/>
    <col min="16178" max="16178" width="13.88671875" style="70" customWidth="1"/>
    <col min="16179" max="16179" width="10.6640625" style="70" customWidth="1"/>
    <col min="16180" max="16180" width="17.33203125" style="70" customWidth="1"/>
    <col min="16181" max="16182" width="12.6640625" style="70" customWidth="1"/>
    <col min="16183" max="16183" width="11.21875" style="70" customWidth="1"/>
    <col min="16184" max="16184" width="18.33203125" style="70" customWidth="1"/>
    <col min="16185" max="16185" width="12.88671875" style="70" customWidth="1"/>
    <col min="16186" max="16187" width="13.21875" style="70" customWidth="1"/>
    <col min="16188" max="16188" width="10.88671875" style="70" customWidth="1"/>
    <col min="16189" max="16189" width="11.109375" style="70" customWidth="1"/>
    <col min="16190" max="16190" width="15.21875" style="70" customWidth="1"/>
    <col min="16191" max="16191" width="9.6640625" style="70"/>
    <col min="16192" max="16192" width="11" style="70" customWidth="1"/>
    <col min="16193" max="16193" width="10.77734375" style="70" customWidth="1"/>
    <col min="16194" max="16194" width="11.44140625" style="70" customWidth="1"/>
    <col min="16195" max="16195" width="4" style="70" customWidth="1"/>
    <col min="16196" max="16384" width="9.6640625" style="70"/>
  </cols>
  <sheetData>
    <row r="1" spans="1:76" ht="13.2" x14ac:dyDescent="0.2">
      <c r="A1" s="69" t="s">
        <v>136</v>
      </c>
    </row>
    <row r="2" spans="1:76" x14ac:dyDescent="0.2">
      <c r="C2" s="72" t="s">
        <v>137</v>
      </c>
      <c r="D2" s="72"/>
      <c r="I2" s="72"/>
    </row>
    <row r="3" spans="1:76" s="71" customFormat="1" x14ac:dyDescent="0.2">
      <c r="A3" s="73"/>
      <c r="B3" s="74" t="s">
        <v>77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</row>
    <row r="4" spans="1:76" s="71" customFormat="1" x14ac:dyDescent="0.2">
      <c r="A4" s="73"/>
      <c r="B4" s="78" t="s">
        <v>138</v>
      </c>
      <c r="C4" s="75" t="s">
        <v>131</v>
      </c>
      <c r="D4" s="75" t="s">
        <v>415</v>
      </c>
      <c r="E4" s="75" t="s">
        <v>131</v>
      </c>
      <c r="F4" s="75" t="s">
        <v>131</v>
      </c>
      <c r="G4" s="75" t="s">
        <v>131</v>
      </c>
      <c r="H4" s="75" t="s">
        <v>131</v>
      </c>
      <c r="I4" s="75" t="s">
        <v>134</v>
      </c>
      <c r="J4" s="75" t="s">
        <v>131</v>
      </c>
      <c r="K4" s="75" t="s">
        <v>131</v>
      </c>
      <c r="L4" s="75" t="s">
        <v>131</v>
      </c>
      <c r="M4" s="75" t="s">
        <v>131</v>
      </c>
      <c r="N4" s="75" t="s">
        <v>131</v>
      </c>
      <c r="O4" s="75" t="s">
        <v>433</v>
      </c>
      <c r="P4" s="75" t="s">
        <v>131</v>
      </c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5"/>
      <c r="BD4" s="75"/>
      <c r="BE4" s="75"/>
      <c r="BF4" s="75"/>
      <c r="BG4" s="75"/>
      <c r="BH4" s="75"/>
      <c r="BI4" s="75"/>
      <c r="BJ4" s="75"/>
      <c r="BK4" s="75"/>
      <c r="BL4" s="75"/>
      <c r="BM4" s="75"/>
      <c r="BN4" s="75"/>
      <c r="BO4" s="75"/>
      <c r="BP4" s="75"/>
      <c r="BQ4" s="75"/>
      <c r="BR4" s="75"/>
      <c r="BS4" s="75"/>
      <c r="BT4" s="75"/>
      <c r="BU4" s="75"/>
      <c r="BV4" s="75"/>
      <c r="BW4" s="75"/>
      <c r="BX4" s="75"/>
    </row>
    <row r="5" spans="1:76" s="71" customFormat="1" x14ac:dyDescent="0.2">
      <c r="A5" s="73"/>
      <c r="B5" s="74" t="s">
        <v>139</v>
      </c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</row>
    <row r="6" spans="1:76" s="71" customFormat="1" x14ac:dyDescent="0.2">
      <c r="A6" s="73"/>
      <c r="B6" s="74" t="s">
        <v>140</v>
      </c>
      <c r="C6" s="75"/>
      <c r="D6" s="75"/>
      <c r="E6" s="75"/>
      <c r="F6" s="75"/>
      <c r="G6" s="75"/>
      <c r="H6" s="75"/>
      <c r="I6" s="75"/>
      <c r="J6" s="75"/>
      <c r="K6" s="75"/>
      <c r="L6" s="75"/>
      <c r="M6" s="79" t="s">
        <v>178</v>
      </c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</row>
    <row r="7" spans="1:76" s="115" customFormat="1" ht="22.2" customHeight="1" x14ac:dyDescent="0.2">
      <c r="A7" s="114"/>
      <c r="B7" s="78" t="s">
        <v>141</v>
      </c>
      <c r="C7" s="76" t="s">
        <v>37</v>
      </c>
      <c r="D7" s="76" t="s">
        <v>68</v>
      </c>
      <c r="E7" s="76" t="s">
        <v>68</v>
      </c>
      <c r="F7" s="76" t="s">
        <v>162</v>
      </c>
      <c r="G7" s="76" t="s">
        <v>163</v>
      </c>
      <c r="H7" s="76" t="s">
        <v>164</v>
      </c>
      <c r="I7" s="76" t="s">
        <v>196</v>
      </c>
      <c r="J7" s="76" t="s">
        <v>76</v>
      </c>
      <c r="K7" s="76" t="s">
        <v>79</v>
      </c>
      <c r="L7" s="76" t="s">
        <v>70</v>
      </c>
      <c r="M7" s="76" t="s">
        <v>82</v>
      </c>
      <c r="N7" s="76" t="s">
        <v>142</v>
      </c>
      <c r="O7" s="76" t="s">
        <v>325</v>
      </c>
      <c r="P7" s="76" t="s">
        <v>325</v>
      </c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</row>
    <row r="8" spans="1:76" x14ac:dyDescent="0.2">
      <c r="A8" s="85" t="s">
        <v>113</v>
      </c>
      <c r="B8" s="86"/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87"/>
      <c r="AO8" s="87"/>
      <c r="AP8" s="87"/>
      <c r="AQ8" s="87"/>
      <c r="AR8" s="87"/>
      <c r="AS8" s="87"/>
      <c r="AT8" s="87"/>
      <c r="AU8" s="87"/>
      <c r="AV8" s="87"/>
      <c r="AW8" s="87"/>
      <c r="AX8" s="87"/>
      <c r="AY8" s="87"/>
      <c r="AZ8" s="87"/>
      <c r="BA8" s="87"/>
      <c r="BB8" s="87"/>
      <c r="BC8" s="87"/>
      <c r="BD8" s="87"/>
      <c r="BE8" s="87"/>
      <c r="BF8" s="87"/>
      <c r="BG8" s="87"/>
      <c r="BH8" s="87"/>
      <c r="BI8" s="87"/>
      <c r="BJ8" s="87"/>
      <c r="BK8" s="87"/>
      <c r="BL8" s="87"/>
      <c r="BM8" s="87"/>
      <c r="BN8" s="87"/>
      <c r="BO8" s="87"/>
      <c r="BP8" s="87"/>
      <c r="BQ8" s="87"/>
      <c r="BR8" s="87"/>
    </row>
    <row r="9" spans="1:76" x14ac:dyDescent="0.2">
      <c r="A9" s="88" t="s">
        <v>401</v>
      </c>
      <c r="B9" s="86"/>
      <c r="C9" s="89" t="s">
        <v>128</v>
      </c>
      <c r="D9" s="89">
        <v>4.2800816441441434</v>
      </c>
      <c r="F9" s="89" t="s">
        <v>128</v>
      </c>
      <c r="G9" s="89" t="s">
        <v>128</v>
      </c>
      <c r="H9" s="89">
        <v>0.30962292744872527</v>
      </c>
      <c r="I9" s="89" t="s">
        <v>128</v>
      </c>
      <c r="J9" s="89" t="s">
        <v>128</v>
      </c>
      <c r="K9" s="89">
        <v>2.4848079211286754E-2</v>
      </c>
      <c r="L9" s="89">
        <v>0.94067728442728427</v>
      </c>
      <c r="M9" s="89" t="s">
        <v>128</v>
      </c>
      <c r="N9" s="89">
        <v>1.6461852477477477</v>
      </c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</row>
    <row r="10" spans="1:76" x14ac:dyDescent="0.2">
      <c r="A10" s="88" t="s">
        <v>402</v>
      </c>
      <c r="B10" s="86"/>
      <c r="C10" s="89" t="s">
        <v>128</v>
      </c>
      <c r="D10" s="89">
        <v>3.2112080931413725</v>
      </c>
      <c r="F10" s="89" t="s">
        <v>128</v>
      </c>
      <c r="G10" s="89" t="s">
        <v>128</v>
      </c>
      <c r="H10" s="89">
        <v>0.2568966474513098</v>
      </c>
      <c r="I10" s="89">
        <v>6.422416186282745E-2</v>
      </c>
      <c r="J10" s="89">
        <v>45.874401330591034</v>
      </c>
      <c r="K10" s="89">
        <v>2.4235532778425453E-2</v>
      </c>
      <c r="L10" s="89">
        <v>1.1009856319341849</v>
      </c>
      <c r="M10" s="89" t="s">
        <v>128</v>
      </c>
      <c r="N10" s="89">
        <v>1.3487073991193765</v>
      </c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</row>
    <row r="11" spans="1:76" x14ac:dyDescent="0.2">
      <c r="A11" s="88" t="s">
        <v>403</v>
      </c>
      <c r="B11" s="86"/>
      <c r="C11" s="89" t="s">
        <v>128</v>
      </c>
      <c r="D11" s="89">
        <v>2.6209104120197364</v>
      </c>
      <c r="F11" s="89" t="s">
        <v>128</v>
      </c>
      <c r="G11" s="89" t="s">
        <v>128</v>
      </c>
      <c r="H11" s="89">
        <v>0.23826458291088515</v>
      </c>
      <c r="I11" s="89" t="s">
        <v>128</v>
      </c>
      <c r="J11" s="89" t="s">
        <v>128</v>
      </c>
      <c r="K11" s="89">
        <v>2.2477790840649541E-2</v>
      </c>
      <c r="L11" s="89">
        <v>1.0211339267609363</v>
      </c>
      <c r="M11" s="89" t="s">
        <v>128</v>
      </c>
      <c r="N11" s="89">
        <v>1.250889060282147</v>
      </c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87"/>
      <c r="BP11" s="87"/>
      <c r="BQ11" s="87"/>
      <c r="BR11" s="87"/>
    </row>
    <row r="12" spans="1:76" x14ac:dyDescent="0.2">
      <c r="A12" s="88" t="s">
        <v>404</v>
      </c>
      <c r="B12" s="86"/>
      <c r="C12" s="89" t="s">
        <v>128</v>
      </c>
      <c r="D12" s="89">
        <v>4.332660765669206</v>
      </c>
      <c r="F12" s="89" t="s">
        <v>128</v>
      </c>
      <c r="G12" s="89" t="s">
        <v>128</v>
      </c>
      <c r="H12" s="89">
        <v>0.21845348398332132</v>
      </c>
      <c r="I12" s="89" t="s">
        <v>128</v>
      </c>
      <c r="J12" s="89">
        <v>55.263530174352113</v>
      </c>
      <c r="K12" s="89">
        <v>2.1020995628583748E-2</v>
      </c>
      <c r="L12" s="89">
        <v>1.0610597793475607</v>
      </c>
      <c r="M12" s="89" t="s">
        <v>128</v>
      </c>
      <c r="N12" s="89">
        <v>1.2379030759054874</v>
      </c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87"/>
      <c r="BP12" s="87"/>
      <c r="BQ12" s="87"/>
      <c r="BR12" s="87"/>
    </row>
    <row r="13" spans="1:76" x14ac:dyDescent="0.2">
      <c r="A13" s="88" t="s">
        <v>405</v>
      </c>
      <c r="B13" s="86"/>
      <c r="C13" s="89" t="s">
        <v>128</v>
      </c>
      <c r="D13" s="89">
        <v>4.4515813291185067</v>
      </c>
      <c r="F13" s="89" t="s">
        <v>128</v>
      </c>
      <c r="G13" s="89" t="s">
        <v>128</v>
      </c>
      <c r="H13" s="89">
        <v>0.35612650632948051</v>
      </c>
      <c r="I13" s="89" t="s">
        <v>128</v>
      </c>
      <c r="J13" s="89">
        <v>70.660021097119142</v>
      </c>
      <c r="K13" s="89">
        <v>2.0531402356521417E-2</v>
      </c>
      <c r="L13" s="89">
        <v>1.0175043037985159</v>
      </c>
      <c r="M13" s="89" t="s">
        <v>128</v>
      </c>
      <c r="N13" s="89">
        <v>1.1870883544316018</v>
      </c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</row>
    <row r="14" spans="1:76" x14ac:dyDescent="0.2">
      <c r="A14" s="88" t="s">
        <v>406</v>
      </c>
      <c r="B14" s="86"/>
      <c r="C14" s="89">
        <v>0.34061624306346056</v>
      </c>
      <c r="D14" s="89">
        <v>4.7744665384838214</v>
      </c>
      <c r="F14" s="89" t="s">
        <v>128</v>
      </c>
      <c r="G14" s="89" t="s">
        <v>128</v>
      </c>
      <c r="H14" s="89">
        <v>0.32408500140011393</v>
      </c>
      <c r="I14" s="89">
        <v>3.8581547785727852E-2</v>
      </c>
      <c r="J14" s="89">
        <v>68.89562104594259</v>
      </c>
      <c r="K14" s="89">
        <v>2.7298264942731968E-2</v>
      </c>
      <c r="L14" s="89">
        <v>1.0913066373677307</v>
      </c>
      <c r="M14" s="89" t="s">
        <v>128</v>
      </c>
      <c r="N14" s="89">
        <v>1.692644505919815</v>
      </c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87"/>
      <c r="BP14" s="87"/>
      <c r="BQ14" s="87"/>
      <c r="BR14" s="87"/>
    </row>
    <row r="15" spans="1:76" x14ac:dyDescent="0.2">
      <c r="A15" s="88" t="s">
        <v>407</v>
      </c>
      <c r="B15" s="86"/>
      <c r="C15" s="89">
        <v>0.4130107639794135</v>
      </c>
      <c r="D15" s="89"/>
      <c r="E15" s="89">
        <v>0.35400922626806874</v>
      </c>
      <c r="F15" s="89" t="s">
        <v>128</v>
      </c>
      <c r="G15" s="89">
        <v>0.59329324031963371</v>
      </c>
      <c r="H15" s="89">
        <v>0.4130107639794135</v>
      </c>
      <c r="I15" s="89">
        <v>3.9334358474229864E-2</v>
      </c>
      <c r="J15" s="89">
        <v>122.91987023196832</v>
      </c>
      <c r="K15" s="89">
        <v>2.2264731211828221E-2</v>
      </c>
      <c r="L15" s="89">
        <v>1.8206188779500678</v>
      </c>
      <c r="M15" s="89">
        <v>3.959834745727838</v>
      </c>
      <c r="N15" s="89">
        <v>1.4750384427836198</v>
      </c>
      <c r="O15" s="89">
        <v>2.3600615084537915</v>
      </c>
      <c r="P15" s="89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87"/>
      <c r="BP15" s="87"/>
      <c r="BQ15" s="87"/>
      <c r="BR15" s="87"/>
    </row>
    <row r="16" spans="1:76" x14ac:dyDescent="0.2">
      <c r="A16" s="88" t="s">
        <v>408</v>
      </c>
      <c r="B16" s="86"/>
      <c r="C16" s="89">
        <v>0.35019812215752733</v>
      </c>
      <c r="D16" s="89"/>
      <c r="E16" s="89">
        <v>0.30016981899216627</v>
      </c>
      <c r="F16" s="89" t="s">
        <v>128</v>
      </c>
      <c r="G16" s="89">
        <v>0.44570670092776199</v>
      </c>
      <c r="H16" s="89">
        <v>0.4244825723121543</v>
      </c>
      <c r="I16" s="89">
        <v>4.8638628077434347E-2</v>
      </c>
      <c r="J16" s="89">
        <v>69.483754396334788</v>
      </c>
      <c r="K16" s="89">
        <v>2.202503912940423E-2</v>
      </c>
      <c r="L16" s="89">
        <v>1.8010189139529975</v>
      </c>
      <c r="M16" s="89">
        <v>4.1130651931253208</v>
      </c>
      <c r="N16" s="89">
        <v>1.7509906107876365</v>
      </c>
      <c r="O16" s="89"/>
      <c r="P16" s="89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</row>
    <row r="17" spans="1:76" x14ac:dyDescent="0.2">
      <c r="A17" s="88" t="s">
        <v>409</v>
      </c>
      <c r="B17" s="86"/>
      <c r="C17" s="89">
        <v>0.31091081435132878</v>
      </c>
      <c r="D17" s="89"/>
      <c r="E17" s="89">
        <v>0.29980685669592422</v>
      </c>
      <c r="F17" s="89" t="s">
        <v>128</v>
      </c>
      <c r="G17" s="89">
        <v>0.32691639573131392</v>
      </c>
      <c r="H17" s="89">
        <v>0.27104486894960284</v>
      </c>
      <c r="I17" s="89">
        <v>3.4005870319676584E-2</v>
      </c>
      <c r="J17" s="89">
        <v>90.219655950162377</v>
      </c>
      <c r="K17" s="89">
        <v>1.6132164895587817E-2</v>
      </c>
      <c r="L17" s="89">
        <v>0.99935618898641387</v>
      </c>
      <c r="M17" s="89">
        <v>3.7727372906366297</v>
      </c>
      <c r="N17" s="113">
        <v>0.40358615324451336</v>
      </c>
      <c r="O17" s="89"/>
      <c r="P17" s="89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87"/>
      <c r="BP17" s="87"/>
      <c r="BQ17" s="87"/>
      <c r="BR17" s="87"/>
    </row>
    <row r="18" spans="1:76" x14ac:dyDescent="0.2">
      <c r="A18" s="88" t="s">
        <v>410</v>
      </c>
      <c r="B18" s="86"/>
      <c r="C18" s="89">
        <v>0.3880450806952816</v>
      </c>
      <c r="D18" s="89"/>
      <c r="E18" s="89">
        <v>0.29363649765980954</v>
      </c>
      <c r="F18" s="89" t="s">
        <v>128</v>
      </c>
      <c r="G18" s="89">
        <v>0.4949700210822483</v>
      </c>
      <c r="H18" s="89">
        <v>0.63963668063583456</v>
      </c>
      <c r="I18" s="89">
        <v>2.9949708852835436E-2</v>
      </c>
      <c r="J18" s="89">
        <v>60.419032440290017</v>
      </c>
      <c r="K18" s="89">
        <v>1.5959744418189818E-2</v>
      </c>
      <c r="L18" s="89">
        <v>1.636317906181965</v>
      </c>
      <c r="M18" s="89">
        <v>3.7042138345103983</v>
      </c>
      <c r="N18" s="113">
        <v>0.46747338255910648</v>
      </c>
      <c r="O18" s="89"/>
      <c r="P18" s="89">
        <v>0.51072097261167171</v>
      </c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</row>
    <row r="19" spans="1:76" x14ac:dyDescent="0.2">
      <c r="A19" s="88" t="s">
        <v>411</v>
      </c>
      <c r="B19" s="86"/>
      <c r="C19" s="89">
        <v>0.41159924393847214</v>
      </c>
      <c r="D19" s="89"/>
      <c r="E19" s="89">
        <v>0.29399945995605153</v>
      </c>
      <c r="F19" s="89" t="s">
        <v>128</v>
      </c>
      <c r="G19" s="89">
        <v>0.49081576509329722</v>
      </c>
      <c r="H19" s="89">
        <v>0.35507181154112505</v>
      </c>
      <c r="I19" s="89">
        <v>2.2866624663248451E-2</v>
      </c>
      <c r="J19" s="89">
        <v>68.055430545382308</v>
      </c>
      <c r="K19" s="89">
        <v>1.6179215563619186E-2</v>
      </c>
      <c r="L19" s="89">
        <v>0.7648766437881015</v>
      </c>
      <c r="M19" s="89">
        <v>3.3048646848671264</v>
      </c>
      <c r="N19" s="113">
        <v>1.6006637264273917</v>
      </c>
      <c r="O19" s="89"/>
      <c r="P19" s="89">
        <v>0.57166561658121129</v>
      </c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</row>
    <row r="20" spans="1:76" x14ac:dyDescent="0.2">
      <c r="A20" s="88" t="s">
        <v>412</v>
      </c>
      <c r="B20" s="86"/>
      <c r="C20" s="89">
        <v>0.43870042872454446</v>
      </c>
      <c r="D20" s="89"/>
      <c r="E20" s="89">
        <v>0.26113120757413361</v>
      </c>
      <c r="F20" s="89" t="s">
        <v>128</v>
      </c>
      <c r="G20" s="89">
        <v>0.33559210633441472</v>
      </c>
      <c r="H20" s="89">
        <v>0.24359254437885597</v>
      </c>
      <c r="I20" s="89">
        <v>3.0465307550315589E-2</v>
      </c>
      <c r="J20" s="89">
        <v>32.641400946766701</v>
      </c>
      <c r="K20" s="89">
        <v>2.5866770561588707E-2</v>
      </c>
      <c r="L20" s="89">
        <v>0.75205787781350475</v>
      </c>
      <c r="M20" s="89">
        <v>2.328672196402402</v>
      </c>
      <c r="N20" s="113">
        <v>0.29703674861557694</v>
      </c>
      <c r="O20" s="89"/>
      <c r="P20" s="89">
        <v>0.52644051446945339</v>
      </c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</row>
    <row r="21" spans="1:76" x14ac:dyDescent="0.2">
      <c r="A21" s="88" t="s">
        <v>413</v>
      </c>
      <c r="B21" s="86"/>
      <c r="C21" s="89">
        <v>0.38428633114625882</v>
      </c>
      <c r="D21" s="89"/>
      <c r="E21" s="89">
        <v>0.26164175737617623</v>
      </c>
      <c r="F21" s="89" t="s">
        <v>128</v>
      </c>
      <c r="G21" s="89">
        <v>0.30779136498144188</v>
      </c>
      <c r="H21" s="89">
        <v>0.25174076445574706</v>
      </c>
      <c r="I21" s="89">
        <v>2.8130764110052935E-2</v>
      </c>
      <c r="J21" s="89">
        <v>97.596528545081611</v>
      </c>
      <c r="K21" s="89">
        <v>2.1752056479976915E-2</v>
      </c>
      <c r="L21" s="89">
        <v>0.71367461498590923</v>
      </c>
      <c r="M21" s="89">
        <v>9.542680706316494</v>
      </c>
      <c r="N21" s="89">
        <v>0.73197396408811199</v>
      </c>
      <c r="O21" s="89"/>
      <c r="P21" s="89">
        <v>0.56931308317964269</v>
      </c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</row>
    <row r="22" spans="1:76" x14ac:dyDescent="0.2">
      <c r="A22" s="88" t="s">
        <v>414</v>
      </c>
      <c r="B22" s="86"/>
      <c r="C22" s="89">
        <v>0.37846381097737603</v>
      </c>
      <c r="D22" s="89"/>
      <c r="E22" s="89">
        <v>0.25951804181305782</v>
      </c>
      <c r="F22" s="89" t="s">
        <v>128</v>
      </c>
      <c r="G22" s="89">
        <v>0.2835474901290817</v>
      </c>
      <c r="H22" s="89">
        <v>0.20184736585460053</v>
      </c>
      <c r="I22" s="89">
        <v>2.9436074187129249E-2</v>
      </c>
      <c r="J22" s="89">
        <v>100.12270131676613</v>
      </c>
      <c r="K22" s="89">
        <v>2.380275540738214E-2</v>
      </c>
      <c r="L22" s="89">
        <v>0.6920481115014876</v>
      </c>
      <c r="M22" s="89">
        <v>3.3867007693724922</v>
      </c>
      <c r="N22" s="89">
        <v>0.80738946341840212</v>
      </c>
      <c r="O22" s="89"/>
      <c r="P22" s="89">
        <v>0.6307730182956266</v>
      </c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</row>
    <row r="23" spans="1:76" x14ac:dyDescent="0.2">
      <c r="A23" s="88" t="s">
        <v>165</v>
      </c>
      <c r="B23" s="86"/>
      <c r="C23" s="89">
        <v>0.3485889893108543</v>
      </c>
      <c r="D23" s="89"/>
      <c r="E23" s="89">
        <v>0.23713536687813219</v>
      </c>
      <c r="F23" s="89" t="s">
        <v>128</v>
      </c>
      <c r="G23" s="89">
        <v>0.24788550350994085</v>
      </c>
      <c r="H23" s="89">
        <v>0.18397752213628421</v>
      </c>
      <c r="I23" s="89">
        <v>3.2276758269523545E-2</v>
      </c>
      <c r="J23" s="89">
        <v>92.219309341495858</v>
      </c>
      <c r="K23" s="89">
        <v>2.3750822122856948E-2</v>
      </c>
      <c r="L23" s="89">
        <v>0.66397902725877012</v>
      </c>
      <c r="M23" s="89">
        <v>3.4118049848657437</v>
      </c>
      <c r="N23" s="89">
        <v>1.0167178854899916</v>
      </c>
      <c r="O23" s="89"/>
      <c r="P23" s="89">
        <v>0.58098164885142378</v>
      </c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89"/>
      <c r="AB23" s="89"/>
      <c r="AC23" s="89"/>
      <c r="AD23" s="89"/>
      <c r="AE23" s="89"/>
      <c r="AF23" s="89"/>
      <c r="AG23" s="89"/>
      <c r="AH23" s="89"/>
      <c r="AI23" s="89"/>
      <c r="AJ23" s="89"/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89"/>
      <c r="BC23" s="89"/>
      <c r="BD23" s="89"/>
      <c r="BE23" s="89"/>
      <c r="BF23" s="89"/>
      <c r="BG23" s="89"/>
      <c r="BH23" s="89"/>
      <c r="BI23" s="89"/>
      <c r="BJ23" s="89"/>
      <c r="BK23" s="89"/>
      <c r="BL23" s="89"/>
      <c r="BM23" s="89"/>
      <c r="BN23" s="89"/>
      <c r="BO23" s="89"/>
      <c r="BP23" s="89"/>
      <c r="BQ23" s="89"/>
      <c r="BR23" s="89"/>
      <c r="BS23" s="89"/>
      <c r="BT23" s="89"/>
      <c r="BU23" s="89"/>
      <c r="BV23" s="89"/>
      <c r="BW23" s="89"/>
      <c r="BX23" s="89"/>
    </row>
    <row r="24" spans="1:76" x14ac:dyDescent="0.2">
      <c r="A24" s="88" t="s">
        <v>154</v>
      </c>
      <c r="B24" s="86"/>
      <c r="C24" s="89">
        <v>0.38562727518515294</v>
      </c>
      <c r="D24" s="89"/>
      <c r="E24" s="89">
        <v>0.23413084564812861</v>
      </c>
      <c r="F24" s="89" t="s">
        <v>128</v>
      </c>
      <c r="G24" s="89">
        <v>0.25807363800852545</v>
      </c>
      <c r="H24" s="89">
        <v>0.17528512508416044</v>
      </c>
      <c r="I24" s="89">
        <v>3.2135606265429419E-2</v>
      </c>
      <c r="J24" s="113">
        <v>8.6077516782400227</v>
      </c>
      <c r="K24" s="89">
        <v>1.9705796294838793E-2</v>
      </c>
      <c r="L24" s="89">
        <v>0.82634416111104214</v>
      </c>
      <c r="M24" s="89">
        <v>3.2513037882640834</v>
      </c>
      <c r="N24" s="89">
        <v>1.0078894692339224</v>
      </c>
      <c r="O24" s="89"/>
      <c r="P24" s="89">
        <v>0.51416970024687059</v>
      </c>
      <c r="Q24" s="89"/>
      <c r="R24" s="89"/>
      <c r="S24" s="89"/>
      <c r="T24" s="89"/>
      <c r="U24" s="89"/>
      <c r="V24" s="89"/>
      <c r="W24" s="89"/>
      <c r="X24" s="89"/>
      <c r="Y24" s="89"/>
      <c r="Z24" s="89"/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AO24" s="89"/>
      <c r="AP24" s="89"/>
      <c r="AQ24" s="89"/>
      <c r="AR24" s="89"/>
      <c r="AS24" s="89"/>
      <c r="AT24" s="89"/>
      <c r="AU24" s="89"/>
      <c r="AV24" s="89"/>
      <c r="AW24" s="89"/>
      <c r="AX24" s="89"/>
      <c r="AY24" s="89"/>
      <c r="AZ24" s="89"/>
      <c r="BA24" s="89"/>
      <c r="BB24" s="89"/>
      <c r="BC24" s="89"/>
      <c r="BD24" s="89"/>
      <c r="BE24" s="89"/>
      <c r="BF24" s="89"/>
      <c r="BG24" s="89"/>
      <c r="BH24" s="89"/>
      <c r="BI24" s="89"/>
      <c r="BJ24" s="89"/>
      <c r="BK24" s="89"/>
      <c r="BL24" s="89"/>
      <c r="BM24" s="89"/>
      <c r="BN24" s="89"/>
      <c r="BO24" s="89"/>
      <c r="BP24" s="89"/>
      <c r="BQ24" s="89"/>
      <c r="BR24" s="89"/>
      <c r="BS24" s="89"/>
      <c r="BT24" s="89"/>
      <c r="BU24" s="89"/>
      <c r="BV24" s="89"/>
      <c r="BW24" s="89"/>
      <c r="BX24" s="89"/>
    </row>
    <row r="25" spans="1:76" x14ac:dyDescent="0.2">
      <c r="A25" s="88" t="s">
        <v>166</v>
      </c>
      <c r="B25" s="86"/>
      <c r="C25" s="89">
        <v>0.41937828771965957</v>
      </c>
      <c r="D25" s="89"/>
      <c r="E25" s="89">
        <v>0.2376884522819295</v>
      </c>
      <c r="F25" s="89" t="s">
        <v>128</v>
      </c>
      <c r="G25" s="89">
        <v>0.33430440649652865</v>
      </c>
      <c r="H25" s="89">
        <v>0.21568026225582493</v>
      </c>
      <c r="I25" s="89">
        <v>3.5946710375970817E-2</v>
      </c>
      <c r="J25" s="89">
        <v>64.190554242805035</v>
      </c>
      <c r="K25" s="89">
        <v>2.8486072373410842E-2</v>
      </c>
      <c r="L25" s="89">
        <v>0.80880098345934337</v>
      </c>
      <c r="M25" s="89">
        <v>3.6187963465742436</v>
      </c>
      <c r="N25" s="89">
        <v>1.1323213768430809</v>
      </c>
      <c r="O25" s="89"/>
      <c r="P25" s="89">
        <v>0.6740008195494529</v>
      </c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89"/>
      <c r="AB25" s="89"/>
      <c r="AC25" s="89"/>
      <c r="AD25" s="89"/>
      <c r="AE25" s="89"/>
      <c r="AF25" s="89"/>
      <c r="AG25" s="89"/>
      <c r="AH25" s="89"/>
      <c r="AI25" s="89"/>
      <c r="AJ25" s="89"/>
      <c r="AK25" s="89"/>
      <c r="AL25" s="89"/>
      <c r="AM25" s="89"/>
      <c r="AN25" s="89"/>
      <c r="AO25" s="89"/>
      <c r="AP25" s="89"/>
      <c r="AQ25" s="89"/>
      <c r="AR25" s="89"/>
      <c r="AS25" s="89"/>
      <c r="AT25" s="89"/>
      <c r="AU25" s="89"/>
      <c r="AV25" s="89"/>
      <c r="AW25" s="89"/>
      <c r="AX25" s="89"/>
      <c r="AY25" s="89"/>
      <c r="AZ25" s="89"/>
      <c r="BA25" s="89"/>
      <c r="BB25" s="89"/>
      <c r="BC25" s="89"/>
      <c r="BD25" s="89"/>
      <c r="BE25" s="89"/>
      <c r="BF25" s="89"/>
      <c r="BG25" s="89"/>
      <c r="BH25" s="89"/>
      <c r="BI25" s="89"/>
      <c r="BJ25" s="89"/>
      <c r="BK25" s="89"/>
      <c r="BL25" s="89"/>
      <c r="BM25" s="89"/>
      <c r="BN25" s="89"/>
      <c r="BO25" s="89"/>
      <c r="BP25" s="89"/>
      <c r="BQ25" s="89"/>
      <c r="BR25" s="89"/>
      <c r="BS25" s="89"/>
      <c r="BT25" s="89"/>
      <c r="BU25" s="89"/>
      <c r="BV25" s="89"/>
      <c r="BW25" s="89"/>
      <c r="BX25" s="89"/>
    </row>
    <row r="26" spans="1:76" x14ac:dyDescent="0.2">
      <c r="A26" s="88" t="s">
        <v>167</v>
      </c>
      <c r="B26" s="86"/>
      <c r="C26" s="89">
        <v>0.45796767728339266</v>
      </c>
      <c r="D26" s="89"/>
      <c r="E26" s="89">
        <v>0.26169581559051008</v>
      </c>
      <c r="F26" s="89" t="s">
        <v>128</v>
      </c>
      <c r="G26" s="89">
        <v>0.29023465967754103</v>
      </c>
      <c r="H26" s="89">
        <v>0.15265589242779756</v>
      </c>
      <c r="I26" s="89">
        <v>3.3923531650621681E-2</v>
      </c>
      <c r="J26" s="89">
        <v>60.577735090395862</v>
      </c>
      <c r="K26" s="89">
        <v>5.6005830555271648E-2</v>
      </c>
      <c r="L26" s="89">
        <v>0.87231938530170028</v>
      </c>
      <c r="M26" s="89">
        <v>3.2598878797882334</v>
      </c>
      <c r="N26" s="89">
        <v>1.0177059495186505</v>
      </c>
      <c r="O26" s="89"/>
      <c r="P26" s="89">
        <v>0.50885297475932523</v>
      </c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89"/>
      <c r="BD26" s="89"/>
      <c r="BE26" s="89"/>
      <c r="BF26" s="89"/>
      <c r="BG26" s="89"/>
      <c r="BH26" s="89"/>
      <c r="BI26" s="89"/>
      <c r="BJ26" s="89"/>
      <c r="BK26" s="89"/>
      <c r="BL26" s="89"/>
      <c r="BM26" s="89"/>
      <c r="BN26" s="89"/>
      <c r="BO26" s="89"/>
      <c r="BP26" s="89"/>
      <c r="BQ26" s="89"/>
      <c r="BR26" s="89"/>
      <c r="BS26" s="89"/>
      <c r="BT26" s="89"/>
      <c r="BU26" s="89"/>
      <c r="BV26" s="89"/>
      <c r="BW26" s="89"/>
      <c r="BX26" s="89"/>
    </row>
    <row r="27" spans="1:76" x14ac:dyDescent="0.2">
      <c r="A27" s="88" t="s">
        <v>168</v>
      </c>
      <c r="B27" s="86"/>
      <c r="C27" s="89">
        <v>0.4488633730193215</v>
      </c>
      <c r="D27" s="89"/>
      <c r="E27" s="89">
        <v>0.28214269161214495</v>
      </c>
      <c r="F27" s="89" t="s">
        <v>128</v>
      </c>
      <c r="G27" s="89">
        <v>0.29273698240390533</v>
      </c>
      <c r="H27" s="89">
        <v>0.13964638271712226</v>
      </c>
      <c r="I27" s="89">
        <v>2.8053960813707597E-2</v>
      </c>
      <c r="J27" s="89">
        <v>53.436115835633515</v>
      </c>
      <c r="K27" s="89">
        <v>2.9316185465703148E-2</v>
      </c>
      <c r="L27" s="89">
        <v>0.76948006803312263</v>
      </c>
      <c r="M27" s="89">
        <v>2.9371932127103255</v>
      </c>
      <c r="N27" s="89">
        <v>0.98749942064250729</v>
      </c>
      <c r="O27" s="89"/>
      <c r="P27" s="89">
        <v>0.47878759788727632</v>
      </c>
      <c r="Q27" s="89"/>
      <c r="R27" s="89"/>
      <c r="S27" s="89"/>
      <c r="T27" s="89"/>
      <c r="U27" s="89"/>
      <c r="V27" s="89"/>
      <c r="W27" s="89"/>
      <c r="X27" s="89"/>
      <c r="Y27" s="89"/>
      <c r="Z27" s="89"/>
      <c r="AA27" s="89"/>
      <c r="AB27" s="89"/>
      <c r="AC27" s="89"/>
      <c r="AD27" s="89"/>
      <c r="AE27" s="89"/>
      <c r="AF27" s="89"/>
      <c r="AG27" s="89"/>
      <c r="AH27" s="89"/>
      <c r="AI27" s="89"/>
      <c r="AJ27" s="89"/>
      <c r="AK27" s="89"/>
      <c r="AL27" s="89"/>
      <c r="AM27" s="89"/>
      <c r="AN27" s="89"/>
      <c r="AO27" s="89"/>
      <c r="AP27" s="89"/>
      <c r="AQ27" s="89"/>
      <c r="AR27" s="89"/>
      <c r="AS27" s="89"/>
      <c r="AT27" s="89"/>
      <c r="AU27" s="89"/>
      <c r="AV27" s="89"/>
      <c r="AW27" s="89"/>
      <c r="AX27" s="89"/>
      <c r="AY27" s="89"/>
      <c r="AZ27" s="89"/>
      <c r="BA27" s="89"/>
      <c r="BB27" s="89"/>
      <c r="BC27" s="89"/>
      <c r="BD27" s="89"/>
      <c r="BE27" s="89"/>
      <c r="BF27" s="89"/>
      <c r="BG27" s="89"/>
      <c r="BH27" s="89"/>
      <c r="BI27" s="89"/>
      <c r="BJ27" s="89"/>
      <c r="BK27" s="89"/>
      <c r="BL27" s="89"/>
      <c r="BM27" s="89"/>
      <c r="BN27" s="89"/>
      <c r="BO27" s="89"/>
      <c r="BP27" s="89"/>
      <c r="BQ27" s="89"/>
      <c r="BR27" s="89"/>
      <c r="BS27" s="89"/>
      <c r="BT27" s="89"/>
      <c r="BU27" s="89"/>
      <c r="BV27" s="89"/>
      <c r="BW27" s="89"/>
      <c r="BX27" s="89"/>
    </row>
    <row r="28" spans="1:76" x14ac:dyDescent="0.2">
      <c r="A28" s="88" t="s">
        <v>169</v>
      </c>
      <c r="B28" s="86"/>
      <c r="C28" s="89">
        <v>0.4053885557583306</v>
      </c>
      <c r="D28" s="89"/>
      <c r="E28" s="89">
        <v>0.20848554296142716</v>
      </c>
      <c r="F28" s="89" t="s">
        <v>128</v>
      </c>
      <c r="G28" s="89">
        <v>0.34052638683699771</v>
      </c>
      <c r="H28" s="89">
        <v>0.13175128062145744</v>
      </c>
      <c r="I28" s="89">
        <v>2.2521586431018367E-2</v>
      </c>
      <c r="J28" s="89">
        <v>48.260542352182213</v>
      </c>
      <c r="K28" s="89">
        <v>1.5449258984692477E-2</v>
      </c>
      <c r="L28" s="89">
        <v>0.76444699085856627</v>
      </c>
      <c r="M28" s="89">
        <v>2.8567649902432692</v>
      </c>
      <c r="N28" s="89">
        <v>1.0318981419302962</v>
      </c>
      <c r="O28" s="89"/>
      <c r="P28" s="89">
        <v>0.38917301352799738</v>
      </c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  <c r="AX28" s="89"/>
      <c r="AY28" s="89"/>
      <c r="AZ28" s="89"/>
      <c r="BA28" s="89"/>
      <c r="BB28" s="89"/>
      <c r="BC28" s="89"/>
      <c r="BD28" s="89"/>
      <c r="BE28" s="89"/>
      <c r="BF28" s="89"/>
      <c r="BG28" s="89"/>
      <c r="BH28" s="89"/>
      <c r="BI28" s="89"/>
      <c r="BJ28" s="89"/>
      <c r="BK28" s="89"/>
      <c r="BL28" s="89"/>
      <c r="BM28" s="89"/>
      <c r="BN28" s="89"/>
      <c r="BO28" s="89"/>
      <c r="BP28" s="89"/>
      <c r="BQ28" s="89"/>
      <c r="BR28" s="89"/>
      <c r="BS28" s="89"/>
      <c r="BT28" s="89"/>
      <c r="BU28" s="89"/>
      <c r="BV28" s="89"/>
      <c r="BW28" s="89"/>
      <c r="BX28" s="89"/>
    </row>
    <row r="29" spans="1:76" x14ac:dyDescent="0.2">
      <c r="A29" s="88" t="s">
        <v>170</v>
      </c>
      <c r="B29" s="86"/>
      <c r="C29" s="89">
        <v>0.36597891621525058</v>
      </c>
      <c r="D29" s="89"/>
      <c r="E29" s="89">
        <v>0.155603280703763</v>
      </c>
      <c r="F29" s="89">
        <v>0.19594625039591301</v>
      </c>
      <c r="G29" s="89"/>
      <c r="H29" s="89" t="s">
        <v>128</v>
      </c>
      <c r="I29" s="89">
        <v>1.9969087690316252E-2</v>
      </c>
      <c r="J29" s="89">
        <v>39.212026737348275</v>
      </c>
      <c r="K29" s="89">
        <v>9.8030066843370692E-3</v>
      </c>
      <c r="L29" s="89">
        <v>0.67220617264025617</v>
      </c>
      <c r="M29" s="89">
        <v>2.5000956644618033</v>
      </c>
      <c r="N29" s="89">
        <v>0.71888715685138505</v>
      </c>
      <c r="O29" s="89"/>
      <c r="P29" s="89">
        <v>0.29953631535474379</v>
      </c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89"/>
      <c r="AB29" s="89"/>
      <c r="AC29" s="89"/>
      <c r="AD29" s="89"/>
      <c r="AE29" s="89"/>
      <c r="AF29" s="89"/>
      <c r="AG29" s="89"/>
      <c r="AH29" s="89"/>
      <c r="AI29" s="89"/>
      <c r="AJ29" s="89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89"/>
      <c r="AY29" s="89"/>
      <c r="AZ29" s="89"/>
      <c r="BA29" s="89"/>
      <c r="BB29" s="89"/>
      <c r="BC29" s="89"/>
      <c r="BD29" s="89"/>
      <c r="BE29" s="89"/>
      <c r="BF29" s="89"/>
      <c r="BG29" s="89"/>
      <c r="BH29" s="89"/>
      <c r="BI29" s="89"/>
      <c r="BJ29" s="89"/>
      <c r="BK29" s="89"/>
      <c r="BL29" s="89"/>
      <c r="BM29" s="89"/>
      <c r="BN29" s="89"/>
      <c r="BO29" s="89"/>
      <c r="BP29" s="89"/>
      <c r="BQ29" s="89"/>
      <c r="BR29" s="89"/>
      <c r="BS29" s="89"/>
      <c r="BT29" s="89"/>
      <c r="BU29" s="89"/>
      <c r="BV29" s="89"/>
      <c r="BW29" s="89"/>
      <c r="BX29" s="89"/>
    </row>
    <row r="30" spans="1:76" x14ac:dyDescent="0.2">
      <c r="A30" s="88" t="s">
        <v>171</v>
      </c>
      <c r="B30" s="92"/>
      <c r="C30" s="89" t="s">
        <v>128</v>
      </c>
      <c r="D30" s="89"/>
      <c r="E30" s="89" t="s">
        <v>128</v>
      </c>
      <c r="F30" s="89">
        <v>0.20228960005412405</v>
      </c>
      <c r="G30" s="89"/>
      <c r="H30" s="89" t="s">
        <v>128</v>
      </c>
      <c r="I30" s="89" t="s">
        <v>128</v>
      </c>
      <c r="J30" s="89" t="s">
        <v>128</v>
      </c>
      <c r="K30" s="89">
        <v>1.0099425892934732E-2</v>
      </c>
      <c r="L30" s="89" t="s">
        <v>128</v>
      </c>
      <c r="N30" s="89" t="s">
        <v>128</v>
      </c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89"/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89"/>
      <c r="AV30" s="89"/>
      <c r="AW30" s="89"/>
      <c r="AX30" s="89"/>
      <c r="AY30" s="89"/>
      <c r="AZ30" s="89"/>
      <c r="BA30" s="89"/>
      <c r="BB30" s="89"/>
      <c r="BC30" s="89"/>
      <c r="BD30" s="89"/>
      <c r="BE30" s="89"/>
      <c r="BF30" s="89"/>
      <c r="BG30" s="89"/>
      <c r="BH30" s="89"/>
      <c r="BI30" s="89"/>
      <c r="BJ30" s="89"/>
      <c r="BK30" s="89"/>
      <c r="BL30" s="89"/>
      <c r="BM30" s="89"/>
      <c r="BN30" s="89"/>
      <c r="BO30" s="89"/>
      <c r="BP30" s="89"/>
      <c r="BQ30" s="89"/>
      <c r="BR30" s="89"/>
      <c r="BS30" s="89"/>
      <c r="BT30" s="89"/>
      <c r="BU30" s="89"/>
      <c r="BV30" s="89"/>
      <c r="BW30" s="89"/>
      <c r="BX30" s="89"/>
    </row>
    <row r="31" spans="1:76" x14ac:dyDescent="0.2">
      <c r="A31" s="88" t="s">
        <v>172</v>
      </c>
      <c r="B31" s="87"/>
      <c r="C31" s="89" t="s">
        <v>128</v>
      </c>
      <c r="D31" s="89"/>
      <c r="E31" s="89" t="s">
        <v>128</v>
      </c>
      <c r="F31" s="89">
        <v>0.21189718735762875</v>
      </c>
      <c r="G31" s="89"/>
      <c r="H31" s="89" t="s">
        <v>128</v>
      </c>
      <c r="I31" s="89" t="s">
        <v>128</v>
      </c>
      <c r="J31" s="89" t="s">
        <v>128</v>
      </c>
      <c r="K31" s="89">
        <v>1.6161403218762919E-2</v>
      </c>
      <c r="L31" s="89" t="s">
        <v>128</v>
      </c>
      <c r="N31" s="89" t="s">
        <v>128</v>
      </c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/>
      <c r="AY31" s="89"/>
      <c r="AZ31" s="89"/>
      <c r="BA31" s="89"/>
      <c r="BB31" s="89"/>
      <c r="BC31" s="89"/>
      <c r="BD31" s="89"/>
      <c r="BE31" s="89"/>
      <c r="BF31" s="89"/>
      <c r="BG31" s="89"/>
      <c r="BH31" s="89"/>
      <c r="BI31" s="89"/>
      <c r="BJ31" s="89"/>
      <c r="BK31" s="89"/>
      <c r="BL31" s="89"/>
      <c r="BM31" s="89"/>
      <c r="BN31" s="89"/>
      <c r="BO31" s="89"/>
      <c r="BP31" s="89"/>
      <c r="BQ31" s="89"/>
      <c r="BR31" s="89"/>
      <c r="BS31" s="89"/>
      <c r="BT31" s="89"/>
      <c r="BU31" s="89"/>
      <c r="BV31" s="89"/>
      <c r="BW31" s="89"/>
      <c r="BX31" s="89"/>
    </row>
    <row r="32" spans="1:76" x14ac:dyDescent="0.2">
      <c r="A32" s="88" t="s">
        <v>173</v>
      </c>
      <c r="B32" s="87"/>
      <c r="C32" s="89" t="s">
        <v>128</v>
      </c>
      <c r="D32" s="89"/>
      <c r="E32" s="89" t="s">
        <v>128</v>
      </c>
      <c r="F32" s="89">
        <v>0.25233723984242823</v>
      </c>
      <c r="G32" s="89"/>
      <c r="H32" s="89" t="s">
        <v>128</v>
      </c>
      <c r="I32" s="89" t="s">
        <v>128</v>
      </c>
      <c r="J32" s="89" t="s">
        <v>128</v>
      </c>
      <c r="K32" s="89">
        <v>1.8674410141652904E-2</v>
      </c>
      <c r="L32" s="89" t="s">
        <v>128</v>
      </c>
      <c r="N32" s="89" t="s">
        <v>128</v>
      </c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89"/>
      <c r="AX32" s="89"/>
      <c r="AY32" s="89"/>
      <c r="AZ32" s="89"/>
      <c r="BA32" s="89"/>
      <c r="BB32" s="89"/>
      <c r="BC32" s="89"/>
      <c r="BD32" s="89"/>
      <c r="BE32" s="89"/>
      <c r="BF32" s="89"/>
      <c r="BG32" s="89"/>
      <c r="BH32" s="89"/>
      <c r="BI32" s="89"/>
      <c r="BJ32" s="89"/>
      <c r="BK32" s="89"/>
      <c r="BL32" s="89"/>
      <c r="BM32" s="89"/>
      <c r="BN32" s="89"/>
      <c r="BO32" s="89"/>
      <c r="BP32" s="89"/>
      <c r="BQ32" s="89"/>
      <c r="BR32" s="89"/>
      <c r="BS32" s="89"/>
      <c r="BT32" s="89"/>
      <c r="BU32" s="89"/>
      <c r="BV32" s="89"/>
      <c r="BW32" s="89"/>
      <c r="BX32" s="89"/>
    </row>
    <row r="33" spans="1:76" x14ac:dyDescent="0.2">
      <c r="A33" s="88" t="s">
        <v>174</v>
      </c>
      <c r="B33" s="87"/>
      <c r="C33" s="89" t="s">
        <v>128</v>
      </c>
      <c r="D33" s="89"/>
      <c r="E33" s="89" t="s">
        <v>128</v>
      </c>
      <c r="F33" s="89">
        <v>0.23995409116132832</v>
      </c>
      <c r="G33" s="89"/>
      <c r="H33" s="89" t="s">
        <v>128</v>
      </c>
      <c r="I33" s="89" t="s">
        <v>128</v>
      </c>
      <c r="J33" s="89" t="s">
        <v>128</v>
      </c>
      <c r="K33" s="89">
        <v>1.8250954129370524E-2</v>
      </c>
      <c r="L33" s="89" t="s">
        <v>128</v>
      </c>
      <c r="N33" s="89" t="s">
        <v>128</v>
      </c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89"/>
      <c r="BD33" s="89"/>
      <c r="BE33" s="89"/>
      <c r="BF33" s="89"/>
      <c r="BG33" s="89"/>
      <c r="BH33" s="89"/>
      <c r="BI33" s="89"/>
      <c r="BJ33" s="89"/>
      <c r="BK33" s="89"/>
      <c r="BL33" s="89"/>
      <c r="BM33" s="89"/>
      <c r="BN33" s="89"/>
      <c r="BO33" s="89"/>
      <c r="BP33" s="89"/>
      <c r="BQ33" s="89"/>
      <c r="BR33" s="89"/>
      <c r="BS33" s="89"/>
      <c r="BT33" s="89"/>
      <c r="BU33" s="89"/>
      <c r="BV33" s="89"/>
      <c r="BW33" s="89"/>
      <c r="BX33" s="89"/>
    </row>
    <row r="34" spans="1:76" x14ac:dyDescent="0.2">
      <c r="A34" s="88" t="s">
        <v>175</v>
      </c>
      <c r="C34" s="89" t="s">
        <v>128</v>
      </c>
      <c r="D34" s="89"/>
      <c r="E34" s="89" t="s">
        <v>128</v>
      </c>
      <c r="F34" s="89">
        <v>0.23486850191422592</v>
      </c>
      <c r="G34" s="89"/>
      <c r="H34" s="89" t="s">
        <v>128</v>
      </c>
      <c r="I34" s="89" t="s">
        <v>128</v>
      </c>
      <c r="J34" s="89" t="s">
        <v>128</v>
      </c>
      <c r="K34" s="89">
        <v>1.7316450518703522E-2</v>
      </c>
      <c r="L34" s="89" t="s">
        <v>128</v>
      </c>
      <c r="N34" s="89" t="s">
        <v>128</v>
      </c>
    </row>
    <row r="35" spans="1:76" x14ac:dyDescent="0.2">
      <c r="A35" s="88" t="s">
        <v>176</v>
      </c>
      <c r="C35" s="89" t="s">
        <v>128</v>
      </c>
      <c r="D35" s="89"/>
      <c r="E35" s="89" t="s">
        <v>128</v>
      </c>
      <c r="F35" s="89">
        <v>0.2133821915047257</v>
      </c>
      <c r="G35" s="89"/>
      <c r="H35" s="89" t="s">
        <v>128</v>
      </c>
      <c r="I35" s="89" t="s">
        <v>128</v>
      </c>
      <c r="J35" s="89" t="s">
        <v>128</v>
      </c>
      <c r="K35" s="89" t="s">
        <v>128</v>
      </c>
      <c r="L35" s="89" t="s">
        <v>128</v>
      </c>
      <c r="N35" s="89" t="s">
        <v>128</v>
      </c>
    </row>
    <row r="36" spans="1:76" x14ac:dyDescent="0.2">
      <c r="A36" s="88" t="s">
        <v>177</v>
      </c>
      <c r="C36" s="89" t="s">
        <v>128</v>
      </c>
      <c r="D36" s="89"/>
      <c r="E36" s="89" t="s">
        <v>128</v>
      </c>
      <c r="F36" s="89">
        <v>0.22694863155778724</v>
      </c>
      <c r="G36" s="89"/>
      <c r="H36" s="89" t="s">
        <v>128</v>
      </c>
      <c r="I36" s="89" t="s">
        <v>128</v>
      </c>
      <c r="J36" s="89" t="s">
        <v>128</v>
      </c>
      <c r="K36" s="89">
        <v>2.2024315421425897E-2</v>
      </c>
      <c r="L36" s="89" t="s">
        <v>128</v>
      </c>
      <c r="N36" s="89" t="s">
        <v>128</v>
      </c>
    </row>
    <row r="37" spans="1:76" x14ac:dyDescent="0.2">
      <c r="A37" s="88" t="s">
        <v>144</v>
      </c>
      <c r="C37" s="89" t="s">
        <v>128</v>
      </c>
      <c r="D37" s="89"/>
      <c r="E37" s="89" t="s">
        <v>128</v>
      </c>
      <c r="F37" s="89">
        <v>0.18747061800538006</v>
      </c>
      <c r="G37" s="89"/>
      <c r="H37" s="89" t="s">
        <v>128</v>
      </c>
      <c r="I37" s="89" t="s">
        <v>128</v>
      </c>
      <c r="J37" s="89" t="s">
        <v>128</v>
      </c>
      <c r="K37" s="89">
        <v>1.8782129493230919E-2</v>
      </c>
      <c r="L37" s="89" t="s">
        <v>128</v>
      </c>
      <c r="N37" s="89" t="s">
        <v>128</v>
      </c>
    </row>
    <row r="38" spans="1:76" x14ac:dyDescent="0.2">
      <c r="A38" s="88" t="s">
        <v>145</v>
      </c>
      <c r="C38" s="89" t="s">
        <v>128</v>
      </c>
      <c r="D38" s="89"/>
      <c r="E38" s="89" t="s">
        <v>128</v>
      </c>
      <c r="F38" s="89">
        <v>0.21675175273251929</v>
      </c>
      <c r="G38" s="89"/>
      <c r="H38" s="89" t="s">
        <v>128</v>
      </c>
      <c r="I38" s="89" t="s">
        <v>128</v>
      </c>
      <c r="J38" s="89" t="s">
        <v>128</v>
      </c>
      <c r="K38" s="89">
        <v>1.9587760954351621E-2</v>
      </c>
      <c r="L38" s="89" t="s">
        <v>128</v>
      </c>
      <c r="N38" s="89" t="s">
        <v>128</v>
      </c>
    </row>
    <row r="39" spans="1:76" x14ac:dyDescent="0.2">
      <c r="A39" s="88" t="s">
        <v>146</v>
      </c>
      <c r="C39" s="89" t="s">
        <v>128</v>
      </c>
      <c r="D39" s="89"/>
      <c r="E39" s="89" t="s">
        <v>128</v>
      </c>
      <c r="F39" s="89">
        <v>0.15733108824761258</v>
      </c>
      <c r="G39" s="89"/>
      <c r="H39" s="89" t="s">
        <v>128</v>
      </c>
      <c r="I39" s="89" t="s">
        <v>128</v>
      </c>
      <c r="J39" s="89" t="s">
        <v>128</v>
      </c>
      <c r="K39" s="89">
        <v>4.4369720966947655E-2</v>
      </c>
      <c r="L39" s="89" t="s">
        <v>128</v>
      </c>
      <c r="N39" s="89" t="s">
        <v>128</v>
      </c>
    </row>
    <row r="40" spans="1:76" x14ac:dyDescent="0.2">
      <c r="A40" s="88" t="s">
        <v>147</v>
      </c>
      <c r="C40" s="89" t="s">
        <v>128</v>
      </c>
      <c r="D40" s="89"/>
      <c r="E40" s="89" t="s">
        <v>128</v>
      </c>
      <c r="F40" s="89">
        <v>0.30032467532467533</v>
      </c>
      <c r="G40" s="89"/>
      <c r="H40" s="89" t="s">
        <v>128</v>
      </c>
      <c r="I40" s="89" t="s">
        <v>128</v>
      </c>
      <c r="J40" s="89" t="s">
        <v>128</v>
      </c>
      <c r="K40" s="89">
        <v>2.5735294117647058E-2</v>
      </c>
      <c r="L40" s="89" t="s">
        <v>128</v>
      </c>
      <c r="N40" s="89" t="s">
        <v>128</v>
      </c>
    </row>
    <row r="41" spans="1:76" x14ac:dyDescent="0.2">
      <c r="A41" s="88" t="s">
        <v>148</v>
      </c>
      <c r="C41" s="89" t="s">
        <v>128</v>
      </c>
      <c r="D41" s="89"/>
      <c r="E41" s="89" t="s">
        <v>128</v>
      </c>
      <c r="F41" s="89">
        <v>0.25459251968503938</v>
      </c>
      <c r="G41" s="89"/>
      <c r="H41" s="89" t="s">
        <v>128</v>
      </c>
      <c r="I41" s="89" t="s">
        <v>128</v>
      </c>
      <c r="J41" s="89" t="s">
        <v>128</v>
      </c>
      <c r="K41" s="89">
        <v>3.7352941176470589E-2</v>
      </c>
      <c r="L41" s="89" t="s">
        <v>128</v>
      </c>
      <c r="N41" s="89" t="s">
        <v>128</v>
      </c>
    </row>
    <row r="42" spans="1:76" x14ac:dyDescent="0.2">
      <c r="A42" s="88" t="s">
        <v>149</v>
      </c>
      <c r="C42" s="89" t="s">
        <v>128</v>
      </c>
      <c r="D42" s="89"/>
      <c r="E42" s="89" t="s">
        <v>128</v>
      </c>
      <c r="F42" s="89">
        <v>0.3717230273752013</v>
      </c>
      <c r="G42" s="89"/>
      <c r="H42" s="89" t="s">
        <v>128</v>
      </c>
      <c r="I42" s="89" t="s">
        <v>128</v>
      </c>
      <c r="J42" s="89" t="s">
        <v>128</v>
      </c>
      <c r="K42" s="89">
        <v>3.3333333333333333E-2</v>
      </c>
      <c r="L42" s="89" t="s">
        <v>128</v>
      </c>
      <c r="N42" s="89" t="s">
        <v>128</v>
      </c>
    </row>
    <row r="43" spans="1:76" x14ac:dyDescent="0.2">
      <c r="A43" s="88" t="s">
        <v>150</v>
      </c>
      <c r="C43" s="89" t="s">
        <v>128</v>
      </c>
      <c r="D43" s="89"/>
      <c r="E43" s="89" t="s">
        <v>128</v>
      </c>
      <c r="F43" s="89">
        <v>0.37156622623267804</v>
      </c>
      <c r="G43" s="89"/>
      <c r="H43" s="89" t="s">
        <v>128</v>
      </c>
      <c r="I43" s="89" t="s">
        <v>128</v>
      </c>
      <c r="J43" s="89" t="s">
        <v>128</v>
      </c>
      <c r="K43" s="89">
        <v>3.3333333333333333E-2</v>
      </c>
      <c r="L43" s="89" t="s">
        <v>128</v>
      </c>
      <c r="N43" s="89" t="s">
        <v>128</v>
      </c>
    </row>
    <row r="44" spans="1:76" x14ac:dyDescent="0.2">
      <c r="A44" s="88" t="s">
        <v>151</v>
      </c>
      <c r="C44" s="89" t="s">
        <v>128</v>
      </c>
      <c r="D44" s="89"/>
      <c r="E44" s="89" t="s">
        <v>128</v>
      </c>
      <c r="F44" s="89">
        <v>0.37857755775577556</v>
      </c>
      <c r="G44" s="89"/>
      <c r="H44" s="89" t="s">
        <v>128</v>
      </c>
      <c r="I44" s="89" t="s">
        <v>128</v>
      </c>
      <c r="J44" s="89" t="s">
        <v>128</v>
      </c>
      <c r="K44" s="89">
        <v>3.3333333333333333E-2</v>
      </c>
      <c r="L44" s="89" t="s">
        <v>128</v>
      </c>
      <c r="N44" s="89" t="s">
        <v>128</v>
      </c>
    </row>
    <row r="45" spans="1:76" x14ac:dyDescent="0.2">
      <c r="A45" s="88" t="s">
        <v>152</v>
      </c>
      <c r="C45" s="89">
        <v>0.45</v>
      </c>
      <c r="D45" s="89"/>
      <c r="E45" s="89">
        <v>0.38095238095238093</v>
      </c>
      <c r="F45" s="89" t="s">
        <v>128</v>
      </c>
      <c r="G45" s="89">
        <v>0.52240364400840922</v>
      </c>
      <c r="H45" s="89">
        <v>0.4971662030598053</v>
      </c>
      <c r="I45" s="113">
        <v>0.20666666666666667</v>
      </c>
      <c r="J45" s="89"/>
      <c r="K45" s="89" t="s">
        <v>128</v>
      </c>
      <c r="L45" s="89" t="s">
        <v>128</v>
      </c>
      <c r="M45" s="89" t="s">
        <v>128</v>
      </c>
      <c r="N45" s="89">
        <v>2.7745098039215685</v>
      </c>
    </row>
    <row r="46" spans="1:76" x14ac:dyDescent="0.2">
      <c r="A46" s="88" t="s">
        <v>153</v>
      </c>
      <c r="C46" s="89" t="s">
        <v>128</v>
      </c>
      <c r="D46" s="89"/>
      <c r="E46" s="89">
        <v>0.3742004264392324</v>
      </c>
      <c r="F46" s="89" t="s">
        <v>128</v>
      </c>
      <c r="G46" s="89">
        <v>0.41609490705757896</v>
      </c>
      <c r="H46" s="89">
        <v>0.54157916409306162</v>
      </c>
      <c r="I46" s="113">
        <v>0.17391304347826086</v>
      </c>
      <c r="J46" s="89" t="s">
        <v>128</v>
      </c>
      <c r="K46" s="89" t="s">
        <v>128</v>
      </c>
      <c r="L46" s="89" t="s">
        <v>128</v>
      </c>
      <c r="M46" s="89" t="s">
        <v>128</v>
      </c>
      <c r="N46" s="113">
        <v>3.1944444444444446</v>
      </c>
    </row>
  </sheetData>
  <pageMargins left="0.75" right="0.75" top="1" bottom="1" header="0.5" footer="0.5"/>
  <pageSetup paperSize="9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X293"/>
  <sheetViews>
    <sheetView zoomScale="57" zoomScaleNormal="57" workbookViewId="0">
      <pane xSplit="1" ySplit="4" topLeftCell="W47" activePane="bottomRight" state="frozen"/>
      <selection sqref="A1:A1048576"/>
      <selection pane="topRight" sqref="A1:A1048576"/>
      <selection pane="bottomLeft" sqref="A1:A1048576"/>
      <selection pane="bottomRight" activeCell="AJ57" sqref="AJ57:AK57"/>
    </sheetView>
  </sheetViews>
  <sheetFormatPr defaultRowHeight="14.4" x14ac:dyDescent="0.3"/>
  <cols>
    <col min="1" max="1" width="28.6640625" bestFit="1" customWidth="1"/>
    <col min="2" max="2" width="11.21875" style="10" bestFit="1" customWidth="1"/>
    <col min="3" max="3" width="9.33203125" bestFit="1" customWidth="1"/>
    <col min="4" max="4" width="15.6640625" bestFit="1" customWidth="1"/>
    <col min="5" max="5" width="11.21875" style="10" bestFit="1" customWidth="1"/>
    <col min="6" max="6" width="9.33203125" bestFit="1" customWidth="1"/>
    <col min="7" max="7" width="15.6640625" bestFit="1" customWidth="1"/>
    <col min="8" max="8" width="11.21875" style="10" bestFit="1" customWidth="1"/>
    <col min="9" max="9" width="9.33203125" bestFit="1" customWidth="1"/>
    <col min="10" max="10" width="15.6640625" bestFit="1" customWidth="1"/>
    <col min="11" max="11" width="11.21875" style="10" bestFit="1" customWidth="1"/>
    <col min="12" max="12" width="12.33203125" bestFit="1" customWidth="1"/>
    <col min="13" max="13" width="15.6640625" bestFit="1" customWidth="1"/>
    <col min="14" max="14" width="11.21875" style="10" bestFit="1" customWidth="1"/>
    <col min="15" max="15" width="9.33203125" bestFit="1" customWidth="1"/>
    <col min="16" max="16" width="15.6640625" bestFit="1" customWidth="1"/>
    <col min="17" max="17" width="11.21875" style="10" bestFit="1" customWidth="1"/>
    <col min="18" max="18" width="9.33203125" bestFit="1" customWidth="1"/>
    <col min="19" max="19" width="15.6640625" bestFit="1" customWidth="1"/>
    <col min="20" max="20" width="11.21875" style="10" bestFit="1" customWidth="1"/>
    <col min="21" max="21" width="9.33203125" bestFit="1" customWidth="1"/>
    <col min="22" max="22" width="15.6640625" bestFit="1" customWidth="1"/>
    <col min="23" max="23" width="11.21875" style="10" bestFit="1" customWidth="1"/>
    <col min="24" max="24" width="12.33203125" bestFit="1" customWidth="1"/>
    <col min="25" max="25" width="15.6640625" bestFit="1" customWidth="1"/>
    <col min="26" max="26" width="11.21875" style="10" bestFit="1" customWidth="1"/>
    <col min="27" max="27" width="9.33203125" bestFit="1" customWidth="1"/>
    <col min="28" max="28" width="15.6640625" bestFit="1" customWidth="1"/>
    <col min="29" max="29" width="11.21875" style="10" bestFit="1" customWidth="1"/>
    <col min="30" max="30" width="9.33203125" bestFit="1" customWidth="1"/>
    <col min="31" max="31" width="15.6640625" bestFit="1" customWidth="1"/>
    <col min="32" max="32" width="11.21875" style="10" bestFit="1" customWidth="1"/>
    <col min="33" max="33" width="9.33203125" bestFit="1" customWidth="1"/>
    <col min="34" max="34" width="15.6640625" bestFit="1" customWidth="1"/>
    <col min="35" max="35" width="11.21875" style="10" bestFit="1" customWidth="1"/>
    <col min="36" max="36" width="12.33203125" bestFit="1" customWidth="1"/>
    <col min="37" max="37" width="15.6640625" bestFit="1" customWidth="1"/>
    <col min="38" max="38" width="11.21875" style="10" bestFit="1" customWidth="1"/>
    <col min="39" max="39" width="9.33203125" bestFit="1" customWidth="1"/>
    <col min="40" max="40" width="15.6640625" bestFit="1" customWidth="1"/>
    <col min="41" max="41" width="11.21875" style="10" bestFit="1" customWidth="1"/>
    <col min="42" max="42" width="9.33203125" bestFit="1" customWidth="1"/>
    <col min="43" max="43" width="15.6640625" bestFit="1" customWidth="1"/>
    <col min="44" max="44" width="11.21875" style="10" bestFit="1" customWidth="1"/>
    <col min="45" max="45" width="9.33203125" bestFit="1" customWidth="1"/>
    <col min="46" max="46" width="15.6640625" bestFit="1" customWidth="1"/>
    <col min="47" max="47" width="11.21875" style="10" bestFit="1" customWidth="1"/>
    <col min="48" max="48" width="12.33203125" bestFit="1" customWidth="1"/>
    <col min="49" max="49" width="15.6640625" bestFit="1" customWidth="1"/>
    <col min="50" max="50" width="11.21875" style="10" bestFit="1" customWidth="1"/>
    <col min="51" max="51" width="9.33203125" bestFit="1" customWidth="1"/>
    <col min="52" max="52" width="15.6640625" bestFit="1" customWidth="1"/>
    <col min="53" max="53" width="11.21875" style="10" bestFit="1" customWidth="1"/>
    <col min="54" max="54" width="9.33203125" bestFit="1" customWidth="1"/>
    <col min="55" max="55" width="15.6640625" bestFit="1" customWidth="1"/>
    <col min="56" max="56" width="11.21875" style="10" bestFit="1" customWidth="1"/>
    <col min="57" max="57" width="9.33203125" bestFit="1" customWidth="1"/>
    <col min="58" max="58" width="15.6640625" bestFit="1" customWidth="1"/>
    <col min="59" max="59" width="11.21875" style="10" bestFit="1" customWidth="1"/>
    <col min="60" max="60" width="12.33203125" bestFit="1" customWidth="1"/>
    <col min="61" max="61" width="15.6640625" bestFit="1" customWidth="1"/>
    <col min="62" max="62" width="11.21875" style="10" bestFit="1" customWidth="1"/>
    <col min="63" max="63" width="9.33203125" bestFit="1" customWidth="1"/>
    <col min="64" max="64" width="15.6640625" bestFit="1" customWidth="1"/>
    <col min="65" max="65" width="11.21875" style="10" bestFit="1" customWidth="1"/>
    <col min="66" max="66" width="9.33203125" bestFit="1" customWidth="1"/>
    <col min="67" max="67" width="15.6640625" bestFit="1" customWidth="1"/>
    <col min="68" max="68" width="11.21875" style="10" bestFit="1" customWidth="1"/>
    <col min="69" max="69" width="9.33203125" bestFit="1" customWidth="1"/>
    <col min="70" max="70" width="15.6640625" bestFit="1" customWidth="1"/>
    <col min="71" max="71" width="11.21875" style="10" bestFit="1" customWidth="1"/>
    <col min="72" max="72" width="12.33203125" bestFit="1" customWidth="1"/>
    <col min="73" max="73" width="15.6640625" bestFit="1" customWidth="1"/>
    <col min="74" max="74" width="11.21875" style="10" bestFit="1" customWidth="1"/>
    <col min="75" max="75" width="9.33203125" bestFit="1" customWidth="1"/>
    <col min="76" max="76" width="15.6640625" bestFit="1" customWidth="1"/>
    <col min="77" max="77" width="11.21875" style="10" bestFit="1" customWidth="1"/>
    <col min="78" max="78" width="9.33203125" bestFit="1" customWidth="1"/>
    <col min="79" max="79" width="15.6640625" bestFit="1" customWidth="1"/>
    <col min="80" max="80" width="11.21875" style="10" bestFit="1" customWidth="1"/>
    <col min="81" max="81" width="9.33203125" bestFit="1" customWidth="1"/>
    <col min="82" max="82" width="15.6640625" bestFit="1" customWidth="1"/>
    <col min="83" max="83" width="11.21875" style="10" bestFit="1" customWidth="1"/>
    <col min="84" max="84" width="12.33203125" bestFit="1" customWidth="1"/>
    <col min="85" max="85" width="15.6640625" bestFit="1" customWidth="1"/>
    <col min="86" max="86" width="11.21875" style="10" bestFit="1" customWidth="1"/>
    <col min="87" max="87" width="9.33203125" bestFit="1" customWidth="1"/>
    <col min="88" max="88" width="15.6640625" bestFit="1" customWidth="1"/>
    <col min="89" max="89" width="11.21875" style="10" bestFit="1" customWidth="1"/>
    <col min="90" max="90" width="9.33203125" bestFit="1" customWidth="1"/>
    <col min="91" max="91" width="15.6640625" bestFit="1" customWidth="1"/>
    <col min="92" max="92" width="11.21875" style="10" bestFit="1" customWidth="1"/>
    <col min="93" max="93" width="9.33203125" bestFit="1" customWidth="1"/>
    <col min="94" max="94" width="15.6640625" bestFit="1" customWidth="1"/>
    <col min="95" max="95" width="11.21875" style="10" bestFit="1" customWidth="1"/>
    <col min="96" max="96" width="12.33203125" bestFit="1" customWidth="1"/>
    <col min="97" max="97" width="15.6640625" bestFit="1" customWidth="1"/>
    <col min="98" max="98" width="11.21875" style="10" bestFit="1" customWidth="1"/>
    <col min="99" max="99" width="9.33203125" bestFit="1" customWidth="1"/>
    <col min="100" max="100" width="15.6640625" bestFit="1" customWidth="1"/>
    <col min="101" max="101" width="11.21875" style="10" bestFit="1" customWidth="1"/>
    <col min="102" max="102" width="9.33203125" bestFit="1" customWidth="1"/>
    <col min="103" max="103" width="15.6640625" bestFit="1" customWidth="1"/>
    <col min="104" max="104" width="11.21875" style="10" bestFit="1" customWidth="1"/>
    <col min="105" max="105" width="9.33203125" bestFit="1" customWidth="1"/>
    <col min="106" max="106" width="15.6640625" bestFit="1" customWidth="1"/>
    <col min="107" max="107" width="11.21875" style="10" bestFit="1" customWidth="1"/>
    <col min="108" max="108" width="12.33203125" bestFit="1" customWidth="1"/>
    <col min="109" max="109" width="15.6640625" bestFit="1" customWidth="1"/>
    <col min="110" max="110" width="11.21875" style="10" bestFit="1" customWidth="1"/>
    <col min="111" max="111" width="9.33203125" bestFit="1" customWidth="1"/>
    <col min="112" max="112" width="15.6640625" bestFit="1" customWidth="1"/>
    <col min="113" max="113" width="11.21875" style="10" bestFit="1" customWidth="1"/>
    <col min="114" max="114" width="9.33203125" bestFit="1" customWidth="1"/>
    <col min="115" max="115" width="15.6640625" bestFit="1" customWidth="1"/>
    <col min="116" max="116" width="11.21875" style="10" bestFit="1" customWidth="1"/>
    <col min="117" max="117" width="9.33203125" bestFit="1" customWidth="1"/>
    <col min="118" max="118" width="15.6640625" bestFit="1" customWidth="1"/>
    <col min="119" max="119" width="11.21875" style="10" bestFit="1" customWidth="1"/>
    <col min="120" max="120" width="12.33203125" bestFit="1" customWidth="1"/>
    <col min="121" max="121" width="15.6640625" bestFit="1" customWidth="1"/>
    <col min="122" max="122" width="11.21875" style="10" bestFit="1" customWidth="1"/>
    <col min="123" max="123" width="9.33203125" bestFit="1" customWidth="1"/>
    <col min="124" max="124" width="15.6640625" bestFit="1" customWidth="1"/>
    <col min="125" max="125" width="11.21875" style="10" bestFit="1" customWidth="1"/>
    <col min="126" max="126" width="9.33203125" bestFit="1" customWidth="1"/>
    <col min="127" max="127" width="15.6640625" bestFit="1" customWidth="1"/>
    <col min="128" max="128" width="11.21875" style="10" bestFit="1" customWidth="1"/>
    <col min="129" max="129" width="9.33203125" bestFit="1" customWidth="1"/>
    <col min="130" max="130" width="15.6640625" bestFit="1" customWidth="1"/>
    <col min="131" max="131" width="11.21875" style="10" bestFit="1" customWidth="1"/>
    <col min="132" max="132" width="12.33203125" bestFit="1" customWidth="1"/>
    <col min="133" max="133" width="15.6640625" bestFit="1" customWidth="1"/>
    <col min="134" max="134" width="11.21875" style="10" bestFit="1" customWidth="1"/>
    <col min="135" max="135" width="9.33203125" bestFit="1" customWidth="1"/>
    <col min="136" max="136" width="15.6640625" bestFit="1" customWidth="1"/>
    <col min="137" max="137" width="11.21875" style="10" bestFit="1" customWidth="1"/>
    <col min="138" max="138" width="9.33203125" bestFit="1" customWidth="1"/>
    <col min="139" max="139" width="15.6640625" bestFit="1" customWidth="1"/>
    <col min="140" max="140" width="11.21875" style="10" bestFit="1" customWidth="1"/>
    <col min="141" max="141" width="9.33203125" bestFit="1" customWidth="1"/>
    <col min="142" max="142" width="15.6640625" bestFit="1" customWidth="1"/>
    <col min="143" max="143" width="11.21875" style="10" bestFit="1" customWidth="1"/>
    <col min="144" max="144" width="12.33203125" bestFit="1" customWidth="1"/>
    <col min="145" max="145" width="15.6640625" bestFit="1" customWidth="1"/>
    <col min="146" max="146" width="11.21875" style="10" bestFit="1" customWidth="1"/>
    <col min="147" max="147" width="9.33203125" bestFit="1" customWidth="1"/>
    <col min="148" max="148" width="15.6640625" bestFit="1" customWidth="1"/>
    <col min="149" max="149" width="11.21875" style="10" bestFit="1" customWidth="1"/>
    <col min="150" max="150" width="9.33203125" bestFit="1" customWidth="1"/>
    <col min="151" max="151" width="15.6640625" bestFit="1" customWidth="1"/>
    <col min="152" max="152" width="11.21875" style="10" bestFit="1" customWidth="1"/>
    <col min="153" max="153" width="9.33203125" bestFit="1" customWidth="1"/>
    <col min="154" max="154" width="15.6640625" bestFit="1" customWidth="1"/>
    <col min="155" max="155" width="11.21875" style="10" bestFit="1" customWidth="1"/>
    <col min="156" max="156" width="12.33203125" bestFit="1" customWidth="1"/>
    <col min="157" max="157" width="15.6640625" bestFit="1" customWidth="1"/>
    <col min="158" max="158" width="11.21875" style="10" bestFit="1" customWidth="1"/>
    <col min="159" max="159" width="9.33203125" bestFit="1" customWidth="1"/>
    <col min="160" max="160" width="15.6640625" bestFit="1" customWidth="1"/>
    <col min="161" max="161" width="11.21875" style="10" bestFit="1" customWidth="1"/>
    <col min="162" max="162" width="9.33203125" bestFit="1" customWidth="1"/>
    <col min="163" max="163" width="15.6640625" bestFit="1" customWidth="1"/>
    <col min="164" max="164" width="11.21875" style="10" bestFit="1" customWidth="1"/>
    <col min="165" max="165" width="9.33203125" bestFit="1" customWidth="1"/>
    <col min="166" max="166" width="15.6640625" bestFit="1" customWidth="1"/>
    <col min="167" max="167" width="11.21875" style="10" bestFit="1" customWidth="1"/>
    <col min="168" max="168" width="12.33203125" bestFit="1" customWidth="1"/>
    <col min="169" max="169" width="15.6640625" bestFit="1" customWidth="1"/>
    <col min="170" max="170" width="11.21875" style="10" bestFit="1" customWidth="1"/>
    <col min="171" max="171" width="9.33203125" bestFit="1" customWidth="1"/>
    <col min="172" max="172" width="15.6640625" bestFit="1" customWidth="1"/>
    <col min="173" max="173" width="11.21875" style="10" bestFit="1" customWidth="1"/>
    <col min="174" max="174" width="9.33203125" bestFit="1" customWidth="1"/>
    <col min="175" max="175" width="15.6640625" bestFit="1" customWidth="1"/>
    <col min="176" max="176" width="11.21875" style="10" bestFit="1" customWidth="1"/>
    <col min="177" max="177" width="9.33203125" bestFit="1" customWidth="1"/>
    <col min="178" max="178" width="15.6640625" bestFit="1" customWidth="1"/>
    <col min="179" max="179" width="11.21875" style="10" bestFit="1" customWidth="1"/>
    <col min="180" max="180" width="9.33203125" bestFit="1" customWidth="1"/>
    <col min="181" max="181" width="15.6640625" bestFit="1" customWidth="1"/>
    <col min="182" max="182" width="11.21875" style="10" bestFit="1" customWidth="1"/>
    <col min="183" max="183" width="9.33203125" bestFit="1" customWidth="1"/>
    <col min="184" max="184" width="15.6640625" bestFit="1" customWidth="1"/>
    <col min="185" max="185" width="11.21875" style="10" bestFit="1" customWidth="1"/>
    <col min="186" max="186" width="9.33203125" bestFit="1" customWidth="1"/>
    <col min="187" max="187" width="15.6640625" bestFit="1" customWidth="1"/>
    <col min="188" max="188" width="11.21875" style="10" bestFit="1" customWidth="1"/>
    <col min="189" max="189" width="9.33203125" bestFit="1" customWidth="1"/>
    <col min="190" max="190" width="15.6640625" bestFit="1" customWidth="1"/>
    <col min="191" max="191" width="11.21875" style="10" bestFit="1" customWidth="1"/>
    <col min="192" max="192" width="9.33203125" bestFit="1" customWidth="1"/>
    <col min="193" max="193" width="15.6640625" bestFit="1" customWidth="1"/>
    <col min="194" max="194" width="11.21875" style="10" bestFit="1" customWidth="1"/>
    <col min="195" max="195" width="9.33203125" bestFit="1" customWidth="1"/>
    <col min="196" max="196" width="15.6640625" bestFit="1" customWidth="1"/>
    <col min="197" max="197" width="11.21875" bestFit="1" customWidth="1"/>
    <col min="198" max="198" width="9.33203125" bestFit="1" customWidth="1"/>
    <col min="199" max="199" width="15.6640625" bestFit="1" customWidth="1"/>
    <col min="200" max="200" width="11.21875" bestFit="1" customWidth="1"/>
    <col min="201" max="201" width="9.33203125" bestFit="1" customWidth="1"/>
    <col min="202" max="202" width="15.6640625" bestFit="1" customWidth="1"/>
    <col min="203" max="203" width="11.21875" bestFit="1" customWidth="1"/>
    <col min="204" max="204" width="9.33203125" bestFit="1" customWidth="1"/>
    <col min="205" max="205" width="15.6640625" bestFit="1" customWidth="1"/>
    <col min="206" max="206" width="11.21875" style="10" bestFit="1" customWidth="1"/>
    <col min="207" max="207" width="9.33203125" bestFit="1" customWidth="1"/>
    <col min="208" max="208" width="15.6640625" bestFit="1" customWidth="1"/>
    <col min="209" max="209" width="11.21875" style="10" bestFit="1" customWidth="1"/>
    <col min="210" max="210" width="9.33203125" bestFit="1" customWidth="1"/>
    <col min="211" max="211" width="15.6640625" bestFit="1" customWidth="1"/>
    <col min="212" max="212" width="11.21875" style="10" bestFit="1" customWidth="1"/>
    <col min="213" max="213" width="9.33203125" bestFit="1" customWidth="1"/>
    <col min="214" max="214" width="15.6640625" bestFit="1" customWidth="1"/>
    <col min="215" max="215" width="11.21875" style="10" bestFit="1" customWidth="1"/>
    <col min="216" max="216" width="9.33203125" bestFit="1" customWidth="1"/>
    <col min="217" max="217" width="15.6640625" bestFit="1" customWidth="1"/>
    <col min="218" max="218" width="11.21875" style="10" bestFit="1" customWidth="1"/>
    <col min="219" max="219" width="9.33203125" bestFit="1" customWidth="1"/>
    <col min="220" max="220" width="15.6640625" bestFit="1" customWidth="1"/>
    <col min="221" max="221" width="11.21875" style="10" bestFit="1" customWidth="1"/>
    <col min="222" max="222" width="9.33203125" bestFit="1" customWidth="1"/>
    <col min="223" max="223" width="15.6640625" bestFit="1" customWidth="1"/>
    <col min="224" max="224" width="11.21875" style="10" bestFit="1" customWidth="1"/>
    <col min="225" max="225" width="9.33203125" bestFit="1" customWidth="1"/>
    <col min="226" max="226" width="15.6640625" bestFit="1" customWidth="1"/>
    <col min="227" max="227" width="11.21875" style="10" bestFit="1" customWidth="1"/>
    <col min="228" max="228" width="9.33203125" bestFit="1" customWidth="1"/>
    <col min="229" max="229" width="15.6640625" bestFit="1" customWidth="1"/>
    <col min="230" max="230" width="11.21875" style="10" bestFit="1" customWidth="1"/>
    <col min="231" max="231" width="9.33203125" bestFit="1" customWidth="1"/>
    <col min="232" max="232" width="15.6640625" bestFit="1" customWidth="1"/>
    <col min="233" max="233" width="11.21875" bestFit="1" customWidth="1"/>
    <col min="234" max="234" width="9.33203125" bestFit="1" customWidth="1"/>
    <col min="235" max="235" width="15.6640625" bestFit="1" customWidth="1"/>
    <col min="236" max="236" width="11.21875" style="10" bestFit="1" customWidth="1"/>
    <col min="237" max="237" width="9.33203125" bestFit="1" customWidth="1"/>
    <col min="238" max="238" width="15.6640625" bestFit="1" customWidth="1"/>
    <col min="239" max="239" width="11.21875" bestFit="1" customWidth="1"/>
    <col min="240" max="240" width="9.33203125" bestFit="1" customWidth="1"/>
    <col min="241" max="241" width="15.6640625" bestFit="1" customWidth="1"/>
    <col min="242" max="242" width="9.5546875" customWidth="1"/>
    <col min="243" max="243" width="9.33203125" bestFit="1" customWidth="1"/>
    <col min="244" max="244" width="15.6640625" bestFit="1" customWidth="1"/>
    <col min="245" max="245" width="9.33203125" bestFit="1" customWidth="1"/>
    <col min="246" max="246" width="15.6640625" bestFit="1" customWidth="1"/>
    <col min="247" max="247" width="9.33203125" bestFit="1" customWidth="1"/>
    <col min="248" max="248" width="15.6640625" bestFit="1" customWidth="1"/>
    <col min="249" max="249" width="11.21875" bestFit="1" customWidth="1"/>
    <col min="250" max="250" width="9.33203125" bestFit="1" customWidth="1"/>
    <col min="251" max="251" width="15.6640625" bestFit="1" customWidth="1"/>
    <col min="252" max="252" width="9.33203125" bestFit="1" customWidth="1"/>
    <col min="253" max="253" width="15.6640625" customWidth="1"/>
    <col min="254" max="254" width="9.33203125" bestFit="1" customWidth="1"/>
    <col min="255" max="255" width="15.6640625" bestFit="1" customWidth="1"/>
    <col min="256" max="256" width="9.33203125" bestFit="1" customWidth="1"/>
    <col min="257" max="257" width="15.6640625" bestFit="1" customWidth="1"/>
    <col min="258" max="258" width="9.33203125" bestFit="1" customWidth="1"/>
    <col min="259" max="259" width="15.6640625" bestFit="1" customWidth="1"/>
    <col min="260" max="260" width="9.33203125" bestFit="1" customWidth="1"/>
    <col min="261" max="261" width="15.6640625" bestFit="1" customWidth="1"/>
    <col min="262" max="262" width="9.33203125" bestFit="1" customWidth="1"/>
    <col min="263" max="263" width="15.6640625" bestFit="1" customWidth="1"/>
    <col min="264" max="264" width="11.21875" style="10" bestFit="1" customWidth="1"/>
    <col min="265" max="265" width="9.33203125" bestFit="1" customWidth="1"/>
    <col min="266" max="266" width="15.6640625" bestFit="1" customWidth="1"/>
    <col min="267" max="267" width="11.21875" bestFit="1" customWidth="1"/>
    <col min="268" max="268" width="9.33203125" bestFit="1" customWidth="1"/>
    <col min="269" max="269" width="16.5546875" bestFit="1" customWidth="1"/>
    <col min="270" max="270" width="9.33203125" bestFit="1" customWidth="1"/>
    <col min="271" max="271" width="16.5546875" bestFit="1" customWidth="1"/>
    <col min="272" max="272" width="9.33203125" bestFit="1" customWidth="1"/>
    <col min="273" max="273" width="16.5546875" bestFit="1" customWidth="1"/>
    <col min="274" max="274" width="11.21875" bestFit="1" customWidth="1"/>
    <col min="275" max="275" width="9.33203125" bestFit="1" customWidth="1"/>
    <col min="276" max="276" width="16.5546875" bestFit="1" customWidth="1"/>
    <col min="277" max="277" width="9.33203125" bestFit="1" customWidth="1"/>
    <col min="278" max="278" width="16.5546875" bestFit="1" customWidth="1"/>
    <col min="279" max="279" width="11.21875" bestFit="1" customWidth="1"/>
    <col min="280" max="280" width="12.88671875" customWidth="1"/>
    <col min="281" max="281" width="16.5546875" bestFit="1" customWidth="1"/>
    <col min="282" max="282" width="10.109375" bestFit="1" customWidth="1"/>
    <col min="283" max="283" width="16.5546875" bestFit="1" customWidth="1"/>
  </cols>
  <sheetData>
    <row r="1" spans="1:284" s="10" customFormat="1" ht="33" customHeight="1" x14ac:dyDescent="0.3">
      <c r="C1" s="146" t="s">
        <v>62</v>
      </c>
      <c r="D1" s="146"/>
      <c r="F1" s="146" t="s">
        <v>56</v>
      </c>
      <c r="G1" s="146"/>
      <c r="I1" s="146" t="s">
        <v>51</v>
      </c>
      <c r="J1" s="146"/>
      <c r="L1" s="146" t="s">
        <v>36</v>
      </c>
      <c r="M1" s="146"/>
      <c r="O1" s="146" t="s">
        <v>62</v>
      </c>
      <c r="P1" s="146"/>
      <c r="R1" s="146" t="s">
        <v>56</v>
      </c>
      <c r="S1" s="146"/>
      <c r="U1" s="146" t="s">
        <v>51</v>
      </c>
      <c r="V1" s="146"/>
      <c r="X1" s="146" t="s">
        <v>36</v>
      </c>
      <c r="Y1" s="146"/>
      <c r="AA1" s="146" t="s">
        <v>62</v>
      </c>
      <c r="AB1" s="146"/>
      <c r="AD1" s="146" t="s">
        <v>56</v>
      </c>
      <c r="AE1" s="146"/>
      <c r="AG1" s="146" t="s">
        <v>51</v>
      </c>
      <c r="AH1" s="146"/>
      <c r="AJ1" s="146" t="s">
        <v>36</v>
      </c>
      <c r="AK1" s="146"/>
      <c r="AM1" s="146" t="s">
        <v>62</v>
      </c>
      <c r="AN1" s="146"/>
      <c r="AP1" s="146" t="s">
        <v>56</v>
      </c>
      <c r="AQ1" s="146"/>
      <c r="AS1" s="146" t="s">
        <v>51</v>
      </c>
      <c r="AT1" s="146"/>
      <c r="AV1" s="146" t="s">
        <v>36</v>
      </c>
      <c r="AW1" s="146"/>
      <c r="AY1" s="146" t="s">
        <v>62</v>
      </c>
      <c r="AZ1" s="146"/>
      <c r="BB1" s="146" t="s">
        <v>56</v>
      </c>
      <c r="BC1" s="146"/>
      <c r="BE1" s="146" t="s">
        <v>51</v>
      </c>
      <c r="BF1" s="146"/>
      <c r="BH1" s="146" t="s">
        <v>36</v>
      </c>
      <c r="BI1" s="146"/>
      <c r="BK1" s="146" t="s">
        <v>62</v>
      </c>
      <c r="BL1" s="146"/>
      <c r="BN1" s="146" t="s">
        <v>56</v>
      </c>
      <c r="BO1" s="146"/>
      <c r="BQ1" s="146" t="s">
        <v>51</v>
      </c>
      <c r="BR1" s="146"/>
      <c r="BT1" s="146" t="s">
        <v>36</v>
      </c>
      <c r="BU1" s="146"/>
      <c r="BW1" s="146" t="s">
        <v>62</v>
      </c>
      <c r="BX1" s="146"/>
      <c r="BZ1" s="146" t="s">
        <v>56</v>
      </c>
      <c r="CA1" s="146"/>
      <c r="CC1" s="146" t="s">
        <v>51</v>
      </c>
      <c r="CD1" s="146"/>
      <c r="CF1" s="146" t="s">
        <v>36</v>
      </c>
      <c r="CG1" s="146"/>
      <c r="CI1" s="146" t="s">
        <v>62</v>
      </c>
      <c r="CJ1" s="146"/>
      <c r="CL1" s="146" t="s">
        <v>56</v>
      </c>
      <c r="CM1" s="146"/>
      <c r="CO1" s="146" t="s">
        <v>51</v>
      </c>
      <c r="CP1" s="146"/>
      <c r="CR1" s="146" t="s">
        <v>36</v>
      </c>
      <c r="CS1" s="146"/>
      <c r="CU1" s="146" t="s">
        <v>62</v>
      </c>
      <c r="CV1" s="146"/>
      <c r="CX1" s="146" t="s">
        <v>56</v>
      </c>
      <c r="CY1" s="146"/>
      <c r="DA1" s="146" t="s">
        <v>51</v>
      </c>
      <c r="DB1" s="146"/>
      <c r="DD1" s="146" t="s">
        <v>36</v>
      </c>
      <c r="DE1" s="146"/>
      <c r="DG1" s="146" t="s">
        <v>62</v>
      </c>
      <c r="DH1" s="146"/>
      <c r="DJ1" s="146" t="s">
        <v>56</v>
      </c>
      <c r="DK1" s="146"/>
      <c r="DM1" s="146" t="s">
        <v>51</v>
      </c>
      <c r="DN1" s="146"/>
      <c r="DP1" s="146" t="s">
        <v>36</v>
      </c>
      <c r="DQ1" s="146"/>
      <c r="DS1" s="146" t="s">
        <v>62</v>
      </c>
      <c r="DT1" s="146"/>
      <c r="DV1" s="146" t="s">
        <v>56</v>
      </c>
      <c r="DW1" s="146"/>
      <c r="DY1" s="146" t="s">
        <v>51</v>
      </c>
      <c r="DZ1" s="146"/>
      <c r="EB1" s="146" t="s">
        <v>36</v>
      </c>
      <c r="EC1" s="146"/>
      <c r="EE1" s="146" t="s">
        <v>62</v>
      </c>
      <c r="EF1" s="146"/>
      <c r="EH1" s="146" t="s">
        <v>56</v>
      </c>
      <c r="EI1" s="146"/>
      <c r="EK1" s="146" t="s">
        <v>51</v>
      </c>
      <c r="EL1" s="146"/>
      <c r="EN1" s="146" t="s">
        <v>36</v>
      </c>
      <c r="EO1" s="146"/>
      <c r="EQ1" s="146" t="s">
        <v>62</v>
      </c>
      <c r="ER1" s="146"/>
      <c r="ET1" s="146" t="s">
        <v>56</v>
      </c>
      <c r="EU1" s="146"/>
      <c r="EW1" s="146" t="s">
        <v>51</v>
      </c>
      <c r="EX1" s="146"/>
      <c r="EZ1" s="146" t="s">
        <v>36</v>
      </c>
      <c r="FA1" s="146"/>
      <c r="FC1" s="146" t="s">
        <v>62</v>
      </c>
      <c r="FD1" s="146"/>
      <c r="FF1" s="146" t="s">
        <v>56</v>
      </c>
      <c r="FG1" s="146"/>
      <c r="FI1" s="146" t="s">
        <v>51</v>
      </c>
      <c r="FJ1" s="146"/>
      <c r="FL1" s="146" t="s">
        <v>36</v>
      </c>
      <c r="FM1" s="146"/>
      <c r="FO1" s="146" t="s">
        <v>62</v>
      </c>
      <c r="FP1" s="146"/>
      <c r="FR1" s="146" t="s">
        <v>56</v>
      </c>
      <c r="FS1" s="146"/>
      <c r="FU1" s="146" t="s">
        <v>51</v>
      </c>
      <c r="FV1" s="146"/>
      <c r="FX1" s="146" t="s">
        <v>36</v>
      </c>
      <c r="FY1" s="146"/>
      <c r="GA1" s="146" t="s">
        <v>62</v>
      </c>
      <c r="GB1" s="146"/>
      <c r="GD1" s="146" t="s">
        <v>56</v>
      </c>
      <c r="GE1" s="146"/>
      <c r="GG1" s="146" t="s">
        <v>51</v>
      </c>
      <c r="GH1" s="146"/>
      <c r="GJ1" s="146" t="s">
        <v>36</v>
      </c>
      <c r="GK1" s="146"/>
      <c r="GM1" s="146" t="s">
        <v>62</v>
      </c>
      <c r="GN1" s="146"/>
      <c r="GP1" s="146" t="s">
        <v>56</v>
      </c>
      <c r="GQ1" s="146"/>
      <c r="GS1" s="146" t="s">
        <v>51</v>
      </c>
      <c r="GT1" s="146"/>
      <c r="GV1" s="146" t="s">
        <v>36</v>
      </c>
      <c r="GW1" s="146"/>
      <c r="GY1" s="146" t="s">
        <v>62</v>
      </c>
      <c r="GZ1" s="146"/>
      <c r="HB1" s="146" t="s">
        <v>56</v>
      </c>
      <c r="HC1" s="146"/>
      <c r="HE1" s="146" t="s">
        <v>51</v>
      </c>
      <c r="HF1" s="146"/>
      <c r="HH1" s="146" t="s">
        <v>36</v>
      </c>
      <c r="HI1" s="146"/>
      <c r="HK1" s="146" t="s">
        <v>62</v>
      </c>
      <c r="HL1" s="146"/>
      <c r="HN1" s="146" t="s">
        <v>56</v>
      </c>
      <c r="HO1" s="146"/>
      <c r="HQ1" s="146" t="s">
        <v>51</v>
      </c>
      <c r="HR1" s="146"/>
      <c r="HT1" s="146" t="s">
        <v>36</v>
      </c>
      <c r="HU1" s="146"/>
      <c r="HW1" s="146" t="s">
        <v>62</v>
      </c>
      <c r="HX1" s="146"/>
      <c r="HZ1" s="146" t="s">
        <v>56</v>
      </c>
      <c r="IA1" s="146"/>
      <c r="IC1" s="146" t="s">
        <v>51</v>
      </c>
      <c r="ID1" s="146"/>
      <c r="IF1" s="146" t="s">
        <v>36</v>
      </c>
      <c r="IG1" s="146"/>
    </row>
    <row r="2" spans="1:284" s="24" customFormat="1" ht="15.6" customHeight="1" x14ac:dyDescent="0.3">
      <c r="A2" s="106"/>
      <c r="B2" s="107"/>
      <c r="C2" s="144" t="s">
        <v>372</v>
      </c>
      <c r="D2" s="144"/>
      <c r="E2" s="107"/>
      <c r="F2" s="144" t="s">
        <v>372</v>
      </c>
      <c r="G2" s="144"/>
      <c r="H2" s="107"/>
      <c r="I2" s="144" t="s">
        <v>372</v>
      </c>
      <c r="J2" s="144"/>
      <c r="K2" s="107"/>
      <c r="L2" s="144" t="s">
        <v>372</v>
      </c>
      <c r="M2" s="144"/>
      <c r="N2" s="107"/>
      <c r="O2" s="144" t="s">
        <v>392</v>
      </c>
      <c r="P2" s="144"/>
      <c r="Q2" s="107"/>
      <c r="R2" s="144" t="s">
        <v>392</v>
      </c>
      <c r="S2" s="144"/>
      <c r="T2" s="107"/>
      <c r="U2" s="144" t="s">
        <v>392</v>
      </c>
      <c r="V2" s="144"/>
      <c r="W2" s="107"/>
      <c r="X2" s="144" t="s">
        <v>392</v>
      </c>
      <c r="Y2" s="144"/>
      <c r="Z2" s="107"/>
      <c r="AA2" s="144" t="s">
        <v>390</v>
      </c>
      <c r="AB2" s="144"/>
      <c r="AC2" s="107"/>
      <c r="AD2" s="144" t="s">
        <v>390</v>
      </c>
      <c r="AE2" s="144"/>
      <c r="AF2" s="107"/>
      <c r="AG2" s="144" t="s">
        <v>390</v>
      </c>
      <c r="AH2" s="144"/>
      <c r="AI2" s="107"/>
      <c r="AJ2" s="144" t="s">
        <v>390</v>
      </c>
      <c r="AK2" s="144"/>
      <c r="AL2" s="107"/>
      <c r="AM2" s="144" t="s">
        <v>388</v>
      </c>
      <c r="AN2" s="144"/>
      <c r="AO2" s="107"/>
      <c r="AP2" s="144" t="s">
        <v>388</v>
      </c>
      <c r="AQ2" s="144"/>
      <c r="AR2" s="107"/>
      <c r="AS2" s="144" t="s">
        <v>388</v>
      </c>
      <c r="AT2" s="144"/>
      <c r="AU2" s="107"/>
      <c r="AV2" s="144" t="s">
        <v>388</v>
      </c>
      <c r="AW2" s="144"/>
      <c r="AX2" s="107"/>
      <c r="AY2" s="144" t="s">
        <v>386</v>
      </c>
      <c r="AZ2" s="144"/>
      <c r="BA2" s="107"/>
      <c r="BB2" s="144" t="s">
        <v>386</v>
      </c>
      <c r="BC2" s="144"/>
      <c r="BD2" s="107"/>
      <c r="BE2" s="144" t="s">
        <v>386</v>
      </c>
      <c r="BF2" s="144"/>
      <c r="BG2" s="107"/>
      <c r="BH2" s="144" t="s">
        <v>386</v>
      </c>
      <c r="BI2" s="144"/>
      <c r="BJ2" s="107"/>
      <c r="BK2" s="144" t="s">
        <v>383</v>
      </c>
      <c r="BL2" s="144"/>
      <c r="BM2" s="107"/>
      <c r="BN2" s="144" t="s">
        <v>383</v>
      </c>
      <c r="BO2" s="144"/>
      <c r="BP2" s="107"/>
      <c r="BQ2" s="144" t="s">
        <v>383</v>
      </c>
      <c r="BR2" s="144"/>
      <c r="BS2" s="107"/>
      <c r="BT2" s="144" t="s">
        <v>383</v>
      </c>
      <c r="BU2" s="144"/>
      <c r="BV2" s="107"/>
      <c r="BW2" s="144" t="s">
        <v>382</v>
      </c>
      <c r="BX2" s="144"/>
      <c r="BY2" s="107"/>
      <c r="BZ2" s="144" t="s">
        <v>382</v>
      </c>
      <c r="CA2" s="144"/>
      <c r="CB2" s="107"/>
      <c r="CC2" s="144" t="s">
        <v>382</v>
      </c>
      <c r="CD2" s="144"/>
      <c r="CE2" s="107"/>
      <c r="CF2" s="144" t="s">
        <v>382</v>
      </c>
      <c r="CG2" s="144"/>
      <c r="CH2" s="107"/>
      <c r="CI2" s="144" t="s">
        <v>381</v>
      </c>
      <c r="CJ2" s="144"/>
      <c r="CK2" s="107"/>
      <c r="CL2" s="144" t="s">
        <v>381</v>
      </c>
      <c r="CM2" s="144"/>
      <c r="CN2" s="107"/>
      <c r="CO2" s="144" t="s">
        <v>381</v>
      </c>
      <c r="CP2" s="144"/>
      <c r="CQ2" s="107"/>
      <c r="CR2" s="144" t="s">
        <v>381</v>
      </c>
      <c r="CS2" s="144"/>
      <c r="CT2" s="107"/>
      <c r="CU2" s="144" t="s">
        <v>380</v>
      </c>
      <c r="CV2" s="144"/>
      <c r="CW2" s="107"/>
      <c r="CX2" s="144" t="s">
        <v>380</v>
      </c>
      <c r="CY2" s="144"/>
      <c r="CZ2" s="107"/>
      <c r="DA2" s="144" t="s">
        <v>380</v>
      </c>
      <c r="DB2" s="144"/>
      <c r="DC2" s="107"/>
      <c r="DD2" s="144" t="s">
        <v>380</v>
      </c>
      <c r="DE2" s="144"/>
      <c r="DF2" s="107"/>
      <c r="DG2" s="144" t="s">
        <v>379</v>
      </c>
      <c r="DH2" s="144"/>
      <c r="DI2" s="107"/>
      <c r="DJ2" s="144" t="s">
        <v>379</v>
      </c>
      <c r="DK2" s="144"/>
      <c r="DL2" s="107"/>
      <c r="DM2" s="144" t="s">
        <v>379</v>
      </c>
      <c r="DN2" s="144"/>
      <c r="DO2" s="107"/>
      <c r="DP2" s="144" t="s">
        <v>379</v>
      </c>
      <c r="DQ2" s="144"/>
      <c r="DR2" s="107"/>
      <c r="DS2" s="144" t="s">
        <v>378</v>
      </c>
      <c r="DT2" s="144"/>
      <c r="DU2" s="107"/>
      <c r="DV2" s="144" t="s">
        <v>378</v>
      </c>
      <c r="DW2" s="144"/>
      <c r="DX2" s="107"/>
      <c r="DY2" s="144" t="s">
        <v>378</v>
      </c>
      <c r="DZ2" s="144"/>
      <c r="EA2" s="107"/>
      <c r="EB2" s="144" t="s">
        <v>378</v>
      </c>
      <c r="EC2" s="144"/>
      <c r="ED2" s="107"/>
      <c r="EE2" s="144" t="s">
        <v>377</v>
      </c>
      <c r="EF2" s="144"/>
      <c r="EG2" s="107"/>
      <c r="EH2" s="144" t="s">
        <v>377</v>
      </c>
      <c r="EI2" s="144"/>
      <c r="EJ2" s="107"/>
      <c r="EK2" s="144" t="s">
        <v>377</v>
      </c>
      <c r="EL2" s="144"/>
      <c r="EM2" s="107"/>
      <c r="EN2" s="144" t="s">
        <v>377</v>
      </c>
      <c r="EO2" s="144"/>
      <c r="EP2" s="107"/>
      <c r="EQ2" s="144" t="s">
        <v>376</v>
      </c>
      <c r="ER2" s="144"/>
      <c r="ES2" s="107"/>
      <c r="ET2" s="144" t="s">
        <v>376</v>
      </c>
      <c r="EU2" s="144"/>
      <c r="EV2" s="107"/>
      <c r="EW2" s="144" t="s">
        <v>376</v>
      </c>
      <c r="EX2" s="144"/>
      <c r="EY2" s="107"/>
      <c r="EZ2" s="144" t="s">
        <v>376</v>
      </c>
      <c r="FA2" s="144"/>
      <c r="FB2" s="107"/>
      <c r="FC2" s="144" t="s">
        <v>375</v>
      </c>
      <c r="FD2" s="144"/>
      <c r="FE2" s="107"/>
      <c r="FF2" s="144" t="s">
        <v>375</v>
      </c>
      <c r="FG2" s="144"/>
      <c r="FH2" s="107"/>
      <c r="FI2" s="144" t="s">
        <v>375</v>
      </c>
      <c r="FJ2" s="144"/>
      <c r="FK2" s="107"/>
      <c r="FL2" s="144" t="s">
        <v>375</v>
      </c>
      <c r="FM2" s="144"/>
      <c r="FN2" s="107"/>
      <c r="FO2" s="144" t="s">
        <v>345</v>
      </c>
      <c r="FP2" s="144"/>
      <c r="FQ2" s="107"/>
      <c r="FR2" s="144" t="s">
        <v>345</v>
      </c>
      <c r="FS2" s="144"/>
      <c r="FT2" s="107"/>
      <c r="FU2" s="144" t="s">
        <v>345</v>
      </c>
      <c r="FV2" s="144"/>
      <c r="FW2" s="107"/>
      <c r="FX2" s="144" t="s">
        <v>345</v>
      </c>
      <c r="FY2" s="144"/>
      <c r="FZ2" s="107"/>
      <c r="GA2" s="144" t="s">
        <v>346</v>
      </c>
      <c r="GB2" s="144"/>
      <c r="GC2" s="107"/>
      <c r="GD2" s="144" t="s">
        <v>346</v>
      </c>
      <c r="GE2" s="144"/>
      <c r="GF2" s="107"/>
      <c r="GG2" s="144" t="s">
        <v>346</v>
      </c>
      <c r="GH2" s="144"/>
      <c r="GI2" s="107"/>
      <c r="GJ2" s="144" t="s">
        <v>346</v>
      </c>
      <c r="GK2" s="144"/>
      <c r="GL2" s="107"/>
      <c r="GM2" s="144" t="s">
        <v>35</v>
      </c>
      <c r="GN2" s="144"/>
      <c r="GO2" s="107"/>
      <c r="GP2" s="144" t="s">
        <v>35</v>
      </c>
      <c r="GQ2" s="144"/>
      <c r="GR2" s="107"/>
      <c r="GS2" s="144" t="s">
        <v>35</v>
      </c>
      <c r="GT2" s="144"/>
      <c r="GU2" s="107"/>
      <c r="GV2" s="144" t="s">
        <v>35</v>
      </c>
      <c r="GW2" s="144"/>
      <c r="GX2" s="107"/>
      <c r="GY2" s="144" t="s">
        <v>90</v>
      </c>
      <c r="GZ2" s="144"/>
      <c r="HA2" s="107"/>
      <c r="HB2" s="144" t="s">
        <v>90</v>
      </c>
      <c r="HC2" s="144"/>
      <c r="HD2" s="107"/>
      <c r="HE2" s="144" t="s">
        <v>90</v>
      </c>
      <c r="HF2" s="144"/>
      <c r="HG2" s="107"/>
      <c r="HH2" s="144" t="s">
        <v>90</v>
      </c>
      <c r="HI2" s="144"/>
      <c r="HJ2" s="107"/>
      <c r="HK2" s="144" t="s">
        <v>88</v>
      </c>
      <c r="HL2" s="144"/>
      <c r="HM2" s="107"/>
      <c r="HN2" s="144" t="s">
        <v>88</v>
      </c>
      <c r="HO2" s="144"/>
      <c r="HP2" s="107"/>
      <c r="HQ2" s="144" t="s">
        <v>88</v>
      </c>
      <c r="HR2" s="144"/>
      <c r="HS2" s="107"/>
      <c r="HT2" s="144" t="s">
        <v>88</v>
      </c>
      <c r="HU2" s="144"/>
      <c r="HV2" s="107"/>
      <c r="HW2" s="144" t="s">
        <v>89</v>
      </c>
      <c r="HX2" s="144"/>
      <c r="HY2" s="107"/>
      <c r="HZ2" s="144" t="s">
        <v>89</v>
      </c>
      <c r="IA2" s="144"/>
      <c r="IB2" s="107"/>
      <c r="IC2" s="144" t="s">
        <v>89</v>
      </c>
      <c r="ID2" s="144"/>
      <c r="IE2" s="107"/>
      <c r="IF2" s="144" t="s">
        <v>89</v>
      </c>
      <c r="IG2" s="144"/>
      <c r="IH2" s="107"/>
      <c r="II2" s="144" t="s">
        <v>33</v>
      </c>
      <c r="IJ2" s="144"/>
      <c r="IK2" s="144" t="s">
        <v>32</v>
      </c>
      <c r="IL2" s="144"/>
      <c r="IM2" s="144" t="s">
        <v>31</v>
      </c>
      <c r="IN2" s="144"/>
      <c r="IO2" s="107"/>
      <c r="IP2" s="144" t="s">
        <v>87</v>
      </c>
      <c r="IQ2" s="144"/>
      <c r="IR2" s="144" t="s">
        <v>84</v>
      </c>
      <c r="IS2" s="144"/>
      <c r="IT2" s="144" t="s">
        <v>85</v>
      </c>
      <c r="IU2" s="144"/>
      <c r="IV2" s="144" t="s">
        <v>83</v>
      </c>
      <c r="IW2" s="144"/>
      <c r="IX2" s="144" t="s">
        <v>30</v>
      </c>
      <c r="IY2" s="144"/>
      <c r="IZ2" s="144" t="s">
        <v>29</v>
      </c>
      <c r="JA2" s="144"/>
      <c r="JB2" s="144" t="s">
        <v>28</v>
      </c>
      <c r="JC2" s="144"/>
      <c r="JD2" s="107"/>
      <c r="JE2" s="144" t="s">
        <v>3</v>
      </c>
      <c r="JF2" s="144"/>
      <c r="JH2" s="144" t="s">
        <v>4</v>
      </c>
      <c r="JI2" s="144"/>
      <c r="JJ2" s="144" t="s">
        <v>5</v>
      </c>
      <c r="JK2" s="144"/>
      <c r="JL2" s="144" t="s">
        <v>10</v>
      </c>
      <c r="JM2" s="144"/>
      <c r="JO2" s="144" t="s">
        <v>12</v>
      </c>
      <c r="JP2" s="144"/>
      <c r="JQ2" s="144" t="s">
        <v>13</v>
      </c>
      <c r="JR2" s="144"/>
      <c r="JT2" s="144" t="s">
        <v>14</v>
      </c>
      <c r="JU2" s="144"/>
      <c r="JV2" s="144" t="s">
        <v>15</v>
      </c>
      <c r="JW2" s="144"/>
    </row>
    <row r="3" spans="1:284" s="24" customFormat="1" ht="15.6" hidden="1" x14ac:dyDescent="0.3">
      <c r="A3" s="1"/>
      <c r="B3" s="145"/>
      <c r="C3" s="147">
        <v>1888</v>
      </c>
      <c r="D3" s="147"/>
      <c r="E3" s="145"/>
      <c r="F3" s="147">
        <v>1888</v>
      </c>
      <c r="G3" s="147"/>
      <c r="H3" s="145"/>
      <c r="I3" s="147">
        <v>1888</v>
      </c>
      <c r="J3" s="147"/>
      <c r="K3" s="145"/>
      <c r="L3" s="147">
        <v>1888</v>
      </c>
      <c r="M3" s="147"/>
      <c r="N3" s="145"/>
      <c r="O3" s="147">
        <v>1888</v>
      </c>
      <c r="P3" s="147"/>
      <c r="Q3" s="145"/>
      <c r="R3" s="147">
        <v>1888</v>
      </c>
      <c r="S3" s="147"/>
      <c r="T3" s="145"/>
      <c r="U3" s="147">
        <v>1888</v>
      </c>
      <c r="V3" s="147"/>
      <c r="W3" s="145"/>
      <c r="X3" s="147">
        <v>1888</v>
      </c>
      <c r="Y3" s="147"/>
      <c r="Z3" s="145"/>
      <c r="AA3" s="147">
        <v>1888</v>
      </c>
      <c r="AB3" s="147"/>
      <c r="AC3" s="145"/>
      <c r="AD3" s="147">
        <v>1888</v>
      </c>
      <c r="AE3" s="147"/>
      <c r="AF3" s="145"/>
      <c r="AG3" s="147">
        <v>1888</v>
      </c>
      <c r="AH3" s="147"/>
      <c r="AI3" s="145"/>
      <c r="AJ3" s="147">
        <v>1888</v>
      </c>
      <c r="AK3" s="147"/>
      <c r="AL3" s="145"/>
      <c r="AM3" s="147">
        <v>1888</v>
      </c>
      <c r="AN3" s="147"/>
      <c r="AO3" s="145"/>
      <c r="AP3" s="147">
        <v>1888</v>
      </c>
      <c r="AQ3" s="147"/>
      <c r="AR3" s="145"/>
      <c r="AS3" s="147">
        <v>1888</v>
      </c>
      <c r="AT3" s="147"/>
      <c r="AU3" s="145"/>
      <c r="AV3" s="147">
        <v>1888</v>
      </c>
      <c r="AW3" s="147"/>
      <c r="AX3" s="145"/>
      <c r="AY3" s="147">
        <v>1888</v>
      </c>
      <c r="AZ3" s="147"/>
      <c r="BA3" s="145"/>
      <c r="BB3" s="147">
        <v>1888</v>
      </c>
      <c r="BC3" s="147"/>
      <c r="BD3" s="145"/>
      <c r="BE3" s="147">
        <v>1888</v>
      </c>
      <c r="BF3" s="147"/>
      <c r="BG3" s="145"/>
      <c r="BH3" s="147">
        <v>1888</v>
      </c>
      <c r="BI3" s="147"/>
      <c r="BJ3" s="145"/>
      <c r="BK3" s="147">
        <v>1888</v>
      </c>
      <c r="BL3" s="147"/>
      <c r="BM3" s="145"/>
      <c r="BN3" s="147">
        <v>1888</v>
      </c>
      <c r="BO3" s="147"/>
      <c r="BP3" s="145"/>
      <c r="BQ3" s="147">
        <v>1888</v>
      </c>
      <c r="BR3" s="147"/>
      <c r="BS3" s="145"/>
      <c r="BT3" s="147">
        <v>1888</v>
      </c>
      <c r="BU3" s="147"/>
      <c r="BV3" s="145"/>
      <c r="BW3" s="147">
        <v>1888</v>
      </c>
      <c r="BX3" s="147"/>
      <c r="BY3" s="145"/>
      <c r="BZ3" s="147">
        <v>1888</v>
      </c>
      <c r="CA3" s="147"/>
      <c r="CB3" s="145"/>
      <c r="CC3" s="147">
        <v>1888</v>
      </c>
      <c r="CD3" s="147"/>
      <c r="CE3" s="145"/>
      <c r="CF3" s="147">
        <v>1888</v>
      </c>
      <c r="CG3" s="147"/>
      <c r="CH3" s="145"/>
      <c r="CI3" s="147">
        <v>1888</v>
      </c>
      <c r="CJ3" s="147"/>
      <c r="CK3" s="145"/>
      <c r="CL3" s="147">
        <v>1888</v>
      </c>
      <c r="CM3" s="147"/>
      <c r="CN3" s="145"/>
      <c r="CO3" s="147">
        <v>1888</v>
      </c>
      <c r="CP3" s="147"/>
      <c r="CQ3" s="145"/>
      <c r="CR3" s="147">
        <v>1888</v>
      </c>
      <c r="CS3" s="147"/>
      <c r="CT3" s="145"/>
      <c r="CU3" s="147">
        <v>1888</v>
      </c>
      <c r="CV3" s="147"/>
      <c r="CW3" s="145"/>
      <c r="CX3" s="147">
        <v>1888</v>
      </c>
      <c r="CY3" s="147"/>
      <c r="CZ3" s="145"/>
      <c r="DA3" s="147">
        <v>1888</v>
      </c>
      <c r="DB3" s="147"/>
      <c r="DC3" s="145"/>
      <c r="DD3" s="147">
        <v>1888</v>
      </c>
      <c r="DE3" s="147"/>
      <c r="DF3" s="145"/>
      <c r="DG3" s="147">
        <v>1888</v>
      </c>
      <c r="DH3" s="147"/>
      <c r="DI3" s="145"/>
      <c r="DJ3" s="147">
        <v>1888</v>
      </c>
      <c r="DK3" s="147"/>
      <c r="DL3" s="145"/>
      <c r="DM3" s="147">
        <v>1888</v>
      </c>
      <c r="DN3" s="147"/>
      <c r="DO3" s="145"/>
      <c r="DP3" s="147">
        <v>1888</v>
      </c>
      <c r="DQ3" s="147"/>
      <c r="DR3" s="145"/>
      <c r="DS3" s="147">
        <v>1888</v>
      </c>
      <c r="DT3" s="147"/>
      <c r="DU3" s="145"/>
      <c r="DV3" s="147">
        <v>1888</v>
      </c>
      <c r="DW3" s="147"/>
      <c r="DX3" s="145"/>
      <c r="DY3" s="147">
        <v>1888</v>
      </c>
      <c r="DZ3" s="147"/>
      <c r="EA3" s="145"/>
      <c r="EB3" s="147">
        <v>1888</v>
      </c>
      <c r="EC3" s="147"/>
      <c r="ED3" s="145"/>
      <c r="EE3" s="147">
        <v>1888</v>
      </c>
      <c r="EF3" s="147"/>
      <c r="EG3" s="145"/>
      <c r="EH3" s="147">
        <v>1888</v>
      </c>
      <c r="EI3" s="147"/>
      <c r="EJ3" s="145"/>
      <c r="EK3" s="147">
        <v>1888</v>
      </c>
      <c r="EL3" s="147"/>
      <c r="EM3" s="145"/>
      <c r="EN3" s="147">
        <v>1888</v>
      </c>
      <c r="EO3" s="147"/>
      <c r="EP3" s="145"/>
      <c r="EQ3" s="147">
        <v>1888</v>
      </c>
      <c r="ER3" s="147"/>
      <c r="ES3" s="145"/>
      <c r="ET3" s="147">
        <v>1888</v>
      </c>
      <c r="EU3" s="147"/>
      <c r="EV3" s="145"/>
      <c r="EW3" s="147">
        <v>1888</v>
      </c>
      <c r="EX3" s="147"/>
      <c r="EY3" s="145"/>
      <c r="EZ3" s="147">
        <v>1888</v>
      </c>
      <c r="FA3" s="147"/>
      <c r="FB3" s="145"/>
      <c r="FC3" s="147">
        <v>1888</v>
      </c>
      <c r="FD3" s="147"/>
      <c r="FE3" s="145"/>
      <c r="FF3" s="147">
        <v>1888</v>
      </c>
      <c r="FG3" s="147"/>
      <c r="FH3" s="145"/>
      <c r="FI3" s="147">
        <v>1888</v>
      </c>
      <c r="FJ3" s="147"/>
      <c r="FK3" s="145"/>
      <c r="FL3" s="147">
        <v>1888</v>
      </c>
      <c r="FM3" s="147"/>
      <c r="FN3" s="145"/>
      <c r="FO3" s="147">
        <v>1888</v>
      </c>
      <c r="FP3" s="147"/>
      <c r="FQ3" s="145"/>
      <c r="FR3" s="147">
        <v>1888</v>
      </c>
      <c r="FS3" s="147"/>
      <c r="FT3" s="145"/>
      <c r="FU3" s="147">
        <v>1888</v>
      </c>
      <c r="FV3" s="147"/>
      <c r="FW3" s="145"/>
      <c r="FX3" s="147">
        <v>1888</v>
      </c>
      <c r="FY3" s="147"/>
      <c r="FZ3" s="145"/>
      <c r="GA3" s="147">
        <v>1889</v>
      </c>
      <c r="GB3" s="147"/>
      <c r="GC3" s="145"/>
      <c r="GD3" s="147">
        <v>1889</v>
      </c>
      <c r="GE3" s="147"/>
      <c r="GF3" s="145"/>
      <c r="GG3" s="147">
        <v>1889</v>
      </c>
      <c r="GH3" s="147"/>
      <c r="GI3" s="145"/>
      <c r="GJ3" s="147">
        <v>1889</v>
      </c>
      <c r="GK3" s="147"/>
      <c r="GL3" s="145"/>
      <c r="GM3" s="147">
        <v>1890</v>
      </c>
      <c r="GN3" s="147"/>
      <c r="GO3" s="148"/>
      <c r="GP3" s="147">
        <v>1890</v>
      </c>
      <c r="GQ3" s="147"/>
      <c r="GR3" s="148"/>
      <c r="GS3" s="147">
        <v>1890</v>
      </c>
      <c r="GT3" s="147"/>
      <c r="GU3" s="148"/>
      <c r="GV3" s="147">
        <v>1890</v>
      </c>
      <c r="GW3" s="147"/>
      <c r="GX3" s="145"/>
      <c r="GY3" s="147">
        <v>1891</v>
      </c>
      <c r="GZ3" s="147"/>
      <c r="HA3" s="145"/>
      <c r="HB3" s="147">
        <v>1891</v>
      </c>
      <c r="HC3" s="147"/>
      <c r="HD3" s="145"/>
      <c r="HE3" s="147">
        <v>1891</v>
      </c>
      <c r="HF3" s="147"/>
      <c r="HG3" s="145"/>
      <c r="HH3" s="147">
        <v>1891</v>
      </c>
      <c r="HI3" s="147"/>
      <c r="HJ3" s="145"/>
      <c r="HK3" s="147">
        <v>1892</v>
      </c>
      <c r="HL3" s="147"/>
      <c r="HM3" s="145"/>
      <c r="HN3" s="147">
        <v>1892</v>
      </c>
      <c r="HO3" s="147"/>
      <c r="HP3" s="145"/>
      <c r="HQ3" s="147">
        <v>1892</v>
      </c>
      <c r="HR3" s="147"/>
      <c r="HS3" s="145"/>
      <c r="HT3" s="147">
        <v>1892</v>
      </c>
      <c r="HU3" s="147"/>
      <c r="HV3" s="145"/>
      <c r="HW3" s="147">
        <v>1893</v>
      </c>
      <c r="HX3" s="147"/>
      <c r="HY3" s="148"/>
      <c r="HZ3" s="147">
        <v>1893</v>
      </c>
      <c r="IA3" s="147"/>
      <c r="IB3" s="145"/>
      <c r="IC3" s="147">
        <v>1893</v>
      </c>
      <c r="ID3" s="147"/>
      <c r="IE3" s="148"/>
      <c r="IF3" s="147">
        <v>1893</v>
      </c>
      <c r="IG3" s="147"/>
      <c r="IH3" s="148"/>
      <c r="II3" s="147">
        <v>1894</v>
      </c>
      <c r="IJ3" s="147"/>
      <c r="IK3" s="147">
        <v>1895</v>
      </c>
      <c r="IL3" s="147"/>
      <c r="IM3" s="147">
        <v>1896</v>
      </c>
      <c r="IN3" s="147"/>
      <c r="IO3" s="148"/>
      <c r="IP3" s="147">
        <v>1897</v>
      </c>
      <c r="IQ3" s="147"/>
      <c r="IR3" s="147">
        <v>1898</v>
      </c>
      <c r="IS3" s="147"/>
      <c r="IT3" s="147">
        <v>1899</v>
      </c>
      <c r="IU3" s="147"/>
      <c r="IV3" s="147">
        <v>1900</v>
      </c>
      <c r="IW3" s="147"/>
      <c r="IX3" s="147">
        <v>1901</v>
      </c>
      <c r="IY3" s="147"/>
      <c r="IZ3" s="147">
        <v>1902</v>
      </c>
      <c r="JA3" s="147"/>
      <c r="JB3" s="147">
        <v>1903</v>
      </c>
      <c r="JC3" s="147"/>
      <c r="JD3" s="145"/>
      <c r="JE3" s="147">
        <v>1904</v>
      </c>
      <c r="JF3" s="147"/>
      <c r="JG3" s="148"/>
      <c r="JH3" s="147">
        <v>1905</v>
      </c>
      <c r="JI3" s="147"/>
      <c r="JJ3" s="147">
        <v>1906</v>
      </c>
      <c r="JK3" s="147"/>
      <c r="JL3" s="147">
        <v>1907</v>
      </c>
      <c r="JM3" s="147"/>
      <c r="JN3" s="148"/>
      <c r="JO3" s="147">
        <v>1908</v>
      </c>
      <c r="JP3" s="147"/>
      <c r="JQ3" s="147">
        <v>1909</v>
      </c>
      <c r="JR3" s="147"/>
      <c r="JS3" s="148"/>
      <c r="JT3" s="147">
        <v>1910</v>
      </c>
      <c r="JU3" s="147"/>
      <c r="JV3" s="147">
        <v>1911</v>
      </c>
      <c r="JW3" s="147"/>
    </row>
    <row r="4" spans="1:284" s="24" customFormat="1" ht="15.6" x14ac:dyDescent="0.3">
      <c r="A4" s="2" t="s">
        <v>0</v>
      </c>
      <c r="B4" s="145"/>
      <c r="C4" s="25" t="s">
        <v>2</v>
      </c>
      <c r="D4" s="26" t="s">
        <v>11</v>
      </c>
      <c r="E4" s="145"/>
      <c r="F4" s="25" t="s">
        <v>2</v>
      </c>
      <c r="G4" s="26" t="s">
        <v>11</v>
      </c>
      <c r="H4" s="145"/>
      <c r="I4" s="25" t="s">
        <v>2</v>
      </c>
      <c r="J4" s="26" t="s">
        <v>11</v>
      </c>
      <c r="K4" s="145"/>
      <c r="L4" s="25" t="s">
        <v>2</v>
      </c>
      <c r="M4" s="26" t="s">
        <v>11</v>
      </c>
      <c r="N4" s="145"/>
      <c r="O4" s="25" t="s">
        <v>2</v>
      </c>
      <c r="P4" s="26" t="s">
        <v>11</v>
      </c>
      <c r="Q4" s="145"/>
      <c r="R4" s="25" t="s">
        <v>2</v>
      </c>
      <c r="S4" s="26" t="s">
        <v>11</v>
      </c>
      <c r="T4" s="145"/>
      <c r="U4" s="25" t="s">
        <v>2</v>
      </c>
      <c r="V4" s="26" t="s">
        <v>11</v>
      </c>
      <c r="W4" s="145"/>
      <c r="X4" s="25" t="s">
        <v>2</v>
      </c>
      <c r="Y4" s="26" t="s">
        <v>11</v>
      </c>
      <c r="Z4" s="145"/>
      <c r="AA4" s="25" t="s">
        <v>2</v>
      </c>
      <c r="AB4" s="26" t="s">
        <v>11</v>
      </c>
      <c r="AC4" s="145"/>
      <c r="AD4" s="25" t="s">
        <v>2</v>
      </c>
      <c r="AE4" s="26" t="s">
        <v>11</v>
      </c>
      <c r="AF4" s="145"/>
      <c r="AG4" s="25" t="s">
        <v>2</v>
      </c>
      <c r="AH4" s="26" t="s">
        <v>11</v>
      </c>
      <c r="AI4" s="145"/>
      <c r="AJ4" s="25" t="s">
        <v>2</v>
      </c>
      <c r="AK4" s="26" t="s">
        <v>11</v>
      </c>
      <c r="AL4" s="145"/>
      <c r="AM4" s="25" t="s">
        <v>2</v>
      </c>
      <c r="AN4" s="26" t="s">
        <v>11</v>
      </c>
      <c r="AO4" s="145"/>
      <c r="AP4" s="25" t="s">
        <v>2</v>
      </c>
      <c r="AQ4" s="26" t="s">
        <v>11</v>
      </c>
      <c r="AR4" s="145"/>
      <c r="AS4" s="25" t="s">
        <v>2</v>
      </c>
      <c r="AT4" s="26" t="s">
        <v>11</v>
      </c>
      <c r="AU4" s="145"/>
      <c r="AV4" s="25" t="s">
        <v>2</v>
      </c>
      <c r="AW4" s="26" t="s">
        <v>11</v>
      </c>
      <c r="AX4" s="145"/>
      <c r="AY4" s="25" t="s">
        <v>2</v>
      </c>
      <c r="AZ4" s="26" t="s">
        <v>11</v>
      </c>
      <c r="BA4" s="145"/>
      <c r="BB4" s="25" t="s">
        <v>2</v>
      </c>
      <c r="BC4" s="26" t="s">
        <v>11</v>
      </c>
      <c r="BD4" s="145"/>
      <c r="BE4" s="25" t="s">
        <v>2</v>
      </c>
      <c r="BF4" s="26" t="s">
        <v>11</v>
      </c>
      <c r="BG4" s="145"/>
      <c r="BH4" s="25" t="s">
        <v>2</v>
      </c>
      <c r="BI4" s="26" t="s">
        <v>11</v>
      </c>
      <c r="BJ4" s="145"/>
      <c r="BK4" s="25" t="s">
        <v>2</v>
      </c>
      <c r="BL4" s="26" t="s">
        <v>11</v>
      </c>
      <c r="BM4" s="145"/>
      <c r="BN4" s="25" t="s">
        <v>2</v>
      </c>
      <c r="BO4" s="26" t="s">
        <v>11</v>
      </c>
      <c r="BP4" s="145"/>
      <c r="BQ4" s="25" t="s">
        <v>2</v>
      </c>
      <c r="BR4" s="26" t="s">
        <v>11</v>
      </c>
      <c r="BS4" s="145"/>
      <c r="BT4" s="25" t="s">
        <v>2</v>
      </c>
      <c r="BU4" s="26" t="s">
        <v>11</v>
      </c>
      <c r="BV4" s="145"/>
      <c r="BW4" s="25" t="s">
        <v>2</v>
      </c>
      <c r="BX4" s="26" t="s">
        <v>11</v>
      </c>
      <c r="BY4" s="145"/>
      <c r="BZ4" s="25" t="s">
        <v>2</v>
      </c>
      <c r="CA4" s="26" t="s">
        <v>11</v>
      </c>
      <c r="CB4" s="145"/>
      <c r="CC4" s="25" t="s">
        <v>2</v>
      </c>
      <c r="CD4" s="26" t="s">
        <v>11</v>
      </c>
      <c r="CE4" s="145"/>
      <c r="CF4" s="25" t="s">
        <v>2</v>
      </c>
      <c r="CG4" s="26" t="s">
        <v>11</v>
      </c>
      <c r="CH4" s="145"/>
      <c r="CI4" s="25" t="s">
        <v>2</v>
      </c>
      <c r="CJ4" s="26" t="s">
        <v>11</v>
      </c>
      <c r="CK4" s="145"/>
      <c r="CL4" s="25" t="s">
        <v>2</v>
      </c>
      <c r="CM4" s="26" t="s">
        <v>11</v>
      </c>
      <c r="CN4" s="145"/>
      <c r="CO4" s="25" t="s">
        <v>2</v>
      </c>
      <c r="CP4" s="26" t="s">
        <v>11</v>
      </c>
      <c r="CQ4" s="145"/>
      <c r="CR4" s="25" t="s">
        <v>2</v>
      </c>
      <c r="CS4" s="26" t="s">
        <v>11</v>
      </c>
      <c r="CT4" s="145"/>
      <c r="CU4" s="25" t="s">
        <v>2</v>
      </c>
      <c r="CV4" s="26" t="s">
        <v>11</v>
      </c>
      <c r="CW4" s="145"/>
      <c r="CX4" s="25" t="s">
        <v>2</v>
      </c>
      <c r="CY4" s="26" t="s">
        <v>11</v>
      </c>
      <c r="CZ4" s="145"/>
      <c r="DA4" s="25" t="s">
        <v>2</v>
      </c>
      <c r="DB4" s="26" t="s">
        <v>11</v>
      </c>
      <c r="DC4" s="145"/>
      <c r="DD4" s="25" t="s">
        <v>2</v>
      </c>
      <c r="DE4" s="26" t="s">
        <v>11</v>
      </c>
      <c r="DF4" s="145"/>
      <c r="DG4" s="25" t="s">
        <v>2</v>
      </c>
      <c r="DH4" s="26" t="s">
        <v>11</v>
      </c>
      <c r="DI4" s="145"/>
      <c r="DJ4" s="25" t="s">
        <v>2</v>
      </c>
      <c r="DK4" s="26" t="s">
        <v>11</v>
      </c>
      <c r="DL4" s="145"/>
      <c r="DM4" s="25" t="s">
        <v>2</v>
      </c>
      <c r="DN4" s="26" t="s">
        <v>11</v>
      </c>
      <c r="DO4" s="145"/>
      <c r="DP4" s="25" t="s">
        <v>2</v>
      </c>
      <c r="DQ4" s="26" t="s">
        <v>11</v>
      </c>
      <c r="DR4" s="145"/>
      <c r="DS4" s="25" t="s">
        <v>2</v>
      </c>
      <c r="DT4" s="26" t="s">
        <v>11</v>
      </c>
      <c r="DU4" s="145"/>
      <c r="DV4" s="25" t="s">
        <v>2</v>
      </c>
      <c r="DW4" s="26" t="s">
        <v>11</v>
      </c>
      <c r="DX4" s="145"/>
      <c r="DY4" s="25" t="s">
        <v>2</v>
      </c>
      <c r="DZ4" s="26" t="s">
        <v>11</v>
      </c>
      <c r="EA4" s="145"/>
      <c r="EB4" s="25" t="s">
        <v>2</v>
      </c>
      <c r="EC4" s="26" t="s">
        <v>11</v>
      </c>
      <c r="ED4" s="145"/>
      <c r="EE4" s="25" t="s">
        <v>2</v>
      </c>
      <c r="EF4" s="26" t="s">
        <v>11</v>
      </c>
      <c r="EG4" s="145"/>
      <c r="EH4" s="25" t="s">
        <v>2</v>
      </c>
      <c r="EI4" s="26" t="s">
        <v>11</v>
      </c>
      <c r="EJ4" s="145"/>
      <c r="EK4" s="25" t="s">
        <v>2</v>
      </c>
      <c r="EL4" s="26" t="s">
        <v>11</v>
      </c>
      <c r="EM4" s="145"/>
      <c r="EN4" s="25" t="s">
        <v>2</v>
      </c>
      <c r="EO4" s="26" t="s">
        <v>11</v>
      </c>
      <c r="EP4" s="145"/>
      <c r="EQ4" s="25" t="s">
        <v>2</v>
      </c>
      <c r="ER4" s="26" t="s">
        <v>11</v>
      </c>
      <c r="ES4" s="145"/>
      <c r="ET4" s="25" t="s">
        <v>2</v>
      </c>
      <c r="EU4" s="26" t="s">
        <v>11</v>
      </c>
      <c r="EV4" s="145"/>
      <c r="EW4" s="25" t="s">
        <v>2</v>
      </c>
      <c r="EX4" s="26" t="s">
        <v>11</v>
      </c>
      <c r="EY4" s="145"/>
      <c r="EZ4" s="25" t="s">
        <v>2</v>
      </c>
      <c r="FA4" s="26" t="s">
        <v>11</v>
      </c>
      <c r="FB4" s="145"/>
      <c r="FC4" s="25" t="s">
        <v>2</v>
      </c>
      <c r="FD4" s="26" t="s">
        <v>11</v>
      </c>
      <c r="FE4" s="145"/>
      <c r="FF4" s="25" t="s">
        <v>2</v>
      </c>
      <c r="FG4" s="26" t="s">
        <v>11</v>
      </c>
      <c r="FH4" s="145"/>
      <c r="FI4" s="25" t="s">
        <v>2</v>
      </c>
      <c r="FJ4" s="26" t="s">
        <v>11</v>
      </c>
      <c r="FK4" s="145"/>
      <c r="FL4" s="25" t="s">
        <v>2</v>
      </c>
      <c r="FM4" s="26" t="s">
        <v>11</v>
      </c>
      <c r="FN4" s="145"/>
      <c r="FO4" s="25" t="s">
        <v>2</v>
      </c>
      <c r="FP4" s="26" t="s">
        <v>11</v>
      </c>
      <c r="FQ4" s="145"/>
      <c r="FR4" s="25" t="s">
        <v>2</v>
      </c>
      <c r="FS4" s="26" t="s">
        <v>11</v>
      </c>
      <c r="FT4" s="145"/>
      <c r="FU4" s="25" t="s">
        <v>2</v>
      </c>
      <c r="FV4" s="26" t="s">
        <v>11</v>
      </c>
      <c r="FW4" s="145"/>
      <c r="FX4" s="25" t="s">
        <v>2</v>
      </c>
      <c r="FY4" s="26" t="s">
        <v>11</v>
      </c>
      <c r="FZ4" s="145"/>
      <c r="GA4" s="25" t="s">
        <v>2</v>
      </c>
      <c r="GB4" s="26" t="s">
        <v>11</v>
      </c>
      <c r="GC4" s="145"/>
      <c r="GD4" s="25" t="s">
        <v>2</v>
      </c>
      <c r="GE4" s="26" t="s">
        <v>11</v>
      </c>
      <c r="GF4" s="145"/>
      <c r="GG4" s="25" t="s">
        <v>2</v>
      </c>
      <c r="GH4" s="26" t="s">
        <v>11</v>
      </c>
      <c r="GI4" s="145"/>
      <c r="GJ4" s="25" t="s">
        <v>2</v>
      </c>
      <c r="GK4" s="26" t="s">
        <v>11</v>
      </c>
      <c r="GL4" s="145"/>
      <c r="GM4" s="25" t="s">
        <v>2</v>
      </c>
      <c r="GN4" s="26" t="s">
        <v>11</v>
      </c>
      <c r="GO4" s="148"/>
      <c r="GP4" s="25" t="s">
        <v>2</v>
      </c>
      <c r="GQ4" s="26" t="s">
        <v>11</v>
      </c>
      <c r="GR4" s="148"/>
      <c r="GS4" s="25" t="s">
        <v>2</v>
      </c>
      <c r="GT4" s="26" t="s">
        <v>11</v>
      </c>
      <c r="GU4" s="148"/>
      <c r="GV4" s="25" t="s">
        <v>2</v>
      </c>
      <c r="GW4" s="26" t="s">
        <v>11</v>
      </c>
      <c r="GX4" s="145"/>
      <c r="GY4" s="25" t="s">
        <v>2</v>
      </c>
      <c r="GZ4" s="26" t="s">
        <v>11</v>
      </c>
      <c r="HA4" s="145"/>
      <c r="HB4" s="25" t="s">
        <v>2</v>
      </c>
      <c r="HC4" s="26" t="s">
        <v>11</v>
      </c>
      <c r="HD4" s="145"/>
      <c r="HE4" s="25" t="s">
        <v>2</v>
      </c>
      <c r="HF4" s="26" t="s">
        <v>11</v>
      </c>
      <c r="HG4" s="145"/>
      <c r="HH4" s="25" t="s">
        <v>2</v>
      </c>
      <c r="HI4" s="26" t="s">
        <v>11</v>
      </c>
      <c r="HJ4" s="145"/>
      <c r="HK4" s="25" t="s">
        <v>2</v>
      </c>
      <c r="HL4" s="26" t="s">
        <v>11</v>
      </c>
      <c r="HM4" s="145"/>
      <c r="HN4" s="25" t="s">
        <v>2</v>
      </c>
      <c r="HO4" s="26" t="s">
        <v>11</v>
      </c>
      <c r="HP4" s="145"/>
      <c r="HQ4" s="25" t="s">
        <v>2</v>
      </c>
      <c r="HR4" s="26" t="s">
        <v>11</v>
      </c>
      <c r="HS4" s="145"/>
      <c r="HT4" s="25" t="s">
        <v>2</v>
      </c>
      <c r="HU4" s="26" t="s">
        <v>11</v>
      </c>
      <c r="HV4" s="145"/>
      <c r="HW4" s="25" t="s">
        <v>2</v>
      </c>
      <c r="HX4" s="26" t="s">
        <v>11</v>
      </c>
      <c r="HY4" s="148"/>
      <c r="HZ4" s="25" t="s">
        <v>2</v>
      </c>
      <c r="IA4" s="26" t="s">
        <v>11</v>
      </c>
      <c r="IB4" s="145"/>
      <c r="IC4" s="25" t="s">
        <v>2</v>
      </c>
      <c r="ID4" s="26" t="s">
        <v>11</v>
      </c>
      <c r="IE4" s="148"/>
      <c r="IF4" s="25" t="s">
        <v>2</v>
      </c>
      <c r="IG4" s="26" t="s">
        <v>11</v>
      </c>
      <c r="IH4" s="148"/>
      <c r="II4" s="25" t="s">
        <v>2</v>
      </c>
      <c r="IJ4" s="26" t="s">
        <v>11</v>
      </c>
      <c r="IK4" s="27" t="s">
        <v>2</v>
      </c>
      <c r="IL4" s="26" t="s">
        <v>11</v>
      </c>
      <c r="IM4" s="27" t="s">
        <v>2</v>
      </c>
      <c r="IN4" s="26" t="s">
        <v>11</v>
      </c>
      <c r="IO4" s="148"/>
      <c r="IP4" s="27" t="s">
        <v>2</v>
      </c>
      <c r="IQ4" s="26" t="s">
        <v>11</v>
      </c>
      <c r="IR4" s="27" t="s">
        <v>2</v>
      </c>
      <c r="IS4" s="26" t="s">
        <v>11</v>
      </c>
      <c r="IT4" s="27" t="s">
        <v>2</v>
      </c>
      <c r="IU4" s="26" t="s">
        <v>11</v>
      </c>
      <c r="IV4" s="27" t="s">
        <v>2</v>
      </c>
      <c r="IW4" s="26" t="s">
        <v>11</v>
      </c>
      <c r="IX4" s="27" t="s">
        <v>2</v>
      </c>
      <c r="IY4" s="26" t="s">
        <v>11</v>
      </c>
      <c r="IZ4" s="27" t="s">
        <v>2</v>
      </c>
      <c r="JA4" s="26" t="s">
        <v>11</v>
      </c>
      <c r="JB4" s="27" t="s">
        <v>2</v>
      </c>
      <c r="JC4" s="26" t="s">
        <v>11</v>
      </c>
      <c r="JD4" s="145"/>
      <c r="JE4" s="25" t="s">
        <v>2</v>
      </c>
      <c r="JF4" s="26" t="s">
        <v>11</v>
      </c>
      <c r="JG4" s="148"/>
      <c r="JH4" s="25" t="s">
        <v>2</v>
      </c>
      <c r="JI4" s="28" t="s">
        <v>110</v>
      </c>
      <c r="JJ4" s="25" t="s">
        <v>2</v>
      </c>
      <c r="JK4" s="26" t="s">
        <v>110</v>
      </c>
      <c r="JL4" s="25" t="s">
        <v>2</v>
      </c>
      <c r="JM4" s="26" t="s">
        <v>110</v>
      </c>
      <c r="JN4" s="148"/>
      <c r="JO4" s="25" t="s">
        <v>2</v>
      </c>
      <c r="JP4" s="26" t="s">
        <v>110</v>
      </c>
      <c r="JQ4" s="25" t="s">
        <v>2</v>
      </c>
      <c r="JR4" s="26" t="s">
        <v>110</v>
      </c>
      <c r="JS4" s="148"/>
      <c r="JT4" s="25" t="s">
        <v>2</v>
      </c>
      <c r="JU4" s="26" t="s">
        <v>110</v>
      </c>
      <c r="JV4" s="25" t="s">
        <v>2</v>
      </c>
      <c r="JW4" s="26" t="s">
        <v>110</v>
      </c>
    </row>
    <row r="5" spans="1:284" ht="15.6" x14ac:dyDescent="0.3">
      <c r="A5" t="s">
        <v>202</v>
      </c>
      <c r="B5" s="122"/>
      <c r="C5" s="3"/>
      <c r="D5" s="8"/>
      <c r="E5" s="122"/>
      <c r="F5" s="3"/>
      <c r="G5" s="8"/>
      <c r="H5" s="122"/>
      <c r="I5" s="11"/>
      <c r="J5" s="8"/>
      <c r="K5" s="122"/>
      <c r="L5" s="3"/>
      <c r="M5" s="8"/>
      <c r="N5" s="122"/>
      <c r="O5" s="3"/>
      <c r="P5" s="8"/>
      <c r="Q5" s="122"/>
      <c r="R5" s="3"/>
      <c r="S5" s="8"/>
      <c r="T5" s="122"/>
      <c r="U5" s="11"/>
      <c r="V5" s="8"/>
      <c r="W5" s="122"/>
      <c r="X5" s="3"/>
      <c r="Y5" s="8"/>
      <c r="Z5" s="122"/>
      <c r="AA5" s="3"/>
      <c r="AB5" s="8"/>
      <c r="AC5" s="122"/>
      <c r="AD5" s="3"/>
      <c r="AE5" s="8"/>
      <c r="AF5" s="122"/>
      <c r="AG5" s="11"/>
      <c r="AH5" s="8"/>
      <c r="AI5" s="122"/>
      <c r="AJ5" s="3"/>
      <c r="AK5" s="8"/>
      <c r="AL5" s="122"/>
      <c r="AM5" s="3"/>
      <c r="AN5" s="8"/>
      <c r="AO5" s="122"/>
      <c r="AP5" s="3"/>
      <c r="AQ5" s="8"/>
      <c r="AR5" s="122"/>
      <c r="AS5" s="11"/>
      <c r="AT5" s="8"/>
      <c r="AU5" s="122"/>
      <c r="AV5" s="3"/>
      <c r="AW5" s="8"/>
      <c r="AX5" s="122"/>
      <c r="AY5" s="3"/>
      <c r="AZ5" s="8"/>
      <c r="BA5" s="122"/>
      <c r="BB5" s="3"/>
      <c r="BC5" s="8"/>
      <c r="BD5" s="122"/>
      <c r="BE5" s="11"/>
      <c r="BF5" s="8"/>
      <c r="BG5" s="122"/>
      <c r="BH5" s="3"/>
      <c r="BI5" s="8"/>
      <c r="BJ5" s="122"/>
      <c r="BK5" s="3"/>
      <c r="BL5" s="8"/>
      <c r="BM5" s="122"/>
      <c r="BN5" s="3"/>
      <c r="BO5" s="8"/>
      <c r="BP5" s="122"/>
      <c r="BQ5" s="11"/>
      <c r="BR5" s="8"/>
      <c r="BS5" s="122"/>
      <c r="BT5" s="3"/>
      <c r="BU5" s="8"/>
      <c r="BV5" s="122"/>
      <c r="BW5" s="3"/>
      <c r="BX5" s="8"/>
      <c r="BY5" s="122"/>
      <c r="BZ5" s="3"/>
      <c r="CA5" s="8"/>
      <c r="CB5" s="122"/>
      <c r="CC5" s="11"/>
      <c r="CD5" s="8"/>
      <c r="CE5" s="122"/>
      <c r="CF5" s="3"/>
      <c r="CG5" s="8"/>
      <c r="CH5" s="122"/>
      <c r="CI5" s="3"/>
      <c r="CJ5" s="8"/>
      <c r="CK5" s="122"/>
      <c r="CL5" s="3"/>
      <c r="CM5" s="8"/>
      <c r="CN5" s="122"/>
      <c r="CO5" s="11"/>
      <c r="CP5" s="8"/>
      <c r="CQ5" s="122"/>
      <c r="CR5" s="3"/>
      <c r="CS5" s="8"/>
      <c r="CT5" s="122"/>
      <c r="CU5" s="3"/>
      <c r="CV5" s="8"/>
      <c r="CW5" s="122"/>
      <c r="CX5" s="3"/>
      <c r="CY5" s="8"/>
      <c r="CZ5" s="122"/>
      <c r="DA5" s="11"/>
      <c r="DB5" s="8"/>
      <c r="DC5" s="122"/>
      <c r="DD5" s="3"/>
      <c r="DE5" s="8"/>
      <c r="DF5" s="122"/>
      <c r="DG5" s="3"/>
      <c r="DH5" s="8"/>
      <c r="DI5" s="122"/>
      <c r="DJ5" s="3"/>
      <c r="DK5" s="8"/>
      <c r="DL5" s="122"/>
      <c r="DM5" s="11"/>
      <c r="DN5" s="8"/>
      <c r="DO5" s="122"/>
      <c r="DP5" s="3"/>
      <c r="DQ5" s="8"/>
      <c r="DR5" s="122"/>
      <c r="DS5" s="3"/>
      <c r="DT5" s="8"/>
      <c r="DU5" s="122"/>
      <c r="DV5" s="3"/>
      <c r="DW5" s="8"/>
      <c r="DX5" s="122"/>
      <c r="DY5" s="11"/>
      <c r="DZ5" s="8"/>
      <c r="EA5" s="122"/>
      <c r="EB5" s="3"/>
      <c r="EC5" s="8"/>
      <c r="ED5" s="122"/>
      <c r="EE5" s="3"/>
      <c r="EF5" s="8"/>
      <c r="EG5" s="122"/>
      <c r="EH5" s="3"/>
      <c r="EI5" s="8"/>
      <c r="EJ5" s="122"/>
      <c r="EK5" s="11"/>
      <c r="EL5" s="8"/>
      <c r="EM5" s="122"/>
      <c r="EN5" s="3"/>
      <c r="EO5" s="8"/>
      <c r="EP5" s="122"/>
      <c r="EQ5" s="3"/>
      <c r="ER5" s="8"/>
      <c r="ES5" s="122"/>
      <c r="ET5" s="3"/>
      <c r="EU5" s="8"/>
      <c r="EV5" s="122"/>
      <c r="EW5" s="11"/>
      <c r="EX5" s="8"/>
      <c r="EY5" s="122"/>
      <c r="EZ5" s="3"/>
      <c r="FA5" s="8"/>
      <c r="FB5" s="122"/>
      <c r="FC5" s="3"/>
      <c r="FD5" s="8"/>
      <c r="FE5" s="122"/>
      <c r="FF5" s="3"/>
      <c r="FG5" s="8"/>
      <c r="FH5" s="122"/>
      <c r="FI5" s="11"/>
      <c r="FJ5" s="8"/>
      <c r="FK5" s="122"/>
      <c r="FL5" s="3"/>
      <c r="FM5" s="8"/>
      <c r="FN5" s="12"/>
      <c r="FO5" s="3"/>
      <c r="FP5" s="8"/>
      <c r="FQ5" s="12"/>
      <c r="FR5" s="3"/>
      <c r="FS5" s="8"/>
      <c r="FT5" s="12"/>
      <c r="FU5" s="11"/>
      <c r="FV5" s="8"/>
      <c r="FW5" s="12"/>
      <c r="FX5" s="3"/>
      <c r="FY5" s="8"/>
      <c r="FZ5" s="12"/>
      <c r="GA5" s="3"/>
      <c r="GB5" s="8"/>
      <c r="GC5" s="12"/>
      <c r="GD5" s="3"/>
      <c r="GE5" s="8"/>
      <c r="GF5" s="12"/>
      <c r="GG5" s="3"/>
      <c r="GH5" s="8"/>
      <c r="GI5" s="12"/>
      <c r="GJ5" s="3"/>
      <c r="GK5" s="8"/>
      <c r="GL5" s="12"/>
      <c r="GM5" s="7"/>
      <c r="GN5" s="7"/>
      <c r="GO5" s="14"/>
      <c r="GP5" s="7"/>
      <c r="GQ5" s="7"/>
      <c r="GR5" s="4"/>
      <c r="GS5" s="7"/>
      <c r="GT5" s="7"/>
      <c r="GU5" s="14"/>
      <c r="GV5" s="3"/>
      <c r="GW5" s="8"/>
      <c r="GX5" s="12"/>
      <c r="GY5" s="7"/>
      <c r="GZ5" s="7"/>
      <c r="HA5" s="12"/>
      <c r="HB5" s="7"/>
      <c r="HC5" s="7"/>
      <c r="HD5" s="12"/>
      <c r="HE5" s="3"/>
      <c r="HF5" s="8"/>
      <c r="HG5" s="12"/>
      <c r="HH5" s="3"/>
      <c r="HI5" s="8"/>
      <c r="HJ5" s="12"/>
      <c r="HK5" s="7"/>
      <c r="HL5" s="7"/>
      <c r="HM5" s="12"/>
      <c r="HN5" s="7"/>
      <c r="HO5" s="7"/>
      <c r="HP5" s="12"/>
      <c r="HQ5" s="3"/>
      <c r="HR5" s="8"/>
      <c r="HS5" s="12"/>
      <c r="HT5" s="3"/>
      <c r="HU5" s="8"/>
      <c r="HV5" s="12"/>
      <c r="HW5" s="7"/>
      <c r="HX5" s="7"/>
      <c r="HY5" s="14"/>
      <c r="HZ5" s="7"/>
      <c r="IA5" s="7"/>
      <c r="IB5" s="12"/>
      <c r="IC5" s="3"/>
      <c r="ID5" s="8"/>
      <c r="IE5" s="14"/>
      <c r="IF5" s="3"/>
      <c r="IG5" s="8"/>
      <c r="IH5" s="10"/>
      <c r="II5" s="3"/>
      <c r="IJ5" s="8"/>
      <c r="IK5" s="3"/>
      <c r="IL5" s="8"/>
      <c r="IM5" s="3"/>
      <c r="IN5" s="8"/>
      <c r="IO5" s="10"/>
      <c r="IP5" s="3"/>
      <c r="IQ5" s="8"/>
      <c r="IR5" s="3"/>
      <c r="IS5" s="8"/>
      <c r="IT5" s="3"/>
      <c r="IU5" s="8"/>
      <c r="IV5" s="3"/>
      <c r="IW5" s="8"/>
      <c r="IX5" s="3"/>
      <c r="IY5" s="8"/>
      <c r="IZ5" s="3"/>
      <c r="JA5" s="8"/>
      <c r="JB5" s="3"/>
      <c r="JC5" s="8"/>
      <c r="JD5" s="12"/>
      <c r="JE5" s="11"/>
      <c r="JF5" s="8"/>
      <c r="JG5" s="12"/>
      <c r="JH5" s="11"/>
      <c r="JI5" s="8"/>
      <c r="JJ5" s="3"/>
      <c r="JK5" s="8"/>
      <c r="JL5" s="3"/>
      <c r="JM5" s="8"/>
      <c r="JN5" s="10"/>
      <c r="JO5" s="7"/>
      <c r="JP5" s="7"/>
      <c r="JQ5" s="7"/>
      <c r="JR5" s="7"/>
      <c r="JS5" s="10" t="s">
        <v>18</v>
      </c>
      <c r="JT5" s="7">
        <v>15752</v>
      </c>
      <c r="JU5" s="7">
        <v>42018</v>
      </c>
      <c r="JV5" s="7">
        <v>27637</v>
      </c>
      <c r="JW5" s="7">
        <v>78751</v>
      </c>
    </row>
    <row r="6" spans="1:284" ht="15.6" x14ac:dyDescent="0.3">
      <c r="A6" t="s">
        <v>203</v>
      </c>
      <c r="B6" s="122"/>
      <c r="C6" s="3"/>
      <c r="D6" s="8"/>
      <c r="E6" s="122"/>
      <c r="F6" s="3"/>
      <c r="G6" s="8"/>
      <c r="H6" s="122"/>
      <c r="I6" s="11"/>
      <c r="J6" s="8"/>
      <c r="K6" s="122"/>
      <c r="L6" s="3"/>
      <c r="M6" s="8"/>
      <c r="N6" s="122"/>
      <c r="O6" s="3"/>
      <c r="P6" s="8"/>
      <c r="Q6" s="122"/>
      <c r="R6" s="3"/>
      <c r="S6" s="8"/>
      <c r="T6" s="122"/>
      <c r="U6" s="11"/>
      <c r="V6" s="8"/>
      <c r="W6" s="122"/>
      <c r="X6" s="3"/>
      <c r="Y6" s="8"/>
      <c r="Z6" s="122"/>
      <c r="AA6" s="3"/>
      <c r="AB6" s="8"/>
      <c r="AC6" s="122"/>
      <c r="AD6" s="3"/>
      <c r="AE6" s="8"/>
      <c r="AF6" s="122"/>
      <c r="AG6" s="11"/>
      <c r="AH6" s="8"/>
      <c r="AI6" s="122"/>
      <c r="AJ6" s="3"/>
      <c r="AK6" s="8"/>
      <c r="AL6" s="122"/>
      <c r="AM6" s="3"/>
      <c r="AN6" s="8"/>
      <c r="AO6" s="122"/>
      <c r="AP6" s="3"/>
      <c r="AQ6" s="8"/>
      <c r="AR6" s="122"/>
      <c r="AS6" s="11"/>
      <c r="AT6" s="8"/>
      <c r="AU6" s="122"/>
      <c r="AV6" s="3"/>
      <c r="AW6" s="8"/>
      <c r="AX6" s="122"/>
      <c r="AY6" s="3"/>
      <c r="AZ6" s="8"/>
      <c r="BA6" s="122"/>
      <c r="BB6" s="3"/>
      <c r="BC6" s="8"/>
      <c r="BD6" s="122"/>
      <c r="BE6" s="11"/>
      <c r="BF6" s="8"/>
      <c r="BG6" s="122"/>
      <c r="BH6" s="3"/>
      <c r="BI6" s="8"/>
      <c r="BJ6" s="122"/>
      <c r="BK6" s="3"/>
      <c r="BL6" s="8"/>
      <c r="BM6" s="122"/>
      <c r="BN6" s="3"/>
      <c r="BO6" s="8"/>
      <c r="BP6" s="122"/>
      <c r="BQ6" s="11"/>
      <c r="BR6" s="8"/>
      <c r="BS6" s="122"/>
      <c r="BT6" s="3"/>
      <c r="BU6" s="8"/>
      <c r="BV6" s="122"/>
      <c r="BW6" s="3"/>
      <c r="BX6" s="8"/>
      <c r="BY6" s="122"/>
      <c r="BZ6" s="3"/>
      <c r="CA6" s="8"/>
      <c r="CB6" s="122"/>
      <c r="CC6" s="11"/>
      <c r="CD6" s="8"/>
      <c r="CE6" s="122"/>
      <c r="CF6" s="3"/>
      <c r="CG6" s="8"/>
      <c r="CH6" s="122"/>
      <c r="CI6" s="3"/>
      <c r="CJ6" s="8"/>
      <c r="CK6" s="122"/>
      <c r="CL6" s="3"/>
      <c r="CM6" s="8"/>
      <c r="CN6" s="122"/>
      <c r="CO6" s="11"/>
      <c r="CP6" s="8"/>
      <c r="CQ6" s="122"/>
      <c r="CR6" s="3"/>
      <c r="CS6" s="8"/>
      <c r="CT6" s="122"/>
      <c r="CU6" s="3"/>
      <c r="CV6" s="8"/>
      <c r="CW6" s="122"/>
      <c r="CX6" s="3"/>
      <c r="CY6" s="8"/>
      <c r="CZ6" s="122"/>
      <c r="DA6" s="11"/>
      <c r="DB6" s="8"/>
      <c r="DC6" s="122"/>
      <c r="DD6" s="3"/>
      <c r="DE6" s="8"/>
      <c r="DF6" s="122"/>
      <c r="DG6" s="3"/>
      <c r="DH6" s="8"/>
      <c r="DI6" s="122"/>
      <c r="DJ6" s="3"/>
      <c r="DK6" s="8"/>
      <c r="DL6" s="122"/>
      <c r="DM6" s="11"/>
      <c r="DN6" s="8"/>
      <c r="DO6" s="122"/>
      <c r="DP6" s="3"/>
      <c r="DQ6" s="8"/>
      <c r="DR6" s="122"/>
      <c r="DS6" s="3"/>
      <c r="DT6" s="8"/>
      <c r="DU6" s="122"/>
      <c r="DV6" s="3"/>
      <c r="DW6" s="8"/>
      <c r="DX6" s="122"/>
      <c r="DY6" s="11"/>
      <c r="DZ6" s="8"/>
      <c r="EA6" s="122"/>
      <c r="EB6" s="3"/>
      <c r="EC6" s="8"/>
      <c r="ED6" s="122"/>
      <c r="EE6" s="3"/>
      <c r="EF6" s="8"/>
      <c r="EG6" s="122"/>
      <c r="EH6" s="3"/>
      <c r="EI6" s="8"/>
      <c r="EJ6" s="122"/>
      <c r="EK6" s="11"/>
      <c r="EL6" s="8"/>
      <c r="EM6" s="122"/>
      <c r="EN6" s="3"/>
      <c r="EO6" s="8"/>
      <c r="EP6" s="122"/>
      <c r="EQ6" s="3"/>
      <c r="ER6" s="8"/>
      <c r="ES6" s="122"/>
      <c r="ET6" s="3"/>
      <c r="EU6" s="8"/>
      <c r="EV6" s="122"/>
      <c r="EW6" s="11"/>
      <c r="EX6" s="8"/>
      <c r="EY6" s="122"/>
      <c r="EZ6" s="3"/>
      <c r="FA6" s="8"/>
      <c r="FB6" s="122"/>
      <c r="FC6" s="3"/>
      <c r="FD6" s="8"/>
      <c r="FE6" s="122"/>
      <c r="FF6" s="3"/>
      <c r="FG6" s="8"/>
      <c r="FH6" s="122"/>
      <c r="FI6" s="11"/>
      <c r="FJ6" s="8"/>
      <c r="FK6" s="122"/>
      <c r="FL6" s="3"/>
      <c r="FM6" s="8"/>
      <c r="FN6" s="12"/>
      <c r="FO6" s="3"/>
      <c r="FP6" s="8"/>
      <c r="FQ6" s="12"/>
      <c r="FR6" s="3"/>
      <c r="FS6" s="8"/>
      <c r="FT6" s="12"/>
      <c r="FU6" s="11"/>
      <c r="FV6" s="8"/>
      <c r="FW6" s="12"/>
      <c r="FX6" s="3"/>
      <c r="FY6" s="8"/>
      <c r="FZ6" s="12"/>
      <c r="GA6" s="3"/>
      <c r="GB6" s="8"/>
      <c r="GC6" s="12"/>
      <c r="GD6" s="3"/>
      <c r="GE6" s="8"/>
      <c r="GF6" s="12"/>
      <c r="GG6" s="3"/>
      <c r="GH6" s="8"/>
      <c r="GI6" s="12"/>
      <c r="GJ6" s="3"/>
      <c r="GK6" s="8"/>
      <c r="GL6" s="12"/>
      <c r="GM6" s="7"/>
      <c r="GN6" s="7"/>
      <c r="GO6" s="14"/>
      <c r="GP6" s="7"/>
      <c r="GQ6" s="7"/>
      <c r="GR6" s="4"/>
      <c r="GS6" s="7"/>
      <c r="GT6" s="7"/>
      <c r="GU6" s="14"/>
      <c r="GV6" s="3"/>
      <c r="GW6" s="8"/>
      <c r="GX6" s="12"/>
      <c r="GY6" s="7"/>
      <c r="GZ6" s="7"/>
      <c r="HA6" s="12"/>
      <c r="HB6" s="7"/>
      <c r="HC6" s="7"/>
      <c r="HD6" s="12"/>
      <c r="HE6" s="3"/>
      <c r="HF6" s="8"/>
      <c r="HG6" s="12"/>
      <c r="HH6" s="3"/>
      <c r="HI6" s="8"/>
      <c r="HJ6" s="12"/>
      <c r="HK6" s="7"/>
      <c r="HL6" s="7"/>
      <c r="HM6" s="12"/>
      <c r="HN6" s="7"/>
      <c r="HO6" s="7"/>
      <c r="HP6" s="12"/>
      <c r="HQ6" s="3"/>
      <c r="HR6" s="8"/>
      <c r="HS6" s="12"/>
      <c r="HT6" s="3"/>
      <c r="HU6" s="8"/>
      <c r="HV6" s="12"/>
      <c r="HW6" s="7"/>
      <c r="HX6" s="7"/>
      <c r="HY6" s="14"/>
      <c r="HZ6" s="7"/>
      <c r="IA6" s="7"/>
      <c r="IB6" s="12"/>
      <c r="IC6" s="3"/>
      <c r="ID6" s="8"/>
      <c r="IE6" s="14"/>
      <c r="IF6" s="3"/>
      <c r="IG6" s="8"/>
      <c r="IH6" s="10"/>
      <c r="II6" s="3"/>
      <c r="IJ6" s="8"/>
      <c r="IK6" s="3"/>
      <c r="IL6" s="8"/>
      <c r="IM6" s="3"/>
      <c r="IN6" s="8"/>
      <c r="IO6" s="10"/>
      <c r="IP6" s="3"/>
      <c r="IQ6" s="8"/>
      <c r="IR6" s="3"/>
      <c r="IS6" s="8"/>
      <c r="IT6" s="3"/>
      <c r="IU6" s="8"/>
      <c r="IV6" s="3"/>
      <c r="IW6" s="8"/>
      <c r="IX6" s="3"/>
      <c r="IY6" s="8"/>
      <c r="IZ6" s="3"/>
      <c r="JA6" s="8"/>
      <c r="JB6" s="3"/>
      <c r="JC6" s="8"/>
      <c r="JD6" s="12"/>
      <c r="JE6" s="11"/>
      <c r="JF6" s="8"/>
      <c r="JG6" s="12"/>
      <c r="JH6" s="11"/>
      <c r="JI6" s="8"/>
      <c r="JJ6" s="3"/>
      <c r="JK6" s="8"/>
      <c r="JL6" s="3"/>
      <c r="JM6" s="8"/>
      <c r="JN6" s="10"/>
      <c r="JO6" s="7"/>
      <c r="JP6" s="7"/>
      <c r="JQ6" s="7"/>
      <c r="JR6" s="7"/>
      <c r="JS6" s="10" t="s">
        <v>18</v>
      </c>
      <c r="JT6" s="7">
        <v>5583600</v>
      </c>
      <c r="JU6" s="7">
        <v>26057</v>
      </c>
      <c r="JV6" s="7">
        <v>9350000</v>
      </c>
      <c r="JW6" s="7">
        <v>40704</v>
      </c>
    </row>
    <row r="7" spans="1:284" ht="15.6" x14ac:dyDescent="0.3">
      <c r="A7" t="s">
        <v>204</v>
      </c>
      <c r="B7" s="10" t="s">
        <v>40</v>
      </c>
      <c r="C7" s="3"/>
      <c r="D7" s="8"/>
      <c r="E7" s="10" t="s">
        <v>40</v>
      </c>
      <c r="F7" s="3"/>
      <c r="G7" s="8"/>
      <c r="H7" s="10" t="s">
        <v>40</v>
      </c>
      <c r="I7" s="11"/>
      <c r="J7" s="8"/>
      <c r="K7" s="10" t="s">
        <v>40</v>
      </c>
      <c r="L7" s="3"/>
      <c r="M7" s="8"/>
      <c r="N7" s="10" t="s">
        <v>40</v>
      </c>
      <c r="O7" s="3"/>
      <c r="P7" s="8"/>
      <c r="Q7" s="10" t="s">
        <v>40</v>
      </c>
      <c r="R7" s="3"/>
      <c r="S7" s="8"/>
      <c r="T7" s="10" t="s">
        <v>40</v>
      </c>
      <c r="U7" s="11"/>
      <c r="V7" s="8"/>
      <c r="W7" s="10" t="s">
        <v>40</v>
      </c>
      <c r="X7" s="3"/>
      <c r="Y7" s="8"/>
      <c r="Z7" s="10" t="s">
        <v>40</v>
      </c>
      <c r="AA7" s="3"/>
      <c r="AB7" s="8"/>
      <c r="AC7" s="10" t="s">
        <v>40</v>
      </c>
      <c r="AD7" s="3"/>
      <c r="AE7" s="8"/>
      <c r="AF7" s="10" t="s">
        <v>40</v>
      </c>
      <c r="AG7" s="11"/>
      <c r="AH7" s="8"/>
      <c r="AI7" s="10" t="s">
        <v>40</v>
      </c>
      <c r="AJ7" s="3"/>
      <c r="AK7" s="8"/>
      <c r="AL7" s="10" t="s">
        <v>40</v>
      </c>
      <c r="AM7" s="3"/>
      <c r="AN7" s="8"/>
      <c r="AO7" s="10" t="s">
        <v>40</v>
      </c>
      <c r="AP7" s="3"/>
      <c r="AQ7" s="8"/>
      <c r="AR7" s="10" t="s">
        <v>40</v>
      </c>
      <c r="AS7" s="11"/>
      <c r="AT7" s="8"/>
      <c r="AU7" s="10" t="s">
        <v>40</v>
      </c>
      <c r="AV7" s="3"/>
      <c r="AW7" s="8"/>
      <c r="AX7" s="10" t="s">
        <v>40</v>
      </c>
      <c r="AY7" s="3"/>
      <c r="AZ7" s="8"/>
      <c r="BA7" s="10" t="s">
        <v>40</v>
      </c>
      <c r="BB7" s="3"/>
      <c r="BC7" s="8"/>
      <c r="BD7" s="10" t="s">
        <v>40</v>
      </c>
      <c r="BE7" s="11"/>
      <c r="BF7" s="8"/>
      <c r="BG7" s="10" t="s">
        <v>40</v>
      </c>
      <c r="BH7" s="3"/>
      <c r="BI7" s="8"/>
      <c r="BJ7" s="10" t="s">
        <v>40</v>
      </c>
      <c r="BK7" s="3"/>
      <c r="BL7" s="8"/>
      <c r="BM7" s="10" t="s">
        <v>40</v>
      </c>
      <c r="BN7" s="3"/>
      <c r="BO7" s="8"/>
      <c r="BP7" s="10" t="s">
        <v>40</v>
      </c>
      <c r="BQ7" s="11"/>
      <c r="BR7" s="8"/>
      <c r="BS7" s="10" t="s">
        <v>40</v>
      </c>
      <c r="BT7" s="3"/>
      <c r="BU7" s="8"/>
      <c r="BV7" s="10" t="s">
        <v>40</v>
      </c>
      <c r="BW7" s="3"/>
      <c r="BX7" s="8"/>
      <c r="BY7" s="10" t="s">
        <v>40</v>
      </c>
      <c r="BZ7" s="3"/>
      <c r="CA7" s="8"/>
      <c r="CB7" s="10" t="s">
        <v>40</v>
      </c>
      <c r="CC7" s="11"/>
      <c r="CD7" s="8"/>
      <c r="CE7" s="10" t="s">
        <v>40</v>
      </c>
      <c r="CF7" s="3"/>
      <c r="CG7" s="8"/>
      <c r="CH7" s="10" t="s">
        <v>40</v>
      </c>
      <c r="CI7" s="3"/>
      <c r="CJ7" s="8"/>
      <c r="CK7" s="10" t="s">
        <v>40</v>
      </c>
      <c r="CL7" s="3"/>
      <c r="CM7" s="8"/>
      <c r="CN7" s="10" t="s">
        <v>40</v>
      </c>
      <c r="CO7" s="11"/>
      <c r="CP7" s="8"/>
      <c r="CQ7" s="10" t="s">
        <v>40</v>
      </c>
      <c r="CR7" s="3"/>
      <c r="CS7" s="8"/>
      <c r="CT7" s="10" t="s">
        <v>40</v>
      </c>
      <c r="CU7" s="3"/>
      <c r="CV7" s="8"/>
      <c r="CW7" s="10" t="s">
        <v>40</v>
      </c>
      <c r="CX7" s="3"/>
      <c r="CY7" s="8"/>
      <c r="CZ7" s="10" t="s">
        <v>40</v>
      </c>
      <c r="DA7" s="11"/>
      <c r="DB7" s="8"/>
      <c r="DC7" s="10" t="s">
        <v>40</v>
      </c>
      <c r="DD7" s="3"/>
      <c r="DE7" s="8"/>
      <c r="DF7" s="10" t="s">
        <v>40</v>
      </c>
      <c r="DG7" s="3"/>
      <c r="DH7" s="8"/>
      <c r="DI7" s="10" t="s">
        <v>40</v>
      </c>
      <c r="DJ7" s="3"/>
      <c r="DK7" s="8"/>
      <c r="DL7" s="10" t="s">
        <v>40</v>
      </c>
      <c r="DM7" s="11"/>
      <c r="DN7" s="8"/>
      <c r="DO7" s="10" t="s">
        <v>40</v>
      </c>
      <c r="DP7" s="3"/>
      <c r="DQ7" s="8"/>
      <c r="DR7" s="10" t="s">
        <v>40</v>
      </c>
      <c r="DS7" s="3"/>
      <c r="DT7" s="8"/>
      <c r="DU7" s="10" t="s">
        <v>40</v>
      </c>
      <c r="DV7" s="3"/>
      <c r="DW7" s="8"/>
      <c r="DX7" s="10" t="s">
        <v>40</v>
      </c>
      <c r="DY7" s="11"/>
      <c r="DZ7" s="8"/>
      <c r="EA7" s="10" t="s">
        <v>40</v>
      </c>
      <c r="EB7" s="3"/>
      <c r="EC7" s="8"/>
      <c r="ED7" s="10" t="s">
        <v>40</v>
      </c>
      <c r="EE7" s="3"/>
      <c r="EF7" s="8"/>
      <c r="EG7" s="10" t="s">
        <v>40</v>
      </c>
      <c r="EH7" s="3"/>
      <c r="EI7" s="8"/>
      <c r="EJ7" s="10" t="s">
        <v>40</v>
      </c>
      <c r="EK7" s="11"/>
      <c r="EL7" s="8"/>
      <c r="EM7" s="10" t="s">
        <v>40</v>
      </c>
      <c r="EN7" s="3"/>
      <c r="EO7" s="8"/>
      <c r="EP7" s="10" t="s">
        <v>40</v>
      </c>
      <c r="EQ7" s="3"/>
      <c r="ER7" s="8"/>
      <c r="ES7" s="10" t="s">
        <v>40</v>
      </c>
      <c r="ET7" s="3"/>
      <c r="EU7" s="8"/>
      <c r="EV7" s="10" t="s">
        <v>40</v>
      </c>
      <c r="EW7" s="11"/>
      <c r="EX7" s="8"/>
      <c r="EY7" s="10" t="s">
        <v>40</v>
      </c>
      <c r="EZ7" s="3"/>
      <c r="FA7" s="8"/>
      <c r="FB7" s="10" t="s">
        <v>40</v>
      </c>
      <c r="FC7" s="3"/>
      <c r="FD7" s="8"/>
      <c r="FE7" s="10" t="s">
        <v>40</v>
      </c>
      <c r="FF7" s="3"/>
      <c r="FG7" s="8"/>
      <c r="FH7" s="10" t="s">
        <v>40</v>
      </c>
      <c r="FI7" s="11"/>
      <c r="FJ7" s="8"/>
      <c r="FK7" s="10" t="s">
        <v>40</v>
      </c>
      <c r="FL7" s="3"/>
      <c r="FM7" s="8"/>
      <c r="FN7" s="10" t="s">
        <v>40</v>
      </c>
      <c r="FO7" s="3"/>
      <c r="FP7" s="8"/>
      <c r="FQ7" s="10" t="s">
        <v>40</v>
      </c>
      <c r="FR7" s="3">
        <v>10</v>
      </c>
      <c r="FS7" s="8">
        <v>1000</v>
      </c>
      <c r="FT7" s="10" t="s">
        <v>40</v>
      </c>
      <c r="FU7" s="11"/>
      <c r="FV7" s="8"/>
      <c r="FW7" s="10" t="s">
        <v>40</v>
      </c>
      <c r="FX7" s="3"/>
      <c r="FY7" s="8"/>
      <c r="FZ7" s="10" t="s">
        <v>40</v>
      </c>
      <c r="GA7" s="3"/>
      <c r="GB7" s="8"/>
      <c r="GC7" s="10" t="s">
        <v>40</v>
      </c>
      <c r="GD7" s="3">
        <v>10</v>
      </c>
      <c r="GE7" s="8">
        <v>550</v>
      </c>
      <c r="GF7" s="10" t="s">
        <v>40</v>
      </c>
      <c r="GG7" s="3"/>
      <c r="GH7" s="8"/>
      <c r="GI7" s="10" t="s">
        <v>40</v>
      </c>
      <c r="GJ7" s="3"/>
      <c r="GK7" s="8"/>
      <c r="GL7" s="10" t="s">
        <v>40</v>
      </c>
      <c r="GM7" s="7"/>
      <c r="GN7" s="7"/>
      <c r="GO7" s="6" t="s">
        <v>40</v>
      </c>
      <c r="GP7" s="7">
        <v>36</v>
      </c>
      <c r="GQ7" s="7">
        <v>3600</v>
      </c>
      <c r="GR7" s="14"/>
      <c r="GS7" s="7"/>
      <c r="GT7" s="7"/>
      <c r="GU7" s="14"/>
      <c r="GV7" s="3"/>
      <c r="GW7" s="8"/>
      <c r="GX7" s="10" t="s">
        <v>40</v>
      </c>
      <c r="GY7" s="7"/>
      <c r="GZ7" s="7"/>
      <c r="HA7" s="10" t="s">
        <v>40</v>
      </c>
      <c r="HB7" s="7">
        <v>220</v>
      </c>
      <c r="HC7" s="7">
        <v>24000</v>
      </c>
      <c r="HD7" s="10" t="s">
        <v>40</v>
      </c>
      <c r="HE7" s="3"/>
      <c r="HF7" s="8"/>
      <c r="HG7" s="10" t="s">
        <v>40</v>
      </c>
      <c r="HH7" s="3"/>
      <c r="HI7" s="8"/>
      <c r="HJ7" s="10" t="s">
        <v>40</v>
      </c>
      <c r="HK7" s="7"/>
      <c r="HL7" s="7"/>
      <c r="HM7" s="10" t="s">
        <v>40</v>
      </c>
      <c r="HN7" s="7">
        <v>150</v>
      </c>
      <c r="HO7" s="7">
        <v>20000</v>
      </c>
      <c r="HP7" s="10" t="s">
        <v>40</v>
      </c>
      <c r="HQ7" s="3"/>
      <c r="HR7" s="8"/>
      <c r="HS7" s="10" t="s">
        <v>40</v>
      </c>
      <c r="HT7" s="3"/>
      <c r="HU7" s="8"/>
      <c r="HV7" s="10" t="s">
        <v>40</v>
      </c>
      <c r="HW7" s="7"/>
      <c r="HX7" s="7"/>
      <c r="HY7" s="6" t="s">
        <v>40</v>
      </c>
      <c r="HZ7" s="7">
        <v>195</v>
      </c>
      <c r="IA7" s="7">
        <v>15000</v>
      </c>
      <c r="IB7" s="12"/>
      <c r="IC7" s="3"/>
      <c r="ID7" s="8"/>
      <c r="IE7" s="14"/>
      <c r="IF7" s="3"/>
      <c r="IG7" s="8"/>
      <c r="IH7" s="10"/>
      <c r="II7" s="3"/>
      <c r="IJ7" s="8"/>
      <c r="IK7" s="3"/>
      <c r="IL7" s="8"/>
      <c r="IM7" s="3"/>
      <c r="IN7" s="8"/>
      <c r="IO7" s="10"/>
      <c r="IP7" s="3"/>
      <c r="IQ7" s="8"/>
      <c r="IR7" s="3"/>
      <c r="IS7" s="8"/>
      <c r="IT7" s="3"/>
      <c r="IU7" s="8"/>
      <c r="IV7" s="3"/>
      <c r="IW7" s="8"/>
      <c r="IX7" s="3"/>
      <c r="IY7" s="8"/>
      <c r="IZ7" s="3"/>
      <c r="JA7" s="8"/>
      <c r="JB7" s="3"/>
      <c r="JC7" s="8"/>
      <c r="JD7" s="12"/>
      <c r="JE7" s="11"/>
      <c r="JF7" s="8"/>
      <c r="JG7" s="12"/>
      <c r="JH7" s="11"/>
      <c r="JI7" s="8"/>
      <c r="JJ7" s="3"/>
      <c r="JK7" s="8"/>
      <c r="JL7" s="3"/>
      <c r="JM7" s="8"/>
      <c r="JN7" s="10"/>
      <c r="JO7" s="7"/>
      <c r="JP7" s="7"/>
      <c r="JQ7" s="7"/>
      <c r="JR7" s="7"/>
      <c r="JS7" s="10"/>
      <c r="JT7" s="7"/>
      <c r="JU7" s="7"/>
      <c r="JV7" s="7"/>
      <c r="JW7" s="7"/>
    </row>
    <row r="8" spans="1:284" ht="15.6" x14ac:dyDescent="0.3">
      <c r="A8" t="s">
        <v>101</v>
      </c>
      <c r="B8" s="10" t="s">
        <v>63</v>
      </c>
      <c r="C8" s="3"/>
      <c r="D8" s="8"/>
      <c r="E8" s="10" t="s">
        <v>63</v>
      </c>
      <c r="F8" s="3"/>
      <c r="G8" s="8"/>
      <c r="H8" s="10" t="s">
        <v>63</v>
      </c>
      <c r="I8" s="11"/>
      <c r="J8" s="8"/>
      <c r="L8" s="3"/>
      <c r="M8" s="8"/>
      <c r="N8" s="10" t="s">
        <v>63</v>
      </c>
      <c r="O8" s="3"/>
      <c r="P8" s="8"/>
      <c r="Q8" s="10" t="s">
        <v>63</v>
      </c>
      <c r="R8" s="3"/>
      <c r="S8" s="8"/>
      <c r="T8" s="10" t="s">
        <v>63</v>
      </c>
      <c r="U8" s="11"/>
      <c r="V8" s="8"/>
      <c r="X8" s="3"/>
      <c r="Y8" s="8"/>
      <c r="Z8" s="10" t="s">
        <v>63</v>
      </c>
      <c r="AA8" s="3"/>
      <c r="AB8" s="8"/>
      <c r="AC8" s="10" t="s">
        <v>63</v>
      </c>
      <c r="AD8" s="3"/>
      <c r="AE8" s="8"/>
      <c r="AF8" s="10" t="s">
        <v>63</v>
      </c>
      <c r="AG8" s="11"/>
      <c r="AH8" s="8"/>
      <c r="AJ8" s="3"/>
      <c r="AK8" s="8"/>
      <c r="AL8" s="10" t="s">
        <v>63</v>
      </c>
      <c r="AM8" s="3"/>
      <c r="AN8" s="8"/>
      <c r="AO8" s="10" t="s">
        <v>63</v>
      </c>
      <c r="AP8" s="3"/>
      <c r="AQ8" s="8"/>
      <c r="AR8" s="10" t="s">
        <v>63</v>
      </c>
      <c r="AS8" s="11"/>
      <c r="AT8" s="8"/>
      <c r="AV8" s="3"/>
      <c r="AW8" s="8"/>
      <c r="AX8" s="10" t="s">
        <v>63</v>
      </c>
      <c r="AY8" s="3"/>
      <c r="AZ8" s="8"/>
      <c r="BA8" s="10" t="s">
        <v>63</v>
      </c>
      <c r="BB8" s="3"/>
      <c r="BC8" s="8"/>
      <c r="BD8" s="10" t="s">
        <v>63</v>
      </c>
      <c r="BE8" s="11"/>
      <c r="BF8" s="8"/>
      <c r="BH8" s="3"/>
      <c r="BI8" s="8"/>
      <c r="BJ8" s="10" t="s">
        <v>63</v>
      </c>
      <c r="BK8" s="3"/>
      <c r="BL8" s="8"/>
      <c r="BM8" s="10" t="s">
        <v>63</v>
      </c>
      <c r="BN8" s="3"/>
      <c r="BO8" s="8"/>
      <c r="BP8" s="10" t="s">
        <v>63</v>
      </c>
      <c r="BQ8" s="11"/>
      <c r="BR8" s="8"/>
      <c r="BT8" s="3"/>
      <c r="BU8" s="8"/>
      <c r="BV8" s="10" t="s">
        <v>63</v>
      </c>
      <c r="BW8" s="3"/>
      <c r="BX8" s="8"/>
      <c r="BY8" s="10" t="s">
        <v>63</v>
      </c>
      <c r="BZ8" s="3"/>
      <c r="CA8" s="8"/>
      <c r="CB8" s="10" t="s">
        <v>63</v>
      </c>
      <c r="CC8" s="11"/>
      <c r="CD8" s="8"/>
      <c r="CF8" s="3"/>
      <c r="CG8" s="8"/>
      <c r="CH8" s="10" t="s">
        <v>63</v>
      </c>
      <c r="CI8" s="3"/>
      <c r="CJ8" s="8"/>
      <c r="CK8" s="10" t="s">
        <v>63</v>
      </c>
      <c r="CL8" s="3"/>
      <c r="CM8" s="8"/>
      <c r="CN8" s="10" t="s">
        <v>63</v>
      </c>
      <c r="CO8" s="11"/>
      <c r="CP8" s="8"/>
      <c r="CR8" s="3"/>
      <c r="CS8" s="8"/>
      <c r="CT8" s="10" t="s">
        <v>63</v>
      </c>
      <c r="CU8" s="3"/>
      <c r="CV8" s="8"/>
      <c r="CW8" s="10" t="s">
        <v>63</v>
      </c>
      <c r="CX8" s="3"/>
      <c r="CY8" s="8"/>
      <c r="CZ8" s="10" t="s">
        <v>63</v>
      </c>
      <c r="DA8" s="11"/>
      <c r="DB8" s="8"/>
      <c r="DD8" s="3"/>
      <c r="DE8" s="8"/>
      <c r="DF8" s="10" t="s">
        <v>63</v>
      </c>
      <c r="DG8" s="3"/>
      <c r="DH8" s="8"/>
      <c r="DI8" s="10" t="s">
        <v>63</v>
      </c>
      <c r="DJ8" s="3"/>
      <c r="DK8" s="8"/>
      <c r="DL8" s="10" t="s">
        <v>63</v>
      </c>
      <c r="DM8" s="11"/>
      <c r="DN8" s="8"/>
      <c r="DP8" s="3"/>
      <c r="DQ8" s="8"/>
      <c r="DR8" s="10" t="s">
        <v>63</v>
      </c>
      <c r="DS8" s="3"/>
      <c r="DT8" s="8"/>
      <c r="DU8" s="10" t="s">
        <v>63</v>
      </c>
      <c r="DV8" s="3"/>
      <c r="DW8" s="8"/>
      <c r="DX8" s="10" t="s">
        <v>63</v>
      </c>
      <c r="DY8" s="11"/>
      <c r="DZ8" s="8"/>
      <c r="EB8" s="3"/>
      <c r="EC8" s="8"/>
      <c r="ED8" s="10" t="s">
        <v>63</v>
      </c>
      <c r="EE8" s="3"/>
      <c r="EF8" s="8"/>
      <c r="EG8" s="10" t="s">
        <v>63</v>
      </c>
      <c r="EH8" s="3"/>
      <c r="EI8" s="8"/>
      <c r="EJ8" s="10" t="s">
        <v>63</v>
      </c>
      <c r="EK8" s="11"/>
      <c r="EL8" s="8"/>
      <c r="EN8" s="3"/>
      <c r="EO8" s="8"/>
      <c r="EP8" s="10" t="s">
        <v>63</v>
      </c>
      <c r="EQ8" s="3"/>
      <c r="ER8" s="8"/>
      <c r="ES8" s="10" t="s">
        <v>63</v>
      </c>
      <c r="ET8" s="3"/>
      <c r="EU8" s="8"/>
      <c r="EV8" s="10" t="s">
        <v>63</v>
      </c>
      <c r="EW8" s="11"/>
      <c r="EX8" s="8"/>
      <c r="EZ8" s="3"/>
      <c r="FA8" s="8"/>
      <c r="FB8" s="10" t="s">
        <v>63</v>
      </c>
      <c r="FC8" s="3"/>
      <c r="FD8" s="8"/>
      <c r="FE8" s="10" t="s">
        <v>63</v>
      </c>
      <c r="FF8" s="3"/>
      <c r="FG8" s="8"/>
      <c r="FH8" s="10" t="s">
        <v>63</v>
      </c>
      <c r="FI8" s="11"/>
      <c r="FJ8" s="8"/>
      <c r="FL8" s="3"/>
      <c r="FM8" s="8"/>
      <c r="FN8" s="10" t="s">
        <v>63</v>
      </c>
      <c r="FO8" s="3"/>
      <c r="FP8" s="8"/>
      <c r="FQ8" s="10" t="s">
        <v>63</v>
      </c>
      <c r="FR8" s="3"/>
      <c r="FS8" s="8"/>
      <c r="FT8" s="10" t="s">
        <v>63</v>
      </c>
      <c r="FU8" s="11">
        <v>500</v>
      </c>
      <c r="FV8" s="8">
        <v>400</v>
      </c>
      <c r="FX8" s="3"/>
      <c r="FY8" s="8"/>
      <c r="GA8" s="3"/>
      <c r="GB8" s="8"/>
      <c r="GD8" s="3"/>
      <c r="GE8" s="8"/>
      <c r="GG8" s="3"/>
      <c r="GH8" s="8"/>
      <c r="GJ8" s="3"/>
      <c r="GK8" s="8"/>
      <c r="GM8" s="7"/>
      <c r="GN8" s="7"/>
      <c r="GO8" s="6"/>
      <c r="GP8" s="7"/>
      <c r="GQ8" s="7"/>
      <c r="GR8" s="14"/>
      <c r="GS8" s="7"/>
      <c r="GT8" s="7"/>
      <c r="GU8" s="14"/>
      <c r="GV8" s="3"/>
      <c r="GW8" s="8"/>
      <c r="GY8" s="7"/>
      <c r="GZ8" s="7"/>
      <c r="HB8" s="7"/>
      <c r="HC8" s="7"/>
      <c r="HE8" s="3"/>
      <c r="HF8" s="8"/>
      <c r="HH8" s="3"/>
      <c r="HI8" s="8"/>
      <c r="HK8" s="7"/>
      <c r="HL8" s="7"/>
      <c r="HN8" s="7"/>
      <c r="HO8" s="7"/>
      <c r="HQ8" s="3"/>
      <c r="HR8" s="8"/>
      <c r="HT8" s="3"/>
      <c r="HU8" s="8"/>
      <c r="HW8" s="7"/>
      <c r="HX8" s="7"/>
      <c r="HY8" s="6"/>
      <c r="HZ8" s="7"/>
      <c r="IA8" s="7"/>
      <c r="IB8" s="12"/>
      <c r="IC8" s="3"/>
      <c r="ID8" s="8"/>
      <c r="IE8" s="14"/>
      <c r="IF8" s="3"/>
      <c r="IG8" s="8"/>
      <c r="IH8" s="10"/>
      <c r="II8" s="3"/>
      <c r="IJ8" s="8"/>
      <c r="IK8" s="3"/>
      <c r="IL8" s="8"/>
      <c r="IM8" s="3"/>
      <c r="IN8" s="8"/>
      <c r="IO8" s="10"/>
      <c r="IP8" s="3"/>
      <c r="IQ8" s="8"/>
      <c r="IR8" s="3"/>
      <c r="IS8" s="8"/>
      <c r="IT8" s="3"/>
      <c r="IU8" s="8"/>
      <c r="IV8" s="3"/>
      <c r="IW8" s="8"/>
      <c r="IX8" s="3"/>
      <c r="IY8" s="8"/>
      <c r="IZ8" s="3"/>
      <c r="JA8" s="8"/>
      <c r="JB8" s="3"/>
      <c r="JC8" s="8"/>
      <c r="JD8" s="12"/>
      <c r="JE8" s="11"/>
      <c r="JF8" s="8"/>
      <c r="JG8" s="12"/>
      <c r="JH8" s="11"/>
      <c r="JI8" s="8"/>
      <c r="JJ8" s="3"/>
      <c r="JK8" s="8"/>
      <c r="JL8" s="3"/>
      <c r="JM8" s="8"/>
      <c r="JN8" s="10"/>
      <c r="JO8" s="7"/>
      <c r="JP8" s="7"/>
      <c r="JQ8" s="7"/>
      <c r="JR8" s="7"/>
      <c r="JS8" s="10"/>
      <c r="JT8" s="7"/>
      <c r="JU8" s="7"/>
      <c r="JV8" s="7"/>
      <c r="JW8" s="7"/>
    </row>
    <row r="9" spans="1:284" x14ac:dyDescent="0.3">
      <c r="A9" s="19" t="s">
        <v>37</v>
      </c>
      <c r="B9" s="10" t="s">
        <v>38</v>
      </c>
      <c r="C9" s="9">
        <v>100</v>
      </c>
      <c r="D9" s="9">
        <v>4000</v>
      </c>
      <c r="E9" s="10" t="s">
        <v>38</v>
      </c>
      <c r="F9" s="9"/>
      <c r="G9" s="9"/>
      <c r="H9" s="6" t="s">
        <v>374</v>
      </c>
      <c r="I9" s="9">
        <v>319</v>
      </c>
      <c r="J9" s="9">
        <v>4500</v>
      </c>
      <c r="K9" s="10" t="s">
        <v>38</v>
      </c>
      <c r="L9" s="9">
        <v>77835</v>
      </c>
      <c r="M9" s="9">
        <v>340850</v>
      </c>
      <c r="N9" s="10" t="s">
        <v>38</v>
      </c>
      <c r="O9" s="9">
        <v>600</v>
      </c>
      <c r="P9" s="9">
        <v>2000</v>
      </c>
      <c r="Q9" s="10" t="s">
        <v>38</v>
      </c>
      <c r="R9" s="9"/>
      <c r="S9" s="9"/>
      <c r="T9" s="6" t="s">
        <v>374</v>
      </c>
      <c r="U9" s="9">
        <v>125</v>
      </c>
      <c r="V9" s="9">
        <v>1500</v>
      </c>
      <c r="W9" s="10" t="s">
        <v>38</v>
      </c>
      <c r="X9" s="9">
        <v>130000</v>
      </c>
      <c r="Y9" s="9">
        <v>500000</v>
      </c>
      <c r="Z9" s="10" t="s">
        <v>38</v>
      </c>
      <c r="AA9" s="9"/>
      <c r="AB9" s="9"/>
      <c r="AC9" s="10" t="s">
        <v>38</v>
      </c>
      <c r="AD9" s="9"/>
      <c r="AE9" s="9"/>
      <c r="AF9" s="6" t="s">
        <v>374</v>
      </c>
      <c r="AG9" s="9">
        <v>400</v>
      </c>
      <c r="AH9" s="9">
        <v>6000</v>
      </c>
      <c r="AI9" s="10" t="s">
        <v>38</v>
      </c>
      <c r="AJ9" s="9">
        <v>81000</v>
      </c>
      <c r="AK9" s="9">
        <v>324000</v>
      </c>
      <c r="AL9" s="10" t="s">
        <v>38</v>
      </c>
      <c r="AM9" s="9"/>
      <c r="AN9" s="9"/>
      <c r="AO9" s="10" t="s">
        <v>38</v>
      </c>
      <c r="AP9" s="9"/>
      <c r="AQ9" s="9"/>
      <c r="AR9" s="6" t="s">
        <v>374</v>
      </c>
      <c r="AS9" s="9">
        <v>750</v>
      </c>
      <c r="AT9" s="9">
        <v>15000</v>
      </c>
      <c r="AU9" s="10" t="s">
        <v>38</v>
      </c>
      <c r="AV9" s="9">
        <v>80000</v>
      </c>
      <c r="AW9" s="9">
        <v>360000</v>
      </c>
      <c r="AX9" s="10" t="s">
        <v>38</v>
      </c>
      <c r="AY9" s="9"/>
      <c r="AZ9" s="9"/>
      <c r="BA9" s="10" t="s">
        <v>38</v>
      </c>
      <c r="BB9" s="9"/>
      <c r="BC9" s="9"/>
      <c r="BD9" s="10" t="s">
        <v>38</v>
      </c>
      <c r="BE9" s="9">
        <v>100</v>
      </c>
      <c r="BF9" s="9">
        <v>2000</v>
      </c>
      <c r="BG9" s="10" t="s">
        <v>38</v>
      </c>
      <c r="BH9" s="9">
        <v>82000</v>
      </c>
      <c r="BI9" s="9">
        <v>400000</v>
      </c>
      <c r="BJ9" s="10" t="s">
        <v>38</v>
      </c>
      <c r="BK9" s="9"/>
      <c r="BL9" s="9"/>
      <c r="BM9" s="10" t="s">
        <v>38</v>
      </c>
      <c r="BN9" s="9"/>
      <c r="BO9" s="9"/>
      <c r="BP9" s="10" t="s">
        <v>38</v>
      </c>
      <c r="BQ9" s="9"/>
      <c r="BR9" s="9"/>
      <c r="BS9" s="10" t="s">
        <v>38</v>
      </c>
      <c r="BT9" s="9">
        <f>125000+500</f>
        <v>125500</v>
      </c>
      <c r="BU9" s="9">
        <f>562500+1200</f>
        <v>563700</v>
      </c>
      <c r="BV9" s="10" t="s">
        <v>38</v>
      </c>
      <c r="BW9" s="9"/>
      <c r="BX9" s="9"/>
      <c r="BY9" s="10" t="s">
        <v>38</v>
      </c>
      <c r="BZ9" s="9"/>
      <c r="CA9" s="9"/>
      <c r="CB9" s="10" t="s">
        <v>38</v>
      </c>
      <c r="CC9" s="9"/>
      <c r="CD9" s="9"/>
      <c r="CE9" s="10" t="s">
        <v>38</v>
      </c>
      <c r="CF9" s="9">
        <f>143812+325</f>
        <v>144137</v>
      </c>
      <c r="CG9" s="9">
        <f>503342+1200</f>
        <v>504542</v>
      </c>
      <c r="CH9" s="10" t="s">
        <v>38</v>
      </c>
      <c r="CI9" s="9"/>
      <c r="CJ9" s="9"/>
      <c r="CK9" s="10" t="s">
        <v>38</v>
      </c>
      <c r="CL9" s="9"/>
      <c r="CM9" s="9"/>
      <c r="CN9" s="10" t="s">
        <v>38</v>
      </c>
      <c r="CO9" s="9">
        <v>875</v>
      </c>
      <c r="CP9" s="9">
        <v>1500</v>
      </c>
      <c r="CQ9" s="10" t="s">
        <v>38</v>
      </c>
      <c r="CR9" s="9">
        <f>150000+700</f>
        <v>150700</v>
      </c>
      <c r="CS9" s="9">
        <f>400000+1700</f>
        <v>401700</v>
      </c>
      <c r="CT9" s="10" t="s">
        <v>38</v>
      </c>
      <c r="CU9" s="9"/>
      <c r="CV9" s="9"/>
      <c r="CW9" s="10" t="s">
        <v>38</v>
      </c>
      <c r="CX9" s="9"/>
      <c r="CY9" s="9"/>
      <c r="CZ9" s="10" t="s">
        <v>38</v>
      </c>
      <c r="DA9" s="9">
        <v>2320</v>
      </c>
      <c r="DB9" s="9">
        <v>4950</v>
      </c>
      <c r="DC9" s="10" t="s">
        <v>38</v>
      </c>
      <c r="DD9" s="9">
        <f>171571+380</f>
        <v>171951</v>
      </c>
      <c r="DE9" s="9">
        <f>530108+1050</f>
        <v>531158</v>
      </c>
      <c r="DF9" s="10" t="s">
        <v>38</v>
      </c>
      <c r="DG9" s="9"/>
      <c r="DH9" s="9"/>
      <c r="DI9" s="10" t="s">
        <v>38</v>
      </c>
      <c r="DJ9" s="9"/>
      <c r="DK9" s="9"/>
      <c r="DL9" s="10" t="s">
        <v>38</v>
      </c>
      <c r="DM9" s="9">
        <v>565</v>
      </c>
      <c r="DN9" s="9">
        <v>1685</v>
      </c>
      <c r="DO9" s="10" t="s">
        <v>38</v>
      </c>
      <c r="DP9" s="9">
        <f>110600+275</f>
        <v>110875</v>
      </c>
      <c r="DQ9" s="9">
        <f>680000+710</f>
        <v>680710</v>
      </c>
      <c r="DR9" s="10" t="s">
        <v>38</v>
      </c>
      <c r="DS9" s="9"/>
      <c r="DT9" s="9"/>
      <c r="DU9" s="10" t="s">
        <v>38</v>
      </c>
      <c r="DV9" s="9"/>
      <c r="DW9" s="9"/>
      <c r="DX9" s="10" t="s">
        <v>38</v>
      </c>
      <c r="DY9" s="9">
        <v>700</v>
      </c>
      <c r="DZ9" s="9">
        <v>2625</v>
      </c>
      <c r="EA9" s="10" t="s">
        <v>38</v>
      </c>
      <c r="EB9" s="9">
        <f>130000+500</f>
        <v>130500</v>
      </c>
      <c r="EC9" s="9">
        <f>620000+1500</f>
        <v>621500</v>
      </c>
      <c r="ED9" s="10" t="s">
        <v>38</v>
      </c>
      <c r="EE9" s="9"/>
      <c r="EF9" s="9"/>
      <c r="EG9" s="10" t="s">
        <v>38</v>
      </c>
      <c r="EH9" s="9"/>
      <c r="EI9" s="9"/>
      <c r="EJ9" s="10" t="s">
        <v>38</v>
      </c>
      <c r="EK9" s="9">
        <v>75</v>
      </c>
      <c r="EL9" s="9">
        <v>2000</v>
      </c>
      <c r="EM9" s="10" t="s">
        <v>38</v>
      </c>
      <c r="EN9" s="9">
        <f>115000+150</f>
        <v>115150</v>
      </c>
      <c r="EO9" s="9">
        <f>460000+500</f>
        <v>460500</v>
      </c>
      <c r="EP9" s="10" t="s">
        <v>38</v>
      </c>
      <c r="EQ9" s="9"/>
      <c r="ER9" s="9"/>
      <c r="ES9" s="10" t="s">
        <v>38</v>
      </c>
      <c r="ET9" s="9"/>
      <c r="EU9" s="9"/>
      <c r="EV9" s="10" t="s">
        <v>38</v>
      </c>
      <c r="EW9" s="9">
        <v>50</v>
      </c>
      <c r="EX9" s="9">
        <v>150</v>
      </c>
      <c r="EY9" s="10" t="s">
        <v>38</v>
      </c>
      <c r="EZ9" s="9">
        <f>140000+375</f>
        <v>140375</v>
      </c>
      <c r="FA9" s="9">
        <f>520000+1200</f>
        <v>521200</v>
      </c>
      <c r="FB9" s="10" t="s">
        <v>38</v>
      </c>
      <c r="FC9" s="9"/>
      <c r="FD9" s="9"/>
      <c r="FE9" s="10" t="s">
        <v>38</v>
      </c>
      <c r="FF9" s="9"/>
      <c r="FG9" s="9"/>
      <c r="FH9" s="10" t="s">
        <v>38</v>
      </c>
      <c r="FI9" s="9">
        <v>100</v>
      </c>
      <c r="FJ9" s="9">
        <v>250</v>
      </c>
      <c r="FK9" s="10" t="s">
        <v>38</v>
      </c>
      <c r="FL9" s="9">
        <f>150000+400</f>
        <v>150400</v>
      </c>
      <c r="FM9" s="9">
        <f>530000+1400</f>
        <v>531400</v>
      </c>
      <c r="FN9" s="10" t="s">
        <v>38</v>
      </c>
      <c r="FO9" s="9"/>
      <c r="FP9" s="9"/>
      <c r="FQ9" s="10" t="s">
        <v>38</v>
      </c>
      <c r="FR9" s="9"/>
      <c r="FS9" s="9"/>
      <c r="FT9" s="10" t="s">
        <v>38</v>
      </c>
      <c r="FU9" s="9">
        <v>300</v>
      </c>
      <c r="FV9" s="9">
        <v>900</v>
      </c>
      <c r="FW9" s="10" t="s">
        <v>38</v>
      </c>
      <c r="FX9" s="9">
        <f>140000+350</f>
        <v>140350</v>
      </c>
      <c r="FY9" s="9">
        <f>500000+1300</f>
        <v>501300</v>
      </c>
      <c r="FZ9" s="10" t="s">
        <v>38</v>
      </c>
      <c r="GA9" s="9"/>
      <c r="GB9" s="9"/>
      <c r="GC9" s="10" t="s">
        <v>38</v>
      </c>
      <c r="GD9" s="9"/>
      <c r="GE9" s="9"/>
      <c r="GF9" s="10" t="s">
        <v>38</v>
      </c>
      <c r="GG9" s="9">
        <v>300</v>
      </c>
      <c r="GH9" s="9">
        <v>800</v>
      </c>
      <c r="GI9" s="10" t="s">
        <v>38</v>
      </c>
      <c r="GJ9" s="9">
        <f>126810+301+2434</f>
        <v>129545</v>
      </c>
      <c r="GK9" s="9">
        <f>557070+1135+11314</f>
        <v>569519</v>
      </c>
      <c r="GL9" s="10" t="s">
        <v>38</v>
      </c>
      <c r="GM9" s="7"/>
      <c r="GN9" s="7"/>
      <c r="GO9" s="10" t="s">
        <v>38</v>
      </c>
      <c r="GP9" s="7"/>
      <c r="GQ9" s="7"/>
      <c r="GR9" s="10" t="s">
        <v>38</v>
      </c>
      <c r="GS9" s="7">
        <v>350</v>
      </c>
      <c r="GT9" s="7">
        <v>900</v>
      </c>
      <c r="GU9" s="6" t="s">
        <v>38</v>
      </c>
      <c r="GV9" s="9">
        <f>155900+200+2450</f>
        <v>158550</v>
      </c>
      <c r="GW9" s="9">
        <f>671100+500+12000</f>
        <v>683600</v>
      </c>
      <c r="GX9" s="10" t="s">
        <v>38</v>
      </c>
      <c r="GY9" s="7"/>
      <c r="GZ9" s="7"/>
      <c r="HA9" s="10" t="s">
        <v>38</v>
      </c>
      <c r="HB9" s="7"/>
      <c r="HC9" s="7"/>
      <c r="HD9" s="10" t="s">
        <v>38</v>
      </c>
      <c r="HE9" s="9">
        <v>300</v>
      </c>
      <c r="HF9" s="9">
        <v>900</v>
      </c>
      <c r="HG9" s="10" t="s">
        <v>38</v>
      </c>
      <c r="HH9" s="9">
        <f>140000+250+2000</f>
        <v>142250</v>
      </c>
      <c r="HI9" s="9">
        <f>600000+650+10000</f>
        <v>610650</v>
      </c>
      <c r="HJ9" s="10" t="s">
        <v>38</v>
      </c>
      <c r="HK9" s="7"/>
      <c r="HL9" s="7"/>
      <c r="HM9" s="10" t="s">
        <v>38</v>
      </c>
      <c r="HN9" s="7"/>
      <c r="HO9" s="7"/>
      <c r="HP9" s="10" t="s">
        <v>38</v>
      </c>
      <c r="HQ9" s="9"/>
      <c r="HR9" s="9"/>
      <c r="HS9" s="10" t="s">
        <v>38</v>
      </c>
      <c r="HT9" s="9">
        <f>143760+150+100</f>
        <v>144010</v>
      </c>
      <c r="HU9" s="9">
        <f>687500+380+550</f>
        <v>688430</v>
      </c>
      <c r="HV9" s="10" t="s">
        <v>38</v>
      </c>
      <c r="HW9" s="7"/>
      <c r="HX9" s="7"/>
      <c r="HY9" s="10" t="s">
        <v>38</v>
      </c>
      <c r="HZ9" s="7"/>
      <c r="IA9" s="7"/>
      <c r="IB9" s="10" t="s">
        <v>38</v>
      </c>
      <c r="IC9" s="9"/>
      <c r="ID9" s="9"/>
      <c r="IE9" s="6" t="s">
        <v>38</v>
      </c>
      <c r="IF9" s="9">
        <f>130035+170+1200</f>
        <v>131405</v>
      </c>
      <c r="IG9" s="9">
        <f>622895+60+7000</f>
        <v>629955</v>
      </c>
      <c r="IH9" t="s">
        <v>6</v>
      </c>
      <c r="II9" s="9">
        <v>11370</v>
      </c>
      <c r="IJ9" s="9">
        <v>707500</v>
      </c>
      <c r="IK9" s="9">
        <v>11370</v>
      </c>
      <c r="IL9" s="9">
        <v>707500</v>
      </c>
      <c r="IM9" s="7">
        <v>11259</v>
      </c>
      <c r="IN9" s="7">
        <v>700000</v>
      </c>
      <c r="IO9" t="s">
        <v>6</v>
      </c>
      <c r="IP9" s="7">
        <v>11000</v>
      </c>
      <c r="IQ9" s="7">
        <v>1000000</v>
      </c>
      <c r="IR9" s="7">
        <v>10000</v>
      </c>
      <c r="IS9" s="7">
        <v>900000</v>
      </c>
      <c r="IT9" s="7">
        <v>9000</v>
      </c>
      <c r="IU9" s="7">
        <v>810000</v>
      </c>
      <c r="IV9" s="7">
        <v>8782</v>
      </c>
      <c r="IW9" s="7">
        <v>700159</v>
      </c>
      <c r="IX9" s="7">
        <v>8961</v>
      </c>
      <c r="IY9" s="7">
        <v>841619</v>
      </c>
      <c r="IZ9" s="7">
        <v>9500</v>
      </c>
      <c r="JA9" s="7">
        <v>983000</v>
      </c>
      <c r="JB9" s="7">
        <v>9600</v>
      </c>
      <c r="JC9" s="7">
        <v>1075200</v>
      </c>
      <c r="JD9" s="10" t="s">
        <v>6</v>
      </c>
      <c r="JE9" s="7">
        <v>14000</v>
      </c>
      <c r="JF9" s="7">
        <v>1120000</v>
      </c>
      <c r="JG9" t="s">
        <v>6</v>
      </c>
      <c r="JH9" s="7">
        <v>17500</v>
      </c>
      <c r="JI9" s="7">
        <v>122500</v>
      </c>
      <c r="JJ9" s="7">
        <v>20000</v>
      </c>
      <c r="JK9" s="7">
        <v>160000</v>
      </c>
      <c r="JL9" s="7">
        <v>12000</v>
      </c>
      <c r="JM9" s="7">
        <v>110000</v>
      </c>
      <c r="JN9" t="s">
        <v>6</v>
      </c>
      <c r="JO9" s="7">
        <v>15635</v>
      </c>
      <c r="JP9" s="7">
        <v>140715</v>
      </c>
      <c r="JQ9" s="7">
        <v>15330</v>
      </c>
      <c r="JR9" s="7">
        <v>139503</v>
      </c>
      <c r="JS9" t="s">
        <v>6</v>
      </c>
      <c r="JT9" s="7">
        <v>6585</v>
      </c>
      <c r="JU9" s="7">
        <v>66654</v>
      </c>
      <c r="JV9" s="7">
        <v>6605</v>
      </c>
      <c r="JW9" s="7">
        <v>73366</v>
      </c>
      <c r="JX9" s="7"/>
    </row>
    <row r="10" spans="1:284" x14ac:dyDescent="0.3">
      <c r="A10" s="19" t="s">
        <v>37</v>
      </c>
      <c r="B10" s="10" t="s">
        <v>39</v>
      </c>
      <c r="C10" s="9"/>
      <c r="D10" s="9"/>
      <c r="E10" s="10" t="s">
        <v>39</v>
      </c>
      <c r="F10" s="9"/>
      <c r="G10" s="9"/>
      <c r="H10" s="10" t="s">
        <v>39</v>
      </c>
      <c r="I10" s="9"/>
      <c r="J10" s="9"/>
      <c r="K10" s="6" t="s">
        <v>39</v>
      </c>
      <c r="L10" s="9">
        <v>30650</v>
      </c>
      <c r="M10" s="9">
        <v>55500</v>
      </c>
      <c r="N10" s="10" t="s">
        <v>39</v>
      </c>
      <c r="O10" s="9"/>
      <c r="P10" s="9"/>
      <c r="Q10" s="10" t="s">
        <v>39</v>
      </c>
      <c r="R10" s="9"/>
      <c r="S10" s="9"/>
      <c r="T10" s="10" t="s">
        <v>39</v>
      </c>
      <c r="U10" s="9"/>
      <c r="V10" s="9"/>
      <c r="W10" s="6" t="s">
        <v>38</v>
      </c>
      <c r="X10" s="9">
        <v>20000</v>
      </c>
      <c r="Y10" s="9">
        <v>32000</v>
      </c>
      <c r="Z10" s="10" t="s">
        <v>39</v>
      </c>
      <c r="AA10" s="9"/>
      <c r="AB10" s="9"/>
      <c r="AC10" s="10" t="s">
        <v>39</v>
      </c>
      <c r="AD10" s="9"/>
      <c r="AE10" s="9"/>
      <c r="AF10" s="10" t="s">
        <v>39</v>
      </c>
      <c r="AG10" s="9"/>
      <c r="AH10" s="9"/>
      <c r="AI10" s="10" t="s">
        <v>39</v>
      </c>
      <c r="AJ10" s="9">
        <v>625</v>
      </c>
      <c r="AK10" s="9">
        <v>1000</v>
      </c>
      <c r="AL10" s="10" t="s">
        <v>39</v>
      </c>
      <c r="AM10" s="9"/>
      <c r="AN10" s="9"/>
      <c r="AO10" s="10" t="s">
        <v>39</v>
      </c>
      <c r="AP10" s="9"/>
      <c r="AQ10" s="9"/>
      <c r="AR10" s="10" t="s">
        <v>39</v>
      </c>
      <c r="AS10" s="9"/>
      <c r="AT10" s="9"/>
      <c r="AU10" s="10" t="s">
        <v>39</v>
      </c>
      <c r="AV10" s="9">
        <v>1000</v>
      </c>
      <c r="AW10" s="9">
        <v>2000</v>
      </c>
      <c r="AX10" s="10" t="s">
        <v>39</v>
      </c>
      <c r="AY10" s="9"/>
      <c r="AZ10" s="9"/>
      <c r="BA10" s="10" t="s">
        <v>39</v>
      </c>
      <c r="BB10" s="9"/>
      <c r="BC10" s="9"/>
      <c r="BD10" s="10" t="s">
        <v>39</v>
      </c>
      <c r="BE10" s="9"/>
      <c r="BF10" s="9"/>
      <c r="BG10" s="10" t="s">
        <v>39</v>
      </c>
      <c r="BH10" s="9">
        <v>7000</v>
      </c>
      <c r="BI10" s="9">
        <v>15000</v>
      </c>
      <c r="BJ10" s="10" t="s">
        <v>39</v>
      </c>
      <c r="BK10" s="9"/>
      <c r="BL10" s="9"/>
      <c r="BM10" s="10" t="s">
        <v>39</v>
      </c>
      <c r="BN10" s="9"/>
      <c r="BO10" s="9"/>
      <c r="BP10" s="10" t="s">
        <v>39</v>
      </c>
      <c r="BQ10" s="9"/>
      <c r="BR10" s="9"/>
      <c r="BS10" s="10" t="s">
        <v>39</v>
      </c>
      <c r="BT10" s="9">
        <v>1500</v>
      </c>
      <c r="BU10" s="9">
        <v>3700</v>
      </c>
      <c r="BV10" s="10" t="s">
        <v>39</v>
      </c>
      <c r="BW10" s="9"/>
      <c r="BX10" s="9"/>
      <c r="BY10" s="10" t="s">
        <v>39</v>
      </c>
      <c r="BZ10" s="9"/>
      <c r="CA10" s="9"/>
      <c r="CB10" s="10" t="s">
        <v>39</v>
      </c>
      <c r="CC10" s="9"/>
      <c r="CD10" s="9"/>
      <c r="CE10" s="10" t="s">
        <v>39</v>
      </c>
      <c r="CF10" s="9">
        <v>300</v>
      </c>
      <c r="CG10" s="9">
        <v>800</v>
      </c>
      <c r="CH10" s="10" t="s">
        <v>39</v>
      </c>
      <c r="CI10" s="9"/>
      <c r="CJ10" s="9"/>
      <c r="CK10" s="10" t="s">
        <v>39</v>
      </c>
      <c r="CL10" s="9"/>
      <c r="CM10" s="9"/>
      <c r="CN10" s="10" t="s">
        <v>39</v>
      </c>
      <c r="CO10" s="9"/>
      <c r="CP10" s="9"/>
      <c r="CQ10" s="10" t="s">
        <v>39</v>
      </c>
      <c r="CR10" s="9">
        <v>200</v>
      </c>
      <c r="CS10" s="9">
        <v>500</v>
      </c>
      <c r="CT10" s="10" t="s">
        <v>39</v>
      </c>
      <c r="CU10" s="9"/>
      <c r="CV10" s="9"/>
      <c r="CW10" s="10" t="s">
        <v>39</v>
      </c>
      <c r="CX10" s="9"/>
      <c r="CY10" s="9"/>
      <c r="CZ10" s="10" t="s">
        <v>39</v>
      </c>
      <c r="DA10" s="9"/>
      <c r="DB10" s="9"/>
      <c r="DC10" s="10" t="s">
        <v>39</v>
      </c>
      <c r="DD10" s="9">
        <v>124</v>
      </c>
      <c r="DE10" s="9">
        <v>340</v>
      </c>
      <c r="DF10" s="10" t="s">
        <v>39</v>
      </c>
      <c r="DG10" s="9"/>
      <c r="DH10" s="9"/>
      <c r="DI10" s="10" t="s">
        <v>39</v>
      </c>
      <c r="DJ10" s="9"/>
      <c r="DK10" s="9"/>
      <c r="DL10" s="10" t="s">
        <v>39</v>
      </c>
      <c r="DM10" s="9"/>
      <c r="DN10" s="9"/>
      <c r="DO10" s="10" t="s">
        <v>39</v>
      </c>
      <c r="DP10" s="9">
        <v>2150</v>
      </c>
      <c r="DQ10" s="9">
        <v>4318</v>
      </c>
      <c r="DR10" s="10" t="s">
        <v>39</v>
      </c>
      <c r="DS10" s="9"/>
      <c r="DT10" s="9"/>
      <c r="DU10" s="10" t="s">
        <v>39</v>
      </c>
      <c r="DV10" s="9"/>
      <c r="DW10" s="9"/>
      <c r="DX10" s="10" t="s">
        <v>39</v>
      </c>
      <c r="DY10" s="9"/>
      <c r="DZ10" s="9"/>
      <c r="EA10" s="10" t="s">
        <v>39</v>
      </c>
      <c r="EB10" s="9">
        <v>5000</v>
      </c>
      <c r="EC10" s="9">
        <v>10000</v>
      </c>
      <c r="ED10" s="10" t="s">
        <v>39</v>
      </c>
      <c r="EE10" s="9"/>
      <c r="EF10" s="9"/>
      <c r="EG10" s="10" t="s">
        <v>39</v>
      </c>
      <c r="EH10" s="9"/>
      <c r="EI10" s="9"/>
      <c r="EJ10" s="10" t="s">
        <v>39</v>
      </c>
      <c r="EK10" s="9"/>
      <c r="EL10" s="9"/>
      <c r="EM10" s="10" t="s">
        <v>39</v>
      </c>
      <c r="EN10" s="9">
        <v>2500</v>
      </c>
      <c r="EO10" s="9">
        <v>4000</v>
      </c>
      <c r="EP10" s="10" t="s">
        <v>39</v>
      </c>
      <c r="EQ10" s="9"/>
      <c r="ER10" s="9"/>
      <c r="ES10" s="10" t="s">
        <v>39</v>
      </c>
      <c r="ET10" s="9"/>
      <c r="EU10" s="9"/>
      <c r="EV10" s="10" t="s">
        <v>39</v>
      </c>
      <c r="EW10" s="9"/>
      <c r="EX10" s="9"/>
      <c r="EY10" s="10" t="s">
        <v>39</v>
      </c>
      <c r="EZ10" s="9">
        <f>450</f>
        <v>450</v>
      </c>
      <c r="FA10" s="9">
        <v>1000</v>
      </c>
      <c r="FB10" s="10" t="s">
        <v>39</v>
      </c>
      <c r="FC10" s="9"/>
      <c r="FD10" s="9"/>
      <c r="FE10" s="10" t="s">
        <v>39</v>
      </c>
      <c r="FF10" s="9"/>
      <c r="FG10" s="9"/>
      <c r="FH10" s="10" t="s">
        <v>39</v>
      </c>
      <c r="FI10" s="9"/>
      <c r="FJ10" s="9"/>
      <c r="FK10" s="10" t="s">
        <v>39</v>
      </c>
      <c r="FL10" s="9">
        <v>500</v>
      </c>
      <c r="FM10" s="9">
        <v>1200</v>
      </c>
      <c r="FN10" s="10" t="s">
        <v>39</v>
      </c>
      <c r="FO10" s="9"/>
      <c r="FP10" s="9"/>
      <c r="FQ10" s="10" t="s">
        <v>39</v>
      </c>
      <c r="FR10" s="9"/>
      <c r="FS10" s="9"/>
      <c r="FT10" s="10" t="s">
        <v>39</v>
      </c>
      <c r="FU10" s="9"/>
      <c r="FV10" s="9"/>
      <c r="FW10" s="10" t="s">
        <v>39</v>
      </c>
      <c r="FX10" s="9">
        <v>600</v>
      </c>
      <c r="FY10" s="9">
        <v>1500</v>
      </c>
      <c r="FZ10" s="10" t="s">
        <v>39</v>
      </c>
      <c r="GA10" s="9"/>
      <c r="GB10" s="9"/>
      <c r="GC10" s="10" t="s">
        <v>39</v>
      </c>
      <c r="GD10" s="9"/>
      <c r="GE10" s="9"/>
      <c r="GF10" s="10" t="s">
        <v>39</v>
      </c>
      <c r="GG10" s="9"/>
      <c r="GH10" s="9"/>
      <c r="GI10" s="10" t="s">
        <v>39</v>
      </c>
      <c r="GJ10" s="9">
        <v>396</v>
      </c>
      <c r="GK10" s="9">
        <v>1135</v>
      </c>
      <c r="GL10" s="10" t="s">
        <v>39</v>
      </c>
      <c r="GM10" s="7"/>
      <c r="GN10" s="7"/>
      <c r="GO10" s="10" t="s">
        <v>39</v>
      </c>
      <c r="GP10" s="7"/>
      <c r="GQ10" s="7"/>
      <c r="GR10" s="10" t="s">
        <v>39</v>
      </c>
      <c r="GS10" s="7"/>
      <c r="GT10" s="7"/>
      <c r="GU10" s="6" t="s">
        <v>39</v>
      </c>
      <c r="GV10" s="9">
        <f>400</f>
        <v>400</v>
      </c>
      <c r="GW10" s="9">
        <f>1200</f>
        <v>1200</v>
      </c>
      <c r="GX10" s="10" t="s">
        <v>39</v>
      </c>
      <c r="GY10" s="7"/>
      <c r="GZ10" s="7"/>
      <c r="HA10" s="10" t="s">
        <v>39</v>
      </c>
      <c r="HB10" s="7"/>
      <c r="HC10" s="7"/>
      <c r="HD10" s="10" t="s">
        <v>39</v>
      </c>
      <c r="HE10" s="9"/>
      <c r="HF10" s="9"/>
      <c r="HG10" s="10" t="s">
        <v>39</v>
      </c>
      <c r="HH10" s="9">
        <f>500</f>
        <v>500</v>
      </c>
      <c r="HI10" s="9">
        <v>1400</v>
      </c>
      <c r="HJ10" s="10" t="s">
        <v>39</v>
      </c>
      <c r="HK10" s="7"/>
      <c r="HL10" s="7"/>
      <c r="HM10" s="10" t="s">
        <v>39</v>
      </c>
      <c r="HN10" s="7"/>
      <c r="HO10" s="7"/>
      <c r="HP10" s="10" t="s">
        <v>39</v>
      </c>
      <c r="HQ10" s="9"/>
      <c r="HR10" s="9"/>
      <c r="HS10" s="10" t="s">
        <v>39</v>
      </c>
      <c r="HT10" s="9">
        <v>300</v>
      </c>
      <c r="HU10" s="9">
        <v>900</v>
      </c>
      <c r="HV10" s="10" t="s">
        <v>39</v>
      </c>
      <c r="HW10" s="7"/>
      <c r="HX10" s="7"/>
      <c r="HY10" s="10" t="s">
        <v>39</v>
      </c>
      <c r="HZ10" s="7"/>
      <c r="IA10" s="7"/>
      <c r="IB10" s="10" t="s">
        <v>39</v>
      </c>
      <c r="IC10" s="9"/>
      <c r="ID10" s="9"/>
      <c r="IE10" s="6" t="s">
        <v>39</v>
      </c>
      <c r="IF10" s="9">
        <f>150</f>
        <v>150</v>
      </c>
      <c r="IG10" s="9">
        <v>450</v>
      </c>
      <c r="II10" s="9"/>
      <c r="IJ10" s="9"/>
      <c r="IK10" s="9"/>
      <c r="IL10" s="9"/>
      <c r="IM10" s="7"/>
      <c r="IN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E10" s="7"/>
      <c r="JF10" s="7"/>
      <c r="JH10" s="7"/>
      <c r="JI10" s="7"/>
      <c r="JJ10" s="7"/>
      <c r="JK10" s="7"/>
      <c r="JL10" s="7"/>
      <c r="JM10" s="7"/>
      <c r="JO10" s="7"/>
      <c r="JP10" s="7"/>
      <c r="JQ10" s="7"/>
      <c r="JR10" s="7"/>
      <c r="JT10" s="7"/>
      <c r="JU10" s="7"/>
      <c r="JV10" s="7"/>
      <c r="JW10" s="7"/>
      <c r="JX10" s="7"/>
    </row>
    <row r="11" spans="1:284" x14ac:dyDescent="0.3">
      <c r="A11" s="19" t="s">
        <v>155</v>
      </c>
      <c r="B11" s="10" t="s">
        <v>38</v>
      </c>
      <c r="C11" s="7"/>
      <c r="D11" s="7"/>
      <c r="E11" s="10" t="s">
        <v>38</v>
      </c>
      <c r="F11" s="7"/>
      <c r="G11" s="7"/>
      <c r="H11" s="10" t="s">
        <v>38</v>
      </c>
      <c r="I11" s="9"/>
      <c r="J11" s="9"/>
      <c r="K11" s="10" t="s">
        <v>38</v>
      </c>
      <c r="L11" s="7"/>
      <c r="M11" s="7"/>
      <c r="N11" s="10" t="s">
        <v>38</v>
      </c>
      <c r="O11" s="7"/>
      <c r="P11" s="7"/>
      <c r="Q11" s="10" t="s">
        <v>38</v>
      </c>
      <c r="R11" s="7"/>
      <c r="S11" s="7"/>
      <c r="T11" s="10" t="s">
        <v>38</v>
      </c>
      <c r="U11" s="9"/>
      <c r="V11" s="9"/>
      <c r="W11" s="10" t="s">
        <v>38</v>
      </c>
      <c r="X11" s="7"/>
      <c r="Y11" s="7"/>
      <c r="Z11" s="10" t="s">
        <v>38</v>
      </c>
      <c r="AA11" s="7"/>
      <c r="AB11" s="7"/>
      <c r="AC11" s="10" t="s">
        <v>38</v>
      </c>
      <c r="AD11" s="7"/>
      <c r="AE11" s="7"/>
      <c r="AF11" s="10" t="s">
        <v>38</v>
      </c>
      <c r="AG11" s="9"/>
      <c r="AH11" s="9"/>
      <c r="AI11" s="10" t="s">
        <v>38</v>
      </c>
      <c r="AJ11" s="7"/>
      <c r="AK11" s="7"/>
      <c r="AL11" s="10" t="s">
        <v>38</v>
      </c>
      <c r="AM11" s="7"/>
      <c r="AN11" s="7"/>
      <c r="AO11" s="10" t="s">
        <v>38</v>
      </c>
      <c r="AP11" s="7"/>
      <c r="AQ11" s="7"/>
      <c r="AR11" s="10" t="s">
        <v>38</v>
      </c>
      <c r="AS11" s="9"/>
      <c r="AT11" s="9"/>
      <c r="AU11" s="10" t="s">
        <v>38</v>
      </c>
      <c r="AV11" s="7"/>
      <c r="AW11" s="7"/>
      <c r="AX11" s="10" t="s">
        <v>38</v>
      </c>
      <c r="AY11" s="7"/>
      <c r="AZ11" s="7"/>
      <c r="BA11" s="10" t="s">
        <v>38</v>
      </c>
      <c r="BB11" s="7"/>
      <c r="BC11" s="7"/>
      <c r="BD11" s="10" t="s">
        <v>38</v>
      </c>
      <c r="BE11" s="9"/>
      <c r="BF11" s="9"/>
      <c r="BG11" s="10" t="s">
        <v>38</v>
      </c>
      <c r="BH11" s="7"/>
      <c r="BI11" s="7"/>
      <c r="BJ11" s="10" t="s">
        <v>38</v>
      </c>
      <c r="BK11" s="7"/>
      <c r="BL11" s="7"/>
      <c r="BM11" s="10" t="s">
        <v>38</v>
      </c>
      <c r="BN11" s="7"/>
      <c r="BO11" s="7"/>
      <c r="BP11" s="10" t="s">
        <v>38</v>
      </c>
      <c r="BQ11" s="9"/>
      <c r="BR11" s="9"/>
      <c r="BS11" s="10" t="s">
        <v>38</v>
      </c>
      <c r="BT11" s="7"/>
      <c r="BU11" s="7"/>
      <c r="BV11" s="10" t="s">
        <v>38</v>
      </c>
      <c r="BW11" s="7"/>
      <c r="BX11" s="7"/>
      <c r="BY11" s="10" t="s">
        <v>38</v>
      </c>
      <c r="BZ11" s="7"/>
      <c r="CA11" s="7"/>
      <c r="CB11" s="10" t="s">
        <v>38</v>
      </c>
      <c r="CC11" s="9"/>
      <c r="CD11" s="9"/>
      <c r="CE11" s="10" t="s">
        <v>38</v>
      </c>
      <c r="CF11" s="7"/>
      <c r="CG11" s="7"/>
      <c r="CH11" s="10" t="s">
        <v>38</v>
      </c>
      <c r="CI11" s="7"/>
      <c r="CJ11" s="7"/>
      <c r="CK11" s="10" t="s">
        <v>38</v>
      </c>
      <c r="CL11" s="7"/>
      <c r="CM11" s="7"/>
      <c r="CN11" s="10" t="s">
        <v>38</v>
      </c>
      <c r="CO11" s="9"/>
      <c r="CP11" s="9"/>
      <c r="CQ11" s="10" t="s">
        <v>38</v>
      </c>
      <c r="CR11" s="7"/>
      <c r="CS11" s="7"/>
      <c r="CT11" s="10" t="s">
        <v>38</v>
      </c>
      <c r="CU11" s="7"/>
      <c r="CV11" s="7"/>
      <c r="CW11" s="10" t="s">
        <v>38</v>
      </c>
      <c r="CX11" s="7"/>
      <c r="CY11" s="7"/>
      <c r="CZ11" s="10" t="s">
        <v>38</v>
      </c>
      <c r="DA11" s="9"/>
      <c r="DB11" s="9"/>
      <c r="DC11" s="10" t="s">
        <v>38</v>
      </c>
      <c r="DD11" s="7"/>
      <c r="DE11" s="7"/>
      <c r="DF11" s="10" t="s">
        <v>38</v>
      </c>
      <c r="DG11" s="7"/>
      <c r="DH11" s="7"/>
      <c r="DI11" s="10" t="s">
        <v>38</v>
      </c>
      <c r="DJ11" s="7"/>
      <c r="DK11" s="7"/>
      <c r="DL11" s="10" t="s">
        <v>38</v>
      </c>
      <c r="DM11" s="9"/>
      <c r="DN11" s="9"/>
      <c r="DO11" s="10" t="s">
        <v>38</v>
      </c>
      <c r="DP11" s="7"/>
      <c r="DQ11" s="7"/>
      <c r="DR11" s="10" t="s">
        <v>38</v>
      </c>
      <c r="DS11" s="7"/>
      <c r="DT11" s="7"/>
      <c r="DU11" s="10" t="s">
        <v>38</v>
      </c>
      <c r="DV11" s="7"/>
      <c r="DW11" s="7"/>
      <c r="DX11" s="10" t="s">
        <v>38</v>
      </c>
      <c r="DY11" s="9"/>
      <c r="DZ11" s="9"/>
      <c r="EA11" s="10" t="s">
        <v>38</v>
      </c>
      <c r="EB11" s="7"/>
      <c r="EC11" s="7"/>
      <c r="ED11" s="10" t="s">
        <v>38</v>
      </c>
      <c r="EE11" s="7"/>
      <c r="EF11" s="7"/>
      <c r="EG11" s="10" t="s">
        <v>38</v>
      </c>
      <c r="EH11" s="7"/>
      <c r="EI11" s="7"/>
      <c r="EJ11" s="10" t="s">
        <v>38</v>
      </c>
      <c r="EK11" s="9"/>
      <c r="EL11" s="9"/>
      <c r="EM11" s="10" t="s">
        <v>38</v>
      </c>
      <c r="EN11" s="7"/>
      <c r="EO11" s="7"/>
      <c r="EP11" s="10" t="s">
        <v>38</v>
      </c>
      <c r="EQ11" s="7"/>
      <c r="ER11" s="7"/>
      <c r="ES11" s="10" t="s">
        <v>38</v>
      </c>
      <c r="ET11" s="7"/>
      <c r="EU11" s="7"/>
      <c r="EV11" s="10" t="s">
        <v>38</v>
      </c>
      <c r="EW11" s="9"/>
      <c r="EX11" s="9"/>
      <c r="EY11" s="10" t="s">
        <v>38</v>
      </c>
      <c r="EZ11" s="7"/>
      <c r="FA11" s="7"/>
      <c r="FB11" s="10" t="s">
        <v>38</v>
      </c>
      <c r="FC11" s="7"/>
      <c r="FD11" s="7"/>
      <c r="FE11" s="10" t="s">
        <v>38</v>
      </c>
      <c r="FF11" s="7"/>
      <c r="FG11" s="7"/>
      <c r="FH11" s="10" t="s">
        <v>38</v>
      </c>
      <c r="FI11" s="9"/>
      <c r="FJ11" s="9"/>
      <c r="FK11" s="10" t="s">
        <v>38</v>
      </c>
      <c r="FL11" s="7"/>
      <c r="FM11" s="7"/>
      <c r="FN11" s="10" t="s">
        <v>38</v>
      </c>
      <c r="FO11" s="7"/>
      <c r="FP11" s="7"/>
      <c r="FQ11" s="10" t="s">
        <v>38</v>
      </c>
      <c r="FR11" s="7"/>
      <c r="FS11" s="7"/>
      <c r="FT11" s="10" t="s">
        <v>38</v>
      </c>
      <c r="FU11" s="9"/>
      <c r="FV11" s="9"/>
      <c r="FW11" s="10" t="s">
        <v>38</v>
      </c>
      <c r="FX11" s="7"/>
      <c r="FY11" s="7"/>
      <c r="FZ11" s="10" t="s">
        <v>38</v>
      </c>
      <c r="GA11" s="7"/>
      <c r="GB11" s="7"/>
      <c r="GC11" s="10" t="s">
        <v>38</v>
      </c>
      <c r="GD11" s="7"/>
      <c r="GE11" s="7"/>
      <c r="GF11" s="10" t="s">
        <v>38</v>
      </c>
      <c r="GG11" s="7"/>
      <c r="GH11" s="7"/>
      <c r="GI11" s="10" t="s">
        <v>38</v>
      </c>
      <c r="GJ11" s="7"/>
      <c r="GK11" s="7"/>
      <c r="GL11" s="10" t="s">
        <v>38</v>
      </c>
      <c r="GM11" s="7"/>
      <c r="GN11" s="7"/>
      <c r="GO11" s="10" t="s">
        <v>38</v>
      </c>
      <c r="GP11" s="7"/>
      <c r="GQ11" s="7"/>
      <c r="GR11" s="10" t="s">
        <v>38</v>
      </c>
      <c r="GS11" s="7"/>
      <c r="GT11" s="7"/>
      <c r="GU11" s="6" t="s">
        <v>38</v>
      </c>
      <c r="GV11" s="7"/>
      <c r="GW11" s="7"/>
      <c r="GX11" s="10" t="s">
        <v>38</v>
      </c>
      <c r="GY11" s="7"/>
      <c r="GZ11" s="7"/>
      <c r="HA11" s="10" t="s">
        <v>38</v>
      </c>
      <c r="HB11" s="7"/>
      <c r="HC11" s="7"/>
      <c r="HD11" s="10" t="s">
        <v>38</v>
      </c>
      <c r="HE11" s="7"/>
      <c r="HF11" s="7"/>
      <c r="HG11" s="10" t="s">
        <v>38</v>
      </c>
      <c r="HH11" s="7"/>
      <c r="HI11" s="7"/>
      <c r="HJ11" s="10" t="s">
        <v>38</v>
      </c>
      <c r="HK11" s="7"/>
      <c r="HL11" s="7"/>
      <c r="HM11" s="10" t="s">
        <v>38</v>
      </c>
      <c r="HN11" s="7"/>
      <c r="HO11" s="7"/>
      <c r="HP11" s="10" t="s">
        <v>38</v>
      </c>
      <c r="HQ11" s="7"/>
      <c r="HR11" s="7"/>
      <c r="HS11" s="10" t="s">
        <v>38</v>
      </c>
      <c r="HT11" s="7"/>
      <c r="HU11" s="7"/>
      <c r="HV11" s="10" t="s">
        <v>38</v>
      </c>
      <c r="HW11" s="7"/>
      <c r="HX11" s="7"/>
      <c r="HY11" s="10" t="s">
        <v>38</v>
      </c>
      <c r="HZ11" s="7"/>
      <c r="IA11" s="7"/>
      <c r="IB11" s="10" t="s">
        <v>38</v>
      </c>
      <c r="IC11" s="7"/>
      <c r="ID11" s="7"/>
      <c r="IE11" s="6" t="s">
        <v>38</v>
      </c>
      <c r="IF11" s="7"/>
      <c r="IG11" s="7"/>
      <c r="IH11" s="10" t="s">
        <v>6</v>
      </c>
      <c r="II11" s="7">
        <f>1000+375+2125</f>
        <v>3500</v>
      </c>
      <c r="IJ11" s="7">
        <f>40000+15000+85000</f>
        <v>140000</v>
      </c>
      <c r="IK11" s="7">
        <f>1250+500+2500</f>
        <v>4250</v>
      </c>
      <c r="IL11" s="7">
        <f>50000+20000+100000</f>
        <v>170000</v>
      </c>
      <c r="IM11" s="7">
        <f>1500+750+3000</f>
        <v>5250</v>
      </c>
      <c r="IN11" s="7">
        <f>60000+30000+120000</f>
        <v>210000</v>
      </c>
      <c r="IO11" t="s">
        <v>6</v>
      </c>
      <c r="IP11" s="7">
        <f>3500+250+200</f>
        <v>3950</v>
      </c>
      <c r="IQ11" s="7">
        <f>245000+15000+15000</f>
        <v>275000</v>
      </c>
      <c r="IR11" s="7">
        <f>3000+300+300</f>
        <v>3600</v>
      </c>
      <c r="IS11" s="7">
        <f>200000+18000+18000</f>
        <v>236000</v>
      </c>
      <c r="IT11" s="7">
        <f>1900+480+1000</f>
        <v>3380</v>
      </c>
      <c r="IU11" s="7">
        <f>133000+89110+72560</f>
        <v>294670</v>
      </c>
      <c r="IV11" s="7">
        <f>223+330+3800</f>
        <v>4353</v>
      </c>
      <c r="IW11" s="7">
        <f>10368+14685+168685</f>
        <v>193738</v>
      </c>
      <c r="IX11" s="7">
        <f>77+904+1031</f>
        <v>2012</v>
      </c>
      <c r="IY11" s="7">
        <f>1174+48215+54019</f>
        <v>103408</v>
      </c>
      <c r="IZ11" s="7">
        <f>16+25+3330</f>
        <v>3371</v>
      </c>
      <c r="JA11" s="7">
        <f>800+1200+113300</f>
        <v>115300</v>
      </c>
      <c r="JB11" s="7">
        <f>18+71+3590</f>
        <v>3679</v>
      </c>
      <c r="JC11" s="7">
        <f>970+4220+148400</f>
        <v>153590</v>
      </c>
      <c r="JD11" s="6" t="s">
        <v>6</v>
      </c>
      <c r="JE11" s="7">
        <v>2108</v>
      </c>
      <c r="JF11" s="7">
        <f>500+100900+8000</f>
        <v>109400</v>
      </c>
      <c r="JG11" t="s">
        <v>6</v>
      </c>
      <c r="JH11" s="7">
        <v>3300</v>
      </c>
      <c r="JI11" s="7">
        <v>18200</v>
      </c>
      <c r="JJ11" s="7">
        <v>2500</v>
      </c>
      <c r="JK11" s="7">
        <v>12800</v>
      </c>
      <c r="JL11" s="7">
        <v>2400</v>
      </c>
      <c r="JM11" s="7">
        <v>12600</v>
      </c>
      <c r="JN11" s="6" t="s">
        <v>7</v>
      </c>
      <c r="JO11" s="7">
        <v>65420</v>
      </c>
      <c r="JP11" s="7">
        <v>19654</v>
      </c>
      <c r="JQ11" s="7">
        <v>65200</v>
      </c>
      <c r="JR11" s="7">
        <v>20148</v>
      </c>
      <c r="JS11" s="10" t="s">
        <v>7</v>
      </c>
      <c r="JU11" s="7"/>
      <c r="JV11" s="7"/>
      <c r="JW11" s="7"/>
      <c r="JX11" s="7"/>
    </row>
    <row r="12" spans="1:284" x14ac:dyDescent="0.3">
      <c r="A12" s="19" t="s">
        <v>358</v>
      </c>
      <c r="B12" s="10" t="s">
        <v>38</v>
      </c>
      <c r="C12" s="7"/>
      <c r="D12" s="7"/>
      <c r="E12" s="10" t="s">
        <v>38</v>
      </c>
      <c r="F12" s="7"/>
      <c r="G12" s="7"/>
      <c r="H12" s="10" t="s">
        <v>38</v>
      </c>
      <c r="I12" s="9"/>
      <c r="J12" s="9"/>
      <c r="K12" s="10" t="s">
        <v>38</v>
      </c>
      <c r="L12" s="7">
        <v>10</v>
      </c>
      <c r="M12" s="7">
        <v>60</v>
      </c>
      <c r="N12" s="10" t="s">
        <v>38</v>
      </c>
      <c r="O12" s="7"/>
      <c r="P12" s="7"/>
      <c r="Q12" s="10" t="s">
        <v>38</v>
      </c>
      <c r="R12" s="7"/>
      <c r="S12" s="7"/>
      <c r="T12" s="10" t="s">
        <v>38</v>
      </c>
      <c r="U12" s="9"/>
      <c r="V12" s="9"/>
      <c r="W12" s="10" t="s">
        <v>38</v>
      </c>
      <c r="X12" s="7">
        <v>20</v>
      </c>
      <c r="Y12" s="7">
        <v>80</v>
      </c>
      <c r="Z12" s="10" t="s">
        <v>38</v>
      </c>
      <c r="AA12" s="7"/>
      <c r="AB12" s="7"/>
      <c r="AC12" s="10" t="s">
        <v>38</v>
      </c>
      <c r="AD12" s="7"/>
      <c r="AE12" s="7"/>
      <c r="AF12" s="10" t="s">
        <v>38</v>
      </c>
      <c r="AG12" s="9"/>
      <c r="AH12" s="9"/>
      <c r="AI12" s="10" t="s">
        <v>38</v>
      </c>
      <c r="AJ12" s="7">
        <v>30</v>
      </c>
      <c r="AK12" s="7">
        <v>100</v>
      </c>
      <c r="AL12" s="10" t="s">
        <v>38</v>
      </c>
      <c r="AM12" s="7"/>
      <c r="AN12" s="7"/>
      <c r="AO12" s="10" t="s">
        <v>38</v>
      </c>
      <c r="AP12" s="7"/>
      <c r="AQ12" s="7"/>
      <c r="AR12" s="10" t="s">
        <v>38</v>
      </c>
      <c r="AS12" s="9"/>
      <c r="AT12" s="9"/>
      <c r="AU12" s="10" t="s">
        <v>38</v>
      </c>
      <c r="AV12" s="7">
        <v>40</v>
      </c>
      <c r="AW12" s="7">
        <v>200</v>
      </c>
      <c r="AX12" s="10" t="s">
        <v>38</v>
      </c>
      <c r="AY12" s="7"/>
      <c r="AZ12" s="7"/>
      <c r="BA12" s="10" t="s">
        <v>38</v>
      </c>
      <c r="BB12" s="7"/>
      <c r="BC12" s="7"/>
      <c r="BD12" s="10" t="s">
        <v>38</v>
      </c>
      <c r="BE12" s="9"/>
      <c r="BF12" s="9"/>
      <c r="BG12" s="10" t="s">
        <v>38</v>
      </c>
      <c r="BH12" s="7">
        <v>20</v>
      </c>
      <c r="BI12" s="7">
        <v>100</v>
      </c>
      <c r="BJ12" s="10" t="s">
        <v>38</v>
      </c>
      <c r="BK12" s="7"/>
      <c r="BL12" s="7"/>
      <c r="BM12" s="10" t="s">
        <v>38</v>
      </c>
      <c r="BN12" s="7"/>
      <c r="BO12" s="7"/>
      <c r="BP12" s="10" t="s">
        <v>38</v>
      </c>
      <c r="BQ12" s="9"/>
      <c r="BR12" s="9"/>
      <c r="BS12" s="10" t="s">
        <v>38</v>
      </c>
      <c r="BT12" s="7">
        <v>220</v>
      </c>
      <c r="BU12" s="7">
        <v>750</v>
      </c>
      <c r="BV12" s="10" t="s">
        <v>38</v>
      </c>
      <c r="BW12" s="7"/>
      <c r="BX12" s="7"/>
      <c r="BY12" s="10" t="s">
        <v>38</v>
      </c>
      <c r="BZ12" s="7"/>
      <c r="CA12" s="7"/>
      <c r="CB12" s="10" t="s">
        <v>38</v>
      </c>
      <c r="CC12" s="9"/>
      <c r="CD12" s="9"/>
      <c r="CE12" s="10" t="s">
        <v>38</v>
      </c>
      <c r="CF12" s="7">
        <v>850</v>
      </c>
      <c r="CG12" s="7">
        <v>2700</v>
      </c>
      <c r="CH12" s="10" t="s">
        <v>38</v>
      </c>
      <c r="CI12" s="7"/>
      <c r="CJ12" s="7"/>
      <c r="CK12" s="10" t="s">
        <v>38</v>
      </c>
      <c r="CL12" s="7"/>
      <c r="CM12" s="7"/>
      <c r="CN12" s="10" t="s">
        <v>38</v>
      </c>
      <c r="CO12" s="9"/>
      <c r="CP12" s="9"/>
      <c r="CQ12" s="10" t="s">
        <v>38</v>
      </c>
      <c r="CR12" s="7">
        <v>1500</v>
      </c>
      <c r="CS12" s="7">
        <v>2100</v>
      </c>
      <c r="CT12" s="10" t="s">
        <v>38</v>
      </c>
      <c r="CU12" s="7"/>
      <c r="CV12" s="7"/>
      <c r="CW12" s="10" t="s">
        <v>38</v>
      </c>
      <c r="CX12" s="7"/>
      <c r="CY12" s="7"/>
      <c r="CZ12" s="10" t="s">
        <v>38</v>
      </c>
      <c r="DA12" s="9"/>
      <c r="DB12" s="9"/>
      <c r="DC12" s="10" t="s">
        <v>38</v>
      </c>
      <c r="DD12" s="7">
        <v>447</v>
      </c>
      <c r="DE12" s="7">
        <v>1274</v>
      </c>
      <c r="DF12" s="10" t="s">
        <v>38</v>
      </c>
      <c r="DG12" s="7"/>
      <c r="DH12" s="7"/>
      <c r="DI12" s="10" t="s">
        <v>38</v>
      </c>
      <c r="DJ12" s="7"/>
      <c r="DK12" s="7"/>
      <c r="DL12" s="10" t="s">
        <v>38</v>
      </c>
      <c r="DM12" s="9"/>
      <c r="DN12" s="9"/>
      <c r="DO12" s="10" t="s">
        <v>38</v>
      </c>
      <c r="DP12" s="7">
        <v>67</v>
      </c>
      <c r="DQ12" s="7">
        <v>260</v>
      </c>
      <c r="DR12" s="10" t="s">
        <v>38</v>
      </c>
      <c r="DS12" s="7"/>
      <c r="DT12" s="7"/>
      <c r="DU12" s="10" t="s">
        <v>38</v>
      </c>
      <c r="DV12" s="7"/>
      <c r="DW12" s="7"/>
      <c r="DX12" s="10" t="s">
        <v>38</v>
      </c>
      <c r="DY12" s="9"/>
      <c r="DZ12" s="9"/>
      <c r="EA12" s="10" t="s">
        <v>38</v>
      </c>
      <c r="EB12" s="7">
        <v>100</v>
      </c>
      <c r="EC12" s="7">
        <v>400</v>
      </c>
      <c r="ED12" s="10" t="s">
        <v>38</v>
      </c>
      <c r="EE12" s="7"/>
      <c r="EF12" s="7"/>
      <c r="EG12" s="10" t="s">
        <v>38</v>
      </c>
      <c r="EH12" s="7"/>
      <c r="EI12" s="7"/>
      <c r="EJ12" s="10" t="s">
        <v>38</v>
      </c>
      <c r="EK12" s="9"/>
      <c r="EL12" s="9"/>
      <c r="EM12" s="10" t="s">
        <v>38</v>
      </c>
      <c r="EN12" s="7">
        <v>100</v>
      </c>
      <c r="EO12" s="7">
        <v>400</v>
      </c>
      <c r="EP12" s="10" t="s">
        <v>38</v>
      </c>
      <c r="EQ12" s="7"/>
      <c r="ER12" s="7"/>
      <c r="ES12" s="10" t="s">
        <v>38</v>
      </c>
      <c r="ET12" s="7"/>
      <c r="EU12" s="7"/>
      <c r="EV12" s="10" t="s">
        <v>38</v>
      </c>
      <c r="EW12" s="9"/>
      <c r="EX12" s="9"/>
      <c r="EY12" s="10" t="s">
        <v>38</v>
      </c>
      <c r="EZ12" s="7">
        <v>200</v>
      </c>
      <c r="FA12" s="7">
        <v>800</v>
      </c>
      <c r="FB12" s="10" t="s">
        <v>38</v>
      </c>
      <c r="FC12" s="7"/>
      <c r="FD12" s="7"/>
      <c r="FE12" s="10" t="s">
        <v>38</v>
      </c>
      <c r="FF12" s="7"/>
      <c r="FG12" s="7"/>
      <c r="FH12" s="10" t="s">
        <v>38</v>
      </c>
      <c r="FI12" s="9"/>
      <c r="FJ12" s="9"/>
      <c r="FK12" s="10" t="s">
        <v>38</v>
      </c>
      <c r="FL12" s="7">
        <v>200</v>
      </c>
      <c r="FM12" s="7">
        <v>1000</v>
      </c>
      <c r="FN12" s="10" t="s">
        <v>38</v>
      </c>
      <c r="FO12" s="7"/>
      <c r="FP12" s="7"/>
      <c r="FQ12" s="10" t="s">
        <v>38</v>
      </c>
      <c r="FR12" s="7"/>
      <c r="FS12" s="7"/>
      <c r="FT12" s="10" t="s">
        <v>38</v>
      </c>
      <c r="FU12" s="9"/>
      <c r="FV12" s="9"/>
      <c r="FW12" s="10" t="s">
        <v>38</v>
      </c>
      <c r="FX12" s="7">
        <v>220</v>
      </c>
      <c r="FY12" s="7">
        <v>1100</v>
      </c>
      <c r="FZ12" s="10" t="s">
        <v>38</v>
      </c>
      <c r="GA12" s="7"/>
      <c r="GB12" s="7"/>
      <c r="GC12" s="10" t="s">
        <v>38</v>
      </c>
      <c r="GD12" s="7"/>
      <c r="GE12" s="7"/>
      <c r="GF12" s="10" t="s">
        <v>38</v>
      </c>
      <c r="GG12" s="7"/>
      <c r="GH12" s="7"/>
      <c r="GI12" s="10" t="s">
        <v>38</v>
      </c>
      <c r="GJ12" s="7">
        <v>142</v>
      </c>
      <c r="GK12" s="7">
        <v>651</v>
      </c>
      <c r="GL12" s="10" t="s">
        <v>38</v>
      </c>
      <c r="GM12" s="7"/>
      <c r="GN12" s="7"/>
      <c r="GO12" s="10" t="s">
        <v>38</v>
      </c>
      <c r="GP12" s="7"/>
      <c r="GQ12" s="7"/>
      <c r="GR12" s="10" t="s">
        <v>38</v>
      </c>
      <c r="GS12" s="7"/>
      <c r="GT12" s="7"/>
      <c r="GU12" s="6" t="s">
        <v>38</v>
      </c>
      <c r="GV12" s="7">
        <v>170</v>
      </c>
      <c r="GW12" s="7">
        <v>1030</v>
      </c>
      <c r="GX12" s="10" t="s">
        <v>38</v>
      </c>
      <c r="GY12" s="7"/>
      <c r="GZ12" s="7"/>
      <c r="HA12" s="10" t="s">
        <v>38</v>
      </c>
      <c r="HB12" s="7"/>
      <c r="HC12" s="7"/>
      <c r="HD12" s="10" t="s">
        <v>38</v>
      </c>
      <c r="HE12" s="7"/>
      <c r="HF12" s="7"/>
      <c r="HG12" s="10" t="s">
        <v>38</v>
      </c>
      <c r="HH12" s="7">
        <v>150</v>
      </c>
      <c r="HI12" s="7">
        <v>900</v>
      </c>
      <c r="HJ12" s="10" t="s">
        <v>38</v>
      </c>
      <c r="HK12" s="7"/>
      <c r="HL12" s="7"/>
      <c r="HM12" s="10" t="s">
        <v>38</v>
      </c>
      <c r="HN12" s="7"/>
      <c r="HO12" s="7"/>
      <c r="HP12" s="10" t="s">
        <v>38</v>
      </c>
      <c r="HQ12" s="7"/>
      <c r="HR12" s="7"/>
      <c r="HS12" s="10" t="s">
        <v>38</v>
      </c>
      <c r="HT12" s="7">
        <v>340</v>
      </c>
      <c r="HU12" s="7">
        <v>700</v>
      </c>
      <c r="HV12" s="10" t="s">
        <v>38</v>
      </c>
      <c r="HW12" s="7"/>
      <c r="HX12" s="7"/>
      <c r="HY12" s="10" t="s">
        <v>38</v>
      </c>
      <c r="HZ12" s="7"/>
      <c r="IA12" s="7"/>
      <c r="IB12" s="10" t="s">
        <v>38</v>
      </c>
      <c r="IC12" s="7"/>
      <c r="ID12" s="7"/>
      <c r="IE12" s="6" t="s">
        <v>38</v>
      </c>
      <c r="IF12" s="7">
        <v>420</v>
      </c>
      <c r="IG12" s="7">
        <v>1530</v>
      </c>
      <c r="IH12" s="10"/>
      <c r="II12" s="7"/>
      <c r="IJ12" s="7"/>
      <c r="IK12" s="7"/>
      <c r="IL12" s="7"/>
      <c r="IM12" s="7"/>
      <c r="IN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E12" s="7"/>
      <c r="JF12" s="7"/>
      <c r="JH12" s="7"/>
      <c r="JI12" s="7"/>
      <c r="JJ12" s="7"/>
      <c r="JK12" s="7"/>
      <c r="JL12" s="7"/>
      <c r="JM12" s="7"/>
      <c r="JN12" s="10"/>
      <c r="JO12" s="7"/>
      <c r="JP12" s="7"/>
      <c r="JQ12" s="7"/>
      <c r="JR12" s="7"/>
      <c r="JS12" s="10" t="s">
        <v>7</v>
      </c>
      <c r="JT12" s="7">
        <v>1674</v>
      </c>
      <c r="JU12" s="7">
        <v>883</v>
      </c>
      <c r="JV12" s="7">
        <v>758</v>
      </c>
      <c r="JW12" s="7">
        <v>395</v>
      </c>
      <c r="JX12" s="7"/>
    </row>
    <row r="13" spans="1:284" x14ac:dyDescent="0.3">
      <c r="A13" s="19" t="s">
        <v>68</v>
      </c>
      <c r="B13" s="10" t="s">
        <v>38</v>
      </c>
      <c r="C13" s="7"/>
      <c r="D13" s="7"/>
      <c r="E13" s="10" t="s">
        <v>38</v>
      </c>
      <c r="F13" s="7"/>
      <c r="G13" s="7"/>
      <c r="H13" s="6" t="s">
        <v>374</v>
      </c>
      <c r="I13" s="9">
        <v>4931</v>
      </c>
      <c r="J13" s="9">
        <v>90000</v>
      </c>
      <c r="K13" s="10" t="s">
        <v>38</v>
      </c>
      <c r="L13" s="7"/>
      <c r="M13" s="7"/>
      <c r="N13" s="10" t="s">
        <v>38</v>
      </c>
      <c r="O13" s="7"/>
      <c r="P13" s="7"/>
      <c r="Q13" s="10" t="s">
        <v>38</v>
      </c>
      <c r="R13" s="7"/>
      <c r="S13" s="7"/>
      <c r="T13" s="6" t="s">
        <v>374</v>
      </c>
      <c r="U13" s="9">
        <v>5000</v>
      </c>
      <c r="V13" s="9">
        <v>75000</v>
      </c>
      <c r="W13" s="10" t="s">
        <v>38</v>
      </c>
      <c r="X13" s="7"/>
      <c r="Y13" s="7"/>
      <c r="Z13" s="10" t="s">
        <v>38</v>
      </c>
      <c r="AA13" s="7"/>
      <c r="AB13" s="7"/>
      <c r="AC13" s="10" t="s">
        <v>38</v>
      </c>
      <c r="AD13" s="7"/>
      <c r="AE13" s="7"/>
      <c r="AF13" s="6" t="s">
        <v>374</v>
      </c>
      <c r="AG13" s="9">
        <v>4200</v>
      </c>
      <c r="AH13" s="9">
        <v>56000</v>
      </c>
      <c r="AI13" s="10" t="s">
        <v>38</v>
      </c>
      <c r="AJ13" s="7"/>
      <c r="AK13" s="7"/>
      <c r="AL13" s="10" t="s">
        <v>38</v>
      </c>
      <c r="AM13" s="7"/>
      <c r="AN13" s="7"/>
      <c r="AO13" s="10" t="s">
        <v>38</v>
      </c>
      <c r="AP13" s="7"/>
      <c r="AQ13" s="7"/>
      <c r="AR13" s="6" t="s">
        <v>374</v>
      </c>
      <c r="AS13" s="9">
        <v>6000</v>
      </c>
      <c r="AT13" s="9">
        <v>140000</v>
      </c>
      <c r="AU13" s="10" t="s">
        <v>38</v>
      </c>
      <c r="AV13" s="7">
        <v>5000</v>
      </c>
      <c r="AW13" s="7">
        <v>19000</v>
      </c>
      <c r="AX13" s="10" t="s">
        <v>38</v>
      </c>
      <c r="AY13" s="7"/>
      <c r="AZ13" s="7"/>
      <c r="BA13" s="10" t="s">
        <v>38</v>
      </c>
      <c r="BB13" s="7"/>
      <c r="BC13" s="7"/>
      <c r="BD13" s="6" t="s">
        <v>374</v>
      </c>
      <c r="BE13" s="9">
        <v>2000</v>
      </c>
      <c r="BF13" s="9">
        <v>40000</v>
      </c>
      <c r="BG13" s="10" t="s">
        <v>38</v>
      </c>
      <c r="BH13" s="7">
        <v>5000</v>
      </c>
      <c r="BI13" s="7">
        <v>19000</v>
      </c>
      <c r="BJ13" s="10" t="s">
        <v>38</v>
      </c>
      <c r="BK13" s="7"/>
      <c r="BL13" s="7"/>
      <c r="BM13" s="10" t="s">
        <v>38</v>
      </c>
      <c r="BN13" s="7"/>
      <c r="BO13" s="7"/>
      <c r="BP13" s="6" t="s">
        <v>374</v>
      </c>
      <c r="BQ13" s="9">
        <v>1300</v>
      </c>
      <c r="BR13" s="9">
        <v>39000</v>
      </c>
      <c r="BS13" s="10" t="s">
        <v>38</v>
      </c>
      <c r="BT13" s="7">
        <v>5000</v>
      </c>
      <c r="BU13" s="7">
        <v>19000</v>
      </c>
      <c r="BV13" s="10" t="s">
        <v>38</v>
      </c>
      <c r="BW13" s="7"/>
      <c r="BX13" s="7"/>
      <c r="BY13" s="10" t="s">
        <v>38</v>
      </c>
      <c r="BZ13" s="7"/>
      <c r="CA13" s="7"/>
      <c r="CB13" s="10" t="s">
        <v>38</v>
      </c>
      <c r="CC13" s="9"/>
      <c r="CD13" s="9"/>
      <c r="CE13" s="10" t="s">
        <v>38</v>
      </c>
      <c r="CF13" s="7">
        <v>15230</v>
      </c>
      <c r="CG13" s="7">
        <v>40000</v>
      </c>
      <c r="CH13" s="10" t="s">
        <v>38</v>
      </c>
      <c r="CI13" s="7"/>
      <c r="CJ13" s="7"/>
      <c r="CK13" s="10" t="s">
        <v>38</v>
      </c>
      <c r="CL13" s="7"/>
      <c r="CM13" s="7"/>
      <c r="CN13" s="10" t="s">
        <v>38</v>
      </c>
      <c r="CO13" s="9">
        <v>23000</v>
      </c>
      <c r="CP13" s="9">
        <v>70000</v>
      </c>
      <c r="CQ13" s="10" t="s">
        <v>38</v>
      </c>
      <c r="CR13" s="7">
        <v>200</v>
      </c>
      <c r="CS13" s="7">
        <v>600</v>
      </c>
      <c r="CT13" s="10" t="s">
        <v>38</v>
      </c>
      <c r="CU13" s="7"/>
      <c r="CV13" s="7"/>
      <c r="CW13" s="10" t="s">
        <v>38</v>
      </c>
      <c r="CX13" s="7"/>
      <c r="CY13" s="7"/>
      <c r="CZ13" s="10" t="s">
        <v>38</v>
      </c>
      <c r="DA13" s="9">
        <v>23406</v>
      </c>
      <c r="DB13" s="9">
        <v>59260</v>
      </c>
      <c r="DC13" s="10" t="s">
        <v>38</v>
      </c>
      <c r="DD13" s="7">
        <v>10</v>
      </c>
      <c r="DE13" s="7">
        <v>30</v>
      </c>
      <c r="DF13" s="10" t="s">
        <v>38</v>
      </c>
      <c r="DG13" s="7"/>
      <c r="DH13" s="7"/>
      <c r="DI13" s="10" t="s">
        <v>38</v>
      </c>
      <c r="DJ13" s="7"/>
      <c r="DK13" s="7"/>
      <c r="DL13" s="10" t="s">
        <v>38</v>
      </c>
      <c r="DM13" s="9">
        <v>16781</v>
      </c>
      <c r="DN13" s="9">
        <v>41955</v>
      </c>
      <c r="DO13" s="10" t="s">
        <v>38</v>
      </c>
      <c r="DP13" s="7">
        <v>344</v>
      </c>
      <c r="DQ13" s="7">
        <v>6035</v>
      </c>
      <c r="DR13" s="10" t="s">
        <v>38</v>
      </c>
      <c r="DS13" s="7"/>
      <c r="DT13" s="7"/>
      <c r="DU13" s="10" t="s">
        <v>38</v>
      </c>
      <c r="DV13" s="7"/>
      <c r="DW13" s="7"/>
      <c r="DX13" s="10" t="s">
        <v>38</v>
      </c>
      <c r="DY13" s="9">
        <v>15000</v>
      </c>
      <c r="DZ13" s="9">
        <v>40000</v>
      </c>
      <c r="EA13" s="10" t="s">
        <v>38</v>
      </c>
      <c r="EB13" s="7">
        <v>1000</v>
      </c>
      <c r="EC13" s="7">
        <v>3000</v>
      </c>
      <c r="ED13" s="10" t="s">
        <v>38</v>
      </c>
      <c r="EE13" s="7"/>
      <c r="EF13" s="7"/>
      <c r="EG13" s="10" t="s">
        <v>38</v>
      </c>
      <c r="EH13" s="7"/>
      <c r="EI13" s="7"/>
      <c r="EJ13" s="10" t="s">
        <v>38</v>
      </c>
      <c r="EK13" s="9">
        <v>18834</v>
      </c>
      <c r="EL13" s="9">
        <v>45880</v>
      </c>
      <c r="EM13" s="10" t="s">
        <v>38</v>
      </c>
      <c r="EN13" s="7">
        <v>1500</v>
      </c>
      <c r="EO13" s="7">
        <v>4500</v>
      </c>
      <c r="EP13" s="10" t="s">
        <v>38</v>
      </c>
      <c r="EQ13" s="7"/>
      <c r="ER13" s="7"/>
      <c r="ES13" s="10" t="s">
        <v>38</v>
      </c>
      <c r="ET13" s="7"/>
      <c r="EU13" s="7"/>
      <c r="EV13" s="10" t="s">
        <v>38</v>
      </c>
      <c r="EW13" s="9">
        <v>9000</v>
      </c>
      <c r="EX13" s="9">
        <v>27000</v>
      </c>
      <c r="EY13" s="10" t="s">
        <v>38</v>
      </c>
      <c r="EZ13" s="7">
        <v>2200</v>
      </c>
      <c r="FA13" s="7">
        <v>9000</v>
      </c>
      <c r="FB13" s="10" t="s">
        <v>38</v>
      </c>
      <c r="FC13" s="7"/>
      <c r="FD13" s="7"/>
      <c r="FE13" s="10" t="s">
        <v>38</v>
      </c>
      <c r="FF13" s="7"/>
      <c r="FG13" s="7"/>
      <c r="FH13" s="10" t="s">
        <v>38</v>
      </c>
      <c r="FI13" s="9">
        <v>8000</v>
      </c>
      <c r="FJ13" s="9">
        <v>24000</v>
      </c>
      <c r="FK13" s="10" t="s">
        <v>38</v>
      </c>
      <c r="FL13" s="7">
        <v>3000</v>
      </c>
      <c r="FM13" s="7">
        <v>10000</v>
      </c>
      <c r="FN13" s="10" t="s">
        <v>38</v>
      </c>
      <c r="FO13" s="7"/>
      <c r="FP13" s="7"/>
      <c r="FQ13" s="10" t="s">
        <v>38</v>
      </c>
      <c r="FR13" s="7"/>
      <c r="FS13" s="7"/>
      <c r="FT13" s="10" t="s">
        <v>38</v>
      </c>
      <c r="FU13" s="9">
        <v>10000</v>
      </c>
      <c r="FV13" s="9">
        <v>28000</v>
      </c>
      <c r="FW13" s="10" t="s">
        <v>38</v>
      </c>
      <c r="FX13" s="7">
        <v>4000</v>
      </c>
      <c r="FY13" s="7">
        <v>12000</v>
      </c>
      <c r="FZ13" s="10" t="s">
        <v>38</v>
      </c>
      <c r="GA13" s="7"/>
      <c r="GB13" s="7"/>
      <c r="GC13" s="10" t="s">
        <v>38</v>
      </c>
      <c r="GD13" s="7"/>
      <c r="GE13" s="7"/>
      <c r="GF13" s="10" t="s">
        <v>38</v>
      </c>
      <c r="GG13" s="7">
        <v>4600</v>
      </c>
      <c r="GH13" s="7">
        <v>13860</v>
      </c>
      <c r="GI13" s="10" t="s">
        <v>38</v>
      </c>
      <c r="GJ13" s="7">
        <v>11337</v>
      </c>
      <c r="GK13" s="7">
        <v>34021</v>
      </c>
      <c r="GL13" s="10" t="s">
        <v>38</v>
      </c>
      <c r="GM13" s="7"/>
      <c r="GN13" s="7"/>
      <c r="GO13" s="10" t="s">
        <v>38</v>
      </c>
      <c r="GP13" s="7"/>
      <c r="GQ13" s="7"/>
      <c r="GR13" s="10" t="s">
        <v>38</v>
      </c>
      <c r="GS13" s="7">
        <v>5000</v>
      </c>
      <c r="GT13" s="7">
        <v>17500</v>
      </c>
      <c r="GU13" s="6" t="s">
        <v>38</v>
      </c>
      <c r="GV13" s="7">
        <v>660</v>
      </c>
      <c r="GW13" s="7">
        <v>2030</v>
      </c>
      <c r="GX13" s="10" t="s">
        <v>38</v>
      </c>
      <c r="GY13" s="7"/>
      <c r="GZ13" s="7"/>
      <c r="HA13" s="10" t="s">
        <v>38</v>
      </c>
      <c r="HB13" s="7"/>
      <c r="HC13" s="7"/>
      <c r="HD13" s="10" t="s">
        <v>38</v>
      </c>
      <c r="HE13" s="7">
        <v>6000</v>
      </c>
      <c r="HF13" s="7">
        <v>19000</v>
      </c>
      <c r="HG13" s="10" t="s">
        <v>38</v>
      </c>
      <c r="HH13" s="7">
        <v>800</v>
      </c>
      <c r="HI13" s="7">
        <v>2500</v>
      </c>
      <c r="HJ13" s="10" t="s">
        <v>38</v>
      </c>
      <c r="HK13" s="7"/>
      <c r="HL13" s="7"/>
      <c r="HM13" s="10" t="s">
        <v>38</v>
      </c>
      <c r="HN13" s="7"/>
      <c r="HO13" s="7"/>
      <c r="HP13" s="10" t="s">
        <v>38</v>
      </c>
      <c r="HQ13" s="7">
        <v>5000</v>
      </c>
      <c r="HR13" s="7">
        <v>18000</v>
      </c>
      <c r="HS13" s="10" t="s">
        <v>38</v>
      </c>
      <c r="HT13" s="7">
        <v>2220</v>
      </c>
      <c r="HU13" s="7">
        <v>9200</v>
      </c>
      <c r="HV13" s="10" t="s">
        <v>38</v>
      </c>
      <c r="HW13" s="7"/>
      <c r="HX13" s="7"/>
      <c r="HY13" s="10" t="s">
        <v>38</v>
      </c>
      <c r="HZ13" s="7"/>
      <c r="IA13" s="7"/>
      <c r="IB13" s="10" t="s">
        <v>38</v>
      </c>
      <c r="IC13" s="7">
        <v>13754</v>
      </c>
      <c r="ID13" s="7">
        <v>45000</v>
      </c>
      <c r="IE13" s="6" t="s">
        <v>38</v>
      </c>
      <c r="IF13" s="7">
        <v>3620</v>
      </c>
      <c r="IG13" s="7">
        <v>13900</v>
      </c>
      <c r="IH13" s="10"/>
      <c r="II13" s="7"/>
      <c r="IJ13" s="7"/>
      <c r="IK13" s="7"/>
      <c r="IL13" s="7"/>
      <c r="IM13" s="7"/>
      <c r="IN13" s="7"/>
      <c r="IO13" s="10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E13" s="7"/>
      <c r="JF13" s="7"/>
      <c r="JH13" s="7"/>
      <c r="JI13" s="7"/>
      <c r="JJ13" s="7"/>
      <c r="JK13" s="7"/>
      <c r="JL13" s="7"/>
      <c r="JM13" s="7"/>
      <c r="JN13" s="10"/>
      <c r="JO13" s="7"/>
      <c r="JP13" s="7"/>
      <c r="JQ13" s="7"/>
      <c r="JR13" s="7"/>
      <c r="JS13" s="10" t="s">
        <v>7</v>
      </c>
      <c r="JT13" s="7">
        <v>4755</v>
      </c>
      <c r="JU13" s="7">
        <v>1790</v>
      </c>
      <c r="JV13" s="7">
        <v>837</v>
      </c>
      <c r="JW13" s="7">
        <v>209</v>
      </c>
      <c r="JX13" s="7"/>
    </row>
    <row r="14" spans="1:284" x14ac:dyDescent="0.3">
      <c r="A14" s="19" t="s">
        <v>156</v>
      </c>
      <c r="B14" s="10" t="s">
        <v>42</v>
      </c>
      <c r="C14" s="7"/>
      <c r="D14" s="7"/>
      <c r="E14" s="10" t="s">
        <v>42</v>
      </c>
      <c r="F14" s="7"/>
      <c r="G14" s="7"/>
      <c r="H14" s="10" t="s">
        <v>42</v>
      </c>
      <c r="I14" s="9"/>
      <c r="J14" s="9"/>
      <c r="K14" s="10" t="s">
        <v>42</v>
      </c>
      <c r="L14" s="7"/>
      <c r="M14" s="7"/>
      <c r="N14" s="10" t="s">
        <v>42</v>
      </c>
      <c r="O14" s="7"/>
      <c r="P14" s="7"/>
      <c r="Q14" s="10" t="s">
        <v>42</v>
      </c>
      <c r="R14" s="7"/>
      <c r="S14" s="7"/>
      <c r="T14" s="10" t="s">
        <v>42</v>
      </c>
      <c r="U14" s="9"/>
      <c r="V14" s="9"/>
      <c r="W14" s="10" t="s">
        <v>42</v>
      </c>
      <c r="X14" s="7"/>
      <c r="Y14" s="7"/>
      <c r="Z14" s="10" t="s">
        <v>42</v>
      </c>
      <c r="AA14" s="7"/>
      <c r="AB14" s="7"/>
      <c r="AC14" s="10" t="s">
        <v>42</v>
      </c>
      <c r="AD14" s="7"/>
      <c r="AE14" s="7"/>
      <c r="AF14" s="10" t="s">
        <v>42</v>
      </c>
      <c r="AG14" s="9"/>
      <c r="AH14" s="9"/>
      <c r="AI14" s="10" t="s">
        <v>42</v>
      </c>
      <c r="AJ14" s="7"/>
      <c r="AK14" s="7"/>
      <c r="AL14" s="10" t="s">
        <v>42</v>
      </c>
      <c r="AM14" s="7"/>
      <c r="AN14" s="7"/>
      <c r="AO14" s="10" t="s">
        <v>42</v>
      </c>
      <c r="AP14" s="7"/>
      <c r="AQ14" s="7"/>
      <c r="AR14" s="10" t="s">
        <v>42</v>
      </c>
      <c r="AS14" s="9"/>
      <c r="AT14" s="9"/>
      <c r="AU14" s="10" t="s">
        <v>42</v>
      </c>
      <c r="AV14" s="7"/>
      <c r="AW14" s="7"/>
      <c r="AX14" s="10" t="s">
        <v>42</v>
      </c>
      <c r="AY14" s="7"/>
      <c r="AZ14" s="7"/>
      <c r="BA14" s="10" t="s">
        <v>42</v>
      </c>
      <c r="BB14" s="7"/>
      <c r="BC14" s="7"/>
      <c r="BD14" s="10" t="s">
        <v>42</v>
      </c>
      <c r="BE14" s="9"/>
      <c r="BF14" s="9"/>
      <c r="BG14" s="10" t="s">
        <v>42</v>
      </c>
      <c r="BH14" s="7"/>
      <c r="BI14" s="7"/>
      <c r="BJ14" s="10" t="s">
        <v>42</v>
      </c>
      <c r="BK14" s="7"/>
      <c r="BL14" s="7"/>
      <c r="BM14" s="10" t="s">
        <v>42</v>
      </c>
      <c r="BN14" s="7"/>
      <c r="BO14" s="7"/>
      <c r="BP14" s="10" t="s">
        <v>42</v>
      </c>
      <c r="BQ14" s="9"/>
      <c r="BR14" s="9"/>
      <c r="BS14" s="10" t="s">
        <v>42</v>
      </c>
      <c r="BT14" s="7"/>
      <c r="BU14" s="7"/>
      <c r="BV14" s="10" t="s">
        <v>42</v>
      </c>
      <c r="BW14" s="7"/>
      <c r="BX14" s="7"/>
      <c r="BY14" s="10" t="s">
        <v>42</v>
      </c>
      <c r="BZ14" s="7"/>
      <c r="CA14" s="7"/>
      <c r="CB14" s="10" t="s">
        <v>42</v>
      </c>
      <c r="CC14" s="9"/>
      <c r="CD14" s="9"/>
      <c r="CE14" s="10" t="s">
        <v>42</v>
      </c>
      <c r="CF14" s="7"/>
      <c r="CG14" s="7"/>
      <c r="CH14" s="10" t="s">
        <v>42</v>
      </c>
      <c r="CI14" s="7"/>
      <c r="CJ14" s="7"/>
      <c r="CK14" s="10" t="s">
        <v>42</v>
      </c>
      <c r="CL14" s="7"/>
      <c r="CM14" s="7"/>
      <c r="CN14" s="10" t="s">
        <v>42</v>
      </c>
      <c r="CO14" s="9"/>
      <c r="CP14" s="9"/>
      <c r="CQ14" s="10" t="s">
        <v>42</v>
      </c>
      <c r="CR14" s="7"/>
      <c r="CS14" s="7"/>
      <c r="CT14" s="10" t="s">
        <v>42</v>
      </c>
      <c r="CU14" s="7"/>
      <c r="CV14" s="7"/>
      <c r="CW14" s="10" t="s">
        <v>42</v>
      </c>
      <c r="CX14" s="7"/>
      <c r="CY14" s="7"/>
      <c r="CZ14" s="10" t="s">
        <v>42</v>
      </c>
      <c r="DA14" s="9"/>
      <c r="DB14" s="9"/>
      <c r="DC14" s="10" t="s">
        <v>42</v>
      </c>
      <c r="DD14" s="7"/>
      <c r="DE14" s="7"/>
      <c r="DF14" s="10" t="s">
        <v>42</v>
      </c>
      <c r="DG14" s="7"/>
      <c r="DH14" s="7"/>
      <c r="DI14" s="10" t="s">
        <v>42</v>
      </c>
      <c r="DJ14" s="7"/>
      <c r="DK14" s="7"/>
      <c r="DL14" s="10" t="s">
        <v>42</v>
      </c>
      <c r="DM14" s="9"/>
      <c r="DN14" s="9"/>
      <c r="DO14" s="10" t="s">
        <v>42</v>
      </c>
      <c r="DP14" s="7"/>
      <c r="DQ14" s="7"/>
      <c r="DR14" s="10" t="s">
        <v>42</v>
      </c>
      <c r="DS14" s="7"/>
      <c r="DT14" s="7"/>
      <c r="DU14" s="10" t="s">
        <v>42</v>
      </c>
      <c r="DV14" s="7"/>
      <c r="DW14" s="7"/>
      <c r="DX14" s="10" t="s">
        <v>42</v>
      </c>
      <c r="DY14" s="9"/>
      <c r="DZ14" s="9"/>
      <c r="EA14" s="10" t="s">
        <v>42</v>
      </c>
      <c r="EB14" s="7">
        <v>110</v>
      </c>
      <c r="EC14" s="7">
        <v>1000</v>
      </c>
      <c r="ED14" s="10" t="s">
        <v>42</v>
      </c>
      <c r="EE14" s="7"/>
      <c r="EF14" s="7"/>
      <c r="EG14" s="10" t="s">
        <v>42</v>
      </c>
      <c r="EH14" s="7"/>
      <c r="EI14" s="7"/>
      <c r="EJ14" s="10" t="s">
        <v>42</v>
      </c>
      <c r="EK14" s="9"/>
      <c r="EL14" s="9"/>
      <c r="EM14" s="10" t="s">
        <v>42</v>
      </c>
      <c r="EN14" s="7">
        <v>120</v>
      </c>
      <c r="EO14" s="7">
        <v>150</v>
      </c>
      <c r="EP14" s="10" t="s">
        <v>42</v>
      </c>
      <c r="EQ14" s="7"/>
      <c r="ER14" s="7"/>
      <c r="ES14" s="10" t="s">
        <v>42</v>
      </c>
      <c r="ET14" s="7"/>
      <c r="EU14" s="7"/>
      <c r="EV14" s="10" t="s">
        <v>42</v>
      </c>
      <c r="EW14" s="9"/>
      <c r="EX14" s="9"/>
      <c r="EY14" s="10" t="s">
        <v>42</v>
      </c>
      <c r="EZ14" s="7">
        <v>15</v>
      </c>
      <c r="FA14" s="7">
        <v>150</v>
      </c>
      <c r="FB14" s="10" t="s">
        <v>42</v>
      </c>
      <c r="FC14" s="7"/>
      <c r="FD14" s="7"/>
      <c r="FE14" s="10" t="s">
        <v>42</v>
      </c>
      <c r="FF14" s="7"/>
      <c r="FG14" s="7"/>
      <c r="FH14" s="10" t="s">
        <v>42</v>
      </c>
      <c r="FI14" s="9"/>
      <c r="FJ14" s="9"/>
      <c r="FK14" s="10" t="s">
        <v>42</v>
      </c>
      <c r="FL14" s="7">
        <v>50</v>
      </c>
      <c r="FM14" s="7">
        <v>450</v>
      </c>
      <c r="FN14" s="10" t="s">
        <v>42</v>
      </c>
      <c r="FO14" s="7"/>
      <c r="FP14" s="7"/>
      <c r="FQ14" s="10" t="s">
        <v>42</v>
      </c>
      <c r="FR14" s="7"/>
      <c r="FS14" s="7"/>
      <c r="FT14" s="10" t="s">
        <v>42</v>
      </c>
      <c r="FU14" s="9"/>
      <c r="FV14" s="9"/>
      <c r="FW14" s="6" t="s">
        <v>42</v>
      </c>
      <c r="FX14" s="7">
        <v>60</v>
      </c>
      <c r="FY14" s="7">
        <v>500</v>
      </c>
      <c r="FZ14" s="10" t="s">
        <v>38</v>
      </c>
      <c r="GA14" s="7"/>
      <c r="GB14" s="7"/>
      <c r="GC14" s="10" t="s">
        <v>38</v>
      </c>
      <c r="GD14" s="7"/>
      <c r="GE14" s="7"/>
      <c r="GF14" s="10" t="s">
        <v>38</v>
      </c>
      <c r="GG14" s="7"/>
      <c r="GH14" s="7"/>
      <c r="GI14" s="10" t="s">
        <v>38</v>
      </c>
      <c r="GJ14" s="7">
        <v>305</v>
      </c>
      <c r="GK14" s="7">
        <v>1444</v>
      </c>
      <c r="GL14" s="10" t="s">
        <v>38</v>
      </c>
      <c r="GM14" s="7"/>
      <c r="GN14" s="7"/>
      <c r="GO14" s="10" t="s">
        <v>38</v>
      </c>
      <c r="GP14" s="7"/>
      <c r="GQ14" s="7"/>
      <c r="GR14" s="10" t="s">
        <v>38</v>
      </c>
      <c r="GS14" s="7"/>
      <c r="GT14" s="7"/>
      <c r="GU14" s="6" t="s">
        <v>38</v>
      </c>
      <c r="GV14" s="7">
        <v>1200</v>
      </c>
      <c r="GW14" s="7">
        <v>4900</v>
      </c>
      <c r="GX14" s="10" t="s">
        <v>38</v>
      </c>
      <c r="GY14" s="7"/>
      <c r="GZ14" s="7"/>
      <c r="HA14" s="10" t="s">
        <v>38</v>
      </c>
      <c r="HB14" s="7"/>
      <c r="HC14" s="7"/>
      <c r="HD14" s="10" t="s">
        <v>38</v>
      </c>
      <c r="HE14" s="7"/>
      <c r="HF14" s="7"/>
      <c r="HG14" s="10" t="s">
        <v>38</v>
      </c>
      <c r="HH14" s="7">
        <v>1500</v>
      </c>
      <c r="HI14" s="7">
        <v>5500</v>
      </c>
      <c r="HJ14" s="10" t="s">
        <v>38</v>
      </c>
      <c r="HK14" s="7"/>
      <c r="HL14" s="7"/>
      <c r="HM14" s="10" t="s">
        <v>38</v>
      </c>
      <c r="HN14" s="7"/>
      <c r="HO14" s="7"/>
      <c r="HP14" s="10" t="s">
        <v>38</v>
      </c>
      <c r="HQ14" s="7"/>
      <c r="HR14" s="7"/>
      <c r="HS14" s="10" t="s">
        <v>38</v>
      </c>
      <c r="HT14" s="7">
        <v>1800</v>
      </c>
      <c r="HU14" s="7">
        <v>7000</v>
      </c>
      <c r="HV14" s="10" t="s">
        <v>38</v>
      </c>
      <c r="HW14" s="7"/>
      <c r="HX14" s="7"/>
      <c r="HY14" s="10" t="s">
        <v>38</v>
      </c>
      <c r="HZ14" s="7"/>
      <c r="IA14" s="7"/>
      <c r="IB14" s="10" t="s">
        <v>38</v>
      </c>
      <c r="IC14" s="7"/>
      <c r="ID14" s="7"/>
      <c r="IE14" s="6" t="s">
        <v>38</v>
      </c>
      <c r="IF14" s="7">
        <v>1100</v>
      </c>
      <c r="IG14" s="7">
        <v>5500</v>
      </c>
      <c r="IH14" s="10"/>
      <c r="II14" s="7"/>
      <c r="IJ14" s="7"/>
      <c r="IK14" s="7"/>
      <c r="IL14" s="7"/>
      <c r="IM14" s="7"/>
      <c r="IN14" s="7"/>
      <c r="IO14" s="10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E14" s="7"/>
      <c r="JF14" s="7"/>
      <c r="JH14" s="7"/>
      <c r="JI14" s="7"/>
      <c r="JJ14" s="7"/>
      <c r="JK14" s="7"/>
      <c r="JL14" s="7"/>
      <c r="JM14" s="7"/>
      <c r="JN14" s="10"/>
      <c r="JO14" s="7"/>
      <c r="JP14" s="7"/>
      <c r="JQ14" s="7"/>
      <c r="JR14" s="7"/>
      <c r="JS14" s="10" t="s">
        <v>7</v>
      </c>
      <c r="JT14" s="7">
        <v>6192</v>
      </c>
      <c r="JU14" s="7">
        <v>3127</v>
      </c>
      <c r="JV14" s="7">
        <v>5076</v>
      </c>
      <c r="JW14" s="7">
        <v>2376</v>
      </c>
      <c r="JX14" s="7"/>
    </row>
    <row r="15" spans="1:284" x14ac:dyDescent="0.3">
      <c r="A15" s="19" t="s">
        <v>198</v>
      </c>
      <c r="B15" s="10" t="s">
        <v>42</v>
      </c>
      <c r="C15" s="7"/>
      <c r="D15" s="7"/>
      <c r="E15" s="6" t="s">
        <v>40</v>
      </c>
      <c r="F15" s="7"/>
      <c r="G15" s="7"/>
      <c r="H15" s="10" t="s">
        <v>42</v>
      </c>
      <c r="I15" s="9"/>
      <c r="J15" s="9"/>
      <c r="K15" s="10" t="s">
        <v>42</v>
      </c>
      <c r="L15" s="7"/>
      <c r="M15" s="7"/>
      <c r="N15" s="10" t="s">
        <v>42</v>
      </c>
      <c r="O15" s="7"/>
      <c r="P15" s="7"/>
      <c r="Q15" s="6" t="s">
        <v>40</v>
      </c>
      <c r="R15" s="7"/>
      <c r="S15" s="7"/>
      <c r="T15" s="10" t="s">
        <v>42</v>
      </c>
      <c r="U15" s="9"/>
      <c r="V15" s="9"/>
      <c r="W15" s="10" t="s">
        <v>42</v>
      </c>
      <c r="X15" s="7"/>
      <c r="Y15" s="7"/>
      <c r="Z15" s="10" t="s">
        <v>42</v>
      </c>
      <c r="AA15" s="7"/>
      <c r="AB15" s="7"/>
      <c r="AC15" s="6" t="s">
        <v>40</v>
      </c>
      <c r="AD15" s="7"/>
      <c r="AE15" s="7"/>
      <c r="AF15" s="10" t="s">
        <v>42</v>
      </c>
      <c r="AG15" s="9"/>
      <c r="AH15" s="9"/>
      <c r="AI15" s="10" t="s">
        <v>42</v>
      </c>
      <c r="AJ15" s="7"/>
      <c r="AK15" s="7"/>
      <c r="AL15" s="10" t="s">
        <v>42</v>
      </c>
      <c r="AM15" s="7"/>
      <c r="AN15" s="7"/>
      <c r="AO15" s="6" t="s">
        <v>40</v>
      </c>
      <c r="AP15" s="7"/>
      <c r="AQ15" s="7"/>
      <c r="AR15" s="10" t="s">
        <v>42</v>
      </c>
      <c r="AS15" s="9"/>
      <c r="AT15" s="9"/>
      <c r="AU15" s="10" t="s">
        <v>42</v>
      </c>
      <c r="AV15" s="7"/>
      <c r="AW15" s="7"/>
      <c r="AX15" s="10" t="s">
        <v>42</v>
      </c>
      <c r="AY15" s="7"/>
      <c r="AZ15" s="7"/>
      <c r="BA15" s="6" t="s">
        <v>40</v>
      </c>
      <c r="BB15" s="7"/>
      <c r="BC15" s="7"/>
      <c r="BD15" s="10" t="s">
        <v>42</v>
      </c>
      <c r="BE15" s="9"/>
      <c r="BF15" s="9"/>
      <c r="BG15" s="10" t="s">
        <v>42</v>
      </c>
      <c r="BH15" s="7"/>
      <c r="BI15" s="7"/>
      <c r="BJ15" s="10" t="s">
        <v>42</v>
      </c>
      <c r="BK15" s="7"/>
      <c r="BL15" s="7"/>
      <c r="BM15" s="6" t="s">
        <v>40</v>
      </c>
      <c r="BN15" s="7"/>
      <c r="BO15" s="7"/>
      <c r="BP15" s="10" t="s">
        <v>42</v>
      </c>
      <c r="BQ15" s="9"/>
      <c r="BR15" s="9"/>
      <c r="BS15" s="10" t="s">
        <v>42</v>
      </c>
      <c r="BT15" s="7"/>
      <c r="BU15" s="7"/>
      <c r="BV15" s="10" t="s">
        <v>42</v>
      </c>
      <c r="BW15" s="7"/>
      <c r="BX15" s="7"/>
      <c r="BY15" s="6" t="s">
        <v>40</v>
      </c>
      <c r="BZ15" s="7">
        <v>262</v>
      </c>
      <c r="CA15" s="7">
        <v>1500</v>
      </c>
      <c r="CB15" s="10" t="s">
        <v>42</v>
      </c>
      <c r="CC15" s="9"/>
      <c r="CD15" s="9"/>
      <c r="CE15" s="10" t="s">
        <v>42</v>
      </c>
      <c r="CF15" s="7"/>
      <c r="CG15" s="7"/>
      <c r="CH15" s="10" t="s">
        <v>42</v>
      </c>
      <c r="CI15" s="7"/>
      <c r="CJ15" s="7"/>
      <c r="CK15" s="6" t="s">
        <v>40</v>
      </c>
      <c r="CL15" s="7">
        <v>500</v>
      </c>
      <c r="CM15" s="7">
        <v>3000</v>
      </c>
      <c r="CN15" s="10" t="s">
        <v>42</v>
      </c>
      <c r="CO15" s="9"/>
      <c r="CP15" s="9"/>
      <c r="CQ15" s="10" t="s">
        <v>42</v>
      </c>
      <c r="CR15" s="7"/>
      <c r="CS15" s="7"/>
      <c r="CT15" s="10" t="s">
        <v>42</v>
      </c>
      <c r="CU15" s="7"/>
      <c r="CV15" s="7"/>
      <c r="CW15" s="6" t="s">
        <v>40</v>
      </c>
      <c r="CX15" s="7">
        <v>250</v>
      </c>
      <c r="CY15" s="7">
        <v>1680</v>
      </c>
      <c r="CZ15" s="10" t="s">
        <v>42</v>
      </c>
      <c r="DA15" s="9"/>
      <c r="DB15" s="9"/>
      <c r="DC15" s="10" t="s">
        <v>42</v>
      </c>
      <c r="DD15" s="7"/>
      <c r="DE15" s="7"/>
      <c r="DF15" s="10" t="s">
        <v>42</v>
      </c>
      <c r="DG15" s="7"/>
      <c r="DH15" s="7"/>
      <c r="DI15" s="6" t="s">
        <v>40</v>
      </c>
      <c r="DJ15" s="7">
        <v>20</v>
      </c>
      <c r="DK15" s="7">
        <v>85</v>
      </c>
      <c r="DL15" s="10" t="s">
        <v>42</v>
      </c>
      <c r="DM15" s="9"/>
      <c r="DN15" s="9"/>
      <c r="DO15" s="10" t="s">
        <v>42</v>
      </c>
      <c r="DP15" s="7"/>
      <c r="DQ15" s="7"/>
      <c r="DR15" s="10" t="s">
        <v>42</v>
      </c>
      <c r="DS15" s="7"/>
      <c r="DT15" s="7"/>
      <c r="DU15" s="10" t="s">
        <v>42</v>
      </c>
      <c r="DV15" s="7"/>
      <c r="DW15" s="7"/>
      <c r="DX15" s="10" t="s">
        <v>42</v>
      </c>
      <c r="DY15" s="9"/>
      <c r="DZ15" s="9"/>
      <c r="EA15" s="10" t="s">
        <v>42</v>
      </c>
      <c r="EB15" s="7"/>
      <c r="EC15" s="7"/>
      <c r="ED15" s="10" t="s">
        <v>42</v>
      </c>
      <c r="EE15" s="7"/>
      <c r="EF15" s="7"/>
      <c r="EG15" s="10" t="s">
        <v>42</v>
      </c>
      <c r="EH15" s="7">
        <v>50</v>
      </c>
      <c r="EI15" s="7">
        <v>500</v>
      </c>
      <c r="EJ15" s="10" t="s">
        <v>42</v>
      </c>
      <c r="EK15" s="9"/>
      <c r="EL15" s="9"/>
      <c r="EM15" s="10" t="s">
        <v>42</v>
      </c>
      <c r="EN15" s="7"/>
      <c r="EO15" s="7"/>
      <c r="EP15" s="10" t="s">
        <v>42</v>
      </c>
      <c r="EQ15" s="7"/>
      <c r="ER15" s="7"/>
      <c r="ES15" s="10" t="s">
        <v>42</v>
      </c>
      <c r="ET15" s="7">
        <v>55</v>
      </c>
      <c r="EU15" s="7">
        <v>550</v>
      </c>
      <c r="EV15" s="10" t="s">
        <v>42</v>
      </c>
      <c r="EW15" s="9"/>
      <c r="EX15" s="9"/>
      <c r="EY15" s="10" t="s">
        <v>42</v>
      </c>
      <c r="EZ15" s="7"/>
      <c r="FA15" s="7"/>
      <c r="FB15" s="10" t="s">
        <v>42</v>
      </c>
      <c r="FC15" s="7"/>
      <c r="FD15" s="7"/>
      <c r="FE15" s="10" t="s">
        <v>42</v>
      </c>
      <c r="FF15" s="7"/>
      <c r="FG15" s="7"/>
      <c r="FH15" s="10" t="s">
        <v>42</v>
      </c>
      <c r="FI15" s="9"/>
      <c r="FJ15" s="9"/>
      <c r="FK15" s="10" t="s">
        <v>42</v>
      </c>
      <c r="FL15" s="7"/>
      <c r="FM15" s="7"/>
      <c r="FN15" s="10" t="s">
        <v>42</v>
      </c>
      <c r="FO15" s="7"/>
      <c r="FP15" s="7"/>
      <c r="FQ15" s="10" t="s">
        <v>42</v>
      </c>
      <c r="FR15" s="7"/>
      <c r="FS15" s="7"/>
      <c r="FT15" s="10" t="s">
        <v>42</v>
      </c>
      <c r="FU15" s="9"/>
      <c r="FV15" s="9"/>
      <c r="FW15" s="10" t="s">
        <v>42</v>
      </c>
      <c r="FX15" s="7"/>
      <c r="FY15" s="7"/>
      <c r="FZ15" s="10" t="s">
        <v>42</v>
      </c>
      <c r="GA15" s="7"/>
      <c r="GB15" s="7"/>
      <c r="GC15" s="6" t="s">
        <v>42</v>
      </c>
      <c r="GD15" s="7">
        <v>20</v>
      </c>
      <c r="GE15" s="7">
        <v>180</v>
      </c>
      <c r="GG15" s="7"/>
      <c r="GH15" s="7"/>
      <c r="GJ15" s="7"/>
      <c r="GK15" s="7"/>
      <c r="GM15" s="7"/>
      <c r="GN15" s="7"/>
      <c r="GO15" s="10"/>
      <c r="GP15" s="7"/>
      <c r="GQ15" s="7"/>
      <c r="GR15" s="10"/>
      <c r="GS15" s="7"/>
      <c r="GT15" s="7"/>
      <c r="GU15" s="10"/>
      <c r="GV15" s="7"/>
      <c r="GW15" s="7"/>
      <c r="GY15" s="7"/>
      <c r="GZ15" s="7"/>
      <c r="HB15" s="7"/>
      <c r="HC15" s="7"/>
      <c r="HE15" s="7"/>
      <c r="HF15" s="7"/>
      <c r="HH15" s="7"/>
      <c r="HI15" s="7"/>
      <c r="HK15" s="7"/>
      <c r="HL15" s="7"/>
      <c r="HN15" s="7"/>
      <c r="HO15" s="7"/>
      <c r="HQ15" s="7"/>
      <c r="HR15" s="7"/>
      <c r="HT15" s="7"/>
      <c r="HU15" s="7"/>
      <c r="HW15" s="7"/>
      <c r="HX15" s="7"/>
      <c r="HY15" s="10"/>
      <c r="HZ15" s="7"/>
      <c r="IA15" s="7"/>
      <c r="IC15" s="7"/>
      <c r="ID15" s="7"/>
      <c r="IE15" s="6"/>
      <c r="IF15" s="7"/>
      <c r="IG15" s="7"/>
      <c r="IH15" s="10"/>
      <c r="II15" s="7"/>
      <c r="IJ15" s="7"/>
      <c r="IK15" s="7"/>
      <c r="IL15" s="7"/>
      <c r="IM15" s="7"/>
      <c r="IN15" s="7"/>
      <c r="IO15" s="10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E15" s="7"/>
      <c r="JF15" s="7"/>
      <c r="JG15" t="s">
        <v>111</v>
      </c>
      <c r="JH15" s="7"/>
      <c r="JI15" s="7"/>
      <c r="JJ15" s="7"/>
      <c r="JK15" s="7"/>
      <c r="JL15" s="7"/>
      <c r="JM15" s="7"/>
      <c r="JN15" s="10"/>
      <c r="JO15" s="7"/>
      <c r="JP15" s="7"/>
      <c r="JQ15" s="7"/>
      <c r="JR15" s="7"/>
      <c r="JS15" s="10"/>
      <c r="JT15" s="7"/>
      <c r="JU15" s="7"/>
      <c r="JV15" s="7"/>
      <c r="JW15" s="7"/>
      <c r="JX15" s="7"/>
    </row>
    <row r="16" spans="1:284" x14ac:dyDescent="0.3">
      <c r="A16" s="19" t="s">
        <v>199</v>
      </c>
      <c r="B16" s="10" t="s">
        <v>38</v>
      </c>
      <c r="C16" s="7"/>
      <c r="D16" s="7"/>
      <c r="E16" s="10" t="s">
        <v>38</v>
      </c>
      <c r="F16" s="7"/>
      <c r="G16" s="7"/>
      <c r="H16" s="10" t="s">
        <v>38</v>
      </c>
      <c r="I16" s="9"/>
      <c r="J16" s="9"/>
      <c r="K16" s="6" t="s">
        <v>374</v>
      </c>
      <c r="L16" s="7">
        <v>27</v>
      </c>
      <c r="M16" s="7">
        <v>350</v>
      </c>
      <c r="N16" s="10" t="s">
        <v>38</v>
      </c>
      <c r="O16" s="7"/>
      <c r="P16" s="7"/>
      <c r="Q16" s="10" t="s">
        <v>38</v>
      </c>
      <c r="R16" s="7"/>
      <c r="S16" s="7"/>
      <c r="T16" s="10" t="s">
        <v>38</v>
      </c>
      <c r="U16" s="9"/>
      <c r="V16" s="9"/>
      <c r="W16" s="6" t="s">
        <v>374</v>
      </c>
      <c r="X16" s="7">
        <v>50</v>
      </c>
      <c r="Y16" s="7">
        <v>700</v>
      </c>
      <c r="Z16" s="10" t="s">
        <v>38</v>
      </c>
      <c r="AA16" s="7"/>
      <c r="AB16" s="7"/>
      <c r="AC16" s="10" t="s">
        <v>38</v>
      </c>
      <c r="AD16" s="7"/>
      <c r="AE16" s="7"/>
      <c r="AF16" s="10" t="s">
        <v>38</v>
      </c>
      <c r="AG16" s="9"/>
      <c r="AH16" s="9"/>
      <c r="AI16" s="6" t="s">
        <v>374</v>
      </c>
      <c r="AJ16" s="7">
        <v>15</v>
      </c>
      <c r="AK16" s="7">
        <v>250</v>
      </c>
      <c r="AL16" s="10" t="s">
        <v>38</v>
      </c>
      <c r="AM16" s="7"/>
      <c r="AN16" s="7"/>
      <c r="AO16" s="10" t="s">
        <v>38</v>
      </c>
      <c r="AP16" s="7"/>
      <c r="AQ16" s="7"/>
      <c r="AR16" s="10" t="s">
        <v>38</v>
      </c>
      <c r="AS16" s="9"/>
      <c r="AT16" s="9"/>
      <c r="AU16" s="6" t="s">
        <v>374</v>
      </c>
      <c r="AV16" s="7">
        <v>5</v>
      </c>
      <c r="AW16" s="7">
        <v>100</v>
      </c>
      <c r="AX16" s="10" t="s">
        <v>38</v>
      </c>
      <c r="AY16" s="7"/>
      <c r="AZ16" s="7"/>
      <c r="BA16" s="10" t="s">
        <v>38</v>
      </c>
      <c r="BB16" s="7"/>
      <c r="BC16" s="7"/>
      <c r="BD16" s="10" t="s">
        <v>38</v>
      </c>
      <c r="BE16" s="9"/>
      <c r="BF16" s="9"/>
      <c r="BG16" s="6" t="s">
        <v>374</v>
      </c>
      <c r="BH16" s="7">
        <v>5</v>
      </c>
      <c r="BI16" s="7">
        <v>100</v>
      </c>
      <c r="BJ16" s="10" t="s">
        <v>38</v>
      </c>
      <c r="BK16" s="7"/>
      <c r="BL16" s="7"/>
      <c r="BM16" s="10" t="s">
        <v>38</v>
      </c>
      <c r="BN16" s="7"/>
      <c r="BO16" s="7"/>
      <c r="BP16" s="10" t="s">
        <v>38</v>
      </c>
      <c r="BQ16" s="9"/>
      <c r="BR16" s="9"/>
      <c r="BS16" s="10" t="s">
        <v>38</v>
      </c>
      <c r="BT16" s="7">
        <v>250</v>
      </c>
      <c r="BU16" s="7">
        <v>400</v>
      </c>
      <c r="BV16" s="10" t="s">
        <v>38</v>
      </c>
      <c r="BW16" s="7"/>
      <c r="BX16" s="7"/>
      <c r="BY16" s="10" t="s">
        <v>38</v>
      </c>
      <c r="BZ16" s="7"/>
      <c r="CA16" s="7"/>
      <c r="CB16" s="10" t="s">
        <v>38</v>
      </c>
      <c r="CC16" s="9"/>
      <c r="CD16" s="9"/>
      <c r="CE16" s="10" t="s">
        <v>38</v>
      </c>
      <c r="CF16" s="7">
        <v>393</v>
      </c>
      <c r="CG16" s="7">
        <v>1100</v>
      </c>
      <c r="CH16" s="10" t="s">
        <v>38</v>
      </c>
      <c r="CI16" s="7"/>
      <c r="CJ16" s="7"/>
      <c r="CK16" s="10" t="s">
        <v>38</v>
      </c>
      <c r="CL16" s="7"/>
      <c r="CM16" s="7"/>
      <c r="CN16" s="10" t="s">
        <v>38</v>
      </c>
      <c r="CO16" s="9"/>
      <c r="CP16" s="9"/>
      <c r="CQ16" s="10" t="s">
        <v>38</v>
      </c>
      <c r="CR16" s="7">
        <v>700</v>
      </c>
      <c r="CS16" s="7">
        <v>1500</v>
      </c>
      <c r="CT16" s="10" t="s">
        <v>38</v>
      </c>
      <c r="CU16" s="7"/>
      <c r="CV16" s="7"/>
      <c r="CW16" s="10" t="s">
        <v>38</v>
      </c>
      <c r="CX16" s="7"/>
      <c r="CY16" s="7"/>
      <c r="CZ16" s="10" t="s">
        <v>38</v>
      </c>
      <c r="DA16" s="9"/>
      <c r="DB16" s="9"/>
      <c r="DC16" s="10" t="s">
        <v>38</v>
      </c>
      <c r="DD16" s="7">
        <v>27</v>
      </c>
      <c r="DE16" s="7">
        <v>70</v>
      </c>
      <c r="DF16" s="10" t="s">
        <v>38</v>
      </c>
      <c r="DG16" s="7"/>
      <c r="DH16" s="7"/>
      <c r="DI16" s="10" t="s">
        <v>38</v>
      </c>
      <c r="DJ16" s="7"/>
      <c r="DK16" s="7"/>
      <c r="DL16" s="10" t="s">
        <v>38</v>
      </c>
      <c r="DM16" s="9"/>
      <c r="DN16" s="9"/>
      <c r="DO16" s="10" t="s">
        <v>38</v>
      </c>
      <c r="DP16" s="7">
        <v>16</v>
      </c>
      <c r="DQ16" s="7">
        <v>45</v>
      </c>
      <c r="DR16" s="10" t="s">
        <v>38</v>
      </c>
      <c r="DS16" s="7"/>
      <c r="DT16" s="7"/>
      <c r="DU16" s="10" t="s">
        <v>38</v>
      </c>
      <c r="DV16" s="7"/>
      <c r="DW16" s="7"/>
      <c r="DX16" s="10" t="s">
        <v>38</v>
      </c>
      <c r="DY16" s="9"/>
      <c r="DZ16" s="9"/>
      <c r="EA16" s="10" t="s">
        <v>38</v>
      </c>
      <c r="EB16" s="7">
        <v>100</v>
      </c>
      <c r="EC16" s="7">
        <v>250</v>
      </c>
      <c r="ED16" s="10" t="s">
        <v>38</v>
      </c>
      <c r="EE16" s="7"/>
      <c r="EF16" s="7"/>
      <c r="EG16" s="10" t="s">
        <v>38</v>
      </c>
      <c r="EH16" s="7"/>
      <c r="EI16" s="7"/>
      <c r="EJ16" s="10" t="s">
        <v>38</v>
      </c>
      <c r="EK16" s="9"/>
      <c r="EL16" s="9"/>
      <c r="EM16" s="10" t="s">
        <v>38</v>
      </c>
      <c r="EN16" s="7">
        <v>20</v>
      </c>
      <c r="EO16" s="7">
        <v>65</v>
      </c>
      <c r="EP16" s="10" t="s">
        <v>38</v>
      </c>
      <c r="EQ16" s="7"/>
      <c r="ER16" s="7"/>
      <c r="ES16" s="10" t="s">
        <v>38</v>
      </c>
      <c r="ET16" s="7"/>
      <c r="EU16" s="7"/>
      <c r="EV16" s="10" t="s">
        <v>38</v>
      </c>
      <c r="EW16" s="9"/>
      <c r="EX16" s="9"/>
      <c r="EY16" s="10" t="s">
        <v>38</v>
      </c>
      <c r="EZ16" s="7">
        <v>70</v>
      </c>
      <c r="FA16" s="7">
        <v>300</v>
      </c>
      <c r="FB16" s="10" t="s">
        <v>38</v>
      </c>
      <c r="FC16" s="7"/>
      <c r="FD16" s="7"/>
      <c r="FE16" s="10" t="s">
        <v>38</v>
      </c>
      <c r="FF16" s="7"/>
      <c r="FG16" s="7"/>
      <c r="FH16" s="10" t="s">
        <v>38</v>
      </c>
      <c r="FI16" s="9"/>
      <c r="FJ16" s="9"/>
      <c r="FK16" s="10" t="s">
        <v>38</v>
      </c>
      <c r="FL16" s="7">
        <v>50</v>
      </c>
      <c r="FM16" s="7">
        <v>250</v>
      </c>
      <c r="FN16" s="10" t="s">
        <v>38</v>
      </c>
      <c r="FO16" s="7"/>
      <c r="FP16" s="7"/>
      <c r="FQ16" s="10" t="s">
        <v>38</v>
      </c>
      <c r="FR16" s="7"/>
      <c r="FS16" s="7"/>
      <c r="FT16" s="10" t="s">
        <v>38</v>
      </c>
      <c r="FU16" s="9"/>
      <c r="FV16" s="9"/>
      <c r="FW16" s="10" t="s">
        <v>38</v>
      </c>
      <c r="FX16" s="7">
        <v>60</v>
      </c>
      <c r="FY16" s="7">
        <v>250</v>
      </c>
      <c r="FZ16" s="10" t="s">
        <v>38</v>
      </c>
      <c r="GA16" s="7"/>
      <c r="GB16" s="7"/>
      <c r="GC16" s="10" t="s">
        <v>38</v>
      </c>
      <c r="GD16" s="7"/>
      <c r="GE16" s="7"/>
      <c r="GF16" s="10" t="s">
        <v>38</v>
      </c>
      <c r="GG16" s="7"/>
      <c r="GH16" s="7"/>
      <c r="GI16" s="10" t="s">
        <v>38</v>
      </c>
      <c r="GJ16" s="7">
        <v>8</v>
      </c>
      <c r="GK16" s="7">
        <v>15</v>
      </c>
      <c r="GL16" s="10" t="s">
        <v>38</v>
      </c>
      <c r="GM16" s="7"/>
      <c r="GN16" s="7"/>
      <c r="GO16" s="10" t="s">
        <v>38</v>
      </c>
      <c r="GP16" s="7"/>
      <c r="GQ16" s="7"/>
      <c r="GR16" s="10" t="s">
        <v>38</v>
      </c>
      <c r="GS16" s="7"/>
      <c r="GT16" s="7"/>
      <c r="GU16" s="6" t="s">
        <v>38</v>
      </c>
      <c r="GV16" s="7">
        <v>18</v>
      </c>
      <c r="GW16" s="7">
        <v>50</v>
      </c>
      <c r="GX16" s="10" t="s">
        <v>38</v>
      </c>
      <c r="GY16" s="7"/>
      <c r="GZ16" s="7"/>
      <c r="HA16" s="10" t="s">
        <v>38</v>
      </c>
      <c r="HB16" s="7"/>
      <c r="HC16" s="7"/>
      <c r="HD16" s="10" t="s">
        <v>38</v>
      </c>
      <c r="HE16" s="7"/>
      <c r="HF16" s="7"/>
      <c r="HG16" s="10" t="s">
        <v>38</v>
      </c>
      <c r="HH16" s="7">
        <v>25</v>
      </c>
      <c r="HI16" s="7">
        <v>70</v>
      </c>
      <c r="HJ16" s="10" t="s">
        <v>38</v>
      </c>
      <c r="HK16" s="7"/>
      <c r="HL16" s="7"/>
      <c r="HM16" s="10" t="s">
        <v>38</v>
      </c>
      <c r="HN16" s="7"/>
      <c r="HO16" s="7"/>
      <c r="HP16" s="10" t="s">
        <v>38</v>
      </c>
      <c r="HQ16" s="7"/>
      <c r="HR16" s="7"/>
      <c r="HS16" s="10" t="s">
        <v>38</v>
      </c>
      <c r="HT16" s="7">
        <v>25</v>
      </c>
      <c r="HU16" s="7">
        <v>60</v>
      </c>
      <c r="HV16" s="10" t="s">
        <v>38</v>
      </c>
      <c r="HW16" s="7"/>
      <c r="HX16" s="7"/>
      <c r="HY16" s="10" t="s">
        <v>38</v>
      </c>
      <c r="HZ16" s="7"/>
      <c r="IA16" s="7"/>
      <c r="IB16" s="10" t="s">
        <v>38</v>
      </c>
      <c r="IC16" s="7"/>
      <c r="ID16" s="7"/>
      <c r="IE16" s="6" t="s">
        <v>38</v>
      </c>
      <c r="IF16" s="7">
        <v>28</v>
      </c>
      <c r="IG16" s="7">
        <v>85</v>
      </c>
      <c r="IH16" s="10"/>
      <c r="II16" s="7"/>
      <c r="IJ16" s="7"/>
      <c r="IK16" s="7"/>
      <c r="IL16" s="7"/>
      <c r="IM16" s="7"/>
      <c r="IN16" s="7"/>
      <c r="IO16" s="10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E16" s="7"/>
      <c r="JF16" s="7"/>
      <c r="JH16" s="7"/>
      <c r="JI16" s="7"/>
      <c r="JJ16" s="7"/>
      <c r="JK16" s="7"/>
      <c r="JL16" s="7"/>
      <c r="JM16" s="7"/>
      <c r="JN16" s="10"/>
      <c r="JO16" s="7"/>
      <c r="JP16" s="7"/>
      <c r="JQ16" s="7"/>
      <c r="JR16" s="7"/>
      <c r="JS16" s="10"/>
      <c r="JT16" s="7"/>
      <c r="JU16" s="7"/>
      <c r="JV16" s="7"/>
      <c r="JW16" s="7"/>
      <c r="JX16" s="7"/>
    </row>
    <row r="17" spans="1:284" x14ac:dyDescent="0.3">
      <c r="A17" s="19" t="s">
        <v>200</v>
      </c>
      <c r="B17" s="10" t="s">
        <v>38</v>
      </c>
      <c r="C17" s="7"/>
      <c r="D17" s="7"/>
      <c r="E17" s="6" t="s">
        <v>374</v>
      </c>
      <c r="F17" s="7">
        <v>30</v>
      </c>
      <c r="G17" s="7">
        <v>800</v>
      </c>
      <c r="H17" s="6" t="s">
        <v>374</v>
      </c>
      <c r="I17" s="9">
        <v>2000</v>
      </c>
      <c r="J17" s="9">
        <v>18000</v>
      </c>
      <c r="K17" s="10" t="s">
        <v>38</v>
      </c>
      <c r="L17" s="7"/>
      <c r="M17" s="7"/>
      <c r="N17" s="10" t="s">
        <v>38</v>
      </c>
      <c r="O17" s="7"/>
      <c r="P17" s="7"/>
      <c r="Q17" s="6" t="s">
        <v>374</v>
      </c>
      <c r="R17" s="7">
        <v>40</v>
      </c>
      <c r="S17" s="7">
        <v>1000</v>
      </c>
      <c r="T17" s="6" t="s">
        <v>374</v>
      </c>
      <c r="U17" s="9">
        <v>2000</v>
      </c>
      <c r="V17" s="9">
        <v>18000</v>
      </c>
      <c r="W17" s="10" t="s">
        <v>38</v>
      </c>
      <c r="X17" s="7"/>
      <c r="Y17" s="7"/>
      <c r="Z17" s="10" t="s">
        <v>38</v>
      </c>
      <c r="AA17" s="7"/>
      <c r="AB17" s="7"/>
      <c r="AC17" s="6" t="s">
        <v>374</v>
      </c>
      <c r="AD17" s="7">
        <v>40</v>
      </c>
      <c r="AE17" s="7">
        <v>800</v>
      </c>
      <c r="AF17" s="6" t="s">
        <v>374</v>
      </c>
      <c r="AG17" s="9">
        <v>1000</v>
      </c>
      <c r="AH17" s="9">
        <v>9000</v>
      </c>
      <c r="AI17" s="10" t="s">
        <v>38</v>
      </c>
      <c r="AJ17" s="7"/>
      <c r="AK17" s="7"/>
      <c r="AL17" s="10" t="s">
        <v>38</v>
      </c>
      <c r="AM17" s="7"/>
      <c r="AN17" s="7"/>
      <c r="AO17" s="6" t="s">
        <v>374</v>
      </c>
      <c r="AP17" s="7">
        <v>20</v>
      </c>
      <c r="AQ17" s="7">
        <v>500</v>
      </c>
      <c r="AR17" s="6" t="s">
        <v>374</v>
      </c>
      <c r="AS17" s="9">
        <v>350</v>
      </c>
      <c r="AT17" s="9">
        <v>5000</v>
      </c>
      <c r="AU17" s="10" t="s">
        <v>38</v>
      </c>
      <c r="AV17" s="7"/>
      <c r="AW17" s="7"/>
      <c r="AX17" s="10" t="s">
        <v>38</v>
      </c>
      <c r="AY17" s="7"/>
      <c r="AZ17" s="7"/>
      <c r="BA17" s="6" t="s">
        <v>374</v>
      </c>
      <c r="BB17" s="7">
        <v>40</v>
      </c>
      <c r="BC17" s="7">
        <v>1200</v>
      </c>
      <c r="BD17" s="10" t="s">
        <v>38</v>
      </c>
      <c r="BE17" s="9"/>
      <c r="BF17" s="9"/>
      <c r="BG17" s="10" t="s">
        <v>38</v>
      </c>
      <c r="BH17" s="7"/>
      <c r="BI17" s="7"/>
      <c r="BJ17" s="10" t="s">
        <v>38</v>
      </c>
      <c r="BK17" s="7"/>
      <c r="BL17" s="7"/>
      <c r="BM17" s="6" t="s">
        <v>374</v>
      </c>
      <c r="BN17" s="7">
        <v>15</v>
      </c>
      <c r="BO17" s="7">
        <v>450</v>
      </c>
      <c r="BP17" s="10" t="s">
        <v>38</v>
      </c>
      <c r="BQ17" s="9"/>
      <c r="BR17" s="9"/>
      <c r="BS17" s="10" t="s">
        <v>38</v>
      </c>
      <c r="BT17" s="7">
        <v>5000</v>
      </c>
      <c r="BU17" s="7">
        <v>12000</v>
      </c>
      <c r="BV17" s="10" t="s">
        <v>38</v>
      </c>
      <c r="BW17" s="7"/>
      <c r="BX17" s="7"/>
      <c r="BY17" s="6" t="s">
        <v>374</v>
      </c>
      <c r="BZ17" s="7">
        <v>15</v>
      </c>
      <c r="CA17" s="7">
        <v>300</v>
      </c>
      <c r="CB17" s="10" t="s">
        <v>38</v>
      </c>
      <c r="CC17" s="9"/>
      <c r="CD17" s="9"/>
      <c r="CE17" s="10" t="s">
        <v>38</v>
      </c>
      <c r="CF17" s="7">
        <v>12000</v>
      </c>
      <c r="CG17" s="7">
        <v>24000</v>
      </c>
      <c r="CH17" s="10" t="s">
        <v>38</v>
      </c>
      <c r="CI17" s="7"/>
      <c r="CJ17" s="7"/>
      <c r="CK17" s="6" t="s">
        <v>374</v>
      </c>
      <c r="CL17" s="7">
        <v>400</v>
      </c>
      <c r="CM17" s="7">
        <v>8000</v>
      </c>
      <c r="CN17" s="10" t="s">
        <v>38</v>
      </c>
      <c r="CO17" s="9">
        <v>8400</v>
      </c>
      <c r="CP17" s="9">
        <v>12000</v>
      </c>
      <c r="CQ17" s="10" t="s">
        <v>38</v>
      </c>
      <c r="CR17" s="7">
        <v>4200</v>
      </c>
      <c r="CS17" s="7">
        <v>6000</v>
      </c>
      <c r="CT17" s="10" t="s">
        <v>38</v>
      </c>
      <c r="CU17" s="7"/>
      <c r="CV17" s="7"/>
      <c r="CW17" s="10" t="s">
        <v>38</v>
      </c>
      <c r="CX17" s="7">
        <v>150</v>
      </c>
      <c r="CY17" s="7">
        <v>290</v>
      </c>
      <c r="CZ17" s="10" t="s">
        <v>38</v>
      </c>
      <c r="DA17" s="9">
        <v>5750</v>
      </c>
      <c r="DB17" s="9">
        <v>10590</v>
      </c>
      <c r="DC17" s="10" t="s">
        <v>38</v>
      </c>
      <c r="DD17" s="7">
        <v>1676</v>
      </c>
      <c r="DE17" s="7">
        <v>3100</v>
      </c>
      <c r="DF17" s="10" t="s">
        <v>38</v>
      </c>
      <c r="DG17" s="7"/>
      <c r="DH17" s="7"/>
      <c r="DI17" s="10" t="s">
        <v>38</v>
      </c>
      <c r="DJ17" s="7">
        <v>230</v>
      </c>
      <c r="DK17" s="7">
        <v>180</v>
      </c>
      <c r="DL17" s="10" t="s">
        <v>38</v>
      </c>
      <c r="DM17" s="9">
        <v>4348</v>
      </c>
      <c r="DN17" s="9">
        <v>9150</v>
      </c>
      <c r="DO17" s="10" t="s">
        <v>38</v>
      </c>
      <c r="DP17" s="7">
        <v>1365</v>
      </c>
      <c r="DQ17" s="7">
        <v>2385</v>
      </c>
      <c r="DR17" s="10" t="s">
        <v>38</v>
      </c>
      <c r="DS17" s="7"/>
      <c r="DT17" s="7"/>
      <c r="DU17" s="10" t="s">
        <v>38</v>
      </c>
      <c r="DV17" s="7">
        <v>250</v>
      </c>
      <c r="DW17" s="7">
        <v>900</v>
      </c>
      <c r="DX17" s="10" t="s">
        <v>38</v>
      </c>
      <c r="DY17" s="9">
        <v>3500</v>
      </c>
      <c r="DZ17" s="9">
        <v>7000</v>
      </c>
      <c r="EA17" s="10" t="s">
        <v>38</v>
      </c>
      <c r="EB17" s="7">
        <v>2000</v>
      </c>
      <c r="EC17" s="7">
        <v>4000</v>
      </c>
      <c r="ED17" s="10" t="s">
        <v>38</v>
      </c>
      <c r="EE17" s="7"/>
      <c r="EF17" s="7"/>
      <c r="EG17" s="10" t="s">
        <v>38</v>
      </c>
      <c r="EH17" s="7">
        <v>100</v>
      </c>
      <c r="EI17" s="7">
        <v>250</v>
      </c>
      <c r="EJ17" s="10" t="s">
        <v>38</v>
      </c>
      <c r="EK17" s="9">
        <v>2530</v>
      </c>
      <c r="EL17" s="9">
        <v>5230</v>
      </c>
      <c r="EM17" s="10" t="s">
        <v>38</v>
      </c>
      <c r="EN17" s="7">
        <v>1700</v>
      </c>
      <c r="EO17" s="7">
        <v>3400</v>
      </c>
      <c r="EP17" s="10" t="s">
        <v>38</v>
      </c>
      <c r="EQ17" s="7"/>
      <c r="ER17" s="7"/>
      <c r="ES17" s="10" t="s">
        <v>38</v>
      </c>
      <c r="ET17" s="7">
        <v>100</v>
      </c>
      <c r="EU17" s="7">
        <v>250</v>
      </c>
      <c r="EV17" s="10" t="s">
        <v>38</v>
      </c>
      <c r="EW17" s="9">
        <v>1200</v>
      </c>
      <c r="EX17" s="9">
        <v>3000</v>
      </c>
      <c r="EY17" s="10" t="s">
        <v>38</v>
      </c>
      <c r="EZ17" s="7">
        <v>2500</v>
      </c>
      <c r="FA17" s="7">
        <v>7000</v>
      </c>
      <c r="FB17" s="10" t="s">
        <v>38</v>
      </c>
      <c r="FC17" s="7"/>
      <c r="FD17" s="7"/>
      <c r="FE17" s="10" t="s">
        <v>38</v>
      </c>
      <c r="FF17" s="7">
        <v>150</v>
      </c>
      <c r="FG17" s="7">
        <v>400</v>
      </c>
      <c r="FH17" s="10" t="s">
        <v>38</v>
      </c>
      <c r="FI17" s="9">
        <v>1500</v>
      </c>
      <c r="FJ17" s="9">
        <v>3200</v>
      </c>
      <c r="FK17" s="10" t="s">
        <v>38</v>
      </c>
      <c r="FL17" s="7">
        <v>3000</v>
      </c>
      <c r="FM17" s="7">
        <v>8000</v>
      </c>
      <c r="FN17" s="10" t="s">
        <v>38</v>
      </c>
      <c r="FO17" s="7"/>
      <c r="FP17" s="7"/>
      <c r="FQ17" s="10" t="s">
        <v>38</v>
      </c>
      <c r="FR17" s="7">
        <v>200</v>
      </c>
      <c r="FS17" s="7">
        <v>600</v>
      </c>
      <c r="FT17" s="10" t="s">
        <v>38</v>
      </c>
      <c r="FU17" s="9">
        <v>1400</v>
      </c>
      <c r="FV17" s="9">
        <v>3000</v>
      </c>
      <c r="FW17" s="10" t="s">
        <v>38</v>
      </c>
      <c r="FX17" s="7">
        <v>2500</v>
      </c>
      <c r="FY17" s="7">
        <v>7000</v>
      </c>
      <c r="FZ17" s="10" t="s">
        <v>38</v>
      </c>
      <c r="GA17" s="7"/>
      <c r="GB17" s="7"/>
      <c r="GC17" s="10" t="s">
        <v>38</v>
      </c>
      <c r="GD17" s="7"/>
      <c r="GE17" s="7"/>
      <c r="GF17" s="10" t="s">
        <v>38</v>
      </c>
      <c r="GG17" s="7">
        <v>400</v>
      </c>
      <c r="GH17" s="7">
        <v>1100</v>
      </c>
      <c r="GI17" s="10" t="s">
        <v>38</v>
      </c>
      <c r="GJ17" s="7">
        <v>2060</v>
      </c>
      <c r="GK17" s="7">
        <v>4328</v>
      </c>
      <c r="GL17" s="10" t="s">
        <v>38</v>
      </c>
      <c r="GM17" s="7"/>
      <c r="GN17" s="7"/>
      <c r="GO17" s="10" t="s">
        <v>38</v>
      </c>
      <c r="GP17" s="7">
        <v>250</v>
      </c>
      <c r="GQ17" s="7">
        <v>900</v>
      </c>
      <c r="GR17" s="10" t="s">
        <v>38</v>
      </c>
      <c r="GS17" s="7">
        <v>2200</v>
      </c>
      <c r="GT17" s="7">
        <v>4000</v>
      </c>
      <c r="GU17" s="6" t="s">
        <v>38</v>
      </c>
      <c r="GV17" s="7">
        <v>4700</v>
      </c>
      <c r="GW17" s="7">
        <v>10800</v>
      </c>
      <c r="GX17" s="10" t="s">
        <v>38</v>
      </c>
      <c r="GY17" s="7"/>
      <c r="GZ17" s="7"/>
      <c r="HA17" s="10" t="s">
        <v>38</v>
      </c>
      <c r="HB17" s="7">
        <v>300</v>
      </c>
      <c r="HC17" s="7">
        <v>1000</v>
      </c>
      <c r="HD17" s="10" t="s">
        <v>38</v>
      </c>
      <c r="HE17" s="7">
        <v>2000</v>
      </c>
      <c r="HF17" s="7">
        <v>4000</v>
      </c>
      <c r="HG17" s="10" t="s">
        <v>38</v>
      </c>
      <c r="HH17" s="7">
        <v>3000</v>
      </c>
      <c r="HI17" s="7">
        <v>7000</v>
      </c>
      <c r="HJ17" s="10" t="s">
        <v>38</v>
      </c>
      <c r="HK17" s="7"/>
      <c r="HL17" s="7"/>
      <c r="HM17" s="10" t="s">
        <v>38</v>
      </c>
      <c r="HN17" s="7">
        <v>400</v>
      </c>
      <c r="HO17" s="7">
        <v>1200</v>
      </c>
      <c r="HP17" s="10" t="s">
        <v>38</v>
      </c>
      <c r="HQ17" s="7">
        <v>1800</v>
      </c>
      <c r="HR17" s="7">
        <v>4500</v>
      </c>
      <c r="HS17" s="10" t="s">
        <v>38</v>
      </c>
      <c r="HT17" s="7">
        <v>3300</v>
      </c>
      <c r="HU17" s="7">
        <v>7280</v>
      </c>
      <c r="HV17" s="10" t="s">
        <v>38</v>
      </c>
      <c r="HW17" s="7"/>
      <c r="HX17" s="7"/>
      <c r="HY17" s="10" t="s">
        <v>38</v>
      </c>
      <c r="HZ17" s="7">
        <v>500</v>
      </c>
      <c r="IA17" s="7">
        <v>1700</v>
      </c>
      <c r="IB17" s="10" t="s">
        <v>38</v>
      </c>
      <c r="IC17" s="7">
        <v>1320</v>
      </c>
      <c r="ID17" s="7">
        <v>3150</v>
      </c>
      <c r="IE17" s="6" t="s">
        <v>38</v>
      </c>
      <c r="IF17" s="7">
        <v>5240</v>
      </c>
      <c r="IG17" s="7">
        <v>12320</v>
      </c>
      <c r="IH17" s="10"/>
      <c r="II17" s="7"/>
      <c r="IJ17" s="7"/>
      <c r="IK17" s="7"/>
      <c r="IL17" s="7"/>
      <c r="IM17" s="7"/>
      <c r="IN17" s="7"/>
      <c r="IO17" s="10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E17" s="7"/>
      <c r="JF17" s="7"/>
      <c r="JH17" s="7"/>
      <c r="JI17" s="7"/>
      <c r="JJ17" s="7"/>
      <c r="JK17" s="7"/>
      <c r="JL17" s="7"/>
      <c r="JM17" s="7"/>
      <c r="JN17" s="10"/>
      <c r="JO17" s="7"/>
      <c r="JP17" s="7"/>
      <c r="JQ17" s="7"/>
      <c r="JR17" s="7"/>
      <c r="JS17" s="10"/>
      <c r="JT17" s="7"/>
      <c r="JU17" s="7"/>
      <c r="JV17" s="7"/>
      <c r="JW17" s="7"/>
      <c r="JX17" s="7"/>
    </row>
    <row r="18" spans="1:284" x14ac:dyDescent="0.3">
      <c r="A18" s="19" t="s">
        <v>179</v>
      </c>
      <c r="B18" s="10" t="s">
        <v>38</v>
      </c>
      <c r="C18" s="7"/>
      <c r="D18" s="7"/>
      <c r="E18" s="10" t="s">
        <v>38</v>
      </c>
      <c r="F18" s="7"/>
      <c r="G18" s="7"/>
      <c r="H18" s="10" t="s">
        <v>38</v>
      </c>
      <c r="I18" s="9"/>
      <c r="J18" s="9"/>
      <c r="K18" s="10" t="s">
        <v>38</v>
      </c>
      <c r="L18" s="7"/>
      <c r="M18" s="7"/>
      <c r="N18" s="10" t="s">
        <v>38</v>
      </c>
      <c r="O18" s="7"/>
      <c r="P18" s="7"/>
      <c r="Q18" s="10" t="s">
        <v>38</v>
      </c>
      <c r="R18" s="7"/>
      <c r="S18" s="7"/>
      <c r="T18" s="10" t="s">
        <v>38</v>
      </c>
      <c r="U18" s="9"/>
      <c r="V18" s="9"/>
      <c r="W18" s="10" t="s">
        <v>38</v>
      </c>
      <c r="X18" s="7"/>
      <c r="Y18" s="7"/>
      <c r="Z18" s="10" t="s">
        <v>38</v>
      </c>
      <c r="AA18" s="7"/>
      <c r="AB18" s="7"/>
      <c r="AC18" s="10" t="s">
        <v>38</v>
      </c>
      <c r="AD18" s="7"/>
      <c r="AE18" s="7"/>
      <c r="AF18" s="10" t="s">
        <v>38</v>
      </c>
      <c r="AG18" s="9"/>
      <c r="AH18" s="9"/>
      <c r="AI18" s="10" t="s">
        <v>38</v>
      </c>
      <c r="AJ18" s="7"/>
      <c r="AK18" s="7"/>
      <c r="AL18" s="10" t="s">
        <v>38</v>
      </c>
      <c r="AM18" s="7"/>
      <c r="AN18" s="7"/>
      <c r="AO18" s="10" t="s">
        <v>38</v>
      </c>
      <c r="AP18" s="7"/>
      <c r="AQ18" s="7"/>
      <c r="AR18" s="10" t="s">
        <v>38</v>
      </c>
      <c r="AS18" s="9"/>
      <c r="AT18" s="9"/>
      <c r="AU18" s="10" t="s">
        <v>38</v>
      </c>
      <c r="AV18" s="7"/>
      <c r="AW18" s="7"/>
      <c r="AX18" s="10" t="s">
        <v>38</v>
      </c>
      <c r="AY18" s="7"/>
      <c r="AZ18" s="7"/>
      <c r="BA18" s="10" t="s">
        <v>38</v>
      </c>
      <c r="BB18" s="7"/>
      <c r="BC18" s="7"/>
      <c r="BD18" s="10" t="s">
        <v>38</v>
      </c>
      <c r="BE18" s="9"/>
      <c r="BF18" s="9"/>
      <c r="BG18" s="10" t="s">
        <v>38</v>
      </c>
      <c r="BH18" s="7"/>
      <c r="BI18" s="7"/>
      <c r="BJ18" s="10" t="s">
        <v>38</v>
      </c>
      <c r="BK18" s="7"/>
      <c r="BL18" s="7"/>
      <c r="BM18" s="10" t="s">
        <v>38</v>
      </c>
      <c r="BN18" s="7"/>
      <c r="BO18" s="7"/>
      <c r="BP18" s="10" t="s">
        <v>38</v>
      </c>
      <c r="BQ18" s="9"/>
      <c r="BR18" s="9"/>
      <c r="BS18" s="10" t="s">
        <v>38</v>
      </c>
      <c r="BT18" s="7">
        <v>413</v>
      </c>
      <c r="BU18" s="7">
        <v>850</v>
      </c>
      <c r="BV18" s="10" t="s">
        <v>38</v>
      </c>
      <c r="BW18" s="7"/>
      <c r="BX18" s="7"/>
      <c r="BY18" s="10" t="s">
        <v>38</v>
      </c>
      <c r="BZ18" s="7"/>
      <c r="CA18" s="7"/>
      <c r="CB18" s="10" t="s">
        <v>38</v>
      </c>
      <c r="CC18" s="9">
        <v>350</v>
      </c>
      <c r="CD18" s="9">
        <v>1600</v>
      </c>
      <c r="CE18" s="10" t="s">
        <v>38</v>
      </c>
      <c r="CF18" s="7">
        <v>413</v>
      </c>
      <c r="CG18" s="7">
        <v>850</v>
      </c>
      <c r="CH18" s="10" t="s">
        <v>38</v>
      </c>
      <c r="CI18" s="7"/>
      <c r="CJ18" s="7"/>
      <c r="CK18" s="10" t="s">
        <v>38</v>
      </c>
      <c r="CL18" s="7"/>
      <c r="CM18" s="7"/>
      <c r="CN18" s="10" t="s">
        <v>38</v>
      </c>
      <c r="CO18" s="9">
        <v>700</v>
      </c>
      <c r="CP18" s="9">
        <v>3000</v>
      </c>
      <c r="CQ18" s="10" t="s">
        <v>38</v>
      </c>
      <c r="CR18" s="7">
        <v>500</v>
      </c>
      <c r="CS18" s="7">
        <v>1000</v>
      </c>
      <c r="CT18" s="10" t="s">
        <v>38</v>
      </c>
      <c r="CU18" s="7"/>
      <c r="CV18" s="7"/>
      <c r="CW18" s="10" t="s">
        <v>38</v>
      </c>
      <c r="CX18" s="7"/>
      <c r="CY18" s="7"/>
      <c r="CZ18" s="10" t="s">
        <v>38</v>
      </c>
      <c r="DA18" s="9">
        <v>680</v>
      </c>
      <c r="DB18" s="9">
        <v>2340</v>
      </c>
      <c r="DC18" s="10" t="s">
        <v>38</v>
      </c>
      <c r="DD18" s="7"/>
      <c r="DE18" s="7"/>
      <c r="DF18" s="10" t="s">
        <v>38</v>
      </c>
      <c r="DG18" s="7"/>
      <c r="DH18" s="7"/>
      <c r="DI18" s="10" t="s">
        <v>38</v>
      </c>
      <c r="DJ18" s="7"/>
      <c r="DK18" s="7"/>
      <c r="DL18" s="10" t="s">
        <v>38</v>
      </c>
      <c r="DM18" s="9">
        <v>518</v>
      </c>
      <c r="DN18" s="9">
        <v>1635</v>
      </c>
      <c r="DO18" s="10" t="s">
        <v>38</v>
      </c>
      <c r="DP18" s="7">
        <v>48</v>
      </c>
      <c r="DQ18" s="7">
        <v>155</v>
      </c>
      <c r="DR18" s="10" t="s">
        <v>38</v>
      </c>
      <c r="DS18" s="7"/>
      <c r="DT18" s="7"/>
      <c r="DU18" s="10" t="s">
        <v>38</v>
      </c>
      <c r="DV18" s="7"/>
      <c r="DW18" s="7"/>
      <c r="DX18" s="10" t="s">
        <v>38</v>
      </c>
      <c r="DY18" s="9">
        <v>600</v>
      </c>
      <c r="DZ18" s="9">
        <v>2000</v>
      </c>
      <c r="EA18" s="10" t="s">
        <v>38</v>
      </c>
      <c r="EB18" s="7">
        <v>50</v>
      </c>
      <c r="EC18" s="7">
        <v>125</v>
      </c>
      <c r="ED18" s="10" t="s">
        <v>38</v>
      </c>
      <c r="EE18" s="7"/>
      <c r="EF18" s="7"/>
      <c r="EG18" s="10" t="s">
        <v>38</v>
      </c>
      <c r="EH18" s="7"/>
      <c r="EI18" s="7"/>
      <c r="EJ18" s="10" t="s">
        <v>38</v>
      </c>
      <c r="EK18" s="9">
        <v>225</v>
      </c>
      <c r="EL18" s="9">
        <v>900</v>
      </c>
      <c r="EM18" s="10" t="s">
        <v>38</v>
      </c>
      <c r="EN18" s="7">
        <v>20</v>
      </c>
      <c r="EO18" s="7">
        <v>100</v>
      </c>
      <c r="EP18" s="10" t="s">
        <v>38</v>
      </c>
      <c r="EQ18" s="7"/>
      <c r="ER18" s="7"/>
      <c r="ES18" s="10" t="s">
        <v>38</v>
      </c>
      <c r="ET18" s="7"/>
      <c r="EU18" s="7"/>
      <c r="EV18" s="10" t="s">
        <v>38</v>
      </c>
      <c r="EW18" s="9">
        <v>250</v>
      </c>
      <c r="EX18" s="9">
        <v>1200</v>
      </c>
      <c r="EY18" s="10" t="s">
        <v>38</v>
      </c>
      <c r="EZ18" s="7">
        <v>50</v>
      </c>
      <c r="FA18" s="7">
        <v>150</v>
      </c>
      <c r="FB18" s="10" t="s">
        <v>38</v>
      </c>
      <c r="FC18" s="7"/>
      <c r="FD18" s="7"/>
      <c r="FE18" s="10" t="s">
        <v>38</v>
      </c>
      <c r="FF18" s="7"/>
      <c r="FG18" s="7"/>
      <c r="FH18" s="10" t="s">
        <v>38</v>
      </c>
      <c r="FI18" s="9">
        <v>300</v>
      </c>
      <c r="FJ18" s="9">
        <v>1800</v>
      </c>
      <c r="FK18" s="10" t="s">
        <v>38</v>
      </c>
      <c r="FL18" s="7">
        <v>50</v>
      </c>
      <c r="FM18" s="7">
        <v>150</v>
      </c>
      <c r="FN18" s="10" t="s">
        <v>38</v>
      </c>
      <c r="FO18" s="7"/>
      <c r="FP18" s="7"/>
      <c r="FQ18" s="10" t="s">
        <v>38</v>
      </c>
      <c r="FR18" s="129"/>
      <c r="FS18" s="7"/>
      <c r="FT18" s="10" t="s">
        <v>38</v>
      </c>
      <c r="FU18" s="9">
        <v>350</v>
      </c>
      <c r="FV18" s="9">
        <v>2000</v>
      </c>
      <c r="FW18" s="10" t="s">
        <v>38</v>
      </c>
      <c r="FX18" s="7">
        <v>60</v>
      </c>
      <c r="FY18" s="7">
        <v>175</v>
      </c>
      <c r="FZ18" s="10" t="s">
        <v>38</v>
      </c>
      <c r="GA18" s="7"/>
      <c r="GB18" s="7"/>
      <c r="GC18" s="10" t="s">
        <v>38</v>
      </c>
      <c r="GD18" s="7"/>
      <c r="GE18" s="7"/>
      <c r="GF18" s="10" t="s">
        <v>38</v>
      </c>
      <c r="GG18" s="7">
        <v>400</v>
      </c>
      <c r="GH18" s="7">
        <v>2400</v>
      </c>
      <c r="GI18" s="10" t="s">
        <v>38</v>
      </c>
      <c r="GJ18" s="7">
        <v>384</v>
      </c>
      <c r="GK18" s="7">
        <v>1236</v>
      </c>
      <c r="GL18" s="10" t="s">
        <v>38</v>
      </c>
      <c r="GM18" s="7"/>
      <c r="GN18" s="7"/>
      <c r="GO18" s="10" t="s">
        <v>38</v>
      </c>
      <c r="GP18" s="7">
        <v>8</v>
      </c>
      <c r="GQ18" s="7">
        <v>100</v>
      </c>
      <c r="GR18" s="10" t="s">
        <v>38</v>
      </c>
      <c r="GS18" s="7">
        <v>500</v>
      </c>
      <c r="GT18" s="7">
        <v>2500</v>
      </c>
      <c r="GU18" s="6" t="s">
        <v>38</v>
      </c>
      <c r="GV18" s="7">
        <v>250</v>
      </c>
      <c r="GW18" s="7">
        <v>1000</v>
      </c>
      <c r="GX18" s="10" t="s">
        <v>38</v>
      </c>
      <c r="GY18" s="7"/>
      <c r="GZ18" s="7"/>
      <c r="HA18" s="10" t="s">
        <v>38</v>
      </c>
      <c r="HB18" s="7"/>
      <c r="HC18" s="7"/>
      <c r="HD18" s="10" t="s">
        <v>38</v>
      </c>
      <c r="HE18" s="7">
        <v>600</v>
      </c>
      <c r="HF18" s="7">
        <v>2500</v>
      </c>
      <c r="HG18" s="10" t="s">
        <v>38</v>
      </c>
      <c r="HH18" s="7">
        <v>200</v>
      </c>
      <c r="HI18" s="7">
        <v>800</v>
      </c>
      <c r="HJ18" s="10" t="s">
        <v>38</v>
      </c>
      <c r="HK18" s="7"/>
      <c r="HL18" s="7"/>
      <c r="HM18" s="10" t="s">
        <v>38</v>
      </c>
      <c r="HN18" s="7"/>
      <c r="HO18" s="7"/>
      <c r="HP18" s="10" t="s">
        <v>38</v>
      </c>
      <c r="HQ18" s="7">
        <v>500</v>
      </c>
      <c r="HR18" s="7">
        <v>2400</v>
      </c>
      <c r="HS18" s="10" t="s">
        <v>38</v>
      </c>
      <c r="HT18" s="7">
        <v>180</v>
      </c>
      <c r="HU18" s="7">
        <v>700</v>
      </c>
      <c r="HV18" s="10" t="s">
        <v>38</v>
      </c>
      <c r="HW18" s="7"/>
      <c r="HX18" s="7"/>
      <c r="HY18" s="10" t="s">
        <v>38</v>
      </c>
      <c r="HZ18" s="7"/>
      <c r="IA18" s="7"/>
      <c r="IB18" s="10" t="s">
        <v>38</v>
      </c>
      <c r="IC18" s="7">
        <v>65</v>
      </c>
      <c r="ID18" s="7">
        <v>380</v>
      </c>
      <c r="IE18" s="6" t="s">
        <v>38</v>
      </c>
      <c r="IF18" s="7">
        <v>162</v>
      </c>
      <c r="IG18" s="7">
        <v>550</v>
      </c>
      <c r="IH18" s="10"/>
      <c r="II18" s="7"/>
      <c r="IJ18" s="7"/>
      <c r="IK18" s="7"/>
      <c r="IL18" s="7"/>
      <c r="IM18" s="7"/>
      <c r="IN18" s="7"/>
      <c r="IO18" s="10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E18" s="7"/>
      <c r="JF18" s="7"/>
      <c r="JH18" s="7"/>
      <c r="JI18" s="7"/>
      <c r="JJ18" s="7"/>
      <c r="JK18" s="7"/>
      <c r="JL18" s="7"/>
      <c r="JM18" s="7"/>
      <c r="JN18" s="10"/>
      <c r="JO18" s="7"/>
      <c r="JP18" s="7"/>
      <c r="JQ18" s="7"/>
      <c r="JR18" s="7"/>
      <c r="JS18" s="10"/>
      <c r="JT18" s="7"/>
      <c r="JU18" s="7"/>
      <c r="JV18" s="7"/>
      <c r="JW18" s="7"/>
      <c r="JX18" s="7"/>
    </row>
    <row r="19" spans="1:284" x14ac:dyDescent="0.3">
      <c r="A19" s="19" t="s">
        <v>69</v>
      </c>
      <c r="B19" s="10" t="s">
        <v>38</v>
      </c>
      <c r="C19" s="7"/>
      <c r="D19" s="7"/>
      <c r="E19" s="10" t="s">
        <v>38</v>
      </c>
      <c r="F19" s="7"/>
      <c r="G19" s="7"/>
      <c r="H19" s="6" t="s">
        <v>374</v>
      </c>
      <c r="I19" s="9">
        <v>660</v>
      </c>
      <c r="J19" s="9">
        <v>4500</v>
      </c>
      <c r="K19" s="10" t="s">
        <v>38</v>
      </c>
      <c r="L19" s="7"/>
      <c r="M19" s="7"/>
      <c r="N19" s="10" t="s">
        <v>38</v>
      </c>
      <c r="O19" s="7"/>
      <c r="P19" s="7"/>
      <c r="Q19" s="10" t="s">
        <v>38</v>
      </c>
      <c r="R19" s="7"/>
      <c r="S19" s="7"/>
      <c r="T19" s="6" t="s">
        <v>374</v>
      </c>
      <c r="U19" s="9">
        <v>500</v>
      </c>
      <c r="V19" s="9">
        <v>3000</v>
      </c>
      <c r="W19" s="10" t="s">
        <v>38</v>
      </c>
      <c r="X19" s="7"/>
      <c r="Y19" s="7"/>
      <c r="Z19" s="10" t="s">
        <v>38</v>
      </c>
      <c r="AA19" s="7"/>
      <c r="AB19" s="7"/>
      <c r="AC19" s="10" t="s">
        <v>38</v>
      </c>
      <c r="AD19" s="7"/>
      <c r="AE19" s="7"/>
      <c r="AF19" s="6" t="s">
        <v>374</v>
      </c>
      <c r="AG19" s="9">
        <v>200</v>
      </c>
      <c r="AH19" s="9">
        <v>1400</v>
      </c>
      <c r="AI19" s="10" t="s">
        <v>38</v>
      </c>
      <c r="AJ19" s="7"/>
      <c r="AK19" s="7"/>
      <c r="AL19" s="10" t="s">
        <v>38</v>
      </c>
      <c r="AM19" s="7"/>
      <c r="AN19" s="7"/>
      <c r="AO19" s="10" t="s">
        <v>38</v>
      </c>
      <c r="AP19" s="7"/>
      <c r="AQ19" s="7"/>
      <c r="AR19" s="6" t="s">
        <v>374</v>
      </c>
      <c r="AS19" s="9">
        <v>200</v>
      </c>
      <c r="AT19" s="9">
        <v>2000</v>
      </c>
      <c r="AU19" s="10" t="s">
        <v>38</v>
      </c>
      <c r="AV19" s="7"/>
      <c r="AW19" s="7"/>
      <c r="AX19" s="10" t="s">
        <v>38</v>
      </c>
      <c r="AY19" s="7"/>
      <c r="AZ19" s="7"/>
      <c r="BA19" s="10" t="s">
        <v>38</v>
      </c>
      <c r="BB19" s="7"/>
      <c r="BC19" s="7"/>
      <c r="BD19" s="6" t="s">
        <v>374</v>
      </c>
      <c r="BE19" s="9">
        <v>200</v>
      </c>
      <c r="BF19" s="9">
        <v>1400</v>
      </c>
      <c r="BG19" s="10" t="s">
        <v>38</v>
      </c>
      <c r="BH19" s="7"/>
      <c r="BI19" s="7"/>
      <c r="BJ19" s="10" t="s">
        <v>38</v>
      </c>
      <c r="BK19" s="7"/>
      <c r="BL19" s="7"/>
      <c r="BM19" s="10" t="s">
        <v>38</v>
      </c>
      <c r="BN19" s="7"/>
      <c r="BO19" s="7"/>
      <c r="BP19" s="10" t="s">
        <v>38</v>
      </c>
      <c r="BQ19" s="9"/>
      <c r="BR19" s="9"/>
      <c r="BS19" s="10" t="s">
        <v>38</v>
      </c>
      <c r="BT19" s="7">
        <v>200</v>
      </c>
      <c r="BU19" s="7">
        <v>600</v>
      </c>
      <c r="BV19" s="10" t="s">
        <v>38</v>
      </c>
      <c r="BW19" s="7"/>
      <c r="BX19" s="7"/>
      <c r="BY19" s="10" t="s">
        <v>38</v>
      </c>
      <c r="BZ19" s="7"/>
      <c r="CA19" s="7"/>
      <c r="CB19" s="10" t="s">
        <v>38</v>
      </c>
      <c r="CC19" s="9">
        <v>1500</v>
      </c>
      <c r="CD19" s="9">
        <v>1800</v>
      </c>
      <c r="CE19" s="10" t="s">
        <v>38</v>
      </c>
      <c r="CF19" s="7">
        <v>2981</v>
      </c>
      <c r="CG19" s="7">
        <v>5200</v>
      </c>
      <c r="CH19" s="10" t="s">
        <v>38</v>
      </c>
      <c r="CI19" s="7"/>
      <c r="CJ19" s="7"/>
      <c r="CK19" s="10" t="s">
        <v>38</v>
      </c>
      <c r="CL19" s="7"/>
      <c r="CM19" s="7"/>
      <c r="CN19" s="10" t="s">
        <v>38</v>
      </c>
      <c r="CO19" s="9">
        <v>1500</v>
      </c>
      <c r="CP19" s="9">
        <v>1800</v>
      </c>
      <c r="CQ19" s="10" t="s">
        <v>38</v>
      </c>
      <c r="CR19" s="7">
        <v>1000</v>
      </c>
      <c r="CS19" s="7">
        <v>2000</v>
      </c>
      <c r="CT19" s="10" t="s">
        <v>38</v>
      </c>
      <c r="CU19" s="7"/>
      <c r="CV19" s="7"/>
      <c r="CW19" s="10" t="s">
        <v>38</v>
      </c>
      <c r="CX19" s="7"/>
      <c r="CY19" s="7"/>
      <c r="CZ19" s="10" t="s">
        <v>38</v>
      </c>
      <c r="DA19" s="9">
        <v>1715</v>
      </c>
      <c r="DB19" s="9">
        <v>1750</v>
      </c>
      <c r="DC19" s="10" t="s">
        <v>38</v>
      </c>
      <c r="DD19" s="7"/>
      <c r="DE19" s="7"/>
      <c r="DF19" s="10" t="s">
        <v>38</v>
      </c>
      <c r="DG19" s="7"/>
      <c r="DH19" s="7"/>
      <c r="DI19" s="10" t="s">
        <v>38</v>
      </c>
      <c r="DJ19" s="7"/>
      <c r="DK19" s="7"/>
      <c r="DL19" s="10" t="s">
        <v>38</v>
      </c>
      <c r="DM19" s="9">
        <v>780</v>
      </c>
      <c r="DN19" s="9">
        <v>1120</v>
      </c>
      <c r="DO19" s="10" t="s">
        <v>38</v>
      </c>
      <c r="DP19" s="7"/>
      <c r="DQ19" s="7"/>
      <c r="DR19" s="10" t="s">
        <v>38</v>
      </c>
      <c r="DS19" s="7"/>
      <c r="DT19" s="7"/>
      <c r="DU19" s="10" t="s">
        <v>38</v>
      </c>
      <c r="DV19" s="7"/>
      <c r="DW19" s="7"/>
      <c r="DX19" s="10" t="s">
        <v>38</v>
      </c>
      <c r="DY19" s="9">
        <v>800</v>
      </c>
      <c r="DZ19" s="9">
        <v>1200</v>
      </c>
      <c r="EA19" s="10" t="s">
        <v>38</v>
      </c>
      <c r="EB19" s="7"/>
      <c r="EC19" s="7"/>
      <c r="ED19" s="10" t="s">
        <v>38</v>
      </c>
      <c r="EE19" s="7"/>
      <c r="EF19" s="7"/>
      <c r="EG19" s="10" t="s">
        <v>38</v>
      </c>
      <c r="EH19" s="7"/>
      <c r="EI19" s="7"/>
      <c r="EJ19" s="10" t="s">
        <v>38</v>
      </c>
      <c r="EK19" s="9">
        <v>500</v>
      </c>
      <c r="EL19" s="9">
        <v>1100</v>
      </c>
      <c r="EM19" s="10" t="s">
        <v>38</v>
      </c>
      <c r="EN19" s="7"/>
      <c r="EO19" s="7"/>
      <c r="EP19" s="10" t="s">
        <v>38</v>
      </c>
      <c r="EQ19" s="7"/>
      <c r="ER19" s="7"/>
      <c r="ES19" s="10" t="s">
        <v>38</v>
      </c>
      <c r="ET19" s="7"/>
      <c r="EU19" s="7"/>
      <c r="EV19" s="10" t="s">
        <v>38</v>
      </c>
      <c r="EW19" s="9">
        <v>500</v>
      </c>
      <c r="EX19" s="9">
        <v>1000</v>
      </c>
      <c r="EY19" s="10" t="s">
        <v>38</v>
      </c>
      <c r="EZ19" s="7"/>
      <c r="FA19" s="7"/>
      <c r="FB19" s="10" t="s">
        <v>38</v>
      </c>
      <c r="FC19" s="7"/>
      <c r="FD19" s="7"/>
      <c r="FE19" s="10" t="s">
        <v>38</v>
      </c>
      <c r="FF19" s="7"/>
      <c r="FG19" s="7"/>
      <c r="FH19" s="10" t="s">
        <v>38</v>
      </c>
      <c r="FI19" s="9">
        <v>600</v>
      </c>
      <c r="FJ19" s="9">
        <v>1200</v>
      </c>
      <c r="FK19" s="10" t="s">
        <v>38</v>
      </c>
      <c r="FL19" s="7"/>
      <c r="FM19" s="7"/>
      <c r="FN19" s="10" t="s">
        <v>38</v>
      </c>
      <c r="FO19" s="7"/>
      <c r="FP19" s="7"/>
      <c r="FQ19" s="10" t="s">
        <v>38</v>
      </c>
      <c r="FR19" s="7"/>
      <c r="FS19" s="7"/>
      <c r="FT19" s="10" t="s">
        <v>38</v>
      </c>
      <c r="FU19" s="9">
        <v>1000</v>
      </c>
      <c r="FV19" s="9">
        <v>1800</v>
      </c>
      <c r="FW19" s="10" t="s">
        <v>38</v>
      </c>
      <c r="FX19" s="7"/>
      <c r="FY19" s="7"/>
      <c r="FZ19" s="10" t="s">
        <v>38</v>
      </c>
      <c r="GA19" s="7"/>
      <c r="GB19" s="7"/>
      <c r="GC19" s="10" t="s">
        <v>38</v>
      </c>
      <c r="GD19" s="7"/>
      <c r="GE19" s="129"/>
      <c r="GF19" s="10" t="s">
        <v>38</v>
      </c>
      <c r="GG19" s="7">
        <v>253</v>
      </c>
      <c r="GH19" s="7">
        <v>413</v>
      </c>
      <c r="GI19" s="10" t="s">
        <v>38</v>
      </c>
      <c r="GJ19" s="7"/>
      <c r="GK19" s="7"/>
      <c r="GL19" s="10" t="s">
        <v>38</v>
      </c>
      <c r="GM19" s="7"/>
      <c r="GN19" s="7"/>
      <c r="GO19" s="6" t="s">
        <v>38</v>
      </c>
      <c r="GP19" s="7"/>
      <c r="GQ19" s="7"/>
      <c r="GR19" s="6" t="s">
        <v>38</v>
      </c>
      <c r="GS19" s="7">
        <v>1400</v>
      </c>
      <c r="GT19" s="7">
        <v>3100</v>
      </c>
      <c r="GU19" s="10"/>
      <c r="GV19" s="7"/>
      <c r="GW19" s="7"/>
      <c r="GX19" s="10" t="s">
        <v>38</v>
      </c>
      <c r="GY19" s="7"/>
      <c r="GZ19" s="7"/>
      <c r="HA19" s="10" t="s">
        <v>38</v>
      </c>
      <c r="HB19" s="7"/>
      <c r="HC19" s="7"/>
      <c r="HD19" s="10" t="s">
        <v>38</v>
      </c>
      <c r="HE19" s="7">
        <v>1500</v>
      </c>
      <c r="HF19" s="7">
        <v>3000</v>
      </c>
      <c r="HG19" s="10" t="s">
        <v>38</v>
      </c>
      <c r="HH19" s="7"/>
      <c r="HI19" s="7"/>
      <c r="HJ19" s="10" t="s">
        <v>38</v>
      </c>
      <c r="HK19" s="7"/>
      <c r="HL19" s="7"/>
      <c r="HM19" s="10" t="s">
        <v>38</v>
      </c>
      <c r="HN19" s="7"/>
      <c r="HO19" s="7"/>
      <c r="HP19" s="10" t="s">
        <v>38</v>
      </c>
      <c r="HQ19" s="7">
        <v>1400</v>
      </c>
      <c r="HR19" s="7">
        <v>4000</v>
      </c>
      <c r="HS19" s="10" t="s">
        <v>38</v>
      </c>
      <c r="HT19" s="7"/>
      <c r="HU19" s="7"/>
      <c r="HV19" s="10" t="s">
        <v>38</v>
      </c>
      <c r="HW19" s="7"/>
      <c r="HX19" s="7"/>
      <c r="HY19" s="6" t="s">
        <v>38</v>
      </c>
      <c r="HZ19" s="7"/>
      <c r="IA19" s="7"/>
      <c r="IB19" s="6" t="s">
        <v>38</v>
      </c>
      <c r="IC19" s="7">
        <v>1593</v>
      </c>
      <c r="ID19" s="7">
        <v>3430</v>
      </c>
      <c r="IE19" s="10"/>
      <c r="IF19" s="7"/>
      <c r="IG19" s="7"/>
      <c r="IH19" s="10"/>
      <c r="II19" s="7"/>
      <c r="IJ19" s="7"/>
      <c r="IK19" s="7"/>
      <c r="IL19" s="7"/>
      <c r="IM19" s="7"/>
      <c r="IN19" s="7"/>
      <c r="IO19" s="10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E19" s="7"/>
      <c r="JF19" s="7"/>
      <c r="JH19" s="7"/>
      <c r="JI19" s="7"/>
      <c r="JJ19" s="7"/>
      <c r="JK19" s="7"/>
      <c r="JL19" s="7"/>
      <c r="JM19" s="7"/>
      <c r="JN19" s="10"/>
      <c r="JO19" s="7"/>
      <c r="JP19" s="7"/>
      <c r="JQ19" s="7"/>
      <c r="JR19" s="7"/>
      <c r="JS19" s="10"/>
      <c r="JT19" s="7"/>
      <c r="JU19" s="7"/>
      <c r="JV19" s="7"/>
      <c r="JW19" s="7"/>
      <c r="JX19" s="7"/>
    </row>
    <row r="20" spans="1:284" x14ac:dyDescent="0.3">
      <c r="A20" s="19" t="s">
        <v>157</v>
      </c>
      <c r="B20" s="10" t="s">
        <v>38</v>
      </c>
      <c r="C20" s="7"/>
      <c r="D20" s="7"/>
      <c r="E20" s="10" t="s">
        <v>38</v>
      </c>
      <c r="F20" s="7"/>
      <c r="G20" s="7"/>
      <c r="H20" s="6" t="s">
        <v>374</v>
      </c>
      <c r="I20" s="9">
        <v>324</v>
      </c>
      <c r="J20" s="9">
        <v>4000</v>
      </c>
      <c r="K20" s="10" t="s">
        <v>38</v>
      </c>
      <c r="L20" s="7"/>
      <c r="M20" s="7"/>
      <c r="N20" s="10" t="s">
        <v>38</v>
      </c>
      <c r="O20" s="7"/>
      <c r="P20" s="7"/>
      <c r="Q20" s="10" t="s">
        <v>38</v>
      </c>
      <c r="R20" s="7"/>
      <c r="S20" s="7"/>
      <c r="T20" s="6" t="s">
        <v>374</v>
      </c>
      <c r="U20" s="9">
        <v>350</v>
      </c>
      <c r="V20" s="9">
        <v>5500</v>
      </c>
      <c r="W20" s="10" t="s">
        <v>38</v>
      </c>
      <c r="X20" s="7"/>
      <c r="Y20" s="7"/>
      <c r="Z20" s="10" t="s">
        <v>38</v>
      </c>
      <c r="AA20" s="7"/>
      <c r="AB20" s="7"/>
      <c r="AC20" s="10" t="s">
        <v>38</v>
      </c>
      <c r="AD20" s="7"/>
      <c r="AE20" s="7"/>
      <c r="AF20" s="6" t="s">
        <v>374</v>
      </c>
      <c r="AG20" s="9">
        <v>100</v>
      </c>
      <c r="AH20" s="9">
        <v>2000</v>
      </c>
      <c r="AI20" s="10" t="s">
        <v>38</v>
      </c>
      <c r="AJ20" s="7"/>
      <c r="AK20" s="7"/>
      <c r="AL20" s="10" t="s">
        <v>38</v>
      </c>
      <c r="AM20" s="7"/>
      <c r="AN20" s="7"/>
      <c r="AO20" s="10" t="s">
        <v>38</v>
      </c>
      <c r="AP20" s="7"/>
      <c r="AQ20" s="7"/>
      <c r="AR20" s="6" t="s">
        <v>374</v>
      </c>
      <c r="AS20" s="9">
        <v>100</v>
      </c>
      <c r="AT20" s="9">
        <v>3000</v>
      </c>
      <c r="AU20" s="10" t="s">
        <v>38</v>
      </c>
      <c r="AV20" s="7"/>
      <c r="AW20" s="7"/>
      <c r="AX20" s="10" t="s">
        <v>38</v>
      </c>
      <c r="AY20" s="7"/>
      <c r="AZ20" s="7"/>
      <c r="BA20" s="10" t="s">
        <v>38</v>
      </c>
      <c r="BB20" s="7"/>
      <c r="BC20" s="7"/>
      <c r="BD20" s="6" t="s">
        <v>374</v>
      </c>
      <c r="BE20" s="9">
        <v>40</v>
      </c>
      <c r="BF20" s="9">
        <v>1200</v>
      </c>
      <c r="BG20" s="10" t="s">
        <v>38</v>
      </c>
      <c r="BH20" s="7"/>
      <c r="BI20" s="7"/>
      <c r="BJ20" s="10" t="s">
        <v>38</v>
      </c>
      <c r="BK20" s="7"/>
      <c r="BL20" s="7"/>
      <c r="BM20" s="10" t="s">
        <v>38</v>
      </c>
      <c r="BN20" s="7"/>
      <c r="BO20" s="7"/>
      <c r="BP20" s="6" t="s">
        <v>374</v>
      </c>
      <c r="BQ20" s="9">
        <v>50</v>
      </c>
      <c r="BR20" s="9">
        <v>1500</v>
      </c>
      <c r="BS20" s="10" t="s">
        <v>38</v>
      </c>
      <c r="BT20" s="7"/>
      <c r="BU20" s="7"/>
      <c r="BV20" s="10" t="s">
        <v>38</v>
      </c>
      <c r="BW20" s="7"/>
      <c r="BX20" s="7"/>
      <c r="BY20" s="10" t="s">
        <v>38</v>
      </c>
      <c r="BZ20" s="7"/>
      <c r="CA20" s="7"/>
      <c r="CB20" s="10" t="s">
        <v>38</v>
      </c>
      <c r="CC20" s="9"/>
      <c r="CD20" s="9"/>
      <c r="CE20" s="10" t="s">
        <v>38</v>
      </c>
      <c r="CF20" s="7"/>
      <c r="CG20" s="7"/>
      <c r="CH20" s="10" t="s">
        <v>38</v>
      </c>
      <c r="CI20" s="7"/>
      <c r="CJ20" s="7"/>
      <c r="CK20" s="10" t="s">
        <v>38</v>
      </c>
      <c r="CL20" s="7"/>
      <c r="CM20" s="7"/>
      <c r="CN20" s="10" t="s">
        <v>38</v>
      </c>
      <c r="CO20" s="9">
        <v>700</v>
      </c>
      <c r="CP20" s="9">
        <v>1400</v>
      </c>
      <c r="CQ20" s="10" t="s">
        <v>38</v>
      </c>
      <c r="CR20" s="7"/>
      <c r="CS20" s="7"/>
      <c r="CT20" s="10" t="s">
        <v>38</v>
      </c>
      <c r="CU20" s="7"/>
      <c r="CV20" s="7"/>
      <c r="CW20" s="10" t="s">
        <v>38</v>
      </c>
      <c r="CX20" s="7"/>
      <c r="CY20" s="7"/>
      <c r="CZ20" s="10" t="s">
        <v>38</v>
      </c>
      <c r="DA20" s="9">
        <v>311</v>
      </c>
      <c r="DB20" s="9">
        <v>830</v>
      </c>
      <c r="DC20" s="10" t="s">
        <v>38</v>
      </c>
      <c r="DD20" s="7"/>
      <c r="DE20" s="7"/>
      <c r="DF20" s="10" t="s">
        <v>38</v>
      </c>
      <c r="DG20" s="7"/>
      <c r="DH20" s="7"/>
      <c r="DI20" s="10" t="s">
        <v>38</v>
      </c>
      <c r="DJ20" s="7"/>
      <c r="DK20" s="7"/>
      <c r="DL20" s="10" t="s">
        <v>38</v>
      </c>
      <c r="DM20" s="9">
        <v>845</v>
      </c>
      <c r="DN20" s="9">
        <v>2515</v>
      </c>
      <c r="DO20" s="10" t="s">
        <v>38</v>
      </c>
      <c r="DP20" s="7"/>
      <c r="DQ20" s="7"/>
      <c r="DR20" s="10" t="s">
        <v>38</v>
      </c>
      <c r="DS20" s="7"/>
      <c r="DT20" s="7"/>
      <c r="DU20" s="10" t="s">
        <v>38</v>
      </c>
      <c r="DV20" s="7"/>
      <c r="DW20" s="7"/>
      <c r="DX20" s="10" t="s">
        <v>38</v>
      </c>
      <c r="DY20" s="9">
        <v>900</v>
      </c>
      <c r="DZ20" s="9">
        <v>2700</v>
      </c>
      <c r="EA20" s="10" t="s">
        <v>38</v>
      </c>
      <c r="EB20" s="7"/>
      <c r="EC20" s="7"/>
      <c r="ED20" s="10" t="s">
        <v>38</v>
      </c>
      <c r="EE20" s="7"/>
      <c r="EF20" s="7"/>
      <c r="EG20" s="10" t="s">
        <v>38</v>
      </c>
      <c r="EH20" s="7"/>
      <c r="EI20" s="7"/>
      <c r="EJ20" s="10" t="s">
        <v>38</v>
      </c>
      <c r="EK20" s="9">
        <v>250</v>
      </c>
      <c r="EL20" s="9">
        <v>750</v>
      </c>
      <c r="EM20" s="10" t="s">
        <v>38</v>
      </c>
      <c r="EN20" s="7"/>
      <c r="EO20" s="7"/>
      <c r="EP20" s="10" t="s">
        <v>38</v>
      </c>
      <c r="EQ20" s="7"/>
      <c r="ER20" s="7"/>
      <c r="ES20" s="10" t="s">
        <v>38</v>
      </c>
      <c r="ET20" s="7"/>
      <c r="EU20" s="7"/>
      <c r="EV20" s="10" t="s">
        <v>38</v>
      </c>
      <c r="EW20" s="9">
        <v>125</v>
      </c>
      <c r="EX20" s="9">
        <v>500</v>
      </c>
      <c r="EY20" s="10" t="s">
        <v>38</v>
      </c>
      <c r="EZ20" s="7"/>
      <c r="FA20" s="7"/>
      <c r="FB20" s="10" t="s">
        <v>38</v>
      </c>
      <c r="FC20" s="7"/>
      <c r="FD20" s="7"/>
      <c r="FE20" s="10" t="s">
        <v>38</v>
      </c>
      <c r="FF20" s="7"/>
      <c r="FG20" s="7"/>
      <c r="FH20" s="10" t="s">
        <v>38</v>
      </c>
      <c r="FI20" s="9">
        <v>300</v>
      </c>
      <c r="FJ20" s="9">
        <v>600</v>
      </c>
      <c r="FK20" s="10" t="s">
        <v>38</v>
      </c>
      <c r="FL20" s="7"/>
      <c r="FM20" s="7"/>
      <c r="FN20" s="10" t="s">
        <v>38</v>
      </c>
      <c r="FO20" s="7"/>
      <c r="FP20" s="7"/>
      <c r="FQ20" s="10" t="s">
        <v>38</v>
      </c>
      <c r="FR20" s="7"/>
      <c r="FS20" s="7"/>
      <c r="FT20" s="10" t="s">
        <v>38</v>
      </c>
      <c r="FU20" s="9">
        <v>400</v>
      </c>
      <c r="FV20" s="9">
        <v>800</v>
      </c>
      <c r="FW20" s="10" t="s">
        <v>38</v>
      </c>
      <c r="FX20" s="7"/>
      <c r="FY20" s="7"/>
      <c r="FZ20" s="10" t="s">
        <v>38</v>
      </c>
      <c r="GA20" s="7"/>
      <c r="GB20" s="7"/>
      <c r="GC20" s="10" t="s">
        <v>38</v>
      </c>
      <c r="GD20" s="7"/>
      <c r="GE20" s="7"/>
      <c r="GF20" s="10" t="s">
        <v>38</v>
      </c>
      <c r="GG20" s="7">
        <v>443</v>
      </c>
      <c r="GH20" s="7">
        <v>2161</v>
      </c>
      <c r="GI20" s="10" t="s">
        <v>38</v>
      </c>
      <c r="GJ20" s="7"/>
      <c r="GK20" s="7"/>
      <c r="GL20" s="10" t="s">
        <v>38</v>
      </c>
      <c r="GM20" s="7"/>
      <c r="GN20" s="7"/>
      <c r="GO20" s="6" t="s">
        <v>38</v>
      </c>
      <c r="GP20" s="7"/>
      <c r="GQ20" s="7"/>
      <c r="GR20" s="6" t="s">
        <v>38</v>
      </c>
      <c r="GS20" s="7">
        <v>500</v>
      </c>
      <c r="GT20" s="7">
        <v>1700</v>
      </c>
      <c r="GU20" s="10"/>
      <c r="GV20" s="7"/>
      <c r="GW20" s="7"/>
      <c r="GX20" s="10" t="s">
        <v>38</v>
      </c>
      <c r="GY20" s="7"/>
      <c r="GZ20" s="7"/>
      <c r="HA20" s="10" t="s">
        <v>38</v>
      </c>
      <c r="HB20" s="7"/>
      <c r="HC20" s="7"/>
      <c r="HD20" s="10" t="s">
        <v>38</v>
      </c>
      <c r="HE20" s="7">
        <v>400</v>
      </c>
      <c r="HF20" s="7">
        <v>1500</v>
      </c>
      <c r="HG20" s="10" t="s">
        <v>38</v>
      </c>
      <c r="HH20" s="7"/>
      <c r="HI20" s="7"/>
      <c r="HJ20" s="10" t="s">
        <v>38</v>
      </c>
      <c r="HK20" s="7"/>
      <c r="HL20" s="7"/>
      <c r="HM20" s="10" t="s">
        <v>38</v>
      </c>
      <c r="HN20" s="7"/>
      <c r="HO20" s="7"/>
      <c r="HP20" s="10" t="s">
        <v>38</v>
      </c>
      <c r="HQ20" s="7">
        <v>420</v>
      </c>
      <c r="HR20" s="7">
        <v>1600</v>
      </c>
      <c r="HS20" s="10" t="s">
        <v>38</v>
      </c>
      <c r="HT20" s="7"/>
      <c r="HU20" s="7"/>
      <c r="HV20" s="10" t="s">
        <v>38</v>
      </c>
      <c r="HW20" s="7"/>
      <c r="HX20" s="7"/>
      <c r="HY20" s="6" t="s">
        <v>38</v>
      </c>
      <c r="HZ20" s="7"/>
      <c r="IA20" s="7"/>
      <c r="IB20" s="6" t="s">
        <v>38</v>
      </c>
      <c r="IC20" s="7">
        <v>421</v>
      </c>
      <c r="ID20" s="7">
        <v>1250</v>
      </c>
      <c r="IE20" s="10"/>
      <c r="IF20" s="7"/>
      <c r="IG20" s="7"/>
      <c r="IH20" s="10"/>
      <c r="II20" s="7"/>
      <c r="IJ20" s="7"/>
      <c r="IK20" s="7"/>
      <c r="IL20" s="7"/>
      <c r="IM20" s="7"/>
      <c r="IN20" s="7"/>
      <c r="IO20" s="10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E20" s="7"/>
      <c r="JF20" s="7"/>
      <c r="JH20" s="7"/>
      <c r="JI20" s="7"/>
      <c r="JJ20" s="7"/>
      <c r="JK20" s="7"/>
      <c r="JL20" s="7"/>
      <c r="JM20" s="7"/>
      <c r="JN20" s="10"/>
      <c r="JO20" s="7"/>
      <c r="JP20" s="7"/>
      <c r="JQ20" s="7"/>
      <c r="JR20" s="7"/>
      <c r="JS20" s="10"/>
      <c r="JT20" s="7"/>
      <c r="JU20" s="7"/>
      <c r="JV20" s="7"/>
      <c r="JW20" s="7"/>
      <c r="JX20" s="7"/>
    </row>
    <row r="21" spans="1:284" x14ac:dyDescent="0.3">
      <c r="A21" s="19" t="s">
        <v>360</v>
      </c>
      <c r="B21" s="10" t="s">
        <v>38</v>
      </c>
      <c r="C21" s="7"/>
      <c r="D21" s="7"/>
      <c r="E21" s="10" t="s">
        <v>38</v>
      </c>
      <c r="F21" s="7"/>
      <c r="G21" s="7"/>
      <c r="H21" s="6" t="s">
        <v>374</v>
      </c>
      <c r="I21" s="9">
        <v>10</v>
      </c>
      <c r="J21" s="9">
        <v>250</v>
      </c>
      <c r="K21" s="10" t="s">
        <v>38</v>
      </c>
      <c r="L21" s="7"/>
      <c r="M21" s="7"/>
      <c r="N21" s="10" t="s">
        <v>38</v>
      </c>
      <c r="O21" s="7"/>
      <c r="P21" s="7"/>
      <c r="Q21" s="10" t="s">
        <v>38</v>
      </c>
      <c r="R21" s="7"/>
      <c r="S21" s="7"/>
      <c r="T21" s="6" t="s">
        <v>374</v>
      </c>
      <c r="U21" s="9">
        <v>15</v>
      </c>
      <c r="V21" s="9">
        <v>400</v>
      </c>
      <c r="W21" s="10" t="s">
        <v>38</v>
      </c>
      <c r="X21" s="7"/>
      <c r="Y21" s="7"/>
      <c r="Z21" s="10" t="s">
        <v>38</v>
      </c>
      <c r="AA21" s="7"/>
      <c r="AB21" s="7"/>
      <c r="AC21" s="10" t="s">
        <v>38</v>
      </c>
      <c r="AD21" s="7"/>
      <c r="AE21" s="7"/>
      <c r="AF21" s="6" t="s">
        <v>374</v>
      </c>
      <c r="AG21" s="9">
        <v>20</v>
      </c>
      <c r="AH21" s="9">
        <v>200</v>
      </c>
      <c r="AI21" s="10" t="s">
        <v>38</v>
      </c>
      <c r="AJ21" s="7"/>
      <c r="AK21" s="7"/>
      <c r="AL21" s="10" t="s">
        <v>38</v>
      </c>
      <c r="AM21" s="7"/>
      <c r="AN21" s="7"/>
      <c r="AO21" s="10" t="s">
        <v>38</v>
      </c>
      <c r="AP21" s="7"/>
      <c r="AQ21" s="7"/>
      <c r="AR21" s="6" t="s">
        <v>374</v>
      </c>
      <c r="AS21" s="9">
        <v>15</v>
      </c>
      <c r="AT21" s="9">
        <v>300</v>
      </c>
      <c r="AU21" s="10" t="s">
        <v>38</v>
      </c>
      <c r="AV21" s="7"/>
      <c r="AW21" s="7"/>
      <c r="AX21" s="10" t="s">
        <v>38</v>
      </c>
      <c r="AY21" s="7"/>
      <c r="AZ21" s="7"/>
      <c r="BA21" s="10" t="s">
        <v>38</v>
      </c>
      <c r="BB21" s="7"/>
      <c r="BC21" s="7"/>
      <c r="BD21" s="6" t="s">
        <v>374</v>
      </c>
      <c r="BE21" s="9">
        <v>20</v>
      </c>
      <c r="BF21" s="9">
        <v>400</v>
      </c>
      <c r="BG21" s="10" t="s">
        <v>38</v>
      </c>
      <c r="BH21" s="7"/>
      <c r="BI21" s="7"/>
      <c r="BJ21" s="10" t="s">
        <v>38</v>
      </c>
      <c r="BK21" s="7"/>
      <c r="BL21" s="7"/>
      <c r="BM21" s="10" t="s">
        <v>38</v>
      </c>
      <c r="BN21" s="7"/>
      <c r="BO21" s="7"/>
      <c r="BP21" s="6" t="s">
        <v>374</v>
      </c>
      <c r="BQ21" s="9">
        <v>40</v>
      </c>
      <c r="BR21" s="9">
        <v>1600</v>
      </c>
      <c r="BS21" s="10" t="s">
        <v>38</v>
      </c>
      <c r="BT21" s="7"/>
      <c r="BU21" s="7"/>
      <c r="BV21" s="10" t="s">
        <v>38</v>
      </c>
      <c r="BW21" s="7"/>
      <c r="BX21" s="7"/>
      <c r="BY21" s="10" t="s">
        <v>38</v>
      </c>
      <c r="BZ21" s="7"/>
      <c r="CA21" s="7"/>
      <c r="CB21" s="10" t="s">
        <v>38</v>
      </c>
      <c r="CC21" s="9">
        <v>435</v>
      </c>
      <c r="CD21" s="9">
        <v>1600</v>
      </c>
      <c r="CE21" s="10" t="s">
        <v>38</v>
      </c>
      <c r="CF21" s="7"/>
      <c r="CG21" s="7"/>
      <c r="CH21" s="10" t="s">
        <v>38</v>
      </c>
      <c r="CI21" s="7"/>
      <c r="CJ21" s="7"/>
      <c r="CK21" s="10" t="s">
        <v>38</v>
      </c>
      <c r="CL21" s="7"/>
      <c r="CM21" s="7"/>
      <c r="CN21" s="10" t="s">
        <v>38</v>
      </c>
      <c r="CO21" s="9">
        <v>500</v>
      </c>
      <c r="CP21" s="9">
        <v>1800</v>
      </c>
      <c r="CQ21" s="10" t="s">
        <v>38</v>
      </c>
      <c r="CR21" s="7"/>
      <c r="CS21" s="7"/>
      <c r="CT21" s="10" t="s">
        <v>38</v>
      </c>
      <c r="CU21" s="7"/>
      <c r="CV21" s="7"/>
      <c r="CW21" s="10" t="s">
        <v>38</v>
      </c>
      <c r="CX21" s="7"/>
      <c r="CY21" s="7"/>
      <c r="CZ21" s="10" t="s">
        <v>38</v>
      </c>
      <c r="DA21" s="9">
        <v>382</v>
      </c>
      <c r="DB21" s="9">
        <v>1060</v>
      </c>
      <c r="DC21" s="10" t="s">
        <v>38</v>
      </c>
      <c r="DD21" s="7"/>
      <c r="DE21" s="7"/>
      <c r="DF21" s="10" t="s">
        <v>38</v>
      </c>
      <c r="DG21" s="7"/>
      <c r="DH21" s="7"/>
      <c r="DI21" s="10" t="s">
        <v>38</v>
      </c>
      <c r="DJ21" s="7"/>
      <c r="DK21" s="7"/>
      <c r="DL21" s="10" t="s">
        <v>38</v>
      </c>
      <c r="DM21" s="9">
        <v>241</v>
      </c>
      <c r="DN21" s="9">
        <v>820</v>
      </c>
      <c r="DO21" s="10" t="s">
        <v>38</v>
      </c>
      <c r="DP21" s="7"/>
      <c r="DQ21" s="7"/>
      <c r="DR21" s="10" t="s">
        <v>38</v>
      </c>
      <c r="DS21" s="7"/>
      <c r="DT21" s="7"/>
      <c r="DU21" s="10" t="s">
        <v>38</v>
      </c>
      <c r="DV21" s="7"/>
      <c r="DW21" s="7"/>
      <c r="DX21" s="10" t="s">
        <v>38</v>
      </c>
      <c r="DY21" s="9">
        <v>250</v>
      </c>
      <c r="DZ21" s="9">
        <v>750</v>
      </c>
      <c r="EA21" s="10" t="s">
        <v>38</v>
      </c>
      <c r="EB21" s="7"/>
      <c r="EC21" s="7"/>
      <c r="ED21" s="10" t="s">
        <v>38</v>
      </c>
      <c r="EE21" s="7"/>
      <c r="EF21" s="7"/>
      <c r="EG21" s="10" t="s">
        <v>38</v>
      </c>
      <c r="EH21" s="7"/>
      <c r="EI21" s="7"/>
      <c r="EJ21" s="10" t="s">
        <v>38</v>
      </c>
      <c r="EK21" s="9">
        <v>100</v>
      </c>
      <c r="EL21" s="9">
        <v>350</v>
      </c>
      <c r="EM21" s="10" t="s">
        <v>38</v>
      </c>
      <c r="EN21" s="7"/>
      <c r="EO21" s="7"/>
      <c r="EP21" s="10" t="s">
        <v>38</v>
      </c>
      <c r="EQ21" s="7"/>
      <c r="ER21" s="7"/>
      <c r="ES21" s="10" t="s">
        <v>38</v>
      </c>
      <c r="ET21" s="7"/>
      <c r="EU21" s="7"/>
      <c r="EV21" s="10" t="s">
        <v>38</v>
      </c>
      <c r="EW21" s="9">
        <v>100</v>
      </c>
      <c r="EX21" s="9">
        <v>350</v>
      </c>
      <c r="EY21" s="10" t="s">
        <v>38</v>
      </c>
      <c r="EZ21" s="7"/>
      <c r="FA21" s="7"/>
      <c r="FB21" s="10" t="s">
        <v>38</v>
      </c>
      <c r="FC21" s="7"/>
      <c r="FD21" s="7"/>
      <c r="FE21" s="10" t="s">
        <v>38</v>
      </c>
      <c r="FF21" s="7"/>
      <c r="FG21" s="7"/>
      <c r="FH21" s="10" t="s">
        <v>38</v>
      </c>
      <c r="FI21" s="9">
        <v>150</v>
      </c>
      <c r="FJ21" s="9">
        <v>550</v>
      </c>
      <c r="FK21" s="10" t="s">
        <v>38</v>
      </c>
      <c r="FL21" s="7"/>
      <c r="FM21" s="7"/>
      <c r="FN21" s="10" t="s">
        <v>38</v>
      </c>
      <c r="FO21" s="7"/>
      <c r="FP21" s="7"/>
      <c r="FQ21" s="10" t="s">
        <v>38</v>
      </c>
      <c r="FR21" s="7"/>
      <c r="FS21" s="7"/>
      <c r="FT21" s="10" t="s">
        <v>38</v>
      </c>
      <c r="FU21" s="9">
        <v>200</v>
      </c>
      <c r="FV21" s="9">
        <v>600</v>
      </c>
      <c r="FW21" s="10" t="s">
        <v>38</v>
      </c>
      <c r="FX21" s="7"/>
      <c r="FY21" s="7"/>
      <c r="FZ21" s="10" t="s">
        <v>38</v>
      </c>
      <c r="GA21" s="7"/>
      <c r="GB21" s="7"/>
      <c r="GC21" s="10" t="s">
        <v>38</v>
      </c>
      <c r="GD21" s="7"/>
      <c r="GE21" s="7"/>
      <c r="GF21" s="10" t="s">
        <v>38</v>
      </c>
      <c r="GG21" s="7">
        <v>250</v>
      </c>
      <c r="GH21" s="7">
        <v>700</v>
      </c>
      <c r="GI21" s="10" t="s">
        <v>38</v>
      </c>
      <c r="GJ21" s="7"/>
      <c r="GK21" s="7"/>
      <c r="GL21" s="10" t="s">
        <v>38</v>
      </c>
      <c r="GM21" s="7"/>
      <c r="GN21" s="7"/>
      <c r="GO21" s="6" t="s">
        <v>38</v>
      </c>
      <c r="GP21" s="7"/>
      <c r="GQ21" s="7"/>
      <c r="GR21" s="6" t="s">
        <v>38</v>
      </c>
      <c r="GS21" s="7">
        <v>200</v>
      </c>
      <c r="GT21" s="7">
        <v>600</v>
      </c>
      <c r="GU21" s="10"/>
      <c r="GV21" s="7"/>
      <c r="GW21" s="7"/>
      <c r="GX21" s="10" t="s">
        <v>38</v>
      </c>
      <c r="GY21" s="7"/>
      <c r="GZ21" s="7"/>
      <c r="HA21" s="10" t="s">
        <v>38</v>
      </c>
      <c r="HB21" s="7"/>
      <c r="HC21" s="7"/>
      <c r="HD21" s="10" t="s">
        <v>38</v>
      </c>
      <c r="HE21" s="7">
        <v>150</v>
      </c>
      <c r="HF21" s="7">
        <v>500</v>
      </c>
      <c r="HG21" s="10" t="s">
        <v>38</v>
      </c>
      <c r="HH21" s="7"/>
      <c r="HI21" s="7"/>
      <c r="HJ21" s="10" t="s">
        <v>38</v>
      </c>
      <c r="HK21" s="7"/>
      <c r="HL21" s="7"/>
      <c r="HM21" s="10" t="s">
        <v>38</v>
      </c>
      <c r="HN21" s="7"/>
      <c r="HO21" s="7"/>
      <c r="HP21" s="10" t="s">
        <v>38</v>
      </c>
      <c r="HQ21" s="7">
        <v>160</v>
      </c>
      <c r="HR21" s="7">
        <v>600</v>
      </c>
      <c r="HS21" s="10" t="s">
        <v>38</v>
      </c>
      <c r="HT21" s="7"/>
      <c r="HU21" s="7"/>
      <c r="HV21" s="10" t="s">
        <v>38</v>
      </c>
      <c r="HW21" s="7"/>
      <c r="HX21" s="7"/>
      <c r="HY21" s="6" t="s">
        <v>38</v>
      </c>
      <c r="HZ21" s="7"/>
      <c r="IA21" s="7"/>
      <c r="IB21" s="6" t="s">
        <v>38</v>
      </c>
      <c r="IC21" s="7">
        <v>162</v>
      </c>
      <c r="ID21" s="7">
        <v>735</v>
      </c>
      <c r="IE21" s="10"/>
      <c r="IF21" s="7"/>
      <c r="IG21" s="7"/>
      <c r="IH21" s="10"/>
      <c r="II21" s="7"/>
      <c r="IJ21" s="7"/>
      <c r="IK21" s="7"/>
      <c r="IL21" s="7"/>
      <c r="IM21" s="7"/>
      <c r="IN21" s="7"/>
      <c r="IO21" s="10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E21" s="7"/>
      <c r="JF21" s="7"/>
      <c r="JH21" s="7"/>
      <c r="JI21" s="7"/>
      <c r="JJ21" s="7"/>
      <c r="JK21" s="7"/>
      <c r="JL21" s="7"/>
      <c r="JM21" s="7"/>
      <c r="JN21" s="10"/>
      <c r="JO21" s="7"/>
      <c r="JP21" s="7"/>
      <c r="JQ21" s="7"/>
      <c r="JR21" s="7"/>
      <c r="JS21" s="10"/>
      <c r="JT21" s="7"/>
      <c r="JU21" s="7"/>
      <c r="JV21" s="7"/>
      <c r="JW21" s="7"/>
      <c r="JX21" s="7"/>
    </row>
    <row r="22" spans="1:284" x14ac:dyDescent="0.3">
      <c r="A22" s="19" t="s">
        <v>205</v>
      </c>
      <c r="C22" s="7"/>
      <c r="D22" s="7"/>
      <c r="F22" s="7"/>
      <c r="G22" s="7"/>
      <c r="I22" s="9"/>
      <c r="J22" s="9"/>
      <c r="L22" s="7"/>
      <c r="M22" s="7"/>
      <c r="O22" s="7"/>
      <c r="P22" s="7"/>
      <c r="R22" s="7"/>
      <c r="S22" s="7"/>
      <c r="U22" s="9"/>
      <c r="V22" s="9"/>
      <c r="X22" s="7"/>
      <c r="Y22" s="7"/>
      <c r="AA22" s="7"/>
      <c r="AB22" s="7"/>
      <c r="AD22" s="7"/>
      <c r="AE22" s="7"/>
      <c r="AG22" s="9"/>
      <c r="AH22" s="9"/>
      <c r="AJ22" s="7"/>
      <c r="AK22" s="7"/>
      <c r="AM22" s="7"/>
      <c r="AN22" s="7"/>
      <c r="AP22" s="7"/>
      <c r="AQ22" s="7"/>
      <c r="AS22" s="9"/>
      <c r="AT22" s="9"/>
      <c r="AV22" s="7"/>
      <c r="AW22" s="7"/>
      <c r="AY22" s="7"/>
      <c r="AZ22" s="7"/>
      <c r="BB22" s="7"/>
      <c r="BC22" s="7"/>
      <c r="BE22" s="9"/>
      <c r="BF22" s="9"/>
      <c r="BH22" s="7"/>
      <c r="BI22" s="7"/>
      <c r="BK22" s="7"/>
      <c r="BL22" s="7"/>
      <c r="BN22" s="7"/>
      <c r="BO22" s="7"/>
      <c r="BQ22" s="9"/>
      <c r="BR22" s="9"/>
      <c r="BT22" s="7"/>
      <c r="BU22" s="7"/>
      <c r="BW22" s="7"/>
      <c r="BX22" s="7"/>
      <c r="BZ22" s="7"/>
      <c r="CA22" s="7"/>
      <c r="CC22" s="9"/>
      <c r="CD22" s="9"/>
      <c r="CF22" s="7"/>
      <c r="CG22" s="7"/>
      <c r="CI22" s="7"/>
      <c r="CJ22" s="7"/>
      <c r="CL22" s="7"/>
      <c r="CM22" s="7"/>
      <c r="CO22" s="9"/>
      <c r="CP22" s="9"/>
      <c r="CR22" s="7"/>
      <c r="CS22" s="7"/>
      <c r="CU22" s="7"/>
      <c r="CV22" s="7"/>
      <c r="CX22" s="7"/>
      <c r="CY22" s="7"/>
      <c r="DA22" s="9"/>
      <c r="DB22" s="9"/>
      <c r="DD22" s="7"/>
      <c r="DE22" s="7"/>
      <c r="DG22" s="7"/>
      <c r="DH22" s="7"/>
      <c r="DJ22" s="7"/>
      <c r="DK22" s="7"/>
      <c r="DM22" s="9"/>
      <c r="DN22" s="9"/>
      <c r="DP22" s="7"/>
      <c r="DQ22" s="7"/>
      <c r="DS22" s="7"/>
      <c r="DT22" s="7"/>
      <c r="DV22" s="7"/>
      <c r="DW22" s="7"/>
      <c r="DY22" s="9"/>
      <c r="DZ22" s="9"/>
      <c r="EB22" s="7"/>
      <c r="EC22" s="7"/>
      <c r="EE22" s="7"/>
      <c r="EF22" s="7"/>
      <c r="EH22" s="7"/>
      <c r="EI22" s="7"/>
      <c r="EK22" s="9"/>
      <c r="EL22" s="9"/>
      <c r="EN22" s="7"/>
      <c r="EO22" s="7"/>
      <c r="EQ22" s="7"/>
      <c r="ER22" s="7"/>
      <c r="ET22" s="7"/>
      <c r="EU22" s="7"/>
      <c r="EW22" s="9"/>
      <c r="EX22" s="9"/>
      <c r="EZ22" s="7"/>
      <c r="FA22" s="7"/>
      <c r="FC22" s="7"/>
      <c r="FD22" s="7"/>
      <c r="FF22" s="7"/>
      <c r="FG22" s="7"/>
      <c r="FI22" s="9"/>
      <c r="FJ22" s="9"/>
      <c r="FL22" s="7"/>
      <c r="FM22" s="7"/>
      <c r="FO22" s="7"/>
      <c r="FP22" s="7"/>
      <c r="FR22" s="7"/>
      <c r="FS22" s="7"/>
      <c r="FU22" s="9"/>
      <c r="FV22" s="9"/>
      <c r="FX22" s="7"/>
      <c r="FY22" s="7"/>
      <c r="GA22" s="7"/>
      <c r="GB22" s="7"/>
      <c r="GD22" s="7"/>
      <c r="GE22" s="7"/>
      <c r="GG22" s="7"/>
      <c r="GH22" s="7"/>
      <c r="GJ22" s="7"/>
      <c r="GK22" s="7"/>
      <c r="GM22" s="7"/>
      <c r="GN22" s="7"/>
      <c r="GO22" s="10"/>
      <c r="GP22" s="7"/>
      <c r="GQ22" s="7"/>
      <c r="GR22" s="10"/>
      <c r="GS22" s="7"/>
      <c r="GT22" s="7"/>
      <c r="GU22" s="10"/>
      <c r="GV22" s="7"/>
      <c r="GW22" s="7"/>
      <c r="GY22" s="7"/>
      <c r="GZ22" s="7"/>
      <c r="HB22" s="7"/>
      <c r="HC22" s="7"/>
      <c r="HE22" s="7"/>
      <c r="HF22" s="7"/>
      <c r="HH22" s="7"/>
      <c r="HI22" s="7"/>
      <c r="HK22" s="7"/>
      <c r="HL22" s="7"/>
      <c r="HN22" s="7"/>
      <c r="HO22" s="7"/>
      <c r="HQ22" s="7"/>
      <c r="HR22" s="7"/>
      <c r="HT22" s="7"/>
      <c r="HU22" s="7"/>
      <c r="HW22" s="7"/>
      <c r="HX22" s="7"/>
      <c r="HY22" s="10"/>
      <c r="HZ22" s="7"/>
      <c r="IA22" s="7"/>
      <c r="IC22" s="7"/>
      <c r="ID22" s="7"/>
      <c r="IF22" s="7"/>
      <c r="IG22" s="7"/>
      <c r="IH22" s="10"/>
      <c r="II22" s="7"/>
      <c r="IJ22" s="7"/>
      <c r="IK22" s="7"/>
      <c r="IL22" s="7"/>
      <c r="IM22" s="7"/>
      <c r="IN22" s="7"/>
      <c r="IO22" s="10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E22" s="7"/>
      <c r="JF22" s="7"/>
      <c r="JH22" s="7"/>
      <c r="JI22" s="7"/>
      <c r="JJ22" s="7"/>
      <c r="JK22" s="7"/>
      <c r="JL22" s="7"/>
      <c r="JM22" s="7"/>
      <c r="JN22" s="10"/>
      <c r="JO22" s="7"/>
      <c r="JP22" s="7"/>
      <c r="JQ22" s="7"/>
      <c r="JR22" s="7"/>
      <c r="JS22" s="10" t="s">
        <v>7</v>
      </c>
      <c r="JT22" s="7">
        <v>5811</v>
      </c>
      <c r="JU22" s="7">
        <v>1984</v>
      </c>
      <c r="JV22" s="7">
        <v>2749</v>
      </c>
      <c r="JW22" s="7">
        <v>987</v>
      </c>
      <c r="JX22" s="7"/>
    </row>
    <row r="23" spans="1:284" x14ac:dyDescent="0.3">
      <c r="A23" t="s">
        <v>206</v>
      </c>
      <c r="B23" s="10" t="s">
        <v>38</v>
      </c>
      <c r="C23" s="7"/>
      <c r="D23" s="7"/>
      <c r="E23" s="10" t="s">
        <v>38</v>
      </c>
      <c r="F23" s="7"/>
      <c r="G23" s="7"/>
      <c r="H23" s="10" t="s">
        <v>38</v>
      </c>
      <c r="I23" s="9"/>
      <c r="J23" s="9"/>
      <c r="K23" s="10" t="s">
        <v>42</v>
      </c>
      <c r="L23" s="7"/>
      <c r="M23" s="7"/>
      <c r="N23" s="10" t="s">
        <v>38</v>
      </c>
      <c r="O23" s="7"/>
      <c r="P23" s="7"/>
      <c r="Q23" s="10" t="s">
        <v>38</v>
      </c>
      <c r="R23" s="7"/>
      <c r="S23" s="7"/>
      <c r="T23" s="10" t="s">
        <v>38</v>
      </c>
      <c r="U23" s="9"/>
      <c r="V23" s="9"/>
      <c r="W23" s="10" t="s">
        <v>42</v>
      </c>
      <c r="X23" s="7"/>
      <c r="Y23" s="7"/>
      <c r="Z23" s="10" t="s">
        <v>38</v>
      </c>
      <c r="AA23" s="7"/>
      <c r="AB23" s="7"/>
      <c r="AC23" s="10" t="s">
        <v>38</v>
      </c>
      <c r="AD23" s="7"/>
      <c r="AE23" s="7"/>
      <c r="AF23" s="10" t="s">
        <v>38</v>
      </c>
      <c r="AG23" s="9"/>
      <c r="AH23" s="9"/>
      <c r="AI23" s="10" t="s">
        <v>42</v>
      </c>
      <c r="AJ23" s="7"/>
      <c r="AK23" s="7"/>
      <c r="AL23" s="10" t="s">
        <v>38</v>
      </c>
      <c r="AM23" s="7"/>
      <c r="AN23" s="7"/>
      <c r="AO23" s="10" t="s">
        <v>38</v>
      </c>
      <c r="AP23" s="7"/>
      <c r="AQ23" s="7"/>
      <c r="AR23" s="10" t="s">
        <v>38</v>
      </c>
      <c r="AS23" s="9"/>
      <c r="AT23" s="9"/>
      <c r="AU23" s="10" t="s">
        <v>42</v>
      </c>
      <c r="AV23" s="7"/>
      <c r="AW23" s="7"/>
      <c r="AX23" s="10" t="s">
        <v>38</v>
      </c>
      <c r="AY23" s="7"/>
      <c r="AZ23" s="7"/>
      <c r="BA23" s="10" t="s">
        <v>38</v>
      </c>
      <c r="BB23" s="7"/>
      <c r="BC23" s="7"/>
      <c r="BD23" s="10" t="s">
        <v>38</v>
      </c>
      <c r="BE23" s="9"/>
      <c r="BF23" s="9"/>
      <c r="BG23" s="10" t="s">
        <v>42</v>
      </c>
      <c r="BH23" s="7"/>
      <c r="BI23" s="7"/>
      <c r="BJ23" s="10" t="s">
        <v>38</v>
      </c>
      <c r="BK23" s="7"/>
      <c r="BL23" s="7"/>
      <c r="BM23" s="10" t="s">
        <v>38</v>
      </c>
      <c r="BN23" s="7"/>
      <c r="BO23" s="7"/>
      <c r="BP23" s="10" t="s">
        <v>38</v>
      </c>
      <c r="BQ23" s="9"/>
      <c r="BR23" s="9"/>
      <c r="BS23" s="10" t="s">
        <v>42</v>
      </c>
      <c r="BT23" s="7"/>
      <c r="BU23" s="7"/>
      <c r="BV23" s="10" t="s">
        <v>38</v>
      </c>
      <c r="BW23" s="7"/>
      <c r="BX23" s="7"/>
      <c r="BY23" s="10" t="s">
        <v>38</v>
      </c>
      <c r="BZ23" s="7"/>
      <c r="CA23" s="7"/>
      <c r="CB23" s="10" t="s">
        <v>38</v>
      </c>
      <c r="CC23" s="9"/>
      <c r="CD23" s="9"/>
      <c r="CE23" s="10" t="s">
        <v>42</v>
      </c>
      <c r="CF23" s="7"/>
      <c r="CG23" s="7"/>
      <c r="CH23" s="10" t="s">
        <v>38</v>
      </c>
      <c r="CI23" s="7"/>
      <c r="CJ23" s="7"/>
      <c r="CK23" s="10" t="s">
        <v>38</v>
      </c>
      <c r="CL23" s="7"/>
      <c r="CM23" s="7"/>
      <c r="CN23" s="10" t="s">
        <v>38</v>
      </c>
      <c r="CO23" s="9"/>
      <c r="CP23" s="9"/>
      <c r="CQ23" s="10" t="s">
        <v>42</v>
      </c>
      <c r="CR23" s="7"/>
      <c r="CS23" s="7"/>
      <c r="CT23" s="10" t="s">
        <v>38</v>
      </c>
      <c r="CU23" s="7"/>
      <c r="CV23" s="7"/>
      <c r="CW23" s="10" t="s">
        <v>38</v>
      </c>
      <c r="CX23" s="7"/>
      <c r="CY23" s="7"/>
      <c r="CZ23" s="10" t="s">
        <v>38</v>
      </c>
      <c r="DA23" s="9"/>
      <c r="DB23" s="9"/>
      <c r="DC23" s="10" t="s">
        <v>42</v>
      </c>
      <c r="DD23" s="7"/>
      <c r="DE23" s="7"/>
      <c r="DF23" s="10" t="s">
        <v>38</v>
      </c>
      <c r="DG23" s="7"/>
      <c r="DH23" s="7"/>
      <c r="DI23" s="10" t="s">
        <v>38</v>
      </c>
      <c r="DJ23" s="7"/>
      <c r="DK23" s="7"/>
      <c r="DL23" s="10" t="s">
        <v>38</v>
      </c>
      <c r="DM23" s="9"/>
      <c r="DN23" s="9"/>
      <c r="DO23" s="10" t="s">
        <v>42</v>
      </c>
      <c r="DP23" s="7"/>
      <c r="DQ23" s="7"/>
      <c r="DR23" s="10" t="s">
        <v>38</v>
      </c>
      <c r="DS23" s="7"/>
      <c r="DT23" s="7"/>
      <c r="DU23" s="10" t="s">
        <v>38</v>
      </c>
      <c r="DV23" s="7"/>
      <c r="DW23" s="7"/>
      <c r="DX23" s="10" t="s">
        <v>38</v>
      </c>
      <c r="DY23" s="9"/>
      <c r="DZ23" s="9"/>
      <c r="EA23" s="10" t="s">
        <v>42</v>
      </c>
      <c r="EB23" s="7"/>
      <c r="EC23" s="7"/>
      <c r="ED23" s="10" t="s">
        <v>38</v>
      </c>
      <c r="EE23" s="7"/>
      <c r="EF23" s="7"/>
      <c r="EG23" s="10" t="s">
        <v>38</v>
      </c>
      <c r="EH23" s="7"/>
      <c r="EI23" s="7"/>
      <c r="EJ23" s="10" t="s">
        <v>38</v>
      </c>
      <c r="EK23" s="9"/>
      <c r="EL23" s="9"/>
      <c r="EM23" s="10" t="s">
        <v>42</v>
      </c>
      <c r="EN23" s="7"/>
      <c r="EO23" s="7"/>
      <c r="EP23" s="10" t="s">
        <v>38</v>
      </c>
      <c r="EQ23" s="7"/>
      <c r="ER23" s="7"/>
      <c r="ES23" s="10" t="s">
        <v>38</v>
      </c>
      <c r="ET23" s="7"/>
      <c r="EU23" s="7"/>
      <c r="EV23" s="10" t="s">
        <v>38</v>
      </c>
      <c r="EW23" s="9"/>
      <c r="EX23" s="9"/>
      <c r="EY23" s="10" t="s">
        <v>42</v>
      </c>
      <c r="EZ23" s="7"/>
      <c r="FA23" s="7"/>
      <c r="FB23" s="10" t="s">
        <v>38</v>
      </c>
      <c r="FC23" s="7"/>
      <c r="FD23" s="7"/>
      <c r="FE23" s="10" t="s">
        <v>38</v>
      </c>
      <c r="FF23" s="7"/>
      <c r="FG23" s="7"/>
      <c r="FH23" s="10" t="s">
        <v>38</v>
      </c>
      <c r="FI23" s="9"/>
      <c r="FJ23" s="9"/>
      <c r="FK23" s="10" t="s">
        <v>42</v>
      </c>
      <c r="FL23" s="7"/>
      <c r="FM23" s="7"/>
      <c r="FN23" s="10" t="s">
        <v>38</v>
      </c>
      <c r="FO23" s="7"/>
      <c r="FP23" s="7"/>
      <c r="FQ23" s="10" t="s">
        <v>38</v>
      </c>
      <c r="FR23" s="7"/>
      <c r="FS23" s="7"/>
      <c r="FT23" s="6" t="s">
        <v>38</v>
      </c>
      <c r="FU23" s="9">
        <v>6</v>
      </c>
      <c r="FV23" s="9">
        <v>150</v>
      </c>
      <c r="FW23" s="10" t="s">
        <v>42</v>
      </c>
      <c r="FX23" s="7">
        <v>100</v>
      </c>
      <c r="FY23" s="7">
        <v>700</v>
      </c>
      <c r="FZ23" s="10" t="s">
        <v>42</v>
      </c>
      <c r="GA23" s="7"/>
      <c r="GB23" s="7"/>
      <c r="GC23" s="10" t="s">
        <v>42</v>
      </c>
      <c r="GD23" s="7"/>
      <c r="GE23" s="7"/>
      <c r="GF23" s="10" t="s">
        <v>42</v>
      </c>
      <c r="GG23" s="7"/>
      <c r="GH23" s="7"/>
      <c r="GI23" s="10" t="s">
        <v>42</v>
      </c>
      <c r="GJ23" s="7">
        <v>5</v>
      </c>
      <c r="GK23" s="7">
        <v>174</v>
      </c>
      <c r="GL23" s="10" t="s">
        <v>42</v>
      </c>
      <c r="GM23" s="7"/>
      <c r="GN23" s="7"/>
      <c r="GO23" s="10" t="s">
        <v>42</v>
      </c>
      <c r="GP23" s="7"/>
      <c r="GQ23" s="7"/>
      <c r="GR23" s="10" t="s">
        <v>42</v>
      </c>
      <c r="GS23" s="7">
        <v>18</v>
      </c>
      <c r="GT23" s="7">
        <v>100</v>
      </c>
      <c r="GU23" s="6" t="s">
        <v>42</v>
      </c>
      <c r="GV23" s="7">
        <v>15</v>
      </c>
      <c r="GW23" s="7">
        <v>400</v>
      </c>
      <c r="GX23" s="10" t="s">
        <v>42</v>
      </c>
      <c r="GY23" s="7"/>
      <c r="GZ23" s="7"/>
      <c r="HA23" s="10" t="s">
        <v>42</v>
      </c>
      <c r="HB23" s="7"/>
      <c r="HC23" s="7"/>
      <c r="HD23" s="10" t="s">
        <v>42</v>
      </c>
      <c r="HE23" s="7">
        <v>20</v>
      </c>
      <c r="HF23" s="7">
        <v>120</v>
      </c>
      <c r="HG23" s="10" t="s">
        <v>42</v>
      </c>
      <c r="HH23" s="7">
        <v>20</v>
      </c>
      <c r="HI23" s="7">
        <v>600</v>
      </c>
      <c r="HJ23" s="10" t="s">
        <v>42</v>
      </c>
      <c r="HK23" s="7"/>
      <c r="HL23" s="7"/>
      <c r="HM23" s="10" t="s">
        <v>42</v>
      </c>
      <c r="HN23" s="7"/>
      <c r="HO23" s="7"/>
      <c r="HP23" s="10" t="s">
        <v>42</v>
      </c>
      <c r="HQ23" s="7">
        <v>18</v>
      </c>
      <c r="HR23" s="7">
        <v>100</v>
      </c>
      <c r="HS23" s="10" t="s">
        <v>42</v>
      </c>
      <c r="HT23" s="7">
        <v>18</v>
      </c>
      <c r="HU23" s="7">
        <v>500</v>
      </c>
      <c r="HV23" s="10" t="s">
        <v>42</v>
      </c>
      <c r="HW23" s="7"/>
      <c r="HX23" s="7"/>
      <c r="HY23" s="10" t="s">
        <v>42</v>
      </c>
      <c r="HZ23" s="7"/>
      <c r="IA23" s="7"/>
      <c r="IB23" s="10" t="s">
        <v>42</v>
      </c>
      <c r="IC23" s="7"/>
      <c r="ID23" s="7"/>
      <c r="IE23" s="6" t="s">
        <v>42</v>
      </c>
      <c r="IF23" s="7">
        <v>10</v>
      </c>
      <c r="IG23" s="7">
        <v>565</v>
      </c>
      <c r="IH23" s="10"/>
      <c r="II23" s="7"/>
      <c r="IJ23" s="7"/>
      <c r="IK23" s="7"/>
      <c r="IL23" s="7"/>
      <c r="IM23" s="7"/>
      <c r="IN23" s="7"/>
      <c r="IO23" s="10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E23" s="7"/>
      <c r="JF23" s="7"/>
      <c r="JH23" s="7"/>
      <c r="JI23" s="7"/>
      <c r="JJ23" s="7"/>
      <c r="JK23" s="7"/>
      <c r="JL23" s="7"/>
      <c r="JM23" s="7"/>
      <c r="JN23" s="10"/>
      <c r="JO23" s="7"/>
      <c r="JP23" s="7"/>
      <c r="JQ23" s="7"/>
      <c r="JR23" s="7"/>
      <c r="JS23" s="10"/>
      <c r="JT23" s="7"/>
      <c r="JU23" s="7"/>
      <c r="JV23" s="7"/>
      <c r="JW23" s="7"/>
      <c r="JX23" s="7"/>
    </row>
    <row r="24" spans="1:284" x14ac:dyDescent="0.3">
      <c r="A24" t="s">
        <v>207</v>
      </c>
      <c r="B24" s="10" t="s">
        <v>38</v>
      </c>
      <c r="C24" s="7"/>
      <c r="D24" s="7"/>
      <c r="E24" s="10" t="s">
        <v>38</v>
      </c>
      <c r="F24" s="7"/>
      <c r="G24" s="7"/>
      <c r="H24" s="10" t="s">
        <v>38</v>
      </c>
      <c r="I24" s="9"/>
      <c r="J24" s="9"/>
      <c r="K24" s="10" t="s">
        <v>38</v>
      </c>
      <c r="L24" s="7"/>
      <c r="M24" s="7"/>
      <c r="N24" s="10" t="s">
        <v>38</v>
      </c>
      <c r="O24" s="7"/>
      <c r="P24" s="7"/>
      <c r="Q24" s="10" t="s">
        <v>38</v>
      </c>
      <c r="R24" s="7"/>
      <c r="S24" s="7"/>
      <c r="T24" s="10" t="s">
        <v>38</v>
      </c>
      <c r="U24" s="9"/>
      <c r="V24" s="9"/>
      <c r="W24" s="10" t="s">
        <v>38</v>
      </c>
      <c r="X24" s="7"/>
      <c r="Y24" s="7"/>
      <c r="Z24" s="10" t="s">
        <v>38</v>
      </c>
      <c r="AA24" s="7"/>
      <c r="AB24" s="7"/>
      <c r="AC24" s="10" t="s">
        <v>38</v>
      </c>
      <c r="AD24" s="7"/>
      <c r="AE24" s="7"/>
      <c r="AF24" s="10" t="s">
        <v>38</v>
      </c>
      <c r="AG24" s="9"/>
      <c r="AH24" s="9"/>
      <c r="AI24" s="10" t="s">
        <v>38</v>
      </c>
      <c r="AJ24" s="7"/>
      <c r="AK24" s="7"/>
      <c r="AL24" s="10" t="s">
        <v>38</v>
      </c>
      <c r="AM24" s="7"/>
      <c r="AN24" s="7"/>
      <c r="AO24" s="10" t="s">
        <v>38</v>
      </c>
      <c r="AP24" s="7"/>
      <c r="AQ24" s="7"/>
      <c r="AR24" s="10" t="s">
        <v>38</v>
      </c>
      <c r="AS24" s="9"/>
      <c r="AT24" s="9"/>
      <c r="AU24" s="10" t="s">
        <v>38</v>
      </c>
      <c r="AV24" s="7"/>
      <c r="AW24" s="7"/>
      <c r="AX24" s="10" t="s">
        <v>38</v>
      </c>
      <c r="AY24" s="7"/>
      <c r="AZ24" s="7"/>
      <c r="BA24" s="10" t="s">
        <v>38</v>
      </c>
      <c r="BB24" s="7"/>
      <c r="BC24" s="7"/>
      <c r="BD24" s="10" t="s">
        <v>38</v>
      </c>
      <c r="BE24" s="9"/>
      <c r="BF24" s="9"/>
      <c r="BG24" s="10" t="s">
        <v>38</v>
      </c>
      <c r="BH24" s="7"/>
      <c r="BI24" s="7"/>
      <c r="BJ24" s="10" t="s">
        <v>38</v>
      </c>
      <c r="BK24" s="7"/>
      <c r="BL24" s="7"/>
      <c r="BM24" s="10" t="s">
        <v>38</v>
      </c>
      <c r="BN24" s="7"/>
      <c r="BO24" s="7"/>
      <c r="BP24" s="10" t="s">
        <v>38</v>
      </c>
      <c r="BQ24" s="9"/>
      <c r="BR24" s="9"/>
      <c r="BS24" s="10" t="s">
        <v>38</v>
      </c>
      <c r="BT24" s="7"/>
      <c r="BU24" s="7"/>
      <c r="BV24" s="10" t="s">
        <v>38</v>
      </c>
      <c r="BW24" s="7"/>
      <c r="BX24" s="7"/>
      <c r="BY24" s="10" t="s">
        <v>38</v>
      </c>
      <c r="BZ24" s="7"/>
      <c r="CA24" s="7"/>
      <c r="CB24" s="10" t="s">
        <v>38</v>
      </c>
      <c r="CC24" s="9"/>
      <c r="CD24" s="9"/>
      <c r="CE24" s="10" t="s">
        <v>38</v>
      </c>
      <c r="CF24" s="7"/>
      <c r="CG24" s="7"/>
      <c r="CH24" s="10" t="s">
        <v>38</v>
      </c>
      <c r="CI24" s="7"/>
      <c r="CJ24" s="7"/>
      <c r="CK24" s="10" t="s">
        <v>38</v>
      </c>
      <c r="CL24" s="7"/>
      <c r="CM24" s="7"/>
      <c r="CN24" s="10" t="s">
        <v>38</v>
      </c>
      <c r="CO24" s="9"/>
      <c r="CP24" s="9"/>
      <c r="CQ24" s="10" t="s">
        <v>38</v>
      </c>
      <c r="CR24" s="7"/>
      <c r="CS24" s="7"/>
      <c r="CT24" s="10" t="s">
        <v>38</v>
      </c>
      <c r="CU24" s="7"/>
      <c r="CV24" s="7"/>
      <c r="CW24" s="10" t="s">
        <v>38</v>
      </c>
      <c r="CX24" s="7"/>
      <c r="CY24" s="7"/>
      <c r="CZ24" s="10" t="s">
        <v>38</v>
      </c>
      <c r="DA24" s="9"/>
      <c r="DB24" s="9"/>
      <c r="DC24" s="10" t="s">
        <v>38</v>
      </c>
      <c r="DD24" s="7"/>
      <c r="DE24" s="7"/>
      <c r="DF24" s="10" t="s">
        <v>38</v>
      </c>
      <c r="DG24" s="7"/>
      <c r="DH24" s="7"/>
      <c r="DI24" s="10" t="s">
        <v>38</v>
      </c>
      <c r="DJ24" s="7"/>
      <c r="DK24" s="7"/>
      <c r="DL24" s="10" t="s">
        <v>38</v>
      </c>
      <c r="DM24" s="9"/>
      <c r="DN24" s="9"/>
      <c r="DO24" s="10" t="s">
        <v>38</v>
      </c>
      <c r="DP24" s="7"/>
      <c r="DQ24" s="7"/>
      <c r="DR24" s="10" t="s">
        <v>38</v>
      </c>
      <c r="DS24" s="7"/>
      <c r="DT24" s="7"/>
      <c r="DU24" s="10" t="s">
        <v>38</v>
      </c>
      <c r="DV24" s="7"/>
      <c r="DW24" s="7"/>
      <c r="DX24" s="10" t="s">
        <v>38</v>
      </c>
      <c r="DY24" s="9"/>
      <c r="DZ24" s="9"/>
      <c r="EA24" s="10" t="s">
        <v>38</v>
      </c>
      <c r="EB24" s="7"/>
      <c r="EC24" s="7"/>
      <c r="ED24" s="10" t="s">
        <v>38</v>
      </c>
      <c r="EE24" s="7"/>
      <c r="EF24" s="7"/>
      <c r="EG24" s="10" t="s">
        <v>38</v>
      </c>
      <c r="EH24" s="7"/>
      <c r="EI24" s="7"/>
      <c r="EJ24" s="10" t="s">
        <v>38</v>
      </c>
      <c r="EK24" s="9"/>
      <c r="EL24" s="9"/>
      <c r="EM24" s="10" t="s">
        <v>38</v>
      </c>
      <c r="EN24" s="7"/>
      <c r="EO24" s="7"/>
      <c r="EP24" s="10" t="s">
        <v>38</v>
      </c>
      <c r="EQ24" s="7"/>
      <c r="ER24" s="7"/>
      <c r="ES24" s="10" t="s">
        <v>38</v>
      </c>
      <c r="ET24" s="7"/>
      <c r="EU24" s="7"/>
      <c r="EV24" s="10" t="s">
        <v>38</v>
      </c>
      <c r="EW24" s="9"/>
      <c r="EX24" s="9"/>
      <c r="EY24" s="10" t="s">
        <v>38</v>
      </c>
      <c r="EZ24" s="7"/>
      <c r="FA24" s="7"/>
      <c r="FB24" s="10" t="s">
        <v>38</v>
      </c>
      <c r="FC24" s="7"/>
      <c r="FD24" s="7"/>
      <c r="FE24" s="10" t="s">
        <v>38</v>
      </c>
      <c r="FF24" s="7"/>
      <c r="FG24" s="7"/>
      <c r="FH24" s="10" t="s">
        <v>38</v>
      </c>
      <c r="FI24" s="9"/>
      <c r="FJ24" s="9"/>
      <c r="FK24" s="10" t="s">
        <v>38</v>
      </c>
      <c r="FL24" s="7"/>
      <c r="FM24" s="7"/>
      <c r="FN24" s="10" t="s">
        <v>38</v>
      </c>
      <c r="FO24" s="7"/>
      <c r="FP24" s="7"/>
      <c r="FQ24" s="10" t="s">
        <v>38</v>
      </c>
      <c r="FR24" s="7"/>
      <c r="FS24" s="7"/>
      <c r="FT24" s="10" t="s">
        <v>38</v>
      </c>
      <c r="FU24" s="9"/>
      <c r="FV24" s="9"/>
      <c r="FW24" s="10" t="s">
        <v>38</v>
      </c>
      <c r="FX24" s="7">
        <v>5</v>
      </c>
      <c r="FY24" s="7">
        <v>400</v>
      </c>
      <c r="FZ24" s="10" t="s">
        <v>38</v>
      </c>
      <c r="GA24" s="7"/>
      <c r="GB24" s="7"/>
      <c r="GC24" s="10" t="s">
        <v>38</v>
      </c>
      <c r="GD24" s="7"/>
      <c r="GE24" s="7"/>
      <c r="GF24" s="10" t="s">
        <v>38</v>
      </c>
      <c r="GG24" s="7"/>
      <c r="GH24" s="7"/>
      <c r="GI24" s="10" t="s">
        <v>38</v>
      </c>
      <c r="GJ24" s="7"/>
      <c r="GK24" s="7"/>
      <c r="GL24" s="10" t="s">
        <v>38</v>
      </c>
      <c r="GM24" s="7"/>
      <c r="GN24" s="7"/>
      <c r="GO24" s="10" t="s">
        <v>38</v>
      </c>
      <c r="GP24" s="7"/>
      <c r="GQ24" s="7"/>
      <c r="GR24" s="10" t="s">
        <v>38</v>
      </c>
      <c r="GS24" s="7"/>
      <c r="GT24" s="7"/>
      <c r="GU24" s="6" t="s">
        <v>38</v>
      </c>
      <c r="GV24" s="7">
        <v>3</v>
      </c>
      <c r="GW24" s="7">
        <v>150</v>
      </c>
      <c r="GX24" s="10" t="s">
        <v>38</v>
      </c>
      <c r="GY24" s="7"/>
      <c r="GZ24" s="7"/>
      <c r="HA24" s="10" t="s">
        <v>38</v>
      </c>
      <c r="HB24" s="7"/>
      <c r="HC24" s="7"/>
      <c r="HD24" s="10" t="s">
        <v>38</v>
      </c>
      <c r="HE24" s="7"/>
      <c r="HF24" s="7"/>
      <c r="HG24" s="10" t="s">
        <v>38</v>
      </c>
      <c r="HH24" s="7">
        <v>4</v>
      </c>
      <c r="HI24" s="7">
        <v>200</v>
      </c>
      <c r="HJ24" s="10" t="s">
        <v>38</v>
      </c>
      <c r="HK24" s="7"/>
      <c r="HL24" s="7"/>
      <c r="HM24" s="10" t="s">
        <v>38</v>
      </c>
      <c r="HN24" s="7"/>
      <c r="HO24" s="7"/>
      <c r="HP24" s="10" t="s">
        <v>38</v>
      </c>
      <c r="HQ24" s="7"/>
      <c r="HR24" s="7"/>
      <c r="HS24" s="10" t="s">
        <v>38</v>
      </c>
      <c r="HT24" s="7">
        <v>3</v>
      </c>
      <c r="HU24" s="7">
        <v>150</v>
      </c>
      <c r="HV24" s="10" t="s">
        <v>38</v>
      </c>
      <c r="HW24" s="7"/>
      <c r="HX24" s="7"/>
      <c r="HY24" s="10" t="s">
        <v>38</v>
      </c>
      <c r="HZ24" s="7"/>
      <c r="IA24" s="7"/>
      <c r="IB24" s="10" t="s">
        <v>45</v>
      </c>
      <c r="IC24" s="7"/>
      <c r="ID24" s="7"/>
      <c r="IE24" s="6" t="s">
        <v>45</v>
      </c>
      <c r="IF24" s="7">
        <v>2</v>
      </c>
      <c r="IG24" s="7">
        <v>60</v>
      </c>
      <c r="IH24" s="10"/>
      <c r="II24" s="7"/>
      <c r="IJ24" s="7"/>
      <c r="IK24" s="7"/>
      <c r="IL24" s="7"/>
      <c r="IM24" s="7"/>
      <c r="IN24" s="7"/>
      <c r="IO24" s="10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E24" s="7"/>
      <c r="JF24" s="7"/>
      <c r="JH24" s="7"/>
      <c r="JI24" s="7"/>
      <c r="JJ24" s="7"/>
      <c r="JK24" s="7"/>
      <c r="JL24" s="7"/>
      <c r="JM24" s="7"/>
      <c r="JN24" s="10"/>
      <c r="JO24" s="7"/>
      <c r="JP24" s="7"/>
      <c r="JQ24" s="7"/>
      <c r="JR24" s="7"/>
      <c r="JS24" s="10"/>
      <c r="JT24" s="7"/>
      <c r="JU24" s="7"/>
      <c r="JV24" s="7"/>
      <c r="JW24" s="7"/>
      <c r="JX24" s="7"/>
    </row>
    <row r="25" spans="1:284" x14ac:dyDescent="0.3">
      <c r="A25" t="s">
        <v>208</v>
      </c>
      <c r="C25" s="7"/>
      <c r="D25" s="7"/>
      <c r="F25" s="7"/>
      <c r="G25" s="7"/>
      <c r="I25" s="9"/>
      <c r="J25" s="9"/>
      <c r="L25" s="7"/>
      <c r="M25" s="7"/>
      <c r="O25" s="7"/>
      <c r="P25" s="7"/>
      <c r="R25" s="7"/>
      <c r="S25" s="7"/>
      <c r="U25" s="9"/>
      <c r="V25" s="9"/>
      <c r="X25" s="7"/>
      <c r="Y25" s="7"/>
      <c r="AA25" s="7"/>
      <c r="AB25" s="7"/>
      <c r="AD25" s="7"/>
      <c r="AE25" s="7"/>
      <c r="AG25" s="9"/>
      <c r="AH25" s="9"/>
      <c r="AJ25" s="7"/>
      <c r="AK25" s="7"/>
      <c r="AM25" s="7"/>
      <c r="AN25" s="7"/>
      <c r="AP25" s="7"/>
      <c r="AQ25" s="7"/>
      <c r="AS25" s="9"/>
      <c r="AT25" s="9"/>
      <c r="AV25" s="7"/>
      <c r="AW25" s="7"/>
      <c r="AY25" s="7"/>
      <c r="AZ25" s="7"/>
      <c r="BB25" s="7"/>
      <c r="BC25" s="7"/>
      <c r="BE25" s="9"/>
      <c r="BF25" s="9"/>
      <c r="BH25" s="7"/>
      <c r="BI25" s="7"/>
      <c r="BK25" s="7"/>
      <c r="BL25" s="7"/>
      <c r="BN25" s="7"/>
      <c r="BO25" s="7"/>
      <c r="BQ25" s="9"/>
      <c r="BR25" s="9"/>
      <c r="BT25" s="7"/>
      <c r="BU25" s="7"/>
      <c r="BW25" s="7"/>
      <c r="BX25" s="7"/>
      <c r="BZ25" s="7"/>
      <c r="CA25" s="7"/>
      <c r="CC25" s="9"/>
      <c r="CD25" s="9"/>
      <c r="CF25" s="7"/>
      <c r="CG25" s="7"/>
      <c r="CI25" s="7"/>
      <c r="CJ25" s="7"/>
      <c r="CL25" s="7"/>
      <c r="CM25" s="7"/>
      <c r="CO25" s="9"/>
      <c r="CP25" s="9"/>
      <c r="CR25" s="7"/>
      <c r="CS25" s="7"/>
      <c r="CU25" s="7"/>
      <c r="CV25" s="7"/>
      <c r="CX25" s="7"/>
      <c r="CY25" s="7"/>
      <c r="DA25" s="9"/>
      <c r="DB25" s="9"/>
      <c r="DD25" s="7"/>
      <c r="DE25" s="7"/>
      <c r="DG25" s="7"/>
      <c r="DH25" s="7"/>
      <c r="DJ25" s="7"/>
      <c r="DK25" s="7"/>
      <c r="DM25" s="9"/>
      <c r="DN25" s="9"/>
      <c r="DP25" s="7"/>
      <c r="DQ25" s="7"/>
      <c r="DS25" s="7"/>
      <c r="DT25" s="7"/>
      <c r="DV25" s="7"/>
      <c r="DW25" s="7"/>
      <c r="DY25" s="9"/>
      <c r="DZ25" s="9"/>
      <c r="EB25" s="7"/>
      <c r="EC25" s="7"/>
      <c r="EE25" s="7"/>
      <c r="EF25" s="7"/>
      <c r="EH25" s="7"/>
      <c r="EI25" s="7"/>
      <c r="EK25" s="9"/>
      <c r="EL25" s="9"/>
      <c r="EN25" s="7"/>
      <c r="EO25" s="7"/>
      <c r="EQ25" s="7"/>
      <c r="ER25" s="7"/>
      <c r="ET25" s="7"/>
      <c r="EU25" s="7"/>
      <c r="EW25" s="9"/>
      <c r="EX25" s="9"/>
      <c r="EZ25" s="7"/>
      <c r="FA25" s="7"/>
      <c r="FC25" s="7"/>
      <c r="FD25" s="7"/>
      <c r="FF25" s="7"/>
      <c r="FG25" s="7"/>
      <c r="FI25" s="9"/>
      <c r="FJ25" s="9"/>
      <c r="FL25" s="7"/>
      <c r="FM25" s="7"/>
      <c r="FO25" s="7"/>
      <c r="FP25" s="7"/>
      <c r="FR25" s="7"/>
      <c r="FS25" s="7"/>
      <c r="FU25" s="9"/>
      <c r="FV25" s="9"/>
      <c r="FX25" s="7"/>
      <c r="FY25" s="7"/>
      <c r="GA25" s="7"/>
      <c r="GB25" s="7"/>
      <c r="GD25" s="7"/>
      <c r="GE25" s="7"/>
      <c r="GG25" s="7"/>
      <c r="GH25" s="7"/>
      <c r="GJ25" s="7"/>
      <c r="GK25" s="7"/>
      <c r="GM25" s="7"/>
      <c r="GN25" s="7"/>
      <c r="GO25" s="10"/>
      <c r="GP25" s="7"/>
      <c r="GQ25" s="7"/>
      <c r="GR25" s="10"/>
      <c r="GS25" s="7"/>
      <c r="GT25" s="7"/>
      <c r="GV25" s="7"/>
      <c r="GW25" s="7"/>
      <c r="GY25" s="7"/>
      <c r="GZ25" s="7"/>
      <c r="HB25" s="7"/>
      <c r="HC25" s="7"/>
      <c r="HE25" s="7"/>
      <c r="HF25" s="7"/>
      <c r="HH25" s="7"/>
      <c r="HI25" s="7"/>
      <c r="HK25" s="7"/>
      <c r="HL25" s="7"/>
      <c r="HN25" s="7"/>
      <c r="HO25" s="7"/>
      <c r="HQ25" s="7"/>
      <c r="HR25" s="7"/>
      <c r="HT25" s="7"/>
      <c r="HU25" s="7"/>
      <c r="HW25" s="7"/>
      <c r="HX25" s="7"/>
      <c r="HY25" s="10"/>
      <c r="HZ25" s="7"/>
      <c r="IA25" s="7"/>
      <c r="IC25" s="7"/>
      <c r="ID25" s="7"/>
      <c r="IF25" s="7"/>
      <c r="IG25" s="7"/>
      <c r="IH25" s="10"/>
      <c r="II25" s="7"/>
      <c r="IJ25" s="7"/>
      <c r="IK25" s="7"/>
      <c r="IL25" s="7"/>
      <c r="IM25" s="7"/>
      <c r="IN25" s="7"/>
      <c r="IO25" s="10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E25" s="7"/>
      <c r="JF25" s="7"/>
      <c r="JH25" s="7"/>
      <c r="JI25" s="7"/>
      <c r="JJ25" s="7"/>
      <c r="JK25" s="7"/>
      <c r="JL25" s="7"/>
      <c r="JM25" s="7"/>
      <c r="JN25" s="10"/>
      <c r="JO25" s="7"/>
      <c r="JP25" s="7"/>
      <c r="JQ25" s="7"/>
      <c r="JR25" s="7"/>
      <c r="JS25" s="10" t="s">
        <v>7</v>
      </c>
      <c r="JT25" s="7">
        <v>318</v>
      </c>
      <c r="JU25" s="7">
        <v>2033</v>
      </c>
      <c r="JV25" s="7">
        <v>262</v>
      </c>
      <c r="JW25" s="7">
        <v>1951</v>
      </c>
      <c r="JX25" s="7"/>
    </row>
    <row r="26" spans="1:284" x14ac:dyDescent="0.3">
      <c r="A26" t="s">
        <v>209</v>
      </c>
      <c r="B26" s="10" t="s">
        <v>45</v>
      </c>
      <c r="C26" s="7"/>
      <c r="D26" s="7"/>
      <c r="E26" s="10" t="s">
        <v>45</v>
      </c>
      <c r="F26" s="7"/>
      <c r="G26" s="7"/>
      <c r="H26" s="10" t="s">
        <v>45</v>
      </c>
      <c r="I26" s="9"/>
      <c r="J26" s="9"/>
      <c r="K26" s="10" t="s">
        <v>45</v>
      </c>
      <c r="L26" s="7"/>
      <c r="M26" s="7"/>
      <c r="N26" s="10" t="s">
        <v>45</v>
      </c>
      <c r="O26" s="7"/>
      <c r="P26" s="7"/>
      <c r="Q26" s="10" t="s">
        <v>45</v>
      </c>
      <c r="R26" s="7"/>
      <c r="S26" s="7"/>
      <c r="T26" s="10" t="s">
        <v>45</v>
      </c>
      <c r="U26" s="9"/>
      <c r="V26" s="9"/>
      <c r="W26" s="10" t="s">
        <v>45</v>
      </c>
      <c r="X26" s="7"/>
      <c r="Y26" s="7"/>
      <c r="Z26" s="10" t="s">
        <v>45</v>
      </c>
      <c r="AA26" s="7"/>
      <c r="AB26" s="7"/>
      <c r="AC26" s="10" t="s">
        <v>45</v>
      </c>
      <c r="AD26" s="7"/>
      <c r="AE26" s="7"/>
      <c r="AF26" s="10" t="s">
        <v>45</v>
      </c>
      <c r="AG26" s="9"/>
      <c r="AH26" s="9"/>
      <c r="AI26" s="10" t="s">
        <v>45</v>
      </c>
      <c r="AJ26" s="7"/>
      <c r="AK26" s="7"/>
      <c r="AL26" s="10" t="s">
        <v>45</v>
      </c>
      <c r="AM26" s="7"/>
      <c r="AN26" s="7"/>
      <c r="AO26" s="10" t="s">
        <v>45</v>
      </c>
      <c r="AP26" s="7"/>
      <c r="AQ26" s="7"/>
      <c r="AR26" s="10" t="s">
        <v>45</v>
      </c>
      <c r="AS26" s="9"/>
      <c r="AT26" s="9"/>
      <c r="AU26" s="10" t="s">
        <v>45</v>
      </c>
      <c r="AV26" s="7"/>
      <c r="AW26" s="7"/>
      <c r="AX26" s="10" t="s">
        <v>45</v>
      </c>
      <c r="AY26" s="7"/>
      <c r="AZ26" s="7"/>
      <c r="BA26" s="10" t="s">
        <v>45</v>
      </c>
      <c r="BB26" s="7"/>
      <c r="BC26" s="7"/>
      <c r="BD26" s="10" t="s">
        <v>45</v>
      </c>
      <c r="BE26" s="9"/>
      <c r="BF26" s="9"/>
      <c r="BG26" s="10" t="s">
        <v>45</v>
      </c>
      <c r="BH26" s="7"/>
      <c r="BI26" s="7"/>
      <c r="BJ26" s="10" t="s">
        <v>45</v>
      </c>
      <c r="BK26" s="7"/>
      <c r="BL26" s="7"/>
      <c r="BM26" s="10" t="s">
        <v>45</v>
      </c>
      <c r="BN26" s="7"/>
      <c r="BO26" s="7"/>
      <c r="BP26" s="10" t="s">
        <v>45</v>
      </c>
      <c r="BQ26" s="9"/>
      <c r="BR26" s="9"/>
      <c r="BS26" s="10" t="s">
        <v>45</v>
      </c>
      <c r="BT26" s="7"/>
      <c r="BU26" s="7"/>
      <c r="BV26" s="10" t="s">
        <v>45</v>
      </c>
      <c r="BW26" s="7"/>
      <c r="BX26" s="7"/>
      <c r="BY26" s="10" t="s">
        <v>45</v>
      </c>
      <c r="BZ26" s="7"/>
      <c r="CA26" s="7"/>
      <c r="CB26" s="10" t="s">
        <v>45</v>
      </c>
      <c r="CC26" s="9"/>
      <c r="CD26" s="9"/>
      <c r="CE26" s="10" t="s">
        <v>45</v>
      </c>
      <c r="CF26" s="7"/>
      <c r="CG26" s="7"/>
      <c r="CH26" s="10" t="s">
        <v>45</v>
      </c>
      <c r="CI26" s="7"/>
      <c r="CJ26" s="7"/>
      <c r="CK26" s="10" t="s">
        <v>45</v>
      </c>
      <c r="CL26" s="7"/>
      <c r="CM26" s="7"/>
      <c r="CN26" s="10" t="s">
        <v>45</v>
      </c>
      <c r="CO26" s="9"/>
      <c r="CP26" s="9"/>
      <c r="CQ26" s="10" t="s">
        <v>45</v>
      </c>
      <c r="CR26" s="7"/>
      <c r="CS26" s="7"/>
      <c r="CT26" s="10" t="s">
        <v>45</v>
      </c>
      <c r="CU26" s="7"/>
      <c r="CV26" s="7"/>
      <c r="CW26" s="10" t="s">
        <v>45</v>
      </c>
      <c r="CX26" s="7"/>
      <c r="CY26" s="7"/>
      <c r="CZ26" s="10" t="s">
        <v>45</v>
      </c>
      <c r="DA26" s="9"/>
      <c r="DB26" s="9"/>
      <c r="DC26" s="10" t="s">
        <v>45</v>
      </c>
      <c r="DD26" s="7"/>
      <c r="DE26" s="7"/>
      <c r="DF26" s="10" t="s">
        <v>45</v>
      </c>
      <c r="DG26" s="7"/>
      <c r="DH26" s="7"/>
      <c r="DI26" s="10" t="s">
        <v>45</v>
      </c>
      <c r="DJ26" s="7"/>
      <c r="DK26" s="7"/>
      <c r="DL26" s="10" t="s">
        <v>45</v>
      </c>
      <c r="DM26" s="9"/>
      <c r="DN26" s="9"/>
      <c r="DO26" s="10" t="s">
        <v>45</v>
      </c>
      <c r="DP26" s="7"/>
      <c r="DQ26" s="7"/>
      <c r="DR26" s="10" t="s">
        <v>45</v>
      </c>
      <c r="DS26" s="7"/>
      <c r="DT26" s="7"/>
      <c r="DU26" s="10" t="s">
        <v>45</v>
      </c>
      <c r="DV26" s="7"/>
      <c r="DW26" s="7"/>
      <c r="DX26" s="10" t="s">
        <v>45</v>
      </c>
      <c r="DY26" s="9"/>
      <c r="DZ26" s="9"/>
      <c r="EA26" s="10" t="s">
        <v>45</v>
      </c>
      <c r="EB26" s="7"/>
      <c r="EC26" s="7"/>
      <c r="ED26" s="10" t="s">
        <v>45</v>
      </c>
      <c r="EE26" s="7"/>
      <c r="EF26" s="7"/>
      <c r="EG26" s="10" t="s">
        <v>45</v>
      </c>
      <c r="EH26" s="7"/>
      <c r="EI26" s="7"/>
      <c r="EJ26" s="10" t="s">
        <v>45</v>
      </c>
      <c r="EK26" s="9"/>
      <c r="EL26" s="9"/>
      <c r="EM26" s="10" t="s">
        <v>45</v>
      </c>
      <c r="EN26" s="7"/>
      <c r="EO26" s="7"/>
      <c r="EP26" s="10" t="s">
        <v>45</v>
      </c>
      <c r="EQ26" s="7"/>
      <c r="ER26" s="7"/>
      <c r="ES26" s="10" t="s">
        <v>45</v>
      </c>
      <c r="ET26" s="7"/>
      <c r="EU26" s="7"/>
      <c r="EV26" s="10" t="s">
        <v>45</v>
      </c>
      <c r="EW26" s="9"/>
      <c r="EX26" s="9"/>
      <c r="EY26" s="10" t="s">
        <v>45</v>
      </c>
      <c r="EZ26" s="7"/>
      <c r="FA26" s="7"/>
      <c r="FB26" s="10" t="s">
        <v>45</v>
      </c>
      <c r="FC26" s="7"/>
      <c r="FD26" s="7"/>
      <c r="FE26" s="10" t="s">
        <v>45</v>
      </c>
      <c r="FF26" s="7"/>
      <c r="FG26" s="7"/>
      <c r="FH26" s="10" t="s">
        <v>45</v>
      </c>
      <c r="FI26" s="9"/>
      <c r="FJ26" s="9"/>
      <c r="FK26" s="10" t="s">
        <v>45</v>
      </c>
      <c r="FL26" s="7"/>
      <c r="FM26" s="7"/>
      <c r="FN26" s="10" t="s">
        <v>45</v>
      </c>
      <c r="FO26" s="7"/>
      <c r="FP26" s="7"/>
      <c r="FQ26" s="10" t="s">
        <v>45</v>
      </c>
      <c r="FR26" s="7"/>
      <c r="FS26" s="7"/>
      <c r="FT26" s="10" t="s">
        <v>45</v>
      </c>
      <c r="FU26" s="9"/>
      <c r="FV26" s="9"/>
      <c r="FW26" s="10" t="s">
        <v>45</v>
      </c>
      <c r="FX26" s="7">
        <v>12</v>
      </c>
      <c r="FY26" s="7">
        <v>400</v>
      </c>
      <c r="FZ26" s="10" t="s">
        <v>45</v>
      </c>
      <c r="GA26" s="7"/>
      <c r="GB26" s="7"/>
      <c r="GC26" s="10" t="s">
        <v>45</v>
      </c>
      <c r="GD26" s="7"/>
      <c r="GE26" s="7"/>
      <c r="GF26" s="10" t="s">
        <v>45</v>
      </c>
      <c r="GG26" s="7"/>
      <c r="GH26" s="7"/>
      <c r="GI26" s="10" t="s">
        <v>45</v>
      </c>
      <c r="GJ26" s="7">
        <v>4</v>
      </c>
      <c r="GK26" s="7">
        <v>119</v>
      </c>
      <c r="GL26" s="10" t="s">
        <v>45</v>
      </c>
      <c r="GM26" s="7"/>
      <c r="GN26" s="7"/>
      <c r="GO26" s="10" t="s">
        <v>45</v>
      </c>
      <c r="GP26" s="7"/>
      <c r="GQ26" s="7"/>
      <c r="GR26" s="10" t="s">
        <v>45</v>
      </c>
      <c r="GS26" s="7"/>
      <c r="GT26" s="7"/>
      <c r="GU26" s="6" t="s">
        <v>45</v>
      </c>
      <c r="GV26" s="7">
        <v>15</v>
      </c>
      <c r="GW26" s="7">
        <v>600</v>
      </c>
      <c r="GX26" s="10" t="s">
        <v>47</v>
      </c>
      <c r="GY26" s="7"/>
      <c r="GZ26" s="7"/>
      <c r="HA26" s="10" t="s">
        <v>47</v>
      </c>
      <c r="HB26" s="7"/>
      <c r="HC26" s="7"/>
      <c r="HD26" s="10" t="s">
        <v>47</v>
      </c>
      <c r="HE26" s="7"/>
      <c r="HF26" s="7"/>
      <c r="HG26" s="10" t="s">
        <v>47</v>
      </c>
      <c r="HH26" s="7">
        <v>50</v>
      </c>
      <c r="HI26" s="7">
        <v>500</v>
      </c>
      <c r="HJ26" s="10" t="s">
        <v>47</v>
      </c>
      <c r="HK26" s="7"/>
      <c r="HL26" s="7"/>
      <c r="HM26" s="10" t="s">
        <v>47</v>
      </c>
      <c r="HN26" s="7"/>
      <c r="HO26" s="7"/>
      <c r="HP26" s="10" t="s">
        <v>47</v>
      </c>
      <c r="HQ26" s="7"/>
      <c r="HR26" s="7"/>
      <c r="HS26" s="6" t="s">
        <v>47</v>
      </c>
      <c r="HT26" s="7">
        <v>40</v>
      </c>
      <c r="HU26" s="7">
        <v>450</v>
      </c>
      <c r="HV26" s="10" t="s">
        <v>45</v>
      </c>
      <c r="HW26" s="7"/>
      <c r="HX26" s="7"/>
      <c r="HY26" s="10" t="s">
        <v>45</v>
      </c>
      <c r="HZ26" s="7"/>
      <c r="IA26" s="7"/>
      <c r="IB26" s="10" t="s">
        <v>91</v>
      </c>
      <c r="IC26" s="7"/>
      <c r="ID26" s="7"/>
      <c r="IE26" s="6" t="s">
        <v>91</v>
      </c>
      <c r="IF26" s="7">
        <v>3</v>
      </c>
      <c r="IG26" s="7">
        <v>110</v>
      </c>
      <c r="IH26" s="10"/>
      <c r="II26" s="7"/>
      <c r="IJ26" s="7"/>
      <c r="IK26" s="7"/>
      <c r="IL26" s="7"/>
      <c r="IM26" s="7"/>
      <c r="IN26" s="7"/>
      <c r="IO26" s="10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E26" s="7"/>
      <c r="JF26" s="7"/>
      <c r="JH26" s="7"/>
      <c r="JI26" s="7"/>
      <c r="JJ26" s="7"/>
      <c r="JK26" s="7"/>
      <c r="JL26" s="7"/>
      <c r="JM26" s="7"/>
      <c r="JN26" s="10"/>
      <c r="JO26" s="7"/>
      <c r="JP26" s="7"/>
      <c r="JQ26" s="7"/>
      <c r="JR26" s="7"/>
      <c r="JS26" s="10"/>
      <c r="JT26" s="7"/>
      <c r="JU26" s="7"/>
      <c r="JV26" s="7"/>
      <c r="JW26" s="7"/>
      <c r="JX26" s="7"/>
    </row>
    <row r="27" spans="1:284" x14ac:dyDescent="0.3">
      <c r="A27" t="s">
        <v>210</v>
      </c>
      <c r="C27" s="7"/>
      <c r="D27" s="7"/>
      <c r="F27" s="7"/>
      <c r="G27" s="7"/>
      <c r="I27" s="9"/>
      <c r="J27" s="9"/>
      <c r="L27" s="7"/>
      <c r="M27" s="7"/>
      <c r="O27" s="7"/>
      <c r="P27" s="7"/>
      <c r="R27" s="7"/>
      <c r="S27" s="7"/>
      <c r="U27" s="9"/>
      <c r="V27" s="9"/>
      <c r="X27" s="7"/>
      <c r="Y27" s="7"/>
      <c r="AA27" s="7"/>
      <c r="AB27" s="7"/>
      <c r="AD27" s="7"/>
      <c r="AE27" s="7"/>
      <c r="AG27" s="9"/>
      <c r="AH27" s="9"/>
      <c r="AJ27" s="7"/>
      <c r="AK27" s="7"/>
      <c r="AM27" s="7"/>
      <c r="AN27" s="7"/>
      <c r="AP27" s="7"/>
      <c r="AQ27" s="7"/>
      <c r="AS27" s="9"/>
      <c r="AT27" s="9"/>
      <c r="AV27" s="7"/>
      <c r="AW27" s="7"/>
      <c r="AY27" s="7"/>
      <c r="AZ27" s="7"/>
      <c r="BB27" s="7"/>
      <c r="BC27" s="7"/>
      <c r="BE27" s="9"/>
      <c r="BF27" s="9"/>
      <c r="BH27" s="7"/>
      <c r="BI27" s="7"/>
      <c r="BK27" s="7"/>
      <c r="BL27" s="7"/>
      <c r="BN27" s="7"/>
      <c r="BO27" s="7"/>
      <c r="BQ27" s="9"/>
      <c r="BR27" s="9"/>
      <c r="BT27" s="7"/>
      <c r="BU27" s="7"/>
      <c r="BW27" s="7"/>
      <c r="BX27" s="7"/>
      <c r="BZ27" s="7"/>
      <c r="CA27" s="7"/>
      <c r="CC27" s="9"/>
      <c r="CD27" s="9"/>
      <c r="CF27" s="7"/>
      <c r="CG27" s="7"/>
      <c r="CI27" s="7"/>
      <c r="CJ27" s="7"/>
      <c r="CL27" s="7"/>
      <c r="CM27" s="7"/>
      <c r="CO27" s="9"/>
      <c r="CP27" s="9"/>
      <c r="CR27" s="7"/>
      <c r="CS27" s="7"/>
      <c r="CU27" s="7"/>
      <c r="CV27" s="7"/>
      <c r="CX27" s="7"/>
      <c r="CY27" s="7"/>
      <c r="DA27" s="9"/>
      <c r="DB27" s="9"/>
      <c r="DD27" s="7"/>
      <c r="DE27" s="7"/>
      <c r="DG27" s="7"/>
      <c r="DH27" s="7"/>
      <c r="DJ27" s="7"/>
      <c r="DK27" s="7"/>
      <c r="DM27" s="9"/>
      <c r="DN27" s="9"/>
      <c r="DP27" s="7"/>
      <c r="DQ27" s="7"/>
      <c r="DS27" s="7"/>
      <c r="DT27" s="7"/>
      <c r="DV27" s="7"/>
      <c r="DW27" s="7"/>
      <c r="DY27" s="9"/>
      <c r="DZ27" s="9"/>
      <c r="EB27" s="7"/>
      <c r="EC27" s="7"/>
      <c r="EE27" s="7"/>
      <c r="EF27" s="7"/>
      <c r="EH27" s="7"/>
      <c r="EI27" s="7"/>
      <c r="EK27" s="9"/>
      <c r="EL27" s="9"/>
      <c r="EN27" s="7"/>
      <c r="EO27" s="7"/>
      <c r="EQ27" s="7"/>
      <c r="ER27" s="7"/>
      <c r="ET27" s="7"/>
      <c r="EU27" s="7"/>
      <c r="EW27" s="9"/>
      <c r="EX27" s="9"/>
      <c r="EZ27" s="7"/>
      <c r="FA27" s="7"/>
      <c r="FC27" s="7"/>
      <c r="FD27" s="7"/>
      <c r="FF27" s="7"/>
      <c r="FG27" s="7"/>
      <c r="FI27" s="9"/>
      <c r="FJ27" s="9"/>
      <c r="FL27" s="7"/>
      <c r="FM27" s="7"/>
      <c r="FO27" s="7"/>
      <c r="FP27" s="7"/>
      <c r="FR27" s="7"/>
      <c r="FS27" s="7"/>
      <c r="FU27" s="9"/>
      <c r="FV27" s="9"/>
      <c r="FX27" s="7"/>
      <c r="FY27" s="7"/>
      <c r="GA27" s="7"/>
      <c r="GB27" s="7"/>
      <c r="GD27" s="7"/>
      <c r="GE27" s="7"/>
      <c r="GG27" s="7"/>
      <c r="GH27" s="7"/>
      <c r="GJ27" s="7"/>
      <c r="GK27" s="7"/>
      <c r="GM27" s="7"/>
      <c r="GN27" s="7"/>
      <c r="GO27" s="10"/>
      <c r="GP27" s="7"/>
      <c r="GQ27" s="7"/>
      <c r="GR27" s="10"/>
      <c r="GS27" s="7"/>
      <c r="GT27" s="7"/>
      <c r="GV27" s="7"/>
      <c r="GW27" s="7"/>
      <c r="GY27" s="7"/>
      <c r="GZ27" s="7"/>
      <c r="HB27" s="7"/>
      <c r="HC27" s="7"/>
      <c r="HE27" s="7"/>
      <c r="HF27" s="7"/>
      <c r="HH27" s="7"/>
      <c r="HI27" s="7"/>
      <c r="HK27" s="7"/>
      <c r="HL27" s="7"/>
      <c r="HN27" s="7"/>
      <c r="HO27" s="7"/>
      <c r="HQ27" s="7"/>
      <c r="HR27" s="7"/>
      <c r="HT27" s="7"/>
      <c r="HU27" s="7"/>
      <c r="HW27" s="7"/>
      <c r="HX27" s="7"/>
      <c r="HY27" s="10"/>
      <c r="HZ27" s="7"/>
      <c r="IA27" s="7"/>
      <c r="IC27" s="7"/>
      <c r="ID27" s="7"/>
      <c r="IF27" s="7"/>
      <c r="IG27" s="7"/>
      <c r="IH27" s="10"/>
      <c r="II27" s="7"/>
      <c r="IJ27" s="7"/>
      <c r="IK27" s="7"/>
      <c r="IL27" s="7"/>
      <c r="IM27" s="7"/>
      <c r="IN27" s="7"/>
      <c r="IO27" s="10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E27" s="7"/>
      <c r="JF27" s="7"/>
      <c r="JH27" s="7"/>
      <c r="JI27" s="7"/>
      <c r="JJ27" s="7"/>
      <c r="JK27" s="7"/>
      <c r="JL27" s="7"/>
      <c r="JM27" s="7"/>
      <c r="JN27" s="10"/>
      <c r="JO27" s="7"/>
      <c r="JP27" s="7"/>
      <c r="JQ27" s="7"/>
      <c r="JR27" s="7"/>
      <c r="JS27" s="10" t="s">
        <v>19</v>
      </c>
      <c r="JT27" s="7">
        <v>460</v>
      </c>
      <c r="JU27" s="7">
        <v>60619</v>
      </c>
      <c r="JV27" s="7">
        <v>240</v>
      </c>
      <c r="JW27" s="7">
        <v>28940</v>
      </c>
      <c r="JX27" s="7"/>
    </row>
    <row r="28" spans="1:284" x14ac:dyDescent="0.3">
      <c r="A28" t="s">
        <v>211</v>
      </c>
      <c r="B28" s="10" t="s">
        <v>45</v>
      </c>
      <c r="C28" s="7"/>
      <c r="D28" s="7"/>
      <c r="E28" s="10" t="s">
        <v>45</v>
      </c>
      <c r="F28" s="7"/>
      <c r="G28" s="7"/>
      <c r="H28" s="10" t="s">
        <v>45</v>
      </c>
      <c r="I28" s="9"/>
      <c r="J28" s="9"/>
      <c r="K28" s="10" t="s">
        <v>45</v>
      </c>
      <c r="L28" s="7"/>
      <c r="M28" s="7"/>
      <c r="N28" s="10" t="s">
        <v>45</v>
      </c>
      <c r="O28" s="7"/>
      <c r="P28" s="7"/>
      <c r="Q28" s="10" t="s">
        <v>45</v>
      </c>
      <c r="R28" s="7"/>
      <c r="S28" s="7"/>
      <c r="T28" s="10" t="s">
        <v>45</v>
      </c>
      <c r="U28" s="9"/>
      <c r="V28" s="9"/>
      <c r="W28" s="10" t="s">
        <v>45</v>
      </c>
      <c r="X28" s="7"/>
      <c r="Y28" s="7"/>
      <c r="Z28" s="10" t="s">
        <v>45</v>
      </c>
      <c r="AA28" s="7"/>
      <c r="AB28" s="7"/>
      <c r="AC28" s="10" t="s">
        <v>45</v>
      </c>
      <c r="AD28" s="7"/>
      <c r="AE28" s="7"/>
      <c r="AF28" s="10" t="s">
        <v>45</v>
      </c>
      <c r="AG28" s="9"/>
      <c r="AH28" s="9"/>
      <c r="AI28" s="10" t="s">
        <v>45</v>
      </c>
      <c r="AJ28" s="7"/>
      <c r="AK28" s="7"/>
      <c r="AL28" s="10" t="s">
        <v>45</v>
      </c>
      <c r="AM28" s="7"/>
      <c r="AN28" s="7"/>
      <c r="AO28" s="10" t="s">
        <v>45</v>
      </c>
      <c r="AP28" s="7"/>
      <c r="AQ28" s="7"/>
      <c r="AR28" s="10" t="s">
        <v>45</v>
      </c>
      <c r="AS28" s="9"/>
      <c r="AT28" s="9"/>
      <c r="AU28" s="10" t="s">
        <v>45</v>
      </c>
      <c r="AV28" s="7"/>
      <c r="AW28" s="7"/>
      <c r="AX28" s="10" t="s">
        <v>45</v>
      </c>
      <c r="AY28" s="7"/>
      <c r="AZ28" s="7"/>
      <c r="BA28" s="10" t="s">
        <v>45</v>
      </c>
      <c r="BB28" s="7"/>
      <c r="BC28" s="7"/>
      <c r="BD28" s="10" t="s">
        <v>45</v>
      </c>
      <c r="BE28" s="9"/>
      <c r="BF28" s="9"/>
      <c r="BG28" s="10" t="s">
        <v>45</v>
      </c>
      <c r="BH28" s="7"/>
      <c r="BI28" s="7"/>
      <c r="BJ28" s="10" t="s">
        <v>45</v>
      </c>
      <c r="BK28" s="7"/>
      <c r="BL28" s="7"/>
      <c r="BM28" s="10" t="s">
        <v>45</v>
      </c>
      <c r="BN28" s="7"/>
      <c r="BO28" s="7"/>
      <c r="BP28" s="10" t="s">
        <v>45</v>
      </c>
      <c r="BQ28" s="9"/>
      <c r="BR28" s="9"/>
      <c r="BS28" s="10" t="s">
        <v>45</v>
      </c>
      <c r="BT28" s="7"/>
      <c r="BU28" s="7"/>
      <c r="BV28" s="10" t="s">
        <v>45</v>
      </c>
      <c r="BW28" s="7"/>
      <c r="BX28" s="7"/>
      <c r="BY28" s="10" t="s">
        <v>45</v>
      </c>
      <c r="BZ28" s="7"/>
      <c r="CA28" s="7"/>
      <c r="CB28" s="10" t="s">
        <v>45</v>
      </c>
      <c r="CC28" s="9"/>
      <c r="CD28" s="9"/>
      <c r="CE28" s="10" t="s">
        <v>45</v>
      </c>
      <c r="CF28" s="7"/>
      <c r="CG28" s="7"/>
      <c r="CH28" s="10" t="s">
        <v>45</v>
      </c>
      <c r="CI28" s="7"/>
      <c r="CJ28" s="7"/>
      <c r="CK28" s="10" t="s">
        <v>45</v>
      </c>
      <c r="CL28" s="7"/>
      <c r="CM28" s="7"/>
      <c r="CN28" s="10" t="s">
        <v>45</v>
      </c>
      <c r="CO28" s="9"/>
      <c r="CP28" s="9"/>
      <c r="CQ28" s="10" t="s">
        <v>45</v>
      </c>
      <c r="CR28" s="7"/>
      <c r="CS28" s="7"/>
      <c r="CT28" s="10" t="s">
        <v>45</v>
      </c>
      <c r="CU28" s="7"/>
      <c r="CV28" s="7"/>
      <c r="CW28" s="10" t="s">
        <v>45</v>
      </c>
      <c r="CX28" s="7"/>
      <c r="CY28" s="7"/>
      <c r="CZ28" s="10" t="s">
        <v>45</v>
      </c>
      <c r="DA28" s="9"/>
      <c r="DB28" s="9"/>
      <c r="DC28" s="10" t="s">
        <v>45</v>
      </c>
      <c r="DD28" s="7"/>
      <c r="DE28" s="7"/>
      <c r="DF28" s="10" t="s">
        <v>45</v>
      </c>
      <c r="DG28" s="7"/>
      <c r="DH28" s="7"/>
      <c r="DI28" s="10" t="s">
        <v>45</v>
      </c>
      <c r="DJ28" s="7"/>
      <c r="DK28" s="7"/>
      <c r="DL28" s="10" t="s">
        <v>45</v>
      </c>
      <c r="DM28" s="9"/>
      <c r="DN28" s="9"/>
      <c r="DO28" s="10" t="s">
        <v>45</v>
      </c>
      <c r="DP28" s="7"/>
      <c r="DQ28" s="7"/>
      <c r="DR28" s="10" t="s">
        <v>45</v>
      </c>
      <c r="DS28" s="7"/>
      <c r="DT28" s="7"/>
      <c r="DU28" s="10" t="s">
        <v>45</v>
      </c>
      <c r="DV28" s="7"/>
      <c r="DW28" s="7"/>
      <c r="DX28" s="10" t="s">
        <v>45</v>
      </c>
      <c r="DY28" s="9"/>
      <c r="DZ28" s="9"/>
      <c r="EA28" s="10" t="s">
        <v>45</v>
      </c>
      <c r="EB28" s="7"/>
      <c r="EC28" s="7"/>
      <c r="ED28" s="10" t="s">
        <v>45</v>
      </c>
      <c r="EE28" s="7"/>
      <c r="EF28" s="7"/>
      <c r="EG28" s="10" t="s">
        <v>45</v>
      </c>
      <c r="EH28" s="7"/>
      <c r="EI28" s="7"/>
      <c r="EJ28" s="10" t="s">
        <v>45</v>
      </c>
      <c r="EK28" s="9"/>
      <c r="EL28" s="9"/>
      <c r="EM28" s="10" t="s">
        <v>45</v>
      </c>
      <c r="EN28" s="7"/>
      <c r="EO28" s="7"/>
      <c r="EP28" s="10" t="s">
        <v>45</v>
      </c>
      <c r="EQ28" s="7"/>
      <c r="ER28" s="7"/>
      <c r="ES28" s="10" t="s">
        <v>45</v>
      </c>
      <c r="ET28" s="7"/>
      <c r="EU28" s="7"/>
      <c r="EV28" s="10" t="s">
        <v>45</v>
      </c>
      <c r="EW28" s="9"/>
      <c r="EX28" s="9"/>
      <c r="EY28" s="10" t="s">
        <v>45</v>
      </c>
      <c r="EZ28" s="7"/>
      <c r="FA28" s="7"/>
      <c r="FB28" s="10" t="s">
        <v>45</v>
      </c>
      <c r="FC28" s="7"/>
      <c r="FD28" s="7"/>
      <c r="FE28" s="10" t="s">
        <v>45</v>
      </c>
      <c r="FF28" s="7"/>
      <c r="FG28" s="7"/>
      <c r="FH28" s="10" t="s">
        <v>45</v>
      </c>
      <c r="FI28" s="9"/>
      <c r="FJ28" s="9"/>
      <c r="FK28" s="10" t="s">
        <v>45</v>
      </c>
      <c r="FL28" s="7"/>
      <c r="FM28" s="7"/>
      <c r="FN28" s="10" t="s">
        <v>45</v>
      </c>
      <c r="FO28" s="7"/>
      <c r="FP28" s="7"/>
      <c r="FQ28" s="10" t="s">
        <v>45</v>
      </c>
      <c r="FR28" s="7"/>
      <c r="FS28" s="7"/>
      <c r="FT28" s="10" t="s">
        <v>45</v>
      </c>
      <c r="FU28" s="9"/>
      <c r="FV28" s="9"/>
      <c r="FW28" s="10" t="s">
        <v>45</v>
      </c>
      <c r="FX28" s="7">
        <v>80</v>
      </c>
      <c r="FY28" s="7">
        <v>4500</v>
      </c>
      <c r="FZ28" s="10" t="s">
        <v>45</v>
      </c>
      <c r="GA28" s="7"/>
      <c r="GB28" s="7"/>
      <c r="GC28" s="10" t="s">
        <v>45</v>
      </c>
      <c r="GD28" s="7"/>
      <c r="GE28" s="7"/>
      <c r="GF28" s="10" t="s">
        <v>45</v>
      </c>
      <c r="GG28" s="7"/>
      <c r="GH28" s="7"/>
      <c r="GI28" s="6" t="s">
        <v>45</v>
      </c>
      <c r="GJ28" s="7">
        <v>70</v>
      </c>
      <c r="GK28" s="7">
        <v>5400</v>
      </c>
      <c r="GL28" s="10" t="s">
        <v>46</v>
      </c>
      <c r="GM28" s="7"/>
      <c r="GN28" s="7"/>
      <c r="GO28" s="10" t="s">
        <v>46</v>
      </c>
      <c r="GP28" s="7"/>
      <c r="GQ28" s="7"/>
      <c r="GR28" s="10" t="s">
        <v>46</v>
      </c>
      <c r="GS28" s="7"/>
      <c r="GT28" s="7"/>
      <c r="GU28" s="6" t="s">
        <v>47</v>
      </c>
      <c r="GV28" s="7">
        <v>340</v>
      </c>
      <c r="GW28" s="7">
        <v>7350</v>
      </c>
      <c r="GX28" s="10" t="s">
        <v>47</v>
      </c>
      <c r="GY28" s="7"/>
      <c r="GZ28" s="7"/>
      <c r="HA28" s="10" t="s">
        <v>47</v>
      </c>
      <c r="HB28" s="7"/>
      <c r="HC28" s="7"/>
      <c r="HD28" s="10" t="s">
        <v>47</v>
      </c>
      <c r="HE28" s="7"/>
      <c r="HF28" s="7"/>
      <c r="HG28" s="10" t="s">
        <v>47</v>
      </c>
      <c r="HH28" s="7">
        <v>300</v>
      </c>
      <c r="HI28" s="7">
        <v>7000</v>
      </c>
      <c r="HJ28" s="10" t="s">
        <v>47</v>
      </c>
      <c r="HK28" s="7"/>
      <c r="HL28" s="7"/>
      <c r="HM28" s="10" t="s">
        <v>47</v>
      </c>
      <c r="HN28" s="7"/>
      <c r="HO28" s="7"/>
      <c r="HP28" s="10" t="s">
        <v>47</v>
      </c>
      <c r="HQ28" s="7"/>
      <c r="HR28" s="7"/>
      <c r="HS28" s="10" t="s">
        <v>47</v>
      </c>
      <c r="HT28" s="7">
        <v>295</v>
      </c>
      <c r="HU28" s="7">
        <v>7000</v>
      </c>
      <c r="HV28" s="10" t="s">
        <v>46</v>
      </c>
      <c r="HW28" s="7"/>
      <c r="HX28" s="7"/>
      <c r="HY28" s="10" t="s">
        <v>46</v>
      </c>
      <c r="HZ28" s="7"/>
      <c r="IA28" s="7"/>
      <c r="IB28" s="10" t="s">
        <v>45</v>
      </c>
      <c r="IC28" s="7"/>
      <c r="ID28" s="7"/>
      <c r="IE28" s="6" t="s">
        <v>45</v>
      </c>
      <c r="IF28" s="7">
        <v>108</v>
      </c>
      <c r="IG28" s="7">
        <v>5370</v>
      </c>
      <c r="IH28" s="10"/>
      <c r="II28" s="7"/>
      <c r="IJ28" s="7"/>
      <c r="IK28" s="7"/>
      <c r="IL28" s="7"/>
      <c r="IM28" s="7"/>
      <c r="IN28" s="7"/>
      <c r="IO28" s="10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E28" s="7"/>
      <c r="JF28" s="7"/>
      <c r="JH28" s="7"/>
      <c r="JI28" s="7"/>
      <c r="JJ28" s="7"/>
      <c r="JK28" s="7"/>
      <c r="JL28" s="7"/>
      <c r="JM28" s="7"/>
      <c r="JN28" s="10"/>
      <c r="JO28" s="7"/>
      <c r="JP28" s="7"/>
      <c r="JQ28" s="7"/>
      <c r="JR28" s="7"/>
      <c r="JS28" s="10"/>
      <c r="JT28" s="7"/>
      <c r="JU28" s="7"/>
      <c r="JV28" s="7"/>
      <c r="JW28" s="7"/>
      <c r="JX28" s="7"/>
    </row>
    <row r="29" spans="1:284" x14ac:dyDescent="0.3">
      <c r="A29" t="s">
        <v>212</v>
      </c>
      <c r="B29" s="10" t="s">
        <v>40</v>
      </c>
      <c r="C29" s="7"/>
      <c r="D29" s="7"/>
      <c r="E29" s="10" t="s">
        <v>40</v>
      </c>
      <c r="F29" s="7"/>
      <c r="G29" s="7"/>
      <c r="H29" s="10" t="s">
        <v>40</v>
      </c>
      <c r="I29" s="9"/>
      <c r="J29" s="9"/>
      <c r="K29" s="10" t="s">
        <v>40</v>
      </c>
      <c r="L29" s="7"/>
      <c r="M29" s="7"/>
      <c r="N29" s="10" t="s">
        <v>40</v>
      </c>
      <c r="O29" s="7"/>
      <c r="P29" s="7"/>
      <c r="Q29" s="10" t="s">
        <v>40</v>
      </c>
      <c r="R29" s="7"/>
      <c r="S29" s="7"/>
      <c r="T29" s="10" t="s">
        <v>40</v>
      </c>
      <c r="U29" s="9"/>
      <c r="V29" s="9"/>
      <c r="W29" s="10" t="s">
        <v>40</v>
      </c>
      <c r="X29" s="7"/>
      <c r="Y29" s="7"/>
      <c r="Z29" s="10" t="s">
        <v>40</v>
      </c>
      <c r="AA29" s="7"/>
      <c r="AB29" s="7"/>
      <c r="AC29" s="10" t="s">
        <v>40</v>
      </c>
      <c r="AD29" s="7"/>
      <c r="AE29" s="7"/>
      <c r="AF29" s="10" t="s">
        <v>40</v>
      </c>
      <c r="AG29" s="9"/>
      <c r="AH29" s="9"/>
      <c r="AI29" s="10" t="s">
        <v>40</v>
      </c>
      <c r="AJ29" s="7"/>
      <c r="AK29" s="7"/>
      <c r="AL29" s="10" t="s">
        <v>40</v>
      </c>
      <c r="AM29" s="7"/>
      <c r="AN29" s="7"/>
      <c r="AO29" s="10" t="s">
        <v>40</v>
      </c>
      <c r="AP29" s="7"/>
      <c r="AQ29" s="7"/>
      <c r="AR29" s="10" t="s">
        <v>40</v>
      </c>
      <c r="AS29" s="9"/>
      <c r="AT29" s="9"/>
      <c r="AU29" s="10" t="s">
        <v>40</v>
      </c>
      <c r="AV29" s="7"/>
      <c r="AW29" s="7"/>
      <c r="AX29" s="10" t="s">
        <v>40</v>
      </c>
      <c r="AY29" s="7"/>
      <c r="AZ29" s="7"/>
      <c r="BA29" s="10" t="s">
        <v>40</v>
      </c>
      <c r="BB29" s="7"/>
      <c r="BC29" s="7"/>
      <c r="BD29" s="10" t="s">
        <v>40</v>
      </c>
      <c r="BE29" s="9"/>
      <c r="BF29" s="9"/>
      <c r="BG29" s="10" t="s">
        <v>40</v>
      </c>
      <c r="BH29" s="7"/>
      <c r="BI29" s="7"/>
      <c r="BJ29" s="10" t="s">
        <v>40</v>
      </c>
      <c r="BK29" s="7"/>
      <c r="BL29" s="7"/>
      <c r="BM29" s="10" t="s">
        <v>40</v>
      </c>
      <c r="BN29" s="7"/>
      <c r="BO29" s="7"/>
      <c r="BP29" s="10" t="s">
        <v>40</v>
      </c>
      <c r="BQ29" s="9"/>
      <c r="BR29" s="9"/>
      <c r="BS29" s="10" t="s">
        <v>40</v>
      </c>
      <c r="BT29" s="7"/>
      <c r="BU29" s="7"/>
      <c r="BV29" s="10" t="s">
        <v>40</v>
      </c>
      <c r="BW29" s="7"/>
      <c r="BX29" s="7"/>
      <c r="BY29" s="10" t="s">
        <v>40</v>
      </c>
      <c r="BZ29" s="7"/>
      <c r="CA29" s="7"/>
      <c r="CB29" s="10" t="s">
        <v>40</v>
      </c>
      <c r="CC29" s="9"/>
      <c r="CD29" s="9"/>
      <c r="CE29" s="10" t="s">
        <v>40</v>
      </c>
      <c r="CF29" s="7"/>
      <c r="CG29" s="7"/>
      <c r="CH29" s="10" t="s">
        <v>40</v>
      </c>
      <c r="CI29" s="7"/>
      <c r="CJ29" s="7"/>
      <c r="CK29" s="10" t="s">
        <v>40</v>
      </c>
      <c r="CL29" s="7"/>
      <c r="CM29" s="7"/>
      <c r="CN29" s="10" t="s">
        <v>40</v>
      </c>
      <c r="CO29" s="9"/>
      <c r="CP29" s="9"/>
      <c r="CQ29" s="10" t="s">
        <v>40</v>
      </c>
      <c r="CR29" s="7"/>
      <c r="CS29" s="7"/>
      <c r="CT29" s="10" t="s">
        <v>40</v>
      </c>
      <c r="CU29" s="7"/>
      <c r="CV29" s="7"/>
      <c r="CW29" s="10" t="s">
        <v>40</v>
      </c>
      <c r="CX29" s="7"/>
      <c r="CY29" s="7"/>
      <c r="CZ29" s="10" t="s">
        <v>40</v>
      </c>
      <c r="DA29" s="9"/>
      <c r="DB29" s="9"/>
      <c r="DC29" s="10" t="s">
        <v>40</v>
      </c>
      <c r="DD29" s="7"/>
      <c r="DE29" s="7"/>
      <c r="DF29" s="10" t="s">
        <v>40</v>
      </c>
      <c r="DG29" s="7"/>
      <c r="DH29" s="7"/>
      <c r="DI29" s="10" t="s">
        <v>40</v>
      </c>
      <c r="DJ29" s="7"/>
      <c r="DK29" s="7"/>
      <c r="DL29" s="10" t="s">
        <v>40</v>
      </c>
      <c r="DM29" s="9"/>
      <c r="DN29" s="9"/>
      <c r="DO29" s="10" t="s">
        <v>40</v>
      </c>
      <c r="DP29" s="7"/>
      <c r="DQ29" s="7"/>
      <c r="DR29" s="10" t="s">
        <v>40</v>
      </c>
      <c r="DS29" s="7"/>
      <c r="DT29" s="7"/>
      <c r="DU29" s="10" t="s">
        <v>40</v>
      </c>
      <c r="DV29" s="7"/>
      <c r="DW29" s="7"/>
      <c r="DX29" s="10" t="s">
        <v>40</v>
      </c>
      <c r="DY29" s="9"/>
      <c r="DZ29" s="9"/>
      <c r="EA29" s="10" t="s">
        <v>40</v>
      </c>
      <c r="EB29" s="7"/>
      <c r="EC29" s="7"/>
      <c r="ED29" s="10" t="s">
        <v>40</v>
      </c>
      <c r="EE29" s="7"/>
      <c r="EF29" s="7"/>
      <c r="EG29" s="10" t="s">
        <v>40</v>
      </c>
      <c r="EH29" s="7"/>
      <c r="EI29" s="7"/>
      <c r="EJ29" s="10" t="s">
        <v>40</v>
      </c>
      <c r="EK29" s="9"/>
      <c r="EL29" s="9"/>
      <c r="EM29" s="10" t="s">
        <v>40</v>
      </c>
      <c r="EN29" s="7"/>
      <c r="EO29" s="7"/>
      <c r="EP29" s="10" t="s">
        <v>40</v>
      </c>
      <c r="EQ29" s="7"/>
      <c r="ER29" s="7"/>
      <c r="ES29" s="10" t="s">
        <v>40</v>
      </c>
      <c r="ET29" s="7"/>
      <c r="EU29" s="7"/>
      <c r="EV29" s="10" t="s">
        <v>40</v>
      </c>
      <c r="EW29" s="9"/>
      <c r="EX29" s="9"/>
      <c r="EY29" s="10" t="s">
        <v>40</v>
      </c>
      <c r="EZ29" s="7"/>
      <c r="FA29" s="7"/>
      <c r="FB29" s="10" t="s">
        <v>40</v>
      </c>
      <c r="FC29" s="7"/>
      <c r="FD29" s="7"/>
      <c r="FE29" s="10" t="s">
        <v>40</v>
      </c>
      <c r="FF29" s="7"/>
      <c r="FG29" s="7"/>
      <c r="FH29" s="10" t="s">
        <v>40</v>
      </c>
      <c r="FI29" s="9"/>
      <c r="FJ29" s="9"/>
      <c r="FK29" s="10" t="s">
        <v>40</v>
      </c>
      <c r="FL29" s="7"/>
      <c r="FM29" s="7"/>
      <c r="FN29" s="10" t="s">
        <v>40</v>
      </c>
      <c r="FO29" s="7"/>
      <c r="FP29" s="7"/>
      <c r="FQ29" s="10" t="s">
        <v>40</v>
      </c>
      <c r="FR29" s="7"/>
      <c r="FS29" s="7"/>
      <c r="FT29" s="10" t="s">
        <v>40</v>
      </c>
      <c r="FU29" s="9"/>
      <c r="FV29" s="9"/>
      <c r="FW29" s="6" t="s">
        <v>40</v>
      </c>
      <c r="FX29" s="7">
        <v>800</v>
      </c>
      <c r="FY29" s="7">
        <v>2000</v>
      </c>
      <c r="FZ29" s="10" t="s">
        <v>47</v>
      </c>
      <c r="GA29" s="7"/>
      <c r="GB29" s="7"/>
      <c r="GC29" s="10" t="s">
        <v>47</v>
      </c>
      <c r="GD29" s="7"/>
      <c r="GE29" s="7"/>
      <c r="GF29" s="10" t="s">
        <v>47</v>
      </c>
      <c r="GG29" s="7"/>
      <c r="GH29" s="7"/>
      <c r="GI29" s="10" t="s">
        <v>47</v>
      </c>
      <c r="GJ29" s="7">
        <v>1172</v>
      </c>
      <c r="GK29" s="7">
        <v>1821</v>
      </c>
      <c r="GL29" s="10" t="s">
        <v>47</v>
      </c>
      <c r="GM29" s="7"/>
      <c r="GN29" s="7"/>
      <c r="GO29" s="10" t="s">
        <v>47</v>
      </c>
      <c r="GP29" s="7"/>
      <c r="GQ29" s="7"/>
      <c r="GR29" s="10" t="s">
        <v>47</v>
      </c>
      <c r="GS29" s="7"/>
      <c r="GT29" s="7"/>
      <c r="GU29" s="6" t="s">
        <v>47</v>
      </c>
      <c r="GV29" s="7">
        <v>1240</v>
      </c>
      <c r="GW29" s="7">
        <v>1900</v>
      </c>
      <c r="GX29" s="10" t="s">
        <v>45</v>
      </c>
      <c r="GY29" s="7"/>
      <c r="GZ29" s="7"/>
      <c r="HA29" s="10" t="s">
        <v>45</v>
      </c>
      <c r="HB29" s="7"/>
      <c r="HC29" s="7"/>
      <c r="HD29" s="10" t="s">
        <v>45</v>
      </c>
      <c r="HE29" s="7"/>
      <c r="HF29" s="7"/>
      <c r="HG29" s="10" t="s">
        <v>45</v>
      </c>
      <c r="HH29" s="7">
        <v>5</v>
      </c>
      <c r="HI29" s="7">
        <v>200</v>
      </c>
      <c r="HJ29" s="10" t="s">
        <v>45</v>
      </c>
      <c r="HK29" s="7"/>
      <c r="HL29" s="7"/>
      <c r="HM29" s="10" t="s">
        <v>45</v>
      </c>
      <c r="HN29" s="7"/>
      <c r="HO29" s="7"/>
      <c r="HP29" s="10" t="s">
        <v>45</v>
      </c>
      <c r="HQ29" s="7"/>
      <c r="HR29" s="7"/>
      <c r="HS29" s="6" t="s">
        <v>45</v>
      </c>
      <c r="HT29" s="7">
        <v>10</v>
      </c>
      <c r="HU29" s="7">
        <v>400</v>
      </c>
      <c r="HV29" s="10" t="s">
        <v>47</v>
      </c>
      <c r="HW29" s="7"/>
      <c r="HX29" s="7"/>
      <c r="HY29" s="10" t="s">
        <v>47</v>
      </c>
      <c r="HZ29" s="7"/>
      <c r="IA29" s="7"/>
      <c r="IB29" s="10" t="s">
        <v>45</v>
      </c>
      <c r="IC29" s="7"/>
      <c r="ID29" s="7"/>
      <c r="IE29" s="6" t="s">
        <v>45</v>
      </c>
      <c r="IF29" s="7">
        <v>810</v>
      </c>
      <c r="IG29" s="7">
        <v>2200</v>
      </c>
      <c r="IH29" s="10"/>
      <c r="II29" s="7"/>
      <c r="IJ29" s="7"/>
      <c r="IK29" s="7"/>
      <c r="IL29" s="7"/>
      <c r="IM29" s="7"/>
      <c r="IN29" s="7"/>
      <c r="IO29" s="10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E29" s="7"/>
      <c r="JF29" s="7"/>
      <c r="JH29" s="7"/>
      <c r="JI29" s="7"/>
      <c r="JJ29" s="7"/>
      <c r="JK29" s="7"/>
      <c r="JL29" s="7"/>
      <c r="JM29" s="7"/>
      <c r="JN29" s="10"/>
      <c r="JO29" s="7"/>
      <c r="JP29" s="7"/>
      <c r="JQ29" s="7"/>
      <c r="JR29" s="7"/>
      <c r="JS29" s="10"/>
      <c r="JT29" s="7"/>
      <c r="JU29" s="7"/>
      <c r="JV29" s="7"/>
      <c r="JW29" s="7"/>
      <c r="JX29" s="7"/>
    </row>
    <row r="30" spans="1:284" x14ac:dyDescent="0.3">
      <c r="A30" t="s">
        <v>213</v>
      </c>
      <c r="B30" s="10" t="s">
        <v>47</v>
      </c>
      <c r="C30" s="7"/>
      <c r="D30" s="7"/>
      <c r="E30" s="10" t="s">
        <v>47</v>
      </c>
      <c r="F30" s="7"/>
      <c r="G30" s="7"/>
      <c r="H30" s="10" t="s">
        <v>47</v>
      </c>
      <c r="I30" s="9"/>
      <c r="J30" s="9"/>
      <c r="K30" s="10" t="s">
        <v>47</v>
      </c>
      <c r="L30" s="7"/>
      <c r="M30" s="7"/>
      <c r="N30" s="10" t="s">
        <v>47</v>
      </c>
      <c r="O30" s="7"/>
      <c r="P30" s="7"/>
      <c r="Q30" s="10" t="s">
        <v>47</v>
      </c>
      <c r="R30" s="7"/>
      <c r="S30" s="7"/>
      <c r="T30" s="10" t="s">
        <v>47</v>
      </c>
      <c r="U30" s="9"/>
      <c r="V30" s="9"/>
      <c r="W30" s="10" t="s">
        <v>47</v>
      </c>
      <c r="X30" s="7"/>
      <c r="Y30" s="7"/>
      <c r="Z30" s="10" t="s">
        <v>47</v>
      </c>
      <c r="AA30" s="7"/>
      <c r="AB30" s="7"/>
      <c r="AC30" s="10" t="s">
        <v>47</v>
      </c>
      <c r="AD30" s="7"/>
      <c r="AE30" s="7"/>
      <c r="AF30" s="10" t="s">
        <v>47</v>
      </c>
      <c r="AG30" s="9"/>
      <c r="AH30" s="9"/>
      <c r="AI30" s="10" t="s">
        <v>47</v>
      </c>
      <c r="AJ30" s="7"/>
      <c r="AK30" s="7"/>
      <c r="AL30" s="10" t="s">
        <v>47</v>
      </c>
      <c r="AM30" s="7"/>
      <c r="AN30" s="7"/>
      <c r="AO30" s="10" t="s">
        <v>47</v>
      </c>
      <c r="AP30" s="7"/>
      <c r="AQ30" s="7"/>
      <c r="AR30" s="10" t="s">
        <v>47</v>
      </c>
      <c r="AS30" s="9"/>
      <c r="AT30" s="9"/>
      <c r="AU30" s="10" t="s">
        <v>47</v>
      </c>
      <c r="AV30" s="7"/>
      <c r="AW30" s="7"/>
      <c r="AX30" s="10" t="s">
        <v>47</v>
      </c>
      <c r="AY30" s="7"/>
      <c r="AZ30" s="7"/>
      <c r="BA30" s="10" t="s">
        <v>47</v>
      </c>
      <c r="BB30" s="7"/>
      <c r="BC30" s="7"/>
      <c r="BD30" s="10" t="s">
        <v>47</v>
      </c>
      <c r="BE30" s="9"/>
      <c r="BF30" s="9"/>
      <c r="BG30" s="10" t="s">
        <v>47</v>
      </c>
      <c r="BH30" s="7"/>
      <c r="BI30" s="7"/>
      <c r="BJ30" s="10" t="s">
        <v>47</v>
      </c>
      <c r="BK30" s="7"/>
      <c r="BL30" s="7"/>
      <c r="BM30" s="10" t="s">
        <v>47</v>
      </c>
      <c r="BN30" s="7"/>
      <c r="BO30" s="7"/>
      <c r="BP30" s="10" t="s">
        <v>47</v>
      </c>
      <c r="BQ30" s="9"/>
      <c r="BR30" s="9"/>
      <c r="BS30" s="10" t="s">
        <v>47</v>
      </c>
      <c r="BT30" s="7"/>
      <c r="BU30" s="7"/>
      <c r="BV30" s="10" t="s">
        <v>47</v>
      </c>
      <c r="BW30" s="7"/>
      <c r="BX30" s="7"/>
      <c r="BY30" s="10" t="s">
        <v>47</v>
      </c>
      <c r="BZ30" s="7"/>
      <c r="CA30" s="7"/>
      <c r="CB30" s="10" t="s">
        <v>47</v>
      </c>
      <c r="CC30" s="9"/>
      <c r="CD30" s="9"/>
      <c r="CE30" s="10" t="s">
        <v>47</v>
      </c>
      <c r="CF30" s="7"/>
      <c r="CG30" s="7"/>
      <c r="CH30" s="10" t="s">
        <v>47</v>
      </c>
      <c r="CI30" s="7"/>
      <c r="CJ30" s="7"/>
      <c r="CK30" s="10" t="s">
        <v>47</v>
      </c>
      <c r="CL30" s="7"/>
      <c r="CM30" s="7"/>
      <c r="CN30" s="10" t="s">
        <v>47</v>
      </c>
      <c r="CO30" s="9"/>
      <c r="CP30" s="9"/>
      <c r="CQ30" s="10" t="s">
        <v>47</v>
      </c>
      <c r="CR30" s="7"/>
      <c r="CS30" s="7"/>
      <c r="CT30" s="10" t="s">
        <v>47</v>
      </c>
      <c r="CU30" s="7"/>
      <c r="CV30" s="7"/>
      <c r="CW30" s="10" t="s">
        <v>47</v>
      </c>
      <c r="CX30" s="7"/>
      <c r="CY30" s="7"/>
      <c r="CZ30" s="10" t="s">
        <v>47</v>
      </c>
      <c r="DA30" s="9"/>
      <c r="DB30" s="9"/>
      <c r="DC30" s="10" t="s">
        <v>47</v>
      </c>
      <c r="DD30" s="7"/>
      <c r="DE30" s="7"/>
      <c r="DF30" s="10" t="s">
        <v>47</v>
      </c>
      <c r="DG30" s="7"/>
      <c r="DH30" s="7"/>
      <c r="DI30" s="10" t="s">
        <v>47</v>
      </c>
      <c r="DJ30" s="7"/>
      <c r="DK30" s="7"/>
      <c r="DL30" s="10" t="s">
        <v>47</v>
      </c>
      <c r="DM30" s="9"/>
      <c r="DN30" s="9"/>
      <c r="DO30" s="10" t="s">
        <v>47</v>
      </c>
      <c r="DP30" s="7"/>
      <c r="DQ30" s="7"/>
      <c r="DR30" s="10" t="s">
        <v>47</v>
      </c>
      <c r="DS30" s="7"/>
      <c r="DT30" s="7"/>
      <c r="DU30" s="10" t="s">
        <v>47</v>
      </c>
      <c r="DV30" s="7"/>
      <c r="DW30" s="7"/>
      <c r="DX30" s="10" t="s">
        <v>47</v>
      </c>
      <c r="DY30" s="9"/>
      <c r="DZ30" s="9"/>
      <c r="EA30" s="10" t="s">
        <v>47</v>
      </c>
      <c r="EB30" s="7"/>
      <c r="EC30" s="7"/>
      <c r="ED30" s="10" t="s">
        <v>47</v>
      </c>
      <c r="EE30" s="7"/>
      <c r="EF30" s="7"/>
      <c r="EG30" s="10" t="s">
        <v>47</v>
      </c>
      <c r="EH30" s="7"/>
      <c r="EI30" s="7"/>
      <c r="EJ30" s="10" t="s">
        <v>47</v>
      </c>
      <c r="EK30" s="9"/>
      <c r="EL30" s="9"/>
      <c r="EM30" s="10" t="s">
        <v>47</v>
      </c>
      <c r="EN30" s="7"/>
      <c r="EO30" s="7"/>
      <c r="EP30" s="10" t="s">
        <v>47</v>
      </c>
      <c r="EQ30" s="7"/>
      <c r="ER30" s="7"/>
      <c r="ES30" s="10" t="s">
        <v>47</v>
      </c>
      <c r="ET30" s="7"/>
      <c r="EU30" s="7"/>
      <c r="EV30" s="10" t="s">
        <v>47</v>
      </c>
      <c r="EW30" s="9"/>
      <c r="EX30" s="9"/>
      <c r="EY30" s="10" t="s">
        <v>47</v>
      </c>
      <c r="EZ30" s="7"/>
      <c r="FA30" s="7"/>
      <c r="FB30" s="10" t="s">
        <v>47</v>
      </c>
      <c r="FC30" s="7"/>
      <c r="FD30" s="7"/>
      <c r="FE30" s="10" t="s">
        <v>47</v>
      </c>
      <c r="FF30" s="7"/>
      <c r="FG30" s="7"/>
      <c r="FH30" s="10" t="s">
        <v>47</v>
      </c>
      <c r="FI30" s="9"/>
      <c r="FJ30" s="9"/>
      <c r="FK30" s="10" t="s">
        <v>47</v>
      </c>
      <c r="FL30" s="7"/>
      <c r="FM30" s="7"/>
      <c r="FN30" s="10" t="s">
        <v>47</v>
      </c>
      <c r="FO30" s="7"/>
      <c r="FP30" s="7"/>
      <c r="FQ30" s="10" t="s">
        <v>47</v>
      </c>
      <c r="FR30" s="7"/>
      <c r="FS30" s="7"/>
      <c r="FT30" s="10" t="s">
        <v>47</v>
      </c>
      <c r="FU30" s="9"/>
      <c r="FV30" s="9"/>
      <c r="FW30" s="10" t="s">
        <v>47</v>
      </c>
      <c r="FX30" s="7">
        <v>150</v>
      </c>
      <c r="FY30" s="7">
        <v>500</v>
      </c>
      <c r="FZ30" s="10" t="s">
        <v>47</v>
      </c>
      <c r="GA30" s="7"/>
      <c r="GB30" s="7"/>
      <c r="GC30" s="10" t="s">
        <v>47</v>
      </c>
      <c r="GD30" s="7"/>
      <c r="GE30" s="7"/>
      <c r="GF30" s="10" t="s">
        <v>47</v>
      </c>
      <c r="GG30" s="7"/>
      <c r="GH30" s="7"/>
      <c r="GI30" s="6" t="s">
        <v>47</v>
      </c>
      <c r="GJ30" s="7">
        <v>110</v>
      </c>
      <c r="GK30" s="7">
        <v>490</v>
      </c>
      <c r="GL30" s="10" t="s">
        <v>45</v>
      </c>
      <c r="GM30" s="7"/>
      <c r="GN30" s="7"/>
      <c r="GO30" s="10" t="s">
        <v>45</v>
      </c>
      <c r="GP30" s="7"/>
      <c r="GQ30" s="7"/>
      <c r="GR30" s="10" t="s">
        <v>45</v>
      </c>
      <c r="GS30" s="7"/>
      <c r="GT30" s="7"/>
      <c r="GU30" s="6" t="s">
        <v>45</v>
      </c>
      <c r="GV30" s="7">
        <v>52</v>
      </c>
      <c r="GW30" s="7">
        <v>1000</v>
      </c>
      <c r="GX30" s="10" t="s">
        <v>47</v>
      </c>
      <c r="GY30" s="7"/>
      <c r="GZ30" s="7"/>
      <c r="HA30" s="10" t="s">
        <v>47</v>
      </c>
      <c r="HB30" s="7"/>
      <c r="HC30" s="7"/>
      <c r="HD30" s="10" t="s">
        <v>47</v>
      </c>
      <c r="HE30" s="7"/>
      <c r="HF30" s="7"/>
      <c r="HG30" s="10" t="s">
        <v>47</v>
      </c>
      <c r="HH30" s="7">
        <v>1300</v>
      </c>
      <c r="HI30" s="7">
        <v>2000</v>
      </c>
      <c r="HJ30" s="10" t="s">
        <v>47</v>
      </c>
      <c r="HK30" s="7"/>
      <c r="HL30" s="7"/>
      <c r="HM30" s="10" t="s">
        <v>47</v>
      </c>
      <c r="HN30" s="7"/>
      <c r="HO30" s="7"/>
      <c r="HP30" s="10" t="s">
        <v>47</v>
      </c>
      <c r="HQ30" s="7"/>
      <c r="HR30" s="7"/>
      <c r="HS30" s="6" t="s">
        <v>47</v>
      </c>
      <c r="HT30" s="7">
        <v>1500</v>
      </c>
      <c r="HU30" s="7">
        <v>2200</v>
      </c>
      <c r="HV30" s="10" t="s">
        <v>45</v>
      </c>
      <c r="HW30" s="7"/>
      <c r="HX30" s="7"/>
      <c r="HY30" s="10" t="s">
        <v>45</v>
      </c>
      <c r="HZ30" s="7"/>
      <c r="IA30" s="7"/>
      <c r="IB30" s="10" t="s">
        <v>47</v>
      </c>
      <c r="IC30" s="7"/>
      <c r="ID30" s="7"/>
      <c r="IE30" s="6" t="s">
        <v>47</v>
      </c>
      <c r="IF30" s="7">
        <v>975</v>
      </c>
      <c r="IG30" s="7">
        <v>2145</v>
      </c>
      <c r="IH30" s="10"/>
      <c r="II30" s="7"/>
      <c r="IJ30" s="7"/>
      <c r="IK30" s="7"/>
      <c r="IL30" s="7"/>
      <c r="IM30" s="7"/>
      <c r="IN30" s="7"/>
      <c r="IO30" s="10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E30" s="7"/>
      <c r="JF30" s="7"/>
      <c r="JH30" s="7"/>
      <c r="JI30" s="7"/>
      <c r="JJ30" s="7"/>
      <c r="JK30" s="7"/>
      <c r="JL30" s="7"/>
      <c r="JM30" s="7"/>
      <c r="JN30" s="10"/>
      <c r="JO30" s="7"/>
      <c r="JP30" s="7"/>
      <c r="JQ30" s="7"/>
      <c r="JR30" s="7"/>
      <c r="JS30" s="10"/>
      <c r="JT30" s="7"/>
      <c r="JU30" s="7"/>
      <c r="JV30" s="7"/>
      <c r="JW30" s="7"/>
      <c r="JX30" s="7"/>
    </row>
    <row r="31" spans="1:284" x14ac:dyDescent="0.3">
      <c r="A31" t="s">
        <v>214</v>
      </c>
      <c r="B31" s="10" t="s">
        <v>46</v>
      </c>
      <c r="C31" s="7"/>
      <c r="D31" s="7"/>
      <c r="E31" s="10" t="s">
        <v>46</v>
      </c>
      <c r="F31" s="7"/>
      <c r="G31" s="7"/>
      <c r="H31" s="10" t="s">
        <v>46</v>
      </c>
      <c r="I31" s="9"/>
      <c r="J31" s="9"/>
      <c r="K31" s="10" t="s">
        <v>46</v>
      </c>
      <c r="L31" s="7"/>
      <c r="M31" s="7"/>
      <c r="N31" s="10" t="s">
        <v>46</v>
      </c>
      <c r="O31" s="7"/>
      <c r="P31" s="7"/>
      <c r="Q31" s="10" t="s">
        <v>46</v>
      </c>
      <c r="R31" s="7"/>
      <c r="S31" s="7"/>
      <c r="T31" s="10" t="s">
        <v>46</v>
      </c>
      <c r="U31" s="9"/>
      <c r="V31" s="9"/>
      <c r="W31" s="10" t="s">
        <v>46</v>
      </c>
      <c r="X31" s="7"/>
      <c r="Y31" s="7"/>
      <c r="Z31" s="10" t="s">
        <v>46</v>
      </c>
      <c r="AA31" s="7"/>
      <c r="AB31" s="7"/>
      <c r="AC31" s="10" t="s">
        <v>46</v>
      </c>
      <c r="AD31" s="7"/>
      <c r="AE31" s="7"/>
      <c r="AF31" s="10" t="s">
        <v>46</v>
      </c>
      <c r="AG31" s="9"/>
      <c r="AH31" s="9"/>
      <c r="AI31" s="10" t="s">
        <v>46</v>
      </c>
      <c r="AJ31" s="7"/>
      <c r="AK31" s="7"/>
      <c r="AL31" s="10" t="s">
        <v>46</v>
      </c>
      <c r="AM31" s="7"/>
      <c r="AN31" s="7"/>
      <c r="AO31" s="10" t="s">
        <v>46</v>
      </c>
      <c r="AP31" s="7"/>
      <c r="AQ31" s="7"/>
      <c r="AR31" s="10" t="s">
        <v>46</v>
      </c>
      <c r="AS31" s="9"/>
      <c r="AT31" s="9"/>
      <c r="AU31" s="10" t="s">
        <v>46</v>
      </c>
      <c r="AV31" s="7"/>
      <c r="AW31" s="7"/>
      <c r="AX31" s="10" t="s">
        <v>46</v>
      </c>
      <c r="AY31" s="7"/>
      <c r="AZ31" s="7"/>
      <c r="BA31" s="10" t="s">
        <v>46</v>
      </c>
      <c r="BB31" s="7"/>
      <c r="BC31" s="7"/>
      <c r="BD31" s="10" t="s">
        <v>46</v>
      </c>
      <c r="BE31" s="9"/>
      <c r="BF31" s="9"/>
      <c r="BG31" s="10" t="s">
        <v>46</v>
      </c>
      <c r="BH31" s="7"/>
      <c r="BI31" s="7"/>
      <c r="BJ31" s="10" t="s">
        <v>46</v>
      </c>
      <c r="BK31" s="7"/>
      <c r="BL31" s="7"/>
      <c r="BM31" s="10" t="s">
        <v>46</v>
      </c>
      <c r="BN31" s="7"/>
      <c r="BO31" s="7"/>
      <c r="BP31" s="10" t="s">
        <v>46</v>
      </c>
      <c r="BQ31" s="9"/>
      <c r="BR31" s="9"/>
      <c r="BS31" s="10" t="s">
        <v>46</v>
      </c>
      <c r="BT31" s="7"/>
      <c r="BU31" s="7"/>
      <c r="BV31" s="10" t="s">
        <v>46</v>
      </c>
      <c r="BW31" s="7"/>
      <c r="BX31" s="7"/>
      <c r="BY31" s="10" t="s">
        <v>46</v>
      </c>
      <c r="BZ31" s="7"/>
      <c r="CA31" s="7"/>
      <c r="CB31" s="10" t="s">
        <v>46</v>
      </c>
      <c r="CC31" s="9"/>
      <c r="CD31" s="9"/>
      <c r="CE31" s="10" t="s">
        <v>46</v>
      </c>
      <c r="CF31" s="7"/>
      <c r="CG31" s="7"/>
      <c r="CH31" s="10" t="s">
        <v>46</v>
      </c>
      <c r="CI31" s="7"/>
      <c r="CJ31" s="7"/>
      <c r="CK31" s="10" t="s">
        <v>46</v>
      </c>
      <c r="CL31" s="7"/>
      <c r="CM31" s="7"/>
      <c r="CN31" s="10" t="s">
        <v>46</v>
      </c>
      <c r="CO31" s="9"/>
      <c r="CP31" s="9"/>
      <c r="CQ31" s="10" t="s">
        <v>46</v>
      </c>
      <c r="CR31" s="7"/>
      <c r="CS31" s="7"/>
      <c r="CT31" s="10" t="s">
        <v>46</v>
      </c>
      <c r="CU31" s="7"/>
      <c r="CV31" s="7"/>
      <c r="CW31" s="10" t="s">
        <v>46</v>
      </c>
      <c r="CX31" s="7"/>
      <c r="CY31" s="7"/>
      <c r="CZ31" s="10" t="s">
        <v>46</v>
      </c>
      <c r="DA31" s="9"/>
      <c r="DB31" s="9"/>
      <c r="DC31" s="10" t="s">
        <v>46</v>
      </c>
      <c r="DD31" s="7"/>
      <c r="DE31" s="7"/>
      <c r="DF31" s="10" t="s">
        <v>46</v>
      </c>
      <c r="DG31" s="7"/>
      <c r="DH31" s="7"/>
      <c r="DI31" s="10" t="s">
        <v>46</v>
      </c>
      <c r="DJ31" s="7"/>
      <c r="DK31" s="7"/>
      <c r="DL31" s="10" t="s">
        <v>46</v>
      </c>
      <c r="DM31" s="9"/>
      <c r="DN31" s="9"/>
      <c r="DO31" s="10" t="s">
        <v>46</v>
      </c>
      <c r="DP31" s="7"/>
      <c r="DQ31" s="7"/>
      <c r="DR31" s="10" t="s">
        <v>46</v>
      </c>
      <c r="DS31" s="7"/>
      <c r="DT31" s="7"/>
      <c r="DU31" s="10" t="s">
        <v>46</v>
      </c>
      <c r="DV31" s="7"/>
      <c r="DW31" s="7"/>
      <c r="DX31" s="10" t="s">
        <v>46</v>
      </c>
      <c r="DY31" s="9"/>
      <c r="DZ31" s="9"/>
      <c r="EA31" s="10" t="s">
        <v>46</v>
      </c>
      <c r="EB31" s="7"/>
      <c r="EC31" s="7"/>
      <c r="ED31" s="10" t="s">
        <v>46</v>
      </c>
      <c r="EE31" s="7"/>
      <c r="EF31" s="7"/>
      <c r="EG31" s="10" t="s">
        <v>46</v>
      </c>
      <c r="EH31" s="7"/>
      <c r="EI31" s="7"/>
      <c r="EJ31" s="10" t="s">
        <v>46</v>
      </c>
      <c r="EK31" s="9"/>
      <c r="EL31" s="9"/>
      <c r="EM31" s="10" t="s">
        <v>46</v>
      </c>
      <c r="EN31" s="7"/>
      <c r="EO31" s="7"/>
      <c r="EP31" s="10" t="s">
        <v>46</v>
      </c>
      <c r="EQ31" s="7"/>
      <c r="ER31" s="7"/>
      <c r="ES31" s="10" t="s">
        <v>46</v>
      </c>
      <c r="ET31" s="7"/>
      <c r="EU31" s="7"/>
      <c r="EV31" s="10" t="s">
        <v>46</v>
      </c>
      <c r="EW31" s="9"/>
      <c r="EX31" s="9"/>
      <c r="EY31" s="10" t="s">
        <v>46</v>
      </c>
      <c r="EZ31" s="7"/>
      <c r="FA31" s="7"/>
      <c r="FB31" s="10" t="s">
        <v>46</v>
      </c>
      <c r="FC31" s="7"/>
      <c r="FD31" s="7"/>
      <c r="FE31" s="10" t="s">
        <v>46</v>
      </c>
      <c r="FF31" s="7"/>
      <c r="FG31" s="7"/>
      <c r="FH31" s="10" t="s">
        <v>46</v>
      </c>
      <c r="FI31" s="9"/>
      <c r="FJ31" s="9"/>
      <c r="FK31" s="10" t="s">
        <v>46</v>
      </c>
      <c r="FL31" s="7"/>
      <c r="FM31" s="7"/>
      <c r="FN31" s="10" t="s">
        <v>46</v>
      </c>
      <c r="FO31" s="7"/>
      <c r="FP31" s="7"/>
      <c r="FQ31" s="10" t="s">
        <v>46</v>
      </c>
      <c r="FR31" s="7"/>
      <c r="FS31" s="7"/>
      <c r="FT31" s="10" t="s">
        <v>46</v>
      </c>
      <c r="FU31" s="9"/>
      <c r="FV31" s="9"/>
      <c r="FW31" s="10" t="s">
        <v>46</v>
      </c>
      <c r="FX31" s="7">
        <v>450</v>
      </c>
      <c r="FY31" s="7">
        <v>2000</v>
      </c>
      <c r="FZ31" s="10" t="s">
        <v>46</v>
      </c>
      <c r="GA31" s="7"/>
      <c r="GB31" s="7"/>
      <c r="GC31" s="10" t="s">
        <v>46</v>
      </c>
      <c r="GD31" s="7"/>
      <c r="GE31" s="7"/>
      <c r="GF31" s="10" t="s">
        <v>46</v>
      </c>
      <c r="GG31" s="7"/>
      <c r="GH31" s="7"/>
      <c r="GI31" s="10" t="s">
        <v>46</v>
      </c>
      <c r="GJ31" s="7">
        <v>436</v>
      </c>
      <c r="GK31" s="7">
        <v>3644</v>
      </c>
      <c r="GL31" s="10" t="s">
        <v>46</v>
      </c>
      <c r="GM31" s="7"/>
      <c r="GN31" s="7"/>
      <c r="GO31" s="10" t="s">
        <v>46</v>
      </c>
      <c r="GP31" s="7"/>
      <c r="GQ31" s="7"/>
      <c r="GR31" s="10" t="s">
        <v>46</v>
      </c>
      <c r="GS31" s="7"/>
      <c r="GT31" s="7"/>
      <c r="GU31" s="6" t="s">
        <v>47</v>
      </c>
      <c r="GV31" s="7">
        <v>52</v>
      </c>
      <c r="GW31" s="7">
        <v>1000</v>
      </c>
      <c r="GX31" s="10" t="s">
        <v>47</v>
      </c>
      <c r="GY31" s="7"/>
      <c r="GZ31" s="7"/>
      <c r="HA31" s="10" t="s">
        <v>47</v>
      </c>
      <c r="HB31" s="7"/>
      <c r="HC31" s="7"/>
      <c r="HD31" s="10" t="s">
        <v>47</v>
      </c>
      <c r="HE31" s="7"/>
      <c r="HF31" s="7"/>
      <c r="HG31" s="10" t="s">
        <v>47</v>
      </c>
      <c r="HH31" s="7">
        <v>400</v>
      </c>
      <c r="HI31" s="7">
        <v>3000</v>
      </c>
      <c r="HJ31" s="10" t="s">
        <v>47</v>
      </c>
      <c r="HK31" s="7"/>
      <c r="HL31" s="7"/>
      <c r="HM31" s="10" t="s">
        <v>47</v>
      </c>
      <c r="HN31" s="7"/>
      <c r="HO31" s="7"/>
      <c r="HP31" s="10" t="s">
        <v>47</v>
      </c>
      <c r="HQ31" s="7"/>
      <c r="HR31" s="7"/>
      <c r="HS31" s="10" t="s">
        <v>47</v>
      </c>
      <c r="HT31" s="7">
        <v>500</v>
      </c>
      <c r="HU31" s="7">
        <v>3500</v>
      </c>
      <c r="HV31" s="10" t="s">
        <v>46</v>
      </c>
      <c r="HW31" s="7"/>
      <c r="HX31" s="7"/>
      <c r="HY31" s="10" t="s">
        <v>46</v>
      </c>
      <c r="HZ31" s="7"/>
      <c r="IA31" s="7"/>
      <c r="IB31" s="10" t="s">
        <v>45</v>
      </c>
      <c r="IC31" s="7"/>
      <c r="ID31" s="7"/>
      <c r="IE31" s="6" t="s">
        <v>45</v>
      </c>
      <c r="IF31" s="7">
        <v>90</v>
      </c>
      <c r="IG31" s="7">
        <v>3360</v>
      </c>
      <c r="IH31" s="10"/>
      <c r="II31" s="7"/>
      <c r="IJ31" s="7"/>
      <c r="IK31" s="7"/>
      <c r="IL31" s="7"/>
      <c r="IM31" s="7"/>
      <c r="IN31" s="7"/>
      <c r="IO31" s="10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E31" s="7"/>
      <c r="JF31" s="7"/>
      <c r="JH31" s="7"/>
      <c r="JI31" s="7"/>
      <c r="JJ31" s="7"/>
      <c r="JK31" s="7"/>
      <c r="JL31" s="7"/>
      <c r="JM31" s="7"/>
      <c r="JN31" s="10"/>
      <c r="JO31" s="7"/>
      <c r="JP31" s="7"/>
      <c r="JQ31" s="7"/>
      <c r="JR31" s="7"/>
      <c r="JS31" s="10"/>
      <c r="JT31" s="7"/>
      <c r="JU31" s="7"/>
      <c r="JV31" s="7"/>
      <c r="JW31" s="7"/>
      <c r="JX31" s="7"/>
    </row>
    <row r="32" spans="1:284" x14ac:dyDescent="0.3">
      <c r="A32" t="s">
        <v>215</v>
      </c>
      <c r="B32" s="10" t="s">
        <v>18</v>
      </c>
      <c r="C32" s="7"/>
      <c r="D32" s="7"/>
      <c r="E32" s="10" t="s">
        <v>18</v>
      </c>
      <c r="F32" s="7"/>
      <c r="G32" s="7"/>
      <c r="H32" s="10" t="s">
        <v>18</v>
      </c>
      <c r="I32" s="9"/>
      <c r="J32" s="9"/>
      <c r="K32" s="10" t="s">
        <v>18</v>
      </c>
      <c r="L32" s="7"/>
      <c r="M32" s="7"/>
      <c r="N32" s="10" t="s">
        <v>18</v>
      </c>
      <c r="O32" s="7"/>
      <c r="P32" s="7"/>
      <c r="Q32" s="10" t="s">
        <v>18</v>
      </c>
      <c r="R32" s="7"/>
      <c r="S32" s="7"/>
      <c r="T32" s="10" t="s">
        <v>18</v>
      </c>
      <c r="U32" s="9"/>
      <c r="V32" s="9"/>
      <c r="W32" s="10" t="s">
        <v>18</v>
      </c>
      <c r="X32" s="7"/>
      <c r="Y32" s="7"/>
      <c r="Z32" s="10" t="s">
        <v>18</v>
      </c>
      <c r="AA32" s="7"/>
      <c r="AB32" s="7"/>
      <c r="AC32" s="10" t="s">
        <v>18</v>
      </c>
      <c r="AD32" s="7"/>
      <c r="AE32" s="7"/>
      <c r="AF32" s="10" t="s">
        <v>18</v>
      </c>
      <c r="AG32" s="9"/>
      <c r="AH32" s="9"/>
      <c r="AI32" s="10" t="s">
        <v>18</v>
      </c>
      <c r="AJ32" s="7"/>
      <c r="AK32" s="7"/>
      <c r="AL32" s="10" t="s">
        <v>18</v>
      </c>
      <c r="AM32" s="7"/>
      <c r="AN32" s="7"/>
      <c r="AO32" s="10" t="s">
        <v>18</v>
      </c>
      <c r="AP32" s="7"/>
      <c r="AQ32" s="7"/>
      <c r="AR32" s="10" t="s">
        <v>18</v>
      </c>
      <c r="AS32" s="9"/>
      <c r="AT32" s="9"/>
      <c r="AU32" s="10" t="s">
        <v>18</v>
      </c>
      <c r="AV32" s="7"/>
      <c r="AW32" s="7"/>
      <c r="AX32" s="10" t="s">
        <v>18</v>
      </c>
      <c r="AY32" s="7"/>
      <c r="AZ32" s="7"/>
      <c r="BA32" s="10" t="s">
        <v>18</v>
      </c>
      <c r="BB32" s="7"/>
      <c r="BC32" s="7"/>
      <c r="BD32" s="10" t="s">
        <v>18</v>
      </c>
      <c r="BE32" s="9"/>
      <c r="BF32" s="9"/>
      <c r="BG32" s="10" t="s">
        <v>18</v>
      </c>
      <c r="BH32" s="7"/>
      <c r="BI32" s="7"/>
      <c r="BJ32" s="10" t="s">
        <v>18</v>
      </c>
      <c r="BK32" s="7"/>
      <c r="BL32" s="7"/>
      <c r="BM32" s="10" t="s">
        <v>18</v>
      </c>
      <c r="BN32" s="7"/>
      <c r="BO32" s="7"/>
      <c r="BP32" s="10" t="s">
        <v>18</v>
      </c>
      <c r="BQ32" s="9"/>
      <c r="BR32" s="9"/>
      <c r="BS32" s="10" t="s">
        <v>18</v>
      </c>
      <c r="BT32" s="7"/>
      <c r="BU32" s="7"/>
      <c r="BV32" s="10" t="s">
        <v>18</v>
      </c>
      <c r="BW32" s="7"/>
      <c r="BX32" s="7"/>
      <c r="BY32" s="10" t="s">
        <v>18</v>
      </c>
      <c r="BZ32" s="7"/>
      <c r="CA32" s="7"/>
      <c r="CB32" s="10" t="s">
        <v>18</v>
      </c>
      <c r="CC32" s="9"/>
      <c r="CD32" s="9"/>
      <c r="CE32" s="10" t="s">
        <v>18</v>
      </c>
      <c r="CF32" s="7"/>
      <c r="CG32" s="7"/>
      <c r="CH32" s="10" t="s">
        <v>18</v>
      </c>
      <c r="CI32" s="7"/>
      <c r="CJ32" s="7"/>
      <c r="CK32" s="10" t="s">
        <v>18</v>
      </c>
      <c r="CL32" s="7"/>
      <c r="CM32" s="7"/>
      <c r="CN32" s="10" t="s">
        <v>18</v>
      </c>
      <c r="CO32" s="9"/>
      <c r="CP32" s="9"/>
      <c r="CQ32" s="10" t="s">
        <v>18</v>
      </c>
      <c r="CR32" s="7"/>
      <c r="CS32" s="7"/>
      <c r="CT32" s="10" t="s">
        <v>18</v>
      </c>
      <c r="CU32" s="7"/>
      <c r="CV32" s="7"/>
      <c r="CW32" s="10" t="s">
        <v>18</v>
      </c>
      <c r="CX32" s="7"/>
      <c r="CY32" s="7"/>
      <c r="CZ32" s="10" t="s">
        <v>18</v>
      </c>
      <c r="DA32" s="9"/>
      <c r="DB32" s="9"/>
      <c r="DC32" s="10" t="s">
        <v>18</v>
      </c>
      <c r="DD32" s="7"/>
      <c r="DE32" s="7"/>
      <c r="DF32" s="10" t="s">
        <v>18</v>
      </c>
      <c r="DG32" s="7"/>
      <c r="DH32" s="7"/>
      <c r="DI32" s="10" t="s">
        <v>18</v>
      </c>
      <c r="DJ32" s="7"/>
      <c r="DK32" s="7"/>
      <c r="DL32" s="10" t="s">
        <v>18</v>
      </c>
      <c r="DM32" s="9"/>
      <c r="DN32" s="9"/>
      <c r="DO32" s="10" t="s">
        <v>18</v>
      </c>
      <c r="DP32" s="7"/>
      <c r="DQ32" s="7"/>
      <c r="DR32" s="10" t="s">
        <v>18</v>
      </c>
      <c r="DS32" s="7"/>
      <c r="DT32" s="7"/>
      <c r="DU32" s="10" t="s">
        <v>18</v>
      </c>
      <c r="DV32" s="7"/>
      <c r="DW32" s="7"/>
      <c r="DX32" s="10" t="s">
        <v>18</v>
      </c>
      <c r="DY32" s="9"/>
      <c r="DZ32" s="9"/>
      <c r="EA32" s="10" t="s">
        <v>18</v>
      </c>
      <c r="EB32" s="7"/>
      <c r="EC32" s="7"/>
      <c r="ED32" s="10" t="s">
        <v>18</v>
      </c>
      <c r="EE32" s="7"/>
      <c r="EF32" s="7"/>
      <c r="EG32" s="10" t="s">
        <v>18</v>
      </c>
      <c r="EH32" s="7"/>
      <c r="EI32" s="7"/>
      <c r="EJ32" s="10" t="s">
        <v>18</v>
      </c>
      <c r="EK32" s="9"/>
      <c r="EL32" s="9"/>
      <c r="EM32" s="10" t="s">
        <v>18</v>
      </c>
      <c r="EN32" s="7"/>
      <c r="EO32" s="7"/>
      <c r="EP32" s="10" t="s">
        <v>18</v>
      </c>
      <c r="EQ32" s="7"/>
      <c r="ER32" s="7"/>
      <c r="ES32" s="10" t="s">
        <v>18</v>
      </c>
      <c r="ET32" s="7"/>
      <c r="EU32" s="7"/>
      <c r="EV32" s="10" t="s">
        <v>18</v>
      </c>
      <c r="EW32" s="9"/>
      <c r="EX32" s="9"/>
      <c r="EY32" s="10" t="s">
        <v>18</v>
      </c>
      <c r="EZ32" s="7"/>
      <c r="FA32" s="7"/>
      <c r="FB32" s="10" t="s">
        <v>18</v>
      </c>
      <c r="FC32" s="7"/>
      <c r="FD32" s="7"/>
      <c r="FE32" s="10" t="s">
        <v>18</v>
      </c>
      <c r="FF32" s="7"/>
      <c r="FG32" s="7"/>
      <c r="FH32" s="10" t="s">
        <v>18</v>
      </c>
      <c r="FI32" s="9"/>
      <c r="FJ32" s="9"/>
      <c r="FK32" s="10" t="s">
        <v>18</v>
      </c>
      <c r="FL32" s="7"/>
      <c r="FM32" s="7"/>
      <c r="FN32" s="10" t="s">
        <v>18</v>
      </c>
      <c r="FO32" s="7"/>
      <c r="FP32" s="7"/>
      <c r="FQ32" s="10" t="s">
        <v>18</v>
      </c>
      <c r="FR32" s="7"/>
      <c r="FS32" s="7"/>
      <c r="FT32" s="10" t="s">
        <v>18</v>
      </c>
      <c r="FU32" s="9"/>
      <c r="FV32" s="9"/>
      <c r="FW32" s="10" t="s">
        <v>18</v>
      </c>
      <c r="FX32" s="7"/>
      <c r="FY32" s="7"/>
      <c r="FZ32" s="10" t="s">
        <v>18</v>
      </c>
      <c r="GA32" s="7"/>
      <c r="GB32" s="7"/>
      <c r="GC32" s="10" t="s">
        <v>18</v>
      </c>
      <c r="GD32" s="7"/>
      <c r="GE32" s="7"/>
      <c r="GF32" s="10" t="s">
        <v>18</v>
      </c>
      <c r="GG32" s="7"/>
      <c r="GH32" s="7"/>
      <c r="GI32" s="10" t="s">
        <v>18</v>
      </c>
      <c r="GJ32" s="7">
        <v>40</v>
      </c>
      <c r="GK32" s="7">
        <v>79</v>
      </c>
      <c r="GL32" s="10" t="s">
        <v>18</v>
      </c>
      <c r="GM32" s="7"/>
      <c r="GN32" s="7"/>
      <c r="GO32" s="10" t="s">
        <v>18</v>
      </c>
      <c r="GP32" s="7"/>
      <c r="GQ32" s="7"/>
      <c r="GR32" s="10" t="s">
        <v>18</v>
      </c>
      <c r="GS32" s="7"/>
      <c r="GT32" s="7"/>
      <c r="GU32" s="6" t="s">
        <v>18</v>
      </c>
      <c r="GV32" s="7">
        <v>30</v>
      </c>
      <c r="GW32" s="7">
        <v>60</v>
      </c>
      <c r="GX32" s="10" t="s">
        <v>40</v>
      </c>
      <c r="GY32" s="7"/>
      <c r="GZ32" s="7"/>
      <c r="HA32" s="10" t="s">
        <v>40</v>
      </c>
      <c r="HB32" s="7"/>
      <c r="HC32" s="7"/>
      <c r="HD32" s="10" t="s">
        <v>40</v>
      </c>
      <c r="HE32" s="7"/>
      <c r="HF32" s="7"/>
      <c r="HG32" s="10" t="s">
        <v>40</v>
      </c>
      <c r="HH32" s="7">
        <v>5</v>
      </c>
      <c r="HI32" s="7">
        <v>150</v>
      </c>
      <c r="HJ32" s="10" t="s">
        <v>40</v>
      </c>
      <c r="HK32" s="7"/>
      <c r="HL32" s="7"/>
      <c r="HM32" s="10" t="s">
        <v>40</v>
      </c>
      <c r="HN32" s="7"/>
      <c r="HO32" s="7"/>
      <c r="HP32" s="10" t="s">
        <v>40</v>
      </c>
      <c r="HQ32" s="7"/>
      <c r="HR32" s="7"/>
      <c r="HS32" s="6" t="s">
        <v>40</v>
      </c>
      <c r="HT32" s="7">
        <v>6</v>
      </c>
      <c r="HU32" s="7">
        <v>160</v>
      </c>
      <c r="HV32" s="10" t="s">
        <v>18</v>
      </c>
      <c r="HW32" s="7"/>
      <c r="HX32" s="7"/>
      <c r="HY32" s="10" t="s">
        <v>18</v>
      </c>
      <c r="HZ32" s="7"/>
      <c r="IA32" s="7"/>
      <c r="IB32" s="10" t="s">
        <v>40</v>
      </c>
      <c r="IC32" s="7"/>
      <c r="ID32" s="7"/>
      <c r="IE32" s="6" t="s">
        <v>40</v>
      </c>
      <c r="IF32" s="7">
        <v>8</v>
      </c>
      <c r="IG32" s="7">
        <v>200</v>
      </c>
      <c r="IH32" s="10"/>
      <c r="II32" s="7"/>
      <c r="IJ32" s="7"/>
      <c r="IK32" s="7"/>
      <c r="IL32" s="7"/>
      <c r="IM32" s="7"/>
      <c r="IN32" s="7"/>
      <c r="IO32" s="10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E32" s="7"/>
      <c r="JF32" s="7"/>
      <c r="JH32" s="7"/>
      <c r="JI32" s="7"/>
      <c r="JJ32" s="7"/>
      <c r="JK32" s="7"/>
      <c r="JL32" s="7"/>
      <c r="JM32" s="7"/>
      <c r="JN32" s="10"/>
      <c r="JO32" s="7"/>
      <c r="JP32" s="7"/>
      <c r="JQ32" s="7"/>
      <c r="JR32" s="7"/>
      <c r="JS32" s="10"/>
      <c r="JT32" s="7"/>
      <c r="JU32" s="7"/>
      <c r="JV32" s="7"/>
      <c r="JW32" s="7"/>
      <c r="JX32" s="7"/>
    </row>
    <row r="33" spans="1:284" x14ac:dyDescent="0.3">
      <c r="A33" t="s">
        <v>216</v>
      </c>
      <c r="B33" s="10" t="s">
        <v>40</v>
      </c>
      <c r="C33" s="7"/>
      <c r="D33" s="7"/>
      <c r="E33" s="10" t="s">
        <v>40</v>
      </c>
      <c r="F33" s="7"/>
      <c r="G33" s="7"/>
      <c r="H33" s="10" t="s">
        <v>40</v>
      </c>
      <c r="I33" s="9"/>
      <c r="J33" s="9"/>
      <c r="K33" s="10" t="s">
        <v>40</v>
      </c>
      <c r="L33" s="7"/>
      <c r="M33" s="7"/>
      <c r="N33" s="10" t="s">
        <v>40</v>
      </c>
      <c r="O33" s="7"/>
      <c r="P33" s="7"/>
      <c r="Q33" s="10" t="s">
        <v>40</v>
      </c>
      <c r="R33" s="7"/>
      <c r="S33" s="7"/>
      <c r="T33" s="10" t="s">
        <v>40</v>
      </c>
      <c r="U33" s="9"/>
      <c r="V33" s="9"/>
      <c r="W33" s="10" t="s">
        <v>40</v>
      </c>
      <c r="X33" s="7"/>
      <c r="Y33" s="7"/>
      <c r="Z33" s="10" t="s">
        <v>40</v>
      </c>
      <c r="AA33" s="7"/>
      <c r="AB33" s="7"/>
      <c r="AC33" s="10" t="s">
        <v>40</v>
      </c>
      <c r="AD33" s="7"/>
      <c r="AE33" s="7"/>
      <c r="AF33" s="10" t="s">
        <v>40</v>
      </c>
      <c r="AG33" s="9"/>
      <c r="AH33" s="9"/>
      <c r="AI33" s="10" t="s">
        <v>40</v>
      </c>
      <c r="AJ33" s="7"/>
      <c r="AK33" s="7"/>
      <c r="AL33" s="10" t="s">
        <v>40</v>
      </c>
      <c r="AM33" s="7"/>
      <c r="AN33" s="7"/>
      <c r="AO33" s="10" t="s">
        <v>40</v>
      </c>
      <c r="AP33" s="7"/>
      <c r="AQ33" s="7"/>
      <c r="AR33" s="10" t="s">
        <v>40</v>
      </c>
      <c r="AS33" s="9"/>
      <c r="AT33" s="9"/>
      <c r="AU33" s="10" t="s">
        <v>40</v>
      </c>
      <c r="AV33" s="7"/>
      <c r="AW33" s="7"/>
      <c r="AX33" s="10" t="s">
        <v>40</v>
      </c>
      <c r="AY33" s="7"/>
      <c r="AZ33" s="7"/>
      <c r="BA33" s="10" t="s">
        <v>40</v>
      </c>
      <c r="BB33" s="7"/>
      <c r="BC33" s="7"/>
      <c r="BD33" s="10" t="s">
        <v>40</v>
      </c>
      <c r="BE33" s="9"/>
      <c r="BF33" s="9"/>
      <c r="BG33" s="10" t="s">
        <v>40</v>
      </c>
      <c r="BH33" s="7"/>
      <c r="BI33" s="7"/>
      <c r="BJ33" s="10" t="s">
        <v>40</v>
      </c>
      <c r="BK33" s="7"/>
      <c r="BL33" s="7"/>
      <c r="BM33" s="10" t="s">
        <v>40</v>
      </c>
      <c r="BN33" s="7"/>
      <c r="BO33" s="7"/>
      <c r="BP33" s="10" t="s">
        <v>40</v>
      </c>
      <c r="BQ33" s="9"/>
      <c r="BR33" s="9"/>
      <c r="BS33" s="10" t="s">
        <v>40</v>
      </c>
      <c r="BT33" s="7"/>
      <c r="BU33" s="7"/>
      <c r="BV33" s="10" t="s">
        <v>40</v>
      </c>
      <c r="BW33" s="7"/>
      <c r="BX33" s="7"/>
      <c r="BY33" s="10" t="s">
        <v>40</v>
      </c>
      <c r="BZ33" s="7"/>
      <c r="CA33" s="7"/>
      <c r="CB33" s="10" t="s">
        <v>40</v>
      </c>
      <c r="CC33" s="9"/>
      <c r="CD33" s="9"/>
      <c r="CE33" s="10" t="s">
        <v>40</v>
      </c>
      <c r="CF33" s="7"/>
      <c r="CG33" s="7"/>
      <c r="CH33" s="10" t="s">
        <v>40</v>
      </c>
      <c r="CI33" s="7"/>
      <c r="CJ33" s="7"/>
      <c r="CK33" s="10" t="s">
        <v>40</v>
      </c>
      <c r="CL33" s="7"/>
      <c r="CM33" s="7"/>
      <c r="CN33" s="10" t="s">
        <v>40</v>
      </c>
      <c r="CO33" s="9"/>
      <c r="CP33" s="9"/>
      <c r="CQ33" s="10" t="s">
        <v>40</v>
      </c>
      <c r="CR33" s="7"/>
      <c r="CS33" s="7"/>
      <c r="CT33" s="10" t="s">
        <v>40</v>
      </c>
      <c r="CU33" s="7"/>
      <c r="CV33" s="7"/>
      <c r="CW33" s="10" t="s">
        <v>40</v>
      </c>
      <c r="CX33" s="7"/>
      <c r="CY33" s="7"/>
      <c r="CZ33" s="10" t="s">
        <v>40</v>
      </c>
      <c r="DA33" s="9"/>
      <c r="DB33" s="9"/>
      <c r="DC33" s="10" t="s">
        <v>40</v>
      </c>
      <c r="DD33" s="7"/>
      <c r="DE33" s="7"/>
      <c r="DF33" s="10" t="s">
        <v>40</v>
      </c>
      <c r="DG33" s="7"/>
      <c r="DH33" s="7"/>
      <c r="DI33" s="10" t="s">
        <v>40</v>
      </c>
      <c r="DJ33" s="7"/>
      <c r="DK33" s="7"/>
      <c r="DL33" s="10" t="s">
        <v>40</v>
      </c>
      <c r="DM33" s="9"/>
      <c r="DN33" s="9"/>
      <c r="DO33" s="10" t="s">
        <v>40</v>
      </c>
      <c r="DP33" s="7"/>
      <c r="DQ33" s="7"/>
      <c r="DR33" s="10" t="s">
        <v>40</v>
      </c>
      <c r="DS33" s="7"/>
      <c r="DT33" s="7"/>
      <c r="DU33" s="10" t="s">
        <v>40</v>
      </c>
      <c r="DV33" s="7"/>
      <c r="DW33" s="7"/>
      <c r="DX33" s="10" t="s">
        <v>40</v>
      </c>
      <c r="DY33" s="9"/>
      <c r="DZ33" s="9"/>
      <c r="EA33" s="10" t="s">
        <v>40</v>
      </c>
      <c r="EB33" s="7"/>
      <c r="EC33" s="7"/>
      <c r="ED33" s="10" t="s">
        <v>40</v>
      </c>
      <c r="EE33" s="7"/>
      <c r="EF33" s="7"/>
      <c r="EG33" s="10" t="s">
        <v>40</v>
      </c>
      <c r="EH33" s="7"/>
      <c r="EI33" s="7"/>
      <c r="EJ33" s="10" t="s">
        <v>40</v>
      </c>
      <c r="EK33" s="9"/>
      <c r="EL33" s="9"/>
      <c r="EM33" s="10" t="s">
        <v>40</v>
      </c>
      <c r="EN33" s="7"/>
      <c r="EO33" s="7"/>
      <c r="EP33" s="10" t="s">
        <v>40</v>
      </c>
      <c r="EQ33" s="7"/>
      <c r="ER33" s="7"/>
      <c r="ES33" s="10" t="s">
        <v>40</v>
      </c>
      <c r="ET33" s="7"/>
      <c r="EU33" s="7"/>
      <c r="EV33" s="10" t="s">
        <v>40</v>
      </c>
      <c r="EW33" s="9"/>
      <c r="EX33" s="9"/>
      <c r="EY33" s="10" t="s">
        <v>40</v>
      </c>
      <c r="EZ33" s="7"/>
      <c r="FA33" s="7"/>
      <c r="FB33" s="10" t="s">
        <v>40</v>
      </c>
      <c r="FC33" s="7"/>
      <c r="FD33" s="7"/>
      <c r="FE33" s="10" t="s">
        <v>40</v>
      </c>
      <c r="FF33" s="7"/>
      <c r="FG33" s="7"/>
      <c r="FH33" s="10" t="s">
        <v>40</v>
      </c>
      <c r="FI33" s="9"/>
      <c r="FJ33" s="9"/>
      <c r="FK33" s="10" t="s">
        <v>40</v>
      </c>
      <c r="FL33" s="7"/>
      <c r="FM33" s="7"/>
      <c r="FN33" s="10" t="s">
        <v>40</v>
      </c>
      <c r="FO33" s="7"/>
      <c r="FP33" s="7"/>
      <c r="FQ33" s="10" t="s">
        <v>40</v>
      </c>
      <c r="FR33" s="7">
        <v>150</v>
      </c>
      <c r="FS33" s="7">
        <v>600</v>
      </c>
      <c r="FT33" s="10" t="s">
        <v>40</v>
      </c>
      <c r="FU33" s="9"/>
      <c r="FV33" s="9"/>
      <c r="FW33" s="10" t="s">
        <v>40</v>
      </c>
      <c r="FX33" s="7">
        <v>50</v>
      </c>
      <c r="FY33" s="7">
        <v>170</v>
      </c>
      <c r="FZ33" s="10" t="s">
        <v>40</v>
      </c>
      <c r="GA33" s="7"/>
      <c r="GB33" s="7"/>
      <c r="GC33" s="10" t="s">
        <v>40</v>
      </c>
      <c r="GD33" s="7"/>
      <c r="GE33" s="7"/>
      <c r="GF33" s="10" t="s">
        <v>40</v>
      </c>
      <c r="GG33" s="7"/>
      <c r="GH33" s="7"/>
      <c r="GI33" s="10" t="s">
        <v>40</v>
      </c>
      <c r="GJ33" s="7">
        <v>42</v>
      </c>
      <c r="GK33" s="7">
        <v>123</v>
      </c>
      <c r="GL33" s="10" t="s">
        <v>40</v>
      </c>
      <c r="GM33" s="7"/>
      <c r="GN33" s="7"/>
      <c r="GO33" s="10" t="s">
        <v>40</v>
      </c>
      <c r="GP33" s="7">
        <v>90</v>
      </c>
      <c r="GQ33" s="7">
        <v>350</v>
      </c>
      <c r="GR33" s="10" t="s">
        <v>40</v>
      </c>
      <c r="GS33" s="7"/>
      <c r="GT33" s="7"/>
      <c r="GU33" s="6" t="s">
        <v>40</v>
      </c>
      <c r="GV33" s="7">
        <v>70</v>
      </c>
      <c r="GW33" s="7">
        <v>300</v>
      </c>
      <c r="GX33" s="10" t="s">
        <v>40</v>
      </c>
      <c r="GY33" s="7"/>
      <c r="GZ33" s="7"/>
      <c r="HA33" s="10" t="s">
        <v>40</v>
      </c>
      <c r="HB33" s="7">
        <v>100</v>
      </c>
      <c r="HC33" s="7">
        <v>350</v>
      </c>
      <c r="HD33" s="10" t="s">
        <v>40</v>
      </c>
      <c r="HE33" s="7"/>
      <c r="HF33" s="7"/>
      <c r="HG33" s="10" t="s">
        <v>40</v>
      </c>
      <c r="HH33" s="7">
        <v>75</v>
      </c>
      <c r="HI33" s="7">
        <v>300</v>
      </c>
      <c r="HJ33" s="10" t="s">
        <v>40</v>
      </c>
      <c r="HK33" s="7"/>
      <c r="HL33" s="7"/>
      <c r="HM33" s="10" t="s">
        <v>40</v>
      </c>
      <c r="HN33" s="7">
        <v>60</v>
      </c>
      <c r="HO33" s="7">
        <v>210</v>
      </c>
      <c r="HP33" s="10" t="s">
        <v>40</v>
      </c>
      <c r="HQ33" s="7"/>
      <c r="HR33" s="7"/>
      <c r="HS33" s="10" t="s">
        <v>40</v>
      </c>
      <c r="HT33" s="7">
        <v>100</v>
      </c>
      <c r="HU33" s="7">
        <v>400</v>
      </c>
      <c r="HV33" s="10" t="s">
        <v>40</v>
      </c>
      <c r="HW33" s="7"/>
      <c r="HX33" s="7"/>
      <c r="HY33" s="10" t="s">
        <v>40</v>
      </c>
      <c r="HZ33" s="7">
        <v>100</v>
      </c>
      <c r="IA33" s="7">
        <v>500</v>
      </c>
      <c r="IB33" s="10" t="s">
        <v>40</v>
      </c>
      <c r="IC33" s="7"/>
      <c r="ID33" s="7"/>
      <c r="IE33" s="6" t="s">
        <v>40</v>
      </c>
      <c r="IF33" s="7">
        <v>52</v>
      </c>
      <c r="IG33" s="7">
        <v>340</v>
      </c>
      <c r="II33" s="7"/>
      <c r="IJ33" s="7"/>
      <c r="IK33" s="7"/>
      <c r="IL33" s="7"/>
      <c r="IM33" s="7"/>
      <c r="IN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E33" s="7"/>
      <c r="JF33" s="7"/>
      <c r="JH33" s="7"/>
      <c r="JI33" s="7"/>
      <c r="JJ33" s="7"/>
      <c r="JK33" s="7"/>
      <c r="JL33" s="7"/>
      <c r="JM33" s="7"/>
      <c r="JO33" s="7"/>
      <c r="JP33" s="7"/>
      <c r="JQ33" s="7"/>
      <c r="JR33" s="7"/>
      <c r="JT33" s="7"/>
      <c r="JU33" s="7"/>
      <c r="JV33" s="7"/>
      <c r="JW33" s="7"/>
      <c r="JX33" s="7"/>
    </row>
    <row r="34" spans="1:284" x14ac:dyDescent="0.3">
      <c r="A34" t="s">
        <v>217</v>
      </c>
      <c r="B34" s="10" t="s">
        <v>40</v>
      </c>
      <c r="C34" s="7"/>
      <c r="D34" s="7"/>
      <c r="E34" s="10" t="s">
        <v>40</v>
      </c>
      <c r="F34" s="7"/>
      <c r="G34" s="7"/>
      <c r="H34" s="10" t="s">
        <v>40</v>
      </c>
      <c r="I34" s="9"/>
      <c r="J34" s="9"/>
      <c r="K34" s="10" t="s">
        <v>40</v>
      </c>
      <c r="L34" s="7"/>
      <c r="M34" s="7"/>
      <c r="N34" s="10" t="s">
        <v>40</v>
      </c>
      <c r="O34" s="7"/>
      <c r="P34" s="7"/>
      <c r="Q34" s="10" t="s">
        <v>40</v>
      </c>
      <c r="R34" s="7"/>
      <c r="S34" s="7"/>
      <c r="T34" s="10" t="s">
        <v>40</v>
      </c>
      <c r="U34" s="9"/>
      <c r="V34" s="9"/>
      <c r="W34" s="10" t="s">
        <v>40</v>
      </c>
      <c r="X34" s="7"/>
      <c r="Y34" s="7"/>
      <c r="Z34" s="10" t="s">
        <v>40</v>
      </c>
      <c r="AA34" s="7"/>
      <c r="AB34" s="7"/>
      <c r="AC34" s="10" t="s">
        <v>40</v>
      </c>
      <c r="AD34" s="7"/>
      <c r="AE34" s="7"/>
      <c r="AF34" s="10" t="s">
        <v>40</v>
      </c>
      <c r="AG34" s="9"/>
      <c r="AH34" s="9"/>
      <c r="AI34" s="10" t="s">
        <v>40</v>
      </c>
      <c r="AJ34" s="7"/>
      <c r="AK34" s="7"/>
      <c r="AL34" s="10" t="s">
        <v>40</v>
      </c>
      <c r="AM34" s="7"/>
      <c r="AN34" s="7"/>
      <c r="AO34" s="10" t="s">
        <v>40</v>
      </c>
      <c r="AP34" s="7"/>
      <c r="AQ34" s="7"/>
      <c r="AR34" s="10" t="s">
        <v>40</v>
      </c>
      <c r="AS34" s="9"/>
      <c r="AT34" s="9"/>
      <c r="AU34" s="10" t="s">
        <v>40</v>
      </c>
      <c r="AV34" s="7"/>
      <c r="AW34" s="7"/>
      <c r="AX34" s="10" t="s">
        <v>40</v>
      </c>
      <c r="AY34" s="7"/>
      <c r="AZ34" s="7"/>
      <c r="BA34" s="10" t="s">
        <v>40</v>
      </c>
      <c r="BB34" s="7"/>
      <c r="BC34" s="7"/>
      <c r="BD34" s="10" t="s">
        <v>40</v>
      </c>
      <c r="BE34" s="9"/>
      <c r="BF34" s="9"/>
      <c r="BG34" s="10" t="s">
        <v>40</v>
      </c>
      <c r="BH34" s="7"/>
      <c r="BI34" s="7"/>
      <c r="BJ34" s="10" t="s">
        <v>40</v>
      </c>
      <c r="BK34" s="7"/>
      <c r="BL34" s="7"/>
      <c r="BM34" s="10" t="s">
        <v>40</v>
      </c>
      <c r="BN34" s="7"/>
      <c r="BO34" s="7"/>
      <c r="BP34" s="10" t="s">
        <v>40</v>
      </c>
      <c r="BQ34" s="9"/>
      <c r="BR34" s="9"/>
      <c r="BS34" s="10" t="s">
        <v>40</v>
      </c>
      <c r="BT34" s="7"/>
      <c r="BU34" s="7"/>
      <c r="BV34" s="10" t="s">
        <v>40</v>
      </c>
      <c r="BW34" s="7"/>
      <c r="BX34" s="7"/>
      <c r="BY34" s="10" t="s">
        <v>40</v>
      </c>
      <c r="BZ34" s="7"/>
      <c r="CA34" s="7"/>
      <c r="CB34" s="10" t="s">
        <v>40</v>
      </c>
      <c r="CC34" s="9"/>
      <c r="CD34" s="9"/>
      <c r="CE34" s="10" t="s">
        <v>40</v>
      </c>
      <c r="CF34" s="7"/>
      <c r="CG34" s="7"/>
      <c r="CH34" s="10" t="s">
        <v>40</v>
      </c>
      <c r="CI34" s="7"/>
      <c r="CJ34" s="7"/>
      <c r="CK34" s="10" t="s">
        <v>40</v>
      </c>
      <c r="CL34" s="7"/>
      <c r="CM34" s="7"/>
      <c r="CN34" s="10" t="s">
        <v>40</v>
      </c>
      <c r="CO34" s="9"/>
      <c r="CP34" s="9"/>
      <c r="CQ34" s="10" t="s">
        <v>40</v>
      </c>
      <c r="CR34" s="7"/>
      <c r="CS34" s="7"/>
      <c r="CT34" s="10" t="s">
        <v>40</v>
      </c>
      <c r="CU34" s="7"/>
      <c r="CV34" s="7"/>
      <c r="CW34" s="10" t="s">
        <v>40</v>
      </c>
      <c r="CX34" s="7"/>
      <c r="CY34" s="7"/>
      <c r="CZ34" s="10" t="s">
        <v>40</v>
      </c>
      <c r="DA34" s="9"/>
      <c r="DB34" s="9"/>
      <c r="DC34" s="10" t="s">
        <v>40</v>
      </c>
      <c r="DD34" s="7"/>
      <c r="DE34" s="7"/>
      <c r="DF34" s="10" t="s">
        <v>40</v>
      </c>
      <c r="DG34" s="7"/>
      <c r="DH34" s="7"/>
      <c r="DI34" s="10" t="s">
        <v>40</v>
      </c>
      <c r="DJ34" s="7"/>
      <c r="DK34" s="7"/>
      <c r="DL34" s="10" t="s">
        <v>40</v>
      </c>
      <c r="DM34" s="9"/>
      <c r="DN34" s="9"/>
      <c r="DO34" s="10" t="s">
        <v>40</v>
      </c>
      <c r="DP34" s="7"/>
      <c r="DQ34" s="7"/>
      <c r="DR34" s="10" t="s">
        <v>40</v>
      </c>
      <c r="DS34" s="7"/>
      <c r="DT34" s="7"/>
      <c r="DU34" s="10" t="s">
        <v>40</v>
      </c>
      <c r="DV34" s="7"/>
      <c r="DW34" s="7"/>
      <c r="DX34" s="10" t="s">
        <v>40</v>
      </c>
      <c r="DY34" s="9"/>
      <c r="DZ34" s="9"/>
      <c r="EA34" s="10" t="s">
        <v>40</v>
      </c>
      <c r="EB34" s="7"/>
      <c r="EC34" s="7"/>
      <c r="ED34" s="10" t="s">
        <v>40</v>
      </c>
      <c r="EE34" s="7"/>
      <c r="EF34" s="7"/>
      <c r="EG34" s="10" t="s">
        <v>40</v>
      </c>
      <c r="EH34" s="7"/>
      <c r="EI34" s="7"/>
      <c r="EJ34" s="10" t="s">
        <v>40</v>
      </c>
      <c r="EK34" s="9"/>
      <c r="EL34" s="9"/>
      <c r="EM34" s="10" t="s">
        <v>40</v>
      </c>
      <c r="EN34" s="7"/>
      <c r="EO34" s="7"/>
      <c r="EP34" s="10" t="s">
        <v>40</v>
      </c>
      <c r="EQ34" s="7"/>
      <c r="ER34" s="7"/>
      <c r="ES34" s="10" t="s">
        <v>40</v>
      </c>
      <c r="ET34" s="7"/>
      <c r="EU34" s="7"/>
      <c r="EV34" s="10" t="s">
        <v>40</v>
      </c>
      <c r="EW34" s="9"/>
      <c r="EX34" s="9"/>
      <c r="EY34" s="10" t="s">
        <v>40</v>
      </c>
      <c r="EZ34" s="7"/>
      <c r="FA34" s="7"/>
      <c r="FB34" s="10" t="s">
        <v>40</v>
      </c>
      <c r="FC34" s="7"/>
      <c r="FD34" s="7"/>
      <c r="FE34" s="10" t="s">
        <v>40</v>
      </c>
      <c r="FF34" s="7"/>
      <c r="FG34" s="7"/>
      <c r="FH34" s="10" t="s">
        <v>40</v>
      </c>
      <c r="FI34" s="9"/>
      <c r="FJ34" s="9"/>
      <c r="FK34" s="10" t="s">
        <v>40</v>
      </c>
      <c r="FL34" s="7"/>
      <c r="FM34" s="7"/>
      <c r="FN34" s="10" t="s">
        <v>40</v>
      </c>
      <c r="FO34" s="7"/>
      <c r="FP34" s="7"/>
      <c r="FQ34" s="10" t="s">
        <v>40</v>
      </c>
      <c r="FR34" s="7"/>
      <c r="FS34" s="7"/>
      <c r="FT34" s="10" t="s">
        <v>40</v>
      </c>
      <c r="FU34" s="9"/>
      <c r="FV34" s="9"/>
      <c r="FW34" s="10" t="s">
        <v>40</v>
      </c>
      <c r="FX34" s="7">
        <v>30</v>
      </c>
      <c r="FY34" s="7">
        <v>200</v>
      </c>
      <c r="FZ34" s="10" t="s">
        <v>40</v>
      </c>
      <c r="GA34" s="7"/>
      <c r="GB34" s="7"/>
      <c r="GC34" s="10" t="s">
        <v>40</v>
      </c>
      <c r="GD34" s="7"/>
      <c r="GE34" s="7"/>
      <c r="GF34" s="10" t="s">
        <v>40</v>
      </c>
      <c r="GG34" s="7"/>
      <c r="GH34" s="7"/>
      <c r="GI34" s="10" t="s">
        <v>40</v>
      </c>
      <c r="GJ34" s="7">
        <v>9</v>
      </c>
      <c r="GK34" s="7">
        <v>65</v>
      </c>
      <c r="GL34" s="10" t="s">
        <v>40</v>
      </c>
      <c r="GM34" s="7"/>
      <c r="GN34" s="7"/>
      <c r="GO34" s="10" t="s">
        <v>40</v>
      </c>
      <c r="GP34" s="7"/>
      <c r="GQ34" s="7"/>
      <c r="GR34" s="10" t="s">
        <v>40</v>
      </c>
      <c r="GS34" s="7"/>
      <c r="GT34" s="7"/>
      <c r="GU34" s="6" t="s">
        <v>40</v>
      </c>
      <c r="GV34" s="7">
        <v>20</v>
      </c>
      <c r="GW34" s="7">
        <v>150</v>
      </c>
      <c r="GX34" s="10" t="s">
        <v>40</v>
      </c>
      <c r="GY34" s="7"/>
      <c r="GZ34" s="7"/>
      <c r="HA34" s="10" t="s">
        <v>40</v>
      </c>
      <c r="HB34" s="7"/>
      <c r="HC34" s="7"/>
      <c r="HD34" s="10" t="s">
        <v>40</v>
      </c>
      <c r="HE34" s="7"/>
      <c r="HF34" s="7"/>
      <c r="HG34" s="10" t="s">
        <v>40</v>
      </c>
      <c r="HH34" s="7">
        <v>30</v>
      </c>
      <c r="HI34" s="7">
        <v>200</v>
      </c>
      <c r="HJ34" s="10" t="s">
        <v>40</v>
      </c>
      <c r="HK34" s="7"/>
      <c r="HL34" s="7"/>
      <c r="HM34" s="10" t="s">
        <v>40</v>
      </c>
      <c r="HN34" s="7"/>
      <c r="HO34" s="7"/>
      <c r="HP34" s="10" t="s">
        <v>40</v>
      </c>
      <c r="HQ34" s="7"/>
      <c r="HR34" s="7"/>
      <c r="HS34" s="10" t="s">
        <v>40</v>
      </c>
      <c r="HT34" s="7"/>
      <c r="HU34" s="7"/>
      <c r="HV34" s="10" t="s">
        <v>40</v>
      </c>
      <c r="HW34" s="7"/>
      <c r="HX34" s="7"/>
      <c r="HY34" s="10" t="s">
        <v>40</v>
      </c>
      <c r="HZ34" s="7"/>
      <c r="IA34" s="7"/>
      <c r="IB34" s="10" t="s">
        <v>40</v>
      </c>
      <c r="IC34" s="7"/>
      <c r="ID34" s="7"/>
      <c r="IE34" s="6" t="s">
        <v>40</v>
      </c>
      <c r="IF34" s="7">
        <v>33</v>
      </c>
      <c r="IG34" s="7">
        <v>280</v>
      </c>
      <c r="II34" s="7"/>
      <c r="IJ34" s="7"/>
      <c r="IK34" s="7"/>
      <c r="IL34" s="7"/>
      <c r="IM34" s="7"/>
      <c r="IN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E34" s="7"/>
      <c r="JF34" s="7"/>
      <c r="JH34" s="7"/>
      <c r="JI34" s="7"/>
      <c r="JJ34" s="7"/>
      <c r="JK34" s="7"/>
      <c r="JL34" s="7"/>
      <c r="JM34" s="7"/>
      <c r="JO34" s="7"/>
      <c r="JP34" s="7"/>
      <c r="JQ34" s="7"/>
      <c r="JR34" s="7"/>
      <c r="JT34" s="7"/>
      <c r="JU34" s="7"/>
      <c r="JV34" s="7"/>
      <c r="JW34" s="7"/>
      <c r="JX34" s="7"/>
    </row>
    <row r="35" spans="1:284" x14ac:dyDescent="0.3">
      <c r="A35" t="s">
        <v>218</v>
      </c>
      <c r="B35" s="10" t="s">
        <v>38</v>
      </c>
      <c r="C35" s="7"/>
      <c r="D35" s="7"/>
      <c r="E35" s="10" t="s">
        <v>38</v>
      </c>
      <c r="F35" s="7"/>
      <c r="G35" s="7"/>
      <c r="H35" s="10" t="s">
        <v>38</v>
      </c>
      <c r="I35" s="9"/>
      <c r="J35" s="9"/>
      <c r="K35" s="10" t="s">
        <v>38</v>
      </c>
      <c r="L35" s="7"/>
      <c r="M35" s="7"/>
      <c r="N35" s="10" t="s">
        <v>38</v>
      </c>
      <c r="O35" s="7"/>
      <c r="P35" s="7"/>
      <c r="Q35" s="10" t="s">
        <v>38</v>
      </c>
      <c r="R35" s="7"/>
      <c r="S35" s="7"/>
      <c r="T35" s="10" t="s">
        <v>38</v>
      </c>
      <c r="U35" s="9"/>
      <c r="V35" s="9"/>
      <c r="W35" s="10" t="s">
        <v>38</v>
      </c>
      <c r="X35" s="7"/>
      <c r="Y35" s="7"/>
      <c r="Z35" s="10" t="s">
        <v>38</v>
      </c>
      <c r="AA35" s="7"/>
      <c r="AB35" s="7"/>
      <c r="AC35" s="10" t="s">
        <v>38</v>
      </c>
      <c r="AD35" s="7"/>
      <c r="AE35" s="7"/>
      <c r="AF35" s="10" t="s">
        <v>38</v>
      </c>
      <c r="AG35" s="9"/>
      <c r="AH35" s="9"/>
      <c r="AI35" s="10" t="s">
        <v>38</v>
      </c>
      <c r="AJ35" s="7"/>
      <c r="AK35" s="7"/>
      <c r="AL35" s="10" t="s">
        <v>38</v>
      </c>
      <c r="AM35" s="7"/>
      <c r="AN35" s="7"/>
      <c r="AO35" s="10" t="s">
        <v>38</v>
      </c>
      <c r="AP35" s="7"/>
      <c r="AQ35" s="7"/>
      <c r="AR35" s="10" t="s">
        <v>38</v>
      </c>
      <c r="AS35" s="9"/>
      <c r="AT35" s="9"/>
      <c r="AU35" s="10" t="s">
        <v>38</v>
      </c>
      <c r="AV35" s="7"/>
      <c r="AW35" s="7"/>
      <c r="AX35" s="10" t="s">
        <v>38</v>
      </c>
      <c r="AY35" s="7"/>
      <c r="AZ35" s="7"/>
      <c r="BA35" s="10" t="s">
        <v>38</v>
      </c>
      <c r="BB35" s="7"/>
      <c r="BC35" s="7"/>
      <c r="BD35" s="10" t="s">
        <v>38</v>
      </c>
      <c r="BE35" s="9"/>
      <c r="BF35" s="9"/>
      <c r="BG35" s="10" t="s">
        <v>38</v>
      </c>
      <c r="BH35" s="7"/>
      <c r="BI35" s="7"/>
      <c r="BJ35" s="10" t="s">
        <v>38</v>
      </c>
      <c r="BK35" s="7"/>
      <c r="BL35" s="7"/>
      <c r="BM35" s="10" t="s">
        <v>38</v>
      </c>
      <c r="BN35" s="7"/>
      <c r="BO35" s="7"/>
      <c r="BP35" s="10" t="s">
        <v>38</v>
      </c>
      <c r="BQ35" s="9"/>
      <c r="BR35" s="9"/>
      <c r="BS35" s="10" t="s">
        <v>38</v>
      </c>
      <c r="BT35" s="7"/>
      <c r="BU35" s="7"/>
      <c r="BV35" s="10" t="s">
        <v>38</v>
      </c>
      <c r="BW35" s="7"/>
      <c r="BX35" s="7"/>
      <c r="BY35" s="10" t="s">
        <v>38</v>
      </c>
      <c r="BZ35" s="7"/>
      <c r="CA35" s="7"/>
      <c r="CB35" s="10" t="s">
        <v>38</v>
      </c>
      <c r="CC35" s="9"/>
      <c r="CD35" s="9"/>
      <c r="CE35" s="10" t="s">
        <v>38</v>
      </c>
      <c r="CF35" s="7"/>
      <c r="CG35" s="7"/>
      <c r="CH35" s="10" t="s">
        <v>38</v>
      </c>
      <c r="CI35" s="7"/>
      <c r="CJ35" s="7"/>
      <c r="CK35" s="10" t="s">
        <v>38</v>
      </c>
      <c r="CL35" s="7"/>
      <c r="CM35" s="7"/>
      <c r="CN35" s="10" t="s">
        <v>38</v>
      </c>
      <c r="CO35" s="9"/>
      <c r="CP35" s="9"/>
      <c r="CQ35" s="10" t="s">
        <v>38</v>
      </c>
      <c r="CR35" s="7"/>
      <c r="CS35" s="7"/>
      <c r="CT35" s="10" t="s">
        <v>38</v>
      </c>
      <c r="CU35" s="7"/>
      <c r="CV35" s="7"/>
      <c r="CW35" s="10" t="s">
        <v>38</v>
      </c>
      <c r="CX35" s="7"/>
      <c r="CY35" s="7"/>
      <c r="CZ35" s="10" t="s">
        <v>38</v>
      </c>
      <c r="DA35" s="9"/>
      <c r="DB35" s="9"/>
      <c r="DC35" s="10" t="s">
        <v>38</v>
      </c>
      <c r="DD35" s="7"/>
      <c r="DE35" s="7"/>
      <c r="DF35" s="10" t="s">
        <v>38</v>
      </c>
      <c r="DG35" s="7"/>
      <c r="DH35" s="7"/>
      <c r="DI35" s="10" t="s">
        <v>38</v>
      </c>
      <c r="DJ35" s="7"/>
      <c r="DK35" s="7"/>
      <c r="DL35" s="10" t="s">
        <v>38</v>
      </c>
      <c r="DM35" s="9"/>
      <c r="DN35" s="9"/>
      <c r="DO35" s="10" t="s">
        <v>38</v>
      </c>
      <c r="DP35" s="7"/>
      <c r="DQ35" s="7"/>
      <c r="DR35" s="10" t="s">
        <v>38</v>
      </c>
      <c r="DS35" s="7"/>
      <c r="DT35" s="7"/>
      <c r="DU35" s="10" t="s">
        <v>38</v>
      </c>
      <c r="DV35" s="7"/>
      <c r="DW35" s="7"/>
      <c r="DX35" s="10" t="s">
        <v>38</v>
      </c>
      <c r="DY35" s="9"/>
      <c r="DZ35" s="9"/>
      <c r="EA35" s="10" t="s">
        <v>38</v>
      </c>
      <c r="EB35" s="7"/>
      <c r="EC35" s="7"/>
      <c r="ED35" s="10" t="s">
        <v>38</v>
      </c>
      <c r="EE35" s="7"/>
      <c r="EF35" s="7"/>
      <c r="EG35" s="10" t="s">
        <v>38</v>
      </c>
      <c r="EH35" s="7"/>
      <c r="EI35" s="7"/>
      <c r="EJ35" s="10" t="s">
        <v>38</v>
      </c>
      <c r="EK35" s="9"/>
      <c r="EL35" s="9"/>
      <c r="EM35" s="10" t="s">
        <v>38</v>
      </c>
      <c r="EN35" s="7"/>
      <c r="EO35" s="7"/>
      <c r="EP35" s="10" t="s">
        <v>38</v>
      </c>
      <c r="EQ35" s="7"/>
      <c r="ER35" s="7"/>
      <c r="ES35" s="10" t="s">
        <v>38</v>
      </c>
      <c r="ET35" s="7"/>
      <c r="EU35" s="7"/>
      <c r="EV35" s="10" t="s">
        <v>38</v>
      </c>
      <c r="EW35" s="9"/>
      <c r="EX35" s="9"/>
      <c r="EY35" s="10" t="s">
        <v>38</v>
      </c>
      <c r="EZ35" s="7"/>
      <c r="FA35" s="7"/>
      <c r="FB35" s="10" t="s">
        <v>38</v>
      </c>
      <c r="FC35" s="7"/>
      <c r="FD35" s="7"/>
      <c r="FE35" s="10" t="s">
        <v>38</v>
      </c>
      <c r="FF35" s="7"/>
      <c r="FG35" s="7"/>
      <c r="FH35" s="10" t="s">
        <v>38</v>
      </c>
      <c r="FI35" s="9"/>
      <c r="FJ35" s="9"/>
      <c r="FK35" s="10" t="s">
        <v>38</v>
      </c>
      <c r="FL35" s="7"/>
      <c r="FM35" s="7"/>
      <c r="FN35" s="10" t="s">
        <v>38</v>
      </c>
      <c r="FO35" s="7"/>
      <c r="FP35" s="7"/>
      <c r="FQ35" s="10" t="s">
        <v>38</v>
      </c>
      <c r="FR35" s="7"/>
      <c r="FS35" s="7"/>
      <c r="FT35" s="10" t="s">
        <v>38</v>
      </c>
      <c r="FU35" s="9">
        <v>400</v>
      </c>
      <c r="FV35" s="9">
        <v>2000</v>
      </c>
      <c r="FW35" s="10" t="s">
        <v>38</v>
      </c>
      <c r="FX35" s="7"/>
      <c r="FY35" s="7"/>
      <c r="FZ35" s="10" t="s">
        <v>38</v>
      </c>
      <c r="GA35" s="7"/>
      <c r="GB35" s="7"/>
      <c r="GC35" s="10" t="s">
        <v>38</v>
      </c>
      <c r="GD35" s="7"/>
      <c r="GE35" s="7"/>
      <c r="GF35" s="10" t="s">
        <v>38</v>
      </c>
      <c r="GG35" s="7">
        <v>250</v>
      </c>
      <c r="GH35" s="7">
        <v>1200</v>
      </c>
      <c r="GI35" s="10" t="s">
        <v>38</v>
      </c>
      <c r="GJ35" s="7"/>
      <c r="GK35" s="7"/>
      <c r="GL35" s="10" t="s">
        <v>38</v>
      </c>
      <c r="GM35" s="7"/>
      <c r="GN35" s="7"/>
      <c r="GO35" s="6" t="s">
        <v>38</v>
      </c>
      <c r="GP35" s="7"/>
      <c r="GQ35" s="7"/>
      <c r="GR35" s="6" t="s">
        <v>38</v>
      </c>
      <c r="GS35" s="7">
        <v>306</v>
      </c>
      <c r="GT35" s="7">
        <v>4100</v>
      </c>
      <c r="GU35" s="6"/>
      <c r="GV35" s="7"/>
      <c r="GW35" s="7"/>
      <c r="GX35" s="10" t="s">
        <v>38</v>
      </c>
      <c r="GY35" s="7"/>
      <c r="GZ35" s="7"/>
      <c r="HA35" s="10" t="s">
        <v>38</v>
      </c>
      <c r="HB35" s="7"/>
      <c r="HC35" s="7"/>
      <c r="HD35" s="10" t="s">
        <v>38</v>
      </c>
      <c r="HE35" s="7">
        <v>300</v>
      </c>
      <c r="HF35" s="7">
        <v>4000</v>
      </c>
      <c r="HG35" s="10" t="s">
        <v>38</v>
      </c>
      <c r="HH35" s="7"/>
      <c r="HI35" s="7"/>
      <c r="HJ35" s="10" t="s">
        <v>38</v>
      </c>
      <c r="HK35" s="7"/>
      <c r="HL35" s="7"/>
      <c r="HM35" s="10" t="s">
        <v>38</v>
      </c>
      <c r="HN35" s="7"/>
      <c r="HO35" s="7"/>
      <c r="HP35" s="10" t="s">
        <v>38</v>
      </c>
      <c r="HQ35" s="7">
        <v>270</v>
      </c>
      <c r="HR35" s="7">
        <v>3800</v>
      </c>
      <c r="HS35" s="10" t="s">
        <v>38</v>
      </c>
      <c r="HT35" s="7"/>
      <c r="HU35" s="7"/>
      <c r="HV35" s="10" t="s">
        <v>38</v>
      </c>
      <c r="HW35" s="7"/>
      <c r="HX35" s="7"/>
      <c r="HY35" s="6" t="s">
        <v>38</v>
      </c>
      <c r="HZ35" s="7"/>
      <c r="IA35" s="7"/>
      <c r="IB35" s="6" t="s">
        <v>38</v>
      </c>
      <c r="IC35" s="7">
        <v>56</v>
      </c>
      <c r="ID35" s="7">
        <v>245</v>
      </c>
      <c r="IE35" s="6"/>
      <c r="IF35" s="7"/>
      <c r="IG35" s="7"/>
      <c r="II35" s="7"/>
      <c r="IJ35" s="7"/>
      <c r="IK35" s="7"/>
      <c r="IL35" s="7"/>
      <c r="IM35" s="7"/>
      <c r="IN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E35" s="7"/>
      <c r="JF35" s="7"/>
      <c r="JH35" s="7"/>
      <c r="JI35" s="7"/>
      <c r="JJ35" s="7"/>
      <c r="JK35" s="7"/>
      <c r="JL35" s="7"/>
      <c r="JM35" s="7"/>
      <c r="JO35" s="7"/>
      <c r="JP35" s="7"/>
      <c r="JQ35" s="7"/>
      <c r="JR35" s="7"/>
      <c r="JT35" s="7"/>
      <c r="JU35" s="7"/>
      <c r="JV35" s="7"/>
      <c r="JW35" s="7"/>
      <c r="JX35" s="7"/>
    </row>
    <row r="36" spans="1:284" x14ac:dyDescent="0.3">
      <c r="A36" t="s">
        <v>76</v>
      </c>
      <c r="B36" s="10" t="s">
        <v>55</v>
      </c>
      <c r="C36" s="7"/>
      <c r="D36" s="7"/>
      <c r="E36" s="10" t="s">
        <v>55</v>
      </c>
      <c r="F36" s="7"/>
      <c r="G36" s="7"/>
      <c r="H36" s="10" t="s">
        <v>55</v>
      </c>
      <c r="I36" s="9">
        <v>10</v>
      </c>
      <c r="J36" s="9">
        <v>3000</v>
      </c>
      <c r="K36" s="10" t="s">
        <v>55</v>
      </c>
      <c r="L36" s="7"/>
      <c r="M36" s="7"/>
      <c r="N36" s="10" t="s">
        <v>55</v>
      </c>
      <c r="O36" s="7"/>
      <c r="P36" s="7"/>
      <c r="Q36" s="10" t="s">
        <v>55</v>
      </c>
      <c r="R36" s="7"/>
      <c r="S36" s="7"/>
      <c r="T36" s="10" t="s">
        <v>55</v>
      </c>
      <c r="U36" s="9">
        <v>10</v>
      </c>
      <c r="V36" s="9">
        <v>3000</v>
      </c>
      <c r="W36" s="10" t="s">
        <v>55</v>
      </c>
      <c r="X36" s="7"/>
      <c r="Y36" s="7"/>
      <c r="Z36" s="10" t="s">
        <v>55</v>
      </c>
      <c r="AA36" s="7"/>
      <c r="AB36" s="7"/>
      <c r="AC36" s="10" t="s">
        <v>55</v>
      </c>
      <c r="AD36" s="7"/>
      <c r="AE36" s="7"/>
      <c r="AF36" s="10" t="s">
        <v>55</v>
      </c>
      <c r="AG36" s="9">
        <v>6</v>
      </c>
      <c r="AH36" s="9">
        <v>2500</v>
      </c>
      <c r="AI36" s="10" t="s">
        <v>55</v>
      </c>
      <c r="AJ36" s="7"/>
      <c r="AK36" s="7"/>
      <c r="AL36" s="10" t="s">
        <v>55</v>
      </c>
      <c r="AM36" s="7"/>
      <c r="AN36" s="7"/>
      <c r="AO36" s="10" t="s">
        <v>55</v>
      </c>
      <c r="AP36" s="7"/>
      <c r="AQ36" s="7"/>
      <c r="AR36" s="10" t="s">
        <v>55</v>
      </c>
      <c r="AS36" s="9">
        <v>10</v>
      </c>
      <c r="AT36" s="9">
        <v>4000</v>
      </c>
      <c r="AU36" s="10" t="s">
        <v>55</v>
      </c>
      <c r="AV36" s="7"/>
      <c r="AW36" s="7"/>
      <c r="AX36" s="10" t="s">
        <v>55</v>
      </c>
      <c r="AY36" s="7"/>
      <c r="AZ36" s="7"/>
      <c r="BA36" s="10" t="s">
        <v>55</v>
      </c>
      <c r="BB36" s="7"/>
      <c r="BC36" s="7"/>
      <c r="BD36" s="10" t="s">
        <v>55</v>
      </c>
      <c r="BE36" s="9">
        <v>16</v>
      </c>
      <c r="BF36" s="9">
        <v>8000</v>
      </c>
      <c r="BG36" s="10" t="s">
        <v>55</v>
      </c>
      <c r="BH36" s="7"/>
      <c r="BI36" s="7"/>
      <c r="BJ36" s="10" t="s">
        <v>55</v>
      </c>
      <c r="BK36" s="7"/>
      <c r="BL36" s="7"/>
      <c r="BM36" s="10" t="s">
        <v>55</v>
      </c>
      <c r="BN36" s="7"/>
      <c r="BO36" s="7"/>
      <c r="BP36" s="10" t="s">
        <v>55</v>
      </c>
      <c r="BQ36" s="9">
        <v>12</v>
      </c>
      <c r="BR36" s="9">
        <v>6000</v>
      </c>
      <c r="BS36" s="10" t="s">
        <v>55</v>
      </c>
      <c r="BT36" s="7"/>
      <c r="BU36" s="7"/>
      <c r="BV36" s="10" t="s">
        <v>55</v>
      </c>
      <c r="BW36" s="7"/>
      <c r="BX36" s="7"/>
      <c r="BY36" s="10" t="s">
        <v>55</v>
      </c>
      <c r="BZ36" s="7"/>
      <c r="CA36" s="7"/>
      <c r="CB36" s="10" t="s">
        <v>55</v>
      </c>
      <c r="CC36" s="9">
        <v>6</v>
      </c>
      <c r="CD36" s="9">
        <v>4800</v>
      </c>
      <c r="CE36" s="10" t="s">
        <v>55</v>
      </c>
      <c r="CF36" s="7"/>
      <c r="CG36" s="7"/>
      <c r="CH36" s="10" t="s">
        <v>55</v>
      </c>
      <c r="CI36" s="7"/>
      <c r="CJ36" s="7"/>
      <c r="CK36" s="10" t="s">
        <v>55</v>
      </c>
      <c r="CL36" s="7"/>
      <c r="CM36" s="7"/>
      <c r="CN36" s="10" t="s">
        <v>55</v>
      </c>
      <c r="CO36" s="9">
        <v>25</v>
      </c>
      <c r="CP36" s="9">
        <v>15000</v>
      </c>
      <c r="CQ36" s="10" t="s">
        <v>55</v>
      </c>
      <c r="CR36" s="7"/>
      <c r="CS36" s="7"/>
      <c r="CT36" s="10" t="s">
        <v>55</v>
      </c>
      <c r="CU36" s="7"/>
      <c r="CV36" s="7"/>
      <c r="CW36" s="10" t="s">
        <v>55</v>
      </c>
      <c r="CX36" s="7"/>
      <c r="CY36" s="7"/>
      <c r="CZ36" s="10" t="s">
        <v>55</v>
      </c>
      <c r="DA36" s="9">
        <v>23</v>
      </c>
      <c r="DB36" s="9">
        <v>14810</v>
      </c>
      <c r="DC36" s="10" t="s">
        <v>55</v>
      </c>
      <c r="DD36" s="7"/>
      <c r="DE36" s="7"/>
      <c r="DF36" s="10" t="s">
        <v>55</v>
      </c>
      <c r="DG36" s="7"/>
      <c r="DH36" s="7"/>
      <c r="DI36" s="10" t="s">
        <v>55</v>
      </c>
      <c r="DJ36" s="7"/>
      <c r="DK36" s="7"/>
      <c r="DL36" s="10" t="s">
        <v>55</v>
      </c>
      <c r="DM36" s="9">
        <v>11</v>
      </c>
      <c r="DN36" s="9">
        <v>10945</v>
      </c>
      <c r="DO36" s="10" t="s">
        <v>55</v>
      </c>
      <c r="DP36" s="7"/>
      <c r="DQ36" s="7"/>
      <c r="DR36" s="10" t="s">
        <v>55</v>
      </c>
      <c r="DS36" s="7"/>
      <c r="DT36" s="7"/>
      <c r="DU36" s="10" t="s">
        <v>55</v>
      </c>
      <c r="DV36" s="7"/>
      <c r="DW36" s="7"/>
      <c r="DX36" s="10" t="s">
        <v>55</v>
      </c>
      <c r="DY36" s="9">
        <v>12</v>
      </c>
      <c r="DZ36" s="9">
        <v>6000</v>
      </c>
      <c r="EA36" s="10" t="s">
        <v>55</v>
      </c>
      <c r="EB36" s="7"/>
      <c r="EC36" s="7"/>
      <c r="ED36" s="10" t="s">
        <v>55</v>
      </c>
      <c r="EE36" s="7"/>
      <c r="EF36" s="7"/>
      <c r="EG36" s="10" t="s">
        <v>55</v>
      </c>
      <c r="EH36" s="7"/>
      <c r="EI36" s="7"/>
      <c r="EJ36" s="10" t="s">
        <v>55</v>
      </c>
      <c r="EK36" s="9">
        <v>12</v>
      </c>
      <c r="EL36" s="9">
        <v>6000</v>
      </c>
      <c r="EM36" s="10" t="s">
        <v>55</v>
      </c>
      <c r="EN36" s="7"/>
      <c r="EO36" s="7"/>
      <c r="EP36" s="10" t="s">
        <v>55</v>
      </c>
      <c r="EQ36" s="7"/>
      <c r="ER36" s="7"/>
      <c r="ES36" s="10" t="s">
        <v>55</v>
      </c>
      <c r="ET36" s="7"/>
      <c r="EU36" s="7"/>
      <c r="EV36" s="10" t="s">
        <v>55</v>
      </c>
      <c r="EW36" s="9">
        <v>8</v>
      </c>
      <c r="EX36" s="9">
        <v>4000</v>
      </c>
      <c r="EY36" s="10" t="s">
        <v>55</v>
      </c>
      <c r="EZ36" s="7"/>
      <c r="FA36" s="7"/>
      <c r="FB36" s="10" t="s">
        <v>55</v>
      </c>
      <c r="FC36" s="7"/>
      <c r="FD36" s="7"/>
      <c r="FE36" s="10" t="s">
        <v>55</v>
      </c>
      <c r="FF36" s="7"/>
      <c r="FG36" s="7"/>
      <c r="FH36" s="10" t="s">
        <v>55</v>
      </c>
      <c r="FI36" s="9">
        <v>8</v>
      </c>
      <c r="FJ36" s="9">
        <v>7200</v>
      </c>
      <c r="FK36" s="10" t="s">
        <v>55</v>
      </c>
      <c r="FL36" s="7"/>
      <c r="FM36" s="7"/>
      <c r="FN36" s="10" t="s">
        <v>55</v>
      </c>
      <c r="FO36" s="7"/>
      <c r="FP36" s="7"/>
      <c r="FQ36" s="10" t="s">
        <v>55</v>
      </c>
      <c r="FR36" s="7"/>
      <c r="FS36" s="7"/>
      <c r="FT36" s="10" t="s">
        <v>55</v>
      </c>
      <c r="FU36" s="9">
        <v>10</v>
      </c>
      <c r="FV36" s="9">
        <v>10000</v>
      </c>
      <c r="FW36" s="10" t="s">
        <v>55</v>
      </c>
      <c r="FX36" s="7"/>
      <c r="FY36" s="7"/>
      <c r="FZ36" s="10" t="s">
        <v>55</v>
      </c>
      <c r="GA36" s="7"/>
      <c r="GB36" s="7"/>
      <c r="GC36" s="10" t="s">
        <v>55</v>
      </c>
      <c r="GD36" s="7"/>
      <c r="GE36" s="7"/>
      <c r="GF36" s="10" t="s">
        <v>55</v>
      </c>
      <c r="GG36" s="7">
        <v>12</v>
      </c>
      <c r="GH36" s="7">
        <v>8500</v>
      </c>
      <c r="GI36" s="10" t="s">
        <v>55</v>
      </c>
      <c r="GJ36" s="7"/>
      <c r="GK36" s="7"/>
      <c r="GL36" s="10" t="s">
        <v>55</v>
      </c>
      <c r="GM36" s="7"/>
      <c r="GN36" s="7"/>
      <c r="GO36" s="6" t="s">
        <v>55</v>
      </c>
      <c r="GP36" s="7"/>
      <c r="GQ36" s="7"/>
      <c r="GR36" s="6" t="s">
        <v>55</v>
      </c>
      <c r="GS36" s="7">
        <v>5</v>
      </c>
      <c r="GT36" s="7">
        <v>4800</v>
      </c>
      <c r="GU36" s="10"/>
      <c r="GV36" s="7"/>
      <c r="GW36" s="7"/>
      <c r="GX36" s="10" t="s">
        <v>55</v>
      </c>
      <c r="GY36" s="7"/>
      <c r="GZ36" s="7"/>
      <c r="HA36" s="10" t="s">
        <v>55</v>
      </c>
      <c r="HB36" s="7"/>
      <c r="HC36" s="7"/>
      <c r="HD36" s="10" t="s">
        <v>55</v>
      </c>
      <c r="HE36" s="7">
        <v>7</v>
      </c>
      <c r="HF36" s="7">
        <v>3000</v>
      </c>
      <c r="HG36" s="10" t="s">
        <v>55</v>
      </c>
      <c r="HH36" s="7"/>
      <c r="HI36" s="7"/>
      <c r="HJ36" s="10" t="s">
        <v>55</v>
      </c>
      <c r="HK36" s="7"/>
      <c r="HL36" s="7"/>
      <c r="HM36" s="10" t="s">
        <v>55</v>
      </c>
      <c r="HN36" s="7"/>
      <c r="HO36" s="7"/>
      <c r="HP36" s="10" t="s">
        <v>55</v>
      </c>
      <c r="HQ36" s="7">
        <v>3</v>
      </c>
      <c r="HR36" s="7">
        <v>2000</v>
      </c>
      <c r="HS36" s="10" t="s">
        <v>55</v>
      </c>
      <c r="HT36" s="7"/>
      <c r="HU36" s="7"/>
      <c r="HV36" s="10" t="s">
        <v>55</v>
      </c>
      <c r="HW36" s="7"/>
      <c r="HX36" s="7"/>
      <c r="HY36" s="6" t="s">
        <v>55</v>
      </c>
      <c r="HZ36" s="7"/>
      <c r="IA36" s="7"/>
      <c r="IB36" s="6" t="s">
        <v>55</v>
      </c>
      <c r="IC36" s="7">
        <v>1</v>
      </c>
      <c r="ID36" s="7">
        <v>200</v>
      </c>
      <c r="IE36" s="10"/>
      <c r="IF36" s="7"/>
      <c r="IG36" s="7"/>
      <c r="II36" s="7"/>
      <c r="IJ36" s="7"/>
      <c r="IK36" s="7"/>
      <c r="IL36" s="7"/>
      <c r="IM36" s="7"/>
      <c r="IN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E36" s="7"/>
      <c r="JF36" s="7"/>
      <c r="JH36" s="7"/>
      <c r="JI36" s="7"/>
      <c r="JJ36" s="7"/>
      <c r="JK36" s="7"/>
      <c r="JL36" s="7"/>
      <c r="JM36" s="7"/>
      <c r="JO36" s="7"/>
      <c r="JP36" s="7"/>
      <c r="JQ36" s="7"/>
      <c r="JR36" s="7"/>
      <c r="JT36" s="7"/>
      <c r="JU36" s="7"/>
      <c r="JV36" s="7"/>
      <c r="JW36" s="7"/>
      <c r="JX36" s="7"/>
    </row>
    <row r="37" spans="1:284" x14ac:dyDescent="0.3">
      <c r="A37" t="s">
        <v>219</v>
      </c>
      <c r="B37" s="10" t="s">
        <v>38</v>
      </c>
      <c r="C37" s="7"/>
      <c r="D37" s="7"/>
      <c r="E37" s="10" t="s">
        <v>38</v>
      </c>
      <c r="F37" s="7"/>
      <c r="G37" s="7"/>
      <c r="H37" s="10" t="s">
        <v>38</v>
      </c>
      <c r="I37" s="9"/>
      <c r="J37" s="9"/>
      <c r="K37" s="10" t="s">
        <v>38</v>
      </c>
      <c r="L37" s="7"/>
      <c r="M37" s="7"/>
      <c r="N37" s="10" t="s">
        <v>38</v>
      </c>
      <c r="O37" s="7"/>
      <c r="P37" s="7"/>
      <c r="Q37" s="10" t="s">
        <v>38</v>
      </c>
      <c r="R37" s="7"/>
      <c r="S37" s="7"/>
      <c r="T37" s="10" t="s">
        <v>38</v>
      </c>
      <c r="U37" s="9"/>
      <c r="V37" s="9"/>
      <c r="W37" s="10" t="s">
        <v>38</v>
      </c>
      <c r="X37" s="7"/>
      <c r="Y37" s="7"/>
      <c r="Z37" s="10" t="s">
        <v>38</v>
      </c>
      <c r="AA37" s="7"/>
      <c r="AB37" s="7"/>
      <c r="AC37" s="10" t="s">
        <v>38</v>
      </c>
      <c r="AD37" s="7"/>
      <c r="AE37" s="7"/>
      <c r="AF37" s="10" t="s">
        <v>38</v>
      </c>
      <c r="AG37" s="9"/>
      <c r="AH37" s="9"/>
      <c r="AI37" s="10" t="s">
        <v>38</v>
      </c>
      <c r="AJ37" s="7"/>
      <c r="AK37" s="7"/>
      <c r="AL37" s="10" t="s">
        <v>38</v>
      </c>
      <c r="AM37" s="7"/>
      <c r="AN37" s="7"/>
      <c r="AO37" s="10" t="s">
        <v>38</v>
      </c>
      <c r="AP37" s="7"/>
      <c r="AQ37" s="7"/>
      <c r="AR37" s="10" t="s">
        <v>38</v>
      </c>
      <c r="AS37" s="9"/>
      <c r="AT37" s="9"/>
      <c r="AU37" s="10" t="s">
        <v>38</v>
      </c>
      <c r="AV37" s="7"/>
      <c r="AW37" s="7"/>
      <c r="AX37" s="10" t="s">
        <v>38</v>
      </c>
      <c r="AY37" s="7"/>
      <c r="AZ37" s="7"/>
      <c r="BA37" s="10" t="s">
        <v>38</v>
      </c>
      <c r="BB37" s="7"/>
      <c r="BC37" s="7"/>
      <c r="BD37" s="10" t="s">
        <v>38</v>
      </c>
      <c r="BE37" s="9"/>
      <c r="BF37" s="9"/>
      <c r="BG37" s="10" t="s">
        <v>38</v>
      </c>
      <c r="BH37" s="7"/>
      <c r="BI37" s="7"/>
      <c r="BJ37" s="10" t="s">
        <v>38</v>
      </c>
      <c r="BK37" s="7"/>
      <c r="BL37" s="7"/>
      <c r="BM37" s="10" t="s">
        <v>38</v>
      </c>
      <c r="BN37" s="7"/>
      <c r="BO37" s="7"/>
      <c r="BP37" s="10" t="s">
        <v>38</v>
      </c>
      <c r="BQ37" s="9"/>
      <c r="BR37" s="9"/>
      <c r="BS37" s="10" t="s">
        <v>38</v>
      </c>
      <c r="BT37" s="7"/>
      <c r="BU37" s="7"/>
      <c r="BV37" s="10" t="s">
        <v>38</v>
      </c>
      <c r="BW37" s="7"/>
      <c r="BX37" s="7"/>
      <c r="BY37" s="10" t="s">
        <v>38</v>
      </c>
      <c r="BZ37" s="7"/>
      <c r="CA37" s="7"/>
      <c r="CB37" s="10" t="s">
        <v>38</v>
      </c>
      <c r="CC37" s="9"/>
      <c r="CD37" s="9"/>
      <c r="CE37" s="10" t="s">
        <v>38</v>
      </c>
      <c r="CF37" s="7"/>
      <c r="CG37" s="7"/>
      <c r="CH37" s="10" t="s">
        <v>38</v>
      </c>
      <c r="CI37" s="7"/>
      <c r="CJ37" s="7"/>
      <c r="CK37" s="10" t="s">
        <v>38</v>
      </c>
      <c r="CL37" s="7"/>
      <c r="CM37" s="7"/>
      <c r="CN37" s="10" t="s">
        <v>38</v>
      </c>
      <c r="CO37" s="9"/>
      <c r="CP37" s="9"/>
      <c r="CQ37" s="10" t="s">
        <v>38</v>
      </c>
      <c r="CR37" s="7"/>
      <c r="CS37" s="7"/>
      <c r="CT37" s="10" t="s">
        <v>38</v>
      </c>
      <c r="CU37" s="7"/>
      <c r="CV37" s="7"/>
      <c r="CW37" s="10" t="s">
        <v>38</v>
      </c>
      <c r="CX37" s="7"/>
      <c r="CY37" s="7"/>
      <c r="CZ37" s="10" t="s">
        <v>38</v>
      </c>
      <c r="DA37" s="9"/>
      <c r="DB37" s="9"/>
      <c r="DC37" s="10" t="s">
        <v>38</v>
      </c>
      <c r="DD37" s="7"/>
      <c r="DE37" s="7"/>
      <c r="DF37" s="10" t="s">
        <v>38</v>
      </c>
      <c r="DG37" s="7"/>
      <c r="DH37" s="7"/>
      <c r="DI37" s="10" t="s">
        <v>38</v>
      </c>
      <c r="DJ37" s="7"/>
      <c r="DK37" s="7"/>
      <c r="DL37" s="10" t="s">
        <v>38</v>
      </c>
      <c r="DM37" s="9"/>
      <c r="DN37" s="9"/>
      <c r="DO37" s="10" t="s">
        <v>38</v>
      </c>
      <c r="DP37" s="7"/>
      <c r="DQ37" s="7"/>
      <c r="DR37" s="10" t="s">
        <v>38</v>
      </c>
      <c r="DS37" s="7"/>
      <c r="DT37" s="7"/>
      <c r="DU37" s="10" t="s">
        <v>38</v>
      </c>
      <c r="DV37" s="7"/>
      <c r="DW37" s="7"/>
      <c r="DX37" s="10" t="s">
        <v>38</v>
      </c>
      <c r="DY37" s="9"/>
      <c r="DZ37" s="9"/>
      <c r="EA37" s="10" t="s">
        <v>38</v>
      </c>
      <c r="EB37" s="7"/>
      <c r="EC37" s="7"/>
      <c r="ED37" s="10" t="s">
        <v>38</v>
      </c>
      <c r="EE37" s="7"/>
      <c r="EF37" s="7"/>
      <c r="EG37" s="10" t="s">
        <v>38</v>
      </c>
      <c r="EH37" s="7"/>
      <c r="EI37" s="7"/>
      <c r="EJ37" s="10" t="s">
        <v>38</v>
      </c>
      <c r="EK37" s="9"/>
      <c r="EL37" s="9"/>
      <c r="EM37" s="10" t="s">
        <v>38</v>
      </c>
      <c r="EN37" s="7"/>
      <c r="EO37" s="7"/>
      <c r="EP37" s="10" t="s">
        <v>38</v>
      </c>
      <c r="EQ37" s="7"/>
      <c r="ER37" s="7"/>
      <c r="ES37" s="10" t="s">
        <v>38</v>
      </c>
      <c r="ET37" s="7"/>
      <c r="EU37" s="7"/>
      <c r="EV37" s="10" t="s">
        <v>38</v>
      </c>
      <c r="EW37" s="9"/>
      <c r="EX37" s="9"/>
      <c r="EY37" s="10" t="s">
        <v>38</v>
      </c>
      <c r="EZ37" s="7"/>
      <c r="FA37" s="7"/>
      <c r="FB37" s="10" t="s">
        <v>38</v>
      </c>
      <c r="FC37" s="7"/>
      <c r="FD37" s="7"/>
      <c r="FE37" s="10" t="s">
        <v>38</v>
      </c>
      <c r="FF37" s="7"/>
      <c r="FG37" s="7"/>
      <c r="FH37" s="10" t="s">
        <v>38</v>
      </c>
      <c r="FI37" s="9"/>
      <c r="FJ37" s="9"/>
      <c r="FK37" s="10" t="s">
        <v>38</v>
      </c>
      <c r="FL37" s="7"/>
      <c r="FM37" s="7"/>
      <c r="FN37" s="10" t="s">
        <v>38</v>
      </c>
      <c r="FO37" s="7"/>
      <c r="FP37" s="7"/>
      <c r="FQ37" s="10" t="s">
        <v>38</v>
      </c>
      <c r="FR37" s="7"/>
      <c r="FS37" s="7"/>
      <c r="FT37" s="10" t="s">
        <v>38</v>
      </c>
      <c r="FU37" s="9">
        <v>400</v>
      </c>
      <c r="FV37" s="9">
        <v>800</v>
      </c>
      <c r="FW37" s="10" t="s">
        <v>38</v>
      </c>
      <c r="FX37" s="7"/>
      <c r="FY37" s="7"/>
      <c r="FZ37" s="10" t="s">
        <v>38</v>
      </c>
      <c r="GA37" s="7"/>
      <c r="GB37" s="7"/>
      <c r="GC37" s="10" t="s">
        <v>38</v>
      </c>
      <c r="GD37" s="7"/>
      <c r="GE37" s="7"/>
      <c r="GF37" s="10" t="s">
        <v>38</v>
      </c>
      <c r="GG37" s="7">
        <v>239</v>
      </c>
      <c r="GH37" s="7">
        <v>800</v>
      </c>
      <c r="GI37" s="10" t="s">
        <v>38</v>
      </c>
      <c r="GJ37" s="7"/>
      <c r="GK37" s="7"/>
      <c r="GL37" s="10" t="s">
        <v>38</v>
      </c>
      <c r="GM37" s="7"/>
      <c r="GN37" s="7"/>
      <c r="GO37" s="6" t="s">
        <v>38</v>
      </c>
      <c r="GP37" s="7"/>
      <c r="GQ37" s="7"/>
      <c r="GR37" s="6" t="s">
        <v>38</v>
      </c>
      <c r="GS37" s="7">
        <v>435</v>
      </c>
      <c r="GT37" s="7">
        <v>1700</v>
      </c>
      <c r="GU37" s="10"/>
      <c r="GV37" s="7"/>
      <c r="GW37" s="7"/>
      <c r="GX37" s="10" t="s">
        <v>38</v>
      </c>
      <c r="GY37" s="7"/>
      <c r="GZ37" s="7"/>
      <c r="HA37" s="10" t="s">
        <v>38</v>
      </c>
      <c r="HB37" s="7"/>
      <c r="HC37" s="7"/>
      <c r="HD37" s="10" t="s">
        <v>38</v>
      </c>
      <c r="HE37" s="7">
        <v>400</v>
      </c>
      <c r="HF37" s="7">
        <v>1200</v>
      </c>
      <c r="HG37" s="10" t="s">
        <v>38</v>
      </c>
      <c r="HH37" s="7"/>
      <c r="HI37" s="7"/>
      <c r="HJ37" s="10" t="s">
        <v>38</v>
      </c>
      <c r="HK37" s="7"/>
      <c r="HL37" s="7"/>
      <c r="HM37" s="10" t="s">
        <v>38</v>
      </c>
      <c r="HN37" s="7"/>
      <c r="HO37" s="7"/>
      <c r="HP37" s="10" t="s">
        <v>38</v>
      </c>
      <c r="HQ37" s="7">
        <v>500</v>
      </c>
      <c r="HR37" s="7">
        <v>1600</v>
      </c>
      <c r="HS37" s="10" t="s">
        <v>38</v>
      </c>
      <c r="HT37" s="7"/>
      <c r="HU37" s="7"/>
      <c r="HV37" s="10" t="s">
        <v>38</v>
      </c>
      <c r="HW37" s="7"/>
      <c r="HX37" s="7"/>
      <c r="HY37" s="6" t="s">
        <v>38</v>
      </c>
      <c r="HZ37" s="7"/>
      <c r="IA37" s="7"/>
      <c r="IB37" s="6" t="s">
        <v>38</v>
      </c>
      <c r="IC37" s="7">
        <v>18</v>
      </c>
      <c r="ID37" s="7">
        <v>55</v>
      </c>
      <c r="IE37" s="10"/>
      <c r="IF37" s="7"/>
      <c r="IG37" s="7"/>
      <c r="II37" s="7"/>
      <c r="IJ37" s="7"/>
      <c r="IK37" s="7"/>
      <c r="IL37" s="7"/>
      <c r="IM37" s="7"/>
      <c r="IN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E37" s="7"/>
      <c r="JF37" s="7"/>
      <c r="JH37" s="7"/>
      <c r="JI37" s="7"/>
      <c r="JJ37" s="7"/>
      <c r="JK37" s="7"/>
      <c r="JL37" s="7"/>
      <c r="JM37" s="7"/>
      <c r="JO37" s="7"/>
      <c r="JP37" s="7"/>
      <c r="JQ37" s="7"/>
      <c r="JR37" s="7"/>
      <c r="JT37" s="7"/>
      <c r="JU37" s="7"/>
      <c r="JV37" s="7"/>
      <c r="JW37" s="7"/>
      <c r="JX37" s="7"/>
    </row>
    <row r="38" spans="1:284" x14ac:dyDescent="0.3">
      <c r="A38" t="s">
        <v>220</v>
      </c>
      <c r="B38" s="10" t="s">
        <v>39</v>
      </c>
      <c r="C38" s="7"/>
      <c r="D38" s="7"/>
      <c r="E38" s="10" t="s">
        <v>39</v>
      </c>
      <c r="F38" s="7"/>
      <c r="G38" s="7"/>
      <c r="H38" s="10" t="s">
        <v>39</v>
      </c>
      <c r="I38" s="9"/>
      <c r="J38" s="9"/>
      <c r="K38" s="10" t="s">
        <v>39</v>
      </c>
      <c r="L38" s="7"/>
      <c r="M38" s="7"/>
      <c r="N38" s="10" t="s">
        <v>39</v>
      </c>
      <c r="O38" s="7"/>
      <c r="P38" s="7"/>
      <c r="Q38" s="10" t="s">
        <v>39</v>
      </c>
      <c r="R38" s="7"/>
      <c r="S38" s="7"/>
      <c r="T38" s="10" t="s">
        <v>39</v>
      </c>
      <c r="U38" s="9"/>
      <c r="V38" s="9"/>
      <c r="W38" s="10" t="s">
        <v>39</v>
      </c>
      <c r="X38" s="7"/>
      <c r="Y38" s="7"/>
      <c r="Z38" s="10" t="s">
        <v>39</v>
      </c>
      <c r="AA38" s="7"/>
      <c r="AB38" s="7"/>
      <c r="AC38" s="10" t="s">
        <v>39</v>
      </c>
      <c r="AD38" s="7"/>
      <c r="AE38" s="7"/>
      <c r="AF38" s="10" t="s">
        <v>39</v>
      </c>
      <c r="AG38" s="9"/>
      <c r="AH38" s="9"/>
      <c r="AI38" s="10" t="s">
        <v>39</v>
      </c>
      <c r="AJ38" s="7"/>
      <c r="AK38" s="7"/>
      <c r="AL38" s="10" t="s">
        <v>39</v>
      </c>
      <c r="AM38" s="7"/>
      <c r="AN38" s="7"/>
      <c r="AO38" s="10" t="s">
        <v>39</v>
      </c>
      <c r="AP38" s="7"/>
      <c r="AQ38" s="7"/>
      <c r="AR38" s="10" t="s">
        <v>39</v>
      </c>
      <c r="AS38" s="9"/>
      <c r="AT38" s="9"/>
      <c r="AU38" s="10" t="s">
        <v>39</v>
      </c>
      <c r="AV38" s="7"/>
      <c r="AW38" s="7"/>
      <c r="AX38" s="10" t="s">
        <v>39</v>
      </c>
      <c r="AY38" s="7"/>
      <c r="AZ38" s="7"/>
      <c r="BA38" s="10" t="s">
        <v>39</v>
      </c>
      <c r="BB38" s="7"/>
      <c r="BC38" s="7"/>
      <c r="BD38" s="10" t="s">
        <v>39</v>
      </c>
      <c r="BE38" s="9"/>
      <c r="BF38" s="9"/>
      <c r="BG38" s="10" t="s">
        <v>39</v>
      </c>
      <c r="BH38" s="7"/>
      <c r="BI38" s="7"/>
      <c r="BJ38" s="10" t="s">
        <v>39</v>
      </c>
      <c r="BK38" s="7"/>
      <c r="BL38" s="7"/>
      <c r="BM38" s="10" t="s">
        <v>39</v>
      </c>
      <c r="BN38" s="7"/>
      <c r="BO38" s="7"/>
      <c r="BP38" s="10" t="s">
        <v>39</v>
      </c>
      <c r="BQ38" s="9"/>
      <c r="BR38" s="9"/>
      <c r="BS38" s="10" t="s">
        <v>39</v>
      </c>
      <c r="BT38" s="7"/>
      <c r="BU38" s="7"/>
      <c r="BV38" s="10" t="s">
        <v>39</v>
      </c>
      <c r="BW38" s="7"/>
      <c r="BX38" s="7"/>
      <c r="BY38" s="10" t="s">
        <v>39</v>
      </c>
      <c r="BZ38" s="7"/>
      <c r="CA38" s="7"/>
      <c r="CB38" s="10" t="s">
        <v>39</v>
      </c>
      <c r="CC38" s="9"/>
      <c r="CD38" s="9"/>
      <c r="CE38" s="10" t="s">
        <v>39</v>
      </c>
      <c r="CF38" s="7"/>
      <c r="CG38" s="7"/>
      <c r="CH38" s="10" t="s">
        <v>39</v>
      </c>
      <c r="CI38" s="7"/>
      <c r="CJ38" s="7"/>
      <c r="CK38" s="10" t="s">
        <v>39</v>
      </c>
      <c r="CL38" s="7"/>
      <c r="CM38" s="7"/>
      <c r="CN38" s="10" t="s">
        <v>39</v>
      </c>
      <c r="CO38" s="9"/>
      <c r="CP38" s="9"/>
      <c r="CQ38" s="10" t="s">
        <v>39</v>
      </c>
      <c r="CR38" s="7"/>
      <c r="CS38" s="7"/>
      <c r="CT38" s="10" t="s">
        <v>39</v>
      </c>
      <c r="CU38" s="7"/>
      <c r="CV38" s="7"/>
      <c r="CW38" s="10" t="s">
        <v>39</v>
      </c>
      <c r="CX38" s="7"/>
      <c r="CY38" s="7"/>
      <c r="CZ38" s="10" t="s">
        <v>39</v>
      </c>
      <c r="DA38" s="9"/>
      <c r="DB38" s="9"/>
      <c r="DC38" s="10" t="s">
        <v>39</v>
      </c>
      <c r="DD38" s="7"/>
      <c r="DE38" s="7"/>
      <c r="DF38" s="10" t="s">
        <v>39</v>
      </c>
      <c r="DG38" s="7"/>
      <c r="DH38" s="7"/>
      <c r="DI38" s="10" t="s">
        <v>39</v>
      </c>
      <c r="DJ38" s="7"/>
      <c r="DK38" s="7"/>
      <c r="DL38" s="10" t="s">
        <v>39</v>
      </c>
      <c r="DM38" s="9"/>
      <c r="DN38" s="9"/>
      <c r="DO38" s="10" t="s">
        <v>39</v>
      </c>
      <c r="DP38" s="7"/>
      <c r="DQ38" s="7"/>
      <c r="DR38" s="10" t="s">
        <v>39</v>
      </c>
      <c r="DS38" s="7"/>
      <c r="DT38" s="7"/>
      <c r="DU38" s="10" t="s">
        <v>39</v>
      </c>
      <c r="DV38" s="7"/>
      <c r="DW38" s="7"/>
      <c r="DX38" s="10" t="s">
        <v>39</v>
      </c>
      <c r="DY38" s="9"/>
      <c r="DZ38" s="9"/>
      <c r="EA38" s="10" t="s">
        <v>39</v>
      </c>
      <c r="EB38" s="7"/>
      <c r="EC38" s="7"/>
      <c r="ED38" s="10" t="s">
        <v>39</v>
      </c>
      <c r="EE38" s="7"/>
      <c r="EF38" s="7"/>
      <c r="EG38" s="10" t="s">
        <v>39</v>
      </c>
      <c r="EH38" s="7"/>
      <c r="EI38" s="7"/>
      <c r="EJ38" s="10" t="s">
        <v>39</v>
      </c>
      <c r="EK38" s="9"/>
      <c r="EL38" s="9"/>
      <c r="EM38" s="10" t="s">
        <v>39</v>
      </c>
      <c r="EN38" s="7"/>
      <c r="EO38" s="7"/>
      <c r="EP38" s="10" t="s">
        <v>39</v>
      </c>
      <c r="EQ38" s="7"/>
      <c r="ER38" s="7"/>
      <c r="ES38" s="10" t="s">
        <v>39</v>
      </c>
      <c r="ET38" s="7"/>
      <c r="EU38" s="7"/>
      <c r="EV38" s="10" t="s">
        <v>39</v>
      </c>
      <c r="EW38" s="9"/>
      <c r="EX38" s="9"/>
      <c r="EY38" s="10" t="s">
        <v>39</v>
      </c>
      <c r="EZ38" s="7"/>
      <c r="FA38" s="7"/>
      <c r="FB38" s="10" t="s">
        <v>39</v>
      </c>
      <c r="FC38" s="7"/>
      <c r="FD38" s="7"/>
      <c r="FE38" s="10" t="s">
        <v>39</v>
      </c>
      <c r="FF38" s="7"/>
      <c r="FG38" s="7"/>
      <c r="FH38" s="10" t="s">
        <v>39</v>
      </c>
      <c r="FI38" s="9"/>
      <c r="FJ38" s="9"/>
      <c r="FK38" s="10" t="s">
        <v>39</v>
      </c>
      <c r="FL38" s="7"/>
      <c r="FM38" s="7"/>
      <c r="FN38" s="10" t="s">
        <v>39</v>
      </c>
      <c r="FO38" s="7"/>
      <c r="FP38" s="7"/>
      <c r="FQ38" s="10" t="s">
        <v>39</v>
      </c>
      <c r="FR38" s="7"/>
      <c r="FS38" s="7"/>
      <c r="FT38" s="10" t="s">
        <v>39</v>
      </c>
      <c r="FU38" s="9"/>
      <c r="FV38" s="9"/>
      <c r="FW38" s="10" t="s">
        <v>39</v>
      </c>
      <c r="FX38" s="7">
        <v>45</v>
      </c>
      <c r="FY38" s="7">
        <v>600</v>
      </c>
      <c r="FZ38" s="10" t="s">
        <v>39</v>
      </c>
      <c r="GA38" s="7"/>
      <c r="GB38" s="7"/>
      <c r="GC38" s="10" t="s">
        <v>39</v>
      </c>
      <c r="GD38" s="7"/>
      <c r="GE38" s="7"/>
      <c r="GF38" s="10" t="s">
        <v>39</v>
      </c>
      <c r="GG38" s="7"/>
      <c r="GH38" s="7"/>
      <c r="GI38" s="10" t="s">
        <v>39</v>
      </c>
      <c r="GJ38" s="7">
        <v>3</v>
      </c>
      <c r="GK38" s="7">
        <v>53</v>
      </c>
      <c r="GL38" s="10" t="s">
        <v>39</v>
      </c>
      <c r="GM38" s="7"/>
      <c r="GN38" s="7"/>
      <c r="GO38" s="10" t="s">
        <v>39</v>
      </c>
      <c r="GP38" s="7"/>
      <c r="GQ38" s="7"/>
      <c r="GR38" s="10" t="s">
        <v>39</v>
      </c>
      <c r="GS38" s="7"/>
      <c r="GT38" s="7"/>
      <c r="GU38" s="6" t="s">
        <v>39</v>
      </c>
      <c r="GV38" s="7">
        <v>10</v>
      </c>
      <c r="GW38" s="7">
        <v>200</v>
      </c>
      <c r="GX38" s="10" t="s">
        <v>39</v>
      </c>
      <c r="GY38" s="7"/>
      <c r="GZ38" s="7"/>
      <c r="HA38" s="10" t="s">
        <v>39</v>
      </c>
      <c r="HB38" s="7"/>
      <c r="HC38" s="7"/>
      <c r="HD38" s="10" t="s">
        <v>39</v>
      </c>
      <c r="HE38" s="7"/>
      <c r="HF38" s="7"/>
      <c r="HG38" s="10" t="s">
        <v>39</v>
      </c>
      <c r="HH38" s="7">
        <v>15</v>
      </c>
      <c r="HI38" s="7">
        <v>270</v>
      </c>
      <c r="HJ38" s="10" t="s">
        <v>39</v>
      </c>
      <c r="HK38" s="7"/>
      <c r="HL38" s="7"/>
      <c r="HM38" s="10" t="s">
        <v>39</v>
      </c>
      <c r="HN38" s="7"/>
      <c r="HO38" s="7"/>
      <c r="HP38" s="10" t="s">
        <v>39</v>
      </c>
      <c r="HQ38" s="7"/>
      <c r="HR38" s="7"/>
      <c r="HS38" s="10" t="s">
        <v>39</v>
      </c>
      <c r="HT38" s="7">
        <v>12</v>
      </c>
      <c r="HU38" s="7">
        <v>200</v>
      </c>
      <c r="HV38" s="10" t="s">
        <v>39</v>
      </c>
      <c r="HW38" s="7"/>
      <c r="HX38" s="7"/>
      <c r="HY38" s="10" t="s">
        <v>39</v>
      </c>
      <c r="HZ38" s="7"/>
      <c r="IA38" s="7"/>
      <c r="IB38" s="10" t="s">
        <v>39</v>
      </c>
      <c r="IC38" s="7"/>
      <c r="ID38" s="7"/>
      <c r="IE38" s="6" t="s">
        <v>39</v>
      </c>
      <c r="IF38" s="7">
        <v>45</v>
      </c>
      <c r="IG38" s="7">
        <v>500</v>
      </c>
      <c r="II38" s="7"/>
      <c r="IJ38" s="7"/>
      <c r="IK38" s="7"/>
      <c r="IL38" s="7"/>
      <c r="IM38" s="7"/>
      <c r="IN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E38" s="7"/>
      <c r="JF38" s="7"/>
      <c r="JH38" s="7"/>
      <c r="JI38" s="7"/>
      <c r="JJ38" s="7"/>
      <c r="JK38" s="7"/>
      <c r="JL38" s="7"/>
      <c r="JM38" s="7"/>
      <c r="JO38" s="7"/>
      <c r="JP38" s="7"/>
      <c r="JQ38" s="7"/>
      <c r="JR38" s="7"/>
      <c r="JT38" s="7"/>
      <c r="JU38" s="7"/>
      <c r="JV38" s="7"/>
      <c r="JW38" s="7"/>
      <c r="JX38" s="7"/>
    </row>
    <row r="39" spans="1:284" x14ac:dyDescent="0.3">
      <c r="A39" t="s">
        <v>221</v>
      </c>
      <c r="B39" s="10" t="s">
        <v>54</v>
      </c>
      <c r="C39" s="7"/>
      <c r="D39" s="7"/>
      <c r="E39" s="10" t="s">
        <v>54</v>
      </c>
      <c r="F39" s="7"/>
      <c r="G39" s="7"/>
      <c r="H39" s="10" t="s">
        <v>54</v>
      </c>
      <c r="I39" s="9"/>
      <c r="J39" s="9"/>
      <c r="K39" s="10" t="s">
        <v>54</v>
      </c>
      <c r="L39" s="7"/>
      <c r="M39" s="7"/>
      <c r="N39" s="10" t="s">
        <v>54</v>
      </c>
      <c r="O39" s="7"/>
      <c r="P39" s="7"/>
      <c r="Q39" s="10" t="s">
        <v>54</v>
      </c>
      <c r="R39" s="7"/>
      <c r="S39" s="7"/>
      <c r="T39" s="10" t="s">
        <v>54</v>
      </c>
      <c r="U39" s="9"/>
      <c r="V39" s="9"/>
      <c r="W39" s="10" t="s">
        <v>54</v>
      </c>
      <c r="X39" s="7"/>
      <c r="Y39" s="7"/>
      <c r="Z39" s="10" t="s">
        <v>54</v>
      </c>
      <c r="AA39" s="7"/>
      <c r="AB39" s="7"/>
      <c r="AC39" s="10" t="s">
        <v>54</v>
      </c>
      <c r="AD39" s="7"/>
      <c r="AE39" s="7"/>
      <c r="AF39" s="10" t="s">
        <v>54</v>
      </c>
      <c r="AG39" s="9"/>
      <c r="AH39" s="9"/>
      <c r="AI39" s="10" t="s">
        <v>54</v>
      </c>
      <c r="AJ39" s="7"/>
      <c r="AK39" s="7"/>
      <c r="AL39" s="10" t="s">
        <v>54</v>
      </c>
      <c r="AM39" s="7"/>
      <c r="AN39" s="7"/>
      <c r="AO39" s="10" t="s">
        <v>54</v>
      </c>
      <c r="AP39" s="7"/>
      <c r="AQ39" s="7"/>
      <c r="AR39" s="10" t="s">
        <v>54</v>
      </c>
      <c r="AS39" s="9"/>
      <c r="AT39" s="9"/>
      <c r="AU39" s="10" t="s">
        <v>54</v>
      </c>
      <c r="AV39" s="7"/>
      <c r="AW39" s="7"/>
      <c r="AX39" s="10" t="s">
        <v>54</v>
      </c>
      <c r="AY39" s="7"/>
      <c r="AZ39" s="7"/>
      <c r="BA39" s="10" t="s">
        <v>54</v>
      </c>
      <c r="BB39" s="7"/>
      <c r="BC39" s="7"/>
      <c r="BD39" s="10" t="s">
        <v>54</v>
      </c>
      <c r="BE39" s="9"/>
      <c r="BF39" s="9"/>
      <c r="BG39" s="10" t="s">
        <v>54</v>
      </c>
      <c r="BH39" s="7"/>
      <c r="BI39" s="7"/>
      <c r="BJ39" s="10" t="s">
        <v>54</v>
      </c>
      <c r="BK39" s="7"/>
      <c r="BL39" s="7"/>
      <c r="BM39" s="10" t="s">
        <v>54</v>
      </c>
      <c r="BN39" s="7"/>
      <c r="BO39" s="7"/>
      <c r="BP39" s="10" t="s">
        <v>54</v>
      </c>
      <c r="BQ39" s="9"/>
      <c r="BR39" s="9"/>
      <c r="BS39" s="10" t="s">
        <v>54</v>
      </c>
      <c r="BT39" s="7"/>
      <c r="BU39" s="7"/>
      <c r="BV39" s="10" t="s">
        <v>54</v>
      </c>
      <c r="BW39" s="7"/>
      <c r="BX39" s="7"/>
      <c r="BY39" s="10" t="s">
        <v>54</v>
      </c>
      <c r="BZ39" s="7"/>
      <c r="CA39" s="7"/>
      <c r="CB39" s="10" t="s">
        <v>54</v>
      </c>
      <c r="CC39" s="9"/>
      <c r="CD39" s="9"/>
      <c r="CE39" s="10" t="s">
        <v>54</v>
      </c>
      <c r="CF39" s="7"/>
      <c r="CG39" s="7"/>
      <c r="CH39" s="10" t="s">
        <v>54</v>
      </c>
      <c r="CI39" s="7"/>
      <c r="CJ39" s="7"/>
      <c r="CK39" s="10" t="s">
        <v>54</v>
      </c>
      <c r="CL39" s="7"/>
      <c r="CM39" s="7"/>
      <c r="CN39" s="10" t="s">
        <v>54</v>
      </c>
      <c r="CO39" s="9"/>
      <c r="CP39" s="9"/>
      <c r="CQ39" s="10" t="s">
        <v>54</v>
      </c>
      <c r="CR39" s="7"/>
      <c r="CS39" s="7"/>
      <c r="CT39" s="10" t="s">
        <v>54</v>
      </c>
      <c r="CU39" s="7"/>
      <c r="CV39" s="7"/>
      <c r="CW39" s="10" t="s">
        <v>54</v>
      </c>
      <c r="CX39" s="7"/>
      <c r="CY39" s="7"/>
      <c r="CZ39" s="10" t="s">
        <v>54</v>
      </c>
      <c r="DA39" s="9"/>
      <c r="DB39" s="9"/>
      <c r="DC39" s="10" t="s">
        <v>54</v>
      </c>
      <c r="DD39" s="7"/>
      <c r="DE39" s="7"/>
      <c r="DF39" s="10" t="s">
        <v>54</v>
      </c>
      <c r="DG39" s="7"/>
      <c r="DH39" s="7"/>
      <c r="DI39" s="10" t="s">
        <v>54</v>
      </c>
      <c r="DJ39" s="7"/>
      <c r="DK39" s="7"/>
      <c r="DL39" s="10" t="s">
        <v>54</v>
      </c>
      <c r="DM39" s="9"/>
      <c r="DN39" s="9"/>
      <c r="DO39" s="10" t="s">
        <v>54</v>
      </c>
      <c r="DP39" s="7"/>
      <c r="DQ39" s="7"/>
      <c r="DR39" s="10" t="s">
        <v>54</v>
      </c>
      <c r="DS39" s="7"/>
      <c r="DT39" s="7"/>
      <c r="DU39" s="10" t="s">
        <v>54</v>
      </c>
      <c r="DV39" s="7"/>
      <c r="DW39" s="7"/>
      <c r="DX39" s="10" t="s">
        <v>54</v>
      </c>
      <c r="DY39" s="9"/>
      <c r="DZ39" s="9"/>
      <c r="EA39" s="10" t="s">
        <v>54</v>
      </c>
      <c r="EB39" s="7"/>
      <c r="EC39" s="7"/>
      <c r="ED39" s="10" t="s">
        <v>54</v>
      </c>
      <c r="EE39" s="7"/>
      <c r="EF39" s="7"/>
      <c r="EG39" s="10" t="s">
        <v>54</v>
      </c>
      <c r="EH39" s="7"/>
      <c r="EI39" s="7"/>
      <c r="EJ39" s="10" t="s">
        <v>54</v>
      </c>
      <c r="EK39" s="9"/>
      <c r="EL39" s="9"/>
      <c r="EM39" s="10" t="s">
        <v>54</v>
      </c>
      <c r="EN39" s="7"/>
      <c r="EO39" s="7"/>
      <c r="EP39" s="10" t="s">
        <v>54</v>
      </c>
      <c r="EQ39" s="7"/>
      <c r="ER39" s="7"/>
      <c r="ES39" s="10" t="s">
        <v>54</v>
      </c>
      <c r="ET39" s="7"/>
      <c r="EU39" s="7"/>
      <c r="EV39" s="10" t="s">
        <v>54</v>
      </c>
      <c r="EW39" s="9"/>
      <c r="EX39" s="9"/>
      <c r="EY39" s="10" t="s">
        <v>54</v>
      </c>
      <c r="EZ39" s="7"/>
      <c r="FA39" s="7"/>
      <c r="FB39" s="10" t="s">
        <v>54</v>
      </c>
      <c r="FC39" s="7"/>
      <c r="FD39" s="7"/>
      <c r="FE39" s="10" t="s">
        <v>54</v>
      </c>
      <c r="FF39" s="7"/>
      <c r="FG39" s="7"/>
      <c r="FH39" s="10" t="s">
        <v>54</v>
      </c>
      <c r="FI39" s="9"/>
      <c r="FJ39" s="9"/>
      <c r="FK39" s="10" t="s">
        <v>54</v>
      </c>
      <c r="FL39" s="7"/>
      <c r="FM39" s="7"/>
      <c r="FN39" s="10" t="s">
        <v>54</v>
      </c>
      <c r="FO39" s="7"/>
      <c r="FP39" s="7"/>
      <c r="FQ39" s="10" t="s">
        <v>54</v>
      </c>
      <c r="FR39" s="7"/>
      <c r="FS39" s="7"/>
      <c r="FT39" s="10" t="s">
        <v>54</v>
      </c>
      <c r="FU39" s="9">
        <v>20</v>
      </c>
      <c r="FV39" s="9">
        <v>200</v>
      </c>
      <c r="FW39" s="10" t="s">
        <v>54</v>
      </c>
      <c r="FX39" s="7"/>
      <c r="FY39" s="7"/>
      <c r="FZ39" s="10" t="s">
        <v>54</v>
      </c>
      <c r="GA39" s="7"/>
      <c r="GB39" s="7"/>
      <c r="GC39" s="10" t="s">
        <v>54</v>
      </c>
      <c r="GD39" s="7"/>
      <c r="GE39" s="7"/>
      <c r="GF39" s="10" t="s">
        <v>54</v>
      </c>
      <c r="GG39" s="7">
        <v>13</v>
      </c>
      <c r="GH39" s="7">
        <v>18</v>
      </c>
      <c r="GI39" s="10" t="s">
        <v>54</v>
      </c>
      <c r="GJ39" s="7"/>
      <c r="GK39" s="7"/>
      <c r="GL39" s="10" t="s">
        <v>54</v>
      </c>
      <c r="GM39" s="7"/>
      <c r="GN39" s="7"/>
      <c r="GO39" s="6" t="s">
        <v>54</v>
      </c>
      <c r="GP39" s="7"/>
      <c r="GQ39" s="7"/>
      <c r="GR39" s="6" t="s">
        <v>54</v>
      </c>
      <c r="GS39" s="7">
        <v>8</v>
      </c>
      <c r="GT39" s="7">
        <v>180</v>
      </c>
      <c r="GU39" s="6"/>
      <c r="GV39" s="7"/>
      <c r="GW39" s="7"/>
      <c r="GX39" s="10" t="s">
        <v>54</v>
      </c>
      <c r="GY39" s="7"/>
      <c r="GZ39" s="7"/>
      <c r="HA39" s="10" t="s">
        <v>54</v>
      </c>
      <c r="HB39" s="7"/>
      <c r="HC39" s="7"/>
      <c r="HD39" s="10" t="s">
        <v>54</v>
      </c>
      <c r="HE39" s="7">
        <v>100</v>
      </c>
      <c r="HF39" s="7">
        <v>80</v>
      </c>
      <c r="HG39" s="10" t="s">
        <v>54</v>
      </c>
      <c r="HH39" s="7"/>
      <c r="HI39" s="7"/>
      <c r="HJ39" s="10" t="s">
        <v>54</v>
      </c>
      <c r="HK39" s="7"/>
      <c r="HL39" s="7"/>
      <c r="HM39" s="10" t="s">
        <v>54</v>
      </c>
      <c r="HN39" s="7"/>
      <c r="HO39" s="7"/>
      <c r="HP39" s="10" t="s">
        <v>54</v>
      </c>
      <c r="HQ39" s="7">
        <v>120</v>
      </c>
      <c r="HR39" s="7">
        <v>100</v>
      </c>
      <c r="HS39" s="10" t="s">
        <v>54</v>
      </c>
      <c r="HT39" s="7"/>
      <c r="HU39" s="7"/>
      <c r="HV39" s="10" t="s">
        <v>54</v>
      </c>
      <c r="HW39" s="7"/>
      <c r="HX39" s="7"/>
      <c r="HY39" s="6" t="s">
        <v>54</v>
      </c>
      <c r="HZ39" s="7"/>
      <c r="IA39" s="7"/>
      <c r="IB39" s="6" t="s">
        <v>54</v>
      </c>
      <c r="IC39" s="7"/>
      <c r="ID39" s="7"/>
      <c r="IE39" s="6"/>
      <c r="IF39" s="7"/>
      <c r="IG39" s="7"/>
      <c r="II39" s="7"/>
      <c r="IJ39" s="7"/>
      <c r="IK39" s="7"/>
      <c r="IL39" s="7"/>
      <c r="IM39" s="7"/>
      <c r="IN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E39" s="7"/>
      <c r="JF39" s="7"/>
      <c r="JH39" s="7"/>
      <c r="JI39" s="7"/>
      <c r="JJ39" s="7"/>
      <c r="JK39" s="7"/>
      <c r="JL39" s="7"/>
      <c r="JM39" s="7"/>
      <c r="JO39" s="7"/>
      <c r="JP39" s="7"/>
      <c r="JQ39" s="7"/>
      <c r="JR39" s="7"/>
      <c r="JT39" s="7"/>
      <c r="JU39" s="7"/>
      <c r="JV39" s="7"/>
      <c r="JW39" s="7"/>
      <c r="JX39" s="7"/>
    </row>
    <row r="40" spans="1:284" x14ac:dyDescent="0.3">
      <c r="A40" t="s">
        <v>222</v>
      </c>
      <c r="B40" s="10" t="s">
        <v>53</v>
      </c>
      <c r="C40" s="7"/>
      <c r="D40" s="7"/>
      <c r="E40" s="10" t="s">
        <v>53</v>
      </c>
      <c r="F40" s="7"/>
      <c r="G40" s="7"/>
      <c r="H40" s="10" t="s">
        <v>53</v>
      </c>
      <c r="I40" s="9"/>
      <c r="J40" s="9"/>
      <c r="K40" s="10" t="s">
        <v>53</v>
      </c>
      <c r="L40" s="7"/>
      <c r="M40" s="7"/>
      <c r="N40" s="10" t="s">
        <v>53</v>
      </c>
      <c r="O40" s="7"/>
      <c r="P40" s="7"/>
      <c r="Q40" s="10" t="s">
        <v>53</v>
      </c>
      <c r="R40" s="7"/>
      <c r="S40" s="7"/>
      <c r="T40" s="10" t="s">
        <v>53</v>
      </c>
      <c r="U40" s="9"/>
      <c r="V40" s="9"/>
      <c r="W40" s="10" t="s">
        <v>53</v>
      </c>
      <c r="X40" s="7"/>
      <c r="Y40" s="7"/>
      <c r="Z40" s="10" t="s">
        <v>53</v>
      </c>
      <c r="AA40" s="7"/>
      <c r="AB40" s="7"/>
      <c r="AC40" s="10" t="s">
        <v>53</v>
      </c>
      <c r="AD40" s="7"/>
      <c r="AE40" s="7"/>
      <c r="AF40" s="10" t="s">
        <v>53</v>
      </c>
      <c r="AG40" s="9"/>
      <c r="AH40" s="9"/>
      <c r="AI40" s="10" t="s">
        <v>53</v>
      </c>
      <c r="AJ40" s="7"/>
      <c r="AK40" s="7"/>
      <c r="AL40" s="10" t="s">
        <v>53</v>
      </c>
      <c r="AM40" s="7"/>
      <c r="AN40" s="7"/>
      <c r="AO40" s="10" t="s">
        <v>53</v>
      </c>
      <c r="AP40" s="7"/>
      <c r="AQ40" s="7"/>
      <c r="AR40" s="10" t="s">
        <v>53</v>
      </c>
      <c r="AS40" s="9"/>
      <c r="AT40" s="9"/>
      <c r="AU40" s="10" t="s">
        <v>53</v>
      </c>
      <c r="AV40" s="7"/>
      <c r="AW40" s="7"/>
      <c r="AX40" s="10" t="s">
        <v>53</v>
      </c>
      <c r="AY40" s="7"/>
      <c r="AZ40" s="7"/>
      <c r="BA40" s="10" t="s">
        <v>53</v>
      </c>
      <c r="BB40" s="7"/>
      <c r="BC40" s="7"/>
      <c r="BD40" s="10" t="s">
        <v>53</v>
      </c>
      <c r="BE40" s="9"/>
      <c r="BF40" s="9"/>
      <c r="BG40" s="10" t="s">
        <v>53</v>
      </c>
      <c r="BH40" s="7"/>
      <c r="BI40" s="7"/>
      <c r="BJ40" s="10" t="s">
        <v>53</v>
      </c>
      <c r="BK40" s="7"/>
      <c r="BL40" s="7"/>
      <c r="BM40" s="10" t="s">
        <v>53</v>
      </c>
      <c r="BN40" s="7"/>
      <c r="BO40" s="7"/>
      <c r="BP40" s="10" t="s">
        <v>53</v>
      </c>
      <c r="BQ40" s="9"/>
      <c r="BR40" s="9"/>
      <c r="BS40" s="10" t="s">
        <v>53</v>
      </c>
      <c r="BT40" s="7"/>
      <c r="BU40" s="7"/>
      <c r="BV40" s="10" t="s">
        <v>53</v>
      </c>
      <c r="BW40" s="7"/>
      <c r="BX40" s="7"/>
      <c r="BY40" s="10" t="s">
        <v>53</v>
      </c>
      <c r="BZ40" s="7"/>
      <c r="CA40" s="7"/>
      <c r="CB40" s="10" t="s">
        <v>53</v>
      </c>
      <c r="CC40" s="9"/>
      <c r="CD40" s="9"/>
      <c r="CE40" s="10" t="s">
        <v>53</v>
      </c>
      <c r="CF40" s="7"/>
      <c r="CG40" s="7"/>
      <c r="CH40" s="10" t="s">
        <v>53</v>
      </c>
      <c r="CI40" s="7"/>
      <c r="CJ40" s="7"/>
      <c r="CK40" s="10" t="s">
        <v>53</v>
      </c>
      <c r="CL40" s="7"/>
      <c r="CM40" s="7"/>
      <c r="CN40" s="10" t="s">
        <v>53</v>
      </c>
      <c r="CO40" s="9"/>
      <c r="CP40" s="9"/>
      <c r="CQ40" s="10" t="s">
        <v>53</v>
      </c>
      <c r="CR40" s="7"/>
      <c r="CS40" s="7"/>
      <c r="CT40" s="10" t="s">
        <v>53</v>
      </c>
      <c r="CU40" s="7"/>
      <c r="CV40" s="7"/>
      <c r="CW40" s="10" t="s">
        <v>53</v>
      </c>
      <c r="CX40" s="7"/>
      <c r="CY40" s="7"/>
      <c r="CZ40" s="10" t="s">
        <v>53</v>
      </c>
      <c r="DA40" s="9"/>
      <c r="DB40" s="9"/>
      <c r="DC40" s="10" t="s">
        <v>53</v>
      </c>
      <c r="DD40" s="7"/>
      <c r="DE40" s="7"/>
      <c r="DF40" s="10" t="s">
        <v>53</v>
      </c>
      <c r="DG40" s="7"/>
      <c r="DH40" s="7"/>
      <c r="DI40" s="10" t="s">
        <v>53</v>
      </c>
      <c r="DJ40" s="7"/>
      <c r="DK40" s="7"/>
      <c r="DL40" s="10" t="s">
        <v>53</v>
      </c>
      <c r="DM40" s="9"/>
      <c r="DN40" s="9"/>
      <c r="DO40" s="10" t="s">
        <v>53</v>
      </c>
      <c r="DP40" s="7"/>
      <c r="DQ40" s="7"/>
      <c r="DR40" s="10" t="s">
        <v>53</v>
      </c>
      <c r="DS40" s="7"/>
      <c r="DT40" s="7"/>
      <c r="DU40" s="10" t="s">
        <v>53</v>
      </c>
      <c r="DV40" s="7"/>
      <c r="DW40" s="7"/>
      <c r="DX40" s="10" t="s">
        <v>53</v>
      </c>
      <c r="DY40" s="9"/>
      <c r="DZ40" s="9"/>
      <c r="EA40" s="10" t="s">
        <v>53</v>
      </c>
      <c r="EB40" s="7"/>
      <c r="EC40" s="7"/>
      <c r="ED40" s="10" t="s">
        <v>53</v>
      </c>
      <c r="EE40" s="7"/>
      <c r="EF40" s="7"/>
      <c r="EG40" s="10" t="s">
        <v>53</v>
      </c>
      <c r="EH40" s="7"/>
      <c r="EI40" s="7"/>
      <c r="EJ40" s="10" t="s">
        <v>53</v>
      </c>
      <c r="EK40" s="9"/>
      <c r="EL40" s="9"/>
      <c r="EM40" s="10" t="s">
        <v>53</v>
      </c>
      <c r="EN40" s="7"/>
      <c r="EO40" s="7"/>
      <c r="EP40" s="10" t="s">
        <v>53</v>
      </c>
      <c r="EQ40" s="7"/>
      <c r="ER40" s="7"/>
      <c r="ES40" s="10" t="s">
        <v>53</v>
      </c>
      <c r="ET40" s="7"/>
      <c r="EU40" s="7"/>
      <c r="EV40" s="10" t="s">
        <v>53</v>
      </c>
      <c r="EW40" s="9"/>
      <c r="EX40" s="9"/>
      <c r="EY40" s="10" t="s">
        <v>53</v>
      </c>
      <c r="EZ40" s="7"/>
      <c r="FA40" s="7"/>
      <c r="FB40" s="10" t="s">
        <v>53</v>
      </c>
      <c r="FC40" s="7"/>
      <c r="FD40" s="7"/>
      <c r="FE40" s="10" t="s">
        <v>53</v>
      </c>
      <c r="FF40" s="7"/>
      <c r="FG40" s="7"/>
      <c r="FH40" s="10" t="s">
        <v>53</v>
      </c>
      <c r="FI40" s="9"/>
      <c r="FJ40" s="9"/>
      <c r="FK40" s="10" t="s">
        <v>53</v>
      </c>
      <c r="FL40" s="7"/>
      <c r="FM40" s="7"/>
      <c r="FN40" s="10" t="s">
        <v>53</v>
      </c>
      <c r="FO40" s="7"/>
      <c r="FP40" s="7"/>
      <c r="FQ40" s="10" t="s">
        <v>53</v>
      </c>
      <c r="FR40" s="7"/>
      <c r="FS40" s="7"/>
      <c r="FT40" s="10" t="s">
        <v>53</v>
      </c>
      <c r="FU40" s="9">
        <v>2500</v>
      </c>
      <c r="FV40" s="9">
        <v>3700</v>
      </c>
      <c r="FW40" s="10" t="s">
        <v>53</v>
      </c>
      <c r="FX40" s="7"/>
      <c r="FY40" s="7"/>
      <c r="FZ40" s="10" t="s">
        <v>53</v>
      </c>
      <c r="GA40" s="7"/>
      <c r="GB40" s="7"/>
      <c r="GC40" s="10" t="s">
        <v>53</v>
      </c>
      <c r="GD40" s="7"/>
      <c r="GE40" s="7"/>
      <c r="GF40" s="10" t="s">
        <v>53</v>
      </c>
      <c r="GG40" s="7">
        <v>2000</v>
      </c>
      <c r="GH40" s="7">
        <v>3000</v>
      </c>
      <c r="GI40" s="10" t="s">
        <v>53</v>
      </c>
      <c r="GJ40" s="7"/>
      <c r="GK40" s="7"/>
      <c r="GL40" s="10" t="s">
        <v>53</v>
      </c>
      <c r="GM40" s="7"/>
      <c r="GN40" s="7"/>
      <c r="GO40" s="6" t="s">
        <v>53</v>
      </c>
      <c r="GP40" s="7"/>
      <c r="GQ40" s="7"/>
      <c r="GR40" s="6" t="s">
        <v>53</v>
      </c>
      <c r="GS40" s="7">
        <v>3000</v>
      </c>
      <c r="GT40" s="7">
        <v>4500</v>
      </c>
      <c r="GU40" s="10"/>
      <c r="GV40" s="7"/>
      <c r="GW40" s="7"/>
      <c r="GX40" s="10" t="s">
        <v>53</v>
      </c>
      <c r="GY40" s="7"/>
      <c r="GZ40" s="7"/>
      <c r="HA40" s="10" t="s">
        <v>53</v>
      </c>
      <c r="HB40" s="7"/>
      <c r="HC40" s="7"/>
      <c r="HD40" s="10" t="s">
        <v>53</v>
      </c>
      <c r="HE40" s="7">
        <v>2500</v>
      </c>
      <c r="HF40" s="7">
        <v>4000</v>
      </c>
      <c r="HG40" s="10" t="s">
        <v>53</v>
      </c>
      <c r="HH40" s="7"/>
      <c r="HI40" s="7"/>
      <c r="HJ40" s="10" t="s">
        <v>53</v>
      </c>
      <c r="HK40" s="7"/>
      <c r="HL40" s="7"/>
      <c r="HM40" s="10" t="s">
        <v>53</v>
      </c>
      <c r="HN40" s="7"/>
      <c r="HO40" s="7"/>
      <c r="HP40" s="10" t="s">
        <v>53</v>
      </c>
      <c r="HQ40" s="7">
        <v>2000</v>
      </c>
      <c r="HR40" s="7">
        <v>3000</v>
      </c>
      <c r="HS40" s="10" t="s">
        <v>53</v>
      </c>
      <c r="HT40" s="7"/>
      <c r="HU40" s="7"/>
      <c r="HV40" s="10" t="s">
        <v>53</v>
      </c>
      <c r="HW40" s="7"/>
      <c r="HX40" s="7"/>
      <c r="HY40" s="6" t="s">
        <v>53</v>
      </c>
      <c r="HZ40" s="7"/>
      <c r="IA40" s="7"/>
      <c r="IB40" s="6" t="s">
        <v>53</v>
      </c>
      <c r="IC40" s="7">
        <v>1500</v>
      </c>
      <c r="ID40" s="7">
        <v>2250</v>
      </c>
      <c r="IE40" s="10"/>
      <c r="IF40" s="7"/>
      <c r="IG40" s="7"/>
      <c r="II40" s="7"/>
      <c r="IJ40" s="7"/>
      <c r="IK40" s="7"/>
      <c r="IL40" s="7"/>
      <c r="IM40" s="7"/>
      <c r="IN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E40" s="7"/>
      <c r="JF40" s="7"/>
      <c r="JH40" s="7"/>
      <c r="JI40" s="7"/>
      <c r="JJ40" s="7"/>
      <c r="JK40" s="7"/>
      <c r="JL40" s="7"/>
      <c r="JM40" s="7"/>
      <c r="JO40" s="7"/>
      <c r="JP40" s="7"/>
      <c r="JQ40" s="7"/>
      <c r="JR40" s="7"/>
      <c r="JT40" s="7"/>
      <c r="JU40" s="7"/>
      <c r="JV40" s="7"/>
      <c r="JW40" s="7"/>
      <c r="JX40" s="7"/>
    </row>
    <row r="41" spans="1:284" x14ac:dyDescent="0.3">
      <c r="A41" t="s">
        <v>223</v>
      </c>
      <c r="B41" s="10" t="s">
        <v>38</v>
      </c>
      <c r="C41" s="7"/>
      <c r="D41" s="7"/>
      <c r="E41" s="10" t="s">
        <v>38</v>
      </c>
      <c r="F41" s="7"/>
      <c r="G41" s="7"/>
      <c r="H41" s="10" t="s">
        <v>38</v>
      </c>
      <c r="I41" s="9"/>
      <c r="J41" s="9"/>
      <c r="K41" s="10" t="s">
        <v>38</v>
      </c>
      <c r="L41" s="7"/>
      <c r="M41" s="7"/>
      <c r="N41" s="10" t="s">
        <v>38</v>
      </c>
      <c r="O41" s="7"/>
      <c r="P41" s="7"/>
      <c r="Q41" s="10" t="s">
        <v>38</v>
      </c>
      <c r="R41" s="7"/>
      <c r="S41" s="7"/>
      <c r="T41" s="10" t="s">
        <v>38</v>
      </c>
      <c r="U41" s="9"/>
      <c r="V41" s="9"/>
      <c r="W41" s="10" t="s">
        <v>38</v>
      </c>
      <c r="X41" s="7"/>
      <c r="Y41" s="7"/>
      <c r="Z41" s="10" t="s">
        <v>38</v>
      </c>
      <c r="AA41" s="7"/>
      <c r="AB41" s="7"/>
      <c r="AC41" s="10" t="s">
        <v>38</v>
      </c>
      <c r="AD41" s="7"/>
      <c r="AE41" s="7"/>
      <c r="AF41" s="10" t="s">
        <v>38</v>
      </c>
      <c r="AG41" s="9"/>
      <c r="AH41" s="9"/>
      <c r="AI41" s="10" t="s">
        <v>38</v>
      </c>
      <c r="AJ41" s="7"/>
      <c r="AK41" s="7"/>
      <c r="AL41" s="10" t="s">
        <v>38</v>
      </c>
      <c r="AM41" s="7"/>
      <c r="AN41" s="7"/>
      <c r="AO41" s="10" t="s">
        <v>38</v>
      </c>
      <c r="AP41" s="7"/>
      <c r="AQ41" s="7"/>
      <c r="AR41" s="10" t="s">
        <v>38</v>
      </c>
      <c r="AS41" s="9"/>
      <c r="AT41" s="9"/>
      <c r="AU41" s="10" t="s">
        <v>38</v>
      </c>
      <c r="AV41" s="7"/>
      <c r="AW41" s="7"/>
      <c r="AX41" s="10" t="s">
        <v>38</v>
      </c>
      <c r="AY41" s="7"/>
      <c r="AZ41" s="7"/>
      <c r="BA41" s="10" t="s">
        <v>38</v>
      </c>
      <c r="BB41" s="7"/>
      <c r="BC41" s="7"/>
      <c r="BD41" s="10" t="s">
        <v>38</v>
      </c>
      <c r="BE41" s="9"/>
      <c r="BF41" s="9"/>
      <c r="BG41" s="10" t="s">
        <v>38</v>
      </c>
      <c r="BH41" s="7"/>
      <c r="BI41" s="7"/>
      <c r="BJ41" s="10" t="s">
        <v>38</v>
      </c>
      <c r="BK41" s="7"/>
      <c r="BL41" s="7"/>
      <c r="BM41" s="10" t="s">
        <v>38</v>
      </c>
      <c r="BN41" s="7"/>
      <c r="BO41" s="7"/>
      <c r="BP41" s="10" t="s">
        <v>38</v>
      </c>
      <c r="BQ41" s="9"/>
      <c r="BR41" s="9"/>
      <c r="BS41" s="10" t="s">
        <v>38</v>
      </c>
      <c r="BT41" s="7"/>
      <c r="BU41" s="7"/>
      <c r="BV41" s="10" t="s">
        <v>38</v>
      </c>
      <c r="BW41" s="7"/>
      <c r="BX41" s="7"/>
      <c r="BY41" s="10" t="s">
        <v>38</v>
      </c>
      <c r="BZ41" s="7"/>
      <c r="CA41" s="7"/>
      <c r="CB41" s="10" t="s">
        <v>38</v>
      </c>
      <c r="CC41" s="9"/>
      <c r="CD41" s="9"/>
      <c r="CE41" s="10" t="s">
        <v>38</v>
      </c>
      <c r="CF41" s="7"/>
      <c r="CG41" s="7"/>
      <c r="CH41" s="10" t="s">
        <v>38</v>
      </c>
      <c r="CI41" s="7"/>
      <c r="CJ41" s="7"/>
      <c r="CK41" s="10" t="s">
        <v>38</v>
      </c>
      <c r="CL41" s="7"/>
      <c r="CM41" s="7"/>
      <c r="CN41" s="10" t="s">
        <v>38</v>
      </c>
      <c r="CO41" s="9"/>
      <c r="CP41" s="9"/>
      <c r="CQ41" s="10" t="s">
        <v>38</v>
      </c>
      <c r="CR41" s="7"/>
      <c r="CS41" s="7"/>
      <c r="CT41" s="10" t="s">
        <v>38</v>
      </c>
      <c r="CU41" s="7"/>
      <c r="CV41" s="7"/>
      <c r="CW41" s="10" t="s">
        <v>38</v>
      </c>
      <c r="CX41" s="7"/>
      <c r="CY41" s="7"/>
      <c r="CZ41" s="10" t="s">
        <v>38</v>
      </c>
      <c r="DA41" s="9"/>
      <c r="DB41" s="9"/>
      <c r="DC41" s="10" t="s">
        <v>38</v>
      </c>
      <c r="DD41" s="7"/>
      <c r="DE41" s="7"/>
      <c r="DF41" s="10" t="s">
        <v>38</v>
      </c>
      <c r="DG41" s="7"/>
      <c r="DH41" s="7"/>
      <c r="DI41" s="10" t="s">
        <v>38</v>
      </c>
      <c r="DJ41" s="7"/>
      <c r="DK41" s="7"/>
      <c r="DL41" s="10" t="s">
        <v>38</v>
      </c>
      <c r="DM41" s="9"/>
      <c r="DN41" s="9"/>
      <c r="DO41" s="10" t="s">
        <v>38</v>
      </c>
      <c r="DP41" s="7"/>
      <c r="DQ41" s="7"/>
      <c r="DR41" s="10" t="s">
        <v>38</v>
      </c>
      <c r="DS41" s="7"/>
      <c r="DT41" s="7"/>
      <c r="DU41" s="10" t="s">
        <v>38</v>
      </c>
      <c r="DV41" s="7"/>
      <c r="DW41" s="7"/>
      <c r="DX41" s="10" t="s">
        <v>38</v>
      </c>
      <c r="DY41" s="9"/>
      <c r="DZ41" s="9"/>
      <c r="EA41" s="10" t="s">
        <v>38</v>
      </c>
      <c r="EB41" s="7"/>
      <c r="EC41" s="7"/>
      <c r="ED41" s="10" t="s">
        <v>38</v>
      </c>
      <c r="EE41" s="7"/>
      <c r="EF41" s="7"/>
      <c r="EG41" s="10" t="s">
        <v>38</v>
      </c>
      <c r="EH41" s="7"/>
      <c r="EI41" s="7"/>
      <c r="EJ41" s="10" t="s">
        <v>38</v>
      </c>
      <c r="EK41" s="9"/>
      <c r="EL41" s="9"/>
      <c r="EM41" s="10" t="s">
        <v>38</v>
      </c>
      <c r="EN41" s="7"/>
      <c r="EO41" s="7"/>
      <c r="EP41" s="10" t="s">
        <v>38</v>
      </c>
      <c r="EQ41" s="7"/>
      <c r="ER41" s="7"/>
      <c r="ES41" s="10" t="s">
        <v>38</v>
      </c>
      <c r="ET41" s="7"/>
      <c r="EU41" s="7"/>
      <c r="EV41" s="10" t="s">
        <v>38</v>
      </c>
      <c r="EW41" s="9"/>
      <c r="EX41" s="9"/>
      <c r="EY41" s="10" t="s">
        <v>38</v>
      </c>
      <c r="EZ41" s="7"/>
      <c r="FA41" s="7"/>
      <c r="FB41" s="10" t="s">
        <v>38</v>
      </c>
      <c r="FC41" s="7"/>
      <c r="FD41" s="7"/>
      <c r="FE41" s="10" t="s">
        <v>38</v>
      </c>
      <c r="FF41" s="7"/>
      <c r="FG41" s="7"/>
      <c r="FH41" s="10" t="s">
        <v>38</v>
      </c>
      <c r="FI41" s="9"/>
      <c r="FJ41" s="9"/>
      <c r="FK41" s="10" t="s">
        <v>38</v>
      </c>
      <c r="FL41" s="7"/>
      <c r="FM41" s="7"/>
      <c r="FN41" s="10" t="s">
        <v>38</v>
      </c>
      <c r="FO41" s="7"/>
      <c r="FP41" s="7"/>
      <c r="FQ41" s="10" t="s">
        <v>38</v>
      </c>
      <c r="FR41" s="7"/>
      <c r="FS41" s="7"/>
      <c r="FT41" s="10" t="s">
        <v>38</v>
      </c>
      <c r="FU41" s="9"/>
      <c r="FV41" s="9"/>
      <c r="FW41" s="10" t="s">
        <v>38</v>
      </c>
      <c r="FX41" s="7"/>
      <c r="FY41" s="7"/>
      <c r="FZ41" s="10" t="s">
        <v>38</v>
      </c>
      <c r="GA41" s="7"/>
      <c r="GB41" s="7"/>
      <c r="GC41" s="10" t="s">
        <v>38</v>
      </c>
      <c r="GD41" s="7"/>
      <c r="GE41" s="7"/>
      <c r="GF41" s="10" t="s">
        <v>38</v>
      </c>
      <c r="GG41" s="7"/>
      <c r="GH41" s="7"/>
      <c r="GI41" s="10" t="s">
        <v>38</v>
      </c>
      <c r="GJ41" s="7"/>
      <c r="GK41" s="7"/>
      <c r="GL41" s="10" t="s">
        <v>38</v>
      </c>
      <c r="GM41" s="7"/>
      <c r="GN41" s="7"/>
      <c r="GO41" s="6" t="s">
        <v>38</v>
      </c>
      <c r="GP41" s="7"/>
      <c r="GQ41" s="7"/>
      <c r="GR41" s="6" t="s">
        <v>38</v>
      </c>
      <c r="GS41" s="7">
        <v>850</v>
      </c>
      <c r="GT41" s="7">
        <v>5100</v>
      </c>
      <c r="GU41" s="10"/>
      <c r="GV41" s="7"/>
      <c r="GW41" s="7"/>
      <c r="GX41" s="10" t="s">
        <v>38</v>
      </c>
      <c r="GY41" s="7"/>
      <c r="GZ41" s="7"/>
      <c r="HA41" s="10" t="s">
        <v>38</v>
      </c>
      <c r="HB41" s="7"/>
      <c r="HC41" s="7"/>
      <c r="HD41" s="10" t="s">
        <v>38</v>
      </c>
      <c r="HG41" s="10" t="s">
        <v>38</v>
      </c>
      <c r="HH41" s="7"/>
      <c r="HI41" s="7"/>
      <c r="HJ41" s="10" t="s">
        <v>38</v>
      </c>
      <c r="HK41" s="7"/>
      <c r="HL41" s="7"/>
      <c r="HM41" s="10" t="s">
        <v>38</v>
      </c>
      <c r="HN41" s="7"/>
      <c r="HO41" s="7"/>
      <c r="HP41" s="10" t="s">
        <v>38</v>
      </c>
      <c r="HQ41" s="7"/>
      <c r="HR41" s="7"/>
      <c r="HS41" s="10" t="s">
        <v>38</v>
      </c>
      <c r="HT41" s="7"/>
      <c r="HU41" s="7"/>
      <c r="HV41" s="10" t="s">
        <v>38</v>
      </c>
      <c r="HW41" s="7"/>
      <c r="HX41" s="7"/>
      <c r="HY41" s="6" t="s">
        <v>38</v>
      </c>
      <c r="HZ41" s="7"/>
      <c r="IA41" s="7"/>
      <c r="IB41" s="6" t="s">
        <v>38</v>
      </c>
      <c r="IC41" s="7"/>
      <c r="ID41" s="7"/>
      <c r="IE41" s="10"/>
      <c r="IF41" s="7"/>
      <c r="IG41" s="7"/>
      <c r="II41" s="7"/>
      <c r="IJ41" s="7"/>
      <c r="IK41" s="7"/>
      <c r="IL41" s="7"/>
      <c r="IM41" s="7"/>
      <c r="IN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E41" s="7"/>
      <c r="JF41" s="7"/>
      <c r="JH41" s="7"/>
      <c r="JI41" s="7"/>
      <c r="JJ41" s="7"/>
      <c r="JK41" s="7"/>
      <c r="JL41" s="7"/>
      <c r="JM41" s="7"/>
      <c r="JO41" s="7"/>
      <c r="JP41" s="7"/>
      <c r="JQ41" s="7"/>
      <c r="JR41" s="7"/>
      <c r="JT41" s="7"/>
      <c r="JU41" s="7"/>
      <c r="JV41" s="7"/>
      <c r="JW41" s="7"/>
      <c r="JX41" s="7"/>
    </row>
    <row r="42" spans="1:284" x14ac:dyDescent="0.3">
      <c r="A42" t="s">
        <v>224</v>
      </c>
      <c r="B42" s="10" t="s">
        <v>59</v>
      </c>
      <c r="C42" s="7"/>
      <c r="D42" s="7"/>
      <c r="E42" s="10" t="s">
        <v>59</v>
      </c>
      <c r="F42" s="7"/>
      <c r="G42" s="7"/>
      <c r="H42" s="10" t="s">
        <v>59</v>
      </c>
      <c r="I42" s="9"/>
      <c r="J42" s="9"/>
      <c r="K42" s="10" t="s">
        <v>59</v>
      </c>
      <c r="L42" s="7"/>
      <c r="M42" s="7"/>
      <c r="N42" s="10" t="s">
        <v>59</v>
      </c>
      <c r="O42" s="7"/>
      <c r="P42" s="7"/>
      <c r="Q42" s="10" t="s">
        <v>59</v>
      </c>
      <c r="R42" s="7"/>
      <c r="S42" s="7"/>
      <c r="T42" s="10" t="s">
        <v>59</v>
      </c>
      <c r="U42" s="9"/>
      <c r="V42" s="9"/>
      <c r="W42" s="10" t="s">
        <v>59</v>
      </c>
      <c r="X42" s="7"/>
      <c r="Y42" s="7"/>
      <c r="Z42" s="10" t="s">
        <v>59</v>
      </c>
      <c r="AA42" s="7"/>
      <c r="AB42" s="7"/>
      <c r="AC42" s="10" t="s">
        <v>59</v>
      </c>
      <c r="AD42" s="7"/>
      <c r="AE42" s="7"/>
      <c r="AF42" s="10" t="s">
        <v>59</v>
      </c>
      <c r="AG42" s="9"/>
      <c r="AH42" s="9"/>
      <c r="AI42" s="10" t="s">
        <v>59</v>
      </c>
      <c r="AJ42" s="7"/>
      <c r="AK42" s="7"/>
      <c r="AL42" s="10" t="s">
        <v>59</v>
      </c>
      <c r="AM42" s="7"/>
      <c r="AN42" s="7"/>
      <c r="AO42" s="10" t="s">
        <v>59</v>
      </c>
      <c r="AP42" s="7"/>
      <c r="AQ42" s="7"/>
      <c r="AR42" s="10" t="s">
        <v>59</v>
      </c>
      <c r="AS42" s="9"/>
      <c r="AT42" s="9"/>
      <c r="AU42" s="10" t="s">
        <v>59</v>
      </c>
      <c r="AV42" s="7"/>
      <c r="AW42" s="7"/>
      <c r="AX42" s="10" t="s">
        <v>59</v>
      </c>
      <c r="AY42" s="7"/>
      <c r="AZ42" s="7"/>
      <c r="BA42" s="10" t="s">
        <v>59</v>
      </c>
      <c r="BB42" s="7"/>
      <c r="BC42" s="7"/>
      <c r="BD42" s="10" t="s">
        <v>59</v>
      </c>
      <c r="BE42" s="9"/>
      <c r="BF42" s="9"/>
      <c r="BG42" s="10" t="s">
        <v>59</v>
      </c>
      <c r="BH42" s="7"/>
      <c r="BI42" s="7"/>
      <c r="BJ42" s="10" t="s">
        <v>59</v>
      </c>
      <c r="BK42" s="7"/>
      <c r="BL42" s="7"/>
      <c r="BM42" s="10" t="s">
        <v>59</v>
      </c>
      <c r="BN42" s="7"/>
      <c r="BO42" s="7"/>
      <c r="BP42" s="10" t="s">
        <v>59</v>
      </c>
      <c r="BQ42" s="9"/>
      <c r="BR42" s="9"/>
      <c r="BS42" s="10" t="s">
        <v>59</v>
      </c>
      <c r="BT42" s="7"/>
      <c r="BU42" s="7"/>
      <c r="BV42" s="10" t="s">
        <v>59</v>
      </c>
      <c r="BW42" s="7"/>
      <c r="BX42" s="7"/>
      <c r="BY42" s="10" t="s">
        <v>59</v>
      </c>
      <c r="BZ42" s="7"/>
      <c r="CA42" s="7"/>
      <c r="CB42" s="10" t="s">
        <v>59</v>
      </c>
      <c r="CC42" s="9"/>
      <c r="CD42" s="9"/>
      <c r="CE42" s="10" t="s">
        <v>59</v>
      </c>
      <c r="CF42" s="7"/>
      <c r="CG42" s="7"/>
      <c r="CH42" s="10" t="s">
        <v>59</v>
      </c>
      <c r="CI42" s="7"/>
      <c r="CJ42" s="7"/>
      <c r="CK42" s="10" t="s">
        <v>59</v>
      </c>
      <c r="CL42" s="7"/>
      <c r="CM42" s="7"/>
      <c r="CN42" s="10" t="s">
        <v>59</v>
      </c>
      <c r="CO42" s="9"/>
      <c r="CP42" s="9"/>
      <c r="CQ42" s="10" t="s">
        <v>59</v>
      </c>
      <c r="CR42" s="7"/>
      <c r="CS42" s="7"/>
      <c r="CT42" s="10" t="s">
        <v>59</v>
      </c>
      <c r="CU42" s="7"/>
      <c r="CV42" s="7"/>
      <c r="CW42" s="10" t="s">
        <v>59</v>
      </c>
      <c r="CX42" s="7"/>
      <c r="CY42" s="7"/>
      <c r="CZ42" s="10" t="s">
        <v>59</v>
      </c>
      <c r="DA42" s="9"/>
      <c r="DB42" s="9"/>
      <c r="DC42" s="10" t="s">
        <v>59</v>
      </c>
      <c r="DD42" s="7"/>
      <c r="DE42" s="7"/>
      <c r="DF42" s="10" t="s">
        <v>59</v>
      </c>
      <c r="DG42" s="7"/>
      <c r="DH42" s="7"/>
      <c r="DI42" s="10" t="s">
        <v>59</v>
      </c>
      <c r="DJ42" s="7"/>
      <c r="DK42" s="7"/>
      <c r="DL42" s="10" t="s">
        <v>59</v>
      </c>
      <c r="DM42" s="9"/>
      <c r="DN42" s="9"/>
      <c r="DO42" s="10" t="s">
        <v>59</v>
      </c>
      <c r="DP42" s="7"/>
      <c r="DQ42" s="7"/>
      <c r="DR42" s="10" t="s">
        <v>59</v>
      </c>
      <c r="DS42" s="7"/>
      <c r="DT42" s="7"/>
      <c r="DU42" s="10" t="s">
        <v>59</v>
      </c>
      <c r="DV42" s="7"/>
      <c r="DW42" s="7"/>
      <c r="DX42" s="10" t="s">
        <v>59</v>
      </c>
      <c r="DY42" s="9"/>
      <c r="DZ42" s="9"/>
      <c r="EA42" s="10" t="s">
        <v>59</v>
      </c>
      <c r="EB42" s="7"/>
      <c r="EC42" s="7"/>
      <c r="ED42" s="10" t="s">
        <v>59</v>
      </c>
      <c r="EE42" s="7"/>
      <c r="EF42" s="7"/>
      <c r="EG42" s="10" t="s">
        <v>59</v>
      </c>
      <c r="EH42" s="7"/>
      <c r="EI42" s="7"/>
      <c r="EJ42" s="10" t="s">
        <v>59</v>
      </c>
      <c r="EK42" s="9"/>
      <c r="EL42" s="9"/>
      <c r="EM42" s="10" t="s">
        <v>59</v>
      </c>
      <c r="EN42" s="7"/>
      <c r="EO42" s="7"/>
      <c r="EP42" s="10" t="s">
        <v>59</v>
      </c>
      <c r="EQ42" s="7"/>
      <c r="ER42" s="7"/>
      <c r="ES42" s="10" t="s">
        <v>59</v>
      </c>
      <c r="ET42" s="7"/>
      <c r="EU42" s="7"/>
      <c r="EV42" s="10" t="s">
        <v>59</v>
      </c>
      <c r="EW42" s="9"/>
      <c r="EX42" s="9"/>
      <c r="EY42" s="10" t="s">
        <v>59</v>
      </c>
      <c r="EZ42" s="7"/>
      <c r="FA42" s="7"/>
      <c r="FB42" s="10" t="s">
        <v>59</v>
      </c>
      <c r="FC42" s="7"/>
      <c r="FD42" s="7"/>
      <c r="FE42" s="10" t="s">
        <v>59</v>
      </c>
      <c r="FF42" s="7"/>
      <c r="FG42" s="7"/>
      <c r="FH42" s="10" t="s">
        <v>59</v>
      </c>
      <c r="FI42" s="9"/>
      <c r="FJ42" s="9"/>
      <c r="FK42" s="10" t="s">
        <v>59</v>
      </c>
      <c r="FL42" s="7"/>
      <c r="FM42" s="7"/>
      <c r="FN42" s="10" t="s">
        <v>59</v>
      </c>
      <c r="FO42" s="7"/>
      <c r="FP42" s="7"/>
      <c r="FQ42" s="10" t="s">
        <v>59</v>
      </c>
      <c r="FR42" s="7"/>
      <c r="FS42" s="7"/>
      <c r="FT42" s="10" t="s">
        <v>59</v>
      </c>
      <c r="FU42" s="9">
        <v>100</v>
      </c>
      <c r="FV42" s="9">
        <v>200</v>
      </c>
      <c r="FW42" s="10" t="s">
        <v>59</v>
      </c>
      <c r="FX42" s="7"/>
      <c r="FY42" s="7"/>
      <c r="FZ42" s="10" t="s">
        <v>59</v>
      </c>
      <c r="GA42" s="7"/>
      <c r="GB42" s="7"/>
      <c r="GC42" s="10" t="s">
        <v>59</v>
      </c>
      <c r="GD42" s="7"/>
      <c r="GE42" s="7"/>
      <c r="GF42" s="6" t="s">
        <v>59</v>
      </c>
      <c r="GG42" s="7">
        <v>4</v>
      </c>
      <c r="GH42" s="7">
        <v>100</v>
      </c>
      <c r="GI42" s="10" t="s">
        <v>38</v>
      </c>
      <c r="GJ42" s="7"/>
      <c r="GK42" s="7"/>
      <c r="GL42" s="10" t="s">
        <v>38</v>
      </c>
      <c r="GM42" s="7"/>
      <c r="GN42" s="7"/>
      <c r="GO42" s="6" t="s">
        <v>38</v>
      </c>
      <c r="GP42" s="7"/>
      <c r="GQ42" s="7"/>
      <c r="GR42" s="6" t="s">
        <v>38</v>
      </c>
      <c r="GS42" s="7">
        <v>7</v>
      </c>
      <c r="GT42" s="7">
        <v>300</v>
      </c>
      <c r="GU42" s="10"/>
      <c r="GV42" s="7"/>
      <c r="GW42" s="7"/>
      <c r="GX42" s="10" t="s">
        <v>59</v>
      </c>
      <c r="GY42" s="7"/>
      <c r="GZ42" s="7"/>
      <c r="HA42" s="10" t="s">
        <v>59</v>
      </c>
      <c r="HB42" s="7"/>
      <c r="HC42" s="7"/>
      <c r="HD42" s="10" t="s">
        <v>59</v>
      </c>
      <c r="HE42" s="7">
        <v>8</v>
      </c>
      <c r="HF42" s="7">
        <v>300</v>
      </c>
      <c r="HG42" s="10" t="s">
        <v>59</v>
      </c>
      <c r="HH42" s="7"/>
      <c r="HI42" s="7"/>
      <c r="HJ42" s="10" t="s">
        <v>59</v>
      </c>
      <c r="HK42" s="7"/>
      <c r="HL42" s="7"/>
      <c r="HM42" s="10" t="s">
        <v>59</v>
      </c>
      <c r="HN42" s="7"/>
      <c r="HO42" s="7"/>
      <c r="HP42" s="6" t="s">
        <v>59</v>
      </c>
      <c r="HQ42" s="7">
        <v>10</v>
      </c>
      <c r="HR42" s="7">
        <v>350</v>
      </c>
      <c r="HS42" s="10" t="s">
        <v>38</v>
      </c>
      <c r="HT42" s="7"/>
      <c r="HU42" s="7"/>
      <c r="HV42" s="10" t="s">
        <v>38</v>
      </c>
      <c r="HW42" s="7"/>
      <c r="HX42" s="7"/>
      <c r="HY42" s="6" t="s">
        <v>38</v>
      </c>
      <c r="HZ42" s="7"/>
      <c r="IA42" s="7"/>
      <c r="IB42" s="6" t="s">
        <v>59</v>
      </c>
      <c r="IC42" s="7">
        <v>2</v>
      </c>
      <c r="ID42" s="7">
        <v>40</v>
      </c>
      <c r="IE42" s="10"/>
      <c r="IF42" s="7"/>
      <c r="IG42" s="7"/>
      <c r="II42" s="7"/>
      <c r="IJ42" s="7"/>
      <c r="IK42" s="7"/>
      <c r="IL42" s="7"/>
      <c r="IM42" s="7"/>
      <c r="IN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E42" s="7"/>
      <c r="JF42" s="7"/>
      <c r="JH42" s="7"/>
      <c r="JI42" s="7"/>
      <c r="JJ42" s="7"/>
      <c r="JK42" s="7"/>
      <c r="JL42" s="7"/>
      <c r="JM42" s="7"/>
      <c r="JO42" s="7"/>
      <c r="JP42" s="7"/>
      <c r="JQ42" s="7"/>
      <c r="JR42" s="7"/>
      <c r="JT42" s="7"/>
      <c r="JU42" s="7"/>
      <c r="JV42" s="7"/>
      <c r="JW42" s="7"/>
      <c r="JX42" s="7"/>
    </row>
    <row r="43" spans="1:284" x14ac:dyDescent="0.3">
      <c r="A43" t="s">
        <v>225</v>
      </c>
      <c r="B43" s="10" t="s">
        <v>38</v>
      </c>
      <c r="C43" s="7"/>
      <c r="D43" s="7"/>
      <c r="E43" s="10" t="s">
        <v>38</v>
      </c>
      <c r="F43" s="7"/>
      <c r="G43" s="7"/>
      <c r="H43" s="10" t="s">
        <v>38</v>
      </c>
      <c r="I43" s="9"/>
      <c r="J43" s="9"/>
      <c r="K43" s="10" t="s">
        <v>38</v>
      </c>
      <c r="L43" s="7"/>
      <c r="M43" s="7"/>
      <c r="N43" s="10" t="s">
        <v>38</v>
      </c>
      <c r="O43" s="7"/>
      <c r="P43" s="7"/>
      <c r="Q43" s="10" t="s">
        <v>38</v>
      </c>
      <c r="R43" s="7"/>
      <c r="S43" s="7"/>
      <c r="T43" s="10" t="s">
        <v>38</v>
      </c>
      <c r="U43" s="9"/>
      <c r="V43" s="9"/>
      <c r="W43" s="10" t="s">
        <v>38</v>
      </c>
      <c r="X43" s="7"/>
      <c r="Y43" s="7"/>
      <c r="Z43" s="10" t="s">
        <v>38</v>
      </c>
      <c r="AA43" s="7"/>
      <c r="AB43" s="7"/>
      <c r="AC43" s="10" t="s">
        <v>38</v>
      </c>
      <c r="AD43" s="7"/>
      <c r="AE43" s="7"/>
      <c r="AF43" s="10" t="s">
        <v>38</v>
      </c>
      <c r="AG43" s="9"/>
      <c r="AH43" s="9"/>
      <c r="AI43" s="10" t="s">
        <v>38</v>
      </c>
      <c r="AJ43" s="7"/>
      <c r="AK43" s="7"/>
      <c r="AL43" s="10" t="s">
        <v>38</v>
      </c>
      <c r="AM43" s="7"/>
      <c r="AN43" s="7"/>
      <c r="AO43" s="10" t="s">
        <v>38</v>
      </c>
      <c r="AP43" s="7"/>
      <c r="AQ43" s="7"/>
      <c r="AR43" s="10" t="s">
        <v>38</v>
      </c>
      <c r="AS43" s="9"/>
      <c r="AT43" s="9"/>
      <c r="AU43" s="10" t="s">
        <v>38</v>
      </c>
      <c r="AV43" s="7"/>
      <c r="AW43" s="7"/>
      <c r="AX43" s="10" t="s">
        <v>38</v>
      </c>
      <c r="AY43" s="7"/>
      <c r="AZ43" s="7"/>
      <c r="BA43" s="10" t="s">
        <v>38</v>
      </c>
      <c r="BB43" s="7"/>
      <c r="BC43" s="7"/>
      <c r="BD43" s="10" t="s">
        <v>38</v>
      </c>
      <c r="BE43" s="9"/>
      <c r="BF43" s="9"/>
      <c r="BG43" s="10" t="s">
        <v>38</v>
      </c>
      <c r="BH43" s="7"/>
      <c r="BI43" s="7"/>
      <c r="BJ43" s="10" t="s">
        <v>38</v>
      </c>
      <c r="BK43" s="7"/>
      <c r="BL43" s="7"/>
      <c r="BM43" s="10" t="s">
        <v>38</v>
      </c>
      <c r="BN43" s="7"/>
      <c r="BO43" s="7"/>
      <c r="BP43" s="10" t="s">
        <v>38</v>
      </c>
      <c r="BQ43" s="9"/>
      <c r="BR43" s="9"/>
      <c r="BS43" s="10" t="s">
        <v>38</v>
      </c>
      <c r="BT43" s="7"/>
      <c r="BU43" s="7"/>
      <c r="BV43" s="10" t="s">
        <v>38</v>
      </c>
      <c r="BW43" s="7"/>
      <c r="BX43" s="7"/>
      <c r="BY43" s="10" t="s">
        <v>38</v>
      </c>
      <c r="BZ43" s="7"/>
      <c r="CA43" s="7"/>
      <c r="CB43" s="10" t="s">
        <v>38</v>
      </c>
      <c r="CC43" s="9"/>
      <c r="CD43" s="9"/>
      <c r="CE43" s="10" t="s">
        <v>38</v>
      </c>
      <c r="CF43" s="7"/>
      <c r="CG43" s="7"/>
      <c r="CH43" s="10" t="s">
        <v>38</v>
      </c>
      <c r="CI43" s="7"/>
      <c r="CJ43" s="7"/>
      <c r="CK43" s="10" t="s">
        <v>38</v>
      </c>
      <c r="CL43" s="7"/>
      <c r="CM43" s="7"/>
      <c r="CN43" s="10" t="s">
        <v>38</v>
      </c>
      <c r="CO43" s="9"/>
      <c r="CP43" s="9"/>
      <c r="CQ43" s="10" t="s">
        <v>38</v>
      </c>
      <c r="CR43" s="7"/>
      <c r="CS43" s="7"/>
      <c r="CT43" s="10" t="s">
        <v>38</v>
      </c>
      <c r="CU43" s="7"/>
      <c r="CV43" s="7"/>
      <c r="CW43" s="10" t="s">
        <v>38</v>
      </c>
      <c r="CX43" s="7"/>
      <c r="CY43" s="7"/>
      <c r="CZ43" s="10" t="s">
        <v>38</v>
      </c>
      <c r="DA43" s="9"/>
      <c r="DB43" s="9"/>
      <c r="DC43" s="10" t="s">
        <v>38</v>
      </c>
      <c r="DD43" s="7"/>
      <c r="DE43" s="7"/>
      <c r="DF43" s="10" t="s">
        <v>38</v>
      </c>
      <c r="DG43" s="7"/>
      <c r="DH43" s="7"/>
      <c r="DI43" s="10" t="s">
        <v>38</v>
      </c>
      <c r="DJ43" s="7"/>
      <c r="DK43" s="7"/>
      <c r="DL43" s="10" t="s">
        <v>38</v>
      </c>
      <c r="DM43" s="9"/>
      <c r="DN43" s="9"/>
      <c r="DO43" s="10" t="s">
        <v>38</v>
      </c>
      <c r="DP43" s="7"/>
      <c r="DQ43" s="7"/>
      <c r="DR43" s="10" t="s">
        <v>38</v>
      </c>
      <c r="DS43" s="7"/>
      <c r="DT43" s="7"/>
      <c r="DU43" s="10" t="s">
        <v>38</v>
      </c>
      <c r="DV43" s="7"/>
      <c r="DW43" s="7"/>
      <c r="DX43" s="10" t="s">
        <v>38</v>
      </c>
      <c r="DY43" s="9"/>
      <c r="DZ43" s="9"/>
      <c r="EA43" s="10" t="s">
        <v>38</v>
      </c>
      <c r="EB43" s="7"/>
      <c r="EC43" s="7"/>
      <c r="ED43" s="10" t="s">
        <v>38</v>
      </c>
      <c r="EE43" s="7"/>
      <c r="EF43" s="7"/>
      <c r="EG43" s="10" t="s">
        <v>38</v>
      </c>
      <c r="EH43" s="7"/>
      <c r="EI43" s="7"/>
      <c r="EJ43" s="10" t="s">
        <v>38</v>
      </c>
      <c r="EK43" s="9"/>
      <c r="EL43" s="9"/>
      <c r="EM43" s="10" t="s">
        <v>38</v>
      </c>
      <c r="EN43" s="7"/>
      <c r="EO43" s="7"/>
      <c r="EP43" s="10" t="s">
        <v>38</v>
      </c>
      <c r="EQ43" s="7"/>
      <c r="ER43" s="7"/>
      <c r="ES43" s="10" t="s">
        <v>38</v>
      </c>
      <c r="ET43" s="7"/>
      <c r="EU43" s="7"/>
      <c r="EV43" s="10" t="s">
        <v>38</v>
      </c>
      <c r="EW43" s="9"/>
      <c r="EX43" s="9"/>
      <c r="EY43" s="10" t="s">
        <v>38</v>
      </c>
      <c r="EZ43" s="7"/>
      <c r="FA43" s="7"/>
      <c r="FB43" s="10" t="s">
        <v>38</v>
      </c>
      <c r="FC43" s="7"/>
      <c r="FD43" s="7"/>
      <c r="FE43" s="10" t="s">
        <v>38</v>
      </c>
      <c r="FF43" s="7"/>
      <c r="FG43" s="7"/>
      <c r="FH43" s="10" t="s">
        <v>38</v>
      </c>
      <c r="FI43" s="9"/>
      <c r="FJ43" s="9"/>
      <c r="FK43" s="10" t="s">
        <v>38</v>
      </c>
      <c r="FL43" s="7"/>
      <c r="FM43" s="7"/>
      <c r="FN43" s="10" t="s">
        <v>38</v>
      </c>
      <c r="FO43" s="7"/>
      <c r="FP43" s="7"/>
      <c r="FQ43" s="10" t="s">
        <v>38</v>
      </c>
      <c r="FR43" s="7"/>
      <c r="FS43" s="7"/>
      <c r="FT43" s="10" t="s">
        <v>38</v>
      </c>
      <c r="FU43" s="9">
        <v>100</v>
      </c>
      <c r="FV43" s="9">
        <v>500</v>
      </c>
      <c r="FW43" s="10" t="s">
        <v>38</v>
      </c>
      <c r="FX43" s="7"/>
      <c r="FY43" s="7"/>
      <c r="FZ43" s="10" t="s">
        <v>38</v>
      </c>
      <c r="GA43" s="7"/>
      <c r="GB43" s="7"/>
      <c r="GC43" s="10" t="s">
        <v>38</v>
      </c>
      <c r="GD43" s="7"/>
      <c r="GE43" s="7"/>
      <c r="GF43" s="10" t="s">
        <v>38</v>
      </c>
      <c r="GG43" s="7">
        <v>23</v>
      </c>
      <c r="GH43" s="7">
        <v>127</v>
      </c>
      <c r="GI43" s="10" t="s">
        <v>38</v>
      </c>
      <c r="GJ43" s="7"/>
      <c r="GK43" s="7"/>
      <c r="GL43" s="10" t="s">
        <v>38</v>
      </c>
      <c r="GM43" s="7"/>
      <c r="GN43" s="7"/>
      <c r="GO43" s="6" t="s">
        <v>38</v>
      </c>
      <c r="GP43" s="7"/>
      <c r="GQ43" s="7"/>
      <c r="GR43" s="6" t="s">
        <v>38</v>
      </c>
      <c r="GS43" s="7">
        <v>13</v>
      </c>
      <c r="GT43" s="7">
        <v>130</v>
      </c>
      <c r="GU43" s="10"/>
      <c r="GV43" s="7"/>
      <c r="GW43" s="7"/>
      <c r="GX43" s="10" t="s">
        <v>38</v>
      </c>
      <c r="GY43" s="7"/>
      <c r="GZ43" s="7"/>
      <c r="HA43" s="10" t="s">
        <v>38</v>
      </c>
      <c r="HB43" s="7"/>
      <c r="HC43" s="7"/>
      <c r="HD43" s="10" t="s">
        <v>38</v>
      </c>
      <c r="HE43" s="7">
        <v>15</v>
      </c>
      <c r="HF43" s="7">
        <v>150</v>
      </c>
      <c r="HG43" s="10" t="s">
        <v>38</v>
      </c>
      <c r="HH43" s="7"/>
      <c r="HI43" s="7"/>
      <c r="HJ43" s="10" t="s">
        <v>38</v>
      </c>
      <c r="HK43" s="7"/>
      <c r="HL43" s="7"/>
      <c r="HM43" s="10" t="s">
        <v>38</v>
      </c>
      <c r="HN43" s="7"/>
      <c r="HO43" s="7"/>
      <c r="HP43" s="10" t="s">
        <v>38</v>
      </c>
      <c r="HQ43" s="7">
        <v>15</v>
      </c>
      <c r="HR43" s="7">
        <v>120</v>
      </c>
      <c r="HS43" s="10" t="s">
        <v>38</v>
      </c>
      <c r="HT43" s="7"/>
      <c r="HU43" s="7"/>
      <c r="HV43" s="10" t="s">
        <v>38</v>
      </c>
      <c r="HW43" s="7"/>
      <c r="HX43" s="7"/>
      <c r="HY43" s="6" t="s">
        <v>38</v>
      </c>
      <c r="HZ43" s="7"/>
      <c r="IA43" s="7"/>
      <c r="IB43" s="6" t="s">
        <v>38</v>
      </c>
      <c r="IC43" s="7"/>
      <c r="ID43" s="7"/>
      <c r="IE43" s="10"/>
      <c r="IF43" s="7"/>
      <c r="IG43" s="7"/>
      <c r="II43" s="7"/>
      <c r="IJ43" s="7"/>
      <c r="IK43" s="7"/>
      <c r="IL43" s="7"/>
      <c r="IM43" s="7"/>
      <c r="IN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E43" s="7"/>
      <c r="JF43" s="7"/>
      <c r="JH43" s="7"/>
      <c r="JI43" s="7"/>
      <c r="JJ43" s="7"/>
      <c r="JK43" s="7"/>
      <c r="JL43" s="7"/>
      <c r="JM43" s="7"/>
      <c r="JO43" s="7"/>
      <c r="JP43" s="7"/>
      <c r="JQ43" s="7"/>
      <c r="JR43" s="7"/>
      <c r="JT43" s="7"/>
      <c r="JU43" s="7"/>
      <c r="JV43" s="7"/>
      <c r="JW43" s="7"/>
      <c r="JX43" s="7"/>
    </row>
    <row r="44" spans="1:284" x14ac:dyDescent="0.3">
      <c r="A44" t="s">
        <v>226</v>
      </c>
      <c r="B44" s="10" t="s">
        <v>38</v>
      </c>
      <c r="C44" s="7"/>
      <c r="D44" s="7"/>
      <c r="E44" s="10" t="s">
        <v>38</v>
      </c>
      <c r="F44" s="7"/>
      <c r="G44" s="7"/>
      <c r="H44" s="10" t="s">
        <v>38</v>
      </c>
      <c r="I44" s="9"/>
      <c r="J44" s="9"/>
      <c r="K44" s="10" t="s">
        <v>38</v>
      </c>
      <c r="L44" s="7"/>
      <c r="M44" s="7"/>
      <c r="N44" s="10" t="s">
        <v>38</v>
      </c>
      <c r="O44" s="7"/>
      <c r="P44" s="7"/>
      <c r="Q44" s="10" t="s">
        <v>38</v>
      </c>
      <c r="R44" s="7"/>
      <c r="S44" s="7"/>
      <c r="T44" s="10" t="s">
        <v>38</v>
      </c>
      <c r="U44" s="9"/>
      <c r="V44" s="9"/>
      <c r="W44" s="10" t="s">
        <v>38</v>
      </c>
      <c r="X44" s="7"/>
      <c r="Y44" s="7"/>
      <c r="Z44" s="10" t="s">
        <v>38</v>
      </c>
      <c r="AA44" s="7"/>
      <c r="AB44" s="7"/>
      <c r="AC44" s="10" t="s">
        <v>38</v>
      </c>
      <c r="AD44" s="7"/>
      <c r="AE44" s="7"/>
      <c r="AF44" s="10" t="s">
        <v>38</v>
      </c>
      <c r="AG44" s="9"/>
      <c r="AH44" s="9"/>
      <c r="AI44" s="10" t="s">
        <v>38</v>
      </c>
      <c r="AJ44" s="7"/>
      <c r="AK44" s="7"/>
      <c r="AL44" s="10" t="s">
        <v>38</v>
      </c>
      <c r="AM44" s="7"/>
      <c r="AN44" s="7"/>
      <c r="AO44" s="10" t="s">
        <v>38</v>
      </c>
      <c r="AP44" s="7"/>
      <c r="AQ44" s="7"/>
      <c r="AR44" s="10" t="s">
        <v>38</v>
      </c>
      <c r="AS44" s="9"/>
      <c r="AT44" s="9"/>
      <c r="AU44" s="10" t="s">
        <v>38</v>
      </c>
      <c r="AV44" s="7"/>
      <c r="AW44" s="7"/>
      <c r="AX44" s="10" t="s">
        <v>38</v>
      </c>
      <c r="AY44" s="7"/>
      <c r="AZ44" s="7"/>
      <c r="BA44" s="10" t="s">
        <v>38</v>
      </c>
      <c r="BB44" s="7"/>
      <c r="BC44" s="7"/>
      <c r="BD44" s="10" t="s">
        <v>38</v>
      </c>
      <c r="BE44" s="9"/>
      <c r="BF44" s="9"/>
      <c r="BG44" s="10" t="s">
        <v>38</v>
      </c>
      <c r="BH44" s="7"/>
      <c r="BI44" s="7"/>
      <c r="BJ44" s="10" t="s">
        <v>38</v>
      </c>
      <c r="BK44" s="7"/>
      <c r="BL44" s="7"/>
      <c r="BM44" s="10" t="s">
        <v>38</v>
      </c>
      <c r="BN44" s="7"/>
      <c r="BO44" s="7"/>
      <c r="BP44" s="10" t="s">
        <v>38</v>
      </c>
      <c r="BQ44" s="9"/>
      <c r="BR44" s="9"/>
      <c r="BS44" s="10" t="s">
        <v>38</v>
      </c>
      <c r="BT44" s="7"/>
      <c r="BU44" s="7"/>
      <c r="BV44" s="10" t="s">
        <v>38</v>
      </c>
      <c r="BW44" s="7"/>
      <c r="BX44" s="7"/>
      <c r="BY44" s="10" t="s">
        <v>38</v>
      </c>
      <c r="BZ44" s="7"/>
      <c r="CA44" s="7"/>
      <c r="CB44" s="10" t="s">
        <v>38</v>
      </c>
      <c r="CC44" s="9"/>
      <c r="CD44" s="9"/>
      <c r="CE44" s="10" t="s">
        <v>38</v>
      </c>
      <c r="CF44" s="7"/>
      <c r="CG44" s="7"/>
      <c r="CH44" s="10" t="s">
        <v>38</v>
      </c>
      <c r="CI44" s="7"/>
      <c r="CJ44" s="7"/>
      <c r="CK44" s="10" t="s">
        <v>38</v>
      </c>
      <c r="CL44" s="7"/>
      <c r="CM44" s="7"/>
      <c r="CN44" s="10" t="s">
        <v>38</v>
      </c>
      <c r="CO44" s="9"/>
      <c r="CP44" s="9"/>
      <c r="CQ44" s="10" t="s">
        <v>38</v>
      </c>
      <c r="CR44" s="7"/>
      <c r="CS44" s="7"/>
      <c r="CT44" s="10" t="s">
        <v>38</v>
      </c>
      <c r="CU44" s="7"/>
      <c r="CV44" s="7"/>
      <c r="CW44" s="10" t="s">
        <v>38</v>
      </c>
      <c r="CX44" s="7"/>
      <c r="CY44" s="7"/>
      <c r="CZ44" s="10" t="s">
        <v>38</v>
      </c>
      <c r="DA44" s="9"/>
      <c r="DB44" s="9"/>
      <c r="DC44" s="10" t="s">
        <v>38</v>
      </c>
      <c r="DD44" s="7"/>
      <c r="DE44" s="7"/>
      <c r="DF44" s="10" t="s">
        <v>38</v>
      </c>
      <c r="DG44" s="7"/>
      <c r="DH44" s="7"/>
      <c r="DI44" s="10" t="s">
        <v>38</v>
      </c>
      <c r="DJ44" s="7"/>
      <c r="DK44" s="7"/>
      <c r="DL44" s="10" t="s">
        <v>38</v>
      </c>
      <c r="DM44" s="9"/>
      <c r="DN44" s="9"/>
      <c r="DO44" s="10" t="s">
        <v>38</v>
      </c>
      <c r="DP44" s="7"/>
      <c r="DQ44" s="7"/>
      <c r="DR44" s="10" t="s">
        <v>38</v>
      </c>
      <c r="DS44" s="7"/>
      <c r="DT44" s="7"/>
      <c r="DU44" s="10" t="s">
        <v>38</v>
      </c>
      <c r="DV44" s="7"/>
      <c r="DW44" s="7"/>
      <c r="DX44" s="10" t="s">
        <v>38</v>
      </c>
      <c r="DY44" s="9"/>
      <c r="DZ44" s="9"/>
      <c r="EA44" s="10" t="s">
        <v>38</v>
      </c>
      <c r="EB44" s="7"/>
      <c r="EC44" s="7"/>
      <c r="ED44" s="10" t="s">
        <v>38</v>
      </c>
      <c r="EE44" s="7"/>
      <c r="EF44" s="7"/>
      <c r="EG44" s="10" t="s">
        <v>38</v>
      </c>
      <c r="EH44" s="7"/>
      <c r="EI44" s="7"/>
      <c r="EJ44" s="10" t="s">
        <v>38</v>
      </c>
      <c r="EK44" s="9"/>
      <c r="EL44" s="9"/>
      <c r="EM44" s="10" t="s">
        <v>38</v>
      </c>
      <c r="EN44" s="7"/>
      <c r="EO44" s="7"/>
      <c r="EP44" s="10" t="s">
        <v>38</v>
      </c>
      <c r="EQ44" s="7"/>
      <c r="ER44" s="7"/>
      <c r="ES44" s="10" t="s">
        <v>38</v>
      </c>
      <c r="ET44" s="7"/>
      <c r="EU44" s="7"/>
      <c r="EV44" s="10" t="s">
        <v>38</v>
      </c>
      <c r="EW44" s="9"/>
      <c r="EX44" s="9"/>
      <c r="EY44" s="10" t="s">
        <v>38</v>
      </c>
      <c r="EZ44" s="7"/>
      <c r="FA44" s="7"/>
      <c r="FB44" s="10" t="s">
        <v>38</v>
      </c>
      <c r="FC44" s="7"/>
      <c r="FD44" s="7"/>
      <c r="FE44" s="10" t="s">
        <v>38</v>
      </c>
      <c r="FF44" s="7"/>
      <c r="FG44" s="7"/>
      <c r="FH44" s="10" t="s">
        <v>38</v>
      </c>
      <c r="FI44" s="9"/>
      <c r="FJ44" s="9"/>
      <c r="FK44" s="10" t="s">
        <v>38</v>
      </c>
      <c r="FL44" s="7"/>
      <c r="FM44" s="7"/>
      <c r="FN44" s="10" t="s">
        <v>38</v>
      </c>
      <c r="FO44" s="7"/>
      <c r="FP44" s="7"/>
      <c r="FQ44" s="10" t="s">
        <v>38</v>
      </c>
      <c r="FR44" s="7"/>
      <c r="FS44" s="7"/>
      <c r="FT44" s="10" t="s">
        <v>38</v>
      </c>
      <c r="FU44" s="9">
        <v>1000</v>
      </c>
      <c r="FV44" s="9">
        <v>4000</v>
      </c>
      <c r="FW44" s="10" t="s">
        <v>38</v>
      </c>
      <c r="FX44" s="7"/>
      <c r="FY44" s="7"/>
      <c r="FZ44" s="10" t="s">
        <v>38</v>
      </c>
      <c r="GA44" s="7"/>
      <c r="GB44" s="7"/>
      <c r="GC44" s="10" t="s">
        <v>38</v>
      </c>
      <c r="GD44" s="7"/>
      <c r="GE44" s="7"/>
      <c r="GF44" s="10" t="s">
        <v>38</v>
      </c>
      <c r="GG44" s="7">
        <v>126</v>
      </c>
      <c r="GH44" s="7">
        <v>6122</v>
      </c>
      <c r="GI44" s="10" t="s">
        <v>38</v>
      </c>
      <c r="GJ44" s="7"/>
      <c r="GK44" s="7"/>
      <c r="GL44" s="10" t="s">
        <v>38</v>
      </c>
      <c r="GM44" s="7"/>
      <c r="GN44" s="7"/>
      <c r="GO44" s="6" t="s">
        <v>38</v>
      </c>
      <c r="GP44" s="7"/>
      <c r="GQ44" s="7"/>
      <c r="GR44" s="6" t="s">
        <v>38</v>
      </c>
      <c r="GS44" s="7">
        <v>280</v>
      </c>
      <c r="GT44" s="7">
        <v>820</v>
      </c>
      <c r="GU44" s="10"/>
      <c r="GV44" s="7"/>
      <c r="GW44" s="7"/>
      <c r="GX44" s="10" t="s">
        <v>38</v>
      </c>
      <c r="GY44" s="7"/>
      <c r="GZ44" s="7"/>
      <c r="HA44" s="10" t="s">
        <v>38</v>
      </c>
      <c r="HB44" s="7"/>
      <c r="HC44" s="7"/>
      <c r="HD44" s="10" t="s">
        <v>38</v>
      </c>
      <c r="HE44" s="7">
        <v>300</v>
      </c>
      <c r="HF44" s="7">
        <v>900</v>
      </c>
      <c r="HG44" s="10" t="s">
        <v>38</v>
      </c>
      <c r="HH44" s="7"/>
      <c r="HI44" s="7"/>
      <c r="HJ44" s="10" t="s">
        <v>38</v>
      </c>
      <c r="HK44" s="7"/>
      <c r="HL44" s="7"/>
      <c r="HM44" s="10" t="s">
        <v>38</v>
      </c>
      <c r="HN44" s="7"/>
      <c r="HO44" s="7"/>
      <c r="HP44" s="10" t="s">
        <v>38</v>
      </c>
      <c r="HQ44" s="7">
        <v>320</v>
      </c>
      <c r="HR44" s="7">
        <v>1000</v>
      </c>
      <c r="HS44" s="10" t="s">
        <v>38</v>
      </c>
      <c r="HT44" s="7"/>
      <c r="HU44" s="7"/>
      <c r="HV44" s="10" t="s">
        <v>38</v>
      </c>
      <c r="HW44" s="7"/>
      <c r="HX44" s="7"/>
      <c r="HY44" s="6" t="s">
        <v>38</v>
      </c>
      <c r="HZ44" s="7"/>
      <c r="IA44" s="7"/>
      <c r="IB44" s="6" t="s">
        <v>38</v>
      </c>
      <c r="IC44" s="7">
        <v>743</v>
      </c>
      <c r="ID44" s="7">
        <v>4120</v>
      </c>
      <c r="IE44" s="10"/>
      <c r="IF44" s="7"/>
      <c r="IG44" s="7"/>
      <c r="II44" s="7"/>
      <c r="IJ44" s="7"/>
      <c r="IK44" s="7"/>
      <c r="IL44" s="7"/>
      <c r="IM44" s="7"/>
      <c r="IN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E44" s="7"/>
      <c r="JF44" s="7"/>
      <c r="JH44" s="7"/>
      <c r="JI44" s="7"/>
      <c r="JJ44" s="7"/>
      <c r="JK44" s="7"/>
      <c r="JL44" s="7"/>
      <c r="JM44" s="7"/>
      <c r="JO44" s="7"/>
      <c r="JP44" s="7"/>
      <c r="JQ44" s="7"/>
      <c r="JR44" s="7"/>
      <c r="JT44" s="7"/>
      <c r="JU44" s="7"/>
      <c r="JV44" s="7"/>
      <c r="JW44" s="7"/>
      <c r="JX44" s="7"/>
    </row>
    <row r="45" spans="1:284" x14ac:dyDescent="0.3">
      <c r="A45" t="s">
        <v>227</v>
      </c>
      <c r="B45" s="10" t="s">
        <v>53</v>
      </c>
      <c r="C45" s="7"/>
      <c r="D45" s="7"/>
      <c r="E45" s="10" t="s">
        <v>53</v>
      </c>
      <c r="F45" s="7"/>
      <c r="G45" s="7"/>
      <c r="H45" s="10" t="s">
        <v>53</v>
      </c>
      <c r="I45" s="9"/>
      <c r="J45" s="9"/>
      <c r="K45" s="10" t="s">
        <v>53</v>
      </c>
      <c r="L45" s="7"/>
      <c r="M45" s="7"/>
      <c r="N45" s="10" t="s">
        <v>53</v>
      </c>
      <c r="O45" s="7"/>
      <c r="P45" s="7"/>
      <c r="Q45" s="10" t="s">
        <v>53</v>
      </c>
      <c r="R45" s="7"/>
      <c r="S45" s="7"/>
      <c r="T45" s="10" t="s">
        <v>53</v>
      </c>
      <c r="U45" s="9"/>
      <c r="V45" s="9"/>
      <c r="W45" s="10" t="s">
        <v>53</v>
      </c>
      <c r="X45" s="7"/>
      <c r="Y45" s="7"/>
      <c r="Z45" s="10" t="s">
        <v>53</v>
      </c>
      <c r="AA45" s="7"/>
      <c r="AB45" s="7"/>
      <c r="AC45" s="10" t="s">
        <v>53</v>
      </c>
      <c r="AD45" s="7"/>
      <c r="AE45" s="7"/>
      <c r="AF45" s="10" t="s">
        <v>53</v>
      </c>
      <c r="AG45" s="9"/>
      <c r="AH45" s="9"/>
      <c r="AI45" s="10" t="s">
        <v>53</v>
      </c>
      <c r="AJ45" s="7"/>
      <c r="AK45" s="7"/>
      <c r="AL45" s="10" t="s">
        <v>53</v>
      </c>
      <c r="AM45" s="7"/>
      <c r="AN45" s="7"/>
      <c r="AO45" s="10" t="s">
        <v>53</v>
      </c>
      <c r="AP45" s="7"/>
      <c r="AQ45" s="7"/>
      <c r="AR45" s="10" t="s">
        <v>53</v>
      </c>
      <c r="AS45" s="9"/>
      <c r="AT45" s="9"/>
      <c r="AU45" s="10" t="s">
        <v>53</v>
      </c>
      <c r="AV45" s="7"/>
      <c r="AW45" s="7"/>
      <c r="AX45" s="10" t="s">
        <v>53</v>
      </c>
      <c r="AY45" s="7"/>
      <c r="AZ45" s="7"/>
      <c r="BA45" s="10" t="s">
        <v>53</v>
      </c>
      <c r="BB45" s="7"/>
      <c r="BC45" s="7"/>
      <c r="BD45" s="10" t="s">
        <v>53</v>
      </c>
      <c r="BE45" s="9"/>
      <c r="BF45" s="9"/>
      <c r="BG45" s="10" t="s">
        <v>53</v>
      </c>
      <c r="BH45" s="7"/>
      <c r="BI45" s="7"/>
      <c r="BJ45" s="10" t="s">
        <v>53</v>
      </c>
      <c r="BK45" s="7"/>
      <c r="BL45" s="7"/>
      <c r="BM45" s="10" t="s">
        <v>53</v>
      </c>
      <c r="BN45" s="7"/>
      <c r="BO45" s="7"/>
      <c r="BP45" s="10" t="s">
        <v>53</v>
      </c>
      <c r="BQ45" s="9"/>
      <c r="BR45" s="9"/>
      <c r="BS45" s="10" t="s">
        <v>53</v>
      </c>
      <c r="BT45" s="7"/>
      <c r="BU45" s="7"/>
      <c r="BV45" s="10" t="s">
        <v>53</v>
      </c>
      <c r="BW45" s="7"/>
      <c r="BX45" s="7"/>
      <c r="BY45" s="10" t="s">
        <v>53</v>
      </c>
      <c r="BZ45" s="7"/>
      <c r="CA45" s="7"/>
      <c r="CB45" s="10" t="s">
        <v>53</v>
      </c>
      <c r="CC45" s="9"/>
      <c r="CD45" s="9"/>
      <c r="CE45" s="10" t="s">
        <v>53</v>
      </c>
      <c r="CF45" s="7"/>
      <c r="CG45" s="7"/>
      <c r="CH45" s="10" t="s">
        <v>53</v>
      </c>
      <c r="CI45" s="7"/>
      <c r="CJ45" s="7"/>
      <c r="CK45" s="10" t="s">
        <v>53</v>
      </c>
      <c r="CL45" s="7"/>
      <c r="CM45" s="7"/>
      <c r="CN45" s="10" t="s">
        <v>53</v>
      </c>
      <c r="CO45" s="9"/>
      <c r="CP45" s="9"/>
      <c r="CQ45" s="10" t="s">
        <v>53</v>
      </c>
      <c r="CR45" s="7"/>
      <c r="CS45" s="7"/>
      <c r="CT45" s="10" t="s">
        <v>53</v>
      </c>
      <c r="CU45" s="7"/>
      <c r="CV45" s="7"/>
      <c r="CW45" s="10" t="s">
        <v>53</v>
      </c>
      <c r="CX45" s="7"/>
      <c r="CY45" s="7"/>
      <c r="CZ45" s="10" t="s">
        <v>53</v>
      </c>
      <c r="DA45" s="9"/>
      <c r="DB45" s="9"/>
      <c r="DC45" s="10" t="s">
        <v>53</v>
      </c>
      <c r="DD45" s="7"/>
      <c r="DE45" s="7"/>
      <c r="DF45" s="10" t="s">
        <v>53</v>
      </c>
      <c r="DG45" s="7"/>
      <c r="DH45" s="7"/>
      <c r="DI45" s="10" t="s">
        <v>53</v>
      </c>
      <c r="DJ45" s="7"/>
      <c r="DK45" s="7"/>
      <c r="DL45" s="10" t="s">
        <v>53</v>
      </c>
      <c r="DM45" s="9"/>
      <c r="DN45" s="9"/>
      <c r="DO45" s="10" t="s">
        <v>53</v>
      </c>
      <c r="DP45" s="7"/>
      <c r="DQ45" s="7"/>
      <c r="DR45" s="10" t="s">
        <v>53</v>
      </c>
      <c r="DS45" s="7"/>
      <c r="DT45" s="7"/>
      <c r="DU45" s="10" t="s">
        <v>53</v>
      </c>
      <c r="DV45" s="7"/>
      <c r="DW45" s="7"/>
      <c r="DX45" s="10" t="s">
        <v>53</v>
      </c>
      <c r="DY45" s="9"/>
      <c r="DZ45" s="9"/>
      <c r="EA45" s="10" t="s">
        <v>53</v>
      </c>
      <c r="EB45" s="7"/>
      <c r="EC45" s="7"/>
      <c r="ED45" s="10" t="s">
        <v>53</v>
      </c>
      <c r="EE45" s="7"/>
      <c r="EF45" s="7"/>
      <c r="EG45" s="10" t="s">
        <v>53</v>
      </c>
      <c r="EH45" s="7"/>
      <c r="EI45" s="7"/>
      <c r="EJ45" s="10" t="s">
        <v>53</v>
      </c>
      <c r="EK45" s="9"/>
      <c r="EL45" s="9"/>
      <c r="EM45" s="10" t="s">
        <v>53</v>
      </c>
      <c r="EN45" s="7"/>
      <c r="EO45" s="7"/>
      <c r="EP45" s="10" t="s">
        <v>53</v>
      </c>
      <c r="EQ45" s="7"/>
      <c r="ER45" s="7"/>
      <c r="ES45" s="10" t="s">
        <v>53</v>
      </c>
      <c r="ET45" s="7"/>
      <c r="EU45" s="7"/>
      <c r="EV45" s="10" t="s">
        <v>53</v>
      </c>
      <c r="EW45" s="9"/>
      <c r="EX45" s="9"/>
      <c r="EY45" s="10" t="s">
        <v>53</v>
      </c>
      <c r="EZ45" s="7"/>
      <c r="FA45" s="7"/>
      <c r="FB45" s="10" t="s">
        <v>53</v>
      </c>
      <c r="FC45" s="7"/>
      <c r="FD45" s="7"/>
      <c r="FE45" s="10" t="s">
        <v>53</v>
      </c>
      <c r="FF45" s="7"/>
      <c r="FG45" s="7"/>
      <c r="FH45" s="10" t="s">
        <v>53</v>
      </c>
      <c r="FI45" s="9"/>
      <c r="FJ45" s="9"/>
      <c r="FK45" s="10" t="s">
        <v>53</v>
      </c>
      <c r="FL45" s="7"/>
      <c r="FM45" s="7"/>
      <c r="FN45" s="10" t="s">
        <v>53</v>
      </c>
      <c r="FO45" s="7"/>
      <c r="FP45" s="7"/>
      <c r="FQ45" s="10" t="s">
        <v>53</v>
      </c>
      <c r="FR45" s="7"/>
      <c r="FS45" s="7"/>
      <c r="FT45" s="10" t="s">
        <v>53</v>
      </c>
      <c r="FU45" s="9">
        <v>400</v>
      </c>
      <c r="FV45" s="9">
        <v>800</v>
      </c>
      <c r="FW45" s="10" t="s">
        <v>53</v>
      </c>
      <c r="FX45" s="7"/>
      <c r="FY45" s="7"/>
      <c r="FZ45" s="10" t="s">
        <v>53</v>
      </c>
      <c r="GA45" s="7"/>
      <c r="GB45" s="7"/>
      <c r="GC45" s="10" t="s">
        <v>53</v>
      </c>
      <c r="GD45" s="7"/>
      <c r="GE45" s="7"/>
      <c r="GF45" s="10" t="s">
        <v>53</v>
      </c>
      <c r="GG45" s="7">
        <v>400</v>
      </c>
      <c r="GH45" s="7">
        <v>800</v>
      </c>
      <c r="GI45" s="10" t="s">
        <v>53</v>
      </c>
      <c r="GJ45" s="7"/>
      <c r="GK45" s="7"/>
      <c r="GL45" s="10" t="s">
        <v>53</v>
      </c>
      <c r="GM45" s="7"/>
      <c r="GN45" s="7"/>
      <c r="GO45" s="6" t="s">
        <v>53</v>
      </c>
      <c r="GP45" s="7"/>
      <c r="GQ45" s="7"/>
      <c r="GR45" s="6" t="s">
        <v>53</v>
      </c>
      <c r="GS45" s="7">
        <v>100</v>
      </c>
      <c r="GT45" s="7">
        <v>300</v>
      </c>
      <c r="GU45" s="10"/>
      <c r="GV45" s="7"/>
      <c r="GW45" s="7"/>
      <c r="GX45" s="10" t="s">
        <v>53</v>
      </c>
      <c r="GY45" s="7"/>
      <c r="GZ45" s="7"/>
      <c r="HA45" s="10" t="s">
        <v>53</v>
      </c>
      <c r="HB45" s="7"/>
      <c r="HC45" s="7"/>
      <c r="HD45" s="10" t="s">
        <v>53</v>
      </c>
      <c r="HE45" s="7">
        <v>200</v>
      </c>
      <c r="HF45" s="7">
        <v>600</v>
      </c>
      <c r="HG45" s="10" t="s">
        <v>53</v>
      </c>
      <c r="HH45" s="7"/>
      <c r="HI45" s="7"/>
      <c r="HJ45" s="10" t="s">
        <v>53</v>
      </c>
      <c r="HK45" s="7"/>
      <c r="HL45" s="7"/>
      <c r="HM45" s="10" t="s">
        <v>53</v>
      </c>
      <c r="HN45" s="7"/>
      <c r="HO45" s="7"/>
      <c r="HP45" s="10" t="s">
        <v>53</v>
      </c>
      <c r="HQ45" s="7">
        <v>100</v>
      </c>
      <c r="HR45" s="7">
        <v>300</v>
      </c>
      <c r="HS45" s="10" t="s">
        <v>53</v>
      </c>
      <c r="HT45" s="7"/>
      <c r="HU45" s="7"/>
      <c r="HV45" s="10" t="s">
        <v>53</v>
      </c>
      <c r="HW45" s="7"/>
      <c r="HX45" s="7"/>
      <c r="HY45" s="6" t="s">
        <v>53</v>
      </c>
      <c r="HZ45" s="7"/>
      <c r="IA45" s="7"/>
      <c r="IB45" s="6" t="s">
        <v>53</v>
      </c>
      <c r="IC45" s="7">
        <v>58</v>
      </c>
      <c r="ID45" s="7">
        <v>250</v>
      </c>
      <c r="IE45" s="10"/>
      <c r="IF45" s="7"/>
      <c r="IG45" s="7"/>
      <c r="II45" s="7"/>
      <c r="IJ45" s="7"/>
      <c r="IK45" s="7"/>
      <c r="IL45" s="7"/>
      <c r="IM45" s="7"/>
      <c r="IN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E45" s="7"/>
      <c r="JF45" s="7"/>
      <c r="JH45" s="7"/>
      <c r="JI45" s="7"/>
      <c r="JJ45" s="7"/>
      <c r="JK45" s="7"/>
      <c r="JL45" s="7"/>
      <c r="JM45" s="7"/>
      <c r="JO45" s="7"/>
      <c r="JP45" s="7"/>
      <c r="JQ45" s="7"/>
      <c r="JR45" s="7"/>
      <c r="JT45" s="7"/>
      <c r="JU45" s="7"/>
      <c r="JV45" s="7"/>
      <c r="JW45" s="7"/>
      <c r="JX45" s="7"/>
    </row>
    <row r="46" spans="1:284" x14ac:dyDescent="0.3">
      <c r="A46" t="s">
        <v>228</v>
      </c>
      <c r="B46" s="10" t="s">
        <v>40</v>
      </c>
      <c r="C46" s="7"/>
      <c r="D46" s="7"/>
      <c r="E46" s="10" t="s">
        <v>40</v>
      </c>
      <c r="F46" s="7"/>
      <c r="G46" s="7"/>
      <c r="H46" s="10" t="s">
        <v>40</v>
      </c>
      <c r="I46" s="9"/>
      <c r="J46" s="9"/>
      <c r="K46" s="10" t="s">
        <v>40</v>
      </c>
      <c r="L46" s="7"/>
      <c r="M46" s="7"/>
      <c r="N46" s="10" t="s">
        <v>40</v>
      </c>
      <c r="O46" s="7"/>
      <c r="P46" s="7"/>
      <c r="Q46" s="10" t="s">
        <v>40</v>
      </c>
      <c r="R46" s="7"/>
      <c r="S46" s="7"/>
      <c r="T46" s="10" t="s">
        <v>40</v>
      </c>
      <c r="U46" s="9"/>
      <c r="V46" s="9"/>
      <c r="W46" s="10" t="s">
        <v>40</v>
      </c>
      <c r="X46" s="7"/>
      <c r="Y46" s="7"/>
      <c r="Z46" s="10" t="s">
        <v>40</v>
      </c>
      <c r="AA46" s="7"/>
      <c r="AB46" s="7"/>
      <c r="AC46" s="10" t="s">
        <v>40</v>
      </c>
      <c r="AD46" s="7"/>
      <c r="AE46" s="7"/>
      <c r="AF46" s="10" t="s">
        <v>40</v>
      </c>
      <c r="AG46" s="9"/>
      <c r="AH46" s="9"/>
      <c r="AI46" s="10" t="s">
        <v>40</v>
      </c>
      <c r="AJ46" s="7"/>
      <c r="AK46" s="7"/>
      <c r="AL46" s="10" t="s">
        <v>40</v>
      </c>
      <c r="AM46" s="7"/>
      <c r="AN46" s="7"/>
      <c r="AO46" s="10" t="s">
        <v>40</v>
      </c>
      <c r="AP46" s="7"/>
      <c r="AQ46" s="7"/>
      <c r="AR46" s="10" t="s">
        <v>40</v>
      </c>
      <c r="AS46" s="9"/>
      <c r="AT46" s="9"/>
      <c r="AU46" s="10" t="s">
        <v>40</v>
      </c>
      <c r="AV46" s="7"/>
      <c r="AW46" s="7"/>
      <c r="AX46" s="10" t="s">
        <v>40</v>
      </c>
      <c r="AY46" s="7"/>
      <c r="AZ46" s="7"/>
      <c r="BA46" s="10" t="s">
        <v>40</v>
      </c>
      <c r="BB46" s="7"/>
      <c r="BC46" s="7"/>
      <c r="BD46" s="10" t="s">
        <v>40</v>
      </c>
      <c r="BE46" s="9"/>
      <c r="BF46" s="9"/>
      <c r="BG46" s="10" t="s">
        <v>40</v>
      </c>
      <c r="BH46" s="7"/>
      <c r="BI46" s="7"/>
      <c r="BJ46" s="10" t="s">
        <v>40</v>
      </c>
      <c r="BK46" s="7"/>
      <c r="BL46" s="7"/>
      <c r="BM46" s="10" t="s">
        <v>40</v>
      </c>
      <c r="BN46" s="7"/>
      <c r="BO46" s="7"/>
      <c r="BP46" s="10" t="s">
        <v>40</v>
      </c>
      <c r="BQ46" s="9"/>
      <c r="BR46" s="9"/>
      <c r="BS46" s="10" t="s">
        <v>40</v>
      </c>
      <c r="BT46" s="7"/>
      <c r="BU46" s="7"/>
      <c r="BV46" s="10" t="s">
        <v>40</v>
      </c>
      <c r="BW46" s="7"/>
      <c r="BX46" s="7"/>
      <c r="BY46" s="10" t="s">
        <v>40</v>
      </c>
      <c r="BZ46" s="7"/>
      <c r="CA46" s="7"/>
      <c r="CB46" s="10" t="s">
        <v>40</v>
      </c>
      <c r="CC46" s="9"/>
      <c r="CD46" s="9"/>
      <c r="CE46" s="10" t="s">
        <v>40</v>
      </c>
      <c r="CF46" s="7"/>
      <c r="CG46" s="7"/>
      <c r="CH46" s="10" t="s">
        <v>40</v>
      </c>
      <c r="CI46" s="7"/>
      <c r="CJ46" s="7"/>
      <c r="CK46" s="10" t="s">
        <v>40</v>
      </c>
      <c r="CL46" s="7"/>
      <c r="CM46" s="7"/>
      <c r="CN46" s="10" t="s">
        <v>40</v>
      </c>
      <c r="CO46" s="9"/>
      <c r="CP46" s="9"/>
      <c r="CQ46" s="10" t="s">
        <v>40</v>
      </c>
      <c r="CR46" s="7"/>
      <c r="CS46" s="7"/>
      <c r="CT46" s="10" t="s">
        <v>40</v>
      </c>
      <c r="CU46" s="7"/>
      <c r="CV46" s="7"/>
      <c r="CW46" s="10" t="s">
        <v>40</v>
      </c>
      <c r="CX46" s="7"/>
      <c r="CY46" s="7"/>
      <c r="CZ46" s="10" t="s">
        <v>40</v>
      </c>
      <c r="DA46" s="9"/>
      <c r="DB46" s="9"/>
      <c r="DC46" s="10" t="s">
        <v>40</v>
      </c>
      <c r="DD46" s="7"/>
      <c r="DE46" s="7"/>
      <c r="DF46" s="10" t="s">
        <v>40</v>
      </c>
      <c r="DG46" s="7"/>
      <c r="DH46" s="7"/>
      <c r="DI46" s="10" t="s">
        <v>40</v>
      </c>
      <c r="DJ46" s="7"/>
      <c r="DK46" s="7"/>
      <c r="DL46" s="10" t="s">
        <v>40</v>
      </c>
      <c r="DM46" s="9"/>
      <c r="DN46" s="9"/>
      <c r="DO46" s="10" t="s">
        <v>40</v>
      </c>
      <c r="DP46" s="7"/>
      <c r="DQ46" s="7"/>
      <c r="DR46" s="10" t="s">
        <v>40</v>
      </c>
      <c r="DS46" s="7"/>
      <c r="DT46" s="7"/>
      <c r="DU46" s="10" t="s">
        <v>40</v>
      </c>
      <c r="DV46" s="7"/>
      <c r="DW46" s="7"/>
      <c r="DX46" s="10" t="s">
        <v>40</v>
      </c>
      <c r="DY46" s="9"/>
      <c r="DZ46" s="9"/>
      <c r="EA46" s="10" t="s">
        <v>40</v>
      </c>
      <c r="EB46" s="7"/>
      <c r="EC46" s="7"/>
      <c r="ED46" s="10" t="s">
        <v>40</v>
      </c>
      <c r="EE46" s="7"/>
      <c r="EF46" s="7"/>
      <c r="EG46" s="10" t="s">
        <v>40</v>
      </c>
      <c r="EH46" s="7"/>
      <c r="EI46" s="7"/>
      <c r="EJ46" s="10" t="s">
        <v>40</v>
      </c>
      <c r="EK46" s="9"/>
      <c r="EL46" s="9"/>
      <c r="EM46" s="10" t="s">
        <v>40</v>
      </c>
      <c r="EN46" s="7"/>
      <c r="EO46" s="7"/>
      <c r="EP46" s="10" t="s">
        <v>40</v>
      </c>
      <c r="EQ46" s="7"/>
      <c r="ER46" s="7"/>
      <c r="ES46" s="10" t="s">
        <v>40</v>
      </c>
      <c r="ET46" s="7"/>
      <c r="EU46" s="7"/>
      <c r="EV46" s="10" t="s">
        <v>40</v>
      </c>
      <c r="EW46" s="9"/>
      <c r="EX46" s="9"/>
      <c r="EY46" s="10" t="s">
        <v>40</v>
      </c>
      <c r="EZ46" s="7"/>
      <c r="FA46" s="7"/>
      <c r="FB46" s="10" t="s">
        <v>40</v>
      </c>
      <c r="FC46" s="7"/>
      <c r="FD46" s="7"/>
      <c r="FE46" s="10" t="s">
        <v>40</v>
      </c>
      <c r="FF46" s="7"/>
      <c r="FG46" s="7"/>
      <c r="FH46" s="10" t="s">
        <v>40</v>
      </c>
      <c r="FI46" s="9"/>
      <c r="FJ46" s="9"/>
      <c r="FK46" s="10" t="s">
        <v>40</v>
      </c>
      <c r="FL46" s="7"/>
      <c r="FM46" s="7"/>
      <c r="FN46" s="10" t="s">
        <v>40</v>
      </c>
      <c r="FO46" s="7"/>
      <c r="FP46" s="7"/>
      <c r="FQ46" s="10" t="s">
        <v>40</v>
      </c>
      <c r="FR46" s="7"/>
      <c r="FS46" s="7"/>
      <c r="FT46" s="10" t="s">
        <v>40</v>
      </c>
      <c r="FU46" s="9"/>
      <c r="FV46" s="9"/>
      <c r="FW46" s="10" t="s">
        <v>40</v>
      </c>
      <c r="FX46" s="7">
        <v>50</v>
      </c>
      <c r="FY46" s="7">
        <v>400</v>
      </c>
      <c r="FZ46" s="10" t="s">
        <v>40</v>
      </c>
      <c r="GA46" s="7"/>
      <c r="GB46" s="7"/>
      <c r="GC46" s="10" t="s">
        <v>40</v>
      </c>
      <c r="GD46" s="7"/>
      <c r="GE46" s="7"/>
      <c r="GF46" s="10" t="s">
        <v>40</v>
      </c>
      <c r="GG46" s="7"/>
      <c r="GH46" s="7"/>
      <c r="GI46" s="10" t="s">
        <v>40</v>
      </c>
      <c r="GJ46" s="7">
        <v>67</v>
      </c>
      <c r="GK46" s="7">
        <v>230</v>
      </c>
      <c r="GL46" s="10" t="s">
        <v>40</v>
      </c>
      <c r="GM46" s="7"/>
      <c r="GN46" s="7"/>
      <c r="GO46" s="10" t="s">
        <v>40</v>
      </c>
      <c r="GP46" s="7"/>
      <c r="GQ46" s="7"/>
      <c r="GR46" s="10" t="s">
        <v>40</v>
      </c>
      <c r="GS46" s="7"/>
      <c r="GT46" s="7"/>
      <c r="GU46" s="6" t="s">
        <v>40</v>
      </c>
      <c r="GV46" s="7">
        <v>100</v>
      </c>
      <c r="GW46" s="7">
        <v>400</v>
      </c>
      <c r="GX46" s="10" t="s">
        <v>40</v>
      </c>
      <c r="GY46" s="7"/>
      <c r="GZ46" s="7"/>
      <c r="HA46" s="10" t="s">
        <v>40</v>
      </c>
      <c r="HB46" s="7"/>
      <c r="HC46" s="7"/>
      <c r="HD46" s="10" t="s">
        <v>40</v>
      </c>
      <c r="HE46" s="7"/>
      <c r="HF46" s="7"/>
      <c r="HG46" s="10" t="s">
        <v>40</v>
      </c>
      <c r="HH46" s="7">
        <v>120</v>
      </c>
      <c r="HI46" s="7">
        <v>500</v>
      </c>
      <c r="HJ46" s="10" t="s">
        <v>40</v>
      </c>
      <c r="HK46" s="7"/>
      <c r="HL46" s="7"/>
      <c r="HM46" s="10" t="s">
        <v>40</v>
      </c>
      <c r="HN46" s="7"/>
      <c r="HO46" s="7"/>
      <c r="HP46" s="10" t="s">
        <v>40</v>
      </c>
      <c r="HQ46" s="7"/>
      <c r="HR46" s="7"/>
      <c r="HS46" s="10" t="s">
        <v>40</v>
      </c>
      <c r="HT46" s="7">
        <v>100</v>
      </c>
      <c r="HU46" s="7">
        <v>400</v>
      </c>
      <c r="HV46" s="10" t="s">
        <v>40</v>
      </c>
      <c r="HW46" s="7"/>
      <c r="HX46" s="7"/>
      <c r="HY46" s="10" t="s">
        <v>40</v>
      </c>
      <c r="HZ46" s="7"/>
      <c r="IA46" s="7"/>
      <c r="IB46" s="10" t="s">
        <v>40</v>
      </c>
      <c r="IC46" s="7"/>
      <c r="ID46" s="7"/>
      <c r="IE46" s="6" t="s">
        <v>40</v>
      </c>
      <c r="IF46" s="7">
        <v>90</v>
      </c>
      <c r="IG46" s="7">
        <v>710</v>
      </c>
      <c r="II46" s="7"/>
      <c r="IJ46" s="7"/>
      <c r="IK46" s="7"/>
      <c r="IL46" s="7"/>
      <c r="IM46" s="7"/>
      <c r="IN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E46" s="7"/>
      <c r="JF46" s="7"/>
      <c r="JH46" s="7"/>
      <c r="JI46" s="7"/>
      <c r="JJ46" s="7"/>
      <c r="JK46" s="7"/>
      <c r="JL46" s="7"/>
      <c r="JM46" s="7"/>
      <c r="JO46" s="7"/>
      <c r="JP46" s="7"/>
      <c r="JQ46" s="7"/>
      <c r="JR46" s="7"/>
      <c r="JT46" s="7"/>
      <c r="JU46" s="7"/>
      <c r="JV46" s="7"/>
      <c r="JW46" s="7"/>
      <c r="JX46" s="7"/>
    </row>
    <row r="47" spans="1:284" x14ac:dyDescent="0.3">
      <c r="A47" t="s">
        <v>228</v>
      </c>
      <c r="B47" s="10" t="s">
        <v>42</v>
      </c>
      <c r="C47" s="7"/>
      <c r="D47" s="7"/>
      <c r="E47" s="10" t="s">
        <v>42</v>
      </c>
      <c r="F47" s="7"/>
      <c r="G47" s="7"/>
      <c r="H47" s="10" t="s">
        <v>42</v>
      </c>
      <c r="I47" s="9"/>
      <c r="J47" s="9"/>
      <c r="K47" s="10" t="s">
        <v>42</v>
      </c>
      <c r="L47" s="7"/>
      <c r="M47" s="7"/>
      <c r="N47" s="10" t="s">
        <v>42</v>
      </c>
      <c r="O47" s="7"/>
      <c r="P47" s="7"/>
      <c r="Q47" s="10" t="s">
        <v>42</v>
      </c>
      <c r="R47" s="7"/>
      <c r="S47" s="7"/>
      <c r="T47" s="10" t="s">
        <v>42</v>
      </c>
      <c r="U47" s="9"/>
      <c r="V47" s="9"/>
      <c r="W47" s="10" t="s">
        <v>42</v>
      </c>
      <c r="X47" s="7"/>
      <c r="Y47" s="7"/>
      <c r="Z47" s="10" t="s">
        <v>42</v>
      </c>
      <c r="AA47" s="7"/>
      <c r="AB47" s="7"/>
      <c r="AC47" s="10" t="s">
        <v>42</v>
      </c>
      <c r="AD47" s="7"/>
      <c r="AE47" s="7"/>
      <c r="AF47" s="10" t="s">
        <v>42</v>
      </c>
      <c r="AG47" s="9"/>
      <c r="AH47" s="9"/>
      <c r="AI47" s="10" t="s">
        <v>42</v>
      </c>
      <c r="AJ47" s="7"/>
      <c r="AK47" s="7"/>
      <c r="AL47" s="10" t="s">
        <v>42</v>
      </c>
      <c r="AM47" s="7"/>
      <c r="AN47" s="7"/>
      <c r="AO47" s="10" t="s">
        <v>42</v>
      </c>
      <c r="AP47" s="7"/>
      <c r="AQ47" s="7"/>
      <c r="AR47" s="10" t="s">
        <v>42</v>
      </c>
      <c r="AS47" s="9"/>
      <c r="AT47" s="9"/>
      <c r="AU47" s="10" t="s">
        <v>42</v>
      </c>
      <c r="AV47" s="7"/>
      <c r="AW47" s="7"/>
      <c r="AX47" s="10" t="s">
        <v>42</v>
      </c>
      <c r="AY47" s="7"/>
      <c r="AZ47" s="7"/>
      <c r="BA47" s="10" t="s">
        <v>42</v>
      </c>
      <c r="BB47" s="7"/>
      <c r="BC47" s="7"/>
      <c r="BD47" s="10" t="s">
        <v>42</v>
      </c>
      <c r="BE47" s="9"/>
      <c r="BF47" s="9"/>
      <c r="BG47" s="10" t="s">
        <v>42</v>
      </c>
      <c r="BH47" s="7"/>
      <c r="BI47" s="7"/>
      <c r="BJ47" s="10" t="s">
        <v>42</v>
      </c>
      <c r="BK47" s="7"/>
      <c r="BL47" s="7"/>
      <c r="BM47" s="10" t="s">
        <v>42</v>
      </c>
      <c r="BN47" s="7"/>
      <c r="BO47" s="7"/>
      <c r="BP47" s="10" t="s">
        <v>42</v>
      </c>
      <c r="BQ47" s="9"/>
      <c r="BR47" s="9"/>
      <c r="BS47" s="10" t="s">
        <v>42</v>
      </c>
      <c r="BT47" s="7"/>
      <c r="BU47" s="7"/>
      <c r="BV47" s="10" t="s">
        <v>42</v>
      </c>
      <c r="BW47" s="7"/>
      <c r="BX47" s="7"/>
      <c r="BY47" s="10" t="s">
        <v>42</v>
      </c>
      <c r="BZ47" s="7"/>
      <c r="CA47" s="7"/>
      <c r="CB47" s="10" t="s">
        <v>42</v>
      </c>
      <c r="CC47" s="9"/>
      <c r="CD47" s="9"/>
      <c r="CE47" s="10" t="s">
        <v>42</v>
      </c>
      <c r="CF47" s="7"/>
      <c r="CG47" s="7"/>
      <c r="CH47" s="10" t="s">
        <v>42</v>
      </c>
      <c r="CI47" s="7"/>
      <c r="CJ47" s="7"/>
      <c r="CK47" s="10" t="s">
        <v>42</v>
      </c>
      <c r="CL47" s="7"/>
      <c r="CM47" s="7"/>
      <c r="CN47" s="10" t="s">
        <v>42</v>
      </c>
      <c r="CO47" s="9"/>
      <c r="CP47" s="9"/>
      <c r="CQ47" s="10" t="s">
        <v>42</v>
      </c>
      <c r="CR47" s="7"/>
      <c r="CS47" s="7"/>
      <c r="CT47" s="10" t="s">
        <v>42</v>
      </c>
      <c r="CU47" s="7"/>
      <c r="CV47" s="7"/>
      <c r="CW47" s="10" t="s">
        <v>42</v>
      </c>
      <c r="CX47" s="7"/>
      <c r="CY47" s="7"/>
      <c r="CZ47" s="10" t="s">
        <v>42</v>
      </c>
      <c r="DA47" s="9"/>
      <c r="DB47" s="9"/>
      <c r="DC47" s="10" t="s">
        <v>42</v>
      </c>
      <c r="DD47" s="7"/>
      <c r="DE47" s="7"/>
      <c r="DF47" s="10" t="s">
        <v>42</v>
      </c>
      <c r="DG47" s="7"/>
      <c r="DH47" s="7"/>
      <c r="DI47" s="10" t="s">
        <v>42</v>
      </c>
      <c r="DJ47" s="7"/>
      <c r="DK47" s="7"/>
      <c r="DL47" s="10" t="s">
        <v>42</v>
      </c>
      <c r="DM47" s="9"/>
      <c r="DN47" s="9"/>
      <c r="DO47" s="10" t="s">
        <v>42</v>
      </c>
      <c r="DP47" s="7"/>
      <c r="DQ47" s="7"/>
      <c r="DR47" s="10" t="s">
        <v>42</v>
      </c>
      <c r="DS47" s="7"/>
      <c r="DT47" s="7"/>
      <c r="DU47" s="10" t="s">
        <v>42</v>
      </c>
      <c r="DV47" s="7"/>
      <c r="DW47" s="7"/>
      <c r="DX47" s="10" t="s">
        <v>42</v>
      </c>
      <c r="DY47" s="9"/>
      <c r="DZ47" s="9"/>
      <c r="EA47" s="10" t="s">
        <v>42</v>
      </c>
      <c r="EB47" s="7"/>
      <c r="EC47" s="7"/>
      <c r="ED47" s="10" t="s">
        <v>42</v>
      </c>
      <c r="EE47" s="7"/>
      <c r="EF47" s="7"/>
      <c r="EG47" s="10" t="s">
        <v>42</v>
      </c>
      <c r="EH47" s="7"/>
      <c r="EI47" s="7"/>
      <c r="EJ47" s="10" t="s">
        <v>42</v>
      </c>
      <c r="EK47" s="9"/>
      <c r="EL47" s="9"/>
      <c r="EM47" s="10" t="s">
        <v>42</v>
      </c>
      <c r="EN47" s="7"/>
      <c r="EO47" s="7"/>
      <c r="EP47" s="10" t="s">
        <v>42</v>
      </c>
      <c r="EQ47" s="7"/>
      <c r="ER47" s="7"/>
      <c r="ES47" s="10" t="s">
        <v>42</v>
      </c>
      <c r="ET47" s="7"/>
      <c r="EU47" s="7"/>
      <c r="EV47" s="10" t="s">
        <v>42</v>
      </c>
      <c r="EW47" s="9"/>
      <c r="EX47" s="9"/>
      <c r="EY47" s="10" t="s">
        <v>42</v>
      </c>
      <c r="EZ47" s="7"/>
      <c r="FA47" s="7"/>
      <c r="FB47" s="10" t="s">
        <v>42</v>
      </c>
      <c r="FC47" s="7"/>
      <c r="FD47" s="7"/>
      <c r="FE47" s="10" t="s">
        <v>42</v>
      </c>
      <c r="FF47" s="7"/>
      <c r="FG47" s="7"/>
      <c r="FH47" s="10" t="s">
        <v>42</v>
      </c>
      <c r="FI47" s="9"/>
      <c r="FJ47" s="9"/>
      <c r="FK47" s="10" t="s">
        <v>42</v>
      </c>
      <c r="FL47" s="7"/>
      <c r="FM47" s="7"/>
      <c r="FN47" s="10" t="s">
        <v>42</v>
      </c>
      <c r="FO47" s="7"/>
      <c r="FP47" s="7"/>
      <c r="FQ47" s="10" t="s">
        <v>42</v>
      </c>
      <c r="FR47" s="7"/>
      <c r="FS47" s="7"/>
      <c r="FT47" s="10" t="s">
        <v>42</v>
      </c>
      <c r="FU47" s="9"/>
      <c r="FV47" s="9"/>
      <c r="FW47" s="10" t="s">
        <v>42</v>
      </c>
      <c r="FX47" s="7"/>
      <c r="FY47" s="7"/>
      <c r="FZ47" s="10" t="s">
        <v>42</v>
      </c>
      <c r="GA47" s="7"/>
      <c r="GB47" s="7"/>
      <c r="GC47" s="10" t="s">
        <v>42</v>
      </c>
      <c r="GD47" s="7"/>
      <c r="GE47" s="7"/>
      <c r="GF47" s="10" t="s">
        <v>42</v>
      </c>
      <c r="GG47" s="7"/>
      <c r="GH47" s="7"/>
      <c r="GI47" s="10" t="s">
        <v>42</v>
      </c>
      <c r="GJ47" s="7"/>
      <c r="GK47" s="7"/>
      <c r="GL47" s="10" t="s">
        <v>42</v>
      </c>
      <c r="GM47" s="7"/>
      <c r="GN47" s="7"/>
      <c r="GO47" s="6" t="s">
        <v>42</v>
      </c>
      <c r="GP47" s="7"/>
      <c r="GQ47" s="7"/>
      <c r="GR47" s="6" t="s">
        <v>42</v>
      </c>
      <c r="GS47" s="7">
        <v>24</v>
      </c>
      <c r="GT47" s="7">
        <v>350</v>
      </c>
      <c r="GU47" s="10"/>
      <c r="GV47" s="7"/>
      <c r="GW47" s="7"/>
      <c r="GX47" s="10" t="s">
        <v>42</v>
      </c>
      <c r="GY47" s="7"/>
      <c r="GZ47" s="7"/>
      <c r="HA47" s="10" t="s">
        <v>42</v>
      </c>
      <c r="HB47" s="7"/>
      <c r="HC47" s="7"/>
      <c r="HD47" s="10" t="s">
        <v>42</v>
      </c>
      <c r="HE47" s="7">
        <v>20</v>
      </c>
      <c r="HF47" s="7">
        <v>300</v>
      </c>
      <c r="HG47" s="10" t="s">
        <v>42</v>
      </c>
      <c r="HJ47" s="10" t="s">
        <v>42</v>
      </c>
      <c r="HK47" s="7"/>
      <c r="HL47" s="7"/>
      <c r="HM47" s="10" t="s">
        <v>42</v>
      </c>
      <c r="HN47" s="7"/>
      <c r="HO47" s="7"/>
      <c r="HP47" s="10" t="s">
        <v>42</v>
      </c>
      <c r="HQ47" s="7">
        <v>25</v>
      </c>
      <c r="HR47" s="7">
        <v>350</v>
      </c>
      <c r="HS47" s="10" t="s">
        <v>42</v>
      </c>
      <c r="HT47" s="7"/>
      <c r="HU47" s="7"/>
      <c r="HV47" s="10" t="s">
        <v>42</v>
      </c>
      <c r="HW47" s="7"/>
      <c r="HX47" s="7"/>
      <c r="HY47" s="6" t="s">
        <v>42</v>
      </c>
      <c r="HZ47" s="7"/>
      <c r="IA47" s="7"/>
      <c r="IB47" s="6" t="s">
        <v>42</v>
      </c>
      <c r="IC47" s="7"/>
      <c r="ID47" s="7"/>
      <c r="IE47" s="10"/>
      <c r="IF47" s="7"/>
      <c r="IG47" s="7"/>
      <c r="II47" s="7"/>
      <c r="IJ47" s="7"/>
      <c r="IK47" s="7"/>
      <c r="IL47" s="7"/>
      <c r="IM47" s="7"/>
      <c r="IN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E47" s="7"/>
      <c r="JF47" s="7"/>
      <c r="JH47" s="7"/>
      <c r="JI47" s="7"/>
      <c r="JJ47" s="7"/>
      <c r="JK47" s="7"/>
      <c r="JL47" s="7"/>
      <c r="JM47" s="7"/>
      <c r="JO47" s="7"/>
      <c r="JP47" s="7"/>
      <c r="JQ47" s="7"/>
      <c r="JR47" s="7"/>
      <c r="JT47" s="7"/>
      <c r="JU47" s="7"/>
      <c r="JV47" s="7"/>
      <c r="JW47" s="7"/>
      <c r="JX47" s="7"/>
    </row>
    <row r="48" spans="1:284" x14ac:dyDescent="0.3">
      <c r="A48" t="s">
        <v>229</v>
      </c>
      <c r="B48" s="10" t="s">
        <v>40</v>
      </c>
      <c r="C48" s="7"/>
      <c r="D48" s="7"/>
      <c r="E48" s="10" t="s">
        <v>40</v>
      </c>
      <c r="F48" s="7"/>
      <c r="G48" s="7"/>
      <c r="H48" s="10" t="s">
        <v>40</v>
      </c>
      <c r="I48" s="9"/>
      <c r="J48" s="9"/>
      <c r="K48" s="10" t="s">
        <v>40</v>
      </c>
      <c r="L48" s="7"/>
      <c r="M48" s="7"/>
      <c r="N48" s="10" t="s">
        <v>40</v>
      </c>
      <c r="O48" s="7"/>
      <c r="P48" s="7"/>
      <c r="Q48" s="10" t="s">
        <v>40</v>
      </c>
      <c r="R48" s="7"/>
      <c r="S48" s="7"/>
      <c r="T48" s="10" t="s">
        <v>40</v>
      </c>
      <c r="U48" s="9"/>
      <c r="V48" s="9"/>
      <c r="W48" s="10" t="s">
        <v>40</v>
      </c>
      <c r="X48" s="7"/>
      <c r="Y48" s="7"/>
      <c r="Z48" s="10" t="s">
        <v>40</v>
      </c>
      <c r="AA48" s="7"/>
      <c r="AB48" s="7"/>
      <c r="AC48" s="10" t="s">
        <v>40</v>
      </c>
      <c r="AD48" s="7"/>
      <c r="AE48" s="7"/>
      <c r="AF48" s="10" t="s">
        <v>40</v>
      </c>
      <c r="AG48" s="9"/>
      <c r="AH48" s="9"/>
      <c r="AI48" s="10" t="s">
        <v>40</v>
      </c>
      <c r="AJ48" s="7"/>
      <c r="AK48" s="7"/>
      <c r="AL48" s="10" t="s">
        <v>40</v>
      </c>
      <c r="AM48" s="7"/>
      <c r="AN48" s="7"/>
      <c r="AO48" s="10" t="s">
        <v>40</v>
      </c>
      <c r="AP48" s="7"/>
      <c r="AQ48" s="7"/>
      <c r="AR48" s="10" t="s">
        <v>40</v>
      </c>
      <c r="AS48" s="9"/>
      <c r="AT48" s="9"/>
      <c r="AU48" s="10" t="s">
        <v>40</v>
      </c>
      <c r="AV48" s="7"/>
      <c r="AW48" s="7"/>
      <c r="AX48" s="10" t="s">
        <v>40</v>
      </c>
      <c r="AY48" s="7"/>
      <c r="AZ48" s="7"/>
      <c r="BA48" s="10" t="s">
        <v>40</v>
      </c>
      <c r="BB48" s="7"/>
      <c r="BC48" s="7"/>
      <c r="BD48" s="10" t="s">
        <v>40</v>
      </c>
      <c r="BE48" s="9"/>
      <c r="BF48" s="9"/>
      <c r="BG48" s="10" t="s">
        <v>40</v>
      </c>
      <c r="BH48" s="7"/>
      <c r="BI48" s="7"/>
      <c r="BJ48" s="10" t="s">
        <v>40</v>
      </c>
      <c r="BK48" s="7"/>
      <c r="BL48" s="7"/>
      <c r="BM48" s="10" t="s">
        <v>40</v>
      </c>
      <c r="BN48" s="7"/>
      <c r="BO48" s="7"/>
      <c r="BP48" s="10" t="s">
        <v>40</v>
      </c>
      <c r="BQ48" s="9"/>
      <c r="BR48" s="9"/>
      <c r="BS48" s="10" t="s">
        <v>40</v>
      </c>
      <c r="BT48" s="7"/>
      <c r="BU48" s="7"/>
      <c r="BV48" s="10" t="s">
        <v>40</v>
      </c>
      <c r="BW48" s="7"/>
      <c r="BX48" s="7"/>
      <c r="BY48" s="10" t="s">
        <v>40</v>
      </c>
      <c r="BZ48" s="7"/>
      <c r="CA48" s="7"/>
      <c r="CB48" s="10" t="s">
        <v>40</v>
      </c>
      <c r="CC48" s="9"/>
      <c r="CD48" s="9"/>
      <c r="CE48" s="10" t="s">
        <v>40</v>
      </c>
      <c r="CF48" s="7"/>
      <c r="CG48" s="7"/>
      <c r="CH48" s="10" t="s">
        <v>40</v>
      </c>
      <c r="CI48" s="7"/>
      <c r="CJ48" s="7"/>
      <c r="CK48" s="10" t="s">
        <v>40</v>
      </c>
      <c r="CL48" s="7"/>
      <c r="CM48" s="7"/>
      <c r="CN48" s="10" t="s">
        <v>40</v>
      </c>
      <c r="CO48" s="9"/>
      <c r="CP48" s="9"/>
      <c r="CQ48" s="10" t="s">
        <v>40</v>
      </c>
      <c r="CR48" s="7"/>
      <c r="CS48" s="7"/>
      <c r="CT48" s="10" t="s">
        <v>40</v>
      </c>
      <c r="CU48" s="7"/>
      <c r="CV48" s="7"/>
      <c r="CW48" s="10" t="s">
        <v>40</v>
      </c>
      <c r="CX48" s="7"/>
      <c r="CY48" s="7"/>
      <c r="CZ48" s="10" t="s">
        <v>40</v>
      </c>
      <c r="DA48" s="9"/>
      <c r="DB48" s="9"/>
      <c r="DC48" s="10" t="s">
        <v>40</v>
      </c>
      <c r="DD48" s="7"/>
      <c r="DE48" s="7"/>
      <c r="DF48" s="10" t="s">
        <v>40</v>
      </c>
      <c r="DG48" s="7"/>
      <c r="DH48" s="7"/>
      <c r="DI48" s="10" t="s">
        <v>40</v>
      </c>
      <c r="DJ48" s="7"/>
      <c r="DK48" s="7"/>
      <c r="DL48" s="10" t="s">
        <v>40</v>
      </c>
      <c r="DM48" s="9"/>
      <c r="DN48" s="9"/>
      <c r="DO48" s="10" t="s">
        <v>40</v>
      </c>
      <c r="DP48" s="7"/>
      <c r="DQ48" s="7"/>
      <c r="DR48" s="10" t="s">
        <v>40</v>
      </c>
      <c r="DS48" s="7"/>
      <c r="DT48" s="7"/>
      <c r="DU48" s="10" t="s">
        <v>40</v>
      </c>
      <c r="DV48" s="7"/>
      <c r="DW48" s="7"/>
      <c r="DX48" s="10" t="s">
        <v>40</v>
      </c>
      <c r="DY48" s="9"/>
      <c r="DZ48" s="9"/>
      <c r="EA48" s="10" t="s">
        <v>40</v>
      </c>
      <c r="EB48" s="7"/>
      <c r="EC48" s="7"/>
      <c r="ED48" s="10" t="s">
        <v>40</v>
      </c>
      <c r="EE48" s="7"/>
      <c r="EF48" s="7"/>
      <c r="EG48" s="10" t="s">
        <v>40</v>
      </c>
      <c r="EH48" s="7"/>
      <c r="EI48" s="7"/>
      <c r="EJ48" s="10" t="s">
        <v>40</v>
      </c>
      <c r="EK48" s="9"/>
      <c r="EL48" s="9"/>
      <c r="EM48" s="10" t="s">
        <v>40</v>
      </c>
      <c r="EN48" s="7"/>
      <c r="EO48" s="7"/>
      <c r="EP48" s="10" t="s">
        <v>40</v>
      </c>
      <c r="EQ48" s="7"/>
      <c r="ER48" s="7"/>
      <c r="ES48" s="10" t="s">
        <v>40</v>
      </c>
      <c r="ET48" s="7"/>
      <c r="EU48" s="7"/>
      <c r="EV48" s="10" t="s">
        <v>40</v>
      </c>
      <c r="EW48" s="9"/>
      <c r="EX48" s="9"/>
      <c r="EY48" s="10" t="s">
        <v>40</v>
      </c>
      <c r="EZ48" s="7"/>
      <c r="FA48" s="7"/>
      <c r="FB48" s="10" t="s">
        <v>40</v>
      </c>
      <c r="FC48" s="7"/>
      <c r="FD48" s="7"/>
      <c r="FE48" s="10" t="s">
        <v>40</v>
      </c>
      <c r="FF48" s="7"/>
      <c r="FG48" s="7"/>
      <c r="FH48" s="10" t="s">
        <v>40</v>
      </c>
      <c r="FI48" s="9"/>
      <c r="FJ48" s="9"/>
      <c r="FK48" s="10" t="s">
        <v>40</v>
      </c>
      <c r="FL48" s="7"/>
      <c r="FM48" s="7"/>
      <c r="FN48" s="10" t="s">
        <v>40</v>
      </c>
      <c r="FO48" s="7"/>
      <c r="FP48" s="7"/>
      <c r="FQ48" s="10" t="s">
        <v>40</v>
      </c>
      <c r="FR48" s="7"/>
      <c r="FS48" s="7"/>
      <c r="FT48" s="10" t="s">
        <v>40</v>
      </c>
      <c r="FU48" s="9">
        <v>175</v>
      </c>
      <c r="FV48" s="9">
        <v>1800</v>
      </c>
      <c r="FW48" s="10" t="s">
        <v>40</v>
      </c>
      <c r="FX48" s="7"/>
      <c r="FY48" s="7"/>
      <c r="FZ48" s="10" t="s">
        <v>40</v>
      </c>
      <c r="GA48" s="7"/>
      <c r="GB48" s="7"/>
      <c r="GC48" s="10" t="s">
        <v>40</v>
      </c>
      <c r="GD48" s="7"/>
      <c r="GE48" s="7"/>
      <c r="GF48" s="10" t="s">
        <v>40</v>
      </c>
      <c r="GG48" s="7">
        <v>50</v>
      </c>
      <c r="GH48" s="7">
        <v>400</v>
      </c>
      <c r="GI48" s="10" t="s">
        <v>40</v>
      </c>
      <c r="GJ48" s="7">
        <v>93</v>
      </c>
      <c r="GK48" s="7">
        <v>690</v>
      </c>
      <c r="GL48" s="10" t="s">
        <v>40</v>
      </c>
      <c r="GM48" s="7"/>
      <c r="GN48" s="7"/>
      <c r="GO48" s="10" t="s">
        <v>40</v>
      </c>
      <c r="GP48" s="7"/>
      <c r="GQ48" s="7"/>
      <c r="GR48" s="10" t="s">
        <v>40</v>
      </c>
      <c r="GS48" s="7">
        <v>20</v>
      </c>
      <c r="GT48" s="7">
        <v>300</v>
      </c>
      <c r="GU48" s="6" t="s">
        <v>40</v>
      </c>
      <c r="GV48" s="7">
        <v>85</v>
      </c>
      <c r="GW48" s="7">
        <v>500</v>
      </c>
      <c r="GX48" s="10" t="s">
        <v>40</v>
      </c>
      <c r="GY48" s="7"/>
      <c r="GZ48" s="7"/>
      <c r="HA48" s="10" t="s">
        <v>40</v>
      </c>
      <c r="HB48" s="7"/>
      <c r="HC48" s="7"/>
      <c r="HD48" s="10" t="s">
        <v>40</v>
      </c>
      <c r="HE48" s="7">
        <v>40</v>
      </c>
      <c r="HF48" s="7">
        <v>350</v>
      </c>
      <c r="HG48" s="10" t="s">
        <v>40</v>
      </c>
      <c r="HH48" s="7">
        <v>90</v>
      </c>
      <c r="HI48" s="7">
        <v>600</v>
      </c>
      <c r="HJ48" s="10" t="s">
        <v>40</v>
      </c>
      <c r="HK48" s="7"/>
      <c r="HL48" s="7"/>
      <c r="HM48" s="10" t="s">
        <v>40</v>
      </c>
      <c r="HN48" s="7"/>
      <c r="HO48" s="7"/>
      <c r="HP48" s="10" t="s">
        <v>40</v>
      </c>
      <c r="HQ48" s="7">
        <v>40</v>
      </c>
      <c r="HR48" s="7">
        <v>300</v>
      </c>
      <c r="HS48" s="10" t="s">
        <v>40</v>
      </c>
      <c r="HT48" s="7">
        <v>95</v>
      </c>
      <c r="HU48" s="7">
        <v>700</v>
      </c>
      <c r="HV48" s="10" t="s">
        <v>40</v>
      </c>
      <c r="HW48" s="7"/>
      <c r="HX48" s="7"/>
      <c r="HY48" s="10" t="s">
        <v>40</v>
      </c>
      <c r="HZ48" s="7"/>
      <c r="IA48" s="7"/>
      <c r="IB48" s="10" t="s">
        <v>40</v>
      </c>
      <c r="IC48" s="7">
        <v>18</v>
      </c>
      <c r="ID48" s="7">
        <v>70</v>
      </c>
      <c r="IE48" s="6" t="s">
        <v>40</v>
      </c>
      <c r="IF48" s="7">
        <v>155</v>
      </c>
      <c r="IG48" s="7">
        <v>1700</v>
      </c>
      <c r="II48" s="7"/>
      <c r="IJ48" s="7"/>
      <c r="IK48" s="7"/>
      <c r="IL48" s="7"/>
      <c r="IM48" s="7"/>
      <c r="IN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E48" s="7"/>
      <c r="JF48" s="7"/>
      <c r="JH48" s="7"/>
      <c r="JI48" s="7"/>
      <c r="JJ48" s="7"/>
      <c r="JK48" s="7"/>
      <c r="JL48" s="7"/>
      <c r="JM48" s="7"/>
      <c r="JO48" s="7"/>
      <c r="JP48" s="7"/>
      <c r="JQ48" s="7"/>
      <c r="JR48" s="7"/>
      <c r="JT48" s="7"/>
      <c r="JU48" s="7"/>
      <c r="JV48" s="7"/>
      <c r="JW48" s="7"/>
      <c r="JX48" s="7"/>
    </row>
    <row r="49" spans="1:284" x14ac:dyDescent="0.3">
      <c r="A49" t="s">
        <v>231</v>
      </c>
      <c r="B49" s="10" t="s">
        <v>40</v>
      </c>
      <c r="C49" s="7"/>
      <c r="D49" s="7"/>
      <c r="E49" s="10" t="s">
        <v>40</v>
      </c>
      <c r="F49" s="7"/>
      <c r="G49" s="7"/>
      <c r="H49" s="10" t="s">
        <v>40</v>
      </c>
      <c r="I49" s="9"/>
      <c r="J49" s="9"/>
      <c r="K49" s="10" t="s">
        <v>40</v>
      </c>
      <c r="L49" s="7"/>
      <c r="M49" s="7"/>
      <c r="N49" s="10" t="s">
        <v>40</v>
      </c>
      <c r="O49" s="7"/>
      <c r="P49" s="7"/>
      <c r="Q49" s="10" t="s">
        <v>40</v>
      </c>
      <c r="R49" s="7"/>
      <c r="S49" s="7"/>
      <c r="T49" s="10" t="s">
        <v>40</v>
      </c>
      <c r="U49" s="9"/>
      <c r="V49" s="9"/>
      <c r="W49" s="10" t="s">
        <v>40</v>
      </c>
      <c r="X49" s="7"/>
      <c r="Y49" s="7"/>
      <c r="Z49" s="10" t="s">
        <v>40</v>
      </c>
      <c r="AA49" s="7"/>
      <c r="AB49" s="7"/>
      <c r="AC49" s="10" t="s">
        <v>40</v>
      </c>
      <c r="AD49" s="7"/>
      <c r="AE49" s="7"/>
      <c r="AF49" s="10" t="s">
        <v>40</v>
      </c>
      <c r="AG49" s="9"/>
      <c r="AH49" s="9"/>
      <c r="AI49" s="10" t="s">
        <v>40</v>
      </c>
      <c r="AJ49" s="7"/>
      <c r="AK49" s="7"/>
      <c r="AL49" s="10" t="s">
        <v>40</v>
      </c>
      <c r="AM49" s="7"/>
      <c r="AN49" s="7"/>
      <c r="AO49" s="10" t="s">
        <v>40</v>
      </c>
      <c r="AP49" s="7"/>
      <c r="AQ49" s="7"/>
      <c r="AR49" s="10" t="s">
        <v>40</v>
      </c>
      <c r="AS49" s="9"/>
      <c r="AT49" s="9"/>
      <c r="AU49" s="10" t="s">
        <v>40</v>
      </c>
      <c r="AV49" s="7"/>
      <c r="AW49" s="7"/>
      <c r="AX49" s="10" t="s">
        <v>40</v>
      </c>
      <c r="AY49" s="7"/>
      <c r="AZ49" s="7"/>
      <c r="BA49" s="10" t="s">
        <v>40</v>
      </c>
      <c r="BB49" s="7"/>
      <c r="BC49" s="7"/>
      <c r="BD49" s="10" t="s">
        <v>40</v>
      </c>
      <c r="BE49" s="9"/>
      <c r="BF49" s="9"/>
      <c r="BG49" s="10" t="s">
        <v>40</v>
      </c>
      <c r="BH49" s="7"/>
      <c r="BI49" s="7"/>
      <c r="BJ49" s="10" t="s">
        <v>40</v>
      </c>
      <c r="BK49" s="7"/>
      <c r="BL49" s="7"/>
      <c r="BM49" s="10" t="s">
        <v>40</v>
      </c>
      <c r="BN49" s="7"/>
      <c r="BO49" s="7"/>
      <c r="BP49" s="10" t="s">
        <v>40</v>
      </c>
      <c r="BQ49" s="9"/>
      <c r="BR49" s="9"/>
      <c r="BS49" s="10" t="s">
        <v>40</v>
      </c>
      <c r="BT49" s="7"/>
      <c r="BU49" s="7"/>
      <c r="BV49" s="10" t="s">
        <v>40</v>
      </c>
      <c r="BW49" s="7"/>
      <c r="BX49" s="7"/>
      <c r="BY49" s="10" t="s">
        <v>40</v>
      </c>
      <c r="BZ49" s="7"/>
      <c r="CA49" s="7"/>
      <c r="CB49" s="10" t="s">
        <v>40</v>
      </c>
      <c r="CC49" s="9"/>
      <c r="CD49" s="9"/>
      <c r="CE49" s="10" t="s">
        <v>40</v>
      </c>
      <c r="CF49" s="7"/>
      <c r="CG49" s="7"/>
      <c r="CH49" s="10" t="s">
        <v>40</v>
      </c>
      <c r="CI49" s="7"/>
      <c r="CJ49" s="7"/>
      <c r="CK49" s="10" t="s">
        <v>40</v>
      </c>
      <c r="CL49" s="7"/>
      <c r="CM49" s="7"/>
      <c r="CN49" s="10" t="s">
        <v>40</v>
      </c>
      <c r="CO49" s="9"/>
      <c r="CP49" s="9"/>
      <c r="CQ49" s="10" t="s">
        <v>40</v>
      </c>
      <c r="CR49" s="7"/>
      <c r="CS49" s="7"/>
      <c r="CT49" s="10" t="s">
        <v>40</v>
      </c>
      <c r="CU49" s="7"/>
      <c r="CV49" s="7"/>
      <c r="CW49" s="10" t="s">
        <v>40</v>
      </c>
      <c r="CX49" s="7"/>
      <c r="CY49" s="7"/>
      <c r="CZ49" s="10" t="s">
        <v>40</v>
      </c>
      <c r="DA49" s="9"/>
      <c r="DB49" s="9"/>
      <c r="DC49" s="10" t="s">
        <v>40</v>
      </c>
      <c r="DD49" s="7"/>
      <c r="DE49" s="7"/>
      <c r="DF49" s="10" t="s">
        <v>40</v>
      </c>
      <c r="DG49" s="7"/>
      <c r="DH49" s="7"/>
      <c r="DI49" s="10" t="s">
        <v>40</v>
      </c>
      <c r="DJ49" s="7"/>
      <c r="DK49" s="7"/>
      <c r="DL49" s="10" t="s">
        <v>40</v>
      </c>
      <c r="DM49" s="9"/>
      <c r="DN49" s="9"/>
      <c r="DO49" s="10" t="s">
        <v>40</v>
      </c>
      <c r="DP49" s="7"/>
      <c r="DQ49" s="7"/>
      <c r="DR49" s="10" t="s">
        <v>40</v>
      </c>
      <c r="DS49" s="7"/>
      <c r="DT49" s="7"/>
      <c r="DU49" s="10" t="s">
        <v>40</v>
      </c>
      <c r="DV49" s="7"/>
      <c r="DW49" s="7"/>
      <c r="DX49" s="10" t="s">
        <v>40</v>
      </c>
      <c r="DY49" s="9"/>
      <c r="DZ49" s="9"/>
      <c r="EA49" s="10" t="s">
        <v>40</v>
      </c>
      <c r="EB49" s="7"/>
      <c r="EC49" s="7"/>
      <c r="ED49" s="10" t="s">
        <v>40</v>
      </c>
      <c r="EE49" s="7"/>
      <c r="EF49" s="7"/>
      <c r="EG49" s="10" t="s">
        <v>40</v>
      </c>
      <c r="EH49" s="7"/>
      <c r="EI49" s="7"/>
      <c r="EJ49" s="10" t="s">
        <v>40</v>
      </c>
      <c r="EK49" s="9"/>
      <c r="EL49" s="9"/>
      <c r="EM49" s="10" t="s">
        <v>40</v>
      </c>
      <c r="EN49" s="7"/>
      <c r="EO49" s="7"/>
      <c r="EP49" s="10" t="s">
        <v>40</v>
      </c>
      <c r="EQ49" s="7"/>
      <c r="ER49" s="7"/>
      <c r="ES49" s="10" t="s">
        <v>40</v>
      </c>
      <c r="ET49" s="7"/>
      <c r="EU49" s="7"/>
      <c r="EV49" s="10" t="s">
        <v>40</v>
      </c>
      <c r="EW49" s="9"/>
      <c r="EX49" s="9"/>
      <c r="EY49" s="10" t="s">
        <v>40</v>
      </c>
      <c r="EZ49" s="7"/>
      <c r="FA49" s="7"/>
      <c r="FB49" s="10" t="s">
        <v>40</v>
      </c>
      <c r="FC49" s="7"/>
      <c r="FD49" s="7"/>
      <c r="FE49" s="10" t="s">
        <v>40</v>
      </c>
      <c r="FF49" s="7"/>
      <c r="FG49" s="7"/>
      <c r="FH49" s="10" t="s">
        <v>40</v>
      </c>
      <c r="FI49" s="9"/>
      <c r="FJ49" s="9"/>
      <c r="FK49" s="10" t="s">
        <v>40</v>
      </c>
      <c r="FL49" s="7"/>
      <c r="FM49" s="7"/>
      <c r="FN49" s="10" t="s">
        <v>40</v>
      </c>
      <c r="FO49" s="7"/>
      <c r="FP49" s="7"/>
      <c r="FQ49" s="10" t="s">
        <v>40</v>
      </c>
      <c r="FR49" s="7"/>
      <c r="FS49" s="7"/>
      <c r="FT49" s="10" t="s">
        <v>40</v>
      </c>
      <c r="FU49" s="9"/>
      <c r="FV49" s="9"/>
      <c r="FW49" s="10" t="s">
        <v>40</v>
      </c>
      <c r="FX49" s="7">
        <v>125</v>
      </c>
      <c r="FY49" s="7">
        <v>2200</v>
      </c>
      <c r="FZ49" s="10" t="s">
        <v>40</v>
      </c>
      <c r="GA49" s="7"/>
      <c r="GB49" s="7"/>
      <c r="GC49" s="10" t="s">
        <v>40</v>
      </c>
      <c r="GD49" s="7"/>
      <c r="GE49" s="7"/>
      <c r="GF49" s="10" t="s">
        <v>40</v>
      </c>
      <c r="GG49" s="7"/>
      <c r="GH49" s="7"/>
      <c r="GI49" s="10" t="s">
        <v>40</v>
      </c>
      <c r="GJ49" s="7">
        <v>102</v>
      </c>
      <c r="GK49" s="7">
        <v>953</v>
      </c>
      <c r="GL49" s="10" t="s">
        <v>40</v>
      </c>
      <c r="GM49" s="7"/>
      <c r="GN49" s="7"/>
      <c r="GO49" s="10" t="s">
        <v>40</v>
      </c>
      <c r="GP49" s="7"/>
      <c r="GQ49" s="7"/>
      <c r="GR49" s="10" t="s">
        <v>40</v>
      </c>
      <c r="GS49" s="7"/>
      <c r="GT49" s="7"/>
      <c r="GU49" s="6" t="s">
        <v>40</v>
      </c>
      <c r="GV49" s="7">
        <v>130</v>
      </c>
      <c r="GW49" s="7">
        <v>2000</v>
      </c>
      <c r="GX49" s="10" t="s">
        <v>40</v>
      </c>
      <c r="GY49" s="7"/>
      <c r="GZ49" s="7"/>
      <c r="HA49" s="10" t="s">
        <v>40</v>
      </c>
      <c r="HB49" s="7"/>
      <c r="HC49" s="7"/>
      <c r="HD49" s="10" t="s">
        <v>40</v>
      </c>
      <c r="HE49" s="7"/>
      <c r="HF49" s="7"/>
      <c r="HG49" s="10" t="s">
        <v>40</v>
      </c>
      <c r="HH49" s="7">
        <v>140</v>
      </c>
      <c r="HI49" s="7">
        <v>2200</v>
      </c>
      <c r="HJ49" s="10" t="s">
        <v>40</v>
      </c>
      <c r="HK49" s="7"/>
      <c r="HL49" s="7"/>
      <c r="HM49" s="10" t="s">
        <v>40</v>
      </c>
      <c r="HN49" s="7"/>
      <c r="HO49" s="7"/>
      <c r="HP49" s="10" t="s">
        <v>40</v>
      </c>
      <c r="HQ49" s="7"/>
      <c r="HR49" s="7"/>
      <c r="HS49" s="10" t="s">
        <v>40</v>
      </c>
      <c r="HT49" s="7">
        <v>145</v>
      </c>
      <c r="HU49" s="7">
        <v>3000</v>
      </c>
      <c r="HV49" s="10" t="s">
        <v>40</v>
      </c>
      <c r="HW49" s="7"/>
      <c r="HX49" s="7"/>
      <c r="HY49" s="10" t="s">
        <v>40</v>
      </c>
      <c r="HZ49" s="7"/>
      <c r="IA49" s="7"/>
      <c r="IB49" s="10" t="s">
        <v>40</v>
      </c>
      <c r="IC49" s="7"/>
      <c r="ID49" s="7"/>
      <c r="IE49" s="6" t="s">
        <v>40</v>
      </c>
      <c r="IF49" s="7">
        <v>81</v>
      </c>
      <c r="IG49" s="7">
        <v>1700</v>
      </c>
      <c r="II49" s="7"/>
      <c r="IJ49" s="7"/>
      <c r="IK49" s="7"/>
      <c r="IL49" s="7"/>
      <c r="IM49" s="7"/>
      <c r="IN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E49" s="7"/>
      <c r="JF49" s="7"/>
      <c r="JH49" s="7"/>
      <c r="JI49" s="7"/>
      <c r="JJ49" s="7"/>
      <c r="JK49" s="7"/>
      <c r="JL49" s="7"/>
      <c r="JM49" s="7"/>
      <c r="JO49" s="7"/>
      <c r="JP49" s="7"/>
      <c r="JQ49" s="7"/>
      <c r="JR49" s="7"/>
      <c r="JT49" s="7"/>
      <c r="JU49" s="7"/>
      <c r="JV49" s="7"/>
      <c r="JW49" s="7"/>
      <c r="JX49" s="7"/>
    </row>
    <row r="50" spans="1:284" x14ac:dyDescent="0.3">
      <c r="A50" t="s">
        <v>230</v>
      </c>
      <c r="B50" s="10" t="s">
        <v>38</v>
      </c>
      <c r="C50" s="7"/>
      <c r="D50" s="7"/>
      <c r="E50" s="10" t="s">
        <v>38</v>
      </c>
      <c r="F50" s="7"/>
      <c r="G50" s="7"/>
      <c r="H50" s="10" t="s">
        <v>38</v>
      </c>
      <c r="I50" s="9"/>
      <c r="J50" s="9"/>
      <c r="K50" s="10" t="s">
        <v>38</v>
      </c>
      <c r="L50" s="7"/>
      <c r="M50" s="7"/>
      <c r="N50" s="10" t="s">
        <v>38</v>
      </c>
      <c r="O50" s="7"/>
      <c r="P50" s="7"/>
      <c r="Q50" s="10" t="s">
        <v>38</v>
      </c>
      <c r="R50" s="7"/>
      <c r="S50" s="7"/>
      <c r="T50" s="10" t="s">
        <v>38</v>
      </c>
      <c r="U50" s="9"/>
      <c r="V50" s="9"/>
      <c r="W50" s="10" t="s">
        <v>38</v>
      </c>
      <c r="X50" s="7"/>
      <c r="Y50" s="7"/>
      <c r="Z50" s="10" t="s">
        <v>38</v>
      </c>
      <c r="AA50" s="7"/>
      <c r="AB50" s="7"/>
      <c r="AC50" s="10" t="s">
        <v>38</v>
      </c>
      <c r="AD50" s="7"/>
      <c r="AE50" s="7"/>
      <c r="AF50" s="10" t="s">
        <v>38</v>
      </c>
      <c r="AG50" s="9"/>
      <c r="AH50" s="9"/>
      <c r="AI50" s="10" t="s">
        <v>38</v>
      </c>
      <c r="AJ50" s="7"/>
      <c r="AK50" s="7"/>
      <c r="AL50" s="10" t="s">
        <v>38</v>
      </c>
      <c r="AM50" s="7"/>
      <c r="AN50" s="7"/>
      <c r="AO50" s="10" t="s">
        <v>38</v>
      </c>
      <c r="AP50" s="7"/>
      <c r="AQ50" s="7"/>
      <c r="AR50" s="10" t="s">
        <v>38</v>
      </c>
      <c r="AS50" s="9"/>
      <c r="AT50" s="9"/>
      <c r="AU50" s="10" t="s">
        <v>38</v>
      </c>
      <c r="AV50" s="7"/>
      <c r="AW50" s="7"/>
      <c r="AX50" s="10" t="s">
        <v>38</v>
      </c>
      <c r="AY50" s="7"/>
      <c r="AZ50" s="7"/>
      <c r="BA50" s="10" t="s">
        <v>38</v>
      </c>
      <c r="BB50" s="7"/>
      <c r="BC50" s="7"/>
      <c r="BD50" s="10" t="s">
        <v>38</v>
      </c>
      <c r="BE50" s="9"/>
      <c r="BF50" s="9"/>
      <c r="BG50" s="10" t="s">
        <v>38</v>
      </c>
      <c r="BH50" s="7"/>
      <c r="BI50" s="7"/>
      <c r="BJ50" s="10" t="s">
        <v>38</v>
      </c>
      <c r="BK50" s="7"/>
      <c r="BL50" s="7"/>
      <c r="BM50" s="10" t="s">
        <v>38</v>
      </c>
      <c r="BN50" s="7"/>
      <c r="BO50" s="7"/>
      <c r="BP50" s="10" t="s">
        <v>38</v>
      </c>
      <c r="BQ50" s="9"/>
      <c r="BR50" s="9"/>
      <c r="BS50" s="10" t="s">
        <v>38</v>
      </c>
      <c r="BT50" s="7"/>
      <c r="BU50" s="7"/>
      <c r="BV50" s="10" t="s">
        <v>38</v>
      </c>
      <c r="BW50" s="7"/>
      <c r="BX50" s="7"/>
      <c r="BY50" s="10" t="s">
        <v>38</v>
      </c>
      <c r="BZ50" s="7"/>
      <c r="CA50" s="7"/>
      <c r="CB50" s="10" t="s">
        <v>38</v>
      </c>
      <c r="CC50" s="9"/>
      <c r="CD50" s="9"/>
      <c r="CE50" s="10" t="s">
        <v>38</v>
      </c>
      <c r="CF50" s="7"/>
      <c r="CG50" s="7"/>
      <c r="CH50" s="10" t="s">
        <v>38</v>
      </c>
      <c r="CI50" s="7"/>
      <c r="CJ50" s="7"/>
      <c r="CK50" s="10" t="s">
        <v>38</v>
      </c>
      <c r="CL50" s="7"/>
      <c r="CM50" s="7"/>
      <c r="CN50" s="10" t="s">
        <v>38</v>
      </c>
      <c r="CO50" s="9"/>
      <c r="CP50" s="9"/>
      <c r="CQ50" s="10" t="s">
        <v>38</v>
      </c>
      <c r="CR50" s="7"/>
      <c r="CS50" s="7"/>
      <c r="CT50" s="10" t="s">
        <v>38</v>
      </c>
      <c r="CU50" s="7"/>
      <c r="CV50" s="7"/>
      <c r="CW50" s="10" t="s">
        <v>38</v>
      </c>
      <c r="CX50" s="7"/>
      <c r="CY50" s="7"/>
      <c r="CZ50" s="10" t="s">
        <v>38</v>
      </c>
      <c r="DA50" s="9"/>
      <c r="DB50" s="9"/>
      <c r="DC50" s="10" t="s">
        <v>38</v>
      </c>
      <c r="DD50" s="7"/>
      <c r="DE50" s="7"/>
      <c r="DF50" s="10" t="s">
        <v>38</v>
      </c>
      <c r="DG50" s="7"/>
      <c r="DH50" s="7"/>
      <c r="DI50" s="10" t="s">
        <v>38</v>
      </c>
      <c r="DJ50" s="7"/>
      <c r="DK50" s="7"/>
      <c r="DL50" s="10" t="s">
        <v>38</v>
      </c>
      <c r="DM50" s="9"/>
      <c r="DN50" s="9"/>
      <c r="DO50" s="10" t="s">
        <v>38</v>
      </c>
      <c r="DP50" s="7"/>
      <c r="DQ50" s="7"/>
      <c r="DR50" s="10" t="s">
        <v>38</v>
      </c>
      <c r="DS50" s="7"/>
      <c r="DT50" s="7"/>
      <c r="DU50" s="10" t="s">
        <v>38</v>
      </c>
      <c r="DV50" s="7"/>
      <c r="DW50" s="7"/>
      <c r="DX50" s="10" t="s">
        <v>38</v>
      </c>
      <c r="DY50" s="9"/>
      <c r="DZ50" s="9"/>
      <c r="EA50" s="10" t="s">
        <v>38</v>
      </c>
      <c r="EB50" s="7"/>
      <c r="EC50" s="7"/>
      <c r="ED50" s="10" t="s">
        <v>38</v>
      </c>
      <c r="EE50" s="7"/>
      <c r="EF50" s="7"/>
      <c r="EG50" s="10" t="s">
        <v>38</v>
      </c>
      <c r="EH50" s="7"/>
      <c r="EI50" s="7"/>
      <c r="EJ50" s="10" t="s">
        <v>38</v>
      </c>
      <c r="EK50" s="9"/>
      <c r="EL50" s="9"/>
      <c r="EM50" s="10" t="s">
        <v>38</v>
      </c>
      <c r="EN50" s="7"/>
      <c r="EO50" s="7"/>
      <c r="EP50" s="10" t="s">
        <v>38</v>
      </c>
      <c r="EQ50" s="7"/>
      <c r="ER50" s="7"/>
      <c r="ES50" s="10" t="s">
        <v>38</v>
      </c>
      <c r="ET50" s="7"/>
      <c r="EU50" s="7"/>
      <c r="EV50" s="10" t="s">
        <v>38</v>
      </c>
      <c r="EW50" s="9"/>
      <c r="EX50" s="9"/>
      <c r="EY50" s="10" t="s">
        <v>38</v>
      </c>
      <c r="EZ50" s="7"/>
      <c r="FA50" s="7"/>
      <c r="FB50" s="10" t="s">
        <v>38</v>
      </c>
      <c r="FC50" s="7"/>
      <c r="FD50" s="7"/>
      <c r="FE50" s="10" t="s">
        <v>38</v>
      </c>
      <c r="FF50" s="7"/>
      <c r="FG50" s="7"/>
      <c r="FH50" s="10" t="s">
        <v>38</v>
      </c>
      <c r="FI50" s="9"/>
      <c r="FJ50" s="9"/>
      <c r="FK50" s="10" t="s">
        <v>38</v>
      </c>
      <c r="FL50" s="7"/>
      <c r="FM50" s="7"/>
      <c r="FN50" s="10" t="s">
        <v>38</v>
      </c>
      <c r="FO50" s="7"/>
      <c r="FP50" s="7"/>
      <c r="FQ50" s="10" t="s">
        <v>38</v>
      </c>
      <c r="FR50" s="7"/>
      <c r="FS50" s="7"/>
      <c r="FT50" s="10" t="s">
        <v>38</v>
      </c>
      <c r="FU50" s="9"/>
      <c r="FV50" s="9"/>
      <c r="FW50" s="6" t="s">
        <v>38</v>
      </c>
      <c r="FX50" s="7">
        <v>5</v>
      </c>
      <c r="FY50" s="7">
        <v>125</v>
      </c>
      <c r="FZ50" s="10" t="s">
        <v>40</v>
      </c>
      <c r="GA50" s="7"/>
      <c r="GB50" s="7"/>
      <c r="GC50" s="10" t="s">
        <v>40</v>
      </c>
      <c r="GD50" s="7"/>
      <c r="GE50" s="7"/>
      <c r="GF50" s="10" t="s">
        <v>40</v>
      </c>
      <c r="GG50" s="7"/>
      <c r="GH50" s="7"/>
      <c r="GI50" s="10" t="s">
        <v>40</v>
      </c>
      <c r="GJ50" s="7"/>
      <c r="GK50" s="7"/>
      <c r="GL50" s="10" t="s">
        <v>40</v>
      </c>
      <c r="GM50" s="7"/>
      <c r="GN50" s="7"/>
      <c r="GO50" s="10" t="s">
        <v>40</v>
      </c>
      <c r="GP50" s="7"/>
      <c r="GQ50" s="7"/>
      <c r="GR50" s="10" t="s">
        <v>40</v>
      </c>
      <c r="GS50" s="7"/>
      <c r="GT50" s="7"/>
      <c r="GU50" s="6" t="s">
        <v>40</v>
      </c>
      <c r="GV50" s="7">
        <v>2</v>
      </c>
      <c r="GW50" s="7">
        <v>15</v>
      </c>
      <c r="GX50" s="10" t="s">
        <v>40</v>
      </c>
      <c r="GY50" s="7"/>
      <c r="GZ50" s="7"/>
      <c r="HA50" s="10" t="s">
        <v>40</v>
      </c>
      <c r="HB50" s="7"/>
      <c r="HC50" s="7"/>
      <c r="HD50" s="10" t="s">
        <v>40</v>
      </c>
      <c r="HE50" s="7"/>
      <c r="HF50" s="7"/>
      <c r="HG50" s="10" t="s">
        <v>40</v>
      </c>
      <c r="HH50" s="7">
        <v>4</v>
      </c>
      <c r="HI50" s="7">
        <v>100</v>
      </c>
      <c r="HJ50" s="10" t="s">
        <v>40</v>
      </c>
      <c r="HK50" s="7"/>
      <c r="HL50" s="7"/>
      <c r="HM50" s="10" t="s">
        <v>40</v>
      </c>
      <c r="HN50" s="7"/>
      <c r="HO50" s="7"/>
      <c r="HP50" s="10" t="s">
        <v>40</v>
      </c>
      <c r="HQ50" s="7"/>
      <c r="HR50" s="7"/>
      <c r="HS50" s="10" t="s">
        <v>40</v>
      </c>
      <c r="HT50" s="7">
        <v>5</v>
      </c>
      <c r="HU50" s="7">
        <v>100</v>
      </c>
      <c r="HV50" s="10" t="s">
        <v>40</v>
      </c>
      <c r="HW50" s="7"/>
      <c r="HX50" s="7"/>
      <c r="HY50" s="10" t="s">
        <v>40</v>
      </c>
      <c r="HZ50" s="7"/>
      <c r="IA50" s="7"/>
      <c r="IB50" s="10" t="s">
        <v>40</v>
      </c>
      <c r="IC50" s="7"/>
      <c r="ID50" s="7"/>
      <c r="IE50" s="6" t="s">
        <v>38</v>
      </c>
      <c r="IF50" s="7">
        <v>4</v>
      </c>
      <c r="IG50" s="7">
        <v>80</v>
      </c>
      <c r="II50" s="7"/>
      <c r="IJ50" s="7"/>
      <c r="IK50" s="7"/>
      <c r="IL50" s="7"/>
      <c r="IM50" s="7"/>
      <c r="IN50" s="7"/>
      <c r="IP50" s="7"/>
      <c r="IQ50" s="7"/>
      <c r="IR50" s="7"/>
      <c r="IS50" s="7"/>
      <c r="IT50" s="7"/>
      <c r="IV50" s="7"/>
      <c r="IW50" s="7"/>
      <c r="IX50" s="7"/>
      <c r="IY50" s="7"/>
      <c r="IZ50" s="7"/>
      <c r="JB50" s="7"/>
      <c r="JC50" s="7"/>
      <c r="JE50" s="7"/>
      <c r="JF50" s="7"/>
      <c r="JH50" s="7"/>
      <c r="JI50" s="7"/>
      <c r="JJ50" s="7"/>
      <c r="JK50" s="7"/>
      <c r="JL50" s="7"/>
      <c r="JM50" s="7"/>
      <c r="JO50" s="7"/>
      <c r="JP50" s="7"/>
      <c r="JQ50" s="7"/>
      <c r="JR50" s="7"/>
      <c r="JT50" s="7"/>
      <c r="JU50" s="7"/>
      <c r="JV50" s="7"/>
      <c r="JW50" s="7"/>
      <c r="JX50" s="7"/>
    </row>
    <row r="51" spans="1:284" x14ac:dyDescent="0.3">
      <c r="A51" t="s">
        <v>232</v>
      </c>
      <c r="C51" s="7"/>
      <c r="D51" s="7"/>
      <c r="F51" s="7"/>
      <c r="G51" s="7"/>
      <c r="I51" s="9"/>
      <c r="J51" s="9"/>
      <c r="L51" s="7"/>
      <c r="M51" s="7"/>
      <c r="O51" s="7"/>
      <c r="P51" s="7"/>
      <c r="R51" s="7"/>
      <c r="S51" s="7"/>
      <c r="U51" s="9"/>
      <c r="V51" s="9"/>
      <c r="X51" s="7"/>
      <c r="Y51" s="7"/>
      <c r="AA51" s="7"/>
      <c r="AB51" s="7"/>
      <c r="AD51" s="7"/>
      <c r="AE51" s="7"/>
      <c r="AG51" s="9"/>
      <c r="AH51" s="9"/>
      <c r="AJ51" s="7"/>
      <c r="AK51" s="7"/>
      <c r="AM51" s="7"/>
      <c r="AN51" s="7"/>
      <c r="AP51" s="7"/>
      <c r="AQ51" s="7"/>
      <c r="AS51" s="9"/>
      <c r="AT51" s="9"/>
      <c r="AV51" s="7"/>
      <c r="AW51" s="7"/>
      <c r="AY51" s="7"/>
      <c r="AZ51" s="7"/>
      <c r="BB51" s="7"/>
      <c r="BC51" s="7"/>
      <c r="BE51" s="9"/>
      <c r="BF51" s="9"/>
      <c r="BH51" s="7"/>
      <c r="BI51" s="7"/>
      <c r="BK51" s="7"/>
      <c r="BL51" s="7"/>
      <c r="BN51" s="7"/>
      <c r="BO51" s="7"/>
      <c r="BQ51" s="9"/>
      <c r="BR51" s="9"/>
      <c r="BT51" s="7"/>
      <c r="BU51" s="7"/>
      <c r="BW51" s="7"/>
      <c r="BX51" s="7"/>
      <c r="BZ51" s="7"/>
      <c r="CA51" s="7"/>
      <c r="CC51" s="9"/>
      <c r="CD51" s="9"/>
      <c r="CF51" s="7"/>
      <c r="CG51" s="7"/>
      <c r="CI51" s="7"/>
      <c r="CJ51" s="7"/>
      <c r="CL51" s="7"/>
      <c r="CM51" s="7"/>
      <c r="CO51" s="9"/>
      <c r="CP51" s="9"/>
      <c r="CR51" s="7"/>
      <c r="CS51" s="7"/>
      <c r="CU51" s="7"/>
      <c r="CV51" s="7"/>
      <c r="CX51" s="7"/>
      <c r="CY51" s="7"/>
      <c r="DA51" s="9"/>
      <c r="DB51" s="9"/>
      <c r="DD51" s="7"/>
      <c r="DE51" s="7"/>
      <c r="DG51" s="7"/>
      <c r="DH51" s="7"/>
      <c r="DJ51" s="7"/>
      <c r="DK51" s="7"/>
      <c r="DM51" s="9"/>
      <c r="DN51" s="9"/>
      <c r="DP51" s="7"/>
      <c r="DQ51" s="7"/>
      <c r="DS51" s="7"/>
      <c r="DT51" s="7"/>
      <c r="DV51" s="7"/>
      <c r="DW51" s="7"/>
      <c r="DY51" s="9"/>
      <c r="DZ51" s="9"/>
      <c r="EB51" s="7"/>
      <c r="EC51" s="7"/>
      <c r="EE51" s="7"/>
      <c r="EF51" s="7"/>
      <c r="EH51" s="7"/>
      <c r="EI51" s="7"/>
      <c r="EK51" s="9"/>
      <c r="EL51" s="9"/>
      <c r="EN51" s="7"/>
      <c r="EO51" s="7"/>
      <c r="EQ51" s="7"/>
      <c r="ER51" s="7"/>
      <c r="ET51" s="7"/>
      <c r="EU51" s="7"/>
      <c r="EW51" s="9"/>
      <c r="EX51" s="9"/>
      <c r="EZ51" s="7"/>
      <c r="FA51" s="7"/>
      <c r="FC51" s="7"/>
      <c r="FD51" s="7"/>
      <c r="FF51" s="7"/>
      <c r="FG51" s="7"/>
      <c r="FI51" s="9"/>
      <c r="FJ51" s="9"/>
      <c r="FL51" s="7"/>
      <c r="FM51" s="7"/>
      <c r="FO51" s="7"/>
      <c r="FP51" s="7"/>
      <c r="FR51" s="7"/>
      <c r="FS51" s="7"/>
      <c r="FU51" s="9"/>
      <c r="FV51" s="9"/>
      <c r="FX51" s="7"/>
      <c r="FY51" s="7">
        <v>1600</v>
      </c>
      <c r="GA51" s="7"/>
      <c r="GB51" s="7"/>
      <c r="GD51" s="7"/>
      <c r="GE51" s="7"/>
      <c r="GG51" s="7"/>
      <c r="GH51" s="7"/>
      <c r="GJ51" s="7"/>
      <c r="GK51" s="7">
        <v>1800</v>
      </c>
      <c r="GM51" s="7"/>
      <c r="GN51" s="7"/>
      <c r="GO51" s="10"/>
      <c r="GP51" s="7"/>
      <c r="GQ51" s="7"/>
      <c r="GR51" s="10"/>
      <c r="GS51" s="7"/>
      <c r="GT51" s="7"/>
      <c r="GU51" s="10"/>
      <c r="GV51" s="7"/>
      <c r="GW51" s="7">
        <v>2500</v>
      </c>
      <c r="GY51" s="7"/>
      <c r="GZ51" s="7"/>
      <c r="HB51" s="7"/>
      <c r="HC51" s="7"/>
      <c r="HE51" s="7"/>
      <c r="HF51" s="7"/>
      <c r="HH51" s="7"/>
      <c r="HI51" s="7">
        <v>3000</v>
      </c>
      <c r="HK51" s="7"/>
      <c r="HL51" s="7"/>
      <c r="HN51" s="7"/>
      <c r="HO51" s="7"/>
      <c r="HQ51" s="7"/>
      <c r="HR51" s="7"/>
      <c r="HT51" s="7"/>
      <c r="HU51" s="7">
        <v>2800</v>
      </c>
      <c r="HW51" s="7"/>
      <c r="HX51" s="7"/>
      <c r="HY51" s="10"/>
      <c r="HZ51" s="7"/>
      <c r="IA51" s="7"/>
      <c r="IB51" s="10" t="s">
        <v>47</v>
      </c>
      <c r="IC51" s="7"/>
      <c r="ID51" s="7"/>
      <c r="IE51" s="6" t="s">
        <v>47</v>
      </c>
      <c r="IF51" s="7">
        <v>695</v>
      </c>
      <c r="IG51" s="7">
        <v>2720</v>
      </c>
      <c r="II51" s="7"/>
      <c r="IJ51" s="7"/>
      <c r="IK51" s="7"/>
      <c r="IL51" s="7"/>
      <c r="IM51" s="7"/>
      <c r="IN51" s="7"/>
      <c r="IP51" s="7"/>
      <c r="IQ51" s="7"/>
      <c r="IR51" s="7"/>
      <c r="IS51" s="7"/>
      <c r="IT51" s="7"/>
      <c r="IV51" s="7"/>
      <c r="IW51" s="7"/>
      <c r="IX51" s="7"/>
      <c r="IY51" s="7"/>
      <c r="IZ51" s="7"/>
      <c r="JB51" s="7"/>
      <c r="JC51" s="7"/>
      <c r="JE51" s="7"/>
      <c r="JF51" s="7"/>
      <c r="JH51" s="7"/>
      <c r="JI51" s="7"/>
      <c r="JJ51" s="7"/>
      <c r="JK51" s="7"/>
      <c r="JL51" s="7"/>
      <c r="JM51" s="7"/>
      <c r="JO51" s="7"/>
      <c r="JP51" s="7"/>
      <c r="JQ51" s="7"/>
      <c r="JR51" s="7"/>
      <c r="JT51" s="7"/>
      <c r="JU51" s="7"/>
      <c r="JV51" s="7"/>
      <c r="JW51" s="7"/>
      <c r="JX51" s="7"/>
    </row>
    <row r="52" spans="1:284" x14ac:dyDescent="0.3">
      <c r="A52" t="s">
        <v>233</v>
      </c>
      <c r="B52" s="10" t="s">
        <v>38</v>
      </c>
      <c r="C52" s="7"/>
      <c r="D52" s="7"/>
      <c r="E52" s="10" t="s">
        <v>38</v>
      </c>
      <c r="F52" s="7"/>
      <c r="G52" s="7"/>
      <c r="H52" s="10" t="s">
        <v>38</v>
      </c>
      <c r="I52" s="9"/>
      <c r="J52" s="9"/>
      <c r="K52" s="10" t="s">
        <v>38</v>
      </c>
      <c r="L52" s="7"/>
      <c r="M52" s="7"/>
      <c r="N52" s="10" t="s">
        <v>38</v>
      </c>
      <c r="O52" s="7"/>
      <c r="P52" s="7"/>
      <c r="Q52" s="10" t="s">
        <v>38</v>
      </c>
      <c r="R52" s="7"/>
      <c r="S52" s="7"/>
      <c r="T52" s="10" t="s">
        <v>38</v>
      </c>
      <c r="U52" s="9"/>
      <c r="V52" s="9"/>
      <c r="W52" s="10" t="s">
        <v>38</v>
      </c>
      <c r="X52" s="7"/>
      <c r="Y52" s="7"/>
      <c r="Z52" s="10" t="s">
        <v>38</v>
      </c>
      <c r="AA52" s="7"/>
      <c r="AB52" s="7"/>
      <c r="AC52" s="10" t="s">
        <v>38</v>
      </c>
      <c r="AD52" s="7"/>
      <c r="AE52" s="7"/>
      <c r="AF52" s="10" t="s">
        <v>38</v>
      </c>
      <c r="AG52" s="9"/>
      <c r="AH52" s="9"/>
      <c r="AI52" s="10" t="s">
        <v>38</v>
      </c>
      <c r="AJ52" s="7"/>
      <c r="AK52" s="7"/>
      <c r="AL52" s="10" t="s">
        <v>38</v>
      </c>
      <c r="AM52" s="7"/>
      <c r="AN52" s="7"/>
      <c r="AO52" s="10" t="s">
        <v>38</v>
      </c>
      <c r="AP52" s="7"/>
      <c r="AQ52" s="7"/>
      <c r="AR52" s="10" t="s">
        <v>38</v>
      </c>
      <c r="AS52" s="9"/>
      <c r="AT52" s="9"/>
      <c r="AU52" s="10" t="s">
        <v>38</v>
      </c>
      <c r="AV52" s="7"/>
      <c r="AW52" s="7"/>
      <c r="AX52" s="10" t="s">
        <v>38</v>
      </c>
      <c r="AY52" s="7"/>
      <c r="AZ52" s="7"/>
      <c r="BA52" s="10" t="s">
        <v>38</v>
      </c>
      <c r="BB52" s="7"/>
      <c r="BC52" s="7"/>
      <c r="BD52" s="10" t="s">
        <v>38</v>
      </c>
      <c r="BE52" s="9"/>
      <c r="BF52" s="9"/>
      <c r="BG52" s="10" t="s">
        <v>38</v>
      </c>
      <c r="BH52" s="7"/>
      <c r="BI52" s="7"/>
      <c r="BJ52" s="10" t="s">
        <v>38</v>
      </c>
      <c r="BK52" s="7"/>
      <c r="BL52" s="7"/>
      <c r="BM52" s="10" t="s">
        <v>38</v>
      </c>
      <c r="BN52" s="7"/>
      <c r="BO52" s="7"/>
      <c r="BP52" s="10" t="s">
        <v>38</v>
      </c>
      <c r="BQ52" s="9"/>
      <c r="BR52" s="9"/>
      <c r="BS52" s="10" t="s">
        <v>38</v>
      </c>
      <c r="BT52" s="7"/>
      <c r="BU52" s="7"/>
      <c r="BV52" s="10" t="s">
        <v>38</v>
      </c>
      <c r="BW52" s="7"/>
      <c r="BX52" s="7"/>
      <c r="BY52" s="10" t="s">
        <v>38</v>
      </c>
      <c r="BZ52" s="7"/>
      <c r="CA52" s="7"/>
      <c r="CB52" s="10" t="s">
        <v>38</v>
      </c>
      <c r="CC52" s="9"/>
      <c r="CD52" s="9"/>
      <c r="CE52" s="10" t="s">
        <v>38</v>
      </c>
      <c r="CF52" s="7"/>
      <c r="CG52" s="7"/>
      <c r="CH52" s="10" t="s">
        <v>38</v>
      </c>
      <c r="CI52" s="7"/>
      <c r="CJ52" s="7"/>
      <c r="CK52" s="10" t="s">
        <v>38</v>
      </c>
      <c r="CL52" s="7"/>
      <c r="CM52" s="7"/>
      <c r="CN52" s="10" t="s">
        <v>38</v>
      </c>
      <c r="CO52" s="9"/>
      <c r="CP52" s="9"/>
      <c r="CQ52" s="10" t="s">
        <v>38</v>
      </c>
      <c r="CR52" s="7"/>
      <c r="CS52" s="7"/>
      <c r="CT52" s="10" t="s">
        <v>38</v>
      </c>
      <c r="CU52" s="7"/>
      <c r="CV52" s="7"/>
      <c r="CW52" s="10" t="s">
        <v>38</v>
      </c>
      <c r="CX52" s="7"/>
      <c r="CY52" s="7"/>
      <c r="CZ52" s="10" t="s">
        <v>38</v>
      </c>
      <c r="DA52" s="9"/>
      <c r="DB52" s="9"/>
      <c r="DC52" s="10" t="s">
        <v>38</v>
      </c>
      <c r="DD52" s="7"/>
      <c r="DE52" s="7"/>
      <c r="DF52" s="10" t="s">
        <v>38</v>
      </c>
      <c r="DG52" s="7"/>
      <c r="DH52" s="7"/>
      <c r="DI52" s="10" t="s">
        <v>38</v>
      </c>
      <c r="DJ52" s="7"/>
      <c r="DK52" s="7"/>
      <c r="DL52" s="10" t="s">
        <v>38</v>
      </c>
      <c r="DM52" s="9"/>
      <c r="DN52" s="9"/>
      <c r="DO52" s="10" t="s">
        <v>38</v>
      </c>
      <c r="DP52" s="7"/>
      <c r="DQ52" s="7"/>
      <c r="DR52" s="10" t="s">
        <v>38</v>
      </c>
      <c r="DS52" s="7"/>
      <c r="DT52" s="7"/>
      <c r="DU52" s="10" t="s">
        <v>38</v>
      </c>
      <c r="DV52" s="7"/>
      <c r="DW52" s="7"/>
      <c r="DX52" s="10" t="s">
        <v>38</v>
      </c>
      <c r="DY52" s="9"/>
      <c r="DZ52" s="9"/>
      <c r="EA52" s="10" t="s">
        <v>38</v>
      </c>
      <c r="EB52" s="7"/>
      <c r="EC52" s="7"/>
      <c r="ED52" s="10" t="s">
        <v>38</v>
      </c>
      <c r="EE52" s="7"/>
      <c r="EF52" s="7"/>
      <c r="EG52" s="10" t="s">
        <v>38</v>
      </c>
      <c r="EH52" s="7"/>
      <c r="EI52" s="7"/>
      <c r="EJ52" s="10" t="s">
        <v>38</v>
      </c>
      <c r="EK52" s="9"/>
      <c r="EL52" s="9"/>
      <c r="EM52" s="10" t="s">
        <v>38</v>
      </c>
      <c r="EN52" s="7"/>
      <c r="EO52" s="7"/>
      <c r="EP52" s="10" t="s">
        <v>38</v>
      </c>
      <c r="EQ52" s="7"/>
      <c r="ER52" s="7"/>
      <c r="ES52" s="10" t="s">
        <v>38</v>
      </c>
      <c r="ET52" s="7"/>
      <c r="EU52" s="7"/>
      <c r="EV52" s="10" t="s">
        <v>38</v>
      </c>
      <c r="EW52" s="9"/>
      <c r="EX52" s="9"/>
      <c r="EY52" s="10" t="s">
        <v>38</v>
      </c>
      <c r="EZ52" s="7"/>
      <c r="FA52" s="7"/>
      <c r="FB52" s="10" t="s">
        <v>38</v>
      </c>
      <c r="FC52" s="7"/>
      <c r="FD52" s="7"/>
      <c r="FE52" s="10" t="s">
        <v>38</v>
      </c>
      <c r="FF52" s="7"/>
      <c r="FG52" s="7"/>
      <c r="FH52" s="10" t="s">
        <v>38</v>
      </c>
      <c r="FI52" s="9"/>
      <c r="FJ52" s="9"/>
      <c r="FK52" s="10" t="s">
        <v>38</v>
      </c>
      <c r="FL52" s="7"/>
      <c r="FM52" s="7"/>
      <c r="FN52" s="10" t="s">
        <v>38</v>
      </c>
      <c r="FO52" s="7"/>
      <c r="FP52" s="7"/>
      <c r="FQ52" s="10" t="s">
        <v>38</v>
      </c>
      <c r="FR52" s="7"/>
      <c r="FS52" s="7"/>
      <c r="FT52" s="10" t="s">
        <v>38</v>
      </c>
      <c r="FU52" s="9">
        <v>6</v>
      </c>
      <c r="FV52" s="9">
        <v>250</v>
      </c>
      <c r="FW52" s="10" t="s">
        <v>38</v>
      </c>
      <c r="FX52" s="7"/>
      <c r="FY52" s="7"/>
      <c r="FZ52" s="10" t="s">
        <v>38</v>
      </c>
      <c r="GA52" s="7"/>
      <c r="GB52" s="7"/>
      <c r="GC52" s="10" t="s">
        <v>38</v>
      </c>
      <c r="GD52" s="7"/>
      <c r="GE52" s="7"/>
      <c r="GF52" s="10" t="s">
        <v>38</v>
      </c>
      <c r="GG52" s="7">
        <v>5</v>
      </c>
      <c r="GH52" s="7">
        <v>200</v>
      </c>
      <c r="GI52" s="10" t="s">
        <v>38</v>
      </c>
      <c r="GJ52" s="7"/>
      <c r="GK52" s="7"/>
      <c r="GL52" s="10" t="s">
        <v>38</v>
      </c>
      <c r="GM52" s="7"/>
      <c r="GN52" s="7"/>
      <c r="GO52" s="6" t="s">
        <v>38</v>
      </c>
      <c r="GP52" s="7"/>
      <c r="GQ52" s="7"/>
      <c r="GR52" s="6" t="s">
        <v>38</v>
      </c>
      <c r="GS52" s="7">
        <v>5</v>
      </c>
      <c r="GT52" s="7">
        <v>200</v>
      </c>
      <c r="GU52" s="10"/>
      <c r="GV52" s="7"/>
      <c r="GW52" s="7"/>
      <c r="GX52" s="10" t="s">
        <v>38</v>
      </c>
      <c r="GY52" s="7"/>
      <c r="GZ52" s="7"/>
      <c r="HA52" s="10" t="s">
        <v>38</v>
      </c>
      <c r="HB52" s="7"/>
      <c r="HC52" s="7"/>
      <c r="HD52" s="10" t="s">
        <v>38</v>
      </c>
      <c r="HE52" s="7">
        <v>6</v>
      </c>
      <c r="HF52" s="7">
        <v>200</v>
      </c>
      <c r="HG52" s="10" t="s">
        <v>38</v>
      </c>
      <c r="HH52" s="7"/>
      <c r="HI52" s="7"/>
      <c r="HJ52" s="10" t="s">
        <v>38</v>
      </c>
      <c r="HK52" s="7"/>
      <c r="HL52" s="7"/>
      <c r="HM52" s="10" t="s">
        <v>38</v>
      </c>
      <c r="HN52" s="7"/>
      <c r="HO52" s="7"/>
      <c r="HP52" s="10" t="s">
        <v>38</v>
      </c>
      <c r="HQ52" s="7">
        <v>7</v>
      </c>
      <c r="HR52" s="7">
        <v>220</v>
      </c>
      <c r="HS52" s="10" t="s">
        <v>38</v>
      </c>
      <c r="HT52" s="7"/>
      <c r="HU52" s="7"/>
      <c r="HV52" s="10" t="s">
        <v>38</v>
      </c>
      <c r="HW52" s="7"/>
      <c r="HX52" s="7"/>
      <c r="HY52" s="6" t="s">
        <v>38</v>
      </c>
      <c r="HZ52" s="7"/>
      <c r="IA52" s="7"/>
      <c r="IB52" s="6" t="s">
        <v>38</v>
      </c>
      <c r="IC52" s="7"/>
      <c r="ID52" s="7"/>
      <c r="IE52" s="10"/>
      <c r="IF52" s="7"/>
      <c r="IG52" s="7"/>
      <c r="II52" s="7"/>
      <c r="IJ52" s="7"/>
      <c r="IK52" s="7"/>
      <c r="IL52" s="7"/>
      <c r="IM52" s="7"/>
      <c r="IN52" s="7"/>
      <c r="IP52" s="7"/>
      <c r="IQ52" s="7"/>
      <c r="IR52" s="7"/>
      <c r="IS52" s="7"/>
      <c r="IT52" s="7"/>
      <c r="IV52" s="7"/>
      <c r="IW52" s="7"/>
      <c r="IX52" s="7"/>
      <c r="IY52" s="7"/>
      <c r="IZ52" s="7"/>
      <c r="JB52" s="7"/>
      <c r="JC52" s="7"/>
      <c r="JE52" s="7"/>
      <c r="JF52" s="7"/>
      <c r="JH52" s="7"/>
      <c r="JI52" s="7"/>
      <c r="JJ52" s="7"/>
      <c r="JK52" s="7"/>
      <c r="JL52" s="7"/>
      <c r="JM52" s="7"/>
      <c r="JO52" s="7"/>
      <c r="JP52" s="7"/>
      <c r="JQ52" s="7"/>
      <c r="JR52" s="7"/>
      <c r="JT52" s="7"/>
      <c r="JU52" s="7"/>
      <c r="JV52" s="7"/>
      <c r="JW52" s="7"/>
      <c r="JX52" s="7"/>
    </row>
    <row r="53" spans="1:284" x14ac:dyDescent="0.3">
      <c r="A53" t="s">
        <v>234</v>
      </c>
      <c r="C53" s="7"/>
      <c r="D53" s="7"/>
      <c r="F53" s="7"/>
      <c r="G53" s="7"/>
      <c r="I53" s="9"/>
      <c r="J53" s="9"/>
      <c r="L53" s="7"/>
      <c r="M53" s="7"/>
      <c r="O53" s="7"/>
      <c r="P53" s="7"/>
      <c r="R53" s="7"/>
      <c r="S53" s="7"/>
      <c r="U53" s="9"/>
      <c r="V53" s="9"/>
      <c r="X53" s="7"/>
      <c r="Y53" s="7"/>
      <c r="AA53" s="7"/>
      <c r="AB53" s="7"/>
      <c r="AD53" s="7"/>
      <c r="AE53" s="7"/>
      <c r="AG53" s="9"/>
      <c r="AH53" s="9"/>
      <c r="AJ53" s="7"/>
      <c r="AK53" s="7"/>
      <c r="AM53" s="7"/>
      <c r="AN53" s="7"/>
      <c r="AP53" s="7"/>
      <c r="AQ53" s="7"/>
      <c r="AS53" s="9"/>
      <c r="AT53" s="9"/>
      <c r="AV53" s="7"/>
      <c r="AW53" s="7"/>
      <c r="AY53" s="7"/>
      <c r="AZ53" s="7"/>
      <c r="BB53" s="7"/>
      <c r="BC53" s="7"/>
      <c r="BE53" s="9"/>
      <c r="BF53" s="9"/>
      <c r="BH53" s="7"/>
      <c r="BI53" s="7"/>
      <c r="BK53" s="7"/>
      <c r="BL53" s="7"/>
      <c r="BN53" s="7"/>
      <c r="BO53" s="7"/>
      <c r="BQ53" s="9"/>
      <c r="BR53" s="9"/>
      <c r="BT53" s="7"/>
      <c r="BU53" s="7"/>
      <c r="BW53" s="7"/>
      <c r="BX53" s="7"/>
      <c r="BZ53" s="7"/>
      <c r="CA53" s="7"/>
      <c r="CC53" s="9"/>
      <c r="CD53" s="9"/>
      <c r="CF53" s="7"/>
      <c r="CG53" s="7"/>
      <c r="CI53" s="7"/>
      <c r="CJ53" s="7"/>
      <c r="CL53" s="7"/>
      <c r="CM53" s="7"/>
      <c r="CO53" s="9"/>
      <c r="CP53" s="9"/>
      <c r="CR53" s="7"/>
      <c r="CS53" s="7"/>
      <c r="CU53" s="7"/>
      <c r="CV53" s="7"/>
      <c r="CX53" s="7"/>
      <c r="CY53" s="7"/>
      <c r="DA53" s="9"/>
      <c r="DB53" s="9"/>
      <c r="DD53" s="7"/>
      <c r="DE53" s="7"/>
      <c r="DG53" s="7"/>
      <c r="DH53" s="7"/>
      <c r="DJ53" s="7"/>
      <c r="DK53" s="7"/>
      <c r="DM53" s="9"/>
      <c r="DN53" s="9"/>
      <c r="DP53" s="7"/>
      <c r="DQ53" s="7"/>
      <c r="DS53" s="7"/>
      <c r="DT53" s="7"/>
      <c r="DV53" s="7"/>
      <c r="DW53" s="7"/>
      <c r="DY53" s="9"/>
      <c r="DZ53" s="9"/>
      <c r="EB53" s="7"/>
      <c r="EC53" s="7"/>
      <c r="EE53" s="7"/>
      <c r="EF53" s="7"/>
      <c r="EH53" s="7"/>
      <c r="EI53" s="7"/>
      <c r="EK53" s="9"/>
      <c r="EL53" s="9"/>
      <c r="EN53" s="7"/>
      <c r="EO53" s="7"/>
      <c r="EQ53" s="7"/>
      <c r="ER53" s="7"/>
      <c r="ET53" s="7"/>
      <c r="EU53" s="7"/>
      <c r="EW53" s="9"/>
      <c r="EX53" s="9"/>
      <c r="EZ53" s="7"/>
      <c r="FA53" s="7"/>
      <c r="FC53" s="7"/>
      <c r="FD53" s="7"/>
      <c r="FF53" s="7"/>
      <c r="FG53" s="7"/>
      <c r="FI53" s="9"/>
      <c r="FJ53" s="9"/>
      <c r="FL53" s="7"/>
      <c r="FM53" s="7"/>
      <c r="FO53" s="7"/>
      <c r="FP53" s="7"/>
      <c r="FR53" s="7"/>
      <c r="FS53" s="7"/>
      <c r="FU53" s="9"/>
      <c r="FV53" s="9"/>
      <c r="FX53" s="7"/>
      <c r="FY53" s="7">
        <v>5000</v>
      </c>
      <c r="GA53" s="7"/>
      <c r="GB53" s="7"/>
      <c r="GD53" s="7"/>
      <c r="GE53" s="7"/>
      <c r="GG53" s="7"/>
      <c r="GH53" s="7"/>
      <c r="GJ53" s="7"/>
      <c r="GK53" s="7">
        <v>2870</v>
      </c>
      <c r="GM53" s="7"/>
      <c r="GN53" s="7"/>
      <c r="GO53" s="10"/>
      <c r="GP53" s="7"/>
      <c r="GQ53" s="7"/>
      <c r="GR53" s="10"/>
      <c r="GS53" s="7"/>
      <c r="GT53" s="7"/>
      <c r="GU53" s="10"/>
      <c r="GV53" s="7"/>
      <c r="GW53" s="7">
        <v>4000</v>
      </c>
      <c r="GY53" s="7"/>
      <c r="GZ53" s="7"/>
      <c r="HB53" s="7"/>
      <c r="HC53" s="7"/>
      <c r="HE53" s="7"/>
      <c r="HF53" s="7"/>
      <c r="HH53" s="7"/>
      <c r="HI53" s="7">
        <v>3500</v>
      </c>
      <c r="HK53" s="7"/>
      <c r="HL53" s="7"/>
      <c r="HN53" s="7"/>
      <c r="HO53" s="7"/>
      <c r="HQ53" s="7"/>
      <c r="HR53" s="7"/>
      <c r="HT53" s="7"/>
      <c r="HU53" s="7">
        <v>4000</v>
      </c>
      <c r="HW53" s="7"/>
      <c r="HX53" s="7"/>
      <c r="HY53" s="10"/>
      <c r="HZ53" s="7"/>
      <c r="IA53" s="7"/>
      <c r="IB53" s="10" t="s">
        <v>91</v>
      </c>
      <c r="IC53" s="7"/>
      <c r="ID53" s="7"/>
      <c r="IE53" s="6" t="s">
        <v>91</v>
      </c>
      <c r="IF53" s="7">
        <v>104</v>
      </c>
      <c r="IG53" s="7">
        <v>400</v>
      </c>
      <c r="II53" s="7"/>
      <c r="IJ53" s="7"/>
      <c r="IK53" s="7"/>
      <c r="IL53" s="7"/>
      <c r="IM53" s="7"/>
      <c r="IN53" s="7"/>
      <c r="IP53" s="7"/>
      <c r="IQ53" s="7"/>
      <c r="IR53" s="7"/>
      <c r="IS53" s="7"/>
      <c r="IT53" s="7"/>
      <c r="IV53" s="7"/>
      <c r="IW53" s="7"/>
      <c r="IX53" s="7"/>
      <c r="IY53" s="7"/>
      <c r="IZ53" s="7"/>
      <c r="JB53" s="7"/>
      <c r="JC53" s="7"/>
      <c r="JE53" s="7"/>
      <c r="JF53" s="7"/>
      <c r="JH53" s="7"/>
      <c r="JI53" s="7"/>
      <c r="JJ53" s="7"/>
      <c r="JK53" s="7"/>
      <c r="JL53" s="7"/>
      <c r="JM53" s="7"/>
      <c r="JO53" s="7"/>
      <c r="JP53" s="7"/>
      <c r="JQ53" s="7"/>
      <c r="JR53" s="7"/>
      <c r="JT53" s="7"/>
      <c r="JU53" s="7"/>
      <c r="JV53" s="7"/>
      <c r="JW53" s="7"/>
      <c r="JX53" s="7"/>
    </row>
    <row r="54" spans="1:284" x14ac:dyDescent="0.3">
      <c r="A54" t="s">
        <v>235</v>
      </c>
      <c r="C54" s="7"/>
      <c r="D54" s="7"/>
      <c r="E54" s="10" t="s">
        <v>40</v>
      </c>
      <c r="F54" s="7"/>
      <c r="G54" s="7"/>
      <c r="H54" s="10" t="s">
        <v>40</v>
      </c>
      <c r="I54" s="9"/>
      <c r="J54" s="9"/>
      <c r="K54" s="10" t="s">
        <v>40</v>
      </c>
      <c r="L54" s="7"/>
      <c r="M54" s="7"/>
      <c r="O54" s="7"/>
      <c r="P54" s="7"/>
      <c r="Q54" s="10" t="s">
        <v>40</v>
      </c>
      <c r="R54" s="7"/>
      <c r="S54" s="7"/>
      <c r="T54" s="10" t="s">
        <v>40</v>
      </c>
      <c r="U54" s="9"/>
      <c r="V54" s="9"/>
      <c r="W54" s="10" t="s">
        <v>40</v>
      </c>
      <c r="X54" s="7"/>
      <c r="Y54" s="7"/>
      <c r="AA54" s="7"/>
      <c r="AB54" s="7"/>
      <c r="AC54" s="10" t="s">
        <v>40</v>
      </c>
      <c r="AD54" s="7"/>
      <c r="AE54" s="7"/>
      <c r="AF54" s="10" t="s">
        <v>40</v>
      </c>
      <c r="AG54" s="9"/>
      <c r="AH54" s="9"/>
      <c r="AI54" s="10" t="s">
        <v>40</v>
      </c>
      <c r="AJ54" s="7"/>
      <c r="AK54" s="7"/>
      <c r="AM54" s="7"/>
      <c r="AN54" s="7"/>
      <c r="AO54" s="10" t="s">
        <v>40</v>
      </c>
      <c r="AP54" s="7"/>
      <c r="AQ54" s="7"/>
      <c r="AR54" s="10" t="s">
        <v>40</v>
      </c>
      <c r="AS54" s="9"/>
      <c r="AT54" s="9"/>
      <c r="AU54" s="10" t="s">
        <v>40</v>
      </c>
      <c r="AV54" s="7"/>
      <c r="AW54" s="7"/>
      <c r="AY54" s="7"/>
      <c r="AZ54" s="7"/>
      <c r="BA54" s="10" t="s">
        <v>40</v>
      </c>
      <c r="BB54" s="7"/>
      <c r="BC54" s="7"/>
      <c r="BD54" s="10" t="s">
        <v>40</v>
      </c>
      <c r="BE54" s="9"/>
      <c r="BF54" s="9"/>
      <c r="BG54" s="10" t="s">
        <v>40</v>
      </c>
      <c r="BH54" s="7"/>
      <c r="BI54" s="7"/>
      <c r="BK54" s="7"/>
      <c r="BL54" s="7"/>
      <c r="BM54" s="10" t="s">
        <v>40</v>
      </c>
      <c r="BN54" s="7"/>
      <c r="BO54" s="7"/>
      <c r="BP54" s="10" t="s">
        <v>40</v>
      </c>
      <c r="BQ54" s="9"/>
      <c r="BR54" s="9"/>
      <c r="BS54" s="10" t="s">
        <v>40</v>
      </c>
      <c r="BT54" s="7"/>
      <c r="BU54" s="7"/>
      <c r="BW54" s="7"/>
      <c r="BX54" s="7"/>
      <c r="BY54" s="10" t="s">
        <v>40</v>
      </c>
      <c r="BZ54" s="7"/>
      <c r="CA54" s="7"/>
      <c r="CB54" s="10" t="s">
        <v>40</v>
      </c>
      <c r="CC54" s="9"/>
      <c r="CD54" s="9"/>
      <c r="CE54" s="10" t="s">
        <v>40</v>
      </c>
      <c r="CF54" s="7"/>
      <c r="CG54" s="7"/>
      <c r="CI54" s="7"/>
      <c r="CJ54" s="7"/>
      <c r="CK54" s="10" t="s">
        <v>40</v>
      </c>
      <c r="CL54" s="7"/>
      <c r="CM54" s="7"/>
      <c r="CN54" s="10" t="s">
        <v>40</v>
      </c>
      <c r="CO54" s="9"/>
      <c r="CP54" s="9"/>
      <c r="CQ54" s="10" t="s">
        <v>40</v>
      </c>
      <c r="CR54" s="7"/>
      <c r="CS54" s="7"/>
      <c r="CU54" s="7"/>
      <c r="CV54" s="7"/>
      <c r="CW54" s="10" t="s">
        <v>40</v>
      </c>
      <c r="CX54" s="7"/>
      <c r="CY54" s="7"/>
      <c r="CZ54" s="10" t="s">
        <v>40</v>
      </c>
      <c r="DA54" s="9"/>
      <c r="DB54" s="9"/>
      <c r="DC54" s="10" t="s">
        <v>40</v>
      </c>
      <c r="DD54" s="7"/>
      <c r="DE54" s="7"/>
      <c r="DG54" s="7"/>
      <c r="DH54" s="7"/>
      <c r="DI54" s="10" t="s">
        <v>40</v>
      </c>
      <c r="DJ54" s="7"/>
      <c r="DK54" s="7"/>
      <c r="DL54" s="10" t="s">
        <v>40</v>
      </c>
      <c r="DM54" s="9"/>
      <c r="DN54" s="9"/>
      <c r="DO54" s="10" t="s">
        <v>40</v>
      </c>
      <c r="DP54" s="7"/>
      <c r="DQ54" s="7"/>
      <c r="DS54" s="7"/>
      <c r="DT54" s="7"/>
      <c r="DU54" s="10" t="s">
        <v>40</v>
      </c>
      <c r="DV54" s="7"/>
      <c r="DW54" s="7"/>
      <c r="DX54" s="10" t="s">
        <v>40</v>
      </c>
      <c r="DY54" s="9"/>
      <c r="DZ54" s="9"/>
      <c r="EA54" s="10" t="s">
        <v>40</v>
      </c>
      <c r="EB54" s="7"/>
      <c r="EC54" s="7"/>
      <c r="EE54" s="7"/>
      <c r="EF54" s="7"/>
      <c r="EG54" s="10" t="s">
        <v>40</v>
      </c>
      <c r="EH54" s="7"/>
      <c r="EI54" s="7"/>
      <c r="EJ54" s="10" t="s">
        <v>40</v>
      </c>
      <c r="EK54" s="9"/>
      <c r="EL54" s="9"/>
      <c r="EM54" s="10" t="s">
        <v>40</v>
      </c>
      <c r="EN54" s="7"/>
      <c r="EO54" s="7"/>
      <c r="EQ54" s="7"/>
      <c r="ER54" s="7"/>
      <c r="ES54" s="10" t="s">
        <v>40</v>
      </c>
      <c r="ET54" s="7"/>
      <c r="EU54" s="7"/>
      <c r="EV54" s="10" t="s">
        <v>40</v>
      </c>
      <c r="EW54" s="9"/>
      <c r="EX54" s="9"/>
      <c r="EY54" s="10" t="s">
        <v>40</v>
      </c>
      <c r="EZ54" s="7"/>
      <c r="FA54" s="7"/>
      <c r="FC54" s="7"/>
      <c r="FD54" s="7"/>
      <c r="FE54" s="10" t="s">
        <v>40</v>
      </c>
      <c r="FF54" s="7"/>
      <c r="FG54" s="7"/>
      <c r="FH54" s="10" t="s">
        <v>40</v>
      </c>
      <c r="FI54" s="9"/>
      <c r="FJ54" s="9"/>
      <c r="FK54" s="10" t="s">
        <v>40</v>
      </c>
      <c r="FL54" s="7"/>
      <c r="FM54" s="7"/>
      <c r="FN54" s="6"/>
      <c r="FO54" s="7"/>
      <c r="FP54" s="7">
        <v>14000</v>
      </c>
      <c r="FQ54" s="10" t="s">
        <v>40</v>
      </c>
      <c r="FR54" s="7"/>
      <c r="FS54" s="7"/>
      <c r="FT54" s="10" t="s">
        <v>40</v>
      </c>
      <c r="FU54" s="9"/>
      <c r="FV54" s="9"/>
      <c r="FW54" s="10" t="s">
        <v>40</v>
      </c>
      <c r="FX54" s="7"/>
      <c r="FY54" s="7"/>
      <c r="FZ54" s="10" t="s">
        <v>40</v>
      </c>
      <c r="GA54" s="7"/>
      <c r="GB54" s="7"/>
      <c r="GC54" s="10" t="s">
        <v>40</v>
      </c>
      <c r="GD54" s="7"/>
      <c r="GE54" s="7"/>
      <c r="GF54" s="10" t="s">
        <v>40</v>
      </c>
      <c r="GG54" s="7"/>
      <c r="GH54" s="7"/>
      <c r="GI54" s="10" t="s">
        <v>40</v>
      </c>
      <c r="GJ54" s="7"/>
      <c r="GK54" s="7"/>
      <c r="GL54" s="6" t="s">
        <v>40</v>
      </c>
      <c r="GM54" s="7">
        <v>6000</v>
      </c>
      <c r="GN54" s="7">
        <v>1500</v>
      </c>
      <c r="GO54" s="10"/>
      <c r="GP54" s="7"/>
      <c r="GQ54" s="7"/>
      <c r="GR54" s="10"/>
      <c r="GS54" s="7"/>
      <c r="GT54" s="7"/>
      <c r="GU54" s="10"/>
      <c r="GV54" s="7"/>
      <c r="GW54" s="7"/>
      <c r="GX54" s="10" t="s">
        <v>45</v>
      </c>
      <c r="GY54" s="7">
        <v>8000</v>
      </c>
      <c r="GZ54" s="7">
        <v>2000</v>
      </c>
      <c r="HA54" s="10" t="s">
        <v>45</v>
      </c>
      <c r="HB54" s="7"/>
      <c r="HC54" s="7"/>
      <c r="HD54" s="10" t="s">
        <v>45</v>
      </c>
      <c r="HE54" s="7"/>
      <c r="HF54" s="7"/>
      <c r="HG54" s="10" t="s">
        <v>45</v>
      </c>
      <c r="HH54" s="7"/>
      <c r="HI54" s="7"/>
      <c r="HJ54" s="10" t="s">
        <v>45</v>
      </c>
      <c r="HK54" s="7">
        <v>10000</v>
      </c>
      <c r="HL54" s="7">
        <v>2500</v>
      </c>
      <c r="HM54" s="10" t="s">
        <v>45</v>
      </c>
      <c r="HN54" s="7"/>
      <c r="HO54" s="7"/>
      <c r="HP54" s="10" t="s">
        <v>45</v>
      </c>
      <c r="HQ54" s="7"/>
      <c r="HR54" s="7"/>
      <c r="HS54" s="6" t="s">
        <v>45</v>
      </c>
      <c r="HT54" s="7"/>
      <c r="HU54" s="7"/>
      <c r="HV54" s="6" t="s">
        <v>45</v>
      </c>
      <c r="HW54" s="7">
        <v>6000</v>
      </c>
      <c r="HX54" s="7">
        <v>10000</v>
      </c>
      <c r="HY54" s="10"/>
      <c r="HZ54" s="7"/>
      <c r="IA54" s="7"/>
      <c r="IC54" s="7"/>
      <c r="ID54" s="7"/>
      <c r="IE54" s="10"/>
      <c r="IF54" s="7"/>
      <c r="IG54" s="7"/>
      <c r="II54" s="7"/>
      <c r="IJ54" s="7"/>
      <c r="IK54" s="7"/>
      <c r="IL54" s="7"/>
      <c r="IM54" s="7"/>
      <c r="IN54" s="7"/>
      <c r="IP54" s="7"/>
      <c r="IQ54" s="7"/>
      <c r="IR54" s="7"/>
      <c r="IS54" s="7"/>
      <c r="IT54" s="7"/>
      <c r="IV54" s="7"/>
      <c r="IW54" s="7"/>
      <c r="IX54" s="7"/>
      <c r="IY54" s="7"/>
      <c r="IZ54" s="7"/>
      <c r="JB54" s="7"/>
      <c r="JC54" s="7"/>
      <c r="JE54" s="7"/>
      <c r="JF54" s="7"/>
      <c r="JH54" s="7"/>
      <c r="JI54" s="7"/>
      <c r="JJ54" s="7"/>
      <c r="JK54" s="7"/>
      <c r="JL54" s="7"/>
      <c r="JM54" s="7"/>
      <c r="JO54" s="7"/>
      <c r="JP54" s="7"/>
      <c r="JQ54" s="7"/>
      <c r="JR54" s="7"/>
      <c r="JT54" s="7"/>
      <c r="JU54" s="7"/>
      <c r="JV54" s="7"/>
      <c r="JW54" s="7"/>
      <c r="JX54" s="7"/>
    </row>
    <row r="55" spans="1:284" x14ac:dyDescent="0.3">
      <c r="A55" t="s">
        <v>236</v>
      </c>
      <c r="B55" s="10" t="s">
        <v>57</v>
      </c>
      <c r="C55" s="7"/>
      <c r="D55" s="7"/>
      <c r="E55" s="10" t="s">
        <v>57</v>
      </c>
      <c r="F55" s="7"/>
      <c r="G55" s="7"/>
      <c r="H55" s="10" t="s">
        <v>57</v>
      </c>
      <c r="I55" s="9"/>
      <c r="J55" s="9"/>
      <c r="K55" s="10" t="s">
        <v>57</v>
      </c>
      <c r="L55" s="7"/>
      <c r="M55" s="7"/>
      <c r="N55" s="10" t="s">
        <v>57</v>
      </c>
      <c r="O55" s="7"/>
      <c r="P55" s="7"/>
      <c r="Q55" s="10" t="s">
        <v>57</v>
      </c>
      <c r="R55" s="7"/>
      <c r="S55" s="7"/>
      <c r="T55" s="10" t="s">
        <v>57</v>
      </c>
      <c r="U55" s="9"/>
      <c r="V55" s="9"/>
      <c r="W55" s="10" t="s">
        <v>57</v>
      </c>
      <c r="X55" s="7"/>
      <c r="Y55" s="7"/>
      <c r="Z55" s="10" t="s">
        <v>57</v>
      </c>
      <c r="AA55" s="7"/>
      <c r="AB55" s="7"/>
      <c r="AC55" s="10" t="s">
        <v>57</v>
      </c>
      <c r="AD55" s="7"/>
      <c r="AE55" s="7"/>
      <c r="AF55" s="10" t="s">
        <v>57</v>
      </c>
      <c r="AG55" s="9"/>
      <c r="AH55" s="9"/>
      <c r="AI55" s="10" t="s">
        <v>57</v>
      </c>
      <c r="AJ55" s="7"/>
      <c r="AK55" s="7"/>
      <c r="AL55" s="10" t="s">
        <v>57</v>
      </c>
      <c r="AM55" s="7"/>
      <c r="AN55" s="7"/>
      <c r="AO55" s="10" t="s">
        <v>57</v>
      </c>
      <c r="AP55" s="7"/>
      <c r="AQ55" s="7"/>
      <c r="AR55" s="10" t="s">
        <v>57</v>
      </c>
      <c r="AS55" s="9"/>
      <c r="AT55" s="9"/>
      <c r="AU55" s="10" t="s">
        <v>57</v>
      </c>
      <c r="AV55" s="7"/>
      <c r="AW55" s="7"/>
      <c r="AX55" s="10" t="s">
        <v>57</v>
      </c>
      <c r="AY55" s="7"/>
      <c r="AZ55" s="7"/>
      <c r="BA55" s="10" t="s">
        <v>57</v>
      </c>
      <c r="BB55" s="7"/>
      <c r="BC55" s="7"/>
      <c r="BD55" s="10" t="s">
        <v>57</v>
      </c>
      <c r="BE55" s="9"/>
      <c r="BF55" s="9"/>
      <c r="BG55" s="10" t="s">
        <v>57</v>
      </c>
      <c r="BH55" s="7"/>
      <c r="BI55" s="7"/>
      <c r="BJ55" s="10" t="s">
        <v>57</v>
      </c>
      <c r="BK55" s="7"/>
      <c r="BL55" s="7"/>
      <c r="BM55" s="10" t="s">
        <v>57</v>
      </c>
      <c r="BN55" s="7"/>
      <c r="BO55" s="7"/>
      <c r="BP55" s="10" t="s">
        <v>57</v>
      </c>
      <c r="BQ55" s="9"/>
      <c r="BR55" s="9"/>
      <c r="BS55" s="10" t="s">
        <v>57</v>
      </c>
      <c r="BT55" s="7"/>
      <c r="BU55" s="7"/>
      <c r="BV55" s="10" t="s">
        <v>57</v>
      </c>
      <c r="BW55" s="7"/>
      <c r="BX55" s="7"/>
      <c r="BY55" s="10" t="s">
        <v>57</v>
      </c>
      <c r="BZ55" s="7"/>
      <c r="CA55" s="7"/>
      <c r="CB55" s="10" t="s">
        <v>57</v>
      </c>
      <c r="CC55" s="9"/>
      <c r="CD55" s="9"/>
      <c r="CE55" s="10" t="s">
        <v>57</v>
      </c>
      <c r="CF55" s="7"/>
      <c r="CG55" s="7"/>
      <c r="CH55" s="10" t="s">
        <v>57</v>
      </c>
      <c r="CI55" s="7"/>
      <c r="CJ55" s="7"/>
      <c r="CK55" s="10" t="s">
        <v>57</v>
      </c>
      <c r="CL55" s="7"/>
      <c r="CM55" s="7"/>
      <c r="CN55" s="10" t="s">
        <v>57</v>
      </c>
      <c r="CO55" s="9"/>
      <c r="CP55" s="9"/>
      <c r="CQ55" s="10" t="s">
        <v>57</v>
      </c>
      <c r="CR55" s="7"/>
      <c r="CS55" s="7"/>
      <c r="CT55" s="10" t="s">
        <v>57</v>
      </c>
      <c r="CU55" s="7"/>
      <c r="CV55" s="7"/>
      <c r="CW55" s="10" t="s">
        <v>57</v>
      </c>
      <c r="CX55" s="7"/>
      <c r="CY55" s="7"/>
      <c r="CZ55" s="10" t="s">
        <v>57</v>
      </c>
      <c r="DA55" s="9"/>
      <c r="DB55" s="9"/>
      <c r="DC55" s="10" t="s">
        <v>57</v>
      </c>
      <c r="DD55" s="7"/>
      <c r="DE55" s="7"/>
      <c r="DF55" s="10" t="s">
        <v>57</v>
      </c>
      <c r="DG55" s="7"/>
      <c r="DH55" s="7"/>
      <c r="DI55" s="10" t="s">
        <v>57</v>
      </c>
      <c r="DJ55" s="7"/>
      <c r="DK55" s="7"/>
      <c r="DL55" s="10" t="s">
        <v>57</v>
      </c>
      <c r="DM55" s="9"/>
      <c r="DN55" s="9"/>
      <c r="DO55" s="10" t="s">
        <v>57</v>
      </c>
      <c r="DP55" s="7"/>
      <c r="DQ55" s="7"/>
      <c r="DR55" s="10" t="s">
        <v>57</v>
      </c>
      <c r="DS55" s="7"/>
      <c r="DT55" s="7"/>
      <c r="DU55" s="10" t="s">
        <v>57</v>
      </c>
      <c r="DV55" s="7"/>
      <c r="DW55" s="7"/>
      <c r="DX55" s="10" t="s">
        <v>57</v>
      </c>
      <c r="DY55" s="9"/>
      <c r="DZ55" s="9"/>
      <c r="EA55" s="10" t="s">
        <v>57</v>
      </c>
      <c r="EB55" s="7"/>
      <c r="EC55" s="7"/>
      <c r="ED55" s="10" t="s">
        <v>57</v>
      </c>
      <c r="EE55" s="7"/>
      <c r="EF55" s="7"/>
      <c r="EG55" s="10" t="s">
        <v>57</v>
      </c>
      <c r="EH55" s="7"/>
      <c r="EI55" s="7"/>
      <c r="EJ55" s="10" t="s">
        <v>57</v>
      </c>
      <c r="EK55" s="9"/>
      <c r="EL55" s="9"/>
      <c r="EM55" s="10" t="s">
        <v>57</v>
      </c>
      <c r="EN55" s="7"/>
      <c r="EO55" s="7"/>
      <c r="EP55" s="10" t="s">
        <v>57</v>
      </c>
      <c r="EQ55" s="7"/>
      <c r="ER55" s="7"/>
      <c r="ES55" s="10" t="s">
        <v>57</v>
      </c>
      <c r="ET55" s="7"/>
      <c r="EU55" s="7"/>
      <c r="EV55" s="10" t="s">
        <v>57</v>
      </c>
      <c r="EW55" s="9"/>
      <c r="EX55" s="9"/>
      <c r="EY55" s="10" t="s">
        <v>57</v>
      </c>
      <c r="EZ55" s="7"/>
      <c r="FA55" s="7"/>
      <c r="FB55" s="10" t="s">
        <v>57</v>
      </c>
      <c r="FC55" s="7"/>
      <c r="FD55" s="7"/>
      <c r="FE55" s="10" t="s">
        <v>57</v>
      </c>
      <c r="FF55" s="7"/>
      <c r="FG55" s="7"/>
      <c r="FH55" s="10" t="s">
        <v>57</v>
      </c>
      <c r="FI55" s="9"/>
      <c r="FJ55" s="9"/>
      <c r="FK55" s="10" t="s">
        <v>57</v>
      </c>
      <c r="FL55" s="7"/>
      <c r="FM55" s="7"/>
      <c r="FN55" s="10" t="s">
        <v>57</v>
      </c>
      <c r="FO55" s="7"/>
      <c r="FP55" s="7"/>
      <c r="FQ55" s="10" t="s">
        <v>57</v>
      </c>
      <c r="FR55" s="7">
        <v>800</v>
      </c>
      <c r="FS55" s="7">
        <v>3000</v>
      </c>
      <c r="FT55" s="10" t="s">
        <v>57</v>
      </c>
      <c r="FU55" s="9"/>
      <c r="FV55" s="9"/>
      <c r="FW55" s="10" t="s">
        <v>57</v>
      </c>
      <c r="FX55" s="7"/>
      <c r="FY55" s="7"/>
      <c r="FZ55" s="10" t="s">
        <v>57</v>
      </c>
      <c r="GA55" s="7"/>
      <c r="GB55" s="7"/>
      <c r="GC55" s="10" t="s">
        <v>57</v>
      </c>
      <c r="GD55" s="7">
        <v>500</v>
      </c>
      <c r="GE55" s="7">
        <v>2000</v>
      </c>
      <c r="GF55" s="10" t="s">
        <v>57</v>
      </c>
      <c r="GG55" s="7"/>
      <c r="GH55" s="7"/>
      <c r="GI55" s="10" t="s">
        <v>57</v>
      </c>
      <c r="GJ55" s="7"/>
      <c r="GK55" s="7"/>
      <c r="GL55" s="10" t="s">
        <v>57</v>
      </c>
      <c r="GM55" s="7"/>
      <c r="GN55" s="7"/>
      <c r="GO55" s="6" t="s">
        <v>57</v>
      </c>
      <c r="GP55" s="7">
        <v>400</v>
      </c>
      <c r="GQ55" s="7">
        <v>1600</v>
      </c>
      <c r="GR55" s="10"/>
      <c r="GS55" s="7"/>
      <c r="GT55" s="7"/>
      <c r="GU55" s="10"/>
      <c r="GV55" s="7"/>
      <c r="GW55" s="7"/>
      <c r="GX55" s="10" t="s">
        <v>57</v>
      </c>
      <c r="GY55" s="7"/>
      <c r="GZ55" s="7"/>
      <c r="HA55" s="10" t="s">
        <v>57</v>
      </c>
      <c r="HB55" s="7">
        <v>700</v>
      </c>
      <c r="HC55" s="7">
        <v>3000</v>
      </c>
      <c r="HD55" s="10" t="s">
        <v>57</v>
      </c>
      <c r="HE55" s="7"/>
      <c r="HF55" s="7"/>
      <c r="HG55" s="10" t="s">
        <v>57</v>
      </c>
      <c r="HH55" s="7"/>
      <c r="HI55" s="7"/>
      <c r="HJ55" s="10" t="s">
        <v>57</v>
      </c>
      <c r="HK55" s="7"/>
      <c r="HL55" s="7"/>
      <c r="HM55" s="10" t="s">
        <v>57</v>
      </c>
      <c r="HN55" s="7">
        <v>800</v>
      </c>
      <c r="HO55" s="7">
        <v>3500</v>
      </c>
      <c r="HP55" s="10" t="s">
        <v>57</v>
      </c>
      <c r="HQ55" s="7"/>
      <c r="HR55" s="7"/>
      <c r="HS55" s="10" t="s">
        <v>57</v>
      </c>
      <c r="HT55" s="7"/>
      <c r="HU55" s="7"/>
      <c r="HV55" s="10" t="s">
        <v>57</v>
      </c>
      <c r="HW55" s="7"/>
      <c r="HX55" s="7"/>
      <c r="HY55" s="6" t="s">
        <v>57</v>
      </c>
      <c r="HZ55" s="7">
        <v>1000</v>
      </c>
      <c r="IA55" s="7">
        <v>5000</v>
      </c>
      <c r="IC55" s="7"/>
      <c r="ID55" s="7"/>
      <c r="IE55" s="10"/>
      <c r="IF55" s="7"/>
      <c r="IG55" s="7"/>
      <c r="II55" s="7"/>
      <c r="IJ55" s="7"/>
      <c r="IK55" s="7"/>
      <c r="IL55" s="7"/>
      <c r="IM55" s="7"/>
      <c r="IN55" s="7"/>
      <c r="IP55" s="7"/>
      <c r="IQ55" s="7"/>
      <c r="IR55" s="7"/>
      <c r="IS55" s="7"/>
      <c r="IT55" s="7"/>
      <c r="IV55" s="7"/>
      <c r="IW55" s="7"/>
      <c r="IX55" s="7"/>
      <c r="IY55" s="7"/>
      <c r="IZ55" s="7"/>
      <c r="JB55" s="7"/>
      <c r="JC55" s="7"/>
      <c r="JE55" s="7"/>
      <c r="JF55" s="7"/>
      <c r="JH55" s="7"/>
      <c r="JI55" s="7"/>
      <c r="JJ55" s="7"/>
      <c r="JK55" s="7"/>
      <c r="JL55" s="7"/>
      <c r="JM55" s="7"/>
      <c r="JO55" s="7"/>
      <c r="JP55" s="7"/>
      <c r="JQ55" s="7"/>
      <c r="JR55" s="7"/>
      <c r="JT55" s="7"/>
      <c r="JU55" s="7"/>
      <c r="JV55" s="7"/>
      <c r="JW55" s="7"/>
      <c r="JX55" s="7"/>
    </row>
    <row r="56" spans="1:284" x14ac:dyDescent="0.3">
      <c r="A56" s="19" t="s">
        <v>67</v>
      </c>
      <c r="B56" s="10" t="s">
        <v>38</v>
      </c>
      <c r="C56" s="7"/>
      <c r="D56" s="7"/>
      <c r="E56" s="10" t="s">
        <v>38</v>
      </c>
      <c r="F56" s="7"/>
      <c r="G56" s="7"/>
      <c r="H56" s="10" t="s">
        <v>38</v>
      </c>
      <c r="I56" s="9"/>
      <c r="J56" s="9"/>
      <c r="K56" s="10" t="s">
        <v>38</v>
      </c>
      <c r="L56" s="7">
        <v>1334</v>
      </c>
      <c r="M56" s="7">
        <v>37000</v>
      </c>
      <c r="N56" s="10" t="s">
        <v>38</v>
      </c>
      <c r="O56" s="7"/>
      <c r="P56" s="7"/>
      <c r="Q56" s="10" t="s">
        <v>38</v>
      </c>
      <c r="R56" s="7">
        <v>100</v>
      </c>
      <c r="S56" s="7">
        <v>3500</v>
      </c>
      <c r="T56" s="10" t="s">
        <v>38</v>
      </c>
      <c r="U56" s="9"/>
      <c r="V56" s="9"/>
      <c r="W56" s="10" t="s">
        <v>38</v>
      </c>
      <c r="X56" s="7">
        <v>1200</v>
      </c>
      <c r="Y56" s="7">
        <v>34000</v>
      </c>
      <c r="Z56" s="10" t="s">
        <v>38</v>
      </c>
      <c r="AA56" s="7">
        <v>10</v>
      </c>
      <c r="AB56" s="7">
        <v>90</v>
      </c>
      <c r="AC56" s="10" t="s">
        <v>38</v>
      </c>
      <c r="AD56" s="7">
        <v>50</v>
      </c>
      <c r="AE56" s="7">
        <v>1250</v>
      </c>
      <c r="AF56" s="10" t="s">
        <v>38</v>
      </c>
      <c r="AG56" s="9"/>
      <c r="AH56" s="9"/>
      <c r="AI56" s="10" t="s">
        <v>38</v>
      </c>
      <c r="AJ56" s="7">
        <v>1700</v>
      </c>
      <c r="AK56" s="7">
        <v>27000</v>
      </c>
      <c r="AL56" s="10" t="s">
        <v>38</v>
      </c>
      <c r="AM56" s="7"/>
      <c r="AN56" s="7"/>
      <c r="AO56" s="10" t="s">
        <v>38</v>
      </c>
      <c r="AP56" s="7">
        <v>50</v>
      </c>
      <c r="AQ56" s="7">
        <v>1000</v>
      </c>
      <c r="AR56" s="10" t="s">
        <v>38</v>
      </c>
      <c r="AS56" s="9"/>
      <c r="AT56" s="9"/>
      <c r="AU56" s="10" t="s">
        <v>38</v>
      </c>
      <c r="AV56" s="7">
        <v>2000</v>
      </c>
      <c r="AW56" s="7">
        <v>30000</v>
      </c>
      <c r="AX56" s="10" t="s">
        <v>38</v>
      </c>
      <c r="AY56" s="7"/>
      <c r="AZ56" s="7"/>
      <c r="BA56" s="10" t="s">
        <v>38</v>
      </c>
      <c r="BB56" s="7">
        <v>300</v>
      </c>
      <c r="BC56" s="7">
        <v>6000</v>
      </c>
      <c r="BD56" s="10" t="s">
        <v>38</v>
      </c>
      <c r="BE56" s="9"/>
      <c r="BF56" s="9"/>
      <c r="BG56" s="10" t="s">
        <v>38</v>
      </c>
      <c r="BH56" s="7">
        <v>1500</v>
      </c>
      <c r="BI56" s="7">
        <v>24000</v>
      </c>
      <c r="BJ56" s="10" t="s">
        <v>38</v>
      </c>
      <c r="BK56" s="7"/>
      <c r="BL56" s="7"/>
      <c r="BM56" s="10" t="s">
        <v>38</v>
      </c>
      <c r="BN56" s="7">
        <v>200</v>
      </c>
      <c r="BO56" s="7">
        <v>3200</v>
      </c>
      <c r="BP56" s="10" t="s">
        <v>38</v>
      </c>
      <c r="BQ56" s="9"/>
      <c r="BR56" s="9"/>
      <c r="BS56" s="10" t="s">
        <v>38</v>
      </c>
      <c r="BT56" s="7">
        <v>1500</v>
      </c>
      <c r="BU56" s="7">
        <v>24000</v>
      </c>
      <c r="BV56" s="10" t="s">
        <v>38</v>
      </c>
      <c r="BW56" s="7"/>
      <c r="BX56" s="7"/>
      <c r="BY56" s="10" t="s">
        <v>38</v>
      </c>
      <c r="BZ56" s="7">
        <v>320</v>
      </c>
      <c r="CA56" s="7">
        <v>6500</v>
      </c>
      <c r="CB56" s="10" t="s">
        <v>38</v>
      </c>
      <c r="CC56" s="9"/>
      <c r="CD56" s="9"/>
      <c r="CE56" s="10" t="s">
        <v>38</v>
      </c>
      <c r="CF56" s="7">
        <v>1500</v>
      </c>
      <c r="CG56" s="7">
        <v>15000</v>
      </c>
      <c r="CH56" s="10" t="s">
        <v>38</v>
      </c>
      <c r="CI56" s="7"/>
      <c r="CJ56" s="7"/>
      <c r="CK56" s="10" t="s">
        <v>38</v>
      </c>
      <c r="CL56" s="7">
        <v>150</v>
      </c>
      <c r="CM56" s="7">
        <v>2200</v>
      </c>
      <c r="CN56" s="10" t="s">
        <v>38</v>
      </c>
      <c r="CO56" s="9"/>
      <c r="CP56" s="9"/>
      <c r="CQ56" s="10" t="s">
        <v>38</v>
      </c>
      <c r="CR56" s="7">
        <v>1500</v>
      </c>
      <c r="CS56" s="7">
        <v>15000</v>
      </c>
      <c r="CT56" s="10" t="s">
        <v>38</v>
      </c>
      <c r="CU56" s="7"/>
      <c r="CV56" s="7"/>
      <c r="CW56" s="10" t="s">
        <v>38</v>
      </c>
      <c r="CX56" s="7">
        <v>680</v>
      </c>
      <c r="CY56" s="7">
        <v>6670</v>
      </c>
      <c r="CZ56" s="10" t="s">
        <v>38</v>
      </c>
      <c r="DA56" s="9"/>
      <c r="DB56" s="9"/>
      <c r="DC56" s="10" t="s">
        <v>38</v>
      </c>
      <c r="DD56" s="7">
        <v>3938</v>
      </c>
      <c r="DE56" s="7">
        <v>46860</v>
      </c>
      <c r="DF56" s="10" t="s">
        <v>38</v>
      </c>
      <c r="DG56" s="7"/>
      <c r="DH56" s="7"/>
      <c r="DI56" s="10" t="s">
        <v>38</v>
      </c>
      <c r="DJ56" s="7">
        <v>133</v>
      </c>
      <c r="DK56" s="7">
        <v>1515</v>
      </c>
      <c r="DL56" s="10" t="s">
        <v>38</v>
      </c>
      <c r="DM56" s="9"/>
      <c r="DN56" s="9"/>
      <c r="DO56" s="10" t="s">
        <v>38</v>
      </c>
      <c r="DP56" s="7">
        <v>2745</v>
      </c>
      <c r="DQ56" s="7">
        <v>41960</v>
      </c>
      <c r="DR56" s="10" t="s">
        <v>38</v>
      </c>
      <c r="DS56" s="7"/>
      <c r="DT56" s="7"/>
      <c r="DU56" s="10" t="s">
        <v>38</v>
      </c>
      <c r="DV56" s="7">
        <v>300</v>
      </c>
      <c r="DW56" s="7">
        <v>3000</v>
      </c>
      <c r="DX56" s="10" t="s">
        <v>38</v>
      </c>
      <c r="DY56" s="9"/>
      <c r="DZ56" s="9"/>
      <c r="EA56" s="10" t="s">
        <v>38</v>
      </c>
      <c r="EB56" s="7">
        <v>3000</v>
      </c>
      <c r="EC56" s="7">
        <v>45000</v>
      </c>
      <c r="ED56" s="10" t="s">
        <v>38</v>
      </c>
      <c r="EE56" s="7"/>
      <c r="EF56" s="7"/>
      <c r="EG56" s="10" t="s">
        <v>38</v>
      </c>
      <c r="EH56" s="7">
        <v>250</v>
      </c>
      <c r="EI56" s="7">
        <v>2500</v>
      </c>
      <c r="EJ56" s="10" t="s">
        <v>38</v>
      </c>
      <c r="EK56" s="9"/>
      <c r="EL56" s="9"/>
      <c r="EM56" s="10" t="s">
        <v>38</v>
      </c>
      <c r="EN56" s="7">
        <v>2500</v>
      </c>
      <c r="EO56" s="7">
        <v>31500</v>
      </c>
      <c r="EP56" s="10" t="s">
        <v>38</v>
      </c>
      <c r="EQ56" s="7"/>
      <c r="ER56" s="7"/>
      <c r="ES56" s="10" t="s">
        <v>38</v>
      </c>
      <c r="ET56" s="7">
        <v>250</v>
      </c>
      <c r="EU56" s="7">
        <v>3000</v>
      </c>
      <c r="EV56" s="10" t="s">
        <v>38</v>
      </c>
      <c r="EW56" s="9"/>
      <c r="EX56" s="9"/>
      <c r="EY56" s="10" t="s">
        <v>38</v>
      </c>
      <c r="EZ56" s="7">
        <v>2000</v>
      </c>
      <c r="FA56" s="7">
        <v>35000</v>
      </c>
      <c r="FB56" s="10" t="s">
        <v>38</v>
      </c>
      <c r="FC56" s="7"/>
      <c r="FD56" s="7"/>
      <c r="FE56" s="10" t="s">
        <v>38</v>
      </c>
      <c r="FF56" s="7">
        <v>400</v>
      </c>
      <c r="FG56" s="7">
        <v>4500</v>
      </c>
      <c r="FH56" s="10" t="s">
        <v>38</v>
      </c>
      <c r="FI56" s="9"/>
      <c r="FJ56" s="9"/>
      <c r="FK56" s="10" t="s">
        <v>38</v>
      </c>
      <c r="FL56" s="7">
        <v>2100</v>
      </c>
      <c r="FM56" s="7">
        <v>40000</v>
      </c>
      <c r="FN56" s="10" t="s">
        <v>38</v>
      </c>
      <c r="FO56" s="7"/>
      <c r="FP56" s="7"/>
      <c r="FQ56" s="10" t="s">
        <v>38</v>
      </c>
      <c r="FR56" s="7">
        <v>250</v>
      </c>
      <c r="FS56" s="7">
        <v>5500</v>
      </c>
      <c r="FT56" s="10" t="s">
        <v>38</v>
      </c>
      <c r="FU56" s="9"/>
      <c r="FV56" s="9"/>
      <c r="FW56" s="10" t="s">
        <v>38</v>
      </c>
      <c r="FX56" s="7">
        <v>2500</v>
      </c>
      <c r="FY56" s="7">
        <v>50000</v>
      </c>
      <c r="FZ56" s="10" t="s">
        <v>38</v>
      </c>
      <c r="GA56" s="7"/>
      <c r="GB56" s="7"/>
      <c r="GC56" s="10" t="s">
        <v>38</v>
      </c>
      <c r="GD56" s="7">
        <v>150</v>
      </c>
      <c r="GE56" s="7">
        <v>5700</v>
      </c>
      <c r="GF56" s="10" t="s">
        <v>38</v>
      </c>
      <c r="GG56" s="7"/>
      <c r="GH56" s="7"/>
      <c r="GI56" s="10" t="s">
        <v>38</v>
      </c>
      <c r="GJ56" s="7">
        <v>2052</v>
      </c>
      <c r="GK56" s="7">
        <v>76284</v>
      </c>
      <c r="GL56" s="10" t="s">
        <v>38</v>
      </c>
      <c r="GM56" s="7"/>
      <c r="GN56" s="7"/>
      <c r="GO56" s="10" t="s">
        <v>38</v>
      </c>
      <c r="GP56" s="7">
        <v>400</v>
      </c>
      <c r="GQ56" s="7">
        <v>14800</v>
      </c>
      <c r="GR56" s="10" t="s">
        <v>38</v>
      </c>
      <c r="GS56" s="7"/>
      <c r="GT56" s="7"/>
      <c r="GU56" s="6" t="s">
        <v>38</v>
      </c>
      <c r="GV56" s="7">
        <v>1220</v>
      </c>
      <c r="GW56" s="7">
        <v>51400</v>
      </c>
      <c r="GX56" s="10" t="s">
        <v>38</v>
      </c>
      <c r="GY56" s="7"/>
      <c r="GZ56" s="7"/>
      <c r="HA56" s="10" t="s">
        <v>38</v>
      </c>
      <c r="HB56" s="7">
        <v>350</v>
      </c>
      <c r="HC56" s="7">
        <v>12000</v>
      </c>
      <c r="HD56" s="10" t="s">
        <v>38</v>
      </c>
      <c r="HE56" s="7"/>
      <c r="HF56" s="7"/>
      <c r="HG56" s="10" t="s">
        <v>38</v>
      </c>
      <c r="HH56" s="7">
        <v>1500</v>
      </c>
      <c r="HI56" s="7">
        <v>55000</v>
      </c>
      <c r="HJ56" s="10" t="s">
        <v>38</v>
      </c>
      <c r="HK56" s="7"/>
      <c r="HL56" s="7"/>
      <c r="HM56" s="10" t="s">
        <v>38</v>
      </c>
      <c r="HN56" s="7">
        <v>300</v>
      </c>
      <c r="HO56" s="7">
        <v>12000</v>
      </c>
      <c r="HP56" s="10" t="s">
        <v>38</v>
      </c>
      <c r="HQ56" s="7"/>
      <c r="HR56" s="7"/>
      <c r="HS56" s="10" t="s">
        <v>38</v>
      </c>
      <c r="HT56" s="7">
        <v>1200</v>
      </c>
      <c r="HU56" s="7">
        <v>54000</v>
      </c>
      <c r="HV56" s="10" t="s">
        <v>38</v>
      </c>
      <c r="HW56" s="7"/>
      <c r="HX56" s="7"/>
      <c r="HY56" s="10" t="s">
        <v>38</v>
      </c>
      <c r="HZ56" s="7">
        <v>375</v>
      </c>
      <c r="IA56" s="7">
        <v>13500</v>
      </c>
      <c r="IB56" s="10" t="s">
        <v>38</v>
      </c>
      <c r="IC56" s="7"/>
      <c r="ID56" s="7"/>
      <c r="IE56" s="6" t="s">
        <v>38</v>
      </c>
      <c r="IF56" s="7">
        <v>1045</v>
      </c>
      <c r="IG56" s="7">
        <v>47060</v>
      </c>
      <c r="IH56" t="s">
        <v>7</v>
      </c>
      <c r="II56" s="7">
        <f>2000+9000</f>
        <v>11000</v>
      </c>
      <c r="IJ56" s="7">
        <f>50000+15000</f>
        <v>65000</v>
      </c>
      <c r="IK56" s="7">
        <f>2080+12000</f>
        <v>14080</v>
      </c>
      <c r="IL56" s="7">
        <f>52000+20000</f>
        <v>72000</v>
      </c>
      <c r="IM56" s="7">
        <f>2000+1500</f>
        <v>3500</v>
      </c>
      <c r="IN56" s="7">
        <f>50000+2500</f>
        <v>52500</v>
      </c>
      <c r="IO56" t="s">
        <v>7</v>
      </c>
      <c r="IP56" s="7">
        <f>2500+2000</f>
        <v>4500</v>
      </c>
      <c r="IQ56" s="7">
        <f>50000+30000</f>
        <v>80000</v>
      </c>
      <c r="IR56" s="7">
        <f>2000+1500</f>
        <v>3500</v>
      </c>
      <c r="IS56" s="7">
        <f>26000+20000</f>
        <v>46000</v>
      </c>
      <c r="IT56" s="7">
        <f>1800+1200</f>
        <v>3000</v>
      </c>
      <c r="IU56">
        <f>32000+16000</f>
        <v>48000</v>
      </c>
      <c r="IV56" s="7">
        <f>5736+2400</f>
        <v>8136</v>
      </c>
      <c r="IW56" s="7">
        <f>65459+32729</f>
        <v>98188</v>
      </c>
      <c r="IX56" s="7">
        <f>4728+596</f>
        <v>5324</v>
      </c>
      <c r="IY56" s="7">
        <f>73851+8658</f>
        <v>82509</v>
      </c>
      <c r="IZ56" s="7">
        <f>6000+800</f>
        <v>6800</v>
      </c>
      <c r="JA56">
        <f>84700+12000</f>
        <v>96700</v>
      </c>
      <c r="JB56" s="7">
        <f>5800+200</f>
        <v>6000</v>
      </c>
      <c r="JC56" s="7">
        <f>83200+3500</f>
        <v>86700</v>
      </c>
      <c r="JD56" s="10" t="s">
        <v>7</v>
      </c>
      <c r="JE56" s="7">
        <v>6150</v>
      </c>
      <c r="JF56" s="7">
        <f>2000+150000</f>
        <v>152000</v>
      </c>
      <c r="JG56" t="s">
        <v>7</v>
      </c>
      <c r="JH56" s="7">
        <v>4900</v>
      </c>
      <c r="JI56" s="7">
        <v>10620</v>
      </c>
      <c r="JJ56" s="7">
        <v>5300</v>
      </c>
      <c r="JK56" s="7">
        <v>13734</v>
      </c>
      <c r="JL56" s="7">
        <v>4760</v>
      </c>
      <c r="JM56" s="7">
        <v>12693</v>
      </c>
      <c r="JN56" t="s">
        <v>7</v>
      </c>
      <c r="JO56" s="7">
        <v>5072</v>
      </c>
      <c r="JP56" s="7">
        <v>13526</v>
      </c>
      <c r="JQ56" s="7">
        <v>4824</v>
      </c>
      <c r="JR56" s="7">
        <v>13829</v>
      </c>
      <c r="JS56" t="s">
        <v>7</v>
      </c>
      <c r="JT56" s="7">
        <v>5186</v>
      </c>
      <c r="JU56" s="7">
        <v>15963</v>
      </c>
      <c r="JV56" s="7">
        <v>5204</v>
      </c>
      <c r="JW56" s="7">
        <v>16966</v>
      </c>
      <c r="JX56" s="7"/>
    </row>
    <row r="57" spans="1:284" x14ac:dyDescent="0.3">
      <c r="A57" t="s">
        <v>237</v>
      </c>
      <c r="B57" s="10" t="s">
        <v>40</v>
      </c>
      <c r="C57" s="7"/>
      <c r="D57" s="7"/>
      <c r="E57" s="10" t="s">
        <v>40</v>
      </c>
      <c r="F57" s="7"/>
      <c r="G57" s="7"/>
      <c r="H57" s="10" t="s">
        <v>40</v>
      </c>
      <c r="I57" s="9"/>
      <c r="J57" s="9"/>
      <c r="K57" s="10" t="s">
        <v>40</v>
      </c>
      <c r="L57" s="7"/>
      <c r="M57" s="7"/>
      <c r="N57" s="10" t="s">
        <v>40</v>
      </c>
      <c r="O57" s="7"/>
      <c r="P57" s="7"/>
      <c r="Q57" s="10" t="s">
        <v>40</v>
      </c>
      <c r="R57" s="7"/>
      <c r="S57" s="7"/>
      <c r="T57" s="10" t="s">
        <v>40</v>
      </c>
      <c r="U57" s="9"/>
      <c r="V57" s="9"/>
      <c r="W57" s="10" t="s">
        <v>40</v>
      </c>
      <c r="X57" s="7">
        <v>5</v>
      </c>
      <c r="Y57" s="7">
        <v>50</v>
      </c>
      <c r="Z57" s="10" t="s">
        <v>40</v>
      </c>
      <c r="AA57" s="7"/>
      <c r="AB57" s="7"/>
      <c r="AC57" s="10" t="s">
        <v>40</v>
      </c>
      <c r="AD57" s="7"/>
      <c r="AE57" s="7"/>
      <c r="AF57" s="10" t="s">
        <v>40</v>
      </c>
      <c r="AG57" s="9"/>
      <c r="AH57" s="9"/>
      <c r="AI57" s="10" t="s">
        <v>40</v>
      </c>
      <c r="AJ57" s="7">
        <v>5</v>
      </c>
      <c r="AK57" s="7">
        <v>50</v>
      </c>
      <c r="AL57" s="10" t="s">
        <v>40</v>
      </c>
      <c r="AM57" s="7"/>
      <c r="AN57" s="7"/>
      <c r="AO57" s="10" t="s">
        <v>40</v>
      </c>
      <c r="AP57" s="7"/>
      <c r="AQ57" s="7"/>
      <c r="AR57" s="10" t="s">
        <v>40</v>
      </c>
      <c r="AS57" s="9"/>
      <c r="AT57" s="9"/>
      <c r="AU57" s="10" t="s">
        <v>40</v>
      </c>
      <c r="AV57" s="7">
        <v>5</v>
      </c>
      <c r="AW57" s="7">
        <v>50</v>
      </c>
      <c r="AX57" s="10" t="s">
        <v>40</v>
      </c>
      <c r="AY57" s="7"/>
      <c r="AZ57" s="7"/>
      <c r="BA57" s="10" t="s">
        <v>40</v>
      </c>
      <c r="BB57" s="7"/>
      <c r="BC57" s="7"/>
      <c r="BD57" s="10" t="s">
        <v>40</v>
      </c>
      <c r="BE57" s="9"/>
      <c r="BF57" s="9"/>
      <c r="BG57" s="10" t="s">
        <v>40</v>
      </c>
      <c r="BH57" s="7">
        <v>5</v>
      </c>
      <c r="BI57" s="7">
        <v>50</v>
      </c>
      <c r="BJ57" s="10" t="s">
        <v>40</v>
      </c>
      <c r="BK57" s="7"/>
      <c r="BL57" s="7"/>
      <c r="BM57" s="10" t="s">
        <v>40</v>
      </c>
      <c r="BN57" s="7"/>
      <c r="BO57" s="7"/>
      <c r="BP57" s="10" t="s">
        <v>40</v>
      </c>
      <c r="BQ57" s="9"/>
      <c r="BR57" s="9"/>
      <c r="BS57" s="10" t="s">
        <v>40</v>
      </c>
      <c r="BT57" s="7">
        <v>10</v>
      </c>
      <c r="BU57" s="7">
        <v>100</v>
      </c>
      <c r="BV57" s="10" t="s">
        <v>40</v>
      </c>
      <c r="BW57" s="7"/>
      <c r="BX57" s="7"/>
      <c r="BY57" s="10" t="s">
        <v>40</v>
      </c>
      <c r="BZ57" s="7"/>
      <c r="CA57" s="7"/>
      <c r="CB57" s="10" t="s">
        <v>40</v>
      </c>
      <c r="CC57" s="9"/>
      <c r="CD57" s="9"/>
      <c r="CE57" s="10" t="s">
        <v>40</v>
      </c>
      <c r="CF57" s="7"/>
      <c r="CG57" s="7"/>
      <c r="CH57" s="10" t="s">
        <v>40</v>
      </c>
      <c r="CI57" s="7"/>
      <c r="CJ57" s="7"/>
      <c r="CK57" s="10" t="s">
        <v>40</v>
      </c>
      <c r="CL57" s="7"/>
      <c r="CM57" s="7"/>
      <c r="CN57" s="10" t="s">
        <v>40</v>
      </c>
      <c r="CO57" s="9"/>
      <c r="CP57" s="9"/>
      <c r="CQ57" s="10" t="s">
        <v>40</v>
      </c>
      <c r="CR57" s="7"/>
      <c r="CS57" s="7"/>
      <c r="CT57" s="10" t="s">
        <v>40</v>
      </c>
      <c r="CU57" s="7"/>
      <c r="CV57" s="7"/>
      <c r="CW57" s="10" t="s">
        <v>40</v>
      </c>
      <c r="CX57" s="7"/>
      <c r="CY57" s="7"/>
      <c r="CZ57" s="10" t="s">
        <v>40</v>
      </c>
      <c r="DA57" s="9"/>
      <c r="DB57" s="9"/>
      <c r="DC57" s="10" t="s">
        <v>40</v>
      </c>
      <c r="DD57" s="7"/>
      <c r="DE57" s="7"/>
      <c r="DF57" s="10" t="s">
        <v>40</v>
      </c>
      <c r="DG57" s="7"/>
      <c r="DH57" s="7"/>
      <c r="DI57" s="10" t="s">
        <v>40</v>
      </c>
      <c r="DJ57" s="7"/>
      <c r="DK57" s="7"/>
      <c r="DL57" s="10" t="s">
        <v>40</v>
      </c>
      <c r="DM57" s="9"/>
      <c r="DN57" s="9"/>
      <c r="DO57" s="10" t="s">
        <v>45</v>
      </c>
      <c r="DP57" s="7">
        <v>75</v>
      </c>
      <c r="DQ57" s="7">
        <v>100</v>
      </c>
      <c r="DR57" s="10" t="s">
        <v>40</v>
      </c>
      <c r="DS57" s="7"/>
      <c r="DT57" s="7"/>
      <c r="DU57" s="10" t="s">
        <v>40</v>
      </c>
      <c r="DV57" s="7"/>
      <c r="DW57" s="7"/>
      <c r="DX57" s="10" t="s">
        <v>40</v>
      </c>
      <c r="DY57" s="9"/>
      <c r="DZ57" s="9"/>
      <c r="EA57" s="10" t="s">
        <v>396</v>
      </c>
      <c r="EB57" s="7">
        <v>200</v>
      </c>
      <c r="EC57" s="7">
        <v>450</v>
      </c>
      <c r="ED57" s="10" t="s">
        <v>40</v>
      </c>
      <c r="EE57" s="7"/>
      <c r="EF57" s="7"/>
      <c r="EG57" s="10" t="s">
        <v>40</v>
      </c>
      <c r="EH57" s="7"/>
      <c r="EI57" s="7"/>
      <c r="EJ57" s="10" t="s">
        <v>40</v>
      </c>
      <c r="EK57" s="9"/>
      <c r="EL57" s="9"/>
      <c r="EM57" s="10" t="s">
        <v>40</v>
      </c>
      <c r="EN57" s="7">
        <v>50</v>
      </c>
      <c r="EO57" s="7">
        <v>200</v>
      </c>
      <c r="EP57" s="10" t="s">
        <v>40</v>
      </c>
      <c r="EQ57" s="7"/>
      <c r="ER57" s="7"/>
      <c r="ES57" s="10" t="s">
        <v>40</v>
      </c>
      <c r="ET57" s="7"/>
      <c r="EU57" s="7"/>
      <c r="EV57" s="10" t="s">
        <v>40</v>
      </c>
      <c r="EW57" s="9"/>
      <c r="EX57" s="9"/>
      <c r="EY57" s="10" t="s">
        <v>40</v>
      </c>
      <c r="EZ57" s="7">
        <v>40</v>
      </c>
      <c r="FA57" s="7">
        <v>150</v>
      </c>
      <c r="FB57" s="10" t="s">
        <v>40</v>
      </c>
      <c r="FC57" s="7"/>
      <c r="FD57" s="7"/>
      <c r="FE57" s="10" t="s">
        <v>40</v>
      </c>
      <c r="FF57" s="7"/>
      <c r="FG57" s="7"/>
      <c r="FH57" s="10" t="s">
        <v>40</v>
      </c>
      <c r="FI57" s="9"/>
      <c r="FJ57" s="9"/>
      <c r="FK57" s="10" t="s">
        <v>40</v>
      </c>
      <c r="FL57" s="7">
        <v>45</v>
      </c>
      <c r="FM57" s="7">
        <v>250</v>
      </c>
      <c r="FN57" s="10" t="s">
        <v>40</v>
      </c>
      <c r="FO57" s="7"/>
      <c r="FP57" s="7"/>
      <c r="FQ57" s="10" t="s">
        <v>40</v>
      </c>
      <c r="FR57" s="7"/>
      <c r="FS57" s="7"/>
      <c r="FT57" s="10" t="s">
        <v>40</v>
      </c>
      <c r="FU57" s="9"/>
      <c r="FV57" s="9"/>
      <c r="FW57" s="10" t="s">
        <v>40</v>
      </c>
      <c r="FX57" s="7">
        <v>40</v>
      </c>
      <c r="FY57" s="7">
        <v>200</v>
      </c>
      <c r="FZ57" s="10" t="s">
        <v>40</v>
      </c>
      <c r="GA57" s="7"/>
      <c r="GB57" s="7"/>
      <c r="GC57" s="10" t="s">
        <v>40</v>
      </c>
      <c r="GD57" s="7"/>
      <c r="GE57" s="7"/>
      <c r="GF57" s="10" t="s">
        <v>40</v>
      </c>
      <c r="GG57" s="7"/>
      <c r="GH57" s="7"/>
      <c r="GI57" s="10" t="s">
        <v>40</v>
      </c>
      <c r="GJ57" s="7">
        <v>27</v>
      </c>
      <c r="GK57" s="7">
        <v>104</v>
      </c>
      <c r="GL57" s="10" t="s">
        <v>40</v>
      </c>
      <c r="GM57" s="7"/>
      <c r="GN57" s="7"/>
      <c r="GO57" s="10" t="s">
        <v>40</v>
      </c>
      <c r="GP57" s="7"/>
      <c r="GQ57" s="7"/>
      <c r="GR57" s="10" t="s">
        <v>40</v>
      </c>
      <c r="GS57" s="7"/>
      <c r="GT57" s="7"/>
      <c r="GU57" s="6" t="s">
        <v>40</v>
      </c>
      <c r="GV57" s="7">
        <v>30</v>
      </c>
      <c r="GW57" s="7">
        <v>60</v>
      </c>
      <c r="GX57" s="10" t="s">
        <v>40</v>
      </c>
      <c r="GY57" s="7"/>
      <c r="GZ57" s="7"/>
      <c r="HA57" s="10" t="s">
        <v>40</v>
      </c>
      <c r="HB57" s="7"/>
      <c r="HC57" s="7"/>
      <c r="HD57" s="10" t="s">
        <v>40</v>
      </c>
      <c r="HE57" s="7"/>
      <c r="HF57" s="7"/>
      <c r="HG57" s="10" t="s">
        <v>40</v>
      </c>
      <c r="HH57" s="7">
        <v>20</v>
      </c>
      <c r="HI57" s="7">
        <v>70</v>
      </c>
      <c r="HJ57" s="10" t="s">
        <v>40</v>
      </c>
      <c r="HK57" s="7"/>
      <c r="HL57" s="7"/>
      <c r="HM57" s="10" t="s">
        <v>40</v>
      </c>
      <c r="HN57" s="7"/>
      <c r="HO57" s="7"/>
      <c r="HP57" s="10" t="s">
        <v>40</v>
      </c>
      <c r="HQ57" s="7"/>
      <c r="HR57" s="7"/>
      <c r="HS57" s="10" t="s">
        <v>40</v>
      </c>
      <c r="HT57" s="7">
        <v>22</v>
      </c>
      <c r="HU57" s="7">
        <v>80</v>
      </c>
      <c r="HV57" s="10" t="s">
        <v>40</v>
      </c>
      <c r="HW57" s="7"/>
      <c r="HX57" s="7"/>
      <c r="HY57" s="10" t="s">
        <v>40</v>
      </c>
      <c r="HZ57" s="7"/>
      <c r="IA57" s="7"/>
      <c r="IB57" s="10" t="s">
        <v>40</v>
      </c>
      <c r="IC57" s="7"/>
      <c r="ID57" s="7"/>
      <c r="IE57" s="6" t="s">
        <v>40</v>
      </c>
      <c r="IF57" s="7">
        <v>20</v>
      </c>
      <c r="IG57" s="7">
        <v>180</v>
      </c>
      <c r="IH57" t="s">
        <v>435</v>
      </c>
      <c r="II57" s="7">
        <v>25</v>
      </c>
      <c r="IJ57" s="7">
        <v>250</v>
      </c>
      <c r="IK57" s="7"/>
      <c r="IL57" s="7"/>
      <c r="IM57" s="7"/>
      <c r="IN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E57" s="7"/>
      <c r="JF57" s="7"/>
      <c r="JH57" s="7"/>
      <c r="JI57" s="7"/>
      <c r="JJ57" s="7"/>
      <c r="JK57" s="7"/>
      <c r="JL57" s="7"/>
      <c r="JM57" s="7"/>
      <c r="JO57" s="7"/>
      <c r="JP57" s="7"/>
      <c r="JQ57" s="7"/>
      <c r="JR57" s="7"/>
      <c r="JS57" t="s">
        <v>7</v>
      </c>
      <c r="JT57" s="7"/>
      <c r="JU57" s="7"/>
      <c r="JV57" s="7">
        <v>36</v>
      </c>
      <c r="JW57" s="7">
        <v>88</v>
      </c>
      <c r="JX57" s="7"/>
    </row>
    <row r="58" spans="1:284" x14ac:dyDescent="0.3">
      <c r="A58" s="19" t="s">
        <v>93</v>
      </c>
      <c r="B58" s="10" t="s">
        <v>48</v>
      </c>
      <c r="C58" s="7"/>
      <c r="D58" s="7"/>
      <c r="E58" s="10" t="s">
        <v>48</v>
      </c>
      <c r="F58" s="7"/>
      <c r="G58" s="7"/>
      <c r="H58" s="10" t="s">
        <v>48</v>
      </c>
      <c r="I58" s="9">
        <v>1700</v>
      </c>
      <c r="J58" s="9">
        <v>40500</v>
      </c>
      <c r="K58" s="10" t="s">
        <v>48</v>
      </c>
      <c r="L58" s="7"/>
      <c r="M58" s="7"/>
      <c r="N58" s="10" t="s">
        <v>48</v>
      </c>
      <c r="O58" s="7"/>
      <c r="P58" s="7"/>
      <c r="Q58" s="10" t="s">
        <v>48</v>
      </c>
      <c r="R58" s="7"/>
      <c r="S58" s="7"/>
      <c r="T58" s="10" t="s">
        <v>48</v>
      </c>
      <c r="U58" s="9">
        <v>1500</v>
      </c>
      <c r="V58" s="9">
        <v>30000</v>
      </c>
      <c r="W58" s="10" t="s">
        <v>48</v>
      </c>
      <c r="X58" s="7"/>
      <c r="Y58" s="7"/>
      <c r="Z58" s="10" t="s">
        <v>48</v>
      </c>
      <c r="AA58" s="7"/>
      <c r="AB58" s="7"/>
      <c r="AC58" s="10" t="s">
        <v>48</v>
      </c>
      <c r="AD58" s="7"/>
      <c r="AE58" s="7"/>
      <c r="AF58" s="10" t="s">
        <v>48</v>
      </c>
      <c r="AG58" s="9">
        <v>2000</v>
      </c>
      <c r="AH58" s="9">
        <v>32000</v>
      </c>
      <c r="AI58" s="10" t="s">
        <v>48</v>
      </c>
      <c r="AJ58" s="7"/>
      <c r="AK58" s="7"/>
      <c r="AL58" s="10" t="s">
        <v>48</v>
      </c>
      <c r="AM58" s="7"/>
      <c r="AN58" s="7"/>
      <c r="AO58" s="10" t="s">
        <v>48</v>
      </c>
      <c r="AP58" s="7"/>
      <c r="AQ58" s="7"/>
      <c r="AR58" s="10" t="s">
        <v>48</v>
      </c>
      <c r="AS58" s="9"/>
      <c r="AT58" s="9"/>
      <c r="AU58" s="10" t="s">
        <v>48</v>
      </c>
      <c r="AV58" s="7"/>
      <c r="AW58" s="7"/>
      <c r="AX58" s="10" t="s">
        <v>48</v>
      </c>
      <c r="AY58" s="7"/>
      <c r="AZ58" s="7"/>
      <c r="BA58" s="10" t="s">
        <v>48</v>
      </c>
      <c r="BB58" s="7"/>
      <c r="BC58" s="7"/>
      <c r="BD58" s="10" t="s">
        <v>48</v>
      </c>
      <c r="BE58" s="9">
        <v>500</v>
      </c>
      <c r="BF58" s="9">
        <v>5000</v>
      </c>
      <c r="BG58" s="10" t="s">
        <v>48</v>
      </c>
      <c r="BH58" s="7">
        <v>898</v>
      </c>
      <c r="BI58" s="7">
        <v>18000</v>
      </c>
      <c r="BJ58" s="10" t="s">
        <v>48</v>
      </c>
      <c r="BK58" s="7"/>
      <c r="BL58" s="7"/>
      <c r="BM58" s="10" t="s">
        <v>48</v>
      </c>
      <c r="BN58" s="7"/>
      <c r="BO58" s="7"/>
      <c r="BP58" s="10" t="s">
        <v>48</v>
      </c>
      <c r="BQ58" s="9">
        <v>400</v>
      </c>
      <c r="BR58" s="9">
        <v>8000</v>
      </c>
      <c r="BS58" s="10" t="s">
        <v>48</v>
      </c>
      <c r="BT58" s="7">
        <v>898</v>
      </c>
      <c r="BU58" s="7">
        <v>18000</v>
      </c>
      <c r="BV58" s="10" t="s">
        <v>48</v>
      </c>
      <c r="BW58" s="7"/>
      <c r="BX58" s="7"/>
      <c r="BY58" s="10" t="s">
        <v>48</v>
      </c>
      <c r="BZ58" s="7"/>
      <c r="CA58" s="7"/>
      <c r="CB58" s="10" t="s">
        <v>48</v>
      </c>
      <c r="CC58" s="9">
        <v>75</v>
      </c>
      <c r="CD58" s="9">
        <v>1500</v>
      </c>
      <c r="CE58" s="10" t="s">
        <v>48</v>
      </c>
      <c r="CF58" s="7">
        <v>898</v>
      </c>
      <c r="CG58" s="7">
        <v>18000</v>
      </c>
      <c r="CH58" s="10" t="s">
        <v>48</v>
      </c>
      <c r="CI58" s="7"/>
      <c r="CJ58" s="7"/>
      <c r="CK58" s="10" t="s">
        <v>48</v>
      </c>
      <c r="CL58" s="7"/>
      <c r="CM58" s="7"/>
      <c r="CN58" s="10" t="s">
        <v>48</v>
      </c>
      <c r="CO58" s="9">
        <v>2000</v>
      </c>
      <c r="CP58" s="9">
        <v>25000</v>
      </c>
      <c r="CQ58" s="10" t="s">
        <v>48</v>
      </c>
      <c r="CR58" s="7">
        <v>200</v>
      </c>
      <c r="CS58" s="7">
        <v>2000</v>
      </c>
      <c r="CT58" s="10" t="s">
        <v>48</v>
      </c>
      <c r="CU58" s="7"/>
      <c r="CV58" s="7"/>
      <c r="CW58" s="10" t="s">
        <v>48</v>
      </c>
      <c r="CX58" s="7"/>
      <c r="CY58" s="7"/>
      <c r="CZ58" s="10" t="s">
        <v>48</v>
      </c>
      <c r="DA58" s="9">
        <v>2914</v>
      </c>
      <c r="DB58" s="9">
        <v>33240</v>
      </c>
      <c r="DC58" s="10" t="s">
        <v>48</v>
      </c>
      <c r="DD58" s="7"/>
      <c r="DE58" s="7"/>
      <c r="DF58" s="10" t="s">
        <v>48</v>
      </c>
      <c r="DG58" s="7"/>
      <c r="DH58" s="7"/>
      <c r="DI58" s="10" t="s">
        <v>48</v>
      </c>
      <c r="DJ58" s="7"/>
      <c r="DK58" s="7"/>
      <c r="DL58" s="10" t="s">
        <v>48</v>
      </c>
      <c r="DM58" s="9">
        <v>2337</v>
      </c>
      <c r="DN58" s="9">
        <v>35600</v>
      </c>
      <c r="DO58" s="10" t="s">
        <v>48</v>
      </c>
      <c r="DP58" s="7"/>
      <c r="DQ58" s="7"/>
      <c r="DR58" s="10" t="s">
        <v>48</v>
      </c>
      <c r="DS58" s="7"/>
      <c r="DT58" s="7"/>
      <c r="DU58" s="10" t="s">
        <v>48</v>
      </c>
      <c r="DV58" s="7"/>
      <c r="DW58" s="7"/>
      <c r="DX58" s="10" t="s">
        <v>48</v>
      </c>
      <c r="DY58" s="9">
        <v>2000</v>
      </c>
      <c r="DZ58" s="9">
        <v>35000</v>
      </c>
      <c r="EA58" s="10" t="s">
        <v>48</v>
      </c>
      <c r="EB58" s="7"/>
      <c r="EC58" s="7"/>
      <c r="ED58" s="10" t="s">
        <v>48</v>
      </c>
      <c r="EE58" s="7"/>
      <c r="EF58" s="7"/>
      <c r="EG58" s="10" t="s">
        <v>48</v>
      </c>
      <c r="EH58" s="7"/>
      <c r="EI58" s="7"/>
      <c r="EJ58" s="10" t="s">
        <v>48</v>
      </c>
      <c r="EK58" s="9">
        <v>1200</v>
      </c>
      <c r="EL58" s="9">
        <v>16000</v>
      </c>
      <c r="EM58" s="10" t="s">
        <v>48</v>
      </c>
      <c r="EN58" s="7"/>
      <c r="EO58" s="7"/>
      <c r="EP58" s="10" t="s">
        <v>48</v>
      </c>
      <c r="EQ58" s="7"/>
      <c r="ER58" s="7"/>
      <c r="ES58" s="10" t="s">
        <v>48</v>
      </c>
      <c r="ET58" s="7"/>
      <c r="EU58" s="7"/>
      <c r="EV58" s="10" t="s">
        <v>48</v>
      </c>
      <c r="EW58" s="9">
        <v>800</v>
      </c>
      <c r="EX58" s="9">
        <v>10000</v>
      </c>
      <c r="EY58" s="10" t="s">
        <v>48</v>
      </c>
      <c r="EZ58" s="7"/>
      <c r="FA58" s="7"/>
      <c r="FB58" s="10" t="s">
        <v>48</v>
      </c>
      <c r="FC58" s="7"/>
      <c r="FD58" s="7"/>
      <c r="FE58" s="10" t="s">
        <v>48</v>
      </c>
      <c r="FF58" s="7"/>
      <c r="FG58" s="7"/>
      <c r="FH58" s="10" t="s">
        <v>48</v>
      </c>
      <c r="FI58" s="9">
        <v>1000</v>
      </c>
      <c r="FJ58" s="9">
        <v>13000</v>
      </c>
      <c r="FK58" s="10" t="s">
        <v>48</v>
      </c>
      <c r="FL58" s="7">
        <v>50</v>
      </c>
      <c r="FM58" s="7">
        <v>300</v>
      </c>
      <c r="FN58" s="10" t="s">
        <v>48</v>
      </c>
      <c r="FO58" s="7"/>
      <c r="FP58" s="7"/>
      <c r="FQ58" s="10" t="s">
        <v>48</v>
      </c>
      <c r="FR58" s="7"/>
      <c r="FS58" s="7"/>
      <c r="FT58" s="10" t="s">
        <v>48</v>
      </c>
      <c r="FU58" s="9">
        <v>1200</v>
      </c>
      <c r="FV58" s="9">
        <v>16000</v>
      </c>
      <c r="FW58" s="10" t="s">
        <v>48</v>
      </c>
      <c r="FX58" s="7">
        <v>40</v>
      </c>
      <c r="FY58" s="7">
        <v>150</v>
      </c>
      <c r="FZ58" s="10" t="s">
        <v>48</v>
      </c>
      <c r="GA58" s="7"/>
      <c r="GB58" s="7"/>
      <c r="GC58" s="10" t="s">
        <v>48</v>
      </c>
      <c r="GD58" s="7"/>
      <c r="GE58" s="7"/>
      <c r="GF58" s="6" t="s">
        <v>48</v>
      </c>
      <c r="GG58" s="7">
        <v>3524</v>
      </c>
      <c r="GH58" s="7">
        <v>33503</v>
      </c>
      <c r="GI58" s="10" t="s">
        <v>50</v>
      </c>
      <c r="GJ58" s="7"/>
      <c r="GK58" s="7"/>
      <c r="GL58" s="10" t="s">
        <v>50</v>
      </c>
      <c r="GM58" s="7"/>
      <c r="GN58" s="7"/>
      <c r="GO58" s="10" t="s">
        <v>50</v>
      </c>
      <c r="GP58" s="7"/>
      <c r="GQ58" s="7"/>
      <c r="GR58" s="10" t="s">
        <v>50</v>
      </c>
      <c r="GS58" s="7">
        <v>4000</v>
      </c>
      <c r="GT58" s="7">
        <v>40000</v>
      </c>
      <c r="GV58" s="7"/>
      <c r="GW58" s="7"/>
      <c r="GX58" s="10" t="s">
        <v>50</v>
      </c>
      <c r="GY58" s="7"/>
      <c r="GZ58" s="7"/>
      <c r="HA58" s="6" t="s">
        <v>50</v>
      </c>
      <c r="HB58" s="7"/>
      <c r="HC58" s="7"/>
      <c r="HD58" s="6" t="s">
        <v>50</v>
      </c>
      <c r="HE58" s="7">
        <v>3600</v>
      </c>
      <c r="HF58" s="7">
        <v>36000</v>
      </c>
      <c r="HG58" s="6" t="s">
        <v>48</v>
      </c>
      <c r="HH58" s="7">
        <v>100</v>
      </c>
      <c r="HI58" s="7">
        <v>700</v>
      </c>
      <c r="HJ58" s="10" t="s">
        <v>50</v>
      </c>
      <c r="HK58" s="7"/>
      <c r="HL58" s="7"/>
      <c r="HM58" s="10" t="s">
        <v>50</v>
      </c>
      <c r="HN58" s="7"/>
      <c r="HO58" s="7"/>
      <c r="HP58" s="6" t="s">
        <v>50</v>
      </c>
      <c r="HQ58" s="7">
        <v>3000</v>
      </c>
      <c r="HR58" s="7">
        <v>45000</v>
      </c>
      <c r="HS58" s="6" t="s">
        <v>48</v>
      </c>
      <c r="HT58" s="7">
        <v>150</v>
      </c>
      <c r="HU58" s="7">
        <v>1000</v>
      </c>
      <c r="HV58" s="10" t="s">
        <v>50</v>
      </c>
      <c r="HW58" s="7"/>
      <c r="HX58" s="7"/>
      <c r="HY58" s="10" t="s">
        <v>50</v>
      </c>
      <c r="HZ58" s="7"/>
      <c r="IA58" s="7"/>
      <c r="IB58" s="10" t="s">
        <v>50</v>
      </c>
      <c r="IC58" s="7">
        <v>3888</v>
      </c>
      <c r="ID58" s="7">
        <v>41000</v>
      </c>
      <c r="IF58" s="7"/>
      <c r="IG58" s="7"/>
      <c r="IH58" t="s">
        <v>8</v>
      </c>
      <c r="II58" s="7">
        <f>800+22500</f>
        <v>23300</v>
      </c>
      <c r="IJ58" s="7">
        <f>600+45000</f>
        <v>45600</v>
      </c>
      <c r="IK58" s="7">
        <f>500+20000</f>
        <v>20500</v>
      </c>
      <c r="IL58" s="7">
        <f>1000+40000</f>
        <v>41000</v>
      </c>
      <c r="IM58" s="7">
        <v>30000</v>
      </c>
      <c r="IN58" s="7">
        <v>60000</v>
      </c>
      <c r="IO58" t="s">
        <v>8</v>
      </c>
      <c r="IP58" s="7">
        <f>500+30000</f>
        <v>30500</v>
      </c>
      <c r="IQ58" s="7">
        <f>1500+80000</f>
        <v>81500</v>
      </c>
      <c r="IR58" s="7">
        <f>400+40000</f>
        <v>40400</v>
      </c>
      <c r="IS58" s="7">
        <f>1200+90000</f>
        <v>91200</v>
      </c>
      <c r="IT58" s="7">
        <f>300+50000</f>
        <v>50300</v>
      </c>
      <c r="IU58" s="7">
        <f>900+110000</f>
        <v>110900</v>
      </c>
      <c r="IV58" s="7">
        <f>3333+31416</f>
        <v>34749</v>
      </c>
      <c r="IW58" s="7">
        <f>10000+70684</f>
        <v>80684</v>
      </c>
      <c r="IX58" s="7">
        <f>15269+1106</f>
        <v>16375</v>
      </c>
      <c r="IY58" s="7">
        <f>42221+1698</f>
        <v>43919</v>
      </c>
      <c r="IZ58" s="7">
        <v>15900</v>
      </c>
      <c r="JA58" s="7">
        <v>57400</v>
      </c>
      <c r="JB58" s="7">
        <f>18200+400</f>
        <v>18600</v>
      </c>
      <c r="JC58" s="7">
        <f>60200+1500</f>
        <v>61700</v>
      </c>
      <c r="JD58" s="10" t="s">
        <v>8</v>
      </c>
      <c r="JE58" s="7">
        <v>26000</v>
      </c>
      <c r="JF58" s="7">
        <f>72000+6000</f>
        <v>78000</v>
      </c>
      <c r="JG58" t="s">
        <v>8</v>
      </c>
      <c r="JH58" s="7">
        <v>28000</v>
      </c>
      <c r="JI58" s="7">
        <v>10500</v>
      </c>
      <c r="JJ58" s="7">
        <v>8000</v>
      </c>
      <c r="JK58" s="7">
        <v>2667</v>
      </c>
      <c r="JL58" s="7">
        <v>18000</v>
      </c>
      <c r="JM58" s="7">
        <v>6200</v>
      </c>
      <c r="JN58" t="s">
        <v>8</v>
      </c>
      <c r="JO58" s="7">
        <v>19475</v>
      </c>
      <c r="JP58" s="7">
        <v>7285</v>
      </c>
      <c r="JQ58" s="7">
        <v>19258</v>
      </c>
      <c r="JR58" s="7">
        <v>7543</v>
      </c>
      <c r="JS58" t="s">
        <v>8</v>
      </c>
      <c r="JT58" s="7">
        <v>1984</v>
      </c>
      <c r="JU58" s="7">
        <v>535</v>
      </c>
      <c r="JV58" s="7">
        <v>3488</v>
      </c>
      <c r="JW58" s="7">
        <v>1105</v>
      </c>
      <c r="JX58" s="7"/>
    </row>
    <row r="59" spans="1:284" x14ac:dyDescent="0.3">
      <c r="A59" s="19" t="s">
        <v>94</v>
      </c>
      <c r="B59" s="10" t="s">
        <v>8</v>
      </c>
      <c r="C59" s="7"/>
      <c r="D59" s="7"/>
      <c r="E59" s="10" t="s">
        <v>8</v>
      </c>
      <c r="G59" s="7"/>
      <c r="H59" s="10" t="s">
        <v>8</v>
      </c>
      <c r="I59" s="9"/>
      <c r="J59" s="9"/>
      <c r="K59" s="10" t="s">
        <v>8</v>
      </c>
      <c r="L59" s="7"/>
      <c r="M59" s="7"/>
      <c r="N59" s="10" t="s">
        <v>8</v>
      </c>
      <c r="O59" s="7"/>
      <c r="P59" s="7"/>
      <c r="Q59" s="10" t="s">
        <v>8</v>
      </c>
      <c r="S59" s="7"/>
      <c r="T59" s="10" t="s">
        <v>8</v>
      </c>
      <c r="U59" s="9"/>
      <c r="V59" s="9"/>
      <c r="W59" s="10" t="s">
        <v>8</v>
      </c>
      <c r="X59" s="7"/>
      <c r="Y59" s="7"/>
      <c r="Z59" s="10" t="s">
        <v>8</v>
      </c>
      <c r="AA59" s="7"/>
      <c r="AB59" s="7"/>
      <c r="AC59" s="10" t="s">
        <v>8</v>
      </c>
      <c r="AE59" s="7"/>
      <c r="AF59" s="10" t="s">
        <v>8</v>
      </c>
      <c r="AG59" s="9"/>
      <c r="AH59" s="9"/>
      <c r="AI59" s="10" t="s">
        <v>8</v>
      </c>
      <c r="AJ59" s="7"/>
      <c r="AK59" s="7"/>
      <c r="AL59" s="10" t="s">
        <v>8</v>
      </c>
      <c r="AM59" s="7"/>
      <c r="AN59" s="7"/>
      <c r="AO59" s="10" t="s">
        <v>8</v>
      </c>
      <c r="AQ59" s="7"/>
      <c r="AR59" s="10" t="s">
        <v>8</v>
      </c>
      <c r="AS59" s="9"/>
      <c r="AT59" s="9"/>
      <c r="AU59" s="10" t="s">
        <v>8</v>
      </c>
      <c r="AV59" s="7"/>
      <c r="AW59" s="7"/>
      <c r="AX59" s="10" t="s">
        <v>8</v>
      </c>
      <c r="AY59" s="7"/>
      <c r="AZ59" s="7"/>
      <c r="BA59" s="10" t="s">
        <v>8</v>
      </c>
      <c r="BC59" s="7"/>
      <c r="BD59" s="10" t="s">
        <v>8</v>
      </c>
      <c r="BE59" s="9"/>
      <c r="BF59" s="9"/>
      <c r="BG59" s="10" t="s">
        <v>8</v>
      </c>
      <c r="BH59" s="7"/>
      <c r="BI59" s="7"/>
      <c r="BJ59" s="10" t="s">
        <v>8</v>
      </c>
      <c r="BK59" s="7"/>
      <c r="BL59" s="7"/>
      <c r="BM59" s="10" t="s">
        <v>8</v>
      </c>
      <c r="BO59" s="7"/>
      <c r="BP59" s="10" t="s">
        <v>8</v>
      </c>
      <c r="BQ59" s="9"/>
      <c r="BR59" s="9"/>
      <c r="BS59" s="10" t="s">
        <v>8</v>
      </c>
      <c r="BT59" s="7"/>
      <c r="BU59" s="7"/>
      <c r="BV59" s="10" t="s">
        <v>8</v>
      </c>
      <c r="BW59" s="7"/>
      <c r="BX59" s="7"/>
      <c r="BY59" s="10" t="s">
        <v>8</v>
      </c>
      <c r="CA59" s="7"/>
      <c r="CB59" s="10" t="s">
        <v>8</v>
      </c>
      <c r="CC59" s="9"/>
      <c r="CD59" s="9"/>
      <c r="CE59" s="10" t="s">
        <v>8</v>
      </c>
      <c r="CF59" s="7"/>
      <c r="CG59" s="7"/>
      <c r="CH59" s="10" t="s">
        <v>8</v>
      </c>
      <c r="CI59" s="7"/>
      <c r="CJ59" s="7"/>
      <c r="CK59" s="10" t="s">
        <v>8</v>
      </c>
      <c r="CL59" s="7"/>
      <c r="CM59" s="7"/>
      <c r="CN59" s="10" t="s">
        <v>8</v>
      </c>
      <c r="CO59" s="9"/>
      <c r="CP59" s="9"/>
      <c r="CQ59" s="10" t="s">
        <v>8</v>
      </c>
      <c r="CR59" s="7"/>
      <c r="CS59" s="7"/>
      <c r="CT59" s="10" t="s">
        <v>8</v>
      </c>
      <c r="CU59" s="7"/>
      <c r="CV59" s="7"/>
      <c r="CW59" s="10" t="s">
        <v>8</v>
      </c>
      <c r="CX59" s="7"/>
      <c r="CY59" s="7"/>
      <c r="CZ59" s="10" t="s">
        <v>8</v>
      </c>
      <c r="DA59" s="9"/>
      <c r="DB59" s="9"/>
      <c r="DC59" s="10" t="s">
        <v>8</v>
      </c>
      <c r="DD59" s="7"/>
      <c r="DE59" s="7"/>
      <c r="DF59" s="10" t="s">
        <v>8</v>
      </c>
      <c r="DG59" s="7"/>
      <c r="DH59" s="7"/>
      <c r="DI59" s="10" t="s">
        <v>8</v>
      </c>
      <c r="DJ59" s="7"/>
      <c r="DK59" s="7"/>
      <c r="DL59" s="10" t="s">
        <v>8</v>
      </c>
      <c r="DM59" s="9"/>
      <c r="DN59" s="9"/>
      <c r="DO59" s="10" t="s">
        <v>8</v>
      </c>
      <c r="DP59" s="7"/>
      <c r="DQ59" s="7"/>
      <c r="DR59" s="10" t="s">
        <v>8</v>
      </c>
      <c r="DS59" s="7"/>
      <c r="DT59" s="7"/>
      <c r="DU59" s="10" t="s">
        <v>8</v>
      </c>
      <c r="DV59" s="7"/>
      <c r="DW59" s="7"/>
      <c r="DX59" s="10" t="s">
        <v>8</v>
      </c>
      <c r="DY59" s="9"/>
      <c r="DZ59" s="9"/>
      <c r="EA59" s="10" t="s">
        <v>8</v>
      </c>
      <c r="EB59" s="7"/>
      <c r="EC59" s="7"/>
      <c r="ED59" s="10" t="s">
        <v>8</v>
      </c>
      <c r="EE59" s="7"/>
      <c r="EF59" s="7"/>
      <c r="EG59" s="10" t="s">
        <v>8</v>
      </c>
      <c r="EH59" s="7"/>
      <c r="EI59" s="7"/>
      <c r="EJ59" s="10" t="s">
        <v>8</v>
      </c>
      <c r="EK59" s="9"/>
      <c r="EL59" s="9"/>
      <c r="EM59" s="10" t="s">
        <v>8</v>
      </c>
      <c r="EN59" s="7"/>
      <c r="EO59" s="7"/>
      <c r="EP59" s="10" t="s">
        <v>8</v>
      </c>
      <c r="EQ59" s="7"/>
      <c r="ER59" s="7"/>
      <c r="ES59" s="10" t="s">
        <v>8</v>
      </c>
      <c r="ET59" s="7"/>
      <c r="EU59" s="7"/>
      <c r="EV59" s="10" t="s">
        <v>8</v>
      </c>
      <c r="EW59" s="9"/>
      <c r="EX59" s="9"/>
      <c r="EY59" s="10" t="s">
        <v>8</v>
      </c>
      <c r="EZ59" s="7"/>
      <c r="FA59" s="7"/>
      <c r="FB59" s="10" t="s">
        <v>8</v>
      </c>
      <c r="FC59" s="7"/>
      <c r="FD59" s="7"/>
      <c r="FE59" s="10" t="s">
        <v>8</v>
      </c>
      <c r="FF59" s="7"/>
      <c r="FG59" s="7"/>
      <c r="FH59" s="10" t="s">
        <v>8</v>
      </c>
      <c r="FI59" s="9"/>
      <c r="FJ59" s="9"/>
      <c r="FK59" s="10" t="s">
        <v>8</v>
      </c>
      <c r="FL59" s="7"/>
      <c r="FM59" s="7"/>
      <c r="FN59" s="10" t="s">
        <v>8</v>
      </c>
      <c r="FO59" s="7"/>
      <c r="FP59" s="7"/>
      <c r="FQ59" s="10" t="s">
        <v>8</v>
      </c>
      <c r="FR59" s="7"/>
      <c r="FS59" s="7"/>
      <c r="FT59" s="10" t="s">
        <v>8</v>
      </c>
      <c r="FU59" s="9"/>
      <c r="FV59" s="9"/>
      <c r="FW59" s="10" t="s">
        <v>8</v>
      </c>
      <c r="FX59" s="7"/>
      <c r="FY59" s="7"/>
      <c r="FZ59" s="10" t="s">
        <v>8</v>
      </c>
      <c r="GA59" s="7"/>
      <c r="GB59" s="7"/>
      <c r="GC59" s="10" t="s">
        <v>8</v>
      </c>
      <c r="GD59" s="7"/>
      <c r="GE59" s="7"/>
      <c r="GF59" s="10" t="s">
        <v>8</v>
      </c>
      <c r="GG59" s="7"/>
      <c r="GH59" s="7"/>
      <c r="GI59" s="10" t="s">
        <v>8</v>
      </c>
      <c r="GJ59" s="7"/>
      <c r="GK59" s="7"/>
      <c r="GL59" s="10" t="s">
        <v>8</v>
      </c>
      <c r="GM59" s="7"/>
      <c r="GN59" s="7"/>
      <c r="GO59" s="10" t="s">
        <v>8</v>
      </c>
      <c r="GP59" s="7"/>
      <c r="GQ59" s="7"/>
      <c r="GR59" s="10" t="s">
        <v>8</v>
      </c>
      <c r="GS59" s="7"/>
      <c r="GT59" s="7"/>
      <c r="GU59" t="s">
        <v>8</v>
      </c>
      <c r="GV59" s="7"/>
      <c r="GW59" s="7"/>
      <c r="GX59" s="10" t="s">
        <v>8</v>
      </c>
      <c r="GY59" s="7"/>
      <c r="GZ59" s="7"/>
      <c r="HA59" s="10" t="s">
        <v>8</v>
      </c>
      <c r="HB59" s="7"/>
      <c r="HC59" s="7"/>
      <c r="HD59" s="10" t="s">
        <v>8</v>
      </c>
      <c r="HE59" s="7"/>
      <c r="HF59" s="7"/>
      <c r="HG59" s="10" t="s">
        <v>8</v>
      </c>
      <c r="HH59" s="7"/>
      <c r="HI59" s="7"/>
      <c r="HJ59" s="10" t="s">
        <v>8</v>
      </c>
      <c r="HK59" s="7"/>
      <c r="HL59" s="7"/>
      <c r="HM59" s="10" t="s">
        <v>8</v>
      </c>
      <c r="HN59" s="7"/>
      <c r="HO59" s="7"/>
      <c r="HP59" s="10" t="s">
        <v>8</v>
      </c>
      <c r="HQ59" s="7"/>
      <c r="HR59" s="7"/>
      <c r="HS59" s="10" t="s">
        <v>8</v>
      </c>
      <c r="HT59" s="7"/>
      <c r="HU59" s="7"/>
      <c r="HV59" s="10" t="s">
        <v>8</v>
      </c>
      <c r="HW59" s="7"/>
      <c r="HX59" s="7"/>
      <c r="HY59" s="10" t="s">
        <v>8</v>
      </c>
      <c r="HZ59" s="7"/>
      <c r="IA59" s="7"/>
      <c r="IB59" s="10" t="s">
        <v>8</v>
      </c>
      <c r="IC59" s="7"/>
      <c r="ID59" s="7"/>
      <c r="IE59" t="s">
        <v>8</v>
      </c>
      <c r="IF59" s="7"/>
      <c r="IG59" s="7"/>
      <c r="IH59" t="s">
        <v>8</v>
      </c>
      <c r="II59" s="7">
        <v>90000</v>
      </c>
      <c r="IJ59" s="7">
        <v>60000</v>
      </c>
      <c r="IK59" s="7">
        <v>105000</v>
      </c>
      <c r="IL59" s="7">
        <v>70000</v>
      </c>
      <c r="IM59" s="7">
        <v>120000</v>
      </c>
      <c r="IN59" s="7">
        <v>80000</v>
      </c>
      <c r="IO59" t="s">
        <v>8</v>
      </c>
      <c r="IP59" s="7">
        <f>125000</f>
        <v>125000</v>
      </c>
      <c r="IQ59" s="7">
        <v>100000</v>
      </c>
      <c r="IR59" s="7">
        <f>150000</f>
        <v>150000</v>
      </c>
      <c r="IS59" s="7">
        <v>125000</v>
      </c>
      <c r="IT59" s="7">
        <f>90000+48000</f>
        <v>138000</v>
      </c>
      <c r="IU59" s="7">
        <f>75000+12000</f>
        <v>87000</v>
      </c>
      <c r="IV59" s="7">
        <f>55222+46000</f>
        <v>101222</v>
      </c>
      <c r="IW59" s="7">
        <f>40611+10000</f>
        <v>50611</v>
      </c>
      <c r="IX59" s="7">
        <v>34914</v>
      </c>
      <c r="IY59" s="7">
        <v>35517</v>
      </c>
      <c r="IZ59" s="7">
        <v>43700</v>
      </c>
      <c r="JA59" s="7">
        <v>54600</v>
      </c>
      <c r="JB59" s="7">
        <v>60400</v>
      </c>
      <c r="JC59" s="7">
        <v>62900</v>
      </c>
      <c r="JD59" s="10" t="s">
        <v>8</v>
      </c>
      <c r="JE59" s="7">
        <v>80000</v>
      </c>
      <c r="JF59" s="9">
        <v>80000</v>
      </c>
      <c r="JG59" t="s">
        <v>8</v>
      </c>
      <c r="JH59" s="7">
        <v>112000</v>
      </c>
      <c r="JI59" s="7">
        <v>6500</v>
      </c>
      <c r="JJ59" s="7">
        <v>216000</v>
      </c>
      <c r="JK59" s="7">
        <v>9867</v>
      </c>
      <c r="JL59" s="7">
        <v>237000</v>
      </c>
      <c r="JM59" s="7">
        <v>10933</v>
      </c>
      <c r="JN59" t="s">
        <v>8</v>
      </c>
      <c r="JO59" s="7">
        <v>84100</v>
      </c>
      <c r="JP59" s="7">
        <v>6762</v>
      </c>
      <c r="JQ59" s="7">
        <v>110870</v>
      </c>
      <c r="JR59" s="7">
        <v>9156</v>
      </c>
      <c r="JS59" t="s">
        <v>8</v>
      </c>
      <c r="JT59" s="7"/>
      <c r="JU59" s="7"/>
      <c r="JV59" s="7"/>
      <c r="JW59" s="7"/>
      <c r="JX59" s="7"/>
    </row>
    <row r="60" spans="1:284" x14ac:dyDescent="0.3">
      <c r="A60" s="19" t="s">
        <v>158</v>
      </c>
      <c r="B60" s="6" t="s">
        <v>396</v>
      </c>
      <c r="C60" s="7"/>
      <c r="D60" s="7"/>
      <c r="E60" s="6" t="s">
        <v>40</v>
      </c>
      <c r="F60" s="7"/>
      <c r="G60" s="7"/>
      <c r="H60" s="10" t="s">
        <v>40</v>
      </c>
      <c r="I60" s="9"/>
      <c r="J60" s="9"/>
      <c r="K60" s="6" t="s">
        <v>40</v>
      </c>
      <c r="L60" s="7">
        <v>50</v>
      </c>
      <c r="M60" s="7">
        <v>150</v>
      </c>
      <c r="N60" s="6" t="s">
        <v>396</v>
      </c>
      <c r="O60" s="7"/>
      <c r="P60" s="7"/>
      <c r="Q60" s="6" t="s">
        <v>40</v>
      </c>
      <c r="R60" s="7"/>
      <c r="S60" s="7"/>
      <c r="T60" s="10" t="s">
        <v>40</v>
      </c>
      <c r="U60" s="9"/>
      <c r="V60" s="9"/>
      <c r="W60" s="6" t="s">
        <v>40</v>
      </c>
      <c r="X60" s="7">
        <v>1000</v>
      </c>
      <c r="Y60" s="7">
        <v>3000</v>
      </c>
      <c r="Z60" s="6" t="s">
        <v>396</v>
      </c>
      <c r="AA60" s="7"/>
      <c r="AB60" s="7"/>
      <c r="AC60" s="6" t="s">
        <v>40</v>
      </c>
      <c r="AD60" s="7"/>
      <c r="AE60" s="7"/>
      <c r="AF60" s="10" t="s">
        <v>40</v>
      </c>
      <c r="AG60" s="9"/>
      <c r="AH60" s="9"/>
      <c r="AI60" s="6" t="s">
        <v>40</v>
      </c>
      <c r="AJ60" s="7">
        <v>50</v>
      </c>
      <c r="AK60" s="7">
        <v>200</v>
      </c>
      <c r="AL60" s="6" t="s">
        <v>396</v>
      </c>
      <c r="AM60" s="7"/>
      <c r="AN60" s="7"/>
      <c r="AO60" s="6" t="s">
        <v>40</v>
      </c>
      <c r="AP60" s="7"/>
      <c r="AQ60" s="7"/>
      <c r="AR60" s="10" t="s">
        <v>40</v>
      </c>
      <c r="AS60" s="9"/>
      <c r="AT60" s="9"/>
      <c r="AU60" s="6" t="s">
        <v>40</v>
      </c>
      <c r="AV60" s="7">
        <v>50</v>
      </c>
      <c r="AW60" s="7">
        <v>200</v>
      </c>
      <c r="AX60" s="6" t="s">
        <v>396</v>
      </c>
      <c r="AY60" s="7"/>
      <c r="AZ60" s="7"/>
      <c r="BA60" s="6" t="s">
        <v>40</v>
      </c>
      <c r="BB60" s="7"/>
      <c r="BC60" s="7"/>
      <c r="BD60" s="10" t="s">
        <v>40</v>
      </c>
      <c r="BE60" s="9"/>
      <c r="BF60" s="9"/>
      <c r="BG60" s="6" t="s">
        <v>40</v>
      </c>
      <c r="BH60" s="7">
        <v>1100</v>
      </c>
      <c r="BI60" s="7">
        <v>3000</v>
      </c>
      <c r="BJ60" s="6" t="s">
        <v>396</v>
      </c>
      <c r="BK60" s="7"/>
      <c r="BL60" s="7"/>
      <c r="BM60" s="6" t="s">
        <v>40</v>
      </c>
      <c r="BN60" s="7">
        <v>2500</v>
      </c>
      <c r="BO60" s="7">
        <v>5000</v>
      </c>
      <c r="BP60" s="10" t="s">
        <v>40</v>
      </c>
      <c r="BQ60" s="9"/>
      <c r="BR60" s="9"/>
      <c r="BS60" s="6" t="s">
        <v>40</v>
      </c>
      <c r="BT60" s="7">
        <v>100</v>
      </c>
      <c r="BU60" s="7">
        <v>250</v>
      </c>
      <c r="BV60" s="6" t="s">
        <v>396</v>
      </c>
      <c r="BW60" s="7"/>
      <c r="BX60" s="7"/>
      <c r="BY60" s="6" t="s">
        <v>40</v>
      </c>
      <c r="BZ60" s="7">
        <v>3800</v>
      </c>
      <c r="CA60" s="7">
        <v>7500</v>
      </c>
      <c r="CB60" s="10" t="s">
        <v>40</v>
      </c>
      <c r="CC60" s="9"/>
      <c r="CD60" s="9"/>
      <c r="CE60" s="6" t="s">
        <v>40</v>
      </c>
      <c r="CF60" s="7">
        <v>750</v>
      </c>
      <c r="CG60" s="7">
        <v>1700</v>
      </c>
      <c r="CH60" s="6" t="s">
        <v>396</v>
      </c>
      <c r="CI60" s="7"/>
      <c r="CJ60" s="7"/>
      <c r="CK60" s="6" t="s">
        <v>40</v>
      </c>
      <c r="CL60" s="7">
        <v>3000</v>
      </c>
      <c r="CM60" s="7">
        <v>6700</v>
      </c>
      <c r="CN60" s="10" t="s">
        <v>40</v>
      </c>
      <c r="CO60" s="9"/>
      <c r="CP60" s="9"/>
      <c r="CQ60" s="6" t="s">
        <v>40</v>
      </c>
      <c r="CR60" s="7">
        <v>2000</v>
      </c>
      <c r="CS60" s="7">
        <v>5000</v>
      </c>
      <c r="CT60" s="6" t="s">
        <v>396</v>
      </c>
      <c r="CU60" s="7"/>
      <c r="CV60" s="7"/>
      <c r="CW60" s="6" t="s">
        <v>40</v>
      </c>
      <c r="CX60" s="7">
        <v>10412</v>
      </c>
      <c r="CY60" s="7">
        <v>19100</v>
      </c>
      <c r="CZ60" s="10" t="s">
        <v>40</v>
      </c>
      <c r="DA60" s="9"/>
      <c r="DB60" s="9"/>
      <c r="DC60" s="6" t="s">
        <v>396</v>
      </c>
      <c r="DD60" s="7">
        <v>1070</v>
      </c>
      <c r="DE60" s="7">
        <v>2110</v>
      </c>
      <c r="DF60" s="6" t="s">
        <v>396</v>
      </c>
      <c r="DG60" s="7">
        <v>14000</v>
      </c>
      <c r="DH60" s="7">
        <v>16667</v>
      </c>
      <c r="DI60" s="6" t="s">
        <v>396</v>
      </c>
      <c r="DJ60" s="7">
        <v>15313</v>
      </c>
      <c r="DK60" s="7">
        <v>25370</v>
      </c>
      <c r="DL60" s="10" t="s">
        <v>40</v>
      </c>
      <c r="DM60" s="9"/>
      <c r="DN60" s="9"/>
      <c r="DO60" s="6" t="s">
        <v>396</v>
      </c>
      <c r="DP60" s="7">
        <v>850</v>
      </c>
      <c r="DQ60" s="7">
        <v>1480</v>
      </c>
      <c r="DR60" s="10" t="s">
        <v>40</v>
      </c>
      <c r="DS60" s="7"/>
      <c r="DT60" s="7"/>
      <c r="DU60" s="6" t="s">
        <v>396</v>
      </c>
      <c r="DV60" s="7">
        <v>17000</v>
      </c>
      <c r="DW60" s="7">
        <v>20700</v>
      </c>
      <c r="DX60" s="10" t="s">
        <v>40</v>
      </c>
      <c r="DY60" s="9"/>
      <c r="DZ60" s="9"/>
      <c r="EA60" s="10" t="s">
        <v>40</v>
      </c>
      <c r="EB60" s="7"/>
      <c r="EC60" s="7"/>
      <c r="ED60" s="6" t="s">
        <v>396</v>
      </c>
      <c r="EE60" s="7">
        <v>12000</v>
      </c>
      <c r="EF60" s="7">
        <v>45000</v>
      </c>
      <c r="EG60" s="10" t="s">
        <v>40</v>
      </c>
      <c r="EH60" s="7">
        <v>14000</v>
      </c>
      <c r="EI60" s="7">
        <v>22000</v>
      </c>
      <c r="EJ60" s="10" t="s">
        <v>40</v>
      </c>
      <c r="EK60" s="9"/>
      <c r="EL60" s="9"/>
      <c r="EM60" s="10" t="s">
        <v>40</v>
      </c>
      <c r="EN60" s="7"/>
      <c r="EO60" s="7"/>
      <c r="EP60" s="10" t="s">
        <v>40</v>
      </c>
      <c r="EQ60" s="7"/>
      <c r="ER60" s="7"/>
      <c r="ES60" s="10" t="s">
        <v>40</v>
      </c>
      <c r="ET60" s="7">
        <v>13000</v>
      </c>
      <c r="EU60" s="7">
        <v>20000</v>
      </c>
      <c r="EV60" s="10" t="s">
        <v>40</v>
      </c>
      <c r="EW60" s="9"/>
      <c r="EX60" s="9"/>
      <c r="EY60" s="10" t="s">
        <v>40</v>
      </c>
      <c r="EZ60" s="7">
        <v>3000</v>
      </c>
      <c r="FA60" s="7">
        <v>25000</v>
      </c>
      <c r="FB60" s="10" t="s">
        <v>40</v>
      </c>
      <c r="FC60" s="7"/>
      <c r="FD60" s="7"/>
      <c r="FE60" s="10" t="s">
        <v>40</v>
      </c>
      <c r="FF60" s="7">
        <v>4000</v>
      </c>
      <c r="FG60" s="7">
        <v>7600</v>
      </c>
      <c r="FH60" s="10" t="s">
        <v>40</v>
      </c>
      <c r="FI60" s="9"/>
      <c r="FJ60" s="9"/>
      <c r="FK60" s="10" t="s">
        <v>40</v>
      </c>
      <c r="FL60" s="7">
        <v>8000</v>
      </c>
      <c r="FM60" s="7">
        <v>14000</v>
      </c>
      <c r="FN60" s="10" t="s">
        <v>40</v>
      </c>
      <c r="FO60" s="7"/>
      <c r="FP60" s="7"/>
      <c r="FQ60" s="10" t="s">
        <v>40</v>
      </c>
      <c r="FR60" s="7">
        <v>2000</v>
      </c>
      <c r="FS60" s="7">
        <v>4000</v>
      </c>
      <c r="FT60" s="10" t="s">
        <v>40</v>
      </c>
      <c r="FU60" s="9"/>
      <c r="FV60" s="9"/>
      <c r="FW60" s="10" t="s">
        <v>40</v>
      </c>
      <c r="FX60" s="7">
        <v>7000</v>
      </c>
      <c r="FY60" s="7">
        <v>14000</v>
      </c>
      <c r="FZ60" s="10" t="s">
        <v>40</v>
      </c>
      <c r="GA60" s="7"/>
      <c r="GB60" s="7"/>
      <c r="GC60" s="10" t="s">
        <v>40</v>
      </c>
      <c r="GD60" s="7"/>
      <c r="GE60" s="7"/>
      <c r="GF60" s="10" t="s">
        <v>40</v>
      </c>
      <c r="GG60" s="7"/>
      <c r="GH60" s="7"/>
      <c r="GI60" s="10" t="s">
        <v>40</v>
      </c>
      <c r="GJ60" s="7">
        <v>4388</v>
      </c>
      <c r="GK60" s="7">
        <v>8803</v>
      </c>
      <c r="GL60" s="10" t="s">
        <v>40</v>
      </c>
      <c r="GM60" s="7"/>
      <c r="GN60" s="7"/>
      <c r="GO60" s="10" t="s">
        <v>40</v>
      </c>
      <c r="GP60" s="7"/>
      <c r="GQ60" s="7"/>
      <c r="GR60" s="10" t="s">
        <v>40</v>
      </c>
      <c r="GS60" s="7"/>
      <c r="GT60" s="7"/>
      <c r="GU60" s="6" t="s">
        <v>40</v>
      </c>
      <c r="GV60" s="7">
        <v>9000</v>
      </c>
      <c r="GW60" s="7">
        <v>16500</v>
      </c>
      <c r="GX60" s="10" t="s">
        <v>40</v>
      </c>
      <c r="GY60" s="7"/>
      <c r="GZ60" s="7"/>
      <c r="HA60" s="10" t="s">
        <v>40</v>
      </c>
      <c r="HB60" s="7"/>
      <c r="HC60" s="7"/>
      <c r="HD60" s="10" t="s">
        <v>40</v>
      </c>
      <c r="HE60" s="7"/>
      <c r="HF60" s="7"/>
      <c r="HG60" s="10" t="s">
        <v>40</v>
      </c>
      <c r="HH60" s="7">
        <v>8000</v>
      </c>
      <c r="HI60" s="7">
        <v>14000</v>
      </c>
      <c r="HJ60" s="10" t="s">
        <v>40</v>
      </c>
      <c r="HK60" s="7"/>
      <c r="HL60" s="7"/>
      <c r="HM60" s="10" t="s">
        <v>40</v>
      </c>
      <c r="HN60" s="7"/>
      <c r="HO60" s="7"/>
      <c r="HP60" s="10" t="s">
        <v>40</v>
      </c>
      <c r="HQ60" s="7"/>
      <c r="HR60" s="7"/>
      <c r="HS60" s="10" t="s">
        <v>40</v>
      </c>
      <c r="HT60" s="7">
        <v>7500</v>
      </c>
      <c r="HU60" s="7">
        <v>13000</v>
      </c>
      <c r="HV60" s="10" t="s">
        <v>40</v>
      </c>
      <c r="HW60" s="7"/>
      <c r="HX60" s="7"/>
      <c r="HY60" s="10" t="s">
        <v>40</v>
      </c>
      <c r="HZ60" s="7"/>
      <c r="IA60" s="7"/>
      <c r="IB60" s="10" t="s">
        <v>40</v>
      </c>
      <c r="IC60" s="7"/>
      <c r="ID60" s="7"/>
      <c r="IE60" s="6" t="s">
        <v>40</v>
      </c>
      <c r="IF60" s="7">
        <v>6475</v>
      </c>
      <c r="IG60" s="7">
        <v>10760</v>
      </c>
      <c r="II60" s="7"/>
      <c r="IJ60" s="7"/>
      <c r="IK60" s="7"/>
      <c r="IL60" s="7"/>
      <c r="IM60" s="7"/>
      <c r="IN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E60" s="7"/>
      <c r="JF60" s="9"/>
      <c r="JH60" s="7"/>
      <c r="JI60" s="7"/>
      <c r="JJ60" s="7"/>
      <c r="JK60" s="7"/>
      <c r="JL60" s="7"/>
      <c r="JM60" s="7"/>
      <c r="JO60" s="7"/>
      <c r="JP60" s="7"/>
      <c r="JQ60" s="7"/>
      <c r="JR60" s="7"/>
      <c r="JS60" t="s">
        <v>8</v>
      </c>
      <c r="JT60" s="7">
        <v>97000</v>
      </c>
      <c r="JU60" s="7">
        <v>3334</v>
      </c>
      <c r="JV60" s="7">
        <v>97624</v>
      </c>
      <c r="JW60" s="7">
        <v>2746</v>
      </c>
      <c r="JX60" s="7"/>
    </row>
    <row r="61" spans="1:284" x14ac:dyDescent="0.3">
      <c r="A61" s="19" t="s">
        <v>159</v>
      </c>
      <c r="B61" s="10" t="s">
        <v>48</v>
      </c>
      <c r="C61" s="7"/>
      <c r="D61" s="7"/>
      <c r="E61" s="10" t="s">
        <v>48</v>
      </c>
      <c r="F61" s="7"/>
      <c r="G61" s="7"/>
      <c r="H61" s="10" t="s">
        <v>48</v>
      </c>
      <c r="I61" s="9"/>
      <c r="J61" s="9"/>
      <c r="K61" s="6" t="s">
        <v>42</v>
      </c>
      <c r="L61" s="7">
        <v>7000</v>
      </c>
      <c r="M61" s="7">
        <v>55000</v>
      </c>
      <c r="N61" s="10" t="s">
        <v>48</v>
      </c>
      <c r="O61" s="7"/>
      <c r="P61" s="7"/>
      <c r="Q61" s="10" t="s">
        <v>48</v>
      </c>
      <c r="R61" s="7"/>
      <c r="S61" s="7"/>
      <c r="T61" s="10" t="s">
        <v>48</v>
      </c>
      <c r="U61" s="9"/>
      <c r="V61" s="9"/>
      <c r="W61" s="6" t="s">
        <v>42</v>
      </c>
      <c r="X61" s="7">
        <v>7000</v>
      </c>
      <c r="Y61" s="7">
        <v>55000</v>
      </c>
      <c r="Z61" s="10" t="s">
        <v>48</v>
      </c>
      <c r="AA61" s="7"/>
      <c r="AB61" s="7"/>
      <c r="AC61" s="10" t="s">
        <v>48</v>
      </c>
      <c r="AD61" s="7"/>
      <c r="AE61" s="7"/>
      <c r="AF61" s="10" t="s">
        <v>48</v>
      </c>
      <c r="AG61" s="9"/>
      <c r="AH61" s="9"/>
      <c r="AI61" s="6" t="s">
        <v>42</v>
      </c>
      <c r="AJ61" s="7">
        <v>5000</v>
      </c>
      <c r="AK61" s="7">
        <v>42000</v>
      </c>
      <c r="AL61" s="10" t="s">
        <v>48</v>
      </c>
      <c r="AM61" s="7"/>
      <c r="AN61" s="7"/>
      <c r="AO61" s="10" t="s">
        <v>48</v>
      </c>
      <c r="AP61" s="7"/>
      <c r="AQ61" s="7"/>
      <c r="AR61" s="10" t="s">
        <v>48</v>
      </c>
      <c r="AS61" s="9"/>
      <c r="AT61" s="9"/>
      <c r="AU61" s="6" t="s">
        <v>42</v>
      </c>
      <c r="AV61" s="7">
        <v>5000</v>
      </c>
      <c r="AW61" s="7">
        <v>60000</v>
      </c>
      <c r="AX61" s="10" t="s">
        <v>48</v>
      </c>
      <c r="AY61" s="7"/>
      <c r="AZ61" s="7"/>
      <c r="BA61" s="10" t="s">
        <v>48</v>
      </c>
      <c r="BB61" s="7"/>
      <c r="BC61" s="7"/>
      <c r="BD61" s="10" t="s">
        <v>48</v>
      </c>
      <c r="BE61" s="9"/>
      <c r="BF61" s="9"/>
      <c r="BG61" s="6" t="s">
        <v>42</v>
      </c>
      <c r="BH61" s="7">
        <v>4600</v>
      </c>
      <c r="BI61" s="7">
        <v>32000</v>
      </c>
      <c r="BJ61" s="10" t="s">
        <v>48</v>
      </c>
      <c r="BK61" s="7"/>
      <c r="BL61" s="7"/>
      <c r="BM61" s="10" t="s">
        <v>48</v>
      </c>
      <c r="BN61" s="7"/>
      <c r="BO61" s="7"/>
      <c r="BP61" s="10" t="s">
        <v>48</v>
      </c>
      <c r="BQ61" s="9"/>
      <c r="BR61" s="9"/>
      <c r="BS61" s="6" t="s">
        <v>42</v>
      </c>
      <c r="BT61" s="7">
        <v>4500</v>
      </c>
      <c r="BU61" s="7">
        <v>50000</v>
      </c>
      <c r="BV61" s="10" t="s">
        <v>48</v>
      </c>
      <c r="BW61" s="7"/>
      <c r="BX61" s="7"/>
      <c r="BY61" s="10" t="s">
        <v>48</v>
      </c>
      <c r="BZ61" s="7"/>
      <c r="CA61" s="7"/>
      <c r="CB61" s="10" t="s">
        <v>48</v>
      </c>
      <c r="CC61" s="9"/>
      <c r="CD61" s="9"/>
      <c r="CE61" s="6" t="s">
        <v>42</v>
      </c>
      <c r="CF61" s="7">
        <v>5300</v>
      </c>
      <c r="CG61" s="7">
        <v>70000</v>
      </c>
      <c r="CH61" s="10" t="s">
        <v>48</v>
      </c>
      <c r="CI61" s="7"/>
      <c r="CJ61" s="7"/>
      <c r="CK61" s="10" t="s">
        <v>48</v>
      </c>
      <c r="CL61" s="7"/>
      <c r="CM61" s="7"/>
      <c r="CN61" s="10" t="s">
        <v>48</v>
      </c>
      <c r="CO61" s="9"/>
      <c r="CP61" s="9"/>
      <c r="CQ61" s="6" t="s">
        <v>42</v>
      </c>
      <c r="CR61" s="7">
        <v>6000</v>
      </c>
      <c r="CS61" s="7">
        <v>75000</v>
      </c>
      <c r="CT61" s="10" t="s">
        <v>48</v>
      </c>
      <c r="CU61" s="7"/>
      <c r="CV61" s="7"/>
      <c r="CW61" s="10" t="s">
        <v>48</v>
      </c>
      <c r="CX61" s="7"/>
      <c r="CY61" s="7"/>
      <c r="CZ61" s="10" t="s">
        <v>48</v>
      </c>
      <c r="DA61" s="9"/>
      <c r="DB61" s="9"/>
      <c r="DC61" s="6" t="s">
        <v>42</v>
      </c>
      <c r="DD61" s="7">
        <v>6268</v>
      </c>
      <c r="DE61" s="7">
        <v>34630</v>
      </c>
      <c r="DF61" s="10" t="s">
        <v>48</v>
      </c>
      <c r="DG61" s="7"/>
      <c r="DH61" s="7"/>
      <c r="DI61" s="10" t="s">
        <v>48</v>
      </c>
      <c r="DJ61" s="7"/>
      <c r="DK61" s="7"/>
      <c r="DL61" s="10" t="s">
        <v>48</v>
      </c>
      <c r="DM61" s="9"/>
      <c r="DN61" s="9"/>
      <c r="DO61" s="6" t="s">
        <v>42</v>
      </c>
      <c r="DP61" s="7">
        <v>4037</v>
      </c>
      <c r="DQ61" s="7">
        <v>20625</v>
      </c>
      <c r="DR61" s="10" t="s">
        <v>48</v>
      </c>
      <c r="DS61" s="7"/>
      <c r="DT61" s="7"/>
      <c r="DU61" s="10" t="s">
        <v>48</v>
      </c>
      <c r="DV61" s="7"/>
      <c r="DW61" s="7"/>
      <c r="DX61" s="10" t="s">
        <v>48</v>
      </c>
      <c r="DY61" s="9"/>
      <c r="DZ61" s="9"/>
      <c r="EA61" s="10" t="s">
        <v>48</v>
      </c>
      <c r="EB61" s="7">
        <v>3500</v>
      </c>
      <c r="EC61" s="7">
        <v>20000</v>
      </c>
      <c r="ED61" s="10" t="s">
        <v>48</v>
      </c>
      <c r="EE61" s="7"/>
      <c r="EF61" s="7"/>
      <c r="EG61" s="10" t="s">
        <v>48</v>
      </c>
      <c r="EH61" s="7"/>
      <c r="EI61" s="7"/>
      <c r="EJ61" s="10" t="s">
        <v>48</v>
      </c>
      <c r="EK61" s="9"/>
      <c r="EL61" s="9"/>
      <c r="EM61" s="10" t="s">
        <v>48</v>
      </c>
      <c r="EN61" s="7">
        <v>4100</v>
      </c>
      <c r="EO61" s="7">
        <v>17000</v>
      </c>
      <c r="EP61" s="10" t="s">
        <v>48</v>
      </c>
      <c r="EQ61" s="7"/>
      <c r="ER61" s="7"/>
      <c r="ES61" s="10" t="s">
        <v>48</v>
      </c>
      <c r="ET61" s="7"/>
      <c r="EU61" s="7"/>
      <c r="EV61" s="10" t="s">
        <v>48</v>
      </c>
      <c r="EW61" s="9"/>
      <c r="EX61" s="9"/>
      <c r="EY61" s="10" t="s">
        <v>48</v>
      </c>
      <c r="EZ61" s="7">
        <v>3500</v>
      </c>
      <c r="FA61" s="7">
        <v>12000</v>
      </c>
      <c r="FB61" s="10" t="s">
        <v>48</v>
      </c>
      <c r="FC61" s="7"/>
      <c r="FD61" s="7"/>
      <c r="FE61" s="10" t="s">
        <v>48</v>
      </c>
      <c r="FF61" s="7"/>
      <c r="FG61" s="7"/>
      <c r="FH61" s="10" t="s">
        <v>48</v>
      </c>
      <c r="FI61" s="9"/>
      <c r="FJ61" s="9"/>
      <c r="FK61" s="10" t="s">
        <v>48</v>
      </c>
      <c r="FL61" s="7">
        <v>3200</v>
      </c>
      <c r="FM61" s="7">
        <v>11000</v>
      </c>
      <c r="FN61" s="10" t="s">
        <v>48</v>
      </c>
      <c r="FO61" s="7"/>
      <c r="FP61" s="7"/>
      <c r="FQ61" s="10" t="s">
        <v>48</v>
      </c>
      <c r="FT61" s="10" t="s">
        <v>48</v>
      </c>
      <c r="FU61" s="9"/>
      <c r="FV61" s="9"/>
      <c r="FW61" s="6" t="s">
        <v>48</v>
      </c>
      <c r="FX61" s="7">
        <v>3500</v>
      </c>
      <c r="FY61" s="7">
        <v>13000</v>
      </c>
      <c r="FZ61" s="6" t="s">
        <v>42</v>
      </c>
      <c r="GA61" s="7">
        <v>20</v>
      </c>
      <c r="GB61" s="7">
        <v>550</v>
      </c>
      <c r="GC61" s="10" t="s">
        <v>48</v>
      </c>
      <c r="GD61" s="7"/>
      <c r="GE61" s="7"/>
      <c r="GF61" s="10" t="s">
        <v>48</v>
      </c>
      <c r="GG61" s="7"/>
      <c r="GH61" s="7"/>
      <c r="GI61" s="10" t="s">
        <v>48</v>
      </c>
      <c r="GJ61" s="7">
        <v>4655</v>
      </c>
      <c r="GK61" s="7">
        <v>30368</v>
      </c>
      <c r="GL61" s="10" t="s">
        <v>48</v>
      </c>
      <c r="GM61" s="7"/>
      <c r="GN61" s="7"/>
      <c r="GO61" s="10" t="s">
        <v>48</v>
      </c>
      <c r="GP61" s="7"/>
      <c r="GQ61" s="7"/>
      <c r="GR61" s="10" t="s">
        <v>48</v>
      </c>
      <c r="GS61" s="7"/>
      <c r="GT61" s="7"/>
      <c r="GU61" s="6" t="s">
        <v>48</v>
      </c>
      <c r="GV61" s="7">
        <v>3350</v>
      </c>
      <c r="GW61" s="7">
        <v>39200</v>
      </c>
      <c r="GX61" s="10" t="s">
        <v>48</v>
      </c>
      <c r="GY61" s="7"/>
      <c r="GZ61" s="7"/>
      <c r="HA61" s="10" t="s">
        <v>48</v>
      </c>
      <c r="HB61" s="7"/>
      <c r="HC61" s="7"/>
      <c r="HD61" s="10" t="s">
        <v>48</v>
      </c>
      <c r="HE61" s="7"/>
      <c r="HF61" s="7"/>
      <c r="HG61" s="10" t="s">
        <v>48</v>
      </c>
      <c r="HH61" s="7">
        <v>3000</v>
      </c>
      <c r="HI61" s="7">
        <v>32000</v>
      </c>
      <c r="HJ61" s="10" t="s">
        <v>48</v>
      </c>
      <c r="HK61" s="7"/>
      <c r="HL61" s="7"/>
      <c r="HM61" s="10" t="s">
        <v>48</v>
      </c>
      <c r="HN61" s="7"/>
      <c r="HO61" s="7"/>
      <c r="HP61" s="10" t="s">
        <v>48</v>
      </c>
      <c r="HQ61" s="7"/>
      <c r="HR61" s="7"/>
      <c r="HS61" s="10" t="s">
        <v>48</v>
      </c>
      <c r="HT61" s="7">
        <v>3600</v>
      </c>
      <c r="HU61" s="7">
        <v>45000</v>
      </c>
      <c r="HV61" s="10" t="s">
        <v>48</v>
      </c>
      <c r="HW61" s="7"/>
      <c r="HX61" s="7"/>
      <c r="HY61" s="10" t="s">
        <v>48</v>
      </c>
      <c r="HZ61" s="7"/>
      <c r="IA61" s="7"/>
      <c r="IB61" s="10" t="s">
        <v>48</v>
      </c>
      <c r="IC61" s="7"/>
      <c r="ID61" s="7"/>
      <c r="IE61" s="6" t="s">
        <v>48</v>
      </c>
      <c r="IF61" s="7">
        <v>500</v>
      </c>
      <c r="IG61" s="7">
        <v>27100</v>
      </c>
      <c r="II61" s="7"/>
      <c r="IJ61" s="7"/>
      <c r="IK61" s="7"/>
      <c r="IL61" s="7"/>
      <c r="IM61" s="7"/>
      <c r="IN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E61" s="7"/>
      <c r="JF61" s="9"/>
      <c r="JH61" s="7"/>
      <c r="JI61" s="7"/>
      <c r="JJ61" s="7"/>
      <c r="JK61" s="7"/>
      <c r="JL61" s="7"/>
      <c r="JM61" s="7"/>
      <c r="JO61" s="7"/>
      <c r="JP61" s="7"/>
      <c r="JQ61" s="7"/>
      <c r="JR61" s="7"/>
      <c r="JT61" s="7"/>
      <c r="JU61" s="7"/>
      <c r="JV61" s="7"/>
      <c r="JW61" s="7"/>
      <c r="JX61" s="7"/>
    </row>
    <row r="62" spans="1:284" x14ac:dyDescent="0.3">
      <c r="A62" s="19" t="s">
        <v>238</v>
      </c>
      <c r="B62" s="10" t="s">
        <v>38</v>
      </c>
      <c r="C62" s="7"/>
      <c r="D62" s="7"/>
      <c r="E62" s="10" t="s">
        <v>38</v>
      </c>
      <c r="F62" s="7"/>
      <c r="G62" s="7"/>
      <c r="H62" s="10" t="s">
        <v>38</v>
      </c>
      <c r="I62" s="9"/>
      <c r="J62" s="9"/>
      <c r="K62" s="6" t="s">
        <v>38</v>
      </c>
      <c r="L62" s="7">
        <v>114</v>
      </c>
      <c r="M62" s="7">
        <v>300</v>
      </c>
      <c r="N62" s="10" t="s">
        <v>38</v>
      </c>
      <c r="O62" s="7"/>
      <c r="P62" s="7"/>
      <c r="Q62" s="10" t="s">
        <v>38</v>
      </c>
      <c r="R62" s="7"/>
      <c r="S62" s="7"/>
      <c r="T62" s="10" t="s">
        <v>38</v>
      </c>
      <c r="U62" s="9"/>
      <c r="V62" s="9"/>
      <c r="W62" s="6" t="s">
        <v>374</v>
      </c>
      <c r="X62" s="7">
        <v>15</v>
      </c>
      <c r="Y62" s="7">
        <v>400</v>
      </c>
      <c r="Z62" s="10" t="s">
        <v>38</v>
      </c>
      <c r="AA62" s="7"/>
      <c r="AB62" s="7"/>
      <c r="AC62" s="10" t="s">
        <v>38</v>
      </c>
      <c r="AD62" s="7"/>
      <c r="AE62" s="7"/>
      <c r="AF62" s="10" t="s">
        <v>38</v>
      </c>
      <c r="AG62" s="9"/>
      <c r="AH62" s="9"/>
      <c r="AI62" s="6" t="s">
        <v>374</v>
      </c>
      <c r="AJ62" s="7">
        <v>4</v>
      </c>
      <c r="AK62" s="7">
        <v>125</v>
      </c>
      <c r="AL62" s="10" t="s">
        <v>38</v>
      </c>
      <c r="AM62" s="7"/>
      <c r="AN62" s="7"/>
      <c r="AO62" s="10" t="s">
        <v>38</v>
      </c>
      <c r="AP62" s="7"/>
      <c r="AQ62" s="7"/>
      <c r="AR62" s="10" t="s">
        <v>38</v>
      </c>
      <c r="AS62" s="9"/>
      <c r="AT62" s="9"/>
      <c r="AU62" s="6" t="s">
        <v>374</v>
      </c>
      <c r="AV62" s="7">
        <v>6</v>
      </c>
      <c r="AW62" s="7">
        <v>200</v>
      </c>
      <c r="AX62" s="10" t="s">
        <v>38</v>
      </c>
      <c r="AY62" s="7"/>
      <c r="AZ62" s="7"/>
      <c r="BA62" s="10" t="s">
        <v>38</v>
      </c>
      <c r="BB62" s="7"/>
      <c r="BC62" s="7"/>
      <c r="BD62" s="10" t="s">
        <v>38</v>
      </c>
      <c r="BE62" s="9"/>
      <c r="BF62" s="9"/>
      <c r="BG62" s="6" t="s">
        <v>374</v>
      </c>
      <c r="BH62" s="7">
        <v>5</v>
      </c>
      <c r="BI62" s="7">
        <v>200</v>
      </c>
      <c r="BJ62" s="10" t="s">
        <v>38</v>
      </c>
      <c r="BK62" s="7"/>
      <c r="BL62" s="7"/>
      <c r="BM62" s="10" t="s">
        <v>38</v>
      </c>
      <c r="BN62" s="7"/>
      <c r="BO62" s="7"/>
      <c r="BP62" s="10" t="s">
        <v>38</v>
      </c>
      <c r="BQ62" s="9"/>
      <c r="BR62" s="9"/>
      <c r="BS62" s="6" t="s">
        <v>374</v>
      </c>
      <c r="BT62" s="7">
        <v>5</v>
      </c>
      <c r="BU62" s="7">
        <v>200</v>
      </c>
      <c r="BV62" s="10" t="s">
        <v>38</v>
      </c>
      <c r="BW62" s="7"/>
      <c r="BX62" s="7"/>
      <c r="BY62" s="10" t="s">
        <v>38</v>
      </c>
      <c r="BZ62" s="7"/>
      <c r="CA62" s="7"/>
      <c r="CB62" s="10" t="s">
        <v>38</v>
      </c>
      <c r="CC62" s="9"/>
      <c r="CD62" s="9"/>
      <c r="CE62" s="6" t="s">
        <v>374</v>
      </c>
      <c r="CF62" s="7">
        <v>6</v>
      </c>
      <c r="CG62" s="7">
        <v>200</v>
      </c>
      <c r="CH62" s="10" t="s">
        <v>38</v>
      </c>
      <c r="CI62" s="7"/>
      <c r="CJ62" s="7"/>
      <c r="CK62" s="10" t="s">
        <v>38</v>
      </c>
      <c r="CL62" s="7"/>
      <c r="CM62" s="7"/>
      <c r="CN62" s="10" t="s">
        <v>38</v>
      </c>
      <c r="CO62" s="9"/>
      <c r="CP62" s="9"/>
      <c r="CQ62" s="6" t="s">
        <v>374</v>
      </c>
      <c r="CR62" s="7">
        <v>30</v>
      </c>
      <c r="CS62" s="7">
        <v>900</v>
      </c>
      <c r="CT62" s="10" t="s">
        <v>38</v>
      </c>
      <c r="CU62" s="7"/>
      <c r="CV62" s="7"/>
      <c r="CW62" s="10" t="s">
        <v>38</v>
      </c>
      <c r="CX62" s="7"/>
      <c r="CY62" s="7"/>
      <c r="CZ62" s="10" t="s">
        <v>38</v>
      </c>
      <c r="DA62" s="9"/>
      <c r="DB62" s="9"/>
      <c r="DC62" s="10" t="s">
        <v>38</v>
      </c>
      <c r="DD62" s="7">
        <v>46</v>
      </c>
      <c r="DE62" s="7">
        <v>200</v>
      </c>
      <c r="DF62" s="10" t="s">
        <v>38</v>
      </c>
      <c r="DG62" s="7"/>
      <c r="DH62" s="7"/>
      <c r="DI62" s="10" t="s">
        <v>38</v>
      </c>
      <c r="DJ62" s="7"/>
      <c r="DK62" s="7"/>
      <c r="DL62" s="10" t="s">
        <v>38</v>
      </c>
      <c r="DM62" s="9"/>
      <c r="DN62" s="9"/>
      <c r="DO62" s="10" t="s">
        <v>38</v>
      </c>
      <c r="DP62" s="7">
        <v>42</v>
      </c>
      <c r="DQ62" s="7">
        <v>190</v>
      </c>
      <c r="DR62" s="10" t="s">
        <v>38</v>
      </c>
      <c r="DS62" s="7"/>
      <c r="DT62" s="7"/>
      <c r="DU62" s="10" t="s">
        <v>38</v>
      </c>
      <c r="DV62" s="7"/>
      <c r="DW62" s="7"/>
      <c r="DX62" s="10" t="s">
        <v>38</v>
      </c>
      <c r="DY62" s="9"/>
      <c r="DZ62" s="9"/>
      <c r="EA62" s="10" t="s">
        <v>38</v>
      </c>
      <c r="EB62" s="7">
        <v>50</v>
      </c>
      <c r="EC62" s="7">
        <v>250</v>
      </c>
      <c r="ED62" s="10" t="s">
        <v>38</v>
      </c>
      <c r="EE62" s="7"/>
      <c r="EF62" s="7"/>
      <c r="EG62" s="10" t="s">
        <v>38</v>
      </c>
      <c r="EH62" s="7"/>
      <c r="EI62" s="7"/>
      <c r="EJ62" s="10" t="s">
        <v>38</v>
      </c>
      <c r="EK62" s="9"/>
      <c r="EL62" s="9"/>
      <c r="EM62" s="10" t="s">
        <v>38</v>
      </c>
      <c r="EN62" s="7">
        <v>25</v>
      </c>
      <c r="EO62" s="7">
        <v>75</v>
      </c>
      <c r="EP62" s="10" t="s">
        <v>38</v>
      </c>
      <c r="EQ62" s="7"/>
      <c r="ER62" s="7"/>
      <c r="ES62" s="10" t="s">
        <v>38</v>
      </c>
      <c r="ET62" s="7"/>
      <c r="EU62" s="7"/>
      <c r="EV62" s="10" t="s">
        <v>38</v>
      </c>
      <c r="EW62" s="9"/>
      <c r="EX62" s="9"/>
      <c r="EY62" s="10" t="s">
        <v>38</v>
      </c>
      <c r="EZ62" s="7">
        <v>20</v>
      </c>
      <c r="FA62" s="7">
        <v>100</v>
      </c>
      <c r="FB62" s="10" t="s">
        <v>38</v>
      </c>
      <c r="FC62" s="7"/>
      <c r="FD62" s="7"/>
      <c r="FE62" s="10" t="s">
        <v>38</v>
      </c>
      <c r="FF62" s="7"/>
      <c r="FG62" s="7"/>
      <c r="FH62" s="10" t="s">
        <v>38</v>
      </c>
      <c r="FI62" s="9"/>
      <c r="FJ62" s="9"/>
      <c r="FK62" s="10" t="s">
        <v>38</v>
      </c>
      <c r="FL62" s="7">
        <v>25</v>
      </c>
      <c r="FM62" s="7">
        <v>150</v>
      </c>
      <c r="FN62" s="10" t="s">
        <v>38</v>
      </c>
      <c r="FO62" s="7"/>
      <c r="FP62" s="7"/>
      <c r="FQ62" s="10" t="s">
        <v>38</v>
      </c>
      <c r="FT62" s="10" t="s">
        <v>38</v>
      </c>
      <c r="FU62" s="9"/>
      <c r="FV62" s="9"/>
      <c r="FW62" s="10" t="s">
        <v>38</v>
      </c>
      <c r="FX62" s="7">
        <v>30</v>
      </c>
      <c r="FY62" s="7">
        <v>180</v>
      </c>
      <c r="FZ62" s="10" t="s">
        <v>38</v>
      </c>
      <c r="GA62" s="7"/>
      <c r="GB62" s="7"/>
      <c r="GC62" s="10" t="s">
        <v>38</v>
      </c>
      <c r="GD62" s="7"/>
      <c r="GE62" s="7"/>
      <c r="GF62" s="10" t="s">
        <v>38</v>
      </c>
      <c r="GG62" s="7"/>
      <c r="GH62" s="7"/>
      <c r="GI62" s="10" t="s">
        <v>38</v>
      </c>
      <c r="GJ62" s="7">
        <v>10</v>
      </c>
      <c r="GK62" s="7">
        <v>94</v>
      </c>
      <c r="GM62" s="7"/>
      <c r="GN62" s="7"/>
      <c r="GO62" s="10"/>
      <c r="GP62" s="7"/>
      <c r="GQ62" s="7"/>
      <c r="GR62" s="10"/>
      <c r="GS62" s="7"/>
      <c r="GT62" s="7"/>
      <c r="GU62" s="6"/>
      <c r="GV62" s="7"/>
      <c r="GW62" s="7"/>
      <c r="GX62" s="10" t="s">
        <v>38</v>
      </c>
      <c r="GY62" s="7"/>
      <c r="GZ62" s="7"/>
      <c r="HA62" s="10" t="s">
        <v>38</v>
      </c>
      <c r="HB62" s="7"/>
      <c r="HC62" s="7"/>
      <c r="HD62" s="10" t="s">
        <v>38</v>
      </c>
      <c r="HE62" s="7"/>
      <c r="HF62" s="7"/>
      <c r="HG62" s="10" t="s">
        <v>38</v>
      </c>
      <c r="HH62" s="7">
        <v>10</v>
      </c>
      <c r="HI62" s="7">
        <v>100</v>
      </c>
      <c r="HJ62" s="10" t="s">
        <v>38</v>
      </c>
      <c r="HK62" s="7"/>
      <c r="HL62" s="7"/>
      <c r="HM62" s="10" t="s">
        <v>38</v>
      </c>
      <c r="HN62" s="7"/>
      <c r="HO62" s="7"/>
      <c r="HP62" s="10" t="s">
        <v>38</v>
      </c>
      <c r="HQ62" s="7"/>
      <c r="HR62" s="7"/>
      <c r="HS62" s="6" t="s">
        <v>38</v>
      </c>
      <c r="HT62" s="7">
        <v>12</v>
      </c>
      <c r="HU62" s="7">
        <v>120</v>
      </c>
      <c r="HW62" s="7"/>
      <c r="HX62" s="7"/>
      <c r="HY62" s="10"/>
      <c r="HZ62" s="7"/>
      <c r="IA62" s="7"/>
      <c r="IC62" s="7"/>
      <c r="ID62" s="7"/>
      <c r="IE62" s="6"/>
      <c r="IF62" s="7"/>
      <c r="IG62" s="7"/>
      <c r="II62" s="7"/>
      <c r="IJ62" s="7"/>
      <c r="IK62" s="7"/>
      <c r="IL62" s="7"/>
      <c r="IM62" s="7"/>
      <c r="IN62" s="7"/>
      <c r="IP62" s="7"/>
      <c r="IQ62" s="7"/>
      <c r="IR62" s="7"/>
      <c r="IS62" s="7"/>
      <c r="IT62" s="7"/>
      <c r="IU62" s="7"/>
      <c r="IV62" s="7"/>
      <c r="IW62" s="7"/>
      <c r="IX62" s="7"/>
      <c r="IY62" s="7"/>
      <c r="IZ62" s="7"/>
      <c r="JA62" s="7"/>
      <c r="JB62" s="7"/>
      <c r="JC62" s="7"/>
      <c r="JE62" s="7"/>
      <c r="JF62" s="9"/>
      <c r="JH62" s="7"/>
      <c r="JI62" s="7"/>
      <c r="JJ62" s="7"/>
      <c r="JK62" s="7"/>
      <c r="JL62" s="7"/>
      <c r="JM62" s="7"/>
      <c r="JO62" s="7"/>
      <c r="JP62" s="7"/>
      <c r="JQ62" s="7"/>
      <c r="JR62" s="7"/>
      <c r="JT62" s="7"/>
      <c r="JU62" s="7"/>
      <c r="JV62" s="7"/>
      <c r="JW62" s="7"/>
      <c r="JX62" s="7"/>
    </row>
    <row r="63" spans="1:284" x14ac:dyDescent="0.3">
      <c r="A63" s="19" t="s">
        <v>94</v>
      </c>
      <c r="C63" s="7"/>
      <c r="D63" s="7"/>
      <c r="F63" s="7"/>
      <c r="G63" s="7"/>
      <c r="I63" s="9"/>
      <c r="J63" s="9"/>
      <c r="L63" s="7"/>
      <c r="M63" s="7"/>
      <c r="O63" s="7"/>
      <c r="P63" s="7"/>
      <c r="R63" s="7"/>
      <c r="S63" s="7"/>
      <c r="U63" s="9"/>
      <c r="V63" s="9"/>
      <c r="X63" s="7"/>
      <c r="Y63" s="7"/>
      <c r="AA63" s="7"/>
      <c r="AB63" s="7"/>
      <c r="AD63" s="7"/>
      <c r="AE63" s="7"/>
      <c r="AG63" s="9"/>
      <c r="AH63" s="9"/>
      <c r="AJ63" s="7"/>
      <c r="AK63" s="7"/>
      <c r="AM63" s="7"/>
      <c r="AN63" s="7"/>
      <c r="AP63" s="7"/>
      <c r="AQ63" s="7"/>
      <c r="AS63" s="9"/>
      <c r="AT63" s="9"/>
      <c r="AV63" s="7"/>
      <c r="AW63" s="7"/>
      <c r="AY63" s="7"/>
      <c r="AZ63" s="7"/>
      <c r="BB63" s="7"/>
      <c r="BC63" s="7"/>
      <c r="BE63" s="9"/>
      <c r="BF63" s="9"/>
      <c r="BH63" s="7"/>
      <c r="BI63" s="7"/>
      <c r="BK63" s="7"/>
      <c r="BL63" s="7"/>
      <c r="BN63" s="7"/>
      <c r="BO63" s="7"/>
      <c r="BQ63" s="9"/>
      <c r="BR63" s="9"/>
      <c r="BT63" s="7"/>
      <c r="BU63" s="7"/>
      <c r="BW63" s="7"/>
      <c r="BX63" s="7"/>
      <c r="BZ63" s="7"/>
      <c r="CA63" s="7"/>
      <c r="CC63" s="9"/>
      <c r="CD63" s="9"/>
      <c r="CF63" s="7"/>
      <c r="CG63" s="7"/>
      <c r="CI63" s="7"/>
      <c r="CJ63" s="7"/>
      <c r="CL63" s="7"/>
      <c r="CM63" s="7"/>
      <c r="CO63" s="9"/>
      <c r="CP63" s="9"/>
      <c r="CR63" s="7"/>
      <c r="CS63" s="7"/>
      <c r="CU63" s="7"/>
      <c r="CV63" s="7"/>
      <c r="CX63" s="7"/>
      <c r="CY63" s="7"/>
      <c r="DA63" s="9"/>
      <c r="DB63" s="9"/>
      <c r="DD63" s="7"/>
      <c r="DE63" s="7"/>
      <c r="DG63" s="7"/>
      <c r="DH63" s="7"/>
      <c r="DJ63" s="7"/>
      <c r="DK63" s="7"/>
      <c r="DM63" s="9"/>
      <c r="DN63" s="9"/>
      <c r="DP63" s="7"/>
      <c r="DQ63" s="7"/>
      <c r="DS63" s="7"/>
      <c r="DT63" s="7"/>
      <c r="DV63" s="7"/>
      <c r="DW63" s="7"/>
      <c r="DY63" s="9"/>
      <c r="DZ63" s="9"/>
      <c r="EB63" s="7"/>
      <c r="EC63" s="7"/>
      <c r="EE63" s="7"/>
      <c r="EF63" s="7"/>
      <c r="EH63" s="7"/>
      <c r="EI63" s="7"/>
      <c r="EK63" s="9"/>
      <c r="EL63" s="9"/>
      <c r="EN63" s="7"/>
      <c r="EO63" s="7"/>
      <c r="EQ63" s="7"/>
      <c r="ER63" s="7"/>
      <c r="ET63" s="7"/>
      <c r="EU63" s="7"/>
      <c r="EW63" s="9"/>
      <c r="EX63" s="9"/>
      <c r="EZ63" s="7"/>
      <c r="FA63" s="7"/>
      <c r="FC63" s="7"/>
      <c r="FD63" s="7"/>
      <c r="FF63" s="7"/>
      <c r="FG63" s="7"/>
      <c r="FI63" s="9"/>
      <c r="FJ63" s="9"/>
      <c r="FL63" s="7"/>
      <c r="FM63" s="7"/>
      <c r="FO63" s="7"/>
      <c r="FP63" s="7"/>
      <c r="FR63" s="7"/>
      <c r="FS63" s="7"/>
      <c r="FU63" s="9"/>
      <c r="FV63" s="9"/>
      <c r="FX63" s="7"/>
      <c r="FY63" s="7"/>
      <c r="GA63" s="7"/>
      <c r="GB63" s="7"/>
      <c r="GD63" s="7"/>
      <c r="GE63" s="7"/>
      <c r="GG63" s="7"/>
      <c r="GH63" s="7"/>
      <c r="GJ63" s="7"/>
      <c r="GK63" s="7"/>
      <c r="GM63" s="7"/>
      <c r="GN63" s="7"/>
      <c r="GO63" s="10"/>
      <c r="GP63" s="7"/>
      <c r="GQ63" s="7"/>
      <c r="GR63" s="10"/>
      <c r="GS63" s="7"/>
      <c r="GT63" s="7"/>
      <c r="GV63" s="7"/>
      <c r="GW63" s="7"/>
      <c r="GY63" s="7"/>
      <c r="GZ63" s="7"/>
      <c r="HB63" s="7"/>
      <c r="HC63" s="7"/>
      <c r="HE63" s="7"/>
      <c r="HF63" s="7"/>
      <c r="HK63" s="7"/>
      <c r="HL63" s="7"/>
      <c r="HN63" s="7"/>
      <c r="HO63" s="7"/>
      <c r="HQ63" s="7"/>
      <c r="HR63" s="7"/>
      <c r="HW63" s="7"/>
      <c r="HX63" s="7"/>
      <c r="HY63" s="10"/>
      <c r="HZ63" s="7"/>
      <c r="IA63" s="7"/>
      <c r="IC63" s="7"/>
      <c r="ID63" s="7"/>
      <c r="IF63" s="7"/>
      <c r="IG63" s="7"/>
      <c r="II63" s="7"/>
      <c r="IJ63" s="7"/>
      <c r="IK63" s="7"/>
      <c r="IL63" s="7"/>
      <c r="IM63" s="7"/>
      <c r="IN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  <c r="JC63" s="7"/>
      <c r="JE63" s="7"/>
      <c r="JF63" s="9"/>
      <c r="JH63" s="7"/>
      <c r="JI63" s="7"/>
      <c r="JJ63" s="7"/>
      <c r="JK63" s="7"/>
      <c r="JL63" s="7"/>
      <c r="JM63" s="7"/>
      <c r="JO63" s="7"/>
      <c r="JP63" s="7"/>
      <c r="JQ63" s="7"/>
      <c r="JR63" s="7"/>
      <c r="JS63" t="s">
        <v>8</v>
      </c>
      <c r="JT63" s="7">
        <v>13830</v>
      </c>
      <c r="JU63" s="7">
        <v>2329</v>
      </c>
      <c r="JV63" s="7">
        <v>9811</v>
      </c>
      <c r="JW63" s="7">
        <v>1537</v>
      </c>
      <c r="JX63" s="7"/>
    </row>
    <row r="64" spans="1:284" x14ac:dyDescent="0.3">
      <c r="A64" t="s">
        <v>239</v>
      </c>
      <c r="B64" s="10" t="s">
        <v>50</v>
      </c>
      <c r="C64" s="7"/>
      <c r="D64" s="7"/>
      <c r="E64" s="10" t="s">
        <v>50</v>
      </c>
      <c r="F64" s="7"/>
      <c r="G64" s="7"/>
      <c r="H64" s="10" t="s">
        <v>50</v>
      </c>
      <c r="I64" s="9"/>
      <c r="J64" s="9"/>
      <c r="K64" s="10" t="s">
        <v>50</v>
      </c>
      <c r="L64" s="7"/>
      <c r="M64" s="7"/>
      <c r="N64" s="10" t="s">
        <v>50</v>
      </c>
      <c r="O64" s="7"/>
      <c r="P64" s="7"/>
      <c r="Q64" s="10" t="s">
        <v>50</v>
      </c>
      <c r="R64" s="7"/>
      <c r="S64" s="7"/>
      <c r="T64" s="10" t="s">
        <v>50</v>
      </c>
      <c r="U64" s="9"/>
      <c r="V64" s="9"/>
      <c r="W64" s="10" t="s">
        <v>50</v>
      </c>
      <c r="X64" s="7"/>
      <c r="Y64" s="7"/>
      <c r="Z64" s="10" t="s">
        <v>50</v>
      </c>
      <c r="AA64" s="7"/>
      <c r="AB64" s="7"/>
      <c r="AC64" s="10" t="s">
        <v>50</v>
      </c>
      <c r="AD64" s="7"/>
      <c r="AE64" s="7"/>
      <c r="AF64" s="10" t="s">
        <v>50</v>
      </c>
      <c r="AG64" s="9"/>
      <c r="AH64" s="9"/>
      <c r="AI64" s="10" t="s">
        <v>50</v>
      </c>
      <c r="AJ64" s="7"/>
      <c r="AK64" s="7"/>
      <c r="AL64" s="10" t="s">
        <v>50</v>
      </c>
      <c r="AM64" s="7"/>
      <c r="AN64" s="7"/>
      <c r="AO64" s="10" t="s">
        <v>50</v>
      </c>
      <c r="AP64" s="7"/>
      <c r="AQ64" s="7"/>
      <c r="AR64" s="10" t="s">
        <v>50</v>
      </c>
      <c r="AS64" s="9"/>
      <c r="AT64" s="9"/>
      <c r="AU64" s="10" t="s">
        <v>50</v>
      </c>
      <c r="AV64" s="7"/>
      <c r="AW64" s="7"/>
      <c r="AX64" s="10" t="s">
        <v>50</v>
      </c>
      <c r="AY64" s="7"/>
      <c r="AZ64" s="7"/>
      <c r="BA64" s="10" t="s">
        <v>50</v>
      </c>
      <c r="BB64" s="7"/>
      <c r="BC64" s="7"/>
      <c r="BD64" s="10" t="s">
        <v>50</v>
      </c>
      <c r="BE64" s="9"/>
      <c r="BF64" s="9"/>
      <c r="BG64" s="10" t="s">
        <v>50</v>
      </c>
      <c r="BH64" s="7"/>
      <c r="BI64" s="7"/>
      <c r="BJ64" s="10" t="s">
        <v>50</v>
      </c>
      <c r="BK64" s="7"/>
      <c r="BL64" s="7"/>
      <c r="BM64" s="10" t="s">
        <v>50</v>
      </c>
      <c r="BN64" s="7"/>
      <c r="BO64" s="7"/>
      <c r="BP64" s="10" t="s">
        <v>50</v>
      </c>
      <c r="BQ64" s="9"/>
      <c r="BR64" s="9"/>
      <c r="BS64" s="10" t="s">
        <v>50</v>
      </c>
      <c r="BT64" s="7"/>
      <c r="BU64" s="7"/>
      <c r="BV64" s="10" t="s">
        <v>50</v>
      </c>
      <c r="BW64" s="7"/>
      <c r="BX64" s="7"/>
      <c r="BY64" s="10" t="s">
        <v>50</v>
      </c>
      <c r="BZ64" s="7"/>
      <c r="CA64" s="7"/>
      <c r="CB64" s="10" t="s">
        <v>50</v>
      </c>
      <c r="CC64" s="9"/>
      <c r="CD64" s="9"/>
      <c r="CE64" s="10" t="s">
        <v>50</v>
      </c>
      <c r="CF64" s="7"/>
      <c r="CG64" s="7"/>
      <c r="CH64" s="10" t="s">
        <v>50</v>
      </c>
      <c r="CI64" s="7"/>
      <c r="CJ64" s="7"/>
      <c r="CK64" s="10" t="s">
        <v>50</v>
      </c>
      <c r="CL64" s="7"/>
      <c r="CM64" s="7"/>
      <c r="CN64" s="10" t="s">
        <v>50</v>
      </c>
      <c r="CO64" s="9"/>
      <c r="CP64" s="9"/>
      <c r="CQ64" s="10" t="s">
        <v>50</v>
      </c>
      <c r="CR64" s="7"/>
      <c r="CS64" s="7"/>
      <c r="CT64" s="10" t="s">
        <v>50</v>
      </c>
      <c r="CU64" s="7"/>
      <c r="CV64" s="7"/>
      <c r="CW64" s="10" t="s">
        <v>50</v>
      </c>
      <c r="CX64" s="7"/>
      <c r="CY64" s="7"/>
      <c r="CZ64" s="10" t="s">
        <v>50</v>
      </c>
      <c r="DA64" s="9"/>
      <c r="DB64" s="9"/>
      <c r="DC64" s="10" t="s">
        <v>50</v>
      </c>
      <c r="DD64" s="7"/>
      <c r="DE64" s="7"/>
      <c r="DF64" s="10" t="s">
        <v>50</v>
      </c>
      <c r="DG64" s="7"/>
      <c r="DH64" s="7"/>
      <c r="DI64" s="10" t="s">
        <v>50</v>
      </c>
      <c r="DJ64" s="7"/>
      <c r="DK64" s="7"/>
      <c r="DL64" s="10" t="s">
        <v>50</v>
      </c>
      <c r="DM64" s="9"/>
      <c r="DN64" s="9"/>
      <c r="DO64" s="10" t="s">
        <v>50</v>
      </c>
      <c r="DP64" s="7"/>
      <c r="DQ64" s="7"/>
      <c r="DR64" s="10" t="s">
        <v>50</v>
      </c>
      <c r="DS64" s="7"/>
      <c r="DT64" s="7"/>
      <c r="DU64" s="10" t="s">
        <v>50</v>
      </c>
      <c r="DV64" s="7"/>
      <c r="DW64" s="7"/>
      <c r="DX64" s="10" t="s">
        <v>50</v>
      </c>
      <c r="DY64" s="9"/>
      <c r="DZ64" s="9"/>
      <c r="EA64" s="10" t="s">
        <v>50</v>
      </c>
      <c r="EB64" s="7"/>
      <c r="EC64" s="7"/>
      <c r="ED64" s="10" t="s">
        <v>50</v>
      </c>
      <c r="EE64" s="7"/>
      <c r="EF64" s="7"/>
      <c r="EG64" s="10" t="s">
        <v>50</v>
      </c>
      <c r="EH64" s="7"/>
      <c r="EI64" s="7"/>
      <c r="EJ64" s="10" t="s">
        <v>50</v>
      </c>
      <c r="EK64" s="9"/>
      <c r="EL64" s="9"/>
      <c r="EM64" s="10" t="s">
        <v>50</v>
      </c>
      <c r="EN64" s="7"/>
      <c r="EO64" s="7"/>
      <c r="EP64" s="10" t="s">
        <v>50</v>
      </c>
      <c r="EQ64" s="7"/>
      <c r="ER64" s="7"/>
      <c r="ES64" s="10" t="s">
        <v>50</v>
      </c>
      <c r="ET64" s="7"/>
      <c r="EU64" s="7"/>
      <c r="EV64" s="10" t="s">
        <v>50</v>
      </c>
      <c r="EW64" s="9"/>
      <c r="EX64" s="9"/>
      <c r="EY64" s="10" t="s">
        <v>50</v>
      </c>
      <c r="EZ64" s="7"/>
      <c r="FA64" s="7"/>
      <c r="FB64" s="10" t="s">
        <v>50</v>
      </c>
      <c r="FC64" s="7"/>
      <c r="FD64" s="7"/>
      <c r="FE64" s="10" t="s">
        <v>50</v>
      </c>
      <c r="FF64" s="7"/>
      <c r="FG64" s="7"/>
      <c r="FH64" s="10" t="s">
        <v>50</v>
      </c>
      <c r="FI64" s="9"/>
      <c r="FJ64" s="9"/>
      <c r="FK64" s="10" t="s">
        <v>50</v>
      </c>
      <c r="FL64" s="7"/>
      <c r="FM64" s="7"/>
      <c r="FN64" s="10" t="s">
        <v>50</v>
      </c>
      <c r="FO64" s="7"/>
      <c r="FP64" s="7"/>
      <c r="FQ64" s="10" t="s">
        <v>50</v>
      </c>
      <c r="FR64" s="7"/>
      <c r="FS64" s="7"/>
      <c r="FT64" s="10" t="s">
        <v>50</v>
      </c>
      <c r="FU64" s="9"/>
      <c r="FV64" s="9"/>
      <c r="FW64" s="10" t="s">
        <v>50</v>
      </c>
      <c r="FX64" s="7">
        <v>250</v>
      </c>
      <c r="FY64" s="7">
        <v>1000</v>
      </c>
      <c r="FZ64" s="10" t="s">
        <v>50</v>
      </c>
      <c r="GA64" s="7"/>
      <c r="GB64" s="7"/>
      <c r="GC64" s="10" t="s">
        <v>50</v>
      </c>
      <c r="GD64" s="7"/>
      <c r="GE64" s="7"/>
      <c r="GF64" s="10" t="s">
        <v>50</v>
      </c>
      <c r="GG64" s="7"/>
      <c r="GH64" s="7"/>
      <c r="GI64" s="10" t="s">
        <v>50</v>
      </c>
      <c r="GJ64" s="7">
        <v>100</v>
      </c>
      <c r="GK64" s="7">
        <v>400</v>
      </c>
      <c r="GL64" s="10" t="s">
        <v>50</v>
      </c>
      <c r="GM64" s="7"/>
      <c r="GN64" s="7"/>
      <c r="GO64" s="10" t="s">
        <v>50</v>
      </c>
      <c r="GP64" s="7"/>
      <c r="GQ64" s="7"/>
      <c r="GR64" s="10" t="s">
        <v>50</v>
      </c>
      <c r="GS64" s="7"/>
      <c r="GT64" s="7"/>
      <c r="GU64" s="6" t="s">
        <v>50</v>
      </c>
      <c r="GV64" s="7">
        <v>75</v>
      </c>
      <c r="GW64" s="7">
        <v>300</v>
      </c>
      <c r="GX64" s="10" t="s">
        <v>50</v>
      </c>
      <c r="GY64" s="7"/>
      <c r="GZ64" s="7"/>
      <c r="HA64" s="10" t="s">
        <v>50</v>
      </c>
      <c r="HB64" s="7"/>
      <c r="HC64" s="7"/>
      <c r="HD64" s="10" t="s">
        <v>50</v>
      </c>
      <c r="HE64" s="7"/>
      <c r="HF64" s="7"/>
      <c r="HG64" s="10" t="s">
        <v>50</v>
      </c>
      <c r="HH64" s="7">
        <v>100</v>
      </c>
      <c r="HI64" s="7">
        <v>400</v>
      </c>
      <c r="HJ64" s="10" t="s">
        <v>50</v>
      </c>
      <c r="HK64" s="7"/>
      <c r="HL64" s="7"/>
      <c r="HM64" s="10" t="s">
        <v>50</v>
      </c>
      <c r="HN64" s="7"/>
      <c r="HO64" s="7"/>
      <c r="HP64" s="10" t="s">
        <v>50</v>
      </c>
      <c r="HQ64" s="7"/>
      <c r="HR64" s="7"/>
      <c r="HS64" s="10" t="s">
        <v>50</v>
      </c>
      <c r="HT64" s="7">
        <v>125</v>
      </c>
      <c r="HU64" s="7">
        <v>500</v>
      </c>
      <c r="HV64" s="10" t="s">
        <v>50</v>
      </c>
      <c r="HW64" s="7"/>
      <c r="HX64" s="7"/>
      <c r="HY64" s="10" t="s">
        <v>50</v>
      </c>
      <c r="HZ64" s="7"/>
      <c r="IA64" s="7"/>
      <c r="IB64" s="10" t="s">
        <v>50</v>
      </c>
      <c r="IC64" s="7"/>
      <c r="ID64" s="7"/>
      <c r="IE64" s="6" t="s">
        <v>50</v>
      </c>
      <c r="IF64" s="7">
        <v>125</v>
      </c>
      <c r="IG64" s="7">
        <v>500</v>
      </c>
      <c r="II64" s="7"/>
      <c r="IJ64" s="7"/>
      <c r="IK64" s="7"/>
      <c r="IL64" s="7"/>
      <c r="IM64" s="7"/>
      <c r="IN64" s="7"/>
      <c r="IP64" s="7"/>
      <c r="IQ64" s="7"/>
      <c r="IR64" s="7"/>
      <c r="IS64" s="7"/>
      <c r="IT64" s="7"/>
      <c r="IU64" s="7"/>
      <c r="IV64" s="7"/>
      <c r="IW64" s="7"/>
      <c r="IX64" s="7"/>
      <c r="IY64" s="7"/>
      <c r="IZ64" s="7"/>
      <c r="JA64" s="7"/>
      <c r="JB64" s="7"/>
      <c r="JC64" s="7"/>
      <c r="JE64" s="7"/>
      <c r="JF64" s="9"/>
      <c r="JH64" s="7"/>
      <c r="JI64" s="7"/>
      <c r="JJ64" s="7"/>
      <c r="JK64" s="7"/>
      <c r="JL64" s="7"/>
      <c r="JM64" s="7"/>
      <c r="JO64" s="7"/>
      <c r="JP64" s="7"/>
      <c r="JQ64" s="7"/>
      <c r="JR64" s="7"/>
      <c r="JT64" s="7"/>
      <c r="JU64" s="7"/>
      <c r="JV64" s="7"/>
      <c r="JW64" s="7"/>
      <c r="JX64" s="7"/>
    </row>
    <row r="65" spans="1:284" x14ac:dyDescent="0.3">
      <c r="A65" t="s">
        <v>240</v>
      </c>
      <c r="B65" s="10" t="s">
        <v>38</v>
      </c>
      <c r="C65" s="7"/>
      <c r="D65" s="7"/>
      <c r="E65" s="10" t="s">
        <v>38</v>
      </c>
      <c r="F65" s="7"/>
      <c r="G65" s="7"/>
      <c r="H65" s="10" t="s">
        <v>38</v>
      </c>
      <c r="I65" s="9"/>
      <c r="J65" s="9"/>
      <c r="K65" s="10" t="s">
        <v>38</v>
      </c>
      <c r="L65" s="7"/>
      <c r="M65" s="7"/>
      <c r="N65" s="10" t="s">
        <v>38</v>
      </c>
      <c r="O65" s="7"/>
      <c r="P65" s="7"/>
      <c r="Q65" s="10" t="s">
        <v>38</v>
      </c>
      <c r="R65" s="7"/>
      <c r="S65" s="7"/>
      <c r="T65" s="10" t="s">
        <v>38</v>
      </c>
      <c r="U65" s="9"/>
      <c r="V65" s="9"/>
      <c r="W65" s="10" t="s">
        <v>38</v>
      </c>
      <c r="X65" s="7"/>
      <c r="Y65" s="7"/>
      <c r="Z65" s="10" t="s">
        <v>38</v>
      </c>
      <c r="AA65" s="7"/>
      <c r="AB65" s="7"/>
      <c r="AC65" s="10" t="s">
        <v>38</v>
      </c>
      <c r="AD65" s="7"/>
      <c r="AE65" s="7"/>
      <c r="AF65" s="10" t="s">
        <v>38</v>
      </c>
      <c r="AG65" s="9"/>
      <c r="AH65" s="9"/>
      <c r="AI65" s="10" t="s">
        <v>38</v>
      </c>
      <c r="AJ65" s="7"/>
      <c r="AK65" s="7"/>
      <c r="AL65" s="10" t="s">
        <v>38</v>
      </c>
      <c r="AM65" s="7"/>
      <c r="AN65" s="7"/>
      <c r="AO65" s="10" t="s">
        <v>38</v>
      </c>
      <c r="AP65" s="7"/>
      <c r="AQ65" s="7"/>
      <c r="AR65" s="10" t="s">
        <v>38</v>
      </c>
      <c r="AS65" s="9"/>
      <c r="AT65" s="9"/>
      <c r="AU65" s="10" t="s">
        <v>38</v>
      </c>
      <c r="AV65" s="7"/>
      <c r="AW65" s="7"/>
      <c r="AX65" s="10" t="s">
        <v>38</v>
      </c>
      <c r="AY65" s="7"/>
      <c r="AZ65" s="7"/>
      <c r="BA65" s="10" t="s">
        <v>38</v>
      </c>
      <c r="BB65" s="7"/>
      <c r="BC65" s="7"/>
      <c r="BD65" s="10" t="s">
        <v>38</v>
      </c>
      <c r="BE65" s="9"/>
      <c r="BF65" s="9"/>
      <c r="BG65" s="10" t="s">
        <v>38</v>
      </c>
      <c r="BH65" s="7"/>
      <c r="BI65" s="7"/>
      <c r="BJ65" s="10" t="s">
        <v>38</v>
      </c>
      <c r="BK65" s="7"/>
      <c r="BL65" s="7"/>
      <c r="BM65" s="10" t="s">
        <v>38</v>
      </c>
      <c r="BN65" s="7"/>
      <c r="BO65" s="7"/>
      <c r="BP65" s="10" t="s">
        <v>38</v>
      </c>
      <c r="BQ65" s="9"/>
      <c r="BR65" s="9"/>
      <c r="BS65" s="10" t="s">
        <v>38</v>
      </c>
      <c r="BT65" s="7"/>
      <c r="BU65" s="7"/>
      <c r="BV65" s="10" t="s">
        <v>38</v>
      </c>
      <c r="BW65" s="7"/>
      <c r="BX65" s="7"/>
      <c r="BY65" s="10" t="s">
        <v>38</v>
      </c>
      <c r="BZ65" s="7"/>
      <c r="CA65" s="7"/>
      <c r="CB65" s="10" t="s">
        <v>38</v>
      </c>
      <c r="CC65" s="9"/>
      <c r="CD65" s="9"/>
      <c r="CE65" s="10" t="s">
        <v>38</v>
      </c>
      <c r="CF65" s="7"/>
      <c r="CG65" s="7"/>
      <c r="CH65" s="10" t="s">
        <v>38</v>
      </c>
      <c r="CI65" s="7"/>
      <c r="CJ65" s="7"/>
      <c r="CK65" s="10" t="s">
        <v>38</v>
      </c>
      <c r="CL65" s="7"/>
      <c r="CM65" s="7"/>
      <c r="CN65" s="10" t="s">
        <v>38</v>
      </c>
      <c r="CO65" s="9"/>
      <c r="CP65" s="9"/>
      <c r="CQ65" s="10" t="s">
        <v>38</v>
      </c>
      <c r="CR65" s="7"/>
      <c r="CS65" s="7"/>
      <c r="CT65" s="10" t="s">
        <v>38</v>
      </c>
      <c r="CU65" s="7"/>
      <c r="CV65" s="7"/>
      <c r="CW65" s="10" t="s">
        <v>38</v>
      </c>
      <c r="CX65" s="7"/>
      <c r="CY65" s="7"/>
      <c r="CZ65" s="10" t="s">
        <v>38</v>
      </c>
      <c r="DA65" s="9"/>
      <c r="DB65" s="9"/>
      <c r="DC65" s="10" t="s">
        <v>38</v>
      </c>
      <c r="DD65" s="7"/>
      <c r="DE65" s="7"/>
      <c r="DF65" s="10" t="s">
        <v>38</v>
      </c>
      <c r="DG65" s="7"/>
      <c r="DH65" s="7"/>
      <c r="DI65" s="10" t="s">
        <v>38</v>
      </c>
      <c r="DJ65" s="7"/>
      <c r="DK65" s="7"/>
      <c r="DL65" s="10" t="s">
        <v>38</v>
      </c>
      <c r="DM65" s="9"/>
      <c r="DN65" s="9"/>
      <c r="DO65" s="10" t="s">
        <v>38</v>
      </c>
      <c r="DP65" s="7"/>
      <c r="DQ65" s="7"/>
      <c r="DR65" s="10" t="s">
        <v>38</v>
      </c>
      <c r="DS65" s="7"/>
      <c r="DT65" s="7"/>
      <c r="DU65" s="10" t="s">
        <v>38</v>
      </c>
      <c r="DV65" s="7"/>
      <c r="DW65" s="7"/>
      <c r="DX65" s="10" t="s">
        <v>38</v>
      </c>
      <c r="DY65" s="9"/>
      <c r="DZ65" s="9"/>
      <c r="EA65" s="10" t="s">
        <v>38</v>
      </c>
      <c r="EB65" s="7"/>
      <c r="EC65" s="7"/>
      <c r="ED65" s="10" t="s">
        <v>38</v>
      </c>
      <c r="EE65" s="7"/>
      <c r="EF65" s="7"/>
      <c r="EG65" s="10" t="s">
        <v>38</v>
      </c>
      <c r="EH65" s="7"/>
      <c r="EI65" s="7"/>
      <c r="EJ65" s="10" t="s">
        <v>38</v>
      </c>
      <c r="EK65" s="9"/>
      <c r="EL65" s="9"/>
      <c r="EM65" s="10" t="s">
        <v>38</v>
      </c>
      <c r="EN65" s="7"/>
      <c r="EO65" s="7"/>
      <c r="EP65" s="10" t="s">
        <v>38</v>
      </c>
      <c r="EQ65" s="7"/>
      <c r="ER65" s="7"/>
      <c r="ES65" s="10" t="s">
        <v>38</v>
      </c>
      <c r="ET65" s="7"/>
      <c r="EU65" s="7"/>
      <c r="EV65" s="10" t="s">
        <v>38</v>
      </c>
      <c r="EW65" s="9"/>
      <c r="EX65" s="9"/>
      <c r="EY65" s="10" t="s">
        <v>38</v>
      </c>
      <c r="EZ65" s="7"/>
      <c r="FA65" s="7"/>
      <c r="FB65" s="10" t="s">
        <v>38</v>
      </c>
      <c r="FC65" s="7"/>
      <c r="FD65" s="7"/>
      <c r="FE65" s="10" t="s">
        <v>38</v>
      </c>
      <c r="FF65" s="7"/>
      <c r="FG65" s="7"/>
      <c r="FH65" s="10" t="s">
        <v>38</v>
      </c>
      <c r="FI65" s="9"/>
      <c r="FJ65" s="9"/>
      <c r="FK65" s="10" t="s">
        <v>38</v>
      </c>
      <c r="FL65" s="7"/>
      <c r="FM65" s="7"/>
      <c r="FN65" s="10" t="s">
        <v>38</v>
      </c>
      <c r="FO65" s="7"/>
      <c r="FP65" s="7"/>
      <c r="FQ65" s="10" t="s">
        <v>38</v>
      </c>
      <c r="FR65" s="7">
        <v>300</v>
      </c>
      <c r="FS65" s="7">
        <v>1300</v>
      </c>
      <c r="FT65" s="10" t="s">
        <v>38</v>
      </c>
      <c r="FU65" s="9"/>
      <c r="FV65" s="9"/>
      <c r="FW65" s="10" t="s">
        <v>38</v>
      </c>
      <c r="FX65" s="7">
        <v>1500</v>
      </c>
      <c r="FY65" s="7">
        <v>2500</v>
      </c>
      <c r="FZ65" s="10" t="s">
        <v>38</v>
      </c>
      <c r="GA65" s="7"/>
      <c r="GB65" s="7"/>
      <c r="GC65" s="10" t="s">
        <v>38</v>
      </c>
      <c r="GD65" s="7"/>
      <c r="GE65" s="7"/>
      <c r="GF65" s="10" t="s">
        <v>38</v>
      </c>
      <c r="GG65" s="7"/>
      <c r="GH65" s="7"/>
      <c r="GI65" s="10" t="s">
        <v>38</v>
      </c>
      <c r="GJ65" s="7">
        <v>1110</v>
      </c>
      <c r="GK65" s="7">
        <v>2067</v>
      </c>
      <c r="GL65" s="10" t="s">
        <v>38</v>
      </c>
      <c r="GM65" s="7"/>
      <c r="GN65" s="7"/>
      <c r="GO65" s="10" t="s">
        <v>38</v>
      </c>
      <c r="GP65" s="7"/>
      <c r="GQ65" s="7"/>
      <c r="GR65" s="10" t="s">
        <v>38</v>
      </c>
      <c r="GS65" s="7"/>
      <c r="GT65" s="7"/>
      <c r="GU65" s="6" t="s">
        <v>38</v>
      </c>
      <c r="GV65" s="7">
        <v>980</v>
      </c>
      <c r="GW65" s="7">
        <v>1950</v>
      </c>
      <c r="GX65" s="10" t="s">
        <v>38</v>
      </c>
      <c r="GY65" s="7"/>
      <c r="GZ65" s="7"/>
      <c r="HA65" s="10" t="s">
        <v>38</v>
      </c>
      <c r="HB65" s="7"/>
      <c r="HC65" s="7"/>
      <c r="HD65" s="10" t="s">
        <v>38</v>
      </c>
      <c r="HE65" s="7"/>
      <c r="HF65" s="7"/>
      <c r="HG65" s="10" t="s">
        <v>38</v>
      </c>
      <c r="HH65" s="7">
        <v>1000</v>
      </c>
      <c r="HI65" s="7">
        <v>2000</v>
      </c>
      <c r="HJ65" s="10" t="s">
        <v>38</v>
      </c>
      <c r="HK65" s="7"/>
      <c r="HL65" s="7"/>
      <c r="HM65" s="10" t="s">
        <v>38</v>
      </c>
      <c r="HN65" s="7"/>
      <c r="HO65" s="7"/>
      <c r="HP65" s="10" t="s">
        <v>38</v>
      </c>
      <c r="HQ65" s="7"/>
      <c r="HR65" s="7"/>
      <c r="HS65" s="10" t="s">
        <v>38</v>
      </c>
      <c r="HT65" s="7">
        <v>785</v>
      </c>
      <c r="HU65" s="7">
        <v>1600</v>
      </c>
      <c r="HV65" s="10" t="s">
        <v>38</v>
      </c>
      <c r="HW65" s="7"/>
      <c r="HX65" s="7"/>
      <c r="HY65" s="10" t="s">
        <v>38</v>
      </c>
      <c r="HZ65" s="7"/>
      <c r="IA65" s="7"/>
      <c r="IB65" s="10" t="s">
        <v>38</v>
      </c>
      <c r="IC65" s="7"/>
      <c r="ID65" s="7"/>
      <c r="IE65" s="6" t="s">
        <v>38</v>
      </c>
      <c r="IF65" s="7">
        <v>820</v>
      </c>
      <c r="IG65" s="7">
        <v>1750</v>
      </c>
      <c r="II65" s="7"/>
      <c r="IJ65" s="7"/>
      <c r="IK65" s="7"/>
      <c r="IL65" s="7"/>
      <c r="IM65" s="7"/>
      <c r="IN65" s="7"/>
      <c r="IP65" s="7"/>
      <c r="IQ65" s="7"/>
      <c r="IR65" s="7"/>
      <c r="IS65" s="7"/>
      <c r="IT65" s="7"/>
      <c r="IU65" s="7"/>
      <c r="IV65" s="7"/>
      <c r="IW65" s="7"/>
      <c r="IX65" s="7"/>
      <c r="IY65" s="7"/>
      <c r="IZ65" s="7"/>
      <c r="JA65" s="7"/>
      <c r="JB65" s="7"/>
      <c r="JC65" s="7"/>
      <c r="JE65" s="7"/>
      <c r="JF65" s="9"/>
      <c r="JH65" s="7"/>
      <c r="JI65" s="7"/>
      <c r="JJ65" s="7"/>
      <c r="JK65" s="7"/>
      <c r="JL65" s="7"/>
      <c r="JM65" s="7"/>
      <c r="JO65" s="7"/>
      <c r="JP65" s="7"/>
      <c r="JQ65" s="7"/>
      <c r="JR65" s="7"/>
      <c r="JT65" s="7"/>
      <c r="JU65" s="7"/>
      <c r="JV65" s="7"/>
      <c r="JW65" s="7"/>
      <c r="JX65" s="7"/>
    </row>
    <row r="66" spans="1:284" x14ac:dyDescent="0.3">
      <c r="A66" t="s">
        <v>241</v>
      </c>
      <c r="B66" s="10" t="s">
        <v>41</v>
      </c>
      <c r="C66" s="7"/>
      <c r="D66" s="7"/>
      <c r="E66" s="10" t="s">
        <v>41</v>
      </c>
      <c r="F66" s="7"/>
      <c r="G66" s="7"/>
      <c r="H66" s="10" t="s">
        <v>41</v>
      </c>
      <c r="I66" s="9"/>
      <c r="J66" s="9"/>
      <c r="K66" s="10" t="s">
        <v>41</v>
      </c>
      <c r="L66" s="7"/>
      <c r="M66" s="7"/>
      <c r="N66" s="10" t="s">
        <v>41</v>
      </c>
      <c r="O66" s="7"/>
      <c r="P66" s="7"/>
      <c r="Q66" s="10" t="s">
        <v>41</v>
      </c>
      <c r="R66" s="7"/>
      <c r="S66" s="7"/>
      <c r="T66" s="10" t="s">
        <v>41</v>
      </c>
      <c r="U66" s="9"/>
      <c r="V66" s="9"/>
      <c r="W66" s="10" t="s">
        <v>41</v>
      </c>
      <c r="X66" s="7"/>
      <c r="Y66" s="7"/>
      <c r="Z66" s="10" t="s">
        <v>41</v>
      </c>
      <c r="AA66" s="7"/>
      <c r="AB66" s="7"/>
      <c r="AC66" s="10" t="s">
        <v>41</v>
      </c>
      <c r="AD66" s="7"/>
      <c r="AE66" s="7"/>
      <c r="AF66" s="10" t="s">
        <v>41</v>
      </c>
      <c r="AG66" s="9"/>
      <c r="AH66" s="9"/>
      <c r="AI66" s="10" t="s">
        <v>41</v>
      </c>
      <c r="AJ66" s="7"/>
      <c r="AK66" s="7"/>
      <c r="AL66" s="10" t="s">
        <v>41</v>
      </c>
      <c r="AM66" s="7"/>
      <c r="AN66" s="7"/>
      <c r="AO66" s="10" t="s">
        <v>41</v>
      </c>
      <c r="AP66" s="7"/>
      <c r="AQ66" s="7"/>
      <c r="AR66" s="10" t="s">
        <v>41</v>
      </c>
      <c r="AS66" s="9"/>
      <c r="AT66" s="9"/>
      <c r="AU66" s="10" t="s">
        <v>41</v>
      </c>
      <c r="AV66" s="7"/>
      <c r="AW66" s="7"/>
      <c r="AX66" s="10" t="s">
        <v>41</v>
      </c>
      <c r="AY66" s="7"/>
      <c r="AZ66" s="7"/>
      <c r="BA66" s="10" t="s">
        <v>41</v>
      </c>
      <c r="BB66" s="7"/>
      <c r="BC66" s="7"/>
      <c r="BD66" s="10" t="s">
        <v>41</v>
      </c>
      <c r="BE66" s="9"/>
      <c r="BF66" s="9"/>
      <c r="BG66" s="10" t="s">
        <v>41</v>
      </c>
      <c r="BH66" s="7"/>
      <c r="BI66" s="7"/>
      <c r="BJ66" s="10" t="s">
        <v>41</v>
      </c>
      <c r="BK66" s="7"/>
      <c r="BL66" s="7"/>
      <c r="BM66" s="10" t="s">
        <v>41</v>
      </c>
      <c r="BN66" s="7"/>
      <c r="BO66" s="7"/>
      <c r="BP66" s="10" t="s">
        <v>41</v>
      </c>
      <c r="BQ66" s="9"/>
      <c r="BR66" s="9"/>
      <c r="BS66" s="10" t="s">
        <v>41</v>
      </c>
      <c r="BT66" s="7"/>
      <c r="BU66" s="7"/>
      <c r="BV66" s="10" t="s">
        <v>41</v>
      </c>
      <c r="BW66" s="7"/>
      <c r="BX66" s="7"/>
      <c r="BY66" s="10" t="s">
        <v>41</v>
      </c>
      <c r="BZ66" s="7"/>
      <c r="CA66" s="7"/>
      <c r="CB66" s="10" t="s">
        <v>41</v>
      </c>
      <c r="CC66" s="9"/>
      <c r="CD66" s="9"/>
      <c r="CE66" s="10" t="s">
        <v>41</v>
      </c>
      <c r="CF66" s="7"/>
      <c r="CG66" s="7"/>
      <c r="CH66" s="10" t="s">
        <v>41</v>
      </c>
      <c r="CI66" s="7"/>
      <c r="CJ66" s="7"/>
      <c r="CK66" s="10" t="s">
        <v>41</v>
      </c>
      <c r="CL66" s="7"/>
      <c r="CM66" s="7"/>
      <c r="CN66" s="10" t="s">
        <v>41</v>
      </c>
      <c r="CO66" s="9"/>
      <c r="CP66" s="9"/>
      <c r="CQ66" s="10" t="s">
        <v>41</v>
      </c>
      <c r="CR66" s="7"/>
      <c r="CS66" s="7"/>
      <c r="CT66" s="10" t="s">
        <v>41</v>
      </c>
      <c r="CU66" s="7"/>
      <c r="CV66" s="7"/>
      <c r="CW66" s="10" t="s">
        <v>41</v>
      </c>
      <c r="CX66" s="7"/>
      <c r="CY66" s="7"/>
      <c r="CZ66" s="10" t="s">
        <v>41</v>
      </c>
      <c r="DA66" s="9"/>
      <c r="DB66" s="9"/>
      <c r="DC66" s="10" t="s">
        <v>41</v>
      </c>
      <c r="DD66" s="7"/>
      <c r="DE66" s="7"/>
      <c r="DF66" s="10" t="s">
        <v>41</v>
      </c>
      <c r="DG66" s="7"/>
      <c r="DH66" s="7"/>
      <c r="DI66" s="10" t="s">
        <v>41</v>
      </c>
      <c r="DJ66" s="7"/>
      <c r="DK66" s="7"/>
      <c r="DL66" s="10" t="s">
        <v>41</v>
      </c>
      <c r="DM66" s="9"/>
      <c r="DN66" s="9"/>
      <c r="DO66" s="10" t="s">
        <v>41</v>
      </c>
      <c r="DP66" s="7"/>
      <c r="DQ66" s="7"/>
      <c r="DR66" s="10" t="s">
        <v>41</v>
      </c>
      <c r="DS66" s="7"/>
      <c r="DT66" s="7"/>
      <c r="DU66" s="10" t="s">
        <v>41</v>
      </c>
      <c r="DV66" s="7"/>
      <c r="DW66" s="7"/>
      <c r="DX66" s="10" t="s">
        <v>41</v>
      </c>
      <c r="DY66" s="9"/>
      <c r="DZ66" s="9"/>
      <c r="EA66" s="10" t="s">
        <v>41</v>
      </c>
      <c r="EB66" s="7"/>
      <c r="EC66" s="7"/>
      <c r="ED66" s="10" t="s">
        <v>41</v>
      </c>
      <c r="EE66" s="7"/>
      <c r="EF66" s="7"/>
      <c r="EG66" s="10" t="s">
        <v>41</v>
      </c>
      <c r="EH66" s="7"/>
      <c r="EI66" s="7"/>
      <c r="EJ66" s="10" t="s">
        <v>41</v>
      </c>
      <c r="EK66" s="9"/>
      <c r="EL66" s="9"/>
      <c r="EM66" s="10" t="s">
        <v>41</v>
      </c>
      <c r="EN66" s="7"/>
      <c r="EO66" s="7"/>
      <c r="EP66" s="10" t="s">
        <v>41</v>
      </c>
      <c r="EQ66" s="7"/>
      <c r="ER66" s="7"/>
      <c r="ES66" s="10" t="s">
        <v>41</v>
      </c>
      <c r="ET66" s="7"/>
      <c r="EU66" s="7"/>
      <c r="EV66" s="10" t="s">
        <v>41</v>
      </c>
      <c r="EW66" s="9"/>
      <c r="EX66" s="9"/>
      <c r="EY66" s="10" t="s">
        <v>41</v>
      </c>
      <c r="EZ66" s="7"/>
      <c r="FA66" s="7"/>
      <c r="FB66" s="10" t="s">
        <v>41</v>
      </c>
      <c r="FC66" s="7"/>
      <c r="FD66" s="7"/>
      <c r="FE66" s="10" t="s">
        <v>41</v>
      </c>
      <c r="FF66" s="7"/>
      <c r="FG66" s="7"/>
      <c r="FH66" s="10" t="s">
        <v>41</v>
      </c>
      <c r="FI66" s="9"/>
      <c r="FJ66" s="9"/>
      <c r="FK66" s="10" t="s">
        <v>41</v>
      </c>
      <c r="FL66" s="7"/>
      <c r="FM66" s="7"/>
      <c r="FN66" s="10" t="s">
        <v>41</v>
      </c>
      <c r="FO66" s="7"/>
      <c r="FP66" s="7"/>
      <c r="FQ66" s="10" t="s">
        <v>41</v>
      </c>
      <c r="FR66" s="7"/>
      <c r="FS66" s="7"/>
      <c r="FT66" s="10" t="s">
        <v>41</v>
      </c>
      <c r="FU66" s="9"/>
      <c r="FV66" s="9"/>
      <c r="FW66" s="10" t="s">
        <v>41</v>
      </c>
      <c r="FX66" s="7">
        <v>50</v>
      </c>
      <c r="FY66" s="7">
        <v>5000</v>
      </c>
      <c r="FZ66" s="10" t="s">
        <v>41</v>
      </c>
      <c r="GA66" s="7"/>
      <c r="GB66" s="7"/>
      <c r="GC66" s="10" t="s">
        <v>41</v>
      </c>
      <c r="GD66" s="7"/>
      <c r="GE66" s="7"/>
      <c r="GF66" s="10" t="s">
        <v>41</v>
      </c>
      <c r="GG66" s="7"/>
      <c r="GH66" s="7"/>
      <c r="GI66" s="10" t="s">
        <v>41</v>
      </c>
      <c r="GJ66" s="7">
        <v>40</v>
      </c>
      <c r="GK66" s="7">
        <v>3103</v>
      </c>
      <c r="GL66" s="10" t="s">
        <v>41</v>
      </c>
      <c r="GM66" s="7"/>
      <c r="GN66" s="7"/>
      <c r="GO66" s="10" t="s">
        <v>41</v>
      </c>
      <c r="GP66" s="7"/>
      <c r="GQ66" s="7"/>
      <c r="GR66" s="10" t="s">
        <v>41</v>
      </c>
      <c r="GS66" s="7"/>
      <c r="GT66" s="7"/>
      <c r="GU66" s="6" t="s">
        <v>41</v>
      </c>
      <c r="GV66" s="7">
        <v>51</v>
      </c>
      <c r="GW66" s="7">
        <v>3100</v>
      </c>
      <c r="GX66" s="10" t="s">
        <v>41</v>
      </c>
      <c r="GY66" s="7"/>
      <c r="GZ66" s="7"/>
      <c r="HA66" s="10" t="s">
        <v>41</v>
      </c>
      <c r="HB66" s="7"/>
      <c r="HC66" s="7"/>
      <c r="HD66" s="10" t="s">
        <v>41</v>
      </c>
      <c r="HE66" s="7"/>
      <c r="HF66" s="7"/>
      <c r="HG66" s="10" t="s">
        <v>41</v>
      </c>
      <c r="HH66" s="7">
        <v>60</v>
      </c>
      <c r="HI66" s="7">
        <v>3600</v>
      </c>
      <c r="HJ66" s="10" t="s">
        <v>41</v>
      </c>
      <c r="HK66" s="7"/>
      <c r="HL66" s="7"/>
      <c r="HM66" s="10" t="s">
        <v>41</v>
      </c>
      <c r="HN66" s="7"/>
      <c r="HO66" s="7"/>
      <c r="HP66" s="10" t="s">
        <v>41</v>
      </c>
      <c r="HQ66" s="7"/>
      <c r="HR66" s="7"/>
      <c r="HS66" s="10" t="s">
        <v>41</v>
      </c>
      <c r="HT66" s="7">
        <v>50</v>
      </c>
      <c r="HU66" s="7">
        <v>2500</v>
      </c>
      <c r="HV66" s="10" t="s">
        <v>191</v>
      </c>
      <c r="HW66" s="7"/>
      <c r="HX66" s="7"/>
      <c r="HY66" s="10" t="s">
        <v>41</v>
      </c>
      <c r="HZ66" s="7"/>
      <c r="IA66" s="7"/>
      <c r="IB66" s="10" t="s">
        <v>41</v>
      </c>
      <c r="IC66" s="7"/>
      <c r="ID66" s="7"/>
      <c r="IE66" s="6" t="s">
        <v>41</v>
      </c>
      <c r="IF66" s="7">
        <v>29</v>
      </c>
      <c r="IG66" s="7">
        <v>1755</v>
      </c>
      <c r="II66" s="7"/>
      <c r="IJ66" s="7"/>
      <c r="IK66" s="7"/>
      <c r="IL66" s="7"/>
      <c r="IM66" s="7"/>
      <c r="IN66" s="7"/>
      <c r="IP66" s="7"/>
      <c r="IQ66" s="7"/>
      <c r="IR66" s="7"/>
      <c r="IS66" s="7"/>
      <c r="IT66" s="7"/>
      <c r="IU66" s="7"/>
      <c r="IV66" s="7"/>
      <c r="IW66" s="7"/>
      <c r="IX66" s="7"/>
      <c r="IY66" s="7"/>
      <c r="IZ66" s="7"/>
      <c r="JA66" s="7"/>
      <c r="JB66" s="7"/>
      <c r="JC66" s="7"/>
      <c r="JE66" s="7"/>
      <c r="JF66" s="9"/>
      <c r="JH66" s="7"/>
      <c r="JI66" s="7"/>
      <c r="JJ66" s="7"/>
      <c r="JK66" s="7"/>
      <c r="JL66" s="7"/>
      <c r="JM66" s="7"/>
      <c r="JO66" s="7"/>
      <c r="JP66" s="7"/>
      <c r="JQ66" s="7"/>
      <c r="JR66" s="7"/>
      <c r="JT66" s="7"/>
      <c r="JU66" s="7"/>
      <c r="JV66" s="7"/>
      <c r="JW66" s="7"/>
      <c r="JX66" s="7"/>
    </row>
    <row r="67" spans="1:284" x14ac:dyDescent="0.3">
      <c r="A67" t="s">
        <v>242</v>
      </c>
      <c r="B67" s="10" t="s">
        <v>40</v>
      </c>
      <c r="C67" s="7"/>
      <c r="D67" s="7"/>
      <c r="E67" s="10" t="s">
        <v>40</v>
      </c>
      <c r="F67" s="7"/>
      <c r="G67" s="7"/>
      <c r="H67" s="10" t="s">
        <v>40</v>
      </c>
      <c r="I67" s="9"/>
      <c r="J67" s="9"/>
      <c r="K67" s="10" t="s">
        <v>40</v>
      </c>
      <c r="L67" s="7"/>
      <c r="M67" s="7"/>
      <c r="N67" s="10" t="s">
        <v>40</v>
      </c>
      <c r="O67" s="7"/>
      <c r="P67" s="7"/>
      <c r="Q67" s="10" t="s">
        <v>40</v>
      </c>
      <c r="R67" s="7"/>
      <c r="S67" s="7"/>
      <c r="T67" s="10" t="s">
        <v>40</v>
      </c>
      <c r="U67" s="9"/>
      <c r="V67" s="9"/>
      <c r="W67" s="10" t="s">
        <v>40</v>
      </c>
      <c r="X67" s="7"/>
      <c r="Y67" s="7"/>
      <c r="Z67" s="10" t="s">
        <v>40</v>
      </c>
      <c r="AA67" s="7"/>
      <c r="AB67" s="7"/>
      <c r="AC67" s="10" t="s">
        <v>40</v>
      </c>
      <c r="AD67" s="7"/>
      <c r="AE67" s="7"/>
      <c r="AF67" s="10" t="s">
        <v>40</v>
      </c>
      <c r="AG67" s="9"/>
      <c r="AH67" s="9"/>
      <c r="AI67" s="10" t="s">
        <v>40</v>
      </c>
      <c r="AJ67" s="7"/>
      <c r="AK67" s="7"/>
      <c r="AL67" s="10" t="s">
        <v>40</v>
      </c>
      <c r="AM67" s="7"/>
      <c r="AN67" s="7"/>
      <c r="AO67" s="10" t="s">
        <v>40</v>
      </c>
      <c r="AP67" s="7"/>
      <c r="AQ67" s="7"/>
      <c r="AR67" s="10" t="s">
        <v>40</v>
      </c>
      <c r="AS67" s="9"/>
      <c r="AT67" s="9"/>
      <c r="AU67" s="10" t="s">
        <v>40</v>
      </c>
      <c r="AV67" s="7"/>
      <c r="AW67" s="7"/>
      <c r="AX67" s="10" t="s">
        <v>40</v>
      </c>
      <c r="AY67" s="7"/>
      <c r="AZ67" s="7"/>
      <c r="BA67" s="10" t="s">
        <v>40</v>
      </c>
      <c r="BB67" s="7"/>
      <c r="BC67" s="7"/>
      <c r="BD67" s="10" t="s">
        <v>40</v>
      </c>
      <c r="BE67" s="9"/>
      <c r="BF67" s="9"/>
      <c r="BG67" s="10" t="s">
        <v>40</v>
      </c>
      <c r="BH67" s="7"/>
      <c r="BI67" s="7"/>
      <c r="BJ67" s="10" t="s">
        <v>40</v>
      </c>
      <c r="BK67" s="7"/>
      <c r="BL67" s="7"/>
      <c r="BM67" s="10" t="s">
        <v>40</v>
      </c>
      <c r="BN67" s="7"/>
      <c r="BO67" s="7"/>
      <c r="BP67" s="10" t="s">
        <v>40</v>
      </c>
      <c r="BQ67" s="9"/>
      <c r="BR67" s="9"/>
      <c r="BS67" s="10" t="s">
        <v>40</v>
      </c>
      <c r="BT67" s="7"/>
      <c r="BU67" s="7"/>
      <c r="BV67" s="10" t="s">
        <v>40</v>
      </c>
      <c r="BW67" s="7"/>
      <c r="BX67" s="7"/>
      <c r="BY67" s="10" t="s">
        <v>40</v>
      </c>
      <c r="BZ67" s="7"/>
      <c r="CA67" s="7"/>
      <c r="CB67" s="10" t="s">
        <v>40</v>
      </c>
      <c r="CC67" s="9"/>
      <c r="CD67" s="9"/>
      <c r="CE67" s="10" t="s">
        <v>40</v>
      </c>
      <c r="CF67" s="7"/>
      <c r="CG67" s="7"/>
      <c r="CH67" s="10" t="s">
        <v>40</v>
      </c>
      <c r="CI67" s="7"/>
      <c r="CJ67" s="7"/>
      <c r="CK67" s="10" t="s">
        <v>40</v>
      </c>
      <c r="CL67" s="7"/>
      <c r="CM67" s="7"/>
      <c r="CN67" s="10" t="s">
        <v>40</v>
      </c>
      <c r="CO67" s="9"/>
      <c r="CP67" s="9"/>
      <c r="CQ67" s="10" t="s">
        <v>40</v>
      </c>
      <c r="CR67" s="7"/>
      <c r="CS67" s="7"/>
      <c r="CT67" s="10" t="s">
        <v>40</v>
      </c>
      <c r="CU67" s="7"/>
      <c r="CV67" s="7"/>
      <c r="CW67" s="10" t="s">
        <v>40</v>
      </c>
      <c r="CX67" s="7"/>
      <c r="CY67" s="7"/>
      <c r="CZ67" s="10" t="s">
        <v>40</v>
      </c>
      <c r="DA67" s="9"/>
      <c r="DB67" s="9"/>
      <c r="DC67" s="10" t="s">
        <v>40</v>
      </c>
      <c r="DD67" s="7"/>
      <c r="DE67" s="7"/>
      <c r="DF67" s="10" t="s">
        <v>40</v>
      </c>
      <c r="DG67" s="7"/>
      <c r="DH67" s="7"/>
      <c r="DI67" s="10" t="s">
        <v>40</v>
      </c>
      <c r="DJ67" s="7"/>
      <c r="DK67" s="7"/>
      <c r="DL67" s="10" t="s">
        <v>40</v>
      </c>
      <c r="DM67" s="9"/>
      <c r="DN67" s="9"/>
      <c r="DO67" s="10" t="s">
        <v>40</v>
      </c>
      <c r="DP67" s="7"/>
      <c r="DQ67" s="7"/>
      <c r="DR67" s="10" t="s">
        <v>40</v>
      </c>
      <c r="DS67" s="7"/>
      <c r="DT67" s="7"/>
      <c r="DU67" s="10" t="s">
        <v>40</v>
      </c>
      <c r="DV67" s="7"/>
      <c r="DW67" s="7"/>
      <c r="DX67" s="10" t="s">
        <v>40</v>
      </c>
      <c r="DY67" s="9"/>
      <c r="DZ67" s="9"/>
      <c r="EA67" s="10" t="s">
        <v>40</v>
      </c>
      <c r="EB67" s="7"/>
      <c r="EC67" s="7"/>
      <c r="ED67" s="10" t="s">
        <v>40</v>
      </c>
      <c r="EE67" s="7"/>
      <c r="EF67" s="7"/>
      <c r="EG67" s="10" t="s">
        <v>40</v>
      </c>
      <c r="EH67" s="7"/>
      <c r="EI67" s="7"/>
      <c r="EJ67" s="10" t="s">
        <v>40</v>
      </c>
      <c r="EK67" s="9"/>
      <c r="EL67" s="9"/>
      <c r="EM67" s="10" t="s">
        <v>40</v>
      </c>
      <c r="EN67" s="7"/>
      <c r="EO67" s="7"/>
      <c r="EP67" s="10" t="s">
        <v>40</v>
      </c>
      <c r="EQ67" s="7"/>
      <c r="ER67" s="7"/>
      <c r="ES67" s="10" t="s">
        <v>40</v>
      </c>
      <c r="ET67" s="7"/>
      <c r="EU67" s="7"/>
      <c r="EV67" s="10" t="s">
        <v>40</v>
      </c>
      <c r="EW67" s="9"/>
      <c r="EX67" s="9"/>
      <c r="EY67" s="10" t="s">
        <v>40</v>
      </c>
      <c r="EZ67" s="7"/>
      <c r="FA67" s="7"/>
      <c r="FB67" s="10" t="s">
        <v>40</v>
      </c>
      <c r="FC67" s="7"/>
      <c r="FD67" s="7"/>
      <c r="FE67" s="10" t="s">
        <v>40</v>
      </c>
      <c r="FF67" s="7"/>
      <c r="FG67" s="7"/>
      <c r="FH67" s="10" t="s">
        <v>40</v>
      </c>
      <c r="FI67" s="9"/>
      <c r="FJ67" s="9"/>
      <c r="FK67" s="10" t="s">
        <v>40</v>
      </c>
      <c r="FL67" s="7"/>
      <c r="FM67" s="7"/>
      <c r="FN67" s="10" t="s">
        <v>40</v>
      </c>
      <c r="FO67" s="7"/>
      <c r="FP67" s="7"/>
      <c r="FQ67" s="10" t="s">
        <v>40</v>
      </c>
      <c r="FR67" s="7"/>
      <c r="FS67" s="7"/>
      <c r="FT67" s="10" t="s">
        <v>40</v>
      </c>
      <c r="FU67" s="9"/>
      <c r="FV67" s="9"/>
      <c r="FW67" s="10" t="s">
        <v>40</v>
      </c>
      <c r="FX67" s="7">
        <v>25</v>
      </c>
      <c r="FY67" s="7">
        <v>5000</v>
      </c>
      <c r="FZ67" s="10" t="s">
        <v>40</v>
      </c>
      <c r="GA67" s="7"/>
      <c r="GB67" s="7"/>
      <c r="GC67" s="10" t="s">
        <v>40</v>
      </c>
      <c r="GD67" s="7"/>
      <c r="GE67" s="7"/>
      <c r="GF67" s="10" t="s">
        <v>40</v>
      </c>
      <c r="GG67" s="7"/>
      <c r="GH67" s="7"/>
      <c r="GI67" s="10" t="s">
        <v>40</v>
      </c>
      <c r="GJ67" s="7">
        <v>21</v>
      </c>
      <c r="GK67" s="7">
        <v>3369</v>
      </c>
      <c r="GL67" s="10" t="s">
        <v>40</v>
      </c>
      <c r="GM67" s="7"/>
      <c r="GN67" s="7"/>
      <c r="GO67" s="10" t="s">
        <v>40</v>
      </c>
      <c r="GP67" s="7"/>
      <c r="GQ67" s="7"/>
      <c r="GR67" s="10" t="s">
        <v>40</v>
      </c>
      <c r="GS67" s="7"/>
      <c r="GT67" s="7"/>
      <c r="GU67" s="6" t="s">
        <v>40</v>
      </c>
      <c r="GV67" s="7">
        <v>20</v>
      </c>
      <c r="GW67" s="7">
        <v>3200</v>
      </c>
      <c r="GX67" s="10" t="s">
        <v>40</v>
      </c>
      <c r="GY67" s="7"/>
      <c r="GZ67" s="7"/>
      <c r="HA67" s="10" t="s">
        <v>40</v>
      </c>
      <c r="HB67" s="7"/>
      <c r="HC67" s="7"/>
      <c r="HD67" s="10" t="s">
        <v>40</v>
      </c>
      <c r="HE67" s="7"/>
      <c r="HF67" s="7"/>
      <c r="HG67" s="10" t="s">
        <v>40</v>
      </c>
      <c r="HH67" s="7">
        <v>25</v>
      </c>
      <c r="HI67" s="7">
        <v>4000</v>
      </c>
      <c r="HJ67" s="10" t="s">
        <v>40</v>
      </c>
      <c r="HK67" s="7"/>
      <c r="HL67" s="7"/>
      <c r="HM67" s="10" t="s">
        <v>40</v>
      </c>
      <c r="HN67" s="7"/>
      <c r="HO67" s="7"/>
      <c r="HP67" s="10" t="s">
        <v>40</v>
      </c>
      <c r="HQ67" s="7"/>
      <c r="HR67" s="7"/>
      <c r="HS67" s="10" t="s">
        <v>40</v>
      </c>
      <c r="HT67" s="7">
        <v>15</v>
      </c>
      <c r="HU67" s="7">
        <v>2500</v>
      </c>
      <c r="HV67" s="10" t="s">
        <v>40</v>
      </c>
      <c r="HW67" s="7"/>
      <c r="HX67" s="7"/>
      <c r="HY67" s="10" t="s">
        <v>40</v>
      </c>
      <c r="HZ67" s="7"/>
      <c r="IA67" s="7"/>
      <c r="IB67" s="10" t="s">
        <v>40</v>
      </c>
      <c r="IC67" s="7"/>
      <c r="ID67" s="7"/>
      <c r="IE67" s="6" t="s">
        <v>40</v>
      </c>
      <c r="IF67" s="7">
        <v>14</v>
      </c>
      <c r="IG67" s="7">
        <v>2400</v>
      </c>
      <c r="II67" s="7"/>
      <c r="IJ67" s="7"/>
      <c r="IK67" s="7"/>
      <c r="IL67" s="7"/>
      <c r="IM67" s="7"/>
      <c r="IN67" s="7"/>
      <c r="IP67" s="7"/>
      <c r="IQ67" s="7"/>
      <c r="IR67" s="7"/>
      <c r="IS67" s="7"/>
      <c r="IT67" s="7"/>
      <c r="IU67" s="7"/>
      <c r="IV67" s="7"/>
      <c r="IW67" s="7"/>
      <c r="IX67" s="7"/>
      <c r="IY67" s="7"/>
      <c r="IZ67" s="7"/>
      <c r="JA67" s="7"/>
      <c r="JB67" s="7"/>
      <c r="JC67" s="7"/>
      <c r="JE67" s="7"/>
      <c r="JF67" s="7"/>
      <c r="JH67" s="7"/>
      <c r="JI67" s="7"/>
      <c r="JJ67" s="7"/>
      <c r="JK67" s="7"/>
      <c r="JL67" s="7"/>
      <c r="JM67" s="7"/>
      <c r="JO67" s="7"/>
      <c r="JP67" s="7"/>
      <c r="JQ67" s="7"/>
      <c r="JR67" s="7"/>
      <c r="JT67" s="7"/>
      <c r="JU67" s="7"/>
      <c r="JV67" s="7"/>
      <c r="JW67" s="7"/>
      <c r="JX67" s="7"/>
    </row>
    <row r="68" spans="1:284" x14ac:dyDescent="0.3">
      <c r="A68" t="s">
        <v>243</v>
      </c>
      <c r="B68" s="10" t="s">
        <v>59</v>
      </c>
      <c r="C68" s="7"/>
      <c r="D68" s="7"/>
      <c r="E68" s="10" t="s">
        <v>59</v>
      </c>
      <c r="F68" s="7"/>
      <c r="G68" s="7"/>
      <c r="H68" s="10" t="s">
        <v>59</v>
      </c>
      <c r="I68" s="9"/>
      <c r="J68" s="9"/>
      <c r="K68" s="10" t="s">
        <v>59</v>
      </c>
      <c r="L68" s="7"/>
      <c r="M68" s="7"/>
      <c r="N68" s="10" t="s">
        <v>59</v>
      </c>
      <c r="O68" s="7"/>
      <c r="P68" s="7"/>
      <c r="Q68" s="10" t="s">
        <v>59</v>
      </c>
      <c r="R68" s="7"/>
      <c r="S68" s="7"/>
      <c r="T68" s="10" t="s">
        <v>59</v>
      </c>
      <c r="U68" s="9"/>
      <c r="V68" s="9"/>
      <c r="W68" s="10" t="s">
        <v>59</v>
      </c>
      <c r="X68" s="7"/>
      <c r="Y68" s="7"/>
      <c r="Z68" s="10" t="s">
        <v>59</v>
      </c>
      <c r="AA68" s="7"/>
      <c r="AB68" s="7"/>
      <c r="AC68" s="10" t="s">
        <v>59</v>
      </c>
      <c r="AD68" s="7"/>
      <c r="AE68" s="7"/>
      <c r="AF68" s="10" t="s">
        <v>59</v>
      </c>
      <c r="AG68" s="9"/>
      <c r="AH68" s="9"/>
      <c r="AI68" s="10" t="s">
        <v>59</v>
      </c>
      <c r="AJ68" s="7"/>
      <c r="AK68" s="7"/>
      <c r="AL68" s="10" t="s">
        <v>59</v>
      </c>
      <c r="AM68" s="7"/>
      <c r="AN68" s="7"/>
      <c r="AO68" s="10" t="s">
        <v>59</v>
      </c>
      <c r="AP68" s="7"/>
      <c r="AQ68" s="7"/>
      <c r="AR68" s="10" t="s">
        <v>59</v>
      </c>
      <c r="AS68" s="9"/>
      <c r="AT68" s="9"/>
      <c r="AU68" s="10" t="s">
        <v>59</v>
      </c>
      <c r="AV68" s="7"/>
      <c r="AW68" s="7"/>
      <c r="AX68" s="10" t="s">
        <v>59</v>
      </c>
      <c r="AY68" s="7"/>
      <c r="AZ68" s="7"/>
      <c r="BA68" s="10" t="s">
        <v>59</v>
      </c>
      <c r="BB68" s="7"/>
      <c r="BC68" s="7"/>
      <c r="BD68" s="10" t="s">
        <v>59</v>
      </c>
      <c r="BE68" s="9"/>
      <c r="BF68" s="9"/>
      <c r="BG68" s="10" t="s">
        <v>59</v>
      </c>
      <c r="BH68" s="7"/>
      <c r="BI68" s="7"/>
      <c r="BJ68" s="10" t="s">
        <v>59</v>
      </c>
      <c r="BK68" s="7"/>
      <c r="BL68" s="7"/>
      <c r="BM68" s="10" t="s">
        <v>59</v>
      </c>
      <c r="BN68" s="7"/>
      <c r="BO68" s="7"/>
      <c r="BP68" s="10" t="s">
        <v>59</v>
      </c>
      <c r="BQ68" s="9"/>
      <c r="BR68" s="9"/>
      <c r="BS68" s="10" t="s">
        <v>59</v>
      </c>
      <c r="BT68" s="7"/>
      <c r="BU68" s="7"/>
      <c r="BV68" s="10" t="s">
        <v>59</v>
      </c>
      <c r="BW68" s="7"/>
      <c r="BX68" s="7"/>
      <c r="BY68" s="10" t="s">
        <v>59</v>
      </c>
      <c r="BZ68" s="7"/>
      <c r="CA68" s="7"/>
      <c r="CB68" s="10" t="s">
        <v>59</v>
      </c>
      <c r="CC68" s="9"/>
      <c r="CD68" s="9"/>
      <c r="CE68" s="10" t="s">
        <v>59</v>
      </c>
      <c r="CF68" s="7"/>
      <c r="CG68" s="7"/>
      <c r="CH68" s="10" t="s">
        <v>59</v>
      </c>
      <c r="CI68" s="7"/>
      <c r="CJ68" s="7"/>
      <c r="CK68" s="10" t="s">
        <v>59</v>
      </c>
      <c r="CL68" s="7"/>
      <c r="CM68" s="7"/>
      <c r="CN68" s="10" t="s">
        <v>59</v>
      </c>
      <c r="CO68" s="9"/>
      <c r="CP68" s="9"/>
      <c r="CQ68" s="10" t="s">
        <v>59</v>
      </c>
      <c r="CR68" s="7"/>
      <c r="CS68" s="7"/>
      <c r="CT68" s="10" t="s">
        <v>59</v>
      </c>
      <c r="CU68" s="7"/>
      <c r="CV68" s="7"/>
      <c r="CW68" s="10" t="s">
        <v>59</v>
      </c>
      <c r="CX68" s="7"/>
      <c r="CY68" s="7"/>
      <c r="CZ68" s="10" t="s">
        <v>59</v>
      </c>
      <c r="DA68" s="9"/>
      <c r="DB68" s="9"/>
      <c r="DC68" s="10" t="s">
        <v>59</v>
      </c>
      <c r="DD68" s="7"/>
      <c r="DE68" s="7"/>
      <c r="DF68" s="10" t="s">
        <v>59</v>
      </c>
      <c r="DG68" s="7"/>
      <c r="DH68" s="7"/>
      <c r="DI68" s="10" t="s">
        <v>59</v>
      </c>
      <c r="DJ68" s="7"/>
      <c r="DK68" s="7"/>
      <c r="DL68" s="10" t="s">
        <v>59</v>
      </c>
      <c r="DM68" s="9"/>
      <c r="DN68" s="9"/>
      <c r="DO68" s="10" t="s">
        <v>59</v>
      </c>
      <c r="DP68" s="7"/>
      <c r="DQ68" s="7"/>
      <c r="DR68" s="10" t="s">
        <v>59</v>
      </c>
      <c r="DS68" s="7"/>
      <c r="DT68" s="7"/>
      <c r="DU68" s="10" t="s">
        <v>59</v>
      </c>
      <c r="DV68" s="7"/>
      <c r="DW68" s="7"/>
      <c r="DX68" s="10" t="s">
        <v>59</v>
      </c>
      <c r="DY68" s="9"/>
      <c r="DZ68" s="9"/>
      <c r="EA68" s="10" t="s">
        <v>59</v>
      </c>
      <c r="EB68" s="7"/>
      <c r="EC68" s="7"/>
      <c r="ED68" s="10" t="s">
        <v>59</v>
      </c>
      <c r="EE68" s="7"/>
      <c r="EF68" s="7"/>
      <c r="EG68" s="10" t="s">
        <v>59</v>
      </c>
      <c r="EH68" s="7"/>
      <c r="EI68" s="7"/>
      <c r="EJ68" s="10" t="s">
        <v>59</v>
      </c>
      <c r="EK68" s="9"/>
      <c r="EL68" s="9"/>
      <c r="EM68" s="10" t="s">
        <v>59</v>
      </c>
      <c r="EN68" s="7"/>
      <c r="EO68" s="7"/>
      <c r="EP68" s="10" t="s">
        <v>59</v>
      </c>
      <c r="EQ68" s="7"/>
      <c r="ER68" s="7"/>
      <c r="ES68" s="10" t="s">
        <v>59</v>
      </c>
      <c r="ET68" s="7"/>
      <c r="EU68" s="7"/>
      <c r="EV68" s="10" t="s">
        <v>59</v>
      </c>
      <c r="EW68" s="9"/>
      <c r="EX68" s="9"/>
      <c r="EY68" s="10" t="s">
        <v>59</v>
      </c>
      <c r="EZ68" s="7"/>
      <c r="FA68" s="7"/>
      <c r="FB68" s="10" t="s">
        <v>59</v>
      </c>
      <c r="FC68" s="7"/>
      <c r="FD68" s="7"/>
      <c r="FE68" s="10" t="s">
        <v>59</v>
      </c>
      <c r="FF68" s="7"/>
      <c r="FG68" s="7"/>
      <c r="FH68" s="10" t="s">
        <v>59</v>
      </c>
      <c r="FI68" s="9"/>
      <c r="FJ68" s="9"/>
      <c r="FK68" s="10" t="s">
        <v>59</v>
      </c>
      <c r="FL68" s="7"/>
      <c r="FM68" s="7"/>
      <c r="FN68" s="10" t="s">
        <v>59</v>
      </c>
      <c r="FO68" s="7"/>
      <c r="FP68" s="7"/>
      <c r="FQ68" s="10" t="s">
        <v>59</v>
      </c>
      <c r="FR68" s="7">
        <v>600</v>
      </c>
      <c r="FS68" s="7">
        <v>5000</v>
      </c>
      <c r="FT68" s="10" t="s">
        <v>59</v>
      </c>
      <c r="FU68" s="9"/>
      <c r="FV68" s="9"/>
      <c r="FW68" s="10" t="s">
        <v>59</v>
      </c>
      <c r="FX68" s="7"/>
      <c r="FY68" s="7"/>
      <c r="FZ68" s="10" t="s">
        <v>59</v>
      </c>
      <c r="GA68" s="7"/>
      <c r="GB68" s="7"/>
      <c r="GC68" s="10" t="s">
        <v>59</v>
      </c>
      <c r="GD68" s="7">
        <v>1172</v>
      </c>
      <c r="GE68" s="7">
        <v>5230</v>
      </c>
      <c r="GF68" s="10" t="s">
        <v>59</v>
      </c>
      <c r="GG68" s="7"/>
      <c r="GH68" s="7"/>
      <c r="GI68" s="10" t="s">
        <v>59</v>
      </c>
      <c r="GJ68" s="7"/>
      <c r="GK68" s="7"/>
      <c r="GL68" s="10" t="s">
        <v>59</v>
      </c>
      <c r="GM68" s="7"/>
      <c r="GN68" s="7"/>
      <c r="GO68" s="6" t="s">
        <v>59</v>
      </c>
      <c r="GP68" s="7">
        <v>1000</v>
      </c>
      <c r="GQ68" s="7">
        <v>11000</v>
      </c>
      <c r="GR68" s="10"/>
      <c r="GS68" s="7"/>
      <c r="GT68" s="7"/>
      <c r="GU68" s="6"/>
      <c r="GV68" s="7"/>
      <c r="GW68" s="7"/>
      <c r="GX68" s="10" t="s">
        <v>59</v>
      </c>
      <c r="GY68" s="7"/>
      <c r="GZ68" s="7"/>
      <c r="HA68" s="10" t="s">
        <v>59</v>
      </c>
      <c r="HB68" s="7">
        <v>1100</v>
      </c>
      <c r="HC68" s="7">
        <v>6000</v>
      </c>
      <c r="HD68" s="10" t="s">
        <v>59</v>
      </c>
      <c r="HE68" s="7"/>
      <c r="HF68" s="7"/>
      <c r="HG68" s="10" t="s">
        <v>59</v>
      </c>
      <c r="HH68" s="7"/>
      <c r="HI68" s="7"/>
      <c r="HJ68" s="10" t="s">
        <v>59</v>
      </c>
      <c r="HK68" s="7"/>
      <c r="HL68" s="7"/>
      <c r="HM68" s="10" t="s">
        <v>59</v>
      </c>
      <c r="HN68" s="7">
        <v>300</v>
      </c>
      <c r="HO68" s="7">
        <v>2000</v>
      </c>
      <c r="HP68" s="10" t="s">
        <v>59</v>
      </c>
      <c r="HQ68" s="7"/>
      <c r="HR68" s="7"/>
      <c r="HS68" s="10" t="s">
        <v>59</v>
      </c>
      <c r="HT68" s="7"/>
      <c r="HU68" s="7"/>
      <c r="HV68" s="10" t="s">
        <v>59</v>
      </c>
      <c r="HW68" s="7"/>
      <c r="HX68" s="7"/>
      <c r="HY68" s="6" t="s">
        <v>59</v>
      </c>
      <c r="HZ68" s="7">
        <v>1115</v>
      </c>
      <c r="IA68" s="7">
        <v>3750</v>
      </c>
      <c r="IC68" s="7"/>
      <c r="ID68" s="7"/>
      <c r="IE68" s="6"/>
      <c r="IF68" s="7"/>
      <c r="IG68" s="7"/>
      <c r="II68" s="7"/>
      <c r="IJ68" s="7"/>
      <c r="IK68" s="7"/>
      <c r="IL68" s="7"/>
      <c r="IM68" s="7"/>
      <c r="IN68" s="7"/>
      <c r="IP68" s="7"/>
      <c r="IQ68" s="7"/>
      <c r="IR68" s="7"/>
      <c r="IS68" s="7"/>
      <c r="IT68" s="7"/>
      <c r="IU68" s="7"/>
      <c r="IV68" s="7"/>
      <c r="IW68" s="7"/>
      <c r="IX68" s="7"/>
      <c r="IY68" s="7"/>
      <c r="IZ68" s="7"/>
      <c r="JA68" s="7"/>
      <c r="JB68" s="7"/>
      <c r="JC68" s="7"/>
      <c r="JE68" s="7"/>
      <c r="JF68" s="7"/>
      <c r="JH68" s="7"/>
      <c r="JI68" s="7"/>
      <c r="JJ68" s="7"/>
      <c r="JK68" s="7"/>
      <c r="JL68" s="7"/>
      <c r="JM68" s="7"/>
      <c r="JO68" s="7"/>
      <c r="JP68" s="7"/>
      <c r="JQ68" s="7"/>
      <c r="JR68" s="7"/>
      <c r="JT68" s="7"/>
      <c r="JU68" s="7"/>
      <c r="JV68" s="7"/>
      <c r="JW68" s="7"/>
      <c r="JX68" s="7"/>
    </row>
    <row r="69" spans="1:284" x14ac:dyDescent="0.3">
      <c r="A69" t="s">
        <v>244</v>
      </c>
      <c r="B69" s="10" t="s">
        <v>40</v>
      </c>
      <c r="C69" s="7"/>
      <c r="D69" s="7"/>
      <c r="E69" s="10" t="s">
        <v>40</v>
      </c>
      <c r="F69" s="7"/>
      <c r="G69" s="7"/>
      <c r="H69" s="10" t="s">
        <v>40</v>
      </c>
      <c r="I69" s="9"/>
      <c r="J69" s="9"/>
      <c r="K69" s="10" t="s">
        <v>40</v>
      </c>
      <c r="L69" s="7"/>
      <c r="M69" s="7"/>
      <c r="N69" s="10" t="s">
        <v>40</v>
      </c>
      <c r="O69" s="7"/>
      <c r="P69" s="7"/>
      <c r="Q69" s="10" t="s">
        <v>40</v>
      </c>
      <c r="R69" s="7"/>
      <c r="S69" s="7"/>
      <c r="T69" s="10" t="s">
        <v>40</v>
      </c>
      <c r="U69" s="9"/>
      <c r="V69" s="9"/>
      <c r="W69" s="10" t="s">
        <v>40</v>
      </c>
      <c r="X69" s="7"/>
      <c r="Y69" s="7"/>
      <c r="Z69" s="10" t="s">
        <v>40</v>
      </c>
      <c r="AA69" s="7"/>
      <c r="AB69" s="7"/>
      <c r="AC69" s="10" t="s">
        <v>40</v>
      </c>
      <c r="AD69" s="7"/>
      <c r="AE69" s="7"/>
      <c r="AF69" s="10" t="s">
        <v>40</v>
      </c>
      <c r="AG69" s="9"/>
      <c r="AH69" s="9"/>
      <c r="AI69" s="10" t="s">
        <v>40</v>
      </c>
      <c r="AJ69" s="7"/>
      <c r="AK69" s="7"/>
      <c r="AL69" s="10" t="s">
        <v>40</v>
      </c>
      <c r="AM69" s="7"/>
      <c r="AN69" s="7"/>
      <c r="AO69" s="10" t="s">
        <v>40</v>
      </c>
      <c r="AP69" s="7"/>
      <c r="AQ69" s="7"/>
      <c r="AR69" s="10" t="s">
        <v>40</v>
      </c>
      <c r="AS69" s="9"/>
      <c r="AT69" s="9"/>
      <c r="AU69" s="10" t="s">
        <v>40</v>
      </c>
      <c r="AV69" s="7"/>
      <c r="AW69" s="7"/>
      <c r="AX69" s="10" t="s">
        <v>40</v>
      </c>
      <c r="AY69" s="7"/>
      <c r="AZ69" s="7"/>
      <c r="BA69" s="10" t="s">
        <v>40</v>
      </c>
      <c r="BB69" s="7"/>
      <c r="BC69" s="7"/>
      <c r="BD69" s="10" t="s">
        <v>40</v>
      </c>
      <c r="BE69" s="9"/>
      <c r="BF69" s="9"/>
      <c r="BG69" s="10" t="s">
        <v>40</v>
      </c>
      <c r="BH69" s="7"/>
      <c r="BI69" s="7"/>
      <c r="BJ69" s="10" t="s">
        <v>40</v>
      </c>
      <c r="BK69" s="7"/>
      <c r="BL69" s="7"/>
      <c r="BM69" s="10" t="s">
        <v>40</v>
      </c>
      <c r="BN69" s="7"/>
      <c r="BO69" s="7"/>
      <c r="BP69" s="10" t="s">
        <v>40</v>
      </c>
      <c r="BQ69" s="9"/>
      <c r="BR69" s="9"/>
      <c r="BS69" s="10" t="s">
        <v>40</v>
      </c>
      <c r="BT69" s="7"/>
      <c r="BU69" s="7"/>
      <c r="BV69" s="10" t="s">
        <v>40</v>
      </c>
      <c r="BW69" s="7"/>
      <c r="BX69" s="7"/>
      <c r="BY69" s="10" t="s">
        <v>40</v>
      </c>
      <c r="BZ69" s="7"/>
      <c r="CA69" s="7"/>
      <c r="CB69" s="10" t="s">
        <v>40</v>
      </c>
      <c r="CC69" s="9"/>
      <c r="CD69" s="9"/>
      <c r="CE69" s="10" t="s">
        <v>40</v>
      </c>
      <c r="CF69" s="7"/>
      <c r="CG69" s="7"/>
      <c r="CH69" s="10" t="s">
        <v>40</v>
      </c>
      <c r="CI69" s="7"/>
      <c r="CJ69" s="7"/>
      <c r="CK69" s="10" t="s">
        <v>40</v>
      </c>
      <c r="CL69" s="7"/>
      <c r="CM69" s="7"/>
      <c r="CN69" s="10" t="s">
        <v>40</v>
      </c>
      <c r="CO69" s="9"/>
      <c r="CP69" s="9"/>
      <c r="CQ69" s="10" t="s">
        <v>40</v>
      </c>
      <c r="CR69" s="7"/>
      <c r="CS69" s="7"/>
      <c r="CT69" s="10" t="s">
        <v>40</v>
      </c>
      <c r="CU69" s="7"/>
      <c r="CV69" s="7"/>
      <c r="CW69" s="10" t="s">
        <v>40</v>
      </c>
      <c r="CX69" s="7"/>
      <c r="CY69" s="7"/>
      <c r="CZ69" s="10" t="s">
        <v>40</v>
      </c>
      <c r="DA69" s="9"/>
      <c r="DB69" s="9"/>
      <c r="DC69" s="10" t="s">
        <v>40</v>
      </c>
      <c r="DD69" s="7"/>
      <c r="DE69" s="7"/>
      <c r="DF69" s="10" t="s">
        <v>40</v>
      </c>
      <c r="DG69" s="7"/>
      <c r="DH69" s="7"/>
      <c r="DI69" s="10" t="s">
        <v>40</v>
      </c>
      <c r="DJ69" s="7"/>
      <c r="DK69" s="7"/>
      <c r="DL69" s="10" t="s">
        <v>40</v>
      </c>
      <c r="DM69" s="9"/>
      <c r="DN69" s="9"/>
      <c r="DO69" s="10" t="s">
        <v>40</v>
      </c>
      <c r="DP69" s="7"/>
      <c r="DQ69" s="7"/>
      <c r="DR69" s="10" t="s">
        <v>40</v>
      </c>
      <c r="DS69" s="7"/>
      <c r="DT69" s="7"/>
      <c r="DU69" s="10" t="s">
        <v>40</v>
      </c>
      <c r="DV69" s="7"/>
      <c r="DW69" s="7"/>
      <c r="DX69" s="10" t="s">
        <v>40</v>
      </c>
      <c r="DY69" s="9"/>
      <c r="DZ69" s="9"/>
      <c r="EA69" s="10" t="s">
        <v>40</v>
      </c>
      <c r="EB69" s="7"/>
      <c r="EC69" s="7"/>
      <c r="ED69" s="10" t="s">
        <v>40</v>
      </c>
      <c r="EE69" s="7"/>
      <c r="EF69" s="7"/>
      <c r="EG69" s="10" t="s">
        <v>40</v>
      </c>
      <c r="EH69" s="7"/>
      <c r="EI69" s="7"/>
      <c r="EJ69" s="10" t="s">
        <v>40</v>
      </c>
      <c r="EK69" s="9"/>
      <c r="EL69" s="9"/>
      <c r="EM69" s="10" t="s">
        <v>40</v>
      </c>
      <c r="EN69" s="7"/>
      <c r="EO69" s="7"/>
      <c r="EP69" s="10" t="s">
        <v>40</v>
      </c>
      <c r="EQ69" s="7"/>
      <c r="ER69" s="7"/>
      <c r="ES69" s="10" t="s">
        <v>40</v>
      </c>
      <c r="ET69" s="7"/>
      <c r="EU69" s="7"/>
      <c r="EV69" s="10" t="s">
        <v>40</v>
      </c>
      <c r="EW69" s="9"/>
      <c r="EX69" s="9"/>
      <c r="EY69" s="10" t="s">
        <v>40</v>
      </c>
      <c r="EZ69" s="7"/>
      <c r="FA69" s="7"/>
      <c r="FB69" s="10" t="s">
        <v>40</v>
      </c>
      <c r="FC69" s="7"/>
      <c r="FD69" s="7"/>
      <c r="FE69" s="10" t="s">
        <v>40</v>
      </c>
      <c r="FF69" s="7"/>
      <c r="FG69" s="7"/>
      <c r="FH69" s="10" t="s">
        <v>40</v>
      </c>
      <c r="FI69" s="9"/>
      <c r="FJ69" s="9"/>
      <c r="FK69" s="10" t="s">
        <v>40</v>
      </c>
      <c r="FL69" s="7"/>
      <c r="FM69" s="7"/>
      <c r="FN69" s="10" t="s">
        <v>40</v>
      </c>
      <c r="FO69" s="7"/>
      <c r="FP69" s="7"/>
      <c r="FQ69" s="10" t="s">
        <v>40</v>
      </c>
      <c r="FR69" s="7">
        <v>30</v>
      </c>
      <c r="FS69" s="7">
        <v>600</v>
      </c>
      <c r="FT69" s="10" t="s">
        <v>40</v>
      </c>
      <c r="FU69" s="9"/>
      <c r="FV69" s="9"/>
      <c r="FW69" s="10" t="s">
        <v>40</v>
      </c>
      <c r="FX69" s="7">
        <v>200</v>
      </c>
      <c r="FY69" s="7">
        <v>2500</v>
      </c>
      <c r="FZ69" s="10" t="s">
        <v>40</v>
      </c>
      <c r="GA69" s="7"/>
      <c r="GB69" s="7"/>
      <c r="GC69" s="10" t="s">
        <v>40</v>
      </c>
      <c r="GD69" s="7">
        <v>147</v>
      </c>
      <c r="GE69" s="7">
        <v>2128</v>
      </c>
      <c r="GF69" s="10" t="s">
        <v>40</v>
      </c>
      <c r="GG69" s="7"/>
      <c r="GH69" s="7"/>
      <c r="GI69" s="10" t="s">
        <v>40</v>
      </c>
      <c r="GJ69" s="7">
        <v>135</v>
      </c>
      <c r="GK69" s="7">
        <v>2650</v>
      </c>
      <c r="GL69" s="10" t="s">
        <v>40</v>
      </c>
      <c r="GM69" s="7"/>
      <c r="GN69" s="7"/>
      <c r="GO69" s="10" t="s">
        <v>40</v>
      </c>
      <c r="GP69" s="7">
        <v>15</v>
      </c>
      <c r="GQ69" s="7">
        <v>2400</v>
      </c>
      <c r="GR69" s="10" t="s">
        <v>40</v>
      </c>
      <c r="GS69" s="7"/>
      <c r="GT69" s="7"/>
      <c r="GU69" s="6" t="s">
        <v>40</v>
      </c>
      <c r="GV69" s="7">
        <v>5</v>
      </c>
      <c r="GW69" s="7">
        <v>1200</v>
      </c>
      <c r="GX69" s="10" t="s">
        <v>40</v>
      </c>
      <c r="GY69" s="7"/>
      <c r="GZ69" s="7"/>
      <c r="HA69" s="10" t="s">
        <v>40</v>
      </c>
      <c r="HB69" s="7">
        <v>150</v>
      </c>
      <c r="HC69" s="7">
        <v>2000</v>
      </c>
      <c r="HD69" s="10" t="s">
        <v>40</v>
      </c>
      <c r="HE69" s="7"/>
      <c r="HF69" s="7"/>
      <c r="HG69" s="10" t="s">
        <v>40</v>
      </c>
      <c r="HH69" s="7">
        <v>300</v>
      </c>
      <c r="HI69" s="7">
        <v>4000</v>
      </c>
      <c r="HJ69" s="10" t="s">
        <v>40</v>
      </c>
      <c r="HK69" s="7"/>
      <c r="HL69" s="7"/>
      <c r="HM69" s="10" t="s">
        <v>40</v>
      </c>
      <c r="HN69" s="7">
        <v>140</v>
      </c>
      <c r="HO69" s="7">
        <v>1800</v>
      </c>
      <c r="HP69" s="10" t="s">
        <v>40</v>
      </c>
      <c r="HQ69" s="7"/>
      <c r="HR69" s="7"/>
      <c r="HS69" s="10" t="s">
        <v>40</v>
      </c>
      <c r="HT69" s="7">
        <v>250</v>
      </c>
      <c r="HU69" s="7">
        <v>2800</v>
      </c>
      <c r="HV69" s="10" t="s">
        <v>40</v>
      </c>
      <c r="HW69" s="7"/>
      <c r="HX69" s="7"/>
      <c r="HY69" s="10" t="s">
        <v>40</v>
      </c>
      <c r="HZ69" s="7">
        <v>10</v>
      </c>
      <c r="IA69" s="7">
        <v>200</v>
      </c>
      <c r="IB69" s="10" t="s">
        <v>40</v>
      </c>
      <c r="IC69" s="7"/>
      <c r="ID69" s="7"/>
      <c r="IE69" s="6" t="s">
        <v>40</v>
      </c>
      <c r="IF69" s="7">
        <v>79</v>
      </c>
      <c r="IG69" s="7">
        <v>840</v>
      </c>
      <c r="II69" s="7"/>
      <c r="IJ69" s="7"/>
      <c r="IK69" s="7"/>
      <c r="IL69" s="7"/>
      <c r="IM69" s="7"/>
      <c r="IN69" s="7"/>
      <c r="IP69" s="7"/>
      <c r="IQ69" s="7"/>
      <c r="IR69" s="7"/>
      <c r="IS69" s="7"/>
      <c r="IT69" s="7"/>
      <c r="IV69" s="7"/>
      <c r="IW69" s="7"/>
      <c r="IX69" s="7"/>
      <c r="IY69" s="7"/>
      <c r="IZ69" s="7"/>
      <c r="JB69" s="7"/>
      <c r="JC69" s="7"/>
      <c r="JE69" s="7"/>
      <c r="JF69" s="7"/>
      <c r="JH69" s="7"/>
      <c r="JI69" s="7"/>
      <c r="JJ69" s="7"/>
      <c r="JK69" s="7"/>
      <c r="JL69" s="7"/>
      <c r="JM69" s="7"/>
      <c r="JO69" s="7"/>
      <c r="JP69" s="7"/>
      <c r="JQ69" s="7"/>
      <c r="JR69" s="7"/>
      <c r="JT69" s="7"/>
      <c r="JU69" s="7"/>
      <c r="JV69" s="7"/>
      <c r="JW69" s="7"/>
      <c r="JX69" s="7"/>
    </row>
    <row r="70" spans="1:284" x14ac:dyDescent="0.3">
      <c r="A70" t="s">
        <v>245</v>
      </c>
      <c r="B70" s="10" t="s">
        <v>42</v>
      </c>
      <c r="C70" s="7"/>
      <c r="D70" s="7"/>
      <c r="E70" s="10" t="s">
        <v>42</v>
      </c>
      <c r="F70" s="7"/>
      <c r="G70" s="7"/>
      <c r="H70" s="10" t="s">
        <v>42</v>
      </c>
      <c r="I70" s="9"/>
      <c r="J70" s="9"/>
      <c r="K70" s="10" t="s">
        <v>42</v>
      </c>
      <c r="L70" s="7"/>
      <c r="M70" s="7"/>
      <c r="N70" s="10" t="s">
        <v>42</v>
      </c>
      <c r="O70" s="7"/>
      <c r="P70" s="7"/>
      <c r="Q70" s="10" t="s">
        <v>42</v>
      </c>
      <c r="R70" s="7"/>
      <c r="S70" s="7"/>
      <c r="T70" s="10" t="s">
        <v>42</v>
      </c>
      <c r="U70" s="9"/>
      <c r="V70" s="9"/>
      <c r="W70" s="10" t="s">
        <v>42</v>
      </c>
      <c r="X70" s="7"/>
      <c r="Y70" s="7"/>
      <c r="Z70" s="10" t="s">
        <v>42</v>
      </c>
      <c r="AA70" s="7"/>
      <c r="AB70" s="7"/>
      <c r="AC70" s="10" t="s">
        <v>42</v>
      </c>
      <c r="AD70" s="7"/>
      <c r="AE70" s="7"/>
      <c r="AF70" s="10" t="s">
        <v>42</v>
      </c>
      <c r="AG70" s="9"/>
      <c r="AH70" s="9"/>
      <c r="AI70" s="10" t="s">
        <v>42</v>
      </c>
      <c r="AJ70" s="7"/>
      <c r="AK70" s="7"/>
      <c r="AL70" s="10" t="s">
        <v>42</v>
      </c>
      <c r="AM70" s="7"/>
      <c r="AN70" s="7"/>
      <c r="AO70" s="10" t="s">
        <v>42</v>
      </c>
      <c r="AP70" s="7"/>
      <c r="AQ70" s="7"/>
      <c r="AR70" s="10" t="s">
        <v>42</v>
      </c>
      <c r="AS70" s="9"/>
      <c r="AT70" s="9"/>
      <c r="AU70" s="10" t="s">
        <v>42</v>
      </c>
      <c r="AV70" s="7"/>
      <c r="AW70" s="7"/>
      <c r="AX70" s="10" t="s">
        <v>42</v>
      </c>
      <c r="AY70" s="7"/>
      <c r="AZ70" s="7"/>
      <c r="BA70" s="10" t="s">
        <v>42</v>
      </c>
      <c r="BB70" s="7"/>
      <c r="BC70" s="7"/>
      <c r="BD70" s="10" t="s">
        <v>42</v>
      </c>
      <c r="BE70" s="9"/>
      <c r="BF70" s="9"/>
      <c r="BG70" s="10" t="s">
        <v>42</v>
      </c>
      <c r="BH70" s="7"/>
      <c r="BI70" s="7"/>
      <c r="BJ70" s="10" t="s">
        <v>42</v>
      </c>
      <c r="BK70" s="7"/>
      <c r="BL70" s="7"/>
      <c r="BM70" s="10" t="s">
        <v>42</v>
      </c>
      <c r="BN70" s="7"/>
      <c r="BO70" s="7"/>
      <c r="BP70" s="10" t="s">
        <v>42</v>
      </c>
      <c r="BQ70" s="9"/>
      <c r="BR70" s="9"/>
      <c r="BS70" s="10" t="s">
        <v>42</v>
      </c>
      <c r="BT70" s="7"/>
      <c r="BU70" s="7"/>
      <c r="BV70" s="10" t="s">
        <v>42</v>
      </c>
      <c r="BW70" s="7"/>
      <c r="BX70" s="7"/>
      <c r="BY70" s="10" t="s">
        <v>42</v>
      </c>
      <c r="BZ70" s="7"/>
      <c r="CA70" s="7"/>
      <c r="CB70" s="10" t="s">
        <v>42</v>
      </c>
      <c r="CC70" s="9"/>
      <c r="CD70" s="9"/>
      <c r="CE70" s="10" t="s">
        <v>42</v>
      </c>
      <c r="CF70" s="7"/>
      <c r="CG70" s="7"/>
      <c r="CH70" s="10" t="s">
        <v>42</v>
      </c>
      <c r="CI70" s="7"/>
      <c r="CJ70" s="7"/>
      <c r="CK70" s="10" t="s">
        <v>42</v>
      </c>
      <c r="CL70" s="7"/>
      <c r="CM70" s="7"/>
      <c r="CN70" s="10" t="s">
        <v>42</v>
      </c>
      <c r="CO70" s="9"/>
      <c r="CP70" s="9"/>
      <c r="CQ70" s="10" t="s">
        <v>42</v>
      </c>
      <c r="CR70" s="7"/>
      <c r="CS70" s="7"/>
      <c r="CT70" s="10" t="s">
        <v>42</v>
      </c>
      <c r="CU70" s="7"/>
      <c r="CV70" s="7"/>
      <c r="CW70" s="10" t="s">
        <v>42</v>
      </c>
      <c r="CX70" s="7"/>
      <c r="CY70" s="7"/>
      <c r="CZ70" s="10" t="s">
        <v>42</v>
      </c>
      <c r="DA70" s="9"/>
      <c r="DB70" s="9"/>
      <c r="DC70" s="10" t="s">
        <v>42</v>
      </c>
      <c r="DD70" s="7"/>
      <c r="DE70" s="7"/>
      <c r="DF70" s="10" t="s">
        <v>42</v>
      </c>
      <c r="DG70" s="7"/>
      <c r="DH70" s="7"/>
      <c r="DI70" s="10" t="s">
        <v>42</v>
      </c>
      <c r="DJ70" s="7"/>
      <c r="DK70" s="7"/>
      <c r="DL70" s="10" t="s">
        <v>42</v>
      </c>
      <c r="DM70" s="9"/>
      <c r="DN70" s="9"/>
      <c r="DO70" s="10" t="s">
        <v>42</v>
      </c>
      <c r="DP70" s="7"/>
      <c r="DQ70" s="7"/>
      <c r="DR70" s="10" t="s">
        <v>42</v>
      </c>
      <c r="DS70" s="7"/>
      <c r="DT70" s="7"/>
      <c r="DU70" s="10" t="s">
        <v>42</v>
      </c>
      <c r="DV70" s="7"/>
      <c r="DW70" s="7"/>
      <c r="DX70" s="10" t="s">
        <v>42</v>
      </c>
      <c r="DY70" s="9"/>
      <c r="DZ70" s="9"/>
      <c r="EA70" s="10" t="s">
        <v>42</v>
      </c>
      <c r="EB70" s="7"/>
      <c r="EC70" s="7"/>
      <c r="ED70" s="10" t="s">
        <v>42</v>
      </c>
      <c r="EE70" s="7"/>
      <c r="EF70" s="7"/>
      <c r="EG70" s="10" t="s">
        <v>42</v>
      </c>
      <c r="EH70" s="7"/>
      <c r="EI70" s="7"/>
      <c r="EJ70" s="10" t="s">
        <v>42</v>
      </c>
      <c r="EK70" s="9"/>
      <c r="EL70" s="9"/>
      <c r="EM70" s="10" t="s">
        <v>42</v>
      </c>
      <c r="EN70" s="7"/>
      <c r="EO70" s="7"/>
      <c r="EP70" s="10" t="s">
        <v>42</v>
      </c>
      <c r="EQ70" s="7"/>
      <c r="ER70" s="7"/>
      <c r="ES70" s="10" t="s">
        <v>42</v>
      </c>
      <c r="ET70" s="7"/>
      <c r="EU70" s="7"/>
      <c r="EV70" s="10" t="s">
        <v>42</v>
      </c>
      <c r="EW70" s="9"/>
      <c r="EX70" s="9"/>
      <c r="EY70" s="10" t="s">
        <v>42</v>
      </c>
      <c r="EZ70" s="7"/>
      <c r="FA70" s="7"/>
      <c r="FB70" s="10" t="s">
        <v>42</v>
      </c>
      <c r="FC70" s="7"/>
      <c r="FD70" s="7"/>
      <c r="FE70" s="10" t="s">
        <v>42</v>
      </c>
      <c r="FF70" s="7"/>
      <c r="FG70" s="7"/>
      <c r="FH70" s="10" t="s">
        <v>42</v>
      </c>
      <c r="FI70" s="9"/>
      <c r="FJ70" s="9"/>
      <c r="FK70" s="10" t="s">
        <v>42</v>
      </c>
      <c r="FL70" s="7"/>
      <c r="FM70" s="7"/>
      <c r="FN70" s="10" t="s">
        <v>42</v>
      </c>
      <c r="FO70" s="7"/>
      <c r="FP70" s="7"/>
      <c r="FQ70" s="10" t="s">
        <v>42</v>
      </c>
      <c r="FR70" s="7">
        <v>500</v>
      </c>
      <c r="FS70" s="7">
        <v>1600</v>
      </c>
      <c r="FT70" s="10" t="s">
        <v>42</v>
      </c>
      <c r="FU70" s="9"/>
      <c r="FV70" s="9"/>
      <c r="FW70" s="10" t="s">
        <v>42</v>
      </c>
      <c r="FX70" s="7"/>
      <c r="FY70" s="7"/>
      <c r="FZ70" s="10" t="s">
        <v>42</v>
      </c>
      <c r="GA70" s="7"/>
      <c r="GB70" s="7"/>
      <c r="GC70" s="10" t="s">
        <v>42</v>
      </c>
      <c r="GD70" s="7">
        <v>480</v>
      </c>
      <c r="GE70" s="7">
        <v>1806</v>
      </c>
      <c r="GF70" s="10" t="s">
        <v>42</v>
      </c>
      <c r="GG70" s="7"/>
      <c r="GH70" s="7"/>
      <c r="GI70" s="10" t="s">
        <v>42</v>
      </c>
      <c r="GJ70" s="7"/>
      <c r="GK70" s="7"/>
      <c r="GL70" s="10" t="s">
        <v>42</v>
      </c>
      <c r="GM70" s="7"/>
      <c r="GN70" s="7"/>
      <c r="GO70" s="6" t="s">
        <v>42</v>
      </c>
      <c r="GP70" s="7">
        <v>427</v>
      </c>
      <c r="GQ70" s="7">
        <v>2000</v>
      </c>
      <c r="GR70" s="10"/>
      <c r="GS70" s="7"/>
      <c r="GT70" s="7"/>
      <c r="GU70" s="6"/>
      <c r="GV70" s="7"/>
      <c r="GW70" s="7"/>
      <c r="GX70" s="10" t="s">
        <v>42</v>
      </c>
      <c r="GY70" s="7"/>
      <c r="GZ70" s="7"/>
      <c r="HA70" s="10" t="s">
        <v>42</v>
      </c>
      <c r="HB70" s="7">
        <v>300</v>
      </c>
      <c r="HC70" s="7">
        <v>1500</v>
      </c>
      <c r="HD70" s="10" t="s">
        <v>42</v>
      </c>
      <c r="HE70" s="7"/>
      <c r="HF70" s="7"/>
      <c r="HG70" s="10" t="s">
        <v>42</v>
      </c>
      <c r="HH70" s="7"/>
      <c r="HI70" s="7"/>
      <c r="HJ70" s="10" t="s">
        <v>42</v>
      </c>
      <c r="HK70" s="7"/>
      <c r="HL70" s="7"/>
      <c r="HM70" s="6" t="s">
        <v>42</v>
      </c>
      <c r="HN70" s="7">
        <v>200</v>
      </c>
      <c r="HO70" s="7">
        <v>1600</v>
      </c>
      <c r="HP70" s="10" t="s">
        <v>40</v>
      </c>
      <c r="HQ70" s="7"/>
      <c r="HR70" s="7"/>
      <c r="HS70" s="10" t="s">
        <v>40</v>
      </c>
      <c r="HT70" s="7"/>
      <c r="HU70" s="7"/>
      <c r="HV70" s="10" t="s">
        <v>40</v>
      </c>
      <c r="HW70" s="7"/>
      <c r="HX70" s="7"/>
      <c r="HY70" s="6" t="s">
        <v>40</v>
      </c>
      <c r="HZ70" s="7">
        <v>400</v>
      </c>
      <c r="IA70" s="7">
        <v>1600</v>
      </c>
      <c r="IC70" s="7"/>
      <c r="ID70" s="7"/>
      <c r="IE70" s="6"/>
      <c r="IF70" s="7"/>
      <c r="IG70" s="7"/>
      <c r="II70" s="7"/>
      <c r="IJ70" s="7"/>
      <c r="IK70" s="7"/>
      <c r="IL70" s="7"/>
      <c r="IM70" s="7"/>
      <c r="IN70" s="7"/>
      <c r="IP70" s="7"/>
      <c r="IQ70" s="7"/>
      <c r="IR70" s="7"/>
      <c r="IS70" s="7"/>
      <c r="IT70" s="7"/>
      <c r="IV70" s="7"/>
      <c r="IW70" s="7"/>
      <c r="IX70" s="7"/>
      <c r="IY70" s="7"/>
      <c r="IZ70" s="7"/>
      <c r="JB70" s="7"/>
      <c r="JC70" s="7"/>
      <c r="JE70" s="7"/>
      <c r="JF70" s="7"/>
      <c r="JH70" s="7"/>
      <c r="JI70" s="7"/>
      <c r="JJ70" s="7"/>
      <c r="JK70" s="7"/>
      <c r="JL70" s="7"/>
      <c r="JM70" s="7"/>
      <c r="JO70" s="7"/>
      <c r="JP70" s="7"/>
      <c r="JQ70" s="7"/>
      <c r="JR70" s="7"/>
      <c r="JT70" s="7"/>
      <c r="JU70" s="7"/>
      <c r="JV70" s="7"/>
      <c r="JW70" s="7"/>
      <c r="JX70" s="7"/>
    </row>
    <row r="71" spans="1:284" ht="15.6" x14ac:dyDescent="0.3">
      <c r="A71" t="s">
        <v>246</v>
      </c>
      <c r="B71" s="10" t="s">
        <v>38</v>
      </c>
      <c r="C71" s="3"/>
      <c r="D71" s="8"/>
      <c r="E71" s="10" t="s">
        <v>38</v>
      </c>
      <c r="F71" s="3"/>
      <c r="G71" s="8"/>
      <c r="H71" s="10" t="s">
        <v>38</v>
      </c>
      <c r="I71" s="11"/>
      <c r="J71" s="8"/>
      <c r="K71" s="10" t="s">
        <v>38</v>
      </c>
      <c r="L71" s="3"/>
      <c r="M71" s="8"/>
      <c r="N71" s="10" t="s">
        <v>38</v>
      </c>
      <c r="O71" s="3"/>
      <c r="P71" s="8"/>
      <c r="Q71" s="10" t="s">
        <v>38</v>
      </c>
      <c r="R71" s="3"/>
      <c r="S71" s="8"/>
      <c r="T71" s="10" t="s">
        <v>38</v>
      </c>
      <c r="U71" s="11"/>
      <c r="V71" s="8"/>
      <c r="W71" s="10" t="s">
        <v>38</v>
      </c>
      <c r="X71" s="3"/>
      <c r="Y71" s="8"/>
      <c r="Z71" s="10" t="s">
        <v>38</v>
      </c>
      <c r="AA71" s="3"/>
      <c r="AB71" s="8"/>
      <c r="AC71" s="10" t="s">
        <v>38</v>
      </c>
      <c r="AD71" s="3"/>
      <c r="AE71" s="8"/>
      <c r="AF71" s="10" t="s">
        <v>38</v>
      </c>
      <c r="AG71" s="11"/>
      <c r="AH71" s="8"/>
      <c r="AI71" s="10" t="s">
        <v>38</v>
      </c>
      <c r="AJ71" s="3"/>
      <c r="AK71" s="8"/>
      <c r="AL71" s="10" t="s">
        <v>38</v>
      </c>
      <c r="AM71" s="3"/>
      <c r="AN71" s="8"/>
      <c r="AO71" s="10" t="s">
        <v>38</v>
      </c>
      <c r="AP71" s="3"/>
      <c r="AQ71" s="8"/>
      <c r="AR71" s="10" t="s">
        <v>38</v>
      </c>
      <c r="AS71" s="11"/>
      <c r="AT71" s="8"/>
      <c r="AU71" s="10" t="s">
        <v>38</v>
      </c>
      <c r="AV71" s="3"/>
      <c r="AW71" s="8"/>
      <c r="AX71" s="10" t="s">
        <v>38</v>
      </c>
      <c r="AY71" s="3"/>
      <c r="AZ71" s="8"/>
      <c r="BA71" s="10" t="s">
        <v>38</v>
      </c>
      <c r="BB71" s="3"/>
      <c r="BC71" s="8"/>
      <c r="BD71" s="10" t="s">
        <v>38</v>
      </c>
      <c r="BE71" s="11"/>
      <c r="BF71" s="8"/>
      <c r="BG71" s="10" t="s">
        <v>38</v>
      </c>
      <c r="BH71" s="3"/>
      <c r="BI71" s="8"/>
      <c r="BJ71" s="10" t="s">
        <v>38</v>
      </c>
      <c r="BK71" s="3"/>
      <c r="BL71" s="8"/>
      <c r="BM71" s="10" t="s">
        <v>38</v>
      </c>
      <c r="BN71" s="3"/>
      <c r="BO71" s="8"/>
      <c r="BP71" s="10" t="s">
        <v>38</v>
      </c>
      <c r="BQ71" s="11"/>
      <c r="BR71" s="8"/>
      <c r="BS71" s="10" t="s">
        <v>38</v>
      </c>
      <c r="BT71" s="3"/>
      <c r="BU71" s="8"/>
      <c r="BV71" s="10" t="s">
        <v>38</v>
      </c>
      <c r="BW71" s="3"/>
      <c r="BX71" s="8"/>
      <c r="BY71" s="10" t="s">
        <v>38</v>
      </c>
      <c r="BZ71" s="3"/>
      <c r="CA71" s="8"/>
      <c r="CB71" s="10" t="s">
        <v>38</v>
      </c>
      <c r="CC71" s="11"/>
      <c r="CD71" s="8"/>
      <c r="CE71" s="10" t="s">
        <v>38</v>
      </c>
      <c r="CF71" s="3"/>
      <c r="CG71" s="8"/>
      <c r="CH71" s="10" t="s">
        <v>38</v>
      </c>
      <c r="CI71" s="3"/>
      <c r="CJ71" s="8"/>
      <c r="CK71" s="10" t="s">
        <v>38</v>
      </c>
      <c r="CL71" s="3"/>
      <c r="CM71" s="8"/>
      <c r="CN71" s="10" t="s">
        <v>38</v>
      </c>
      <c r="CO71" s="11"/>
      <c r="CP71" s="8"/>
      <c r="CQ71" s="10" t="s">
        <v>38</v>
      </c>
      <c r="CR71" s="3"/>
      <c r="CS71" s="8"/>
      <c r="CT71" s="10" t="s">
        <v>38</v>
      </c>
      <c r="CU71" s="3"/>
      <c r="CV71" s="8"/>
      <c r="CW71" s="10" t="s">
        <v>38</v>
      </c>
      <c r="CX71" s="3"/>
      <c r="CY71" s="8"/>
      <c r="CZ71" s="10" t="s">
        <v>38</v>
      </c>
      <c r="DA71" s="11"/>
      <c r="DB71" s="8"/>
      <c r="DC71" s="10" t="s">
        <v>38</v>
      </c>
      <c r="DD71" s="3"/>
      <c r="DE71" s="8"/>
      <c r="DF71" s="10" t="s">
        <v>38</v>
      </c>
      <c r="DG71" s="3"/>
      <c r="DH71" s="8"/>
      <c r="DI71" s="10" t="s">
        <v>38</v>
      </c>
      <c r="DJ71" s="3"/>
      <c r="DK71" s="8"/>
      <c r="DL71" s="10" t="s">
        <v>38</v>
      </c>
      <c r="DM71" s="11"/>
      <c r="DN71" s="8"/>
      <c r="DO71" s="10" t="s">
        <v>38</v>
      </c>
      <c r="DP71" s="3"/>
      <c r="DQ71" s="8"/>
      <c r="DR71" s="10" t="s">
        <v>38</v>
      </c>
      <c r="DS71" s="3"/>
      <c r="DT71" s="8"/>
      <c r="DU71" s="10" t="s">
        <v>38</v>
      </c>
      <c r="DV71" s="3"/>
      <c r="DW71" s="8"/>
      <c r="DX71" s="10" t="s">
        <v>38</v>
      </c>
      <c r="DY71" s="11"/>
      <c r="DZ71" s="8"/>
      <c r="EA71" s="10" t="s">
        <v>38</v>
      </c>
      <c r="EB71" s="3"/>
      <c r="EC71" s="8"/>
      <c r="ED71" s="10" t="s">
        <v>38</v>
      </c>
      <c r="EE71" s="3"/>
      <c r="EF71" s="8"/>
      <c r="EG71" s="10" t="s">
        <v>38</v>
      </c>
      <c r="EH71" s="3"/>
      <c r="EI71" s="8"/>
      <c r="EJ71" s="10" t="s">
        <v>38</v>
      </c>
      <c r="EK71" s="11"/>
      <c r="EL71" s="8"/>
      <c r="EM71" s="10" t="s">
        <v>38</v>
      </c>
      <c r="EN71" s="3"/>
      <c r="EO71" s="8"/>
      <c r="EP71" s="10" t="s">
        <v>38</v>
      </c>
      <c r="EQ71" s="3"/>
      <c r="ER71" s="8"/>
      <c r="ES71" s="10" t="s">
        <v>38</v>
      </c>
      <c r="ET71" s="3"/>
      <c r="EU71" s="8"/>
      <c r="EV71" s="10" t="s">
        <v>38</v>
      </c>
      <c r="EW71" s="11"/>
      <c r="EX71" s="8"/>
      <c r="EY71" s="10" t="s">
        <v>38</v>
      </c>
      <c r="EZ71" s="3"/>
      <c r="FA71" s="8"/>
      <c r="FB71" s="10" t="s">
        <v>38</v>
      </c>
      <c r="FC71" s="3"/>
      <c r="FD71" s="8"/>
      <c r="FE71" s="10" t="s">
        <v>38</v>
      </c>
      <c r="FF71" s="3"/>
      <c r="FG71" s="8"/>
      <c r="FH71" s="10" t="s">
        <v>38</v>
      </c>
      <c r="FI71" s="11"/>
      <c r="FJ71" s="8"/>
      <c r="FK71" s="10" t="s">
        <v>38</v>
      </c>
      <c r="FL71" s="3"/>
      <c r="FM71" s="8"/>
      <c r="FN71" s="10" t="s">
        <v>38</v>
      </c>
      <c r="FO71" s="3"/>
      <c r="FP71" s="8"/>
      <c r="FQ71" s="10" t="s">
        <v>38</v>
      </c>
      <c r="FR71" s="3"/>
      <c r="FS71" s="8"/>
      <c r="FT71" s="10" t="s">
        <v>38</v>
      </c>
      <c r="FU71" s="11"/>
      <c r="FV71" s="8"/>
      <c r="FW71" s="10" t="s">
        <v>38</v>
      </c>
      <c r="FX71" s="3"/>
      <c r="FY71" s="8"/>
      <c r="FZ71" s="10" t="s">
        <v>38</v>
      </c>
      <c r="GA71" s="3"/>
      <c r="GB71" s="8"/>
      <c r="GC71" s="10" t="s">
        <v>38</v>
      </c>
      <c r="GD71" s="3"/>
      <c r="GE71" s="8"/>
      <c r="GF71" s="10" t="s">
        <v>38</v>
      </c>
      <c r="GG71" s="3"/>
      <c r="GH71" s="8"/>
      <c r="GI71" s="10" t="s">
        <v>38</v>
      </c>
      <c r="GJ71" s="3"/>
      <c r="GK71" s="8"/>
      <c r="GL71" s="10" t="s">
        <v>38</v>
      </c>
      <c r="GM71" s="7"/>
      <c r="GN71" s="7"/>
      <c r="GO71" s="6" t="s">
        <v>38</v>
      </c>
      <c r="GP71" s="7">
        <v>7</v>
      </c>
      <c r="GQ71" s="7">
        <v>140</v>
      </c>
      <c r="GR71" s="14"/>
      <c r="GS71" s="7"/>
      <c r="GT71" s="7"/>
      <c r="GU71" s="14"/>
      <c r="GV71" s="3"/>
      <c r="GW71" s="8"/>
      <c r="GX71" s="10" t="s">
        <v>38</v>
      </c>
      <c r="GY71" s="7"/>
      <c r="GZ71" s="7"/>
      <c r="HA71" s="10" t="s">
        <v>38</v>
      </c>
      <c r="HB71" s="7">
        <v>5</v>
      </c>
      <c r="HC71" s="7">
        <v>100</v>
      </c>
      <c r="HD71" s="10" t="s">
        <v>38</v>
      </c>
      <c r="HE71" s="3"/>
      <c r="HF71" s="8"/>
      <c r="HG71" s="10" t="s">
        <v>38</v>
      </c>
      <c r="HH71" s="3"/>
      <c r="HI71" s="8"/>
      <c r="HJ71" s="10" t="s">
        <v>38</v>
      </c>
      <c r="HK71" s="7"/>
      <c r="HL71" s="7"/>
      <c r="HM71" s="10" t="s">
        <v>38</v>
      </c>
      <c r="HN71" s="7">
        <v>6</v>
      </c>
      <c r="HO71" s="7">
        <v>120</v>
      </c>
      <c r="HP71" s="10" t="s">
        <v>38</v>
      </c>
      <c r="HQ71" s="3"/>
      <c r="HR71" s="8"/>
      <c r="HS71" s="10" t="s">
        <v>38</v>
      </c>
      <c r="HT71" s="3"/>
      <c r="HU71" s="8"/>
      <c r="HV71" s="10" t="s">
        <v>38</v>
      </c>
      <c r="HW71" s="7"/>
      <c r="HX71" s="7"/>
      <c r="HY71" s="6" t="s">
        <v>38</v>
      </c>
      <c r="HZ71" s="7"/>
      <c r="IA71" s="7"/>
      <c r="IB71" s="12"/>
      <c r="IC71" s="3"/>
      <c r="ID71" s="8"/>
      <c r="IE71" s="14"/>
      <c r="IF71" s="3"/>
      <c r="IG71" s="8"/>
      <c r="IH71" s="10"/>
      <c r="II71" s="3"/>
      <c r="IJ71" s="8"/>
      <c r="IK71" s="3"/>
      <c r="IL71" s="8"/>
      <c r="IM71" s="3"/>
      <c r="IN71" s="8"/>
      <c r="IO71" s="10"/>
      <c r="IP71" s="3"/>
      <c r="IQ71" s="8"/>
      <c r="IR71" s="3"/>
      <c r="IS71" s="8"/>
      <c r="IT71" s="3"/>
      <c r="IU71" s="8"/>
      <c r="IV71" s="3"/>
      <c r="IW71" s="8"/>
      <c r="IX71" s="3"/>
      <c r="IY71" s="8"/>
      <c r="IZ71" s="3"/>
      <c r="JA71" s="8"/>
      <c r="JB71" s="3"/>
      <c r="JC71" s="8"/>
      <c r="JD71" s="12"/>
      <c r="JE71" s="11"/>
      <c r="JF71" s="8"/>
      <c r="JG71" s="12"/>
      <c r="JH71" s="11"/>
      <c r="JI71" s="8"/>
      <c r="JJ71" s="3"/>
      <c r="JK71" s="8"/>
      <c r="JL71" s="3"/>
      <c r="JM71" s="8"/>
      <c r="JN71" s="10"/>
      <c r="JO71" s="7"/>
      <c r="JP71" s="7"/>
      <c r="JQ71" s="7"/>
      <c r="JR71" s="7"/>
      <c r="JS71" s="10"/>
      <c r="JT71" s="7"/>
      <c r="JU71" s="7"/>
      <c r="JV71" s="7"/>
      <c r="JW71" s="7"/>
    </row>
    <row r="72" spans="1:284" x14ac:dyDescent="0.3">
      <c r="A72" t="s">
        <v>247</v>
      </c>
      <c r="B72" s="10" t="s">
        <v>40</v>
      </c>
      <c r="C72" s="7"/>
      <c r="D72" s="7"/>
      <c r="E72" s="10" t="s">
        <v>40</v>
      </c>
      <c r="F72" s="7"/>
      <c r="G72" s="7"/>
      <c r="H72" s="10" t="s">
        <v>40</v>
      </c>
      <c r="I72" s="9"/>
      <c r="J72" s="9"/>
      <c r="K72" s="10" t="s">
        <v>40</v>
      </c>
      <c r="L72" s="7"/>
      <c r="M72" s="7"/>
      <c r="N72" s="10" t="s">
        <v>40</v>
      </c>
      <c r="O72" s="7"/>
      <c r="P72" s="7"/>
      <c r="Q72" s="10" t="s">
        <v>40</v>
      </c>
      <c r="R72" s="7"/>
      <c r="S72" s="7"/>
      <c r="T72" s="10" t="s">
        <v>40</v>
      </c>
      <c r="U72" s="9"/>
      <c r="V72" s="9"/>
      <c r="W72" s="10" t="s">
        <v>40</v>
      </c>
      <c r="X72" s="7"/>
      <c r="Y72" s="7"/>
      <c r="Z72" s="10" t="s">
        <v>40</v>
      </c>
      <c r="AA72" s="7"/>
      <c r="AB72" s="7"/>
      <c r="AC72" s="10" t="s">
        <v>40</v>
      </c>
      <c r="AD72" s="7"/>
      <c r="AE72" s="7"/>
      <c r="AF72" s="10" t="s">
        <v>40</v>
      </c>
      <c r="AG72" s="9"/>
      <c r="AH72" s="9"/>
      <c r="AI72" s="10" t="s">
        <v>40</v>
      </c>
      <c r="AJ72" s="7"/>
      <c r="AK72" s="7"/>
      <c r="AL72" s="10" t="s">
        <v>40</v>
      </c>
      <c r="AM72" s="7"/>
      <c r="AN72" s="7"/>
      <c r="AO72" s="10" t="s">
        <v>40</v>
      </c>
      <c r="AP72" s="7"/>
      <c r="AQ72" s="7"/>
      <c r="AR72" s="10" t="s">
        <v>40</v>
      </c>
      <c r="AS72" s="9"/>
      <c r="AT72" s="9"/>
      <c r="AU72" s="10" t="s">
        <v>40</v>
      </c>
      <c r="AV72" s="7"/>
      <c r="AW72" s="7"/>
      <c r="AX72" s="10" t="s">
        <v>40</v>
      </c>
      <c r="AY72" s="7"/>
      <c r="AZ72" s="7"/>
      <c r="BA72" s="10" t="s">
        <v>40</v>
      </c>
      <c r="BB72" s="7"/>
      <c r="BC72" s="7"/>
      <c r="BD72" s="10" t="s">
        <v>40</v>
      </c>
      <c r="BE72" s="9"/>
      <c r="BF72" s="9"/>
      <c r="BG72" s="10" t="s">
        <v>40</v>
      </c>
      <c r="BH72" s="7"/>
      <c r="BI72" s="7"/>
      <c r="BJ72" s="10" t="s">
        <v>40</v>
      </c>
      <c r="BK72" s="7"/>
      <c r="BL72" s="7"/>
      <c r="BM72" s="10" t="s">
        <v>40</v>
      </c>
      <c r="BN72" s="7"/>
      <c r="BO72" s="7"/>
      <c r="BP72" s="10" t="s">
        <v>40</v>
      </c>
      <c r="BQ72" s="9"/>
      <c r="BR72" s="9"/>
      <c r="BS72" s="10" t="s">
        <v>40</v>
      </c>
      <c r="BT72" s="7"/>
      <c r="BU72" s="7"/>
      <c r="BV72" s="10" t="s">
        <v>40</v>
      </c>
      <c r="BW72" s="7"/>
      <c r="BX72" s="7"/>
      <c r="BY72" s="10" t="s">
        <v>40</v>
      </c>
      <c r="BZ72" s="7"/>
      <c r="CA72" s="7"/>
      <c r="CB72" s="10" t="s">
        <v>40</v>
      </c>
      <c r="CC72" s="9"/>
      <c r="CD72" s="9"/>
      <c r="CE72" s="10" t="s">
        <v>40</v>
      </c>
      <c r="CF72" s="7"/>
      <c r="CG72" s="7"/>
      <c r="CH72" s="10" t="s">
        <v>40</v>
      </c>
      <c r="CI72" s="7"/>
      <c r="CJ72" s="7"/>
      <c r="CK72" s="10" t="s">
        <v>40</v>
      </c>
      <c r="CL72" s="7"/>
      <c r="CM72" s="7"/>
      <c r="CN72" s="10" t="s">
        <v>40</v>
      </c>
      <c r="CO72" s="9"/>
      <c r="CP72" s="9"/>
      <c r="CQ72" s="10" t="s">
        <v>40</v>
      </c>
      <c r="CR72" s="7"/>
      <c r="CS72" s="7"/>
      <c r="CT72" s="10" t="s">
        <v>40</v>
      </c>
      <c r="CU72" s="7"/>
      <c r="CV72" s="7"/>
      <c r="CW72" s="10" t="s">
        <v>40</v>
      </c>
      <c r="CX72" s="7"/>
      <c r="CY72" s="7"/>
      <c r="CZ72" s="10" t="s">
        <v>40</v>
      </c>
      <c r="DA72" s="9"/>
      <c r="DB72" s="9"/>
      <c r="DC72" s="10" t="s">
        <v>40</v>
      </c>
      <c r="DD72" s="7"/>
      <c r="DE72" s="7"/>
      <c r="DF72" s="10" t="s">
        <v>40</v>
      </c>
      <c r="DG72" s="7"/>
      <c r="DH72" s="7"/>
      <c r="DI72" s="10" t="s">
        <v>40</v>
      </c>
      <c r="DJ72" s="7"/>
      <c r="DK72" s="7"/>
      <c r="DL72" s="10" t="s">
        <v>40</v>
      </c>
      <c r="DM72" s="9"/>
      <c r="DN72" s="9"/>
      <c r="DO72" s="10" t="s">
        <v>40</v>
      </c>
      <c r="DP72" s="7"/>
      <c r="DQ72" s="7"/>
      <c r="DR72" s="10" t="s">
        <v>40</v>
      </c>
      <c r="DS72" s="7"/>
      <c r="DT72" s="7"/>
      <c r="DU72" s="10" t="s">
        <v>40</v>
      </c>
      <c r="DV72" s="7"/>
      <c r="DW72" s="7"/>
      <c r="DX72" s="10" t="s">
        <v>40</v>
      </c>
      <c r="DY72" s="9"/>
      <c r="DZ72" s="9"/>
      <c r="EA72" s="10" t="s">
        <v>40</v>
      </c>
      <c r="EB72" s="7"/>
      <c r="EC72" s="7"/>
      <c r="ED72" s="10" t="s">
        <v>40</v>
      </c>
      <c r="EE72" s="7"/>
      <c r="EF72" s="7"/>
      <c r="EG72" s="10" t="s">
        <v>40</v>
      </c>
      <c r="EH72" s="7"/>
      <c r="EI72" s="7"/>
      <c r="EJ72" s="10" t="s">
        <v>40</v>
      </c>
      <c r="EK72" s="9"/>
      <c r="EL72" s="9"/>
      <c r="EM72" s="10" t="s">
        <v>40</v>
      </c>
      <c r="EN72" s="7"/>
      <c r="EO72" s="7"/>
      <c r="EP72" s="10" t="s">
        <v>40</v>
      </c>
      <c r="EQ72" s="7"/>
      <c r="ER72" s="7"/>
      <c r="ES72" s="10" t="s">
        <v>40</v>
      </c>
      <c r="ET72" s="7"/>
      <c r="EU72" s="7"/>
      <c r="EV72" s="10" t="s">
        <v>40</v>
      </c>
      <c r="EW72" s="9"/>
      <c r="EX72" s="9"/>
      <c r="EY72" s="10" t="s">
        <v>40</v>
      </c>
      <c r="EZ72" s="7"/>
      <c r="FA72" s="7"/>
      <c r="FB72" s="10" t="s">
        <v>40</v>
      </c>
      <c r="FC72" s="7"/>
      <c r="FD72" s="7"/>
      <c r="FE72" s="10" t="s">
        <v>40</v>
      </c>
      <c r="FF72" s="7"/>
      <c r="FG72" s="7"/>
      <c r="FH72" s="10" t="s">
        <v>40</v>
      </c>
      <c r="FI72" s="9"/>
      <c r="FJ72" s="9"/>
      <c r="FK72" s="10" t="s">
        <v>40</v>
      </c>
      <c r="FL72" s="7"/>
      <c r="FM72" s="7"/>
      <c r="FN72" s="10" t="s">
        <v>40</v>
      </c>
      <c r="FO72" s="7"/>
      <c r="FP72" s="7"/>
      <c r="FQ72" s="10" t="s">
        <v>40</v>
      </c>
      <c r="FR72" s="7">
        <v>5</v>
      </c>
      <c r="FS72" s="7">
        <v>1500</v>
      </c>
      <c r="FT72" s="10" t="s">
        <v>40</v>
      </c>
      <c r="FU72" s="9"/>
      <c r="FV72" s="9"/>
      <c r="FW72" s="10" t="s">
        <v>40</v>
      </c>
      <c r="FX72" s="7"/>
      <c r="FY72" s="7"/>
      <c r="FZ72" s="10" t="s">
        <v>40</v>
      </c>
      <c r="GA72" s="7"/>
      <c r="GB72" s="7"/>
      <c r="GC72" s="10" t="s">
        <v>40</v>
      </c>
      <c r="GD72" s="7">
        <v>7</v>
      </c>
      <c r="GE72" s="7">
        <v>1200</v>
      </c>
      <c r="GF72" s="10" t="s">
        <v>40</v>
      </c>
      <c r="GG72" s="7"/>
      <c r="GH72" s="7"/>
      <c r="GI72" s="10" t="s">
        <v>40</v>
      </c>
      <c r="GJ72" s="7"/>
      <c r="GK72" s="7"/>
      <c r="GL72" s="10" t="s">
        <v>40</v>
      </c>
      <c r="GM72" s="7"/>
      <c r="GN72" s="7"/>
      <c r="GO72" s="6" t="s">
        <v>40</v>
      </c>
      <c r="GP72" s="7">
        <v>2</v>
      </c>
      <c r="GQ72" s="7">
        <v>1400</v>
      </c>
      <c r="GR72" s="10"/>
      <c r="GS72" s="7"/>
      <c r="GT72" s="7"/>
      <c r="GU72" s="6"/>
      <c r="GV72" s="7"/>
      <c r="GW72" s="7"/>
      <c r="GX72" s="10" t="s">
        <v>40</v>
      </c>
      <c r="GY72" s="7"/>
      <c r="GZ72" s="7"/>
      <c r="HA72" s="10" t="s">
        <v>40</v>
      </c>
      <c r="HB72" s="7">
        <v>2</v>
      </c>
      <c r="HC72" s="7">
        <v>350</v>
      </c>
      <c r="HD72" s="10" t="s">
        <v>40</v>
      </c>
      <c r="HE72" s="7"/>
      <c r="HF72" s="7"/>
      <c r="HG72" s="10" t="s">
        <v>40</v>
      </c>
      <c r="HH72" s="7"/>
      <c r="HI72" s="7"/>
      <c r="HJ72" s="10" t="s">
        <v>40</v>
      </c>
      <c r="HK72" s="7"/>
      <c r="HL72" s="7"/>
      <c r="HM72" s="10" t="s">
        <v>40</v>
      </c>
      <c r="HN72" s="7">
        <v>2</v>
      </c>
      <c r="HO72" s="7">
        <v>400</v>
      </c>
      <c r="HP72" s="10" t="s">
        <v>40</v>
      </c>
      <c r="HQ72" s="7"/>
      <c r="HR72" s="7"/>
      <c r="HS72" s="10" t="s">
        <v>40</v>
      </c>
      <c r="HT72" s="7"/>
      <c r="HU72" s="7"/>
      <c r="HV72" s="10" t="s">
        <v>40</v>
      </c>
      <c r="HW72" s="7"/>
      <c r="HX72" s="7"/>
      <c r="HY72" s="6" t="s">
        <v>40</v>
      </c>
      <c r="HZ72" s="7">
        <v>4</v>
      </c>
      <c r="IA72" s="7">
        <v>800</v>
      </c>
      <c r="IC72" s="7"/>
      <c r="ID72" s="7"/>
      <c r="IE72" s="6"/>
      <c r="IF72" s="7"/>
      <c r="IG72" s="7"/>
      <c r="II72" s="7"/>
      <c r="IJ72" s="7"/>
      <c r="IK72" s="7"/>
      <c r="IL72" s="7"/>
      <c r="IM72" s="7"/>
      <c r="IN72" s="7"/>
      <c r="IP72" s="7"/>
      <c r="IQ72" s="7"/>
      <c r="IR72" s="7"/>
      <c r="IS72" s="7"/>
      <c r="IT72" s="7"/>
      <c r="IV72" s="7"/>
      <c r="IW72" s="7"/>
      <c r="IX72" s="7"/>
      <c r="IY72" s="7"/>
      <c r="IZ72" s="7"/>
      <c r="JB72" s="7"/>
      <c r="JC72" s="7"/>
      <c r="JE72" s="7"/>
      <c r="JF72" s="7"/>
      <c r="JH72" s="7"/>
      <c r="JI72" s="7"/>
      <c r="JJ72" s="7"/>
      <c r="JK72" s="7"/>
      <c r="JL72" s="7"/>
      <c r="JM72" s="7"/>
      <c r="JO72" s="7"/>
      <c r="JP72" s="7"/>
      <c r="JQ72" s="7"/>
      <c r="JR72" s="7"/>
      <c r="JT72" s="7"/>
      <c r="JU72" s="7"/>
      <c r="JV72" s="7"/>
      <c r="JW72" s="7"/>
      <c r="JX72" s="7"/>
    </row>
    <row r="73" spans="1:284" x14ac:dyDescent="0.3">
      <c r="A73" t="s">
        <v>248</v>
      </c>
      <c r="B73" s="10" t="s">
        <v>38</v>
      </c>
      <c r="C73" s="7"/>
      <c r="D73" s="7"/>
      <c r="E73" s="10" t="s">
        <v>38</v>
      </c>
      <c r="F73" s="7"/>
      <c r="G73" s="7"/>
      <c r="H73" s="10" t="s">
        <v>38</v>
      </c>
      <c r="I73" s="9"/>
      <c r="J73" s="9"/>
      <c r="K73" s="10" t="s">
        <v>38</v>
      </c>
      <c r="L73" s="7"/>
      <c r="M73" s="7"/>
      <c r="N73" s="10" t="s">
        <v>38</v>
      </c>
      <c r="O73" s="7"/>
      <c r="P73" s="7"/>
      <c r="Q73" s="10" t="s">
        <v>38</v>
      </c>
      <c r="R73" s="7"/>
      <c r="S73" s="7"/>
      <c r="T73" s="10" t="s">
        <v>38</v>
      </c>
      <c r="U73" s="9"/>
      <c r="V73" s="9"/>
      <c r="W73" s="10" t="s">
        <v>38</v>
      </c>
      <c r="X73" s="7"/>
      <c r="Y73" s="7"/>
      <c r="Z73" s="10" t="s">
        <v>38</v>
      </c>
      <c r="AA73" s="7"/>
      <c r="AB73" s="7"/>
      <c r="AC73" s="10" t="s">
        <v>38</v>
      </c>
      <c r="AD73" s="7"/>
      <c r="AE73" s="7"/>
      <c r="AF73" s="10" t="s">
        <v>38</v>
      </c>
      <c r="AG73" s="9"/>
      <c r="AH73" s="9"/>
      <c r="AI73" s="10" t="s">
        <v>38</v>
      </c>
      <c r="AJ73" s="7"/>
      <c r="AK73" s="7"/>
      <c r="AL73" s="10" t="s">
        <v>38</v>
      </c>
      <c r="AM73" s="7"/>
      <c r="AN73" s="7"/>
      <c r="AO73" s="10" t="s">
        <v>38</v>
      </c>
      <c r="AP73" s="7"/>
      <c r="AQ73" s="7"/>
      <c r="AR73" s="10" t="s">
        <v>38</v>
      </c>
      <c r="AS73" s="9"/>
      <c r="AT73" s="9"/>
      <c r="AU73" s="10" t="s">
        <v>38</v>
      </c>
      <c r="AV73" s="7"/>
      <c r="AW73" s="7"/>
      <c r="AX73" s="10" t="s">
        <v>38</v>
      </c>
      <c r="AY73" s="7"/>
      <c r="AZ73" s="7"/>
      <c r="BA73" s="10" t="s">
        <v>38</v>
      </c>
      <c r="BB73" s="7"/>
      <c r="BC73" s="7"/>
      <c r="BD73" s="10" t="s">
        <v>38</v>
      </c>
      <c r="BE73" s="9"/>
      <c r="BF73" s="9"/>
      <c r="BG73" s="10" t="s">
        <v>38</v>
      </c>
      <c r="BH73" s="7"/>
      <c r="BI73" s="7"/>
      <c r="BJ73" s="10" t="s">
        <v>38</v>
      </c>
      <c r="BK73" s="7"/>
      <c r="BL73" s="7"/>
      <c r="BM73" s="10" t="s">
        <v>38</v>
      </c>
      <c r="BN73" s="7"/>
      <c r="BO73" s="7"/>
      <c r="BP73" s="10" t="s">
        <v>38</v>
      </c>
      <c r="BQ73" s="9"/>
      <c r="BR73" s="9"/>
      <c r="BS73" s="10" t="s">
        <v>38</v>
      </c>
      <c r="BT73" s="7"/>
      <c r="BU73" s="7"/>
      <c r="BV73" s="10" t="s">
        <v>38</v>
      </c>
      <c r="BW73" s="7"/>
      <c r="BX73" s="7"/>
      <c r="BY73" s="10" t="s">
        <v>38</v>
      </c>
      <c r="BZ73" s="7"/>
      <c r="CA73" s="7"/>
      <c r="CB73" s="10" t="s">
        <v>38</v>
      </c>
      <c r="CC73" s="9"/>
      <c r="CD73" s="9"/>
      <c r="CE73" s="10" t="s">
        <v>38</v>
      </c>
      <c r="CF73" s="7"/>
      <c r="CG73" s="7"/>
      <c r="CH73" s="10" t="s">
        <v>38</v>
      </c>
      <c r="CI73" s="7"/>
      <c r="CJ73" s="7"/>
      <c r="CK73" s="10" t="s">
        <v>38</v>
      </c>
      <c r="CL73" s="7"/>
      <c r="CM73" s="7"/>
      <c r="CN73" s="10" t="s">
        <v>38</v>
      </c>
      <c r="CO73" s="9"/>
      <c r="CP73" s="9"/>
      <c r="CQ73" s="10" t="s">
        <v>38</v>
      </c>
      <c r="CR73" s="7"/>
      <c r="CS73" s="7"/>
      <c r="CT73" s="10" t="s">
        <v>38</v>
      </c>
      <c r="CU73" s="7"/>
      <c r="CV73" s="7"/>
      <c r="CW73" s="10" t="s">
        <v>38</v>
      </c>
      <c r="CX73" s="7"/>
      <c r="CY73" s="7"/>
      <c r="CZ73" s="10" t="s">
        <v>38</v>
      </c>
      <c r="DA73" s="9"/>
      <c r="DB73" s="9"/>
      <c r="DC73" s="10" t="s">
        <v>38</v>
      </c>
      <c r="DD73" s="7"/>
      <c r="DE73" s="7"/>
      <c r="DF73" s="10" t="s">
        <v>38</v>
      </c>
      <c r="DG73" s="7"/>
      <c r="DH73" s="7"/>
      <c r="DI73" s="10" t="s">
        <v>38</v>
      </c>
      <c r="DJ73" s="7"/>
      <c r="DK73" s="7"/>
      <c r="DL73" s="10" t="s">
        <v>38</v>
      </c>
      <c r="DM73" s="9"/>
      <c r="DN73" s="9"/>
      <c r="DO73" s="10" t="s">
        <v>38</v>
      </c>
      <c r="DP73" s="7"/>
      <c r="DQ73" s="7"/>
      <c r="DR73" s="10" t="s">
        <v>38</v>
      </c>
      <c r="DS73" s="7"/>
      <c r="DT73" s="7"/>
      <c r="DU73" s="10" t="s">
        <v>38</v>
      </c>
      <c r="DV73" s="7"/>
      <c r="DW73" s="7"/>
      <c r="DX73" s="10" t="s">
        <v>38</v>
      </c>
      <c r="DY73" s="9"/>
      <c r="DZ73" s="9"/>
      <c r="EA73" s="10" t="s">
        <v>38</v>
      </c>
      <c r="EB73" s="7"/>
      <c r="EC73" s="7"/>
      <c r="ED73" s="10" t="s">
        <v>38</v>
      </c>
      <c r="EE73" s="7"/>
      <c r="EF73" s="7"/>
      <c r="EG73" s="10" t="s">
        <v>38</v>
      </c>
      <c r="EH73" s="7"/>
      <c r="EI73" s="7"/>
      <c r="EJ73" s="10" t="s">
        <v>38</v>
      </c>
      <c r="EK73" s="9"/>
      <c r="EL73" s="9"/>
      <c r="EM73" s="10" t="s">
        <v>38</v>
      </c>
      <c r="EN73" s="7"/>
      <c r="EO73" s="7"/>
      <c r="EP73" s="10" t="s">
        <v>38</v>
      </c>
      <c r="EQ73" s="7"/>
      <c r="ER73" s="7"/>
      <c r="ES73" s="10" t="s">
        <v>38</v>
      </c>
      <c r="ET73" s="7"/>
      <c r="EU73" s="7"/>
      <c r="EV73" s="10" t="s">
        <v>38</v>
      </c>
      <c r="EW73" s="9"/>
      <c r="EX73" s="9"/>
      <c r="EY73" s="10" t="s">
        <v>38</v>
      </c>
      <c r="EZ73" s="7"/>
      <c r="FA73" s="7"/>
      <c r="FB73" s="10" t="s">
        <v>38</v>
      </c>
      <c r="FC73" s="7"/>
      <c r="FD73" s="7"/>
      <c r="FE73" s="10" t="s">
        <v>38</v>
      </c>
      <c r="FF73" s="7"/>
      <c r="FG73" s="7"/>
      <c r="FH73" s="10" t="s">
        <v>38</v>
      </c>
      <c r="FI73" s="9"/>
      <c r="FJ73" s="9"/>
      <c r="FK73" s="10" t="s">
        <v>38</v>
      </c>
      <c r="FL73" s="7"/>
      <c r="FM73" s="7"/>
      <c r="FN73" s="10" t="s">
        <v>38</v>
      </c>
      <c r="FO73" s="7"/>
      <c r="FP73" s="7"/>
      <c r="FQ73" s="10" t="s">
        <v>38</v>
      </c>
      <c r="FR73" s="7">
        <v>400</v>
      </c>
      <c r="FS73" s="7">
        <v>16000</v>
      </c>
      <c r="FT73" s="10" t="s">
        <v>38</v>
      </c>
      <c r="FU73" s="9"/>
      <c r="FV73" s="9"/>
      <c r="FW73" s="10" t="s">
        <v>38</v>
      </c>
      <c r="FX73" s="7"/>
      <c r="FY73" s="7"/>
      <c r="FZ73" s="10" t="s">
        <v>38</v>
      </c>
      <c r="GA73" s="7"/>
      <c r="GB73" s="7"/>
      <c r="GC73" s="6" t="s">
        <v>38</v>
      </c>
      <c r="GD73" s="7">
        <v>225</v>
      </c>
      <c r="GE73" s="7">
        <v>8441</v>
      </c>
      <c r="GG73" s="7"/>
      <c r="GH73" s="7"/>
      <c r="GJ73" s="7"/>
      <c r="GK73" s="7"/>
      <c r="GM73" s="7"/>
      <c r="GN73" s="7"/>
      <c r="GO73" s="6"/>
      <c r="GP73" s="7"/>
      <c r="GQ73" s="7"/>
      <c r="GR73" s="10"/>
      <c r="GS73" s="7"/>
      <c r="GT73" s="7"/>
      <c r="GU73" s="6"/>
      <c r="GV73" s="7"/>
      <c r="GW73" s="7"/>
      <c r="GX73" s="10" t="s">
        <v>59</v>
      </c>
      <c r="GY73" s="7"/>
      <c r="GZ73" s="7"/>
      <c r="HA73" s="10" t="s">
        <v>59</v>
      </c>
      <c r="HB73" s="7">
        <v>250</v>
      </c>
      <c r="HC73" s="7">
        <v>10000</v>
      </c>
      <c r="HD73" s="10" t="s">
        <v>59</v>
      </c>
      <c r="HE73" s="7"/>
      <c r="HF73" s="7"/>
      <c r="HG73" s="10" t="s">
        <v>59</v>
      </c>
      <c r="HH73" s="7"/>
      <c r="HI73" s="7"/>
      <c r="HJ73" s="10" t="s">
        <v>59</v>
      </c>
      <c r="HK73" s="7"/>
      <c r="HL73" s="7"/>
      <c r="HM73" s="10" t="s">
        <v>59</v>
      </c>
      <c r="HN73" s="7">
        <v>200</v>
      </c>
      <c r="HO73" s="7">
        <v>9000</v>
      </c>
      <c r="HP73" s="10" t="s">
        <v>59</v>
      </c>
      <c r="HQ73" s="7"/>
      <c r="HR73" s="7"/>
      <c r="HS73" s="10" t="s">
        <v>59</v>
      </c>
      <c r="HT73" s="7"/>
      <c r="HU73" s="7"/>
      <c r="HV73" s="10" t="s">
        <v>59</v>
      </c>
      <c r="HW73" s="7"/>
      <c r="HX73" s="7"/>
      <c r="HY73" s="6" t="s">
        <v>59</v>
      </c>
      <c r="HZ73" s="7">
        <v>230</v>
      </c>
      <c r="IA73" s="7">
        <v>16000</v>
      </c>
      <c r="IC73" s="7"/>
      <c r="ID73" s="7"/>
      <c r="IE73" s="6"/>
      <c r="IF73" s="7"/>
      <c r="IG73" s="7"/>
      <c r="II73" s="7"/>
      <c r="IJ73" s="7"/>
      <c r="IK73" s="7"/>
      <c r="IL73" s="7"/>
      <c r="IM73" s="7"/>
      <c r="IN73" s="7"/>
      <c r="IP73" s="7"/>
      <c r="IQ73" s="7"/>
      <c r="IR73" s="7"/>
      <c r="IS73" s="7"/>
      <c r="IT73" s="7"/>
      <c r="IV73" s="7"/>
      <c r="IW73" s="7"/>
      <c r="IX73" s="7"/>
      <c r="IY73" s="7"/>
      <c r="IZ73" s="7"/>
      <c r="JB73" s="7"/>
      <c r="JC73" s="7"/>
      <c r="JE73" s="7"/>
      <c r="JF73" s="7"/>
      <c r="JH73" s="7"/>
      <c r="JI73" s="7"/>
      <c r="JJ73" s="7"/>
      <c r="JK73" s="7"/>
      <c r="JL73" s="7"/>
      <c r="JM73" s="7"/>
      <c r="JO73" s="7"/>
      <c r="JP73" s="7"/>
      <c r="JQ73" s="7"/>
      <c r="JR73" s="7"/>
      <c r="JT73" s="7"/>
      <c r="JU73" s="7"/>
      <c r="JV73" s="7"/>
      <c r="JW73" s="7"/>
      <c r="JX73" s="7"/>
    </row>
    <row r="74" spans="1:284" x14ac:dyDescent="0.3">
      <c r="A74" t="s">
        <v>249</v>
      </c>
      <c r="B74" s="10" t="s">
        <v>38</v>
      </c>
      <c r="C74" s="7"/>
      <c r="D74" s="7"/>
      <c r="E74" s="10" t="s">
        <v>38</v>
      </c>
      <c r="F74" s="7"/>
      <c r="G74" s="7"/>
      <c r="H74" s="10" t="s">
        <v>38</v>
      </c>
      <c r="I74" s="9"/>
      <c r="J74" s="9"/>
      <c r="K74" s="10" t="s">
        <v>38</v>
      </c>
      <c r="L74" s="7"/>
      <c r="M74" s="7"/>
      <c r="N74" s="10" t="s">
        <v>38</v>
      </c>
      <c r="O74" s="7"/>
      <c r="P74" s="7"/>
      <c r="Q74" s="10" t="s">
        <v>38</v>
      </c>
      <c r="R74" s="7"/>
      <c r="S74" s="7"/>
      <c r="T74" s="10" t="s">
        <v>38</v>
      </c>
      <c r="U74" s="9"/>
      <c r="V74" s="9"/>
      <c r="W74" s="10" t="s">
        <v>38</v>
      </c>
      <c r="X74" s="7"/>
      <c r="Y74" s="7"/>
      <c r="Z74" s="10" t="s">
        <v>38</v>
      </c>
      <c r="AA74" s="7"/>
      <c r="AB74" s="7"/>
      <c r="AC74" s="10" t="s">
        <v>38</v>
      </c>
      <c r="AD74" s="7"/>
      <c r="AE74" s="7"/>
      <c r="AF74" s="10" t="s">
        <v>38</v>
      </c>
      <c r="AG74" s="9"/>
      <c r="AH74" s="9"/>
      <c r="AI74" s="10" t="s">
        <v>38</v>
      </c>
      <c r="AJ74" s="7"/>
      <c r="AK74" s="7"/>
      <c r="AL74" s="10" t="s">
        <v>38</v>
      </c>
      <c r="AM74" s="7"/>
      <c r="AN74" s="7"/>
      <c r="AO74" s="10" t="s">
        <v>38</v>
      </c>
      <c r="AP74" s="7"/>
      <c r="AQ74" s="7"/>
      <c r="AR74" s="10" t="s">
        <v>38</v>
      </c>
      <c r="AS74" s="9"/>
      <c r="AT74" s="9"/>
      <c r="AU74" s="10" t="s">
        <v>38</v>
      </c>
      <c r="AV74" s="7"/>
      <c r="AW74" s="7"/>
      <c r="AX74" s="10" t="s">
        <v>38</v>
      </c>
      <c r="AY74" s="7"/>
      <c r="AZ74" s="7"/>
      <c r="BA74" s="10" t="s">
        <v>38</v>
      </c>
      <c r="BB74" s="7"/>
      <c r="BC74" s="7"/>
      <c r="BD74" s="10" t="s">
        <v>38</v>
      </c>
      <c r="BE74" s="9"/>
      <c r="BF74" s="9"/>
      <c r="BG74" s="10" t="s">
        <v>38</v>
      </c>
      <c r="BH74" s="7"/>
      <c r="BI74" s="7"/>
      <c r="BJ74" s="10" t="s">
        <v>38</v>
      </c>
      <c r="BK74" s="7"/>
      <c r="BL74" s="7"/>
      <c r="BM74" s="10" t="s">
        <v>38</v>
      </c>
      <c r="BN74" s="7"/>
      <c r="BO74" s="7"/>
      <c r="BP74" s="10" t="s">
        <v>38</v>
      </c>
      <c r="BQ74" s="9"/>
      <c r="BR74" s="9"/>
      <c r="BS74" s="10" t="s">
        <v>38</v>
      </c>
      <c r="BT74" s="7"/>
      <c r="BU74" s="7"/>
      <c r="BV74" s="10" t="s">
        <v>38</v>
      </c>
      <c r="BW74" s="7"/>
      <c r="BX74" s="7"/>
      <c r="BY74" s="10" t="s">
        <v>38</v>
      </c>
      <c r="BZ74" s="7"/>
      <c r="CA74" s="7"/>
      <c r="CB74" s="10" t="s">
        <v>38</v>
      </c>
      <c r="CC74" s="9"/>
      <c r="CD74" s="9"/>
      <c r="CE74" s="10" t="s">
        <v>38</v>
      </c>
      <c r="CF74" s="7"/>
      <c r="CG74" s="7"/>
      <c r="CH74" s="10" t="s">
        <v>38</v>
      </c>
      <c r="CI74" s="7"/>
      <c r="CJ74" s="7"/>
      <c r="CK74" s="10" t="s">
        <v>38</v>
      </c>
      <c r="CL74" s="7"/>
      <c r="CM74" s="7"/>
      <c r="CN74" s="10" t="s">
        <v>38</v>
      </c>
      <c r="CO74" s="9"/>
      <c r="CP74" s="9"/>
      <c r="CQ74" s="10" t="s">
        <v>38</v>
      </c>
      <c r="CR74" s="7"/>
      <c r="CS74" s="7"/>
      <c r="CT74" s="10" t="s">
        <v>38</v>
      </c>
      <c r="CU74" s="7"/>
      <c r="CV74" s="7"/>
      <c r="CW74" s="10" t="s">
        <v>38</v>
      </c>
      <c r="CX74" s="7"/>
      <c r="CY74" s="7"/>
      <c r="CZ74" s="10" t="s">
        <v>38</v>
      </c>
      <c r="DA74" s="9"/>
      <c r="DB74" s="9"/>
      <c r="DC74" s="10" t="s">
        <v>38</v>
      </c>
      <c r="DD74" s="7"/>
      <c r="DE74" s="7"/>
      <c r="DF74" s="10" t="s">
        <v>38</v>
      </c>
      <c r="DG74" s="7"/>
      <c r="DH74" s="7"/>
      <c r="DI74" s="10" t="s">
        <v>38</v>
      </c>
      <c r="DJ74" s="7"/>
      <c r="DK74" s="7"/>
      <c r="DL74" s="10" t="s">
        <v>38</v>
      </c>
      <c r="DM74" s="9"/>
      <c r="DN74" s="9"/>
      <c r="DO74" s="10" t="s">
        <v>38</v>
      </c>
      <c r="DP74" s="7"/>
      <c r="DQ74" s="7"/>
      <c r="DR74" s="10" t="s">
        <v>38</v>
      </c>
      <c r="DS74" s="7"/>
      <c r="DT74" s="7"/>
      <c r="DU74" s="10" t="s">
        <v>38</v>
      </c>
      <c r="DV74" s="7"/>
      <c r="DW74" s="7"/>
      <c r="DX74" s="10" t="s">
        <v>38</v>
      </c>
      <c r="DY74" s="9"/>
      <c r="DZ74" s="9"/>
      <c r="EA74" s="10" t="s">
        <v>38</v>
      </c>
      <c r="EB74" s="7"/>
      <c r="EC74" s="7"/>
      <c r="ED74" s="10" t="s">
        <v>38</v>
      </c>
      <c r="EE74" s="7"/>
      <c r="EF74" s="7"/>
      <c r="EG74" s="10" t="s">
        <v>38</v>
      </c>
      <c r="EH74" s="7"/>
      <c r="EI74" s="7"/>
      <c r="EJ74" s="10" t="s">
        <v>38</v>
      </c>
      <c r="EK74" s="9"/>
      <c r="EL74" s="9"/>
      <c r="EM74" s="10" t="s">
        <v>38</v>
      </c>
      <c r="EN74" s="7"/>
      <c r="EO74" s="7"/>
      <c r="EP74" s="10" t="s">
        <v>38</v>
      </c>
      <c r="EQ74" s="7"/>
      <c r="ER74" s="7"/>
      <c r="ES74" s="10" t="s">
        <v>38</v>
      </c>
      <c r="ET74" s="7"/>
      <c r="EU74" s="7"/>
      <c r="EV74" s="10" t="s">
        <v>38</v>
      </c>
      <c r="EW74" s="9"/>
      <c r="EX74" s="9"/>
      <c r="EY74" s="10" t="s">
        <v>38</v>
      </c>
      <c r="EZ74" s="7"/>
      <c r="FA74" s="7"/>
      <c r="FB74" s="10" t="s">
        <v>38</v>
      </c>
      <c r="FC74" s="7"/>
      <c r="FD74" s="7"/>
      <c r="FE74" s="10" t="s">
        <v>38</v>
      </c>
      <c r="FF74" s="7"/>
      <c r="FG74" s="7"/>
      <c r="FH74" s="10" t="s">
        <v>38</v>
      </c>
      <c r="FI74" s="9"/>
      <c r="FJ74" s="9"/>
      <c r="FK74" s="10" t="s">
        <v>38</v>
      </c>
      <c r="FL74" s="7"/>
      <c r="FM74" s="7"/>
      <c r="FN74" s="10" t="s">
        <v>38</v>
      </c>
      <c r="FO74" s="7"/>
      <c r="FP74" s="7"/>
      <c r="FQ74" s="10" t="s">
        <v>38</v>
      </c>
      <c r="FR74" s="7">
        <v>50</v>
      </c>
      <c r="FS74" s="7">
        <v>200</v>
      </c>
      <c r="FT74" s="10" t="s">
        <v>38</v>
      </c>
      <c r="FU74" s="9"/>
      <c r="FV74" s="9"/>
      <c r="FW74" s="10" t="s">
        <v>38</v>
      </c>
      <c r="FX74" s="7"/>
      <c r="FY74" s="7"/>
      <c r="FZ74" s="10" t="s">
        <v>38</v>
      </c>
      <c r="GA74" s="7"/>
      <c r="GB74" s="7"/>
      <c r="GC74" s="10" t="s">
        <v>38</v>
      </c>
      <c r="GD74" s="7">
        <v>40</v>
      </c>
      <c r="GE74" s="7">
        <v>140</v>
      </c>
      <c r="GF74" s="10" t="s">
        <v>38</v>
      </c>
      <c r="GG74" s="7"/>
      <c r="GH74" s="7"/>
      <c r="GI74" s="10" t="s">
        <v>38</v>
      </c>
      <c r="GJ74" s="7"/>
      <c r="GK74" s="7"/>
      <c r="GL74" s="10" t="s">
        <v>38</v>
      </c>
      <c r="GM74" s="7"/>
      <c r="GN74" s="7"/>
      <c r="GO74" s="6" t="s">
        <v>38</v>
      </c>
      <c r="GP74" s="7">
        <v>50</v>
      </c>
      <c r="GQ74" s="7">
        <v>200</v>
      </c>
      <c r="GR74" s="10"/>
      <c r="GS74" s="7"/>
      <c r="GT74" s="7"/>
      <c r="GU74" s="6"/>
      <c r="GV74" s="7"/>
      <c r="GW74" s="7"/>
      <c r="GX74" s="10" t="s">
        <v>38</v>
      </c>
      <c r="GY74" s="7"/>
      <c r="GZ74" s="7"/>
      <c r="HA74" s="10" t="s">
        <v>38</v>
      </c>
      <c r="HB74" s="7">
        <v>120</v>
      </c>
      <c r="HC74" s="7">
        <v>250</v>
      </c>
      <c r="HD74" s="10" t="s">
        <v>38</v>
      </c>
      <c r="HE74" s="7"/>
      <c r="HF74" s="7"/>
      <c r="HG74" s="10" t="s">
        <v>38</v>
      </c>
      <c r="HH74" s="7"/>
      <c r="HI74" s="7"/>
      <c r="HJ74" s="10" t="s">
        <v>38</v>
      </c>
      <c r="HK74" s="7"/>
      <c r="HL74" s="7"/>
      <c r="HM74" s="10" t="s">
        <v>38</v>
      </c>
      <c r="HN74" s="7">
        <v>100</v>
      </c>
      <c r="HO74" s="7">
        <v>200</v>
      </c>
      <c r="HP74" s="10" t="s">
        <v>38</v>
      </c>
      <c r="HQ74" s="7"/>
      <c r="HR74" s="7"/>
      <c r="HS74" s="10" t="s">
        <v>38</v>
      </c>
      <c r="HT74" s="7"/>
      <c r="HU74" s="7"/>
      <c r="HV74" s="10" t="s">
        <v>38</v>
      </c>
      <c r="HW74" s="7"/>
      <c r="HX74" s="7"/>
      <c r="HY74" s="6" t="s">
        <v>38</v>
      </c>
      <c r="HZ74" s="7">
        <v>50</v>
      </c>
      <c r="IA74" s="7">
        <v>100</v>
      </c>
      <c r="IC74" s="7"/>
      <c r="ID74" s="7"/>
      <c r="IE74" s="6"/>
      <c r="IF74" s="7"/>
      <c r="IG74" s="7"/>
      <c r="II74" s="7"/>
      <c r="IJ74" s="7"/>
      <c r="IK74" s="7"/>
      <c r="IL74" s="7"/>
      <c r="IM74" s="7"/>
      <c r="IN74" s="7"/>
      <c r="IP74" s="7"/>
      <c r="IQ74" s="7"/>
      <c r="IR74" s="7"/>
      <c r="IS74" s="7"/>
      <c r="IT74" s="7"/>
      <c r="IV74" s="7"/>
      <c r="IW74" s="7"/>
      <c r="IX74" s="7"/>
      <c r="IY74" s="7"/>
      <c r="IZ74" s="7"/>
      <c r="JB74" s="7"/>
      <c r="JC74" s="7"/>
      <c r="JE74" s="7"/>
      <c r="JF74" s="7"/>
      <c r="JH74" s="7"/>
      <c r="JI74" s="7"/>
      <c r="JJ74" s="7"/>
      <c r="JK74" s="7"/>
      <c r="JL74" s="7"/>
      <c r="JM74" s="7"/>
      <c r="JO74" s="7"/>
      <c r="JP74" s="7"/>
      <c r="JQ74" s="7"/>
      <c r="JR74" s="7"/>
      <c r="JT74" s="7"/>
      <c r="JU74" s="7"/>
      <c r="JV74" s="7"/>
      <c r="JW74" s="7"/>
      <c r="JX74" s="7"/>
    </row>
    <row r="75" spans="1:284" x14ac:dyDescent="0.3">
      <c r="A75" t="s">
        <v>250</v>
      </c>
      <c r="B75" s="10" t="s">
        <v>40</v>
      </c>
      <c r="C75" s="7"/>
      <c r="D75" s="7"/>
      <c r="E75" s="10" t="s">
        <v>40</v>
      </c>
      <c r="F75" s="7"/>
      <c r="G75" s="7"/>
      <c r="H75" s="10" t="s">
        <v>40</v>
      </c>
      <c r="I75" s="9"/>
      <c r="J75" s="9"/>
      <c r="K75" s="10" t="s">
        <v>40</v>
      </c>
      <c r="L75" s="7"/>
      <c r="M75" s="7"/>
      <c r="N75" s="10" t="s">
        <v>40</v>
      </c>
      <c r="O75" s="7"/>
      <c r="P75" s="7"/>
      <c r="Q75" s="10" t="s">
        <v>40</v>
      </c>
      <c r="R75" s="7"/>
      <c r="S75" s="7"/>
      <c r="T75" s="10" t="s">
        <v>40</v>
      </c>
      <c r="U75" s="9"/>
      <c r="V75" s="9"/>
      <c r="W75" s="10" t="s">
        <v>40</v>
      </c>
      <c r="X75" s="7"/>
      <c r="Y75" s="7"/>
      <c r="Z75" s="10" t="s">
        <v>40</v>
      </c>
      <c r="AA75" s="7"/>
      <c r="AB75" s="7"/>
      <c r="AC75" s="10" t="s">
        <v>40</v>
      </c>
      <c r="AD75" s="7"/>
      <c r="AE75" s="7"/>
      <c r="AF75" s="10" t="s">
        <v>40</v>
      </c>
      <c r="AG75" s="9"/>
      <c r="AH75" s="9"/>
      <c r="AI75" s="10" t="s">
        <v>40</v>
      </c>
      <c r="AJ75" s="7"/>
      <c r="AK75" s="7"/>
      <c r="AL75" s="10" t="s">
        <v>40</v>
      </c>
      <c r="AM75" s="7"/>
      <c r="AN75" s="7"/>
      <c r="AO75" s="10" t="s">
        <v>40</v>
      </c>
      <c r="AP75" s="7"/>
      <c r="AQ75" s="7"/>
      <c r="AR75" s="10" t="s">
        <v>40</v>
      </c>
      <c r="AS75" s="9"/>
      <c r="AT75" s="9"/>
      <c r="AU75" s="10" t="s">
        <v>40</v>
      </c>
      <c r="AV75" s="7"/>
      <c r="AW75" s="7"/>
      <c r="AX75" s="10" t="s">
        <v>40</v>
      </c>
      <c r="AY75" s="7"/>
      <c r="AZ75" s="7"/>
      <c r="BA75" s="10" t="s">
        <v>40</v>
      </c>
      <c r="BB75" s="7"/>
      <c r="BC75" s="7"/>
      <c r="BD75" s="10" t="s">
        <v>40</v>
      </c>
      <c r="BE75" s="9"/>
      <c r="BF75" s="9"/>
      <c r="BG75" s="10" t="s">
        <v>40</v>
      </c>
      <c r="BH75" s="7"/>
      <c r="BI75" s="7"/>
      <c r="BJ75" s="10" t="s">
        <v>40</v>
      </c>
      <c r="BK75" s="7"/>
      <c r="BL75" s="7"/>
      <c r="BM75" s="10" t="s">
        <v>40</v>
      </c>
      <c r="BN75" s="7"/>
      <c r="BO75" s="7"/>
      <c r="BP75" s="10" t="s">
        <v>40</v>
      </c>
      <c r="BQ75" s="9"/>
      <c r="BR75" s="9"/>
      <c r="BS75" s="10" t="s">
        <v>40</v>
      </c>
      <c r="BT75" s="7"/>
      <c r="BU75" s="7"/>
      <c r="BV75" s="10" t="s">
        <v>40</v>
      </c>
      <c r="BW75" s="7"/>
      <c r="BX75" s="7"/>
      <c r="BY75" s="10" t="s">
        <v>40</v>
      </c>
      <c r="BZ75" s="7"/>
      <c r="CA75" s="7"/>
      <c r="CB75" s="10" t="s">
        <v>40</v>
      </c>
      <c r="CC75" s="9"/>
      <c r="CD75" s="9"/>
      <c r="CE75" s="10" t="s">
        <v>40</v>
      </c>
      <c r="CF75" s="7"/>
      <c r="CG75" s="7"/>
      <c r="CH75" s="10" t="s">
        <v>40</v>
      </c>
      <c r="CI75" s="7"/>
      <c r="CJ75" s="7"/>
      <c r="CK75" s="10" t="s">
        <v>40</v>
      </c>
      <c r="CL75" s="7"/>
      <c r="CM75" s="7"/>
      <c r="CN75" s="10" t="s">
        <v>40</v>
      </c>
      <c r="CO75" s="9"/>
      <c r="CP75" s="9"/>
      <c r="CQ75" s="10" t="s">
        <v>40</v>
      </c>
      <c r="CR75" s="7"/>
      <c r="CS75" s="7"/>
      <c r="CT75" s="10" t="s">
        <v>40</v>
      </c>
      <c r="CU75" s="7"/>
      <c r="CV75" s="7"/>
      <c r="CW75" s="10" t="s">
        <v>40</v>
      </c>
      <c r="CX75" s="7"/>
      <c r="CY75" s="7"/>
      <c r="CZ75" s="10" t="s">
        <v>40</v>
      </c>
      <c r="DA75" s="9"/>
      <c r="DB75" s="9"/>
      <c r="DC75" s="10" t="s">
        <v>40</v>
      </c>
      <c r="DD75" s="7"/>
      <c r="DE75" s="7"/>
      <c r="DF75" s="10" t="s">
        <v>40</v>
      </c>
      <c r="DG75" s="7"/>
      <c r="DH75" s="7"/>
      <c r="DI75" s="10" t="s">
        <v>40</v>
      </c>
      <c r="DJ75" s="7"/>
      <c r="DK75" s="7"/>
      <c r="DL75" s="10" t="s">
        <v>40</v>
      </c>
      <c r="DM75" s="9"/>
      <c r="DN75" s="9"/>
      <c r="DO75" s="10" t="s">
        <v>40</v>
      </c>
      <c r="DP75" s="7"/>
      <c r="DQ75" s="7"/>
      <c r="DR75" s="10" t="s">
        <v>40</v>
      </c>
      <c r="DS75" s="7"/>
      <c r="DT75" s="7"/>
      <c r="DU75" s="10" t="s">
        <v>40</v>
      </c>
      <c r="DV75" s="7"/>
      <c r="DW75" s="7"/>
      <c r="DX75" s="10" t="s">
        <v>40</v>
      </c>
      <c r="DY75" s="9"/>
      <c r="DZ75" s="9"/>
      <c r="EA75" s="10" t="s">
        <v>40</v>
      </c>
      <c r="EB75" s="7"/>
      <c r="EC75" s="7"/>
      <c r="ED75" s="10" t="s">
        <v>40</v>
      </c>
      <c r="EE75" s="7"/>
      <c r="EF75" s="7"/>
      <c r="EG75" s="10" t="s">
        <v>40</v>
      </c>
      <c r="EH75" s="7"/>
      <c r="EI75" s="7"/>
      <c r="EJ75" s="10" t="s">
        <v>40</v>
      </c>
      <c r="EK75" s="9"/>
      <c r="EL75" s="9"/>
      <c r="EM75" s="10" t="s">
        <v>40</v>
      </c>
      <c r="EN75" s="7"/>
      <c r="EO75" s="7"/>
      <c r="EP75" s="10" t="s">
        <v>40</v>
      </c>
      <c r="EQ75" s="7"/>
      <c r="ER75" s="7"/>
      <c r="ES75" s="10" t="s">
        <v>40</v>
      </c>
      <c r="ET75" s="7"/>
      <c r="EU75" s="7"/>
      <c r="EV75" s="10" t="s">
        <v>40</v>
      </c>
      <c r="EW75" s="9"/>
      <c r="EX75" s="9"/>
      <c r="EY75" s="10" t="s">
        <v>40</v>
      </c>
      <c r="EZ75" s="7"/>
      <c r="FA75" s="7"/>
      <c r="FB75" s="10" t="s">
        <v>40</v>
      </c>
      <c r="FC75" s="7"/>
      <c r="FD75" s="7"/>
      <c r="FE75" s="10" t="s">
        <v>40</v>
      </c>
      <c r="FF75" s="7"/>
      <c r="FG75" s="7"/>
      <c r="FH75" s="10" t="s">
        <v>40</v>
      </c>
      <c r="FI75" s="9"/>
      <c r="FJ75" s="9"/>
      <c r="FK75" s="10" t="s">
        <v>40</v>
      </c>
      <c r="FL75" s="7"/>
      <c r="FM75" s="7"/>
      <c r="FN75" s="10" t="s">
        <v>40</v>
      </c>
      <c r="FO75" s="7"/>
      <c r="FP75" s="7"/>
      <c r="FQ75" s="10" t="s">
        <v>40</v>
      </c>
      <c r="FR75" s="7"/>
      <c r="FS75" s="7"/>
      <c r="FT75" s="10" t="s">
        <v>40</v>
      </c>
      <c r="FU75" s="9"/>
      <c r="FV75" s="9"/>
      <c r="FW75" s="10" t="s">
        <v>40</v>
      </c>
      <c r="FX75" s="7"/>
      <c r="FY75" s="7"/>
      <c r="FZ75" s="10" t="s">
        <v>40</v>
      </c>
      <c r="GA75" s="7"/>
      <c r="GB75" s="7"/>
      <c r="GC75" s="10" t="s">
        <v>40</v>
      </c>
      <c r="GD75" s="7"/>
      <c r="GE75" s="7"/>
      <c r="GF75" s="10" t="s">
        <v>40</v>
      </c>
      <c r="GG75" s="7"/>
      <c r="GH75" s="7"/>
      <c r="GI75" s="10" t="s">
        <v>40</v>
      </c>
      <c r="GJ75" s="7">
        <v>33</v>
      </c>
      <c r="GK75" s="7">
        <v>603</v>
      </c>
      <c r="GL75" s="10" t="s">
        <v>40</v>
      </c>
      <c r="GM75" s="7"/>
      <c r="GN75" s="7"/>
      <c r="GO75" s="10" t="s">
        <v>40</v>
      </c>
      <c r="GP75" s="7"/>
      <c r="GQ75" s="7"/>
      <c r="GR75" s="10" t="s">
        <v>40</v>
      </c>
      <c r="GS75" s="7"/>
      <c r="GT75" s="7"/>
      <c r="GU75" s="6" t="s">
        <v>40</v>
      </c>
      <c r="GV75" s="7">
        <v>35</v>
      </c>
      <c r="GW75" s="7">
        <v>700</v>
      </c>
      <c r="GX75" s="10" t="s">
        <v>40</v>
      </c>
      <c r="GY75" s="7"/>
      <c r="GZ75" s="7"/>
      <c r="HA75" s="10" t="s">
        <v>40</v>
      </c>
      <c r="HB75" s="7"/>
      <c r="HC75" s="7"/>
      <c r="HD75" s="10" t="s">
        <v>40</v>
      </c>
      <c r="HE75" s="7"/>
      <c r="HF75" s="7"/>
      <c r="HG75" s="10" t="s">
        <v>40</v>
      </c>
      <c r="HH75" s="7">
        <v>30</v>
      </c>
      <c r="HI75" s="7">
        <v>700</v>
      </c>
      <c r="HJ75" s="10" t="s">
        <v>40</v>
      </c>
      <c r="HK75" s="7"/>
      <c r="HL75" s="7"/>
      <c r="HM75" s="10" t="s">
        <v>40</v>
      </c>
      <c r="HN75" s="7"/>
      <c r="HO75" s="7"/>
      <c r="HP75" s="10" t="s">
        <v>40</v>
      </c>
      <c r="HQ75" s="7"/>
      <c r="HR75" s="7"/>
      <c r="HS75" s="10" t="s">
        <v>40</v>
      </c>
      <c r="HT75" s="7">
        <v>80</v>
      </c>
      <c r="HU75" s="7">
        <v>2000</v>
      </c>
      <c r="HV75" s="10" t="s">
        <v>40</v>
      </c>
      <c r="HW75" s="7"/>
      <c r="HX75" s="7"/>
      <c r="HY75" s="10" t="s">
        <v>40</v>
      </c>
      <c r="HZ75" s="7"/>
      <c r="IA75" s="7"/>
      <c r="IB75" s="10" t="s">
        <v>40</v>
      </c>
      <c r="IC75" s="7"/>
      <c r="ID75" s="7"/>
      <c r="IE75" s="6" t="s">
        <v>40</v>
      </c>
      <c r="IF75" s="7">
        <v>73</v>
      </c>
      <c r="IG75" s="7">
        <v>1965</v>
      </c>
      <c r="II75" s="7"/>
      <c r="IJ75" s="7"/>
      <c r="IK75" s="7"/>
      <c r="IL75" s="7"/>
      <c r="IM75" s="7"/>
      <c r="IN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/>
      <c r="JB75" s="7"/>
      <c r="JC75" s="7"/>
      <c r="JE75" s="7"/>
      <c r="JF75" s="9"/>
      <c r="JH75" s="7"/>
      <c r="JI75" s="7"/>
      <c r="JJ75" s="7"/>
      <c r="JK75" s="7"/>
      <c r="JL75" s="7"/>
      <c r="JM75" s="7"/>
      <c r="JO75" s="7"/>
      <c r="JP75" s="7"/>
      <c r="JQ75" s="7"/>
      <c r="JR75" s="7"/>
      <c r="JT75" s="7"/>
      <c r="JU75" s="7"/>
      <c r="JV75" s="7"/>
      <c r="JW75" s="7"/>
      <c r="JX75" s="7"/>
    </row>
    <row r="76" spans="1:284" x14ac:dyDescent="0.3">
      <c r="A76" t="s">
        <v>251</v>
      </c>
      <c r="B76" s="10" t="s">
        <v>40</v>
      </c>
      <c r="C76" s="7"/>
      <c r="D76" s="7"/>
      <c r="E76" s="10" t="s">
        <v>40</v>
      </c>
      <c r="F76" s="7"/>
      <c r="G76" s="7"/>
      <c r="H76" s="10" t="s">
        <v>40</v>
      </c>
      <c r="I76" s="9"/>
      <c r="J76" s="9"/>
      <c r="K76" s="10" t="s">
        <v>40</v>
      </c>
      <c r="L76" s="7"/>
      <c r="M76" s="7"/>
      <c r="N76" s="10" t="s">
        <v>40</v>
      </c>
      <c r="O76" s="7"/>
      <c r="P76" s="7"/>
      <c r="Q76" s="10" t="s">
        <v>40</v>
      </c>
      <c r="R76" s="7"/>
      <c r="S76" s="7"/>
      <c r="T76" s="10" t="s">
        <v>40</v>
      </c>
      <c r="U76" s="9"/>
      <c r="V76" s="9"/>
      <c r="W76" s="10" t="s">
        <v>40</v>
      </c>
      <c r="X76" s="7"/>
      <c r="Y76" s="7"/>
      <c r="Z76" s="10" t="s">
        <v>40</v>
      </c>
      <c r="AA76" s="7"/>
      <c r="AB76" s="7"/>
      <c r="AC76" s="10" t="s">
        <v>40</v>
      </c>
      <c r="AD76" s="7"/>
      <c r="AE76" s="7"/>
      <c r="AF76" s="10" t="s">
        <v>40</v>
      </c>
      <c r="AG76" s="9"/>
      <c r="AH76" s="9"/>
      <c r="AI76" s="10" t="s">
        <v>40</v>
      </c>
      <c r="AJ76" s="7"/>
      <c r="AK76" s="7"/>
      <c r="AL76" s="10" t="s">
        <v>40</v>
      </c>
      <c r="AM76" s="7"/>
      <c r="AN76" s="7"/>
      <c r="AO76" s="10" t="s">
        <v>40</v>
      </c>
      <c r="AP76" s="7"/>
      <c r="AQ76" s="7"/>
      <c r="AR76" s="10" t="s">
        <v>40</v>
      </c>
      <c r="AS76" s="9"/>
      <c r="AT76" s="9"/>
      <c r="AU76" s="10" t="s">
        <v>40</v>
      </c>
      <c r="AV76" s="7"/>
      <c r="AW76" s="7"/>
      <c r="AX76" s="10" t="s">
        <v>40</v>
      </c>
      <c r="AY76" s="7"/>
      <c r="AZ76" s="7"/>
      <c r="BA76" s="10" t="s">
        <v>40</v>
      </c>
      <c r="BB76" s="7"/>
      <c r="BC76" s="7"/>
      <c r="BD76" s="10" t="s">
        <v>40</v>
      </c>
      <c r="BE76" s="9"/>
      <c r="BF76" s="9"/>
      <c r="BG76" s="10" t="s">
        <v>40</v>
      </c>
      <c r="BH76" s="7"/>
      <c r="BI76" s="7"/>
      <c r="BJ76" s="10" t="s">
        <v>40</v>
      </c>
      <c r="BK76" s="7"/>
      <c r="BL76" s="7"/>
      <c r="BM76" s="10" t="s">
        <v>40</v>
      </c>
      <c r="BN76" s="7"/>
      <c r="BO76" s="7"/>
      <c r="BP76" s="10" t="s">
        <v>40</v>
      </c>
      <c r="BQ76" s="9"/>
      <c r="BR76" s="9"/>
      <c r="BS76" s="10" t="s">
        <v>40</v>
      </c>
      <c r="BT76" s="7"/>
      <c r="BU76" s="7"/>
      <c r="BV76" s="10" t="s">
        <v>40</v>
      </c>
      <c r="BW76" s="7"/>
      <c r="BX76" s="7"/>
      <c r="BY76" s="10" t="s">
        <v>40</v>
      </c>
      <c r="BZ76" s="7"/>
      <c r="CA76" s="7"/>
      <c r="CB76" s="10" t="s">
        <v>40</v>
      </c>
      <c r="CC76" s="9"/>
      <c r="CD76" s="9"/>
      <c r="CE76" s="10" t="s">
        <v>40</v>
      </c>
      <c r="CF76" s="7"/>
      <c r="CG76" s="7"/>
      <c r="CH76" s="10" t="s">
        <v>40</v>
      </c>
      <c r="CI76" s="7"/>
      <c r="CJ76" s="7"/>
      <c r="CK76" s="10" t="s">
        <v>40</v>
      </c>
      <c r="CL76" s="7"/>
      <c r="CM76" s="7"/>
      <c r="CN76" s="10" t="s">
        <v>40</v>
      </c>
      <c r="CO76" s="9"/>
      <c r="CP76" s="9"/>
      <c r="CQ76" s="10" t="s">
        <v>40</v>
      </c>
      <c r="CR76" s="7"/>
      <c r="CS76" s="7"/>
      <c r="CT76" s="10" t="s">
        <v>40</v>
      </c>
      <c r="CU76" s="7"/>
      <c r="CV76" s="7"/>
      <c r="CW76" s="10" t="s">
        <v>40</v>
      </c>
      <c r="CX76" s="7"/>
      <c r="CY76" s="7"/>
      <c r="CZ76" s="10" t="s">
        <v>40</v>
      </c>
      <c r="DA76" s="9"/>
      <c r="DB76" s="9"/>
      <c r="DC76" s="10" t="s">
        <v>40</v>
      </c>
      <c r="DD76" s="7"/>
      <c r="DE76" s="7"/>
      <c r="DF76" s="10" t="s">
        <v>40</v>
      </c>
      <c r="DG76" s="7"/>
      <c r="DH76" s="7"/>
      <c r="DI76" s="10" t="s">
        <v>40</v>
      </c>
      <c r="DJ76" s="7"/>
      <c r="DK76" s="7"/>
      <c r="DL76" s="10" t="s">
        <v>40</v>
      </c>
      <c r="DM76" s="9"/>
      <c r="DN76" s="9"/>
      <c r="DO76" s="10" t="s">
        <v>40</v>
      </c>
      <c r="DP76" s="7"/>
      <c r="DQ76" s="7"/>
      <c r="DR76" s="10" t="s">
        <v>40</v>
      </c>
      <c r="DS76" s="7"/>
      <c r="DT76" s="7"/>
      <c r="DU76" s="10" t="s">
        <v>40</v>
      </c>
      <c r="DV76" s="7"/>
      <c r="DW76" s="7"/>
      <c r="DX76" s="10" t="s">
        <v>40</v>
      </c>
      <c r="DY76" s="9"/>
      <c r="DZ76" s="9"/>
      <c r="EA76" s="10" t="s">
        <v>40</v>
      </c>
      <c r="EB76" s="7"/>
      <c r="EC76" s="7"/>
      <c r="ED76" s="10" t="s">
        <v>40</v>
      </c>
      <c r="EE76" s="7"/>
      <c r="EF76" s="7"/>
      <c r="EG76" s="10" t="s">
        <v>40</v>
      </c>
      <c r="EH76" s="7"/>
      <c r="EI76" s="7"/>
      <c r="EJ76" s="10" t="s">
        <v>40</v>
      </c>
      <c r="EK76" s="9"/>
      <c r="EL76" s="9"/>
      <c r="EM76" s="10" t="s">
        <v>40</v>
      </c>
      <c r="EN76" s="7"/>
      <c r="EO76" s="7"/>
      <c r="EP76" s="10" t="s">
        <v>40</v>
      </c>
      <c r="EQ76" s="7"/>
      <c r="ER76" s="7"/>
      <c r="ES76" s="10" t="s">
        <v>40</v>
      </c>
      <c r="ET76" s="7"/>
      <c r="EU76" s="7"/>
      <c r="EV76" s="10" t="s">
        <v>40</v>
      </c>
      <c r="EW76" s="9"/>
      <c r="EX76" s="9"/>
      <c r="EY76" s="10" t="s">
        <v>40</v>
      </c>
      <c r="EZ76" s="7"/>
      <c r="FA76" s="7"/>
      <c r="FB76" s="10" t="s">
        <v>40</v>
      </c>
      <c r="FC76" s="7"/>
      <c r="FD76" s="7"/>
      <c r="FE76" s="10" t="s">
        <v>40</v>
      </c>
      <c r="FF76" s="7"/>
      <c r="FG76" s="7"/>
      <c r="FH76" s="10" t="s">
        <v>40</v>
      </c>
      <c r="FI76" s="9"/>
      <c r="FJ76" s="9"/>
      <c r="FK76" s="10" t="s">
        <v>40</v>
      </c>
      <c r="FL76" s="7"/>
      <c r="FM76" s="7"/>
      <c r="FN76" s="10" t="s">
        <v>40</v>
      </c>
      <c r="FO76" s="7"/>
      <c r="FP76" s="7"/>
      <c r="FQ76" s="10" t="s">
        <v>40</v>
      </c>
      <c r="FR76" s="7"/>
      <c r="FS76" s="7"/>
      <c r="FT76" s="10" t="s">
        <v>40</v>
      </c>
      <c r="FU76" s="9"/>
      <c r="FV76" s="9"/>
      <c r="FW76" s="10" t="s">
        <v>40</v>
      </c>
      <c r="FX76" s="7">
        <v>20</v>
      </c>
      <c r="FY76" s="7">
        <v>350</v>
      </c>
      <c r="FZ76" s="10" t="s">
        <v>40</v>
      </c>
      <c r="GA76" s="7"/>
      <c r="GB76" s="7"/>
      <c r="GC76" s="10" t="s">
        <v>40</v>
      </c>
      <c r="GD76" s="7"/>
      <c r="GE76" s="7"/>
      <c r="GF76" s="10" t="s">
        <v>40</v>
      </c>
      <c r="GG76" s="7"/>
      <c r="GH76" s="7"/>
      <c r="GI76" s="10" t="s">
        <v>40</v>
      </c>
      <c r="GJ76" s="7">
        <v>12</v>
      </c>
      <c r="GK76" s="7">
        <v>223</v>
      </c>
      <c r="GL76" s="10" t="s">
        <v>40</v>
      </c>
      <c r="GM76" s="7"/>
      <c r="GN76" s="7"/>
      <c r="GO76" s="10" t="s">
        <v>40</v>
      </c>
      <c r="GP76" s="7"/>
      <c r="GQ76" s="7"/>
      <c r="GR76" s="10" t="s">
        <v>40</v>
      </c>
      <c r="GS76" s="7"/>
      <c r="GT76" s="7"/>
      <c r="GU76" s="6" t="s">
        <v>40</v>
      </c>
      <c r="GV76" s="7">
        <v>15</v>
      </c>
      <c r="GW76" s="7">
        <v>200</v>
      </c>
      <c r="GX76" s="10" t="s">
        <v>40</v>
      </c>
      <c r="GY76" s="7"/>
      <c r="GZ76" s="7"/>
      <c r="HA76" s="10" t="s">
        <v>40</v>
      </c>
      <c r="HB76" s="7"/>
      <c r="HC76" s="7"/>
      <c r="HD76" s="10" t="s">
        <v>40</v>
      </c>
      <c r="HE76" s="7"/>
      <c r="HF76" s="7"/>
      <c r="HG76" s="10" t="s">
        <v>40</v>
      </c>
      <c r="HH76" s="7">
        <v>17</v>
      </c>
      <c r="HI76" s="7">
        <v>250</v>
      </c>
      <c r="HJ76" s="10" t="s">
        <v>40</v>
      </c>
      <c r="HK76" s="7"/>
      <c r="HL76" s="7"/>
      <c r="HM76" s="10" t="s">
        <v>40</v>
      </c>
      <c r="HN76" s="7"/>
      <c r="HO76" s="7"/>
      <c r="HP76" s="10" t="s">
        <v>40</v>
      </c>
      <c r="HQ76" s="7"/>
      <c r="HR76" s="7"/>
      <c r="HS76" s="10" t="s">
        <v>40</v>
      </c>
      <c r="HT76" s="7">
        <v>15</v>
      </c>
      <c r="HU76" s="7">
        <v>200</v>
      </c>
      <c r="HV76" s="10" t="s">
        <v>40</v>
      </c>
      <c r="HW76" s="7"/>
      <c r="HX76" s="7"/>
      <c r="HY76" s="10" t="s">
        <v>40</v>
      </c>
      <c r="HZ76" s="7"/>
      <c r="IA76" s="7"/>
      <c r="IB76" s="10" t="s">
        <v>40</v>
      </c>
      <c r="IC76" s="7"/>
      <c r="ID76" s="7"/>
      <c r="IE76" s="6" t="s">
        <v>40</v>
      </c>
      <c r="IF76" s="7">
        <v>15</v>
      </c>
      <c r="IG76" s="7">
        <v>380</v>
      </c>
      <c r="II76" s="7"/>
      <c r="IJ76" s="7"/>
      <c r="IK76" s="7"/>
      <c r="IL76" s="7"/>
      <c r="IM76" s="7"/>
      <c r="IN76" s="7"/>
      <c r="IP76" s="7"/>
      <c r="IQ76" s="7"/>
      <c r="IR76" s="7"/>
      <c r="IS76" s="7"/>
      <c r="IT76" s="7"/>
      <c r="IU76" s="7"/>
      <c r="IV76" s="7"/>
      <c r="IW76" s="7"/>
      <c r="IX76" s="7"/>
      <c r="IY76" s="7"/>
      <c r="IZ76" s="7"/>
      <c r="JA76" s="7"/>
      <c r="JB76" s="7"/>
      <c r="JC76" s="7"/>
      <c r="JE76" s="7"/>
      <c r="JF76" s="7"/>
      <c r="JH76" s="7"/>
      <c r="JI76" s="7"/>
      <c r="JJ76" s="7"/>
      <c r="JK76" s="7"/>
      <c r="JL76" s="7"/>
      <c r="JM76" s="7"/>
      <c r="JO76" s="7"/>
      <c r="JP76" s="7"/>
      <c r="JQ76" s="7"/>
      <c r="JR76" s="7"/>
      <c r="JT76" s="7"/>
      <c r="JU76" s="7"/>
      <c r="JV76" s="7"/>
      <c r="JW76" s="7"/>
      <c r="JX76" s="7"/>
    </row>
    <row r="77" spans="1:284" x14ac:dyDescent="0.3">
      <c r="A77" t="s">
        <v>252</v>
      </c>
      <c r="B77" s="10" t="s">
        <v>42</v>
      </c>
      <c r="C77" s="7"/>
      <c r="D77" s="7"/>
      <c r="E77" s="10" t="s">
        <v>42</v>
      </c>
      <c r="F77" s="7"/>
      <c r="G77" s="7"/>
      <c r="H77" s="10" t="s">
        <v>42</v>
      </c>
      <c r="I77" s="9"/>
      <c r="J77" s="9"/>
      <c r="K77" s="10" t="s">
        <v>42</v>
      </c>
      <c r="L77" s="7"/>
      <c r="M77" s="7"/>
      <c r="N77" s="10" t="s">
        <v>42</v>
      </c>
      <c r="O77" s="7"/>
      <c r="P77" s="7"/>
      <c r="Q77" s="10" t="s">
        <v>42</v>
      </c>
      <c r="R77" s="7"/>
      <c r="S77" s="7"/>
      <c r="T77" s="10" t="s">
        <v>42</v>
      </c>
      <c r="U77" s="9"/>
      <c r="V77" s="9"/>
      <c r="W77" s="10" t="s">
        <v>42</v>
      </c>
      <c r="X77" s="7"/>
      <c r="Y77" s="7"/>
      <c r="Z77" s="10" t="s">
        <v>42</v>
      </c>
      <c r="AA77" s="7"/>
      <c r="AB77" s="7"/>
      <c r="AC77" s="10" t="s">
        <v>42</v>
      </c>
      <c r="AD77" s="7"/>
      <c r="AE77" s="7"/>
      <c r="AF77" s="10" t="s">
        <v>42</v>
      </c>
      <c r="AG77" s="9"/>
      <c r="AH77" s="9"/>
      <c r="AI77" s="10" t="s">
        <v>42</v>
      </c>
      <c r="AJ77" s="7"/>
      <c r="AK77" s="7"/>
      <c r="AL77" s="10" t="s">
        <v>42</v>
      </c>
      <c r="AM77" s="7"/>
      <c r="AN77" s="7"/>
      <c r="AO77" s="10" t="s">
        <v>42</v>
      </c>
      <c r="AP77" s="7"/>
      <c r="AQ77" s="7"/>
      <c r="AR77" s="10" t="s">
        <v>42</v>
      </c>
      <c r="AS77" s="9"/>
      <c r="AT77" s="9"/>
      <c r="AU77" s="10" t="s">
        <v>42</v>
      </c>
      <c r="AV77" s="7"/>
      <c r="AW77" s="7"/>
      <c r="AX77" s="10" t="s">
        <v>42</v>
      </c>
      <c r="AY77" s="7"/>
      <c r="AZ77" s="7"/>
      <c r="BA77" s="10" t="s">
        <v>42</v>
      </c>
      <c r="BB77" s="7"/>
      <c r="BC77" s="7"/>
      <c r="BD77" s="10" t="s">
        <v>42</v>
      </c>
      <c r="BE77" s="9"/>
      <c r="BF77" s="9"/>
      <c r="BG77" s="10" t="s">
        <v>42</v>
      </c>
      <c r="BH77" s="7"/>
      <c r="BI77" s="7"/>
      <c r="BJ77" s="10" t="s">
        <v>42</v>
      </c>
      <c r="BK77" s="7"/>
      <c r="BL77" s="7"/>
      <c r="BM77" s="10" t="s">
        <v>42</v>
      </c>
      <c r="BN77" s="7"/>
      <c r="BO77" s="7"/>
      <c r="BP77" s="10" t="s">
        <v>42</v>
      </c>
      <c r="BQ77" s="9"/>
      <c r="BR77" s="9"/>
      <c r="BS77" s="10" t="s">
        <v>42</v>
      </c>
      <c r="BT77" s="7"/>
      <c r="BU77" s="7"/>
      <c r="BV77" s="10" t="s">
        <v>42</v>
      </c>
      <c r="BW77" s="7"/>
      <c r="BX77" s="7"/>
      <c r="BY77" s="10" t="s">
        <v>42</v>
      </c>
      <c r="BZ77" s="7"/>
      <c r="CA77" s="7"/>
      <c r="CB77" s="10" t="s">
        <v>42</v>
      </c>
      <c r="CC77" s="9"/>
      <c r="CD77" s="9"/>
      <c r="CE77" s="10" t="s">
        <v>42</v>
      </c>
      <c r="CF77" s="7"/>
      <c r="CG77" s="7"/>
      <c r="CH77" s="10" t="s">
        <v>42</v>
      </c>
      <c r="CI77" s="7"/>
      <c r="CJ77" s="7"/>
      <c r="CK77" s="10" t="s">
        <v>42</v>
      </c>
      <c r="CL77" s="7"/>
      <c r="CM77" s="7"/>
      <c r="CN77" s="10" t="s">
        <v>42</v>
      </c>
      <c r="CO77" s="9"/>
      <c r="CP77" s="9"/>
      <c r="CQ77" s="10" t="s">
        <v>42</v>
      </c>
      <c r="CR77" s="7"/>
      <c r="CS77" s="7"/>
      <c r="CT77" s="10" t="s">
        <v>42</v>
      </c>
      <c r="CU77" s="7"/>
      <c r="CV77" s="7"/>
      <c r="CW77" s="10" t="s">
        <v>42</v>
      </c>
      <c r="CX77" s="7"/>
      <c r="CY77" s="7"/>
      <c r="CZ77" s="10" t="s">
        <v>42</v>
      </c>
      <c r="DA77" s="9"/>
      <c r="DB77" s="9"/>
      <c r="DC77" s="10" t="s">
        <v>42</v>
      </c>
      <c r="DD77" s="7"/>
      <c r="DE77" s="7"/>
      <c r="DF77" s="10" t="s">
        <v>42</v>
      </c>
      <c r="DG77" s="7"/>
      <c r="DH77" s="7"/>
      <c r="DI77" s="10" t="s">
        <v>42</v>
      </c>
      <c r="DJ77" s="7"/>
      <c r="DK77" s="7"/>
      <c r="DL77" s="10" t="s">
        <v>42</v>
      </c>
      <c r="DM77" s="9"/>
      <c r="DN77" s="9"/>
      <c r="DO77" s="10" t="s">
        <v>42</v>
      </c>
      <c r="DP77" s="7"/>
      <c r="DQ77" s="7"/>
      <c r="DR77" s="10" t="s">
        <v>42</v>
      </c>
      <c r="DS77" s="7"/>
      <c r="DT77" s="7"/>
      <c r="DU77" s="10" t="s">
        <v>42</v>
      </c>
      <c r="DV77" s="7"/>
      <c r="DW77" s="7"/>
      <c r="DX77" s="10" t="s">
        <v>42</v>
      </c>
      <c r="DY77" s="9"/>
      <c r="DZ77" s="9"/>
      <c r="EA77" s="10" t="s">
        <v>42</v>
      </c>
      <c r="EB77" s="7"/>
      <c r="EC77" s="7"/>
      <c r="ED77" s="10" t="s">
        <v>42</v>
      </c>
      <c r="EE77" s="7"/>
      <c r="EF77" s="7"/>
      <c r="EG77" s="10" t="s">
        <v>42</v>
      </c>
      <c r="EH77" s="7"/>
      <c r="EI77" s="7"/>
      <c r="EJ77" s="10" t="s">
        <v>42</v>
      </c>
      <c r="EK77" s="9"/>
      <c r="EL77" s="9"/>
      <c r="EM77" s="10" t="s">
        <v>42</v>
      </c>
      <c r="EN77" s="7"/>
      <c r="EO77" s="7"/>
      <c r="EP77" s="10" t="s">
        <v>42</v>
      </c>
      <c r="EQ77" s="7"/>
      <c r="ER77" s="7"/>
      <c r="ES77" s="10" t="s">
        <v>42</v>
      </c>
      <c r="ET77" s="7"/>
      <c r="EU77" s="7"/>
      <c r="EV77" s="10" t="s">
        <v>42</v>
      </c>
      <c r="EW77" s="9"/>
      <c r="EX77" s="9"/>
      <c r="EY77" s="10" t="s">
        <v>42</v>
      </c>
      <c r="EZ77" s="7"/>
      <c r="FA77" s="7"/>
      <c r="FB77" s="10" t="s">
        <v>42</v>
      </c>
      <c r="FC77" s="7"/>
      <c r="FD77" s="7"/>
      <c r="FE77" s="10" t="s">
        <v>42</v>
      </c>
      <c r="FF77" s="7"/>
      <c r="FG77" s="7"/>
      <c r="FH77" s="10" t="s">
        <v>42</v>
      </c>
      <c r="FI77" s="9"/>
      <c r="FJ77" s="9"/>
      <c r="FK77" s="10" t="s">
        <v>42</v>
      </c>
      <c r="FL77" s="7"/>
      <c r="FM77" s="7"/>
      <c r="FN77" s="10" t="s">
        <v>42</v>
      </c>
      <c r="FO77" s="7"/>
      <c r="FP77" s="7"/>
      <c r="FQ77" s="10" t="s">
        <v>42</v>
      </c>
      <c r="FR77" s="7"/>
      <c r="FS77" s="7"/>
      <c r="FT77" s="10" t="s">
        <v>42</v>
      </c>
      <c r="FU77" s="9"/>
      <c r="FV77" s="9"/>
      <c r="FW77" s="10" t="s">
        <v>42</v>
      </c>
      <c r="FX77" s="7">
        <v>80</v>
      </c>
      <c r="FY77" s="7">
        <v>400</v>
      </c>
      <c r="FZ77" s="10" t="s">
        <v>42</v>
      </c>
      <c r="GA77" s="7"/>
      <c r="GB77" s="7"/>
      <c r="GC77" s="10" t="s">
        <v>42</v>
      </c>
      <c r="GD77" s="7"/>
      <c r="GE77" s="7"/>
      <c r="GF77" s="10" t="s">
        <v>42</v>
      </c>
      <c r="GG77" s="7"/>
      <c r="GH77" s="7"/>
      <c r="GI77" s="10" t="s">
        <v>42</v>
      </c>
      <c r="GJ77" s="7">
        <v>141</v>
      </c>
      <c r="GK77" s="7">
        <v>705</v>
      </c>
      <c r="GL77" s="10" t="s">
        <v>42</v>
      </c>
      <c r="GM77" s="7"/>
      <c r="GN77" s="7"/>
      <c r="GO77" s="10" t="s">
        <v>42</v>
      </c>
      <c r="GP77" s="7"/>
      <c r="GQ77" s="7"/>
      <c r="GR77" s="10" t="s">
        <v>42</v>
      </c>
      <c r="GS77" s="7"/>
      <c r="GT77" s="7"/>
      <c r="GU77" s="6" t="s">
        <v>42</v>
      </c>
      <c r="GV77" s="7">
        <v>180</v>
      </c>
      <c r="GW77" s="7">
        <v>300</v>
      </c>
      <c r="GX77" s="10" t="s">
        <v>48</v>
      </c>
      <c r="GY77" s="7"/>
      <c r="GZ77" s="7"/>
      <c r="HA77" s="10" t="s">
        <v>48</v>
      </c>
      <c r="HB77" s="7"/>
      <c r="HC77" s="7"/>
      <c r="HD77" s="10" t="s">
        <v>48</v>
      </c>
      <c r="HE77" s="7"/>
      <c r="HF77" s="7"/>
      <c r="HG77" s="10" t="s">
        <v>48</v>
      </c>
      <c r="HH77" s="7">
        <v>200</v>
      </c>
      <c r="HI77" s="7">
        <v>400</v>
      </c>
      <c r="HJ77" s="10" t="s">
        <v>48</v>
      </c>
      <c r="HK77" s="7"/>
      <c r="HL77" s="7"/>
      <c r="HM77" s="10" t="s">
        <v>48</v>
      </c>
      <c r="HN77" s="7"/>
      <c r="HO77" s="7"/>
      <c r="HP77" s="10" t="s">
        <v>48</v>
      </c>
      <c r="HQ77" s="7"/>
      <c r="HR77" s="7"/>
      <c r="HS77" s="6" t="s">
        <v>48</v>
      </c>
      <c r="HT77" s="7">
        <v>180</v>
      </c>
      <c r="HU77" s="7">
        <v>400</v>
      </c>
      <c r="HV77" s="10" t="s">
        <v>42</v>
      </c>
      <c r="HW77" s="7"/>
      <c r="HX77" s="7"/>
      <c r="HY77" s="10" t="s">
        <v>42</v>
      </c>
      <c r="HZ77" s="7"/>
      <c r="IA77" s="7"/>
      <c r="IB77" s="10" t="s">
        <v>42</v>
      </c>
      <c r="IC77" s="7"/>
      <c r="ID77" s="7"/>
      <c r="IE77" s="6" t="s">
        <v>42</v>
      </c>
      <c r="IF77" s="7">
        <v>30</v>
      </c>
      <c r="IG77" s="7">
        <v>100</v>
      </c>
      <c r="II77" s="7"/>
      <c r="IJ77" s="7"/>
      <c r="IK77" s="7"/>
      <c r="IL77" s="7"/>
      <c r="IM77" s="7"/>
      <c r="IN77" s="7"/>
      <c r="IP77" s="7"/>
      <c r="IQ77" s="7"/>
      <c r="IR77" s="7"/>
      <c r="IS77" s="7"/>
      <c r="IT77" s="7"/>
      <c r="IU77" s="7"/>
      <c r="IV77" s="7"/>
      <c r="IW77" s="7"/>
      <c r="IX77" s="7"/>
      <c r="IY77" s="7"/>
      <c r="IZ77" s="7"/>
      <c r="JA77" s="7"/>
      <c r="JB77" s="7"/>
      <c r="JC77" s="7"/>
      <c r="JE77" s="7"/>
      <c r="JF77" s="7"/>
      <c r="JH77" s="7"/>
      <c r="JI77" s="7"/>
      <c r="JJ77" s="7"/>
      <c r="JK77" s="7"/>
      <c r="JL77" s="7"/>
      <c r="JM77" s="7"/>
      <c r="JO77" s="7"/>
      <c r="JP77" s="7"/>
      <c r="JQ77" s="7"/>
      <c r="JR77" s="7"/>
      <c r="JT77" s="7"/>
      <c r="JU77" s="7"/>
      <c r="JV77" s="7"/>
      <c r="JW77" s="7"/>
      <c r="JX77" s="7"/>
    </row>
    <row r="78" spans="1:284" x14ac:dyDescent="0.3">
      <c r="A78" t="s">
        <v>370</v>
      </c>
      <c r="B78" s="10" t="s">
        <v>38</v>
      </c>
      <c r="C78" s="7"/>
      <c r="D78" s="7"/>
      <c r="E78" s="10" t="s">
        <v>38</v>
      </c>
      <c r="F78" s="7"/>
      <c r="G78" s="7"/>
      <c r="H78" s="10" t="s">
        <v>38</v>
      </c>
      <c r="I78" s="9"/>
      <c r="J78" s="9"/>
      <c r="K78" s="10" t="s">
        <v>38</v>
      </c>
      <c r="L78" s="7"/>
      <c r="M78" s="7"/>
      <c r="N78" s="10" t="s">
        <v>38</v>
      </c>
      <c r="O78" s="7"/>
      <c r="P78" s="7"/>
      <c r="Q78" s="10" t="s">
        <v>38</v>
      </c>
      <c r="R78" s="7"/>
      <c r="S78" s="7"/>
      <c r="T78" s="10" t="s">
        <v>38</v>
      </c>
      <c r="U78" s="9"/>
      <c r="V78" s="9"/>
      <c r="W78" s="10" t="s">
        <v>38</v>
      </c>
      <c r="X78" s="7"/>
      <c r="Y78" s="7"/>
      <c r="Z78" s="10" t="s">
        <v>38</v>
      </c>
      <c r="AA78" s="7"/>
      <c r="AB78" s="7"/>
      <c r="AC78" s="10" t="s">
        <v>38</v>
      </c>
      <c r="AD78" s="7"/>
      <c r="AE78" s="7"/>
      <c r="AF78" s="10" t="s">
        <v>38</v>
      </c>
      <c r="AG78" s="9"/>
      <c r="AH78" s="9"/>
      <c r="AI78" s="10" t="s">
        <v>38</v>
      </c>
      <c r="AJ78" s="7"/>
      <c r="AK78" s="7"/>
      <c r="AL78" s="10" t="s">
        <v>38</v>
      </c>
      <c r="AM78" s="7"/>
      <c r="AN78" s="7"/>
      <c r="AO78" s="10" t="s">
        <v>38</v>
      </c>
      <c r="AP78" s="7"/>
      <c r="AQ78" s="7"/>
      <c r="AR78" s="10" t="s">
        <v>38</v>
      </c>
      <c r="AS78" s="9"/>
      <c r="AT78" s="9"/>
      <c r="AU78" s="10" t="s">
        <v>38</v>
      </c>
      <c r="AV78" s="7"/>
      <c r="AW78" s="7"/>
      <c r="AX78" s="10" t="s">
        <v>38</v>
      </c>
      <c r="AY78" s="7"/>
      <c r="AZ78" s="7"/>
      <c r="BA78" s="10" t="s">
        <v>38</v>
      </c>
      <c r="BB78" s="7"/>
      <c r="BC78" s="7"/>
      <c r="BD78" s="10" t="s">
        <v>38</v>
      </c>
      <c r="BE78" s="9"/>
      <c r="BF78" s="9"/>
      <c r="BG78" s="10" t="s">
        <v>38</v>
      </c>
      <c r="BH78" s="7"/>
      <c r="BI78" s="7"/>
      <c r="BJ78" s="10" t="s">
        <v>38</v>
      </c>
      <c r="BK78" s="7"/>
      <c r="BL78" s="7"/>
      <c r="BM78" s="10" t="s">
        <v>38</v>
      </c>
      <c r="BN78" s="7"/>
      <c r="BO78" s="7"/>
      <c r="BP78" s="10" t="s">
        <v>38</v>
      </c>
      <c r="BQ78" s="9"/>
      <c r="BR78" s="9"/>
      <c r="BS78" s="10" t="s">
        <v>38</v>
      </c>
      <c r="BT78" s="7"/>
      <c r="BU78" s="7"/>
      <c r="BV78" s="10" t="s">
        <v>38</v>
      </c>
      <c r="BW78" s="7"/>
      <c r="BX78" s="7"/>
      <c r="BY78" s="10" t="s">
        <v>38</v>
      </c>
      <c r="BZ78" s="7"/>
      <c r="CA78" s="7"/>
      <c r="CB78" s="10" t="s">
        <v>38</v>
      </c>
      <c r="CC78" s="9"/>
      <c r="CD78" s="9"/>
      <c r="CE78" s="10" t="s">
        <v>38</v>
      </c>
      <c r="CF78" s="7"/>
      <c r="CG78" s="7"/>
      <c r="CH78" s="10" t="s">
        <v>38</v>
      </c>
      <c r="CI78" s="7"/>
      <c r="CJ78" s="7"/>
      <c r="CK78" s="10" t="s">
        <v>38</v>
      </c>
      <c r="CL78" s="7"/>
      <c r="CM78" s="7"/>
      <c r="CN78" s="10" t="s">
        <v>38</v>
      </c>
      <c r="CO78" s="9"/>
      <c r="CP78" s="9"/>
      <c r="CQ78" s="10" t="s">
        <v>38</v>
      </c>
      <c r="CR78" s="7"/>
      <c r="CS78" s="7"/>
      <c r="CT78" s="10" t="s">
        <v>38</v>
      </c>
      <c r="CU78" s="7"/>
      <c r="CV78" s="7"/>
      <c r="CW78" s="10" t="s">
        <v>38</v>
      </c>
      <c r="CX78" s="7"/>
      <c r="CY78" s="7"/>
      <c r="CZ78" s="10" t="s">
        <v>38</v>
      </c>
      <c r="DA78" s="9"/>
      <c r="DB78" s="9"/>
      <c r="DC78" s="10" t="s">
        <v>38</v>
      </c>
      <c r="DD78" s="7"/>
      <c r="DE78" s="7"/>
      <c r="DF78" s="10" t="s">
        <v>38</v>
      </c>
      <c r="DG78" s="7"/>
      <c r="DH78" s="7"/>
      <c r="DI78" s="10" t="s">
        <v>38</v>
      </c>
      <c r="DJ78" s="7"/>
      <c r="DK78" s="7"/>
      <c r="DL78" s="10" t="s">
        <v>38</v>
      </c>
      <c r="DM78" s="9"/>
      <c r="DN78" s="9"/>
      <c r="DO78" s="10" t="s">
        <v>38</v>
      </c>
      <c r="DP78" s="7"/>
      <c r="DQ78" s="7"/>
      <c r="DR78" s="10" t="s">
        <v>38</v>
      </c>
      <c r="DS78" s="7"/>
      <c r="DT78" s="7"/>
      <c r="DU78" s="10" t="s">
        <v>38</v>
      </c>
      <c r="DV78" s="7"/>
      <c r="DW78" s="7"/>
      <c r="DX78" s="10" t="s">
        <v>38</v>
      </c>
      <c r="DY78" s="9"/>
      <c r="DZ78" s="9"/>
      <c r="EA78" s="10" t="s">
        <v>38</v>
      </c>
      <c r="EB78" s="7"/>
      <c r="EC78" s="7"/>
      <c r="ED78" s="10" t="s">
        <v>38</v>
      </c>
      <c r="EE78" s="7"/>
      <c r="EF78" s="7"/>
      <c r="EG78" s="10" t="s">
        <v>38</v>
      </c>
      <c r="EH78" s="7"/>
      <c r="EI78" s="7"/>
      <c r="EJ78" s="10" t="s">
        <v>38</v>
      </c>
      <c r="EK78" s="9"/>
      <c r="EL78" s="9"/>
      <c r="EM78" s="10" t="s">
        <v>38</v>
      </c>
      <c r="EN78" s="7"/>
      <c r="EO78" s="7"/>
      <c r="EP78" s="10" t="s">
        <v>38</v>
      </c>
      <c r="EQ78" s="7"/>
      <c r="ER78" s="7"/>
      <c r="ES78" s="10" t="s">
        <v>38</v>
      </c>
      <c r="ET78" s="7"/>
      <c r="EU78" s="7"/>
      <c r="EV78" s="10" t="s">
        <v>38</v>
      </c>
      <c r="EW78" s="9"/>
      <c r="EX78" s="9"/>
      <c r="EY78" s="10" t="s">
        <v>38</v>
      </c>
      <c r="EZ78" s="7"/>
      <c r="FA78" s="7"/>
      <c r="FB78" s="10" t="s">
        <v>38</v>
      </c>
      <c r="FC78" s="7"/>
      <c r="FD78" s="7"/>
      <c r="FE78" s="10" t="s">
        <v>38</v>
      </c>
      <c r="FF78" s="7"/>
      <c r="FG78" s="7"/>
      <c r="FH78" s="10" t="s">
        <v>38</v>
      </c>
      <c r="FI78" s="9"/>
      <c r="FJ78" s="9"/>
      <c r="FK78" s="10" t="s">
        <v>38</v>
      </c>
      <c r="FL78" s="7"/>
      <c r="FM78" s="7"/>
      <c r="FN78" s="10" t="s">
        <v>38</v>
      </c>
      <c r="FO78" s="7"/>
      <c r="FP78" s="7"/>
      <c r="FQ78" s="10" t="s">
        <v>38</v>
      </c>
      <c r="FR78" s="7">
        <v>200</v>
      </c>
      <c r="FS78" s="7">
        <v>750</v>
      </c>
      <c r="FT78" s="10" t="s">
        <v>38</v>
      </c>
      <c r="FU78" s="9"/>
      <c r="FV78" s="9"/>
      <c r="FW78" s="10" t="s">
        <v>38</v>
      </c>
      <c r="FX78" s="7"/>
      <c r="FY78" s="7"/>
      <c r="FZ78" s="10" t="s">
        <v>38</v>
      </c>
      <c r="GA78" s="7"/>
      <c r="GB78" s="7"/>
      <c r="GC78" s="10" t="s">
        <v>38</v>
      </c>
      <c r="GD78" s="7"/>
      <c r="GE78" s="7"/>
      <c r="GF78" s="10" t="s">
        <v>38</v>
      </c>
      <c r="GG78" s="7">
        <v>80</v>
      </c>
      <c r="GH78" s="7">
        <v>250</v>
      </c>
      <c r="GI78" s="10" t="s">
        <v>38</v>
      </c>
      <c r="GJ78" s="7"/>
      <c r="GK78" s="7"/>
      <c r="GL78" s="10" t="s">
        <v>38</v>
      </c>
      <c r="GM78" s="7"/>
      <c r="GN78" s="7"/>
      <c r="GO78" s="10" t="s">
        <v>38</v>
      </c>
      <c r="GP78" s="7"/>
      <c r="GQ78" s="7"/>
      <c r="GR78" s="10" t="s">
        <v>38</v>
      </c>
      <c r="GS78" s="7">
        <v>185</v>
      </c>
      <c r="GT78" s="7">
        <v>480</v>
      </c>
      <c r="GU78" s="10"/>
      <c r="GV78" s="7"/>
      <c r="GW78" s="7"/>
      <c r="GX78" s="10" t="s">
        <v>38</v>
      </c>
      <c r="GY78" s="7"/>
      <c r="GZ78" s="7"/>
      <c r="HA78" s="10" t="s">
        <v>38</v>
      </c>
      <c r="HB78" s="7">
        <v>100</v>
      </c>
      <c r="HC78" s="7">
        <v>200</v>
      </c>
      <c r="HD78" s="10" t="s">
        <v>38</v>
      </c>
      <c r="HE78" s="7">
        <v>200</v>
      </c>
      <c r="HF78" s="7">
        <v>500</v>
      </c>
      <c r="HG78" s="10" t="s">
        <v>38</v>
      </c>
      <c r="HH78" s="7"/>
      <c r="HI78" s="7"/>
      <c r="HJ78" s="10" t="s">
        <v>38</v>
      </c>
      <c r="HK78" s="7"/>
      <c r="HL78" s="7"/>
      <c r="HM78" s="10" t="s">
        <v>38</v>
      </c>
      <c r="HN78" s="7">
        <v>75</v>
      </c>
      <c r="HO78" s="7">
        <v>180</v>
      </c>
      <c r="HP78" s="10" t="s">
        <v>38</v>
      </c>
      <c r="HQ78" s="7">
        <v>150</v>
      </c>
      <c r="HR78" s="7">
        <v>400</v>
      </c>
      <c r="HS78" s="10" t="s">
        <v>38</v>
      </c>
      <c r="HT78" s="7"/>
      <c r="HU78" s="7"/>
      <c r="HV78" s="10" t="s">
        <v>38</v>
      </c>
      <c r="HW78" s="7"/>
      <c r="HX78" s="7"/>
      <c r="HY78" s="10" t="s">
        <v>38</v>
      </c>
      <c r="HZ78" s="7">
        <v>100</v>
      </c>
      <c r="IA78" s="7">
        <v>300</v>
      </c>
      <c r="IC78" s="7"/>
      <c r="ID78" s="7"/>
      <c r="IE78" s="10"/>
      <c r="IF78" s="7"/>
      <c r="IG78" s="7"/>
      <c r="II78" s="7"/>
      <c r="IJ78" s="7"/>
      <c r="IK78" s="7"/>
      <c r="IL78" s="7"/>
      <c r="IM78" s="7"/>
      <c r="IN78" s="7"/>
      <c r="IP78" s="7"/>
      <c r="IQ78" s="7"/>
      <c r="IR78" s="7"/>
      <c r="IS78" s="7"/>
      <c r="IT78" s="7"/>
      <c r="IU78" s="7"/>
      <c r="IV78" s="7"/>
      <c r="IW78" s="7"/>
      <c r="IX78" s="7"/>
      <c r="IY78" s="7"/>
      <c r="IZ78" s="7"/>
      <c r="JA78" s="7"/>
      <c r="JB78" s="7"/>
      <c r="JC78" s="7"/>
      <c r="JE78" s="7"/>
      <c r="JF78" s="7"/>
      <c r="JH78" s="7"/>
      <c r="JI78" s="7"/>
      <c r="JJ78" s="7"/>
      <c r="JK78" s="7"/>
      <c r="JL78" s="7"/>
      <c r="JM78" s="7"/>
      <c r="JO78" s="7"/>
      <c r="JP78" s="7"/>
      <c r="JQ78" s="7"/>
      <c r="JR78" s="7"/>
      <c r="JT78" s="7"/>
      <c r="JU78" s="7"/>
      <c r="JV78" s="7"/>
      <c r="JW78" s="7"/>
      <c r="JX78" s="7"/>
    </row>
    <row r="79" spans="1:284" x14ac:dyDescent="0.3">
      <c r="A79" t="s">
        <v>253</v>
      </c>
      <c r="B79" s="10" t="s">
        <v>38</v>
      </c>
      <c r="C79" s="7"/>
      <c r="D79" s="7"/>
      <c r="E79" s="10" t="s">
        <v>38</v>
      </c>
      <c r="F79" s="7"/>
      <c r="G79" s="7"/>
      <c r="H79" s="10" t="s">
        <v>38</v>
      </c>
      <c r="I79" s="9"/>
      <c r="J79" s="9"/>
      <c r="K79" s="10" t="s">
        <v>38</v>
      </c>
      <c r="L79" s="7"/>
      <c r="M79" s="7"/>
      <c r="N79" s="10" t="s">
        <v>38</v>
      </c>
      <c r="O79" s="7"/>
      <c r="P79" s="7"/>
      <c r="Q79" s="10" t="s">
        <v>38</v>
      </c>
      <c r="R79" s="7"/>
      <c r="S79" s="7"/>
      <c r="T79" s="10" t="s">
        <v>38</v>
      </c>
      <c r="U79" s="9"/>
      <c r="V79" s="9"/>
      <c r="W79" s="10" t="s">
        <v>38</v>
      </c>
      <c r="X79" s="7"/>
      <c r="Y79" s="7"/>
      <c r="Z79" s="10" t="s">
        <v>38</v>
      </c>
      <c r="AA79" s="7"/>
      <c r="AB79" s="7"/>
      <c r="AC79" s="10" t="s">
        <v>38</v>
      </c>
      <c r="AD79" s="7"/>
      <c r="AE79" s="7"/>
      <c r="AF79" s="10" t="s">
        <v>38</v>
      </c>
      <c r="AG79" s="9"/>
      <c r="AH79" s="9"/>
      <c r="AI79" s="10" t="s">
        <v>38</v>
      </c>
      <c r="AJ79" s="7"/>
      <c r="AK79" s="7"/>
      <c r="AL79" s="10" t="s">
        <v>38</v>
      </c>
      <c r="AM79" s="7"/>
      <c r="AN79" s="7"/>
      <c r="AO79" s="10" t="s">
        <v>38</v>
      </c>
      <c r="AP79" s="7"/>
      <c r="AQ79" s="7"/>
      <c r="AR79" s="10" t="s">
        <v>38</v>
      </c>
      <c r="AS79" s="9"/>
      <c r="AT79" s="9"/>
      <c r="AU79" s="10" t="s">
        <v>38</v>
      </c>
      <c r="AV79" s="7"/>
      <c r="AW79" s="7"/>
      <c r="AX79" s="10" t="s">
        <v>38</v>
      </c>
      <c r="AY79" s="7"/>
      <c r="AZ79" s="7"/>
      <c r="BA79" s="10" t="s">
        <v>38</v>
      </c>
      <c r="BB79" s="7"/>
      <c r="BC79" s="7"/>
      <c r="BD79" s="10" t="s">
        <v>38</v>
      </c>
      <c r="BE79" s="9"/>
      <c r="BF79" s="9"/>
      <c r="BG79" s="10" t="s">
        <v>38</v>
      </c>
      <c r="BH79" s="7"/>
      <c r="BI79" s="7"/>
      <c r="BJ79" s="10" t="s">
        <v>38</v>
      </c>
      <c r="BK79" s="7"/>
      <c r="BL79" s="7"/>
      <c r="BM79" s="10" t="s">
        <v>38</v>
      </c>
      <c r="BN79" s="7"/>
      <c r="BO79" s="7"/>
      <c r="BP79" s="10" t="s">
        <v>38</v>
      </c>
      <c r="BQ79" s="9"/>
      <c r="BR79" s="9"/>
      <c r="BS79" s="10" t="s">
        <v>38</v>
      </c>
      <c r="BT79" s="7"/>
      <c r="BU79" s="7"/>
      <c r="BV79" s="10" t="s">
        <v>38</v>
      </c>
      <c r="BW79" s="7"/>
      <c r="BX79" s="7"/>
      <c r="BY79" s="10" t="s">
        <v>38</v>
      </c>
      <c r="BZ79" s="7"/>
      <c r="CA79" s="7"/>
      <c r="CB79" s="10" t="s">
        <v>38</v>
      </c>
      <c r="CC79" s="9"/>
      <c r="CD79" s="9"/>
      <c r="CE79" s="10" t="s">
        <v>38</v>
      </c>
      <c r="CF79" s="7"/>
      <c r="CG79" s="7"/>
      <c r="CH79" s="10" t="s">
        <v>38</v>
      </c>
      <c r="CI79" s="7"/>
      <c r="CJ79" s="7"/>
      <c r="CK79" s="10" t="s">
        <v>38</v>
      </c>
      <c r="CL79" s="7"/>
      <c r="CM79" s="7"/>
      <c r="CN79" s="10" t="s">
        <v>38</v>
      </c>
      <c r="CO79" s="9"/>
      <c r="CP79" s="9"/>
      <c r="CQ79" s="10" t="s">
        <v>38</v>
      </c>
      <c r="CR79" s="7"/>
      <c r="CS79" s="7"/>
      <c r="CT79" s="10" t="s">
        <v>38</v>
      </c>
      <c r="CU79" s="7"/>
      <c r="CV79" s="7"/>
      <c r="CW79" s="10" t="s">
        <v>38</v>
      </c>
      <c r="CX79" s="7"/>
      <c r="CY79" s="7"/>
      <c r="CZ79" s="10" t="s">
        <v>38</v>
      </c>
      <c r="DA79" s="9"/>
      <c r="DB79" s="9"/>
      <c r="DC79" s="10" t="s">
        <v>38</v>
      </c>
      <c r="DD79" s="7"/>
      <c r="DE79" s="7"/>
      <c r="DF79" s="10" t="s">
        <v>38</v>
      </c>
      <c r="DG79" s="7"/>
      <c r="DH79" s="7"/>
      <c r="DI79" s="10" t="s">
        <v>38</v>
      </c>
      <c r="DJ79" s="7"/>
      <c r="DK79" s="7"/>
      <c r="DL79" s="10" t="s">
        <v>38</v>
      </c>
      <c r="DM79" s="9"/>
      <c r="DN79" s="9"/>
      <c r="DO79" s="10" t="s">
        <v>38</v>
      </c>
      <c r="DP79" s="7"/>
      <c r="DQ79" s="7"/>
      <c r="DR79" s="10" t="s">
        <v>38</v>
      </c>
      <c r="DS79" s="7"/>
      <c r="DT79" s="7"/>
      <c r="DU79" s="10" t="s">
        <v>38</v>
      </c>
      <c r="DV79" s="7"/>
      <c r="DW79" s="7"/>
      <c r="DX79" s="10" t="s">
        <v>38</v>
      </c>
      <c r="DY79" s="9"/>
      <c r="DZ79" s="9"/>
      <c r="EA79" s="10" t="s">
        <v>38</v>
      </c>
      <c r="EB79" s="7"/>
      <c r="EC79" s="7"/>
      <c r="ED79" s="10" t="s">
        <v>38</v>
      </c>
      <c r="EE79" s="7"/>
      <c r="EF79" s="7"/>
      <c r="EG79" s="10" t="s">
        <v>38</v>
      </c>
      <c r="EH79" s="7"/>
      <c r="EI79" s="7"/>
      <c r="EJ79" s="10" t="s">
        <v>38</v>
      </c>
      <c r="EK79" s="9"/>
      <c r="EL79" s="9"/>
      <c r="EM79" s="10" t="s">
        <v>38</v>
      </c>
      <c r="EN79" s="7"/>
      <c r="EO79" s="7"/>
      <c r="EP79" s="10" t="s">
        <v>38</v>
      </c>
      <c r="EQ79" s="7"/>
      <c r="ER79" s="7"/>
      <c r="ES79" s="10" t="s">
        <v>38</v>
      </c>
      <c r="ET79" s="7"/>
      <c r="EU79" s="7"/>
      <c r="EV79" s="10" t="s">
        <v>38</v>
      </c>
      <c r="EW79" s="9"/>
      <c r="EX79" s="9"/>
      <c r="EY79" s="10" t="s">
        <v>38</v>
      </c>
      <c r="EZ79" s="7"/>
      <c r="FA79" s="7"/>
      <c r="FB79" s="10" t="s">
        <v>38</v>
      </c>
      <c r="FC79" s="7"/>
      <c r="FD79" s="7"/>
      <c r="FE79" s="10" t="s">
        <v>38</v>
      </c>
      <c r="FF79" s="7"/>
      <c r="FG79" s="7"/>
      <c r="FH79" s="10" t="s">
        <v>38</v>
      </c>
      <c r="FI79" s="9"/>
      <c r="FJ79" s="9"/>
      <c r="FK79" s="10" t="s">
        <v>38</v>
      </c>
      <c r="FL79" s="7"/>
      <c r="FM79" s="7"/>
      <c r="FN79" s="10" t="s">
        <v>38</v>
      </c>
      <c r="FO79" s="7"/>
      <c r="FP79" s="7"/>
      <c r="FQ79" s="10" t="s">
        <v>38</v>
      </c>
      <c r="FR79" s="7"/>
      <c r="FS79" s="7"/>
      <c r="FT79" s="10" t="s">
        <v>38</v>
      </c>
      <c r="FU79" s="9"/>
      <c r="FV79" s="9"/>
      <c r="FW79" s="10" t="s">
        <v>38</v>
      </c>
      <c r="FX79" s="7">
        <v>175</v>
      </c>
      <c r="FY79" s="7">
        <v>500</v>
      </c>
      <c r="FZ79" s="10" t="s">
        <v>38</v>
      </c>
      <c r="GA79" s="7"/>
      <c r="GB79" s="7"/>
      <c r="GC79" s="10" t="s">
        <v>38</v>
      </c>
      <c r="GD79" s="7"/>
      <c r="GE79" s="7"/>
      <c r="GF79" s="10" t="s">
        <v>38</v>
      </c>
      <c r="GG79" s="7"/>
      <c r="GH79" s="7"/>
      <c r="GI79" s="10" t="s">
        <v>38</v>
      </c>
      <c r="GJ79" s="7">
        <v>222</v>
      </c>
      <c r="GK79" s="7">
        <v>557</v>
      </c>
      <c r="GL79" s="10" t="s">
        <v>38</v>
      </c>
      <c r="GM79" s="7"/>
      <c r="GN79" s="7"/>
      <c r="GO79" s="10" t="s">
        <v>38</v>
      </c>
      <c r="GP79" s="7"/>
      <c r="GQ79" s="7"/>
      <c r="GR79" s="10" t="s">
        <v>38</v>
      </c>
      <c r="GS79" s="7"/>
      <c r="GT79" s="7"/>
      <c r="GU79" s="6" t="s">
        <v>38</v>
      </c>
      <c r="GV79" s="7">
        <v>50</v>
      </c>
      <c r="GW79" s="7">
        <v>100</v>
      </c>
      <c r="GX79" s="10" t="s">
        <v>38</v>
      </c>
      <c r="GY79" s="7"/>
      <c r="GZ79" s="7"/>
      <c r="HA79" s="10" t="s">
        <v>38</v>
      </c>
      <c r="HB79" s="7"/>
      <c r="HC79" s="7"/>
      <c r="HD79" s="10" t="s">
        <v>38</v>
      </c>
      <c r="HE79" s="7"/>
      <c r="HF79" s="7"/>
      <c r="HG79" s="10" t="s">
        <v>38</v>
      </c>
      <c r="HH79" s="7">
        <v>100</v>
      </c>
      <c r="HI79" s="7">
        <v>200</v>
      </c>
      <c r="HJ79" s="10" t="s">
        <v>38</v>
      </c>
      <c r="HK79" s="7"/>
      <c r="HL79" s="7"/>
      <c r="HM79" s="10" t="s">
        <v>38</v>
      </c>
      <c r="HN79" s="7"/>
      <c r="HO79" s="7"/>
      <c r="HP79" s="10" t="s">
        <v>38</v>
      </c>
      <c r="HQ79" s="7"/>
      <c r="HR79" s="7"/>
      <c r="HS79" s="10" t="s">
        <v>38</v>
      </c>
      <c r="HT79" s="7">
        <v>105</v>
      </c>
      <c r="HU79" s="7">
        <v>216</v>
      </c>
      <c r="HV79" s="10" t="s">
        <v>38</v>
      </c>
      <c r="HW79" s="7"/>
      <c r="HX79" s="7"/>
      <c r="HY79" s="10" t="s">
        <v>38</v>
      </c>
      <c r="HZ79" s="7"/>
      <c r="IA79" s="7"/>
      <c r="IB79" s="10" t="s">
        <v>38</v>
      </c>
      <c r="IC79" s="7"/>
      <c r="ID79" s="7"/>
      <c r="IE79" s="6" t="s">
        <v>38</v>
      </c>
      <c r="IF79" s="7">
        <v>165</v>
      </c>
      <c r="IG79" s="7">
        <v>500</v>
      </c>
      <c r="II79" s="7"/>
      <c r="IJ79" s="7"/>
      <c r="IK79" s="7"/>
      <c r="IL79" s="7"/>
      <c r="IM79" s="7"/>
      <c r="IN79" s="7"/>
      <c r="IP79" s="7"/>
      <c r="IQ79" s="7"/>
      <c r="IR79" s="7"/>
      <c r="IS79" s="7"/>
      <c r="IT79" s="7"/>
      <c r="IU79" s="7"/>
      <c r="IV79" s="7"/>
      <c r="IW79" s="7"/>
      <c r="IX79" s="7"/>
      <c r="IY79" s="7"/>
      <c r="IZ79" s="7"/>
      <c r="JA79" s="7"/>
      <c r="JB79" s="7"/>
      <c r="JC79" s="7"/>
      <c r="JE79" s="7"/>
      <c r="JF79" s="7"/>
      <c r="JH79" s="7"/>
      <c r="JI79" s="7"/>
      <c r="JJ79" s="7"/>
      <c r="JK79" s="7"/>
      <c r="JL79" s="7"/>
      <c r="JM79" s="7"/>
      <c r="JO79" s="7"/>
      <c r="JP79" s="7"/>
      <c r="JQ79" s="7"/>
      <c r="JR79" s="7"/>
      <c r="JT79" s="7"/>
      <c r="JU79" s="7"/>
      <c r="JV79" s="7"/>
      <c r="JW79" s="7"/>
      <c r="JX79" s="7"/>
    </row>
    <row r="80" spans="1:284" x14ac:dyDescent="0.3">
      <c r="A80" t="s">
        <v>254</v>
      </c>
      <c r="B80" s="10" t="s">
        <v>38</v>
      </c>
      <c r="C80" s="7"/>
      <c r="D80" s="7"/>
      <c r="E80" s="10" t="s">
        <v>38</v>
      </c>
      <c r="F80" s="7"/>
      <c r="G80" s="7"/>
      <c r="H80" s="10" t="s">
        <v>38</v>
      </c>
      <c r="I80" s="9"/>
      <c r="J80" s="9"/>
      <c r="K80" s="10" t="s">
        <v>38</v>
      </c>
      <c r="L80" s="7"/>
      <c r="M80" s="7"/>
      <c r="N80" s="10" t="s">
        <v>38</v>
      </c>
      <c r="O80" s="7"/>
      <c r="P80" s="7"/>
      <c r="Q80" s="10" t="s">
        <v>38</v>
      </c>
      <c r="R80" s="7"/>
      <c r="S80" s="7"/>
      <c r="T80" s="10" t="s">
        <v>38</v>
      </c>
      <c r="U80" s="9"/>
      <c r="V80" s="9"/>
      <c r="W80" s="10" t="s">
        <v>38</v>
      </c>
      <c r="X80" s="7"/>
      <c r="Y80" s="7"/>
      <c r="Z80" s="10" t="s">
        <v>38</v>
      </c>
      <c r="AA80" s="7"/>
      <c r="AB80" s="7"/>
      <c r="AC80" s="10" t="s">
        <v>38</v>
      </c>
      <c r="AD80" s="7"/>
      <c r="AE80" s="7"/>
      <c r="AF80" s="10" t="s">
        <v>38</v>
      </c>
      <c r="AG80" s="9"/>
      <c r="AH80" s="9"/>
      <c r="AI80" s="10" t="s">
        <v>38</v>
      </c>
      <c r="AJ80" s="7"/>
      <c r="AK80" s="7"/>
      <c r="AL80" s="10" t="s">
        <v>38</v>
      </c>
      <c r="AM80" s="7"/>
      <c r="AN80" s="7"/>
      <c r="AO80" s="10" t="s">
        <v>38</v>
      </c>
      <c r="AP80" s="7"/>
      <c r="AQ80" s="7"/>
      <c r="AR80" s="10" t="s">
        <v>38</v>
      </c>
      <c r="AS80" s="9"/>
      <c r="AT80" s="9"/>
      <c r="AU80" s="10" t="s">
        <v>38</v>
      </c>
      <c r="AV80" s="7"/>
      <c r="AW80" s="7"/>
      <c r="AX80" s="10" t="s">
        <v>38</v>
      </c>
      <c r="AY80" s="7"/>
      <c r="AZ80" s="7"/>
      <c r="BA80" s="10" t="s">
        <v>38</v>
      </c>
      <c r="BB80" s="7"/>
      <c r="BC80" s="7"/>
      <c r="BD80" s="10" t="s">
        <v>38</v>
      </c>
      <c r="BE80" s="9"/>
      <c r="BF80" s="9"/>
      <c r="BG80" s="10" t="s">
        <v>38</v>
      </c>
      <c r="BH80" s="7"/>
      <c r="BI80" s="7"/>
      <c r="BJ80" s="10" t="s">
        <v>38</v>
      </c>
      <c r="BK80" s="7"/>
      <c r="BL80" s="7"/>
      <c r="BM80" s="10" t="s">
        <v>38</v>
      </c>
      <c r="BN80" s="7"/>
      <c r="BO80" s="7"/>
      <c r="BP80" s="10" t="s">
        <v>38</v>
      </c>
      <c r="BQ80" s="9"/>
      <c r="BR80" s="9"/>
      <c r="BS80" s="10" t="s">
        <v>38</v>
      </c>
      <c r="BT80" s="7"/>
      <c r="BU80" s="7"/>
      <c r="BV80" s="10" t="s">
        <v>38</v>
      </c>
      <c r="BW80" s="7"/>
      <c r="BX80" s="7"/>
      <c r="BY80" s="10" t="s">
        <v>38</v>
      </c>
      <c r="BZ80" s="7"/>
      <c r="CA80" s="7"/>
      <c r="CB80" s="10" t="s">
        <v>38</v>
      </c>
      <c r="CC80" s="9"/>
      <c r="CD80" s="9"/>
      <c r="CE80" s="10" t="s">
        <v>38</v>
      </c>
      <c r="CF80" s="7"/>
      <c r="CG80" s="7"/>
      <c r="CH80" s="10" t="s">
        <v>38</v>
      </c>
      <c r="CI80" s="7"/>
      <c r="CJ80" s="7"/>
      <c r="CK80" s="10" t="s">
        <v>38</v>
      </c>
      <c r="CL80" s="7"/>
      <c r="CM80" s="7"/>
      <c r="CN80" s="10" t="s">
        <v>38</v>
      </c>
      <c r="CO80" s="9"/>
      <c r="CP80" s="9"/>
      <c r="CQ80" s="10" t="s">
        <v>38</v>
      </c>
      <c r="CR80" s="7"/>
      <c r="CS80" s="7"/>
      <c r="CT80" s="10" t="s">
        <v>38</v>
      </c>
      <c r="CU80" s="7"/>
      <c r="CV80" s="7"/>
      <c r="CW80" s="10" t="s">
        <v>38</v>
      </c>
      <c r="CX80" s="7"/>
      <c r="CY80" s="7"/>
      <c r="CZ80" s="10" t="s">
        <v>38</v>
      </c>
      <c r="DA80" s="9"/>
      <c r="DB80" s="9"/>
      <c r="DC80" s="10" t="s">
        <v>38</v>
      </c>
      <c r="DD80" s="7"/>
      <c r="DE80" s="7"/>
      <c r="DF80" s="10" t="s">
        <v>38</v>
      </c>
      <c r="DG80" s="7"/>
      <c r="DH80" s="7"/>
      <c r="DI80" s="10" t="s">
        <v>38</v>
      </c>
      <c r="DJ80" s="7"/>
      <c r="DK80" s="7"/>
      <c r="DL80" s="10" t="s">
        <v>38</v>
      </c>
      <c r="DM80" s="9"/>
      <c r="DN80" s="9"/>
      <c r="DO80" s="10" t="s">
        <v>38</v>
      </c>
      <c r="DP80" s="7"/>
      <c r="DQ80" s="7"/>
      <c r="DR80" s="10" t="s">
        <v>38</v>
      </c>
      <c r="DS80" s="7"/>
      <c r="DT80" s="7"/>
      <c r="DU80" s="10" t="s">
        <v>38</v>
      </c>
      <c r="DV80" s="7"/>
      <c r="DW80" s="7"/>
      <c r="DX80" s="10" t="s">
        <v>38</v>
      </c>
      <c r="DY80" s="9"/>
      <c r="DZ80" s="9"/>
      <c r="EA80" s="10" t="s">
        <v>38</v>
      </c>
      <c r="EB80" s="7"/>
      <c r="EC80" s="7"/>
      <c r="ED80" s="10" t="s">
        <v>38</v>
      </c>
      <c r="EE80" s="7"/>
      <c r="EF80" s="7"/>
      <c r="EG80" s="10" t="s">
        <v>38</v>
      </c>
      <c r="EH80" s="7"/>
      <c r="EI80" s="7"/>
      <c r="EJ80" s="10" t="s">
        <v>38</v>
      </c>
      <c r="EK80" s="9"/>
      <c r="EL80" s="9"/>
      <c r="EM80" s="10" t="s">
        <v>38</v>
      </c>
      <c r="EN80" s="7"/>
      <c r="EO80" s="7"/>
      <c r="EP80" s="10" t="s">
        <v>38</v>
      </c>
      <c r="EQ80" s="7"/>
      <c r="ER80" s="7"/>
      <c r="ES80" s="10" t="s">
        <v>38</v>
      </c>
      <c r="ET80" s="7"/>
      <c r="EU80" s="7"/>
      <c r="EV80" s="10" t="s">
        <v>38</v>
      </c>
      <c r="EW80" s="9"/>
      <c r="EX80" s="9"/>
      <c r="EY80" s="10" t="s">
        <v>38</v>
      </c>
      <c r="EZ80" s="7"/>
      <c r="FA80" s="7"/>
      <c r="FB80" s="10" t="s">
        <v>38</v>
      </c>
      <c r="FC80" s="7"/>
      <c r="FD80" s="7"/>
      <c r="FE80" s="10" t="s">
        <v>38</v>
      </c>
      <c r="FF80" s="7"/>
      <c r="FG80" s="7"/>
      <c r="FH80" s="10" t="s">
        <v>38</v>
      </c>
      <c r="FI80" s="9"/>
      <c r="FJ80" s="9"/>
      <c r="FK80" s="10" t="s">
        <v>38</v>
      </c>
      <c r="FL80" s="7"/>
      <c r="FM80" s="7"/>
      <c r="FN80" s="10" t="s">
        <v>38</v>
      </c>
      <c r="FO80" s="7"/>
      <c r="FP80" s="7"/>
      <c r="FQ80" s="10" t="s">
        <v>38</v>
      </c>
      <c r="FR80" s="7"/>
      <c r="FS80" s="7"/>
      <c r="FT80" s="10" t="s">
        <v>38</v>
      </c>
      <c r="FU80" s="9"/>
      <c r="FV80" s="9"/>
      <c r="FW80" s="10" t="s">
        <v>38</v>
      </c>
      <c r="FX80" s="7"/>
      <c r="FY80" s="7"/>
      <c r="FZ80" s="10" t="s">
        <v>38</v>
      </c>
      <c r="GA80" s="7"/>
      <c r="GB80" s="7"/>
      <c r="GC80" s="10" t="s">
        <v>38</v>
      </c>
      <c r="GD80" s="7"/>
      <c r="GE80" s="7"/>
      <c r="GF80" s="10" t="s">
        <v>38</v>
      </c>
      <c r="GG80" s="7"/>
      <c r="GH80" s="7"/>
      <c r="GI80" s="10" t="s">
        <v>38</v>
      </c>
      <c r="GJ80" s="7">
        <v>32</v>
      </c>
      <c r="GK80" s="7">
        <v>64</v>
      </c>
      <c r="GL80" s="10" t="s">
        <v>38</v>
      </c>
      <c r="GM80" s="7"/>
      <c r="GN80" s="7"/>
      <c r="GO80" s="10" t="s">
        <v>38</v>
      </c>
      <c r="GP80" s="7"/>
      <c r="GQ80" s="7"/>
      <c r="GR80" s="10" t="s">
        <v>38</v>
      </c>
      <c r="GS80" s="7"/>
      <c r="GT80" s="7"/>
      <c r="GU80" s="6" t="s">
        <v>38</v>
      </c>
      <c r="GV80" s="7">
        <v>40</v>
      </c>
      <c r="GW80" s="7">
        <v>80</v>
      </c>
      <c r="GX80" s="10" t="s">
        <v>38</v>
      </c>
      <c r="GY80" s="7"/>
      <c r="GZ80" s="7"/>
      <c r="HA80" s="10" t="s">
        <v>38</v>
      </c>
      <c r="HB80" s="7"/>
      <c r="HC80" s="7"/>
      <c r="HD80" s="10" t="s">
        <v>38</v>
      </c>
      <c r="HE80" s="7"/>
      <c r="HF80" s="7"/>
      <c r="HG80" s="10" t="s">
        <v>38</v>
      </c>
      <c r="HH80" s="7">
        <v>50</v>
      </c>
      <c r="HI80" s="7">
        <v>100</v>
      </c>
      <c r="HJ80" s="10" t="s">
        <v>38</v>
      </c>
      <c r="HK80" s="7"/>
      <c r="HL80" s="7"/>
      <c r="HM80" s="10" t="s">
        <v>38</v>
      </c>
      <c r="HN80" s="7"/>
      <c r="HO80" s="7"/>
      <c r="HP80" s="10" t="s">
        <v>38</v>
      </c>
      <c r="HQ80" s="7"/>
      <c r="HR80" s="7"/>
      <c r="HS80" s="10" t="s">
        <v>38</v>
      </c>
      <c r="HT80" s="7">
        <v>55</v>
      </c>
      <c r="HU80" s="7">
        <v>110</v>
      </c>
      <c r="HV80" s="10" t="s">
        <v>38</v>
      </c>
      <c r="HW80" s="7"/>
      <c r="HX80" s="7"/>
      <c r="HY80" s="10" t="s">
        <v>38</v>
      </c>
      <c r="HZ80" s="7"/>
      <c r="IA80" s="7"/>
      <c r="IB80" s="10" t="s">
        <v>38</v>
      </c>
      <c r="IC80" s="7"/>
      <c r="ID80" s="7"/>
      <c r="IE80" s="6" t="s">
        <v>38</v>
      </c>
      <c r="IF80" s="7">
        <v>50</v>
      </c>
      <c r="IG80" s="7">
        <v>100</v>
      </c>
      <c r="II80" s="7"/>
      <c r="IJ80" s="7"/>
      <c r="IK80" s="7"/>
      <c r="IL80" s="7"/>
      <c r="IM80" s="7"/>
      <c r="IN80" s="7"/>
      <c r="IP80" s="7"/>
      <c r="IQ80" s="7"/>
      <c r="IR80" s="7"/>
      <c r="IS80" s="7"/>
      <c r="IT80" s="7"/>
      <c r="IU80" s="7"/>
      <c r="IV80" s="7"/>
      <c r="IW80" s="7"/>
      <c r="IX80" s="7"/>
      <c r="IY80" s="7"/>
      <c r="IZ80" s="7"/>
      <c r="JA80" s="7"/>
      <c r="JB80" s="7"/>
      <c r="JC80" s="7"/>
      <c r="JE80" s="7"/>
      <c r="JF80" s="7"/>
      <c r="JH80" s="7"/>
      <c r="JI80" s="7"/>
      <c r="JJ80" s="7"/>
      <c r="JK80" s="7"/>
      <c r="JL80" s="7"/>
      <c r="JM80" s="7"/>
      <c r="JO80" s="7"/>
      <c r="JP80" s="7"/>
      <c r="JQ80" s="7"/>
      <c r="JR80" s="7"/>
      <c r="JT80" s="7"/>
      <c r="JU80" s="7"/>
      <c r="JV80" s="7"/>
      <c r="JW80" s="7"/>
      <c r="JX80" s="7"/>
    </row>
    <row r="81" spans="1:284" x14ac:dyDescent="0.3">
      <c r="A81" t="s">
        <v>255</v>
      </c>
      <c r="C81" s="7"/>
      <c r="D81" s="7"/>
      <c r="F81" s="7"/>
      <c r="G81" s="7"/>
      <c r="I81" s="9"/>
      <c r="J81" s="9"/>
      <c r="L81" s="7"/>
      <c r="M81" s="7"/>
      <c r="O81" s="7"/>
      <c r="P81" s="7"/>
      <c r="R81" s="7"/>
      <c r="S81" s="7"/>
      <c r="U81" s="9"/>
      <c r="V81" s="9"/>
      <c r="X81" s="7"/>
      <c r="Y81" s="7"/>
      <c r="AA81" s="7"/>
      <c r="AB81" s="7"/>
      <c r="AD81" s="7"/>
      <c r="AE81" s="7"/>
      <c r="AG81" s="9"/>
      <c r="AH81" s="9"/>
      <c r="AJ81" s="7"/>
      <c r="AK81" s="7"/>
      <c r="AM81" s="7"/>
      <c r="AN81" s="7"/>
      <c r="AP81" s="7"/>
      <c r="AQ81" s="7"/>
      <c r="AS81" s="9"/>
      <c r="AT81" s="9"/>
      <c r="AV81" s="7"/>
      <c r="AW81" s="7"/>
      <c r="AY81" s="7"/>
      <c r="AZ81" s="7"/>
      <c r="BB81" s="7"/>
      <c r="BC81" s="7"/>
      <c r="BE81" s="9"/>
      <c r="BF81" s="9"/>
      <c r="BH81" s="7"/>
      <c r="BI81" s="7"/>
      <c r="BK81" s="7"/>
      <c r="BL81" s="7"/>
      <c r="BN81" s="7"/>
      <c r="BO81" s="7"/>
      <c r="BQ81" s="9"/>
      <c r="BR81" s="9"/>
      <c r="BT81" s="7"/>
      <c r="BU81" s="7"/>
      <c r="BW81" s="7"/>
      <c r="BX81" s="7"/>
      <c r="BZ81" s="7"/>
      <c r="CA81" s="7"/>
      <c r="CC81" s="9"/>
      <c r="CD81" s="9"/>
      <c r="CF81" s="7"/>
      <c r="CG81" s="7"/>
      <c r="CI81" s="7"/>
      <c r="CJ81" s="7"/>
      <c r="CL81" s="7"/>
      <c r="CM81" s="7"/>
      <c r="CO81" s="9"/>
      <c r="CP81" s="9"/>
      <c r="CR81" s="7"/>
      <c r="CS81" s="7"/>
      <c r="CU81" s="7"/>
      <c r="CV81" s="7"/>
      <c r="CX81" s="7"/>
      <c r="CY81" s="7"/>
      <c r="DA81" s="9"/>
      <c r="DB81" s="9"/>
      <c r="DD81" s="7"/>
      <c r="DE81" s="7"/>
      <c r="DG81" s="7"/>
      <c r="DH81" s="7"/>
      <c r="DJ81" s="7"/>
      <c r="DK81" s="7"/>
      <c r="DM81" s="9"/>
      <c r="DN81" s="9"/>
      <c r="DP81" s="7"/>
      <c r="DQ81" s="7"/>
      <c r="DS81" s="7"/>
      <c r="DT81" s="7"/>
      <c r="DV81" s="7"/>
      <c r="DW81" s="7"/>
      <c r="DY81" s="9"/>
      <c r="DZ81" s="9"/>
      <c r="EB81" s="7"/>
      <c r="EC81" s="7"/>
      <c r="EE81" s="7"/>
      <c r="EF81" s="7"/>
      <c r="EH81" s="7"/>
      <c r="EI81" s="7"/>
      <c r="EK81" s="9"/>
      <c r="EL81" s="9"/>
      <c r="EN81" s="7"/>
      <c r="EO81" s="7"/>
      <c r="EQ81" s="7"/>
      <c r="ER81" s="7"/>
      <c r="ET81" s="7"/>
      <c r="EU81" s="7"/>
      <c r="EW81" s="9"/>
      <c r="EX81" s="9"/>
      <c r="EZ81" s="7"/>
      <c r="FA81" s="7"/>
      <c r="FC81" s="7"/>
      <c r="FD81" s="7"/>
      <c r="FF81" s="7"/>
      <c r="FG81" s="7"/>
      <c r="FI81" s="9"/>
      <c r="FJ81" s="9"/>
      <c r="FL81" s="7"/>
      <c r="FM81" s="7"/>
      <c r="FO81" s="7"/>
      <c r="FP81" s="7"/>
      <c r="FR81" s="7"/>
      <c r="FS81" s="7"/>
      <c r="FU81" s="9"/>
      <c r="FV81" s="9"/>
      <c r="FX81" s="7"/>
      <c r="FY81" s="7"/>
      <c r="GA81" s="7"/>
      <c r="GB81" s="7"/>
      <c r="GD81" s="7"/>
      <c r="GE81" s="7"/>
      <c r="GG81" s="7"/>
      <c r="GH81" s="7"/>
      <c r="GJ81" s="7"/>
      <c r="GK81" s="7"/>
      <c r="GM81" s="7"/>
      <c r="GN81" s="7"/>
      <c r="GO81" s="10"/>
      <c r="GP81" s="7"/>
      <c r="GQ81" s="7"/>
      <c r="GR81" s="10"/>
      <c r="GS81" s="7"/>
      <c r="GT81" s="7"/>
      <c r="GV81" s="7"/>
      <c r="GW81" s="7"/>
      <c r="GY81" s="7"/>
      <c r="GZ81" s="7"/>
      <c r="HB81" s="7"/>
      <c r="HC81" s="7"/>
      <c r="HE81" s="7"/>
      <c r="HF81" s="7"/>
      <c r="HH81" s="7"/>
      <c r="HI81" s="7"/>
      <c r="HK81" s="7"/>
      <c r="HL81" s="7"/>
      <c r="HN81" s="7"/>
      <c r="HO81" s="7"/>
      <c r="HQ81" s="7"/>
      <c r="HR81" s="7"/>
      <c r="HT81" s="7"/>
      <c r="HU81" s="7"/>
      <c r="HW81" s="7"/>
      <c r="HX81" s="7"/>
      <c r="HY81" s="10"/>
      <c r="HZ81" s="7"/>
      <c r="IA81" s="7"/>
      <c r="IC81" s="7"/>
      <c r="ID81" s="7"/>
      <c r="IF81" s="7"/>
      <c r="IG81" s="7"/>
      <c r="II81" s="7"/>
      <c r="IJ81" s="7"/>
      <c r="IK81" s="7"/>
      <c r="IL81" s="7"/>
      <c r="IM81" s="7"/>
      <c r="IN81" s="7"/>
      <c r="IP81" s="7"/>
      <c r="IQ81" s="7"/>
      <c r="IR81" s="7"/>
      <c r="IS81" s="7"/>
      <c r="IT81" s="7"/>
      <c r="IU81" s="7"/>
      <c r="IV81" s="7"/>
      <c r="IW81" s="7"/>
      <c r="IX81" s="7"/>
      <c r="IY81" s="7"/>
      <c r="IZ81" s="7"/>
      <c r="JA81" s="7"/>
      <c r="JB81" s="7"/>
      <c r="JC81" s="7"/>
      <c r="JE81" s="7"/>
      <c r="JF81" s="9"/>
      <c r="JH81" s="7"/>
      <c r="JI81" s="7"/>
      <c r="JJ81" s="7"/>
      <c r="JK81" s="7"/>
      <c r="JL81" s="7"/>
      <c r="JM81" s="7"/>
      <c r="JO81" s="7"/>
      <c r="JP81" s="7"/>
      <c r="JQ81" s="7"/>
      <c r="JR81" s="7"/>
      <c r="JS81" t="s">
        <v>7</v>
      </c>
      <c r="JT81" s="7"/>
      <c r="JU81" s="7"/>
      <c r="JV81" s="7">
        <v>547</v>
      </c>
      <c r="JW81" s="7">
        <v>223</v>
      </c>
      <c r="JX81" s="7"/>
    </row>
    <row r="82" spans="1:284" x14ac:dyDescent="0.3">
      <c r="A82" t="s">
        <v>256</v>
      </c>
      <c r="C82" s="7"/>
      <c r="D82" s="7"/>
      <c r="F82" s="7"/>
      <c r="G82" s="7"/>
      <c r="I82" s="9"/>
      <c r="J82" s="9"/>
      <c r="L82" s="7"/>
      <c r="M82" s="7"/>
      <c r="O82" s="7"/>
      <c r="P82" s="7"/>
      <c r="R82" s="7"/>
      <c r="S82" s="7"/>
      <c r="U82" s="9"/>
      <c r="V82" s="9"/>
      <c r="X82" s="7"/>
      <c r="Y82" s="7"/>
      <c r="AA82" s="7"/>
      <c r="AB82" s="7"/>
      <c r="AD82" s="7"/>
      <c r="AE82" s="7"/>
      <c r="AG82" s="9"/>
      <c r="AH82" s="9"/>
      <c r="AJ82" s="7"/>
      <c r="AK82" s="7"/>
      <c r="AM82" s="7"/>
      <c r="AN82" s="7"/>
      <c r="AP82" s="7"/>
      <c r="AQ82" s="7"/>
      <c r="AS82" s="9"/>
      <c r="AT82" s="9"/>
      <c r="AV82" s="7"/>
      <c r="AW82" s="7"/>
      <c r="AY82" s="7"/>
      <c r="AZ82" s="7"/>
      <c r="BB82" s="7"/>
      <c r="BC82" s="7"/>
      <c r="BE82" s="9"/>
      <c r="BF82" s="9"/>
      <c r="BH82" s="7"/>
      <c r="BI82" s="7"/>
      <c r="BK82" s="7"/>
      <c r="BL82" s="7"/>
      <c r="BN82" s="7"/>
      <c r="BO82" s="7"/>
      <c r="BQ82" s="9"/>
      <c r="BR82" s="9"/>
      <c r="BT82" s="7"/>
      <c r="BU82" s="7"/>
      <c r="BW82" s="7"/>
      <c r="BX82" s="7"/>
      <c r="BZ82" s="7"/>
      <c r="CA82" s="7"/>
      <c r="CC82" s="9"/>
      <c r="CD82" s="9"/>
      <c r="CF82" s="7"/>
      <c r="CG82" s="7"/>
      <c r="CI82" s="7"/>
      <c r="CJ82" s="7"/>
      <c r="CL82" s="7"/>
      <c r="CM82" s="7"/>
      <c r="CO82" s="9"/>
      <c r="CP82" s="9"/>
      <c r="CR82" s="7"/>
      <c r="CS82" s="7"/>
      <c r="CU82" s="7"/>
      <c r="CV82" s="7"/>
      <c r="CX82" s="7"/>
      <c r="CY82" s="7"/>
      <c r="DA82" s="9"/>
      <c r="DB82" s="9"/>
      <c r="DD82" s="7"/>
      <c r="DE82" s="7"/>
      <c r="DG82" s="7"/>
      <c r="DH82" s="7"/>
      <c r="DJ82" s="7"/>
      <c r="DK82" s="7"/>
      <c r="DM82" s="9"/>
      <c r="DN82" s="9"/>
      <c r="DP82" s="7"/>
      <c r="DQ82" s="7"/>
      <c r="DS82" s="7"/>
      <c r="DT82" s="7"/>
      <c r="DV82" s="7"/>
      <c r="DW82" s="7"/>
      <c r="DY82" s="9"/>
      <c r="DZ82" s="9"/>
      <c r="EB82" s="7"/>
      <c r="EC82" s="7"/>
      <c r="EE82" s="7"/>
      <c r="EF82" s="7"/>
      <c r="EH82" s="7"/>
      <c r="EI82" s="7"/>
      <c r="EK82" s="9"/>
      <c r="EL82" s="9"/>
      <c r="EN82" s="7"/>
      <c r="EO82" s="7"/>
      <c r="EQ82" s="7"/>
      <c r="ER82" s="7"/>
      <c r="ET82" s="7"/>
      <c r="EU82" s="7"/>
      <c r="EW82" s="9"/>
      <c r="EX82" s="9"/>
      <c r="EZ82" s="7"/>
      <c r="FA82" s="7"/>
      <c r="FC82" s="7"/>
      <c r="FD82" s="7"/>
      <c r="FF82" s="7"/>
      <c r="FG82" s="7"/>
      <c r="FI82" s="9"/>
      <c r="FJ82" s="9"/>
      <c r="FL82" s="7"/>
      <c r="FM82" s="7"/>
      <c r="FO82" s="7"/>
      <c r="FP82" s="7"/>
      <c r="FR82" s="7"/>
      <c r="FS82" s="7"/>
      <c r="FU82" s="9"/>
      <c r="FV82" s="9"/>
      <c r="FX82" s="7"/>
      <c r="FY82" s="7"/>
      <c r="GA82" s="7"/>
      <c r="GB82" s="7"/>
      <c r="GD82" s="7"/>
      <c r="GE82" s="7"/>
      <c r="GG82" s="7"/>
      <c r="GH82" s="7"/>
      <c r="GJ82" s="7"/>
      <c r="GK82" s="7"/>
      <c r="GM82" s="7"/>
      <c r="GN82" s="7"/>
      <c r="GO82" s="10"/>
      <c r="GP82" s="7"/>
      <c r="GQ82" s="7"/>
      <c r="GR82" s="10"/>
      <c r="GS82" s="7"/>
      <c r="GT82" s="7"/>
      <c r="GV82" s="7"/>
      <c r="GW82" s="7"/>
      <c r="GY82" s="7"/>
      <c r="GZ82" s="7"/>
      <c r="HB82" s="7"/>
      <c r="HC82" s="7"/>
      <c r="HE82" s="7"/>
      <c r="HF82" s="7"/>
      <c r="HH82" s="7"/>
      <c r="HI82" s="7"/>
      <c r="HK82" s="7"/>
      <c r="HL82" s="7"/>
      <c r="HN82" s="7"/>
      <c r="HO82" s="7"/>
      <c r="HQ82" s="7"/>
      <c r="HR82" s="7"/>
      <c r="HT82" s="7"/>
      <c r="HU82" s="7"/>
      <c r="HW82" s="7"/>
      <c r="HX82" s="7"/>
      <c r="HY82" s="10"/>
      <c r="HZ82" s="7"/>
      <c r="IA82" s="7"/>
      <c r="IC82" s="7"/>
      <c r="ID82" s="7"/>
      <c r="IF82" s="7"/>
      <c r="IG82" s="7"/>
      <c r="II82" s="7"/>
      <c r="IJ82" s="7"/>
      <c r="IK82" s="7"/>
      <c r="IL82" s="7"/>
      <c r="IM82" s="7"/>
      <c r="IN82" s="7"/>
      <c r="IP82" s="7"/>
      <c r="IQ82" s="7"/>
      <c r="IR82" s="7"/>
      <c r="IS82" s="7"/>
      <c r="IT82" s="7"/>
      <c r="IU82" s="7"/>
      <c r="IV82" s="7"/>
      <c r="IW82" s="7"/>
      <c r="IX82" s="7"/>
      <c r="IY82" s="7"/>
      <c r="IZ82" s="7"/>
      <c r="JA82" s="7"/>
      <c r="JB82" s="7"/>
      <c r="JC82" s="7"/>
      <c r="JE82" s="7"/>
      <c r="JF82" s="9"/>
      <c r="JH82" s="7"/>
      <c r="JI82" s="7"/>
      <c r="JJ82" s="7"/>
      <c r="JK82" s="7"/>
      <c r="JL82" s="7"/>
      <c r="JM82" s="7"/>
      <c r="JO82" s="7"/>
      <c r="JP82" s="7"/>
      <c r="JQ82" s="7"/>
      <c r="JR82" s="7"/>
      <c r="JS82" t="s">
        <v>7</v>
      </c>
      <c r="JT82" s="7"/>
      <c r="JU82" s="7"/>
      <c r="JV82" s="7">
        <v>2250</v>
      </c>
      <c r="JW82" s="7">
        <v>1094</v>
      </c>
      <c r="JX82" s="7"/>
    </row>
    <row r="83" spans="1:284" x14ac:dyDescent="0.3">
      <c r="A83" t="s">
        <v>257</v>
      </c>
      <c r="B83" s="10" t="s">
        <v>38</v>
      </c>
      <c r="C83" s="7"/>
      <c r="D83" s="7"/>
      <c r="E83" s="10" t="s">
        <v>38</v>
      </c>
      <c r="F83" s="7"/>
      <c r="G83" s="7"/>
      <c r="H83" s="10" t="s">
        <v>38</v>
      </c>
      <c r="I83" s="9"/>
      <c r="J83" s="9"/>
      <c r="K83" s="10" t="s">
        <v>38</v>
      </c>
      <c r="L83" s="7"/>
      <c r="M83" s="7"/>
      <c r="N83" s="10" t="s">
        <v>38</v>
      </c>
      <c r="O83" s="7"/>
      <c r="P83" s="7"/>
      <c r="Q83" s="10" t="s">
        <v>38</v>
      </c>
      <c r="R83" s="7"/>
      <c r="S83" s="7"/>
      <c r="T83" s="10" t="s">
        <v>38</v>
      </c>
      <c r="U83" s="9"/>
      <c r="V83" s="9"/>
      <c r="W83" s="10" t="s">
        <v>38</v>
      </c>
      <c r="X83" s="7"/>
      <c r="Y83" s="7"/>
      <c r="Z83" s="10" t="s">
        <v>38</v>
      </c>
      <c r="AA83" s="7"/>
      <c r="AB83" s="7"/>
      <c r="AC83" s="10" t="s">
        <v>38</v>
      </c>
      <c r="AD83" s="7"/>
      <c r="AE83" s="7"/>
      <c r="AF83" s="10" t="s">
        <v>38</v>
      </c>
      <c r="AG83" s="9"/>
      <c r="AH83" s="9"/>
      <c r="AI83" s="10" t="s">
        <v>38</v>
      </c>
      <c r="AJ83" s="7"/>
      <c r="AK83" s="7"/>
      <c r="AL83" s="10" t="s">
        <v>38</v>
      </c>
      <c r="AM83" s="7"/>
      <c r="AN83" s="7"/>
      <c r="AO83" s="10" t="s">
        <v>38</v>
      </c>
      <c r="AP83" s="7"/>
      <c r="AQ83" s="7"/>
      <c r="AR83" s="10" t="s">
        <v>38</v>
      </c>
      <c r="AS83" s="9"/>
      <c r="AT83" s="9"/>
      <c r="AU83" s="10" t="s">
        <v>38</v>
      </c>
      <c r="AV83" s="7"/>
      <c r="AW83" s="7"/>
      <c r="AX83" s="10" t="s">
        <v>38</v>
      </c>
      <c r="AY83" s="7"/>
      <c r="AZ83" s="7"/>
      <c r="BA83" s="10" t="s">
        <v>38</v>
      </c>
      <c r="BB83" s="7"/>
      <c r="BC83" s="7"/>
      <c r="BD83" s="10" t="s">
        <v>38</v>
      </c>
      <c r="BE83" s="9"/>
      <c r="BF83" s="9"/>
      <c r="BG83" s="10" t="s">
        <v>38</v>
      </c>
      <c r="BH83" s="7"/>
      <c r="BI83" s="7"/>
      <c r="BJ83" s="10" t="s">
        <v>38</v>
      </c>
      <c r="BK83" s="7"/>
      <c r="BL83" s="7"/>
      <c r="BM83" s="10" t="s">
        <v>38</v>
      </c>
      <c r="BN83" s="7"/>
      <c r="BO83" s="7"/>
      <c r="BP83" s="10" t="s">
        <v>38</v>
      </c>
      <c r="BQ83" s="9"/>
      <c r="BR83" s="9"/>
      <c r="BS83" s="10" t="s">
        <v>38</v>
      </c>
      <c r="BT83" s="7"/>
      <c r="BU83" s="7"/>
      <c r="BV83" s="10" t="s">
        <v>38</v>
      </c>
      <c r="BW83" s="7"/>
      <c r="BX83" s="7"/>
      <c r="BY83" s="10" t="s">
        <v>38</v>
      </c>
      <c r="BZ83" s="7"/>
      <c r="CA83" s="7"/>
      <c r="CB83" s="10" t="s">
        <v>38</v>
      </c>
      <c r="CC83" s="9"/>
      <c r="CD83" s="9"/>
      <c r="CE83" s="10" t="s">
        <v>38</v>
      </c>
      <c r="CF83" s="7"/>
      <c r="CG83" s="7"/>
      <c r="CH83" s="10" t="s">
        <v>38</v>
      </c>
      <c r="CI83" s="7"/>
      <c r="CJ83" s="7"/>
      <c r="CK83" s="10" t="s">
        <v>38</v>
      </c>
      <c r="CL83" s="7"/>
      <c r="CM83" s="7"/>
      <c r="CN83" s="10" t="s">
        <v>38</v>
      </c>
      <c r="CO83" s="9"/>
      <c r="CP83" s="9"/>
      <c r="CQ83" s="10" t="s">
        <v>38</v>
      </c>
      <c r="CR83" s="7"/>
      <c r="CS83" s="7"/>
      <c r="CT83" s="10" t="s">
        <v>38</v>
      </c>
      <c r="CU83" s="7"/>
      <c r="CV83" s="7"/>
      <c r="CW83" s="10" t="s">
        <v>38</v>
      </c>
      <c r="CX83" s="7"/>
      <c r="CY83" s="7"/>
      <c r="CZ83" s="10" t="s">
        <v>38</v>
      </c>
      <c r="DA83" s="9"/>
      <c r="DB83" s="9"/>
      <c r="DC83" s="10" t="s">
        <v>38</v>
      </c>
      <c r="DD83" s="7"/>
      <c r="DE83" s="7"/>
      <c r="DF83" s="10" t="s">
        <v>38</v>
      </c>
      <c r="DG83" s="7"/>
      <c r="DH83" s="7"/>
      <c r="DI83" s="10" t="s">
        <v>38</v>
      </c>
      <c r="DJ83" s="7"/>
      <c r="DK83" s="7"/>
      <c r="DL83" s="10" t="s">
        <v>38</v>
      </c>
      <c r="DM83" s="9"/>
      <c r="DN83" s="9"/>
      <c r="DO83" s="10" t="s">
        <v>38</v>
      </c>
      <c r="DP83" s="7"/>
      <c r="DQ83" s="7"/>
      <c r="DR83" s="10" t="s">
        <v>38</v>
      </c>
      <c r="DS83" s="7"/>
      <c r="DT83" s="7"/>
      <c r="DU83" s="10" t="s">
        <v>38</v>
      </c>
      <c r="DV83" s="7"/>
      <c r="DW83" s="7"/>
      <c r="DX83" s="10" t="s">
        <v>38</v>
      </c>
      <c r="DY83" s="9"/>
      <c r="DZ83" s="9"/>
      <c r="EA83" s="10" t="s">
        <v>38</v>
      </c>
      <c r="EB83" s="7"/>
      <c r="EC83" s="7"/>
      <c r="ED83" s="10" t="s">
        <v>38</v>
      </c>
      <c r="EE83" s="7"/>
      <c r="EF83" s="7"/>
      <c r="EG83" s="10" t="s">
        <v>38</v>
      </c>
      <c r="EH83" s="7"/>
      <c r="EI83" s="7"/>
      <c r="EJ83" s="10" t="s">
        <v>38</v>
      </c>
      <c r="EK83" s="9"/>
      <c r="EL83" s="9"/>
      <c r="EM83" s="10" t="s">
        <v>38</v>
      </c>
      <c r="EN83" s="7"/>
      <c r="EO83" s="7"/>
      <c r="EP83" s="10" t="s">
        <v>38</v>
      </c>
      <c r="EQ83" s="7"/>
      <c r="ER83" s="7"/>
      <c r="ES83" s="10" t="s">
        <v>38</v>
      </c>
      <c r="ET83" s="7"/>
      <c r="EU83" s="7"/>
      <c r="EV83" s="10" t="s">
        <v>38</v>
      </c>
      <c r="EW83" s="9"/>
      <c r="EX83" s="9"/>
      <c r="EY83" s="10" t="s">
        <v>38</v>
      </c>
      <c r="EZ83" s="7"/>
      <c r="FA83" s="7"/>
      <c r="FB83" s="10" t="s">
        <v>38</v>
      </c>
      <c r="FC83" s="7"/>
      <c r="FD83" s="7"/>
      <c r="FE83" s="10" t="s">
        <v>38</v>
      </c>
      <c r="FF83" s="7"/>
      <c r="FG83" s="7"/>
      <c r="FH83" s="10" t="s">
        <v>38</v>
      </c>
      <c r="FI83" s="9"/>
      <c r="FJ83" s="9"/>
      <c r="FK83" s="10" t="s">
        <v>38</v>
      </c>
      <c r="FL83" s="7"/>
      <c r="FM83" s="7"/>
      <c r="FN83" s="10" t="s">
        <v>38</v>
      </c>
      <c r="FO83" s="7"/>
      <c r="FP83" s="7"/>
      <c r="FQ83" s="10" t="s">
        <v>38</v>
      </c>
      <c r="FR83" s="7"/>
      <c r="FS83" s="7"/>
      <c r="FT83" s="10" t="s">
        <v>38</v>
      </c>
      <c r="FU83" s="9"/>
      <c r="FV83" s="9"/>
      <c r="FW83" s="10" t="s">
        <v>38</v>
      </c>
      <c r="FX83" s="7">
        <v>60</v>
      </c>
      <c r="FY83" s="7">
        <v>300</v>
      </c>
      <c r="FZ83" s="10" t="s">
        <v>38</v>
      </c>
      <c r="GA83" s="7"/>
      <c r="GB83" s="7"/>
      <c r="GC83" s="10" t="s">
        <v>38</v>
      </c>
      <c r="GD83" s="7"/>
      <c r="GE83" s="7"/>
      <c r="GF83" s="10" t="s">
        <v>38</v>
      </c>
      <c r="GG83" s="7"/>
      <c r="GH83" s="7"/>
      <c r="GI83" s="10" t="s">
        <v>38</v>
      </c>
      <c r="GJ83" s="7">
        <v>95</v>
      </c>
      <c r="GK83" s="7">
        <v>325</v>
      </c>
      <c r="GL83" s="10" t="s">
        <v>38</v>
      </c>
      <c r="GM83" s="7"/>
      <c r="GN83" s="7"/>
      <c r="GO83" s="10" t="s">
        <v>38</v>
      </c>
      <c r="GP83" s="7"/>
      <c r="GQ83" s="7"/>
      <c r="GR83" s="10" t="s">
        <v>38</v>
      </c>
      <c r="GS83" s="7"/>
      <c r="GT83" s="7"/>
      <c r="GU83" s="6" t="s">
        <v>38</v>
      </c>
      <c r="GV83" s="7">
        <v>30</v>
      </c>
      <c r="GW83" s="7">
        <v>170</v>
      </c>
      <c r="GX83" s="10" t="s">
        <v>38</v>
      </c>
      <c r="GY83" s="7"/>
      <c r="GZ83" s="7"/>
      <c r="HA83" s="10" t="s">
        <v>38</v>
      </c>
      <c r="HB83" s="7"/>
      <c r="HC83" s="7"/>
      <c r="HD83" s="10" t="s">
        <v>38</v>
      </c>
      <c r="HE83" s="7"/>
      <c r="HF83" s="7"/>
      <c r="HG83" s="10" t="s">
        <v>38</v>
      </c>
      <c r="HH83" s="7">
        <v>25</v>
      </c>
      <c r="HI83" s="7">
        <v>150</v>
      </c>
      <c r="HJ83" s="10" t="s">
        <v>38</v>
      </c>
      <c r="HK83" s="7"/>
      <c r="HL83" s="7"/>
      <c r="HM83" s="10" t="s">
        <v>38</v>
      </c>
      <c r="HN83" s="7"/>
      <c r="HO83" s="7"/>
      <c r="HP83" s="10" t="s">
        <v>38</v>
      </c>
      <c r="HQ83" s="7"/>
      <c r="HR83" s="7"/>
      <c r="HS83" s="10" t="s">
        <v>38</v>
      </c>
      <c r="HT83" s="7">
        <v>85</v>
      </c>
      <c r="HU83" s="7">
        <v>400</v>
      </c>
      <c r="HV83" s="10" t="s">
        <v>38</v>
      </c>
      <c r="HW83" s="7"/>
      <c r="HX83" s="7"/>
      <c r="HY83" s="10" t="s">
        <v>38</v>
      </c>
      <c r="HZ83" s="7"/>
      <c r="IA83" s="7"/>
      <c r="IB83" s="10" t="s">
        <v>38</v>
      </c>
      <c r="IC83" s="7"/>
      <c r="ID83" s="7"/>
      <c r="IE83" s="6" t="s">
        <v>38</v>
      </c>
      <c r="IF83" s="7">
        <v>25</v>
      </c>
      <c r="IG83" s="7">
        <v>140</v>
      </c>
      <c r="II83" s="7"/>
      <c r="IJ83" s="7"/>
      <c r="IK83" s="7"/>
      <c r="IL83" s="7"/>
      <c r="IM83" s="7"/>
      <c r="IN83" s="7"/>
      <c r="IP83" s="7"/>
      <c r="IQ83" s="7"/>
      <c r="IR83" s="7"/>
      <c r="IS83" s="7"/>
      <c r="IT83" s="7"/>
      <c r="IU83" s="7"/>
      <c r="IV83" s="7"/>
      <c r="IW83" s="7"/>
      <c r="IX83" s="7"/>
      <c r="IY83" s="7"/>
      <c r="IZ83" s="7"/>
      <c r="JA83" s="7"/>
      <c r="JB83" s="7"/>
      <c r="JC83" s="7"/>
      <c r="JE83" s="7"/>
      <c r="JF83" s="9"/>
      <c r="JH83" s="7"/>
      <c r="JI83" s="7"/>
      <c r="JJ83" s="7"/>
      <c r="JK83" s="7"/>
      <c r="JL83" s="7"/>
      <c r="JM83" s="7"/>
      <c r="JO83" s="7"/>
      <c r="JP83" s="7"/>
      <c r="JQ83" s="7"/>
      <c r="JR83" s="7"/>
      <c r="JS83" t="s">
        <v>7</v>
      </c>
      <c r="JT83" s="7"/>
      <c r="JU83" s="7"/>
      <c r="JV83" s="7">
        <v>21</v>
      </c>
      <c r="JW83" s="7">
        <v>10</v>
      </c>
      <c r="JX83" s="7"/>
    </row>
    <row r="84" spans="1:284" x14ac:dyDescent="0.3">
      <c r="A84" s="19" t="s">
        <v>70</v>
      </c>
      <c r="B84" s="10" t="s">
        <v>38</v>
      </c>
      <c r="C84">
        <v>500</v>
      </c>
      <c r="D84" s="7">
        <v>6000</v>
      </c>
      <c r="E84" s="6" t="s">
        <v>38</v>
      </c>
      <c r="F84" s="7"/>
      <c r="G84" s="7"/>
      <c r="H84" s="10" t="s">
        <v>38</v>
      </c>
      <c r="I84" s="9"/>
      <c r="J84" s="9"/>
      <c r="K84" s="10" t="s">
        <v>38</v>
      </c>
      <c r="L84" s="9">
        <v>5000</v>
      </c>
      <c r="M84" s="9">
        <v>50000</v>
      </c>
      <c r="N84" s="10" t="s">
        <v>38</v>
      </c>
      <c r="O84">
        <v>700</v>
      </c>
      <c r="P84" s="7">
        <v>7000</v>
      </c>
      <c r="Q84" s="6" t="s">
        <v>38</v>
      </c>
      <c r="R84" s="7"/>
      <c r="S84" s="7"/>
      <c r="T84" s="10" t="s">
        <v>38</v>
      </c>
      <c r="U84" s="9"/>
      <c r="V84" s="9"/>
      <c r="W84" s="10" t="s">
        <v>38</v>
      </c>
      <c r="X84" s="9">
        <v>7000</v>
      </c>
      <c r="Y84" s="9">
        <v>70000</v>
      </c>
      <c r="Z84" s="10" t="s">
        <v>38</v>
      </c>
      <c r="AA84">
        <v>1300</v>
      </c>
      <c r="AB84" s="7">
        <v>14000</v>
      </c>
      <c r="AC84" s="6" t="s">
        <v>38</v>
      </c>
      <c r="AD84" s="7">
        <v>250</v>
      </c>
      <c r="AE84" s="7">
        <v>1000</v>
      </c>
      <c r="AF84" s="10" t="s">
        <v>38</v>
      </c>
      <c r="AG84" s="9"/>
      <c r="AH84" s="9"/>
      <c r="AI84" s="10" t="s">
        <v>38</v>
      </c>
      <c r="AJ84" s="9">
        <v>3100</v>
      </c>
      <c r="AK84" s="9">
        <v>37200</v>
      </c>
      <c r="AL84" s="10" t="s">
        <v>38</v>
      </c>
      <c r="AN84" s="7"/>
      <c r="AO84" s="6" t="s">
        <v>38</v>
      </c>
      <c r="AP84" s="7"/>
      <c r="AQ84" s="7"/>
      <c r="AR84" s="10" t="s">
        <v>38</v>
      </c>
      <c r="AS84" s="9"/>
      <c r="AT84" s="9"/>
      <c r="AU84" s="10" t="s">
        <v>38</v>
      </c>
      <c r="AV84" s="9">
        <v>3000</v>
      </c>
      <c r="AW84" s="9">
        <v>33000</v>
      </c>
      <c r="AX84" s="10" t="s">
        <v>38</v>
      </c>
      <c r="AY84">
        <v>500</v>
      </c>
      <c r="AZ84" s="7">
        <v>5000</v>
      </c>
      <c r="BA84" s="6" t="s">
        <v>38</v>
      </c>
      <c r="BB84" s="7">
        <v>100</v>
      </c>
      <c r="BC84" s="7">
        <v>1000</v>
      </c>
      <c r="BD84" s="10" t="s">
        <v>38</v>
      </c>
      <c r="BE84" s="9"/>
      <c r="BF84" s="9"/>
      <c r="BG84" s="10" t="s">
        <v>38</v>
      </c>
      <c r="BH84" s="9">
        <v>4000</v>
      </c>
      <c r="BI84" s="9">
        <v>40000</v>
      </c>
      <c r="BJ84" s="10" t="s">
        <v>38</v>
      </c>
      <c r="BK84">
        <v>500</v>
      </c>
      <c r="BL84" s="7">
        <v>6500</v>
      </c>
      <c r="BM84" s="6" t="s">
        <v>38</v>
      </c>
      <c r="BN84" s="7">
        <v>100</v>
      </c>
      <c r="BO84" s="7">
        <v>1000</v>
      </c>
      <c r="BP84" s="10" t="s">
        <v>38</v>
      </c>
      <c r="BQ84" s="9"/>
      <c r="BR84" s="9"/>
      <c r="BS84" s="10" t="s">
        <v>38</v>
      </c>
      <c r="BT84" s="9">
        <v>4000</v>
      </c>
      <c r="BU84" s="9">
        <v>48000</v>
      </c>
      <c r="BV84" s="10" t="s">
        <v>38</v>
      </c>
      <c r="BW84" s="7">
        <v>300</v>
      </c>
      <c r="BX84" s="7">
        <v>4500</v>
      </c>
      <c r="BY84" s="6" t="s">
        <v>40</v>
      </c>
      <c r="BZ84" s="7"/>
      <c r="CA84" s="7"/>
      <c r="CB84" s="10" t="s">
        <v>38</v>
      </c>
      <c r="CC84" s="9"/>
      <c r="CD84" s="9"/>
      <c r="CE84" s="10" t="s">
        <v>38</v>
      </c>
      <c r="CF84" s="9">
        <v>5150</v>
      </c>
      <c r="CG84" s="9">
        <v>60000</v>
      </c>
      <c r="CH84" s="10" t="s">
        <v>38</v>
      </c>
      <c r="CI84" s="7">
        <v>400</v>
      </c>
      <c r="CJ84" s="7">
        <v>6000</v>
      </c>
      <c r="CK84" s="6" t="s">
        <v>40</v>
      </c>
      <c r="CL84" s="7"/>
      <c r="CM84" s="7"/>
      <c r="CN84" s="10" t="s">
        <v>38</v>
      </c>
      <c r="CO84" s="9"/>
      <c r="CP84" s="9"/>
      <c r="CQ84" s="10" t="s">
        <v>38</v>
      </c>
      <c r="CR84" s="9">
        <v>5000</v>
      </c>
      <c r="CS84" s="9">
        <v>60000</v>
      </c>
      <c r="CT84" s="10" t="s">
        <v>38</v>
      </c>
      <c r="CU84" s="7"/>
      <c r="CV84" s="7"/>
      <c r="CW84" s="6" t="s">
        <v>40</v>
      </c>
      <c r="CX84" s="7">
        <v>16</v>
      </c>
      <c r="CY84" s="7">
        <v>420</v>
      </c>
      <c r="CZ84" s="10" t="s">
        <v>38</v>
      </c>
      <c r="DA84" s="9"/>
      <c r="DB84" s="9"/>
      <c r="DC84" s="10" t="s">
        <v>38</v>
      </c>
      <c r="DD84" s="9">
        <v>101</v>
      </c>
      <c r="DE84" s="9">
        <v>1180</v>
      </c>
      <c r="DF84" s="10" t="s">
        <v>38</v>
      </c>
      <c r="DG84" s="7"/>
      <c r="DH84" s="7"/>
      <c r="DI84" s="6" t="s">
        <v>40</v>
      </c>
      <c r="DJ84" s="7">
        <v>27</v>
      </c>
      <c r="DK84" s="7">
        <v>550</v>
      </c>
      <c r="DL84" s="10" t="s">
        <v>38</v>
      </c>
      <c r="DM84" s="9"/>
      <c r="DN84" s="9"/>
      <c r="DO84" s="10" t="s">
        <v>38</v>
      </c>
      <c r="DP84" s="9">
        <v>5654</v>
      </c>
      <c r="DQ84" s="9">
        <v>66220</v>
      </c>
      <c r="DR84" s="10" t="s">
        <v>38</v>
      </c>
      <c r="DS84" s="7"/>
      <c r="DT84" s="7"/>
      <c r="DU84" s="10" t="s">
        <v>38</v>
      </c>
      <c r="DV84" s="7"/>
      <c r="DW84" s="7"/>
      <c r="DX84" s="10" t="s">
        <v>38</v>
      </c>
      <c r="DY84" s="9"/>
      <c r="DZ84" s="9"/>
      <c r="EA84" s="10" t="s">
        <v>38</v>
      </c>
      <c r="EB84" s="9">
        <v>6000</v>
      </c>
      <c r="EC84" s="9">
        <v>70000</v>
      </c>
      <c r="ED84" s="10" t="s">
        <v>38</v>
      </c>
      <c r="EE84" s="7"/>
      <c r="EF84" s="7"/>
      <c r="EG84" s="10" t="s">
        <v>38</v>
      </c>
      <c r="EH84" s="7"/>
      <c r="EI84" s="7"/>
      <c r="EJ84" s="10" t="s">
        <v>38</v>
      </c>
      <c r="EK84" s="9"/>
      <c r="EL84" s="9"/>
      <c r="EM84" s="10" t="s">
        <v>38</v>
      </c>
      <c r="EN84" s="9">
        <v>5600</v>
      </c>
      <c r="EO84" s="9">
        <v>45900</v>
      </c>
      <c r="EP84" s="10" t="s">
        <v>38</v>
      </c>
      <c r="EQ84" s="7"/>
      <c r="ER84" s="7"/>
      <c r="ES84" s="10" t="s">
        <v>38</v>
      </c>
      <c r="ET84" s="7"/>
      <c r="EU84" s="7"/>
      <c r="EV84" s="10" t="s">
        <v>38</v>
      </c>
      <c r="EW84" s="9"/>
      <c r="EX84" s="9"/>
      <c r="EY84" s="10" t="s">
        <v>38</v>
      </c>
      <c r="EZ84" s="9">
        <v>5300</v>
      </c>
      <c r="FA84" s="9">
        <v>45300</v>
      </c>
      <c r="FB84" s="10" t="s">
        <v>38</v>
      </c>
      <c r="FC84" s="7"/>
      <c r="FD84" s="7"/>
      <c r="FE84" s="10" t="s">
        <v>38</v>
      </c>
      <c r="FF84" s="7"/>
      <c r="FG84" s="7"/>
      <c r="FH84" s="10" t="s">
        <v>38</v>
      </c>
      <c r="FI84" s="9"/>
      <c r="FJ84" s="9"/>
      <c r="FK84" s="10" t="s">
        <v>38</v>
      </c>
      <c r="FL84" s="9">
        <v>6300</v>
      </c>
      <c r="FM84" s="9">
        <v>53000</v>
      </c>
      <c r="FN84" s="10" t="s">
        <v>38</v>
      </c>
      <c r="FO84" s="7"/>
      <c r="FP84" s="7"/>
      <c r="FQ84" s="10" t="s">
        <v>38</v>
      </c>
      <c r="FR84" s="7"/>
      <c r="FS84" s="7"/>
      <c r="FT84" s="10" t="s">
        <v>38</v>
      </c>
      <c r="FU84" s="9"/>
      <c r="FV84" s="9"/>
      <c r="FW84" s="10" t="s">
        <v>38</v>
      </c>
      <c r="FX84" s="7">
        <v>6500</v>
      </c>
      <c r="FY84" s="7">
        <v>55000</v>
      </c>
      <c r="FZ84" s="10" t="s">
        <v>38</v>
      </c>
      <c r="GA84" s="7">
        <v>2665</v>
      </c>
      <c r="GB84" s="7">
        <v>21000</v>
      </c>
      <c r="GC84" s="10" t="s">
        <v>38</v>
      </c>
      <c r="GD84" s="7"/>
      <c r="GE84" s="7"/>
      <c r="GF84" s="10" t="s">
        <v>38</v>
      </c>
      <c r="GG84" s="7"/>
      <c r="GH84" s="7"/>
      <c r="GI84" s="10" t="s">
        <v>38</v>
      </c>
      <c r="GJ84" s="7">
        <v>5154</v>
      </c>
      <c r="GK84" s="7">
        <v>46630</v>
      </c>
      <c r="GL84" s="10" t="s">
        <v>38</v>
      </c>
      <c r="GM84" s="7"/>
      <c r="GN84" s="7"/>
      <c r="GO84" s="10" t="s">
        <v>38</v>
      </c>
      <c r="GP84" s="7"/>
      <c r="GQ84" s="7"/>
      <c r="GR84" s="10" t="s">
        <v>38</v>
      </c>
      <c r="GS84" s="7"/>
      <c r="GT84" s="7"/>
      <c r="GU84" s="6" t="s">
        <v>38</v>
      </c>
      <c r="GV84" s="7">
        <v>5470</v>
      </c>
      <c r="GW84" s="7">
        <v>59050</v>
      </c>
      <c r="GX84" s="10" t="s">
        <v>38</v>
      </c>
      <c r="GY84" s="7">
        <v>1500</v>
      </c>
      <c r="GZ84" s="7">
        <v>14000</v>
      </c>
      <c r="HA84" s="10" t="s">
        <v>38</v>
      </c>
      <c r="HB84" s="7"/>
      <c r="HC84" s="7"/>
      <c r="HD84" s="10" t="s">
        <v>38</v>
      </c>
      <c r="HE84" s="7"/>
      <c r="HF84" s="7"/>
      <c r="HG84" s="10" t="s">
        <v>38</v>
      </c>
      <c r="HH84" s="7">
        <v>5000</v>
      </c>
      <c r="HI84" s="7">
        <v>45000</v>
      </c>
      <c r="HJ84" s="10" t="s">
        <v>38</v>
      </c>
      <c r="HK84" s="7"/>
      <c r="HL84" s="7"/>
      <c r="HM84" s="10" t="s">
        <v>38</v>
      </c>
      <c r="HN84" s="7"/>
      <c r="HO84" s="7"/>
      <c r="HP84" s="10" t="s">
        <v>38</v>
      </c>
      <c r="HQ84" s="7"/>
      <c r="HR84" s="7"/>
      <c r="HS84" s="10" t="s">
        <v>38</v>
      </c>
      <c r="HT84" s="7">
        <v>5660</v>
      </c>
      <c r="HU84" s="7">
        <v>63050</v>
      </c>
      <c r="HV84" s="10" t="s">
        <v>38</v>
      </c>
      <c r="HW84" s="7">
        <v>400</v>
      </c>
      <c r="HX84" s="7">
        <v>5000</v>
      </c>
      <c r="HY84" s="10" t="s">
        <v>38</v>
      </c>
      <c r="HZ84" s="7"/>
      <c r="IA84" s="7"/>
      <c r="IB84" s="10" t="s">
        <v>38</v>
      </c>
      <c r="IC84" s="7"/>
      <c r="ID84" s="7"/>
      <c r="IE84" s="6" t="s">
        <v>38</v>
      </c>
      <c r="IF84" s="7">
        <v>7310</v>
      </c>
      <c r="IG84" s="7">
        <v>67760</v>
      </c>
      <c r="IH84" t="s">
        <v>7</v>
      </c>
      <c r="II84" s="7">
        <v>9870</v>
      </c>
      <c r="IJ84" s="7">
        <v>65000</v>
      </c>
      <c r="IK84" s="7">
        <v>9135</v>
      </c>
      <c r="IL84" s="7">
        <v>60900</v>
      </c>
      <c r="IM84" s="7">
        <v>9000</v>
      </c>
      <c r="IN84" s="7">
        <v>60000</v>
      </c>
      <c r="IO84" t="s">
        <v>7</v>
      </c>
      <c r="IP84" s="7">
        <v>10000</v>
      </c>
      <c r="IQ84" s="7">
        <v>70000</v>
      </c>
      <c r="IR84" s="7">
        <f>9000</f>
        <v>9000</v>
      </c>
      <c r="IS84" s="7">
        <v>60000</v>
      </c>
      <c r="IT84" s="7">
        <v>8000</v>
      </c>
      <c r="IU84" s="7">
        <v>53000</v>
      </c>
      <c r="IV84" s="7">
        <v>10043</v>
      </c>
      <c r="IW84" s="7">
        <v>59423</v>
      </c>
      <c r="IX84" s="7">
        <v>12326</v>
      </c>
      <c r="IY84" s="7">
        <v>68771</v>
      </c>
      <c r="IZ84" s="7">
        <v>24100</v>
      </c>
      <c r="JA84" s="7">
        <v>136400</v>
      </c>
      <c r="JB84" s="7">
        <f>16500+11200+5100</f>
        <v>32800</v>
      </c>
      <c r="JC84" s="7">
        <f>105600+67200+25700</f>
        <v>198500</v>
      </c>
      <c r="JD84" s="10" t="s">
        <v>7</v>
      </c>
      <c r="JE84" s="7">
        <v>15200</v>
      </c>
      <c r="JF84" s="7">
        <v>144400</v>
      </c>
      <c r="JG84" t="s">
        <v>7</v>
      </c>
      <c r="JH84" s="7">
        <v>10000</v>
      </c>
      <c r="JI84" s="7">
        <v>9000</v>
      </c>
      <c r="JJ84" s="7">
        <v>21500</v>
      </c>
      <c r="JK84" s="7">
        <v>14333</v>
      </c>
      <c r="JL84" s="7">
        <v>20400</v>
      </c>
      <c r="JM84" s="7">
        <v>11147</v>
      </c>
      <c r="JN84" t="s">
        <v>7</v>
      </c>
      <c r="JO84" s="7">
        <v>21080</v>
      </c>
      <c r="JP84" s="7">
        <v>12274</v>
      </c>
      <c r="JQ84" s="7">
        <v>22287</v>
      </c>
      <c r="JR84" s="7">
        <v>14783</v>
      </c>
      <c r="JS84" t="s">
        <v>7</v>
      </c>
      <c r="JT84" s="7"/>
      <c r="JU84" s="7"/>
      <c r="JV84" s="7"/>
      <c r="JW84" s="7"/>
      <c r="JX84" s="7"/>
    </row>
    <row r="85" spans="1:284" x14ac:dyDescent="0.3">
      <c r="A85" s="19" t="s">
        <v>160</v>
      </c>
      <c r="B85" s="10" t="s">
        <v>38</v>
      </c>
      <c r="C85" s="7">
        <v>200</v>
      </c>
      <c r="D85" s="7">
        <v>600</v>
      </c>
      <c r="E85" s="10" t="s">
        <v>38</v>
      </c>
      <c r="F85" s="7"/>
      <c r="G85" s="7"/>
      <c r="H85" s="10" t="s">
        <v>38</v>
      </c>
      <c r="I85" s="9"/>
      <c r="J85" s="9"/>
      <c r="K85" s="10" t="s">
        <v>38</v>
      </c>
      <c r="L85">
        <v>242</v>
      </c>
      <c r="M85">
        <v>1700</v>
      </c>
      <c r="N85" s="10" t="s">
        <v>38</v>
      </c>
      <c r="O85" s="7"/>
      <c r="P85" s="7"/>
      <c r="Q85" s="10" t="s">
        <v>38</v>
      </c>
      <c r="R85" s="7"/>
      <c r="S85" s="7"/>
      <c r="T85" s="10" t="s">
        <v>38</v>
      </c>
      <c r="U85" s="9"/>
      <c r="V85" s="9"/>
      <c r="W85" s="10" t="s">
        <v>38</v>
      </c>
      <c r="X85">
        <v>250</v>
      </c>
      <c r="Y85">
        <v>1700</v>
      </c>
      <c r="Z85" s="10" t="s">
        <v>38</v>
      </c>
      <c r="AA85" s="7"/>
      <c r="AB85" s="7"/>
      <c r="AC85" s="10" t="s">
        <v>38</v>
      </c>
      <c r="AD85" s="7"/>
      <c r="AE85" s="7"/>
      <c r="AF85" s="10" t="s">
        <v>38</v>
      </c>
      <c r="AG85" s="9"/>
      <c r="AH85" s="9"/>
      <c r="AI85" s="10" t="s">
        <v>38</v>
      </c>
      <c r="AJ85">
        <v>31</v>
      </c>
      <c r="AK85">
        <v>550</v>
      </c>
      <c r="AL85" s="10" t="s">
        <v>38</v>
      </c>
      <c r="AM85" s="7"/>
      <c r="AN85" s="7"/>
      <c r="AO85" s="10" t="s">
        <v>38</v>
      </c>
      <c r="AP85" s="7"/>
      <c r="AQ85" s="7"/>
      <c r="AR85" s="10" t="s">
        <v>38</v>
      </c>
      <c r="AS85" s="9"/>
      <c r="AT85" s="9"/>
      <c r="AU85" s="10" t="s">
        <v>38</v>
      </c>
      <c r="AV85">
        <v>40</v>
      </c>
      <c r="AW85">
        <v>600</v>
      </c>
      <c r="AX85" s="10" t="s">
        <v>38</v>
      </c>
      <c r="AY85" s="7"/>
      <c r="AZ85" s="7"/>
      <c r="BA85" s="10" t="s">
        <v>38</v>
      </c>
      <c r="BB85" s="7"/>
      <c r="BC85" s="7"/>
      <c r="BD85" s="10" t="s">
        <v>38</v>
      </c>
      <c r="BE85" s="9"/>
      <c r="BF85" s="9"/>
      <c r="BG85" s="10" t="s">
        <v>38</v>
      </c>
      <c r="BH85">
        <v>60</v>
      </c>
      <c r="BI85">
        <v>800</v>
      </c>
      <c r="BJ85" s="10" t="s">
        <v>38</v>
      </c>
      <c r="BK85" s="7"/>
      <c r="BL85" s="7"/>
      <c r="BM85" s="10" t="s">
        <v>38</v>
      </c>
      <c r="BN85" s="7"/>
      <c r="BO85" s="7"/>
      <c r="BP85" s="10" t="s">
        <v>38</v>
      </c>
      <c r="BQ85" s="9"/>
      <c r="BR85" s="9"/>
      <c r="BS85" s="10" t="s">
        <v>38</v>
      </c>
      <c r="BT85">
        <v>100</v>
      </c>
      <c r="BU85">
        <v>800</v>
      </c>
      <c r="BV85" s="10" t="s">
        <v>38</v>
      </c>
      <c r="BW85" s="7"/>
      <c r="BX85" s="7"/>
      <c r="BY85" s="10" t="s">
        <v>38</v>
      </c>
      <c r="BZ85" s="7"/>
      <c r="CA85" s="7"/>
      <c r="CB85" s="10" t="s">
        <v>38</v>
      </c>
      <c r="CC85" s="9"/>
      <c r="CD85" s="9"/>
      <c r="CE85" s="10" t="s">
        <v>38</v>
      </c>
      <c r="CF85">
        <v>115</v>
      </c>
      <c r="CG85">
        <v>1300</v>
      </c>
      <c r="CH85" s="10" t="s">
        <v>38</v>
      </c>
      <c r="CI85" s="7"/>
      <c r="CJ85" s="7"/>
      <c r="CK85" s="10" t="s">
        <v>38</v>
      </c>
      <c r="CL85" s="7"/>
      <c r="CM85" s="7"/>
      <c r="CN85" s="10" t="s">
        <v>38</v>
      </c>
      <c r="CO85" s="9"/>
      <c r="CP85" s="9"/>
      <c r="CQ85" s="10" t="s">
        <v>38</v>
      </c>
      <c r="CR85">
        <v>125</v>
      </c>
      <c r="CS85">
        <v>1500</v>
      </c>
      <c r="CT85" s="10" t="s">
        <v>38</v>
      </c>
      <c r="CU85" s="7"/>
      <c r="CV85" s="7"/>
      <c r="CW85" s="10" t="s">
        <v>38</v>
      </c>
      <c r="CX85" s="7"/>
      <c r="CY85" s="7"/>
      <c r="CZ85" s="10" t="s">
        <v>38</v>
      </c>
      <c r="DA85" s="9"/>
      <c r="DB85" s="9"/>
      <c r="DC85" s="10" t="s">
        <v>38</v>
      </c>
      <c r="DD85">
        <v>5808</v>
      </c>
      <c r="DE85">
        <v>58385</v>
      </c>
      <c r="DF85" s="10" t="s">
        <v>38</v>
      </c>
      <c r="DG85" s="7"/>
      <c r="DH85" s="7"/>
      <c r="DI85" s="10" t="s">
        <v>38</v>
      </c>
      <c r="DJ85" s="7"/>
      <c r="DK85" s="7"/>
      <c r="DL85" s="10" t="s">
        <v>38</v>
      </c>
      <c r="DM85" s="9"/>
      <c r="DN85" s="9"/>
      <c r="DO85" s="10" t="s">
        <v>38</v>
      </c>
      <c r="DP85">
        <v>102</v>
      </c>
      <c r="DQ85">
        <v>950</v>
      </c>
      <c r="DR85" s="10" t="s">
        <v>38</v>
      </c>
      <c r="DS85" s="7"/>
      <c r="DT85" s="7"/>
      <c r="DU85" s="10" t="s">
        <v>38</v>
      </c>
      <c r="DV85" s="7"/>
      <c r="DW85" s="7"/>
      <c r="DX85" s="10" t="s">
        <v>38</v>
      </c>
      <c r="DY85" s="9"/>
      <c r="DZ85" s="9"/>
      <c r="EA85" s="10" t="s">
        <v>38</v>
      </c>
      <c r="EB85">
        <v>150</v>
      </c>
      <c r="EC85">
        <v>1200</v>
      </c>
      <c r="ED85" s="10" t="s">
        <v>38</v>
      </c>
      <c r="EE85" s="7"/>
      <c r="EF85" s="7"/>
      <c r="EG85" s="10" t="s">
        <v>38</v>
      </c>
      <c r="EH85" s="7"/>
      <c r="EI85" s="7"/>
      <c r="EJ85" s="10" t="s">
        <v>38</v>
      </c>
      <c r="EK85" s="9"/>
      <c r="EL85" s="9"/>
      <c r="EM85" s="10" t="s">
        <v>38</v>
      </c>
      <c r="EN85">
        <v>100</v>
      </c>
      <c r="EO85">
        <v>850</v>
      </c>
      <c r="EP85" s="10" t="s">
        <v>38</v>
      </c>
      <c r="EQ85" s="7"/>
      <c r="ER85" s="7"/>
      <c r="ES85" s="10" t="s">
        <v>38</v>
      </c>
      <c r="ET85" s="7"/>
      <c r="EU85" s="7"/>
      <c r="EV85" s="10" t="s">
        <v>38</v>
      </c>
      <c r="EW85" s="9"/>
      <c r="EX85" s="9"/>
      <c r="EY85" s="10" t="s">
        <v>38</v>
      </c>
      <c r="EZ85">
        <v>150</v>
      </c>
      <c r="FA85">
        <v>1350</v>
      </c>
      <c r="FB85" s="10" t="s">
        <v>38</v>
      </c>
      <c r="FC85" s="7"/>
      <c r="FD85" s="7"/>
      <c r="FE85" s="10" t="s">
        <v>38</v>
      </c>
      <c r="FF85" s="7"/>
      <c r="FG85" s="7"/>
      <c r="FH85" s="10" t="s">
        <v>38</v>
      </c>
      <c r="FI85" s="9"/>
      <c r="FJ85" s="9"/>
      <c r="FK85" s="10" t="s">
        <v>38</v>
      </c>
      <c r="FL85">
        <v>140</v>
      </c>
      <c r="FM85">
        <v>1300</v>
      </c>
      <c r="FN85" s="10" t="s">
        <v>38</v>
      </c>
      <c r="FO85" s="7"/>
      <c r="FP85" s="7"/>
      <c r="FQ85" s="10" t="s">
        <v>38</v>
      </c>
      <c r="FR85" s="7"/>
      <c r="FS85" s="7"/>
      <c r="FT85" s="10" t="s">
        <v>38</v>
      </c>
      <c r="FU85" s="9"/>
      <c r="FV85" s="9"/>
      <c r="FW85" s="10" t="s">
        <v>38</v>
      </c>
      <c r="FX85" s="7">
        <v>100</v>
      </c>
      <c r="FY85" s="7">
        <v>1000</v>
      </c>
      <c r="FZ85" s="10" t="s">
        <v>38</v>
      </c>
      <c r="GA85" s="7"/>
      <c r="GB85" s="7"/>
      <c r="GC85" s="10" t="s">
        <v>38</v>
      </c>
      <c r="GD85" s="7"/>
      <c r="GE85" s="7"/>
      <c r="GF85" s="10" t="s">
        <v>38</v>
      </c>
      <c r="GG85" s="7"/>
      <c r="GH85" s="7"/>
      <c r="GI85" s="10" t="s">
        <v>38</v>
      </c>
      <c r="GJ85" s="7">
        <v>143</v>
      </c>
      <c r="GK85" s="7">
        <v>1235</v>
      </c>
      <c r="GL85" s="10" t="s">
        <v>38</v>
      </c>
      <c r="GM85" s="7">
        <v>1600</v>
      </c>
      <c r="GN85" s="7">
        <v>13600</v>
      </c>
      <c r="GO85" s="10" t="s">
        <v>38</v>
      </c>
      <c r="GP85" s="7"/>
      <c r="GQ85" s="7"/>
      <c r="GR85" s="10" t="s">
        <v>38</v>
      </c>
      <c r="GS85" s="7"/>
      <c r="GT85" s="7"/>
      <c r="GU85" s="6" t="s">
        <v>38</v>
      </c>
      <c r="GV85" s="7">
        <v>175</v>
      </c>
      <c r="GW85" s="7">
        <v>1300</v>
      </c>
      <c r="GX85" s="10" t="s">
        <v>38</v>
      </c>
      <c r="GY85" s="7"/>
      <c r="GZ85" s="7"/>
      <c r="HA85" s="10" t="s">
        <v>38</v>
      </c>
      <c r="HB85" s="7"/>
      <c r="HC85" s="7"/>
      <c r="HD85" s="10" t="s">
        <v>38</v>
      </c>
      <c r="HE85" s="7"/>
      <c r="HF85" s="7"/>
      <c r="HG85" s="10" t="s">
        <v>38</v>
      </c>
      <c r="HH85" s="7">
        <v>150</v>
      </c>
      <c r="HI85" s="7">
        <v>1000</v>
      </c>
      <c r="HJ85" s="10" t="s">
        <v>38</v>
      </c>
      <c r="HK85" s="7"/>
      <c r="HL85" s="7"/>
      <c r="HM85" s="10" t="s">
        <v>38</v>
      </c>
      <c r="HN85" s="7"/>
      <c r="HO85" s="7"/>
      <c r="HP85" s="10" t="s">
        <v>38</v>
      </c>
      <c r="HQ85" s="7"/>
      <c r="HR85" s="7"/>
      <c r="HS85" s="10" t="s">
        <v>38</v>
      </c>
      <c r="HT85" s="7">
        <v>140</v>
      </c>
      <c r="HU85" s="7">
        <v>900</v>
      </c>
      <c r="HV85" s="10" t="s">
        <v>38</v>
      </c>
      <c r="HW85" s="7"/>
      <c r="HX85" s="7"/>
      <c r="HY85" s="10" t="s">
        <v>38</v>
      </c>
      <c r="HZ85" s="7"/>
      <c r="IA85" s="7"/>
      <c r="IB85" s="10" t="s">
        <v>38</v>
      </c>
      <c r="IC85" s="7"/>
      <c r="ID85" s="7"/>
      <c r="IE85" s="6" t="s">
        <v>38</v>
      </c>
      <c r="IF85" s="7">
        <v>84</v>
      </c>
      <c r="IG85" s="7">
        <v>725</v>
      </c>
      <c r="II85" s="7"/>
      <c r="IJ85" s="7"/>
      <c r="IK85" s="7"/>
      <c r="IL85" s="7"/>
      <c r="IM85" s="7"/>
      <c r="IN85" s="7"/>
      <c r="IP85" s="7"/>
      <c r="IQ85" s="7"/>
      <c r="IR85" s="7"/>
      <c r="IS85" s="7"/>
      <c r="IT85" s="7"/>
      <c r="IU85" s="7"/>
      <c r="IV85" s="7"/>
      <c r="IW85" s="7"/>
      <c r="IX85" s="7"/>
      <c r="IY85" s="7"/>
      <c r="IZ85" s="7"/>
      <c r="JA85" s="7"/>
      <c r="JB85" s="7"/>
      <c r="JC85" s="7"/>
      <c r="JE85" s="7"/>
      <c r="JF85" s="7"/>
      <c r="JH85" s="7"/>
      <c r="JI85" s="7"/>
      <c r="JJ85" s="7"/>
      <c r="JK85" s="7"/>
      <c r="JL85" s="7"/>
      <c r="JM85" s="7"/>
      <c r="JO85" s="7"/>
      <c r="JP85" s="7"/>
      <c r="JQ85" s="7"/>
      <c r="JR85" s="7"/>
      <c r="JS85" t="s">
        <v>7</v>
      </c>
      <c r="JT85" s="7">
        <v>80</v>
      </c>
      <c r="JU85" s="7">
        <v>70</v>
      </c>
      <c r="JV85" s="7">
        <v>38</v>
      </c>
      <c r="JW85" s="7">
        <v>39</v>
      </c>
      <c r="JX85" s="7"/>
    </row>
    <row r="86" spans="1:284" x14ac:dyDescent="0.3">
      <c r="A86" s="19" t="s">
        <v>143</v>
      </c>
      <c r="B86" s="10" t="s">
        <v>40</v>
      </c>
      <c r="C86" s="7"/>
      <c r="D86" s="7"/>
      <c r="E86" s="10" t="s">
        <v>40</v>
      </c>
      <c r="F86" s="7">
        <v>2</v>
      </c>
      <c r="G86" s="7">
        <v>50</v>
      </c>
      <c r="H86" s="10" t="s">
        <v>40</v>
      </c>
      <c r="I86" s="9"/>
      <c r="J86" s="9"/>
      <c r="K86" s="10" t="s">
        <v>40</v>
      </c>
      <c r="L86" s="7"/>
      <c r="M86" s="7"/>
      <c r="N86" s="10" t="s">
        <v>40</v>
      </c>
      <c r="O86" s="7"/>
      <c r="P86" s="7"/>
      <c r="Q86" s="10" t="s">
        <v>40</v>
      </c>
      <c r="R86" s="7">
        <v>10</v>
      </c>
      <c r="S86" s="7">
        <v>250</v>
      </c>
      <c r="T86" s="10" t="s">
        <v>40</v>
      </c>
      <c r="U86" s="9"/>
      <c r="V86" s="9"/>
      <c r="W86" s="10" t="s">
        <v>40</v>
      </c>
      <c r="X86" s="7"/>
      <c r="Y86" s="7"/>
      <c r="Z86" s="10" t="s">
        <v>40</v>
      </c>
      <c r="AA86" s="7"/>
      <c r="AB86" s="7"/>
      <c r="AC86" s="10" t="s">
        <v>40</v>
      </c>
      <c r="AD86" s="7">
        <v>20</v>
      </c>
      <c r="AE86" s="7">
        <v>500</v>
      </c>
      <c r="AF86" s="10" t="s">
        <v>40</v>
      </c>
      <c r="AG86" s="9"/>
      <c r="AH86" s="9"/>
      <c r="AI86" s="10" t="s">
        <v>40</v>
      </c>
      <c r="AJ86" s="7"/>
      <c r="AK86" s="7"/>
      <c r="AL86" s="10" t="s">
        <v>40</v>
      </c>
      <c r="AM86" s="7"/>
      <c r="AN86" s="7"/>
      <c r="AO86" s="10" t="s">
        <v>40</v>
      </c>
      <c r="AP86" s="7">
        <v>30</v>
      </c>
      <c r="AQ86" s="7">
        <v>600</v>
      </c>
      <c r="AR86" s="10" t="s">
        <v>40</v>
      </c>
      <c r="AS86" s="9"/>
      <c r="AT86" s="9"/>
      <c r="AU86" s="10" t="s">
        <v>40</v>
      </c>
      <c r="AV86" s="7"/>
      <c r="AW86" s="7"/>
      <c r="AX86" s="10" t="s">
        <v>40</v>
      </c>
      <c r="AY86" s="7"/>
      <c r="AZ86" s="7"/>
      <c r="BA86" s="10" t="s">
        <v>40</v>
      </c>
      <c r="BB86" s="7">
        <v>50</v>
      </c>
      <c r="BC86" s="7">
        <v>1200</v>
      </c>
      <c r="BD86" s="10" t="s">
        <v>40</v>
      </c>
      <c r="BE86" s="9"/>
      <c r="BF86" s="9"/>
      <c r="BG86" s="10" t="s">
        <v>40</v>
      </c>
      <c r="BH86" s="7"/>
      <c r="BI86" s="7"/>
      <c r="BJ86" s="10" t="s">
        <v>40</v>
      </c>
      <c r="BK86" s="7"/>
      <c r="BL86" s="7"/>
      <c r="BM86" s="10" t="s">
        <v>40</v>
      </c>
      <c r="BN86" s="7">
        <v>50</v>
      </c>
      <c r="BO86" s="7">
        <v>1000</v>
      </c>
      <c r="BP86" s="10" t="s">
        <v>40</v>
      </c>
      <c r="BQ86" s="9"/>
      <c r="BR86" s="9"/>
      <c r="BS86" s="10" t="s">
        <v>40</v>
      </c>
      <c r="BT86" s="7"/>
      <c r="BU86" s="7"/>
      <c r="BV86" s="10" t="s">
        <v>40</v>
      </c>
      <c r="BW86" s="7"/>
      <c r="BX86" s="7"/>
      <c r="BY86" s="10" t="s">
        <v>40</v>
      </c>
      <c r="BZ86" s="7">
        <v>25</v>
      </c>
      <c r="CA86" s="7">
        <v>500</v>
      </c>
      <c r="CB86" s="10" t="s">
        <v>40</v>
      </c>
      <c r="CC86" s="9"/>
      <c r="CD86" s="9"/>
      <c r="CE86" s="10" t="s">
        <v>40</v>
      </c>
      <c r="CF86" s="7"/>
      <c r="CG86" s="7"/>
      <c r="CH86" s="10" t="s">
        <v>40</v>
      </c>
      <c r="CI86" s="7"/>
      <c r="CJ86" s="7"/>
      <c r="CK86" s="10" t="s">
        <v>40</v>
      </c>
      <c r="CL86" s="7">
        <v>20</v>
      </c>
      <c r="CM86" s="7">
        <v>500</v>
      </c>
      <c r="CN86" s="10" t="s">
        <v>40</v>
      </c>
      <c r="CO86" s="9"/>
      <c r="CP86" s="9"/>
      <c r="CQ86" s="10" t="s">
        <v>40</v>
      </c>
      <c r="CR86" s="7"/>
      <c r="CS86" s="7"/>
      <c r="CT86" s="10" t="s">
        <v>40</v>
      </c>
      <c r="CU86" s="7"/>
      <c r="CV86" s="7"/>
      <c r="CW86" s="10" t="s">
        <v>40</v>
      </c>
      <c r="CX86" s="7">
        <v>5</v>
      </c>
      <c r="CY86" s="7">
        <v>100</v>
      </c>
      <c r="CZ86" s="10" t="s">
        <v>40</v>
      </c>
      <c r="DA86" s="9"/>
      <c r="DB86" s="9"/>
      <c r="DC86" s="10" t="s">
        <v>40</v>
      </c>
      <c r="DD86" s="7"/>
      <c r="DE86" s="7"/>
      <c r="DF86" s="10" t="s">
        <v>40</v>
      </c>
      <c r="DG86" s="7"/>
      <c r="DH86" s="7"/>
      <c r="DI86" s="10" t="s">
        <v>40</v>
      </c>
      <c r="DJ86" s="7">
        <v>50</v>
      </c>
      <c r="DK86" s="7">
        <v>800</v>
      </c>
      <c r="DL86" s="10" t="s">
        <v>40</v>
      </c>
      <c r="DM86" s="9"/>
      <c r="DN86" s="9"/>
      <c r="DO86" s="10" t="s">
        <v>40</v>
      </c>
      <c r="DP86" s="7"/>
      <c r="DQ86" s="7"/>
      <c r="DR86" s="10" t="s">
        <v>40</v>
      </c>
      <c r="DS86" s="7"/>
      <c r="DT86" s="7"/>
      <c r="DU86" s="10" t="s">
        <v>40</v>
      </c>
      <c r="DV86" s="7">
        <v>50</v>
      </c>
      <c r="DW86" s="7">
        <v>800</v>
      </c>
      <c r="DX86" s="10" t="s">
        <v>40</v>
      </c>
      <c r="DY86" s="9"/>
      <c r="DZ86" s="9"/>
      <c r="EA86" s="10" t="s">
        <v>40</v>
      </c>
      <c r="EB86" s="7"/>
      <c r="EC86" s="7"/>
      <c r="ED86" s="10" t="s">
        <v>40</v>
      </c>
      <c r="EE86" s="7"/>
      <c r="EF86" s="7"/>
      <c r="EG86" s="10" t="s">
        <v>40</v>
      </c>
      <c r="EH86" s="7">
        <v>50</v>
      </c>
      <c r="EI86" s="7">
        <v>800</v>
      </c>
      <c r="EJ86" s="10" t="s">
        <v>40</v>
      </c>
      <c r="EK86" s="9"/>
      <c r="EL86" s="9"/>
      <c r="EM86" s="10" t="s">
        <v>40</v>
      </c>
      <c r="EN86" s="7"/>
      <c r="EO86" s="7"/>
      <c r="EP86" s="10" t="s">
        <v>40</v>
      </c>
      <c r="EQ86" s="7"/>
      <c r="ER86" s="7"/>
      <c r="ES86" s="10" t="s">
        <v>40</v>
      </c>
      <c r="ET86" s="7">
        <v>75</v>
      </c>
      <c r="EU86" s="7">
        <v>850</v>
      </c>
      <c r="EV86" s="10" t="s">
        <v>40</v>
      </c>
      <c r="EW86" s="9"/>
      <c r="EX86" s="9"/>
      <c r="EY86" s="10" t="s">
        <v>40</v>
      </c>
      <c r="EZ86" s="7"/>
      <c r="FA86" s="7"/>
      <c r="FB86" s="10" t="s">
        <v>40</v>
      </c>
      <c r="FC86" s="7"/>
      <c r="FD86" s="7"/>
      <c r="FE86" s="10" t="s">
        <v>40</v>
      </c>
      <c r="FF86" s="7">
        <v>75</v>
      </c>
      <c r="FG86" s="7">
        <v>850</v>
      </c>
      <c r="FH86" s="10" t="s">
        <v>40</v>
      </c>
      <c r="FI86" s="9"/>
      <c r="FJ86" s="9"/>
      <c r="FK86" s="10" t="s">
        <v>40</v>
      </c>
      <c r="FL86" s="7"/>
      <c r="FM86" s="7"/>
      <c r="FN86" s="10" t="s">
        <v>40</v>
      </c>
      <c r="FO86" s="7"/>
      <c r="FP86" s="7"/>
      <c r="FQ86" s="10" t="s">
        <v>40</v>
      </c>
      <c r="FR86" s="7">
        <v>25</v>
      </c>
      <c r="FS86" s="7">
        <v>400</v>
      </c>
      <c r="FT86" s="10" t="s">
        <v>40</v>
      </c>
      <c r="FU86" s="9"/>
      <c r="FV86" s="9"/>
      <c r="FW86" s="10" t="s">
        <v>40</v>
      </c>
      <c r="FX86" s="7"/>
      <c r="FY86" s="7"/>
      <c r="FZ86" s="10" t="s">
        <v>40</v>
      </c>
      <c r="GA86" s="7"/>
      <c r="GB86" s="7"/>
      <c r="GC86" s="10" t="s">
        <v>40</v>
      </c>
      <c r="GD86" s="7">
        <v>78</v>
      </c>
      <c r="GE86" s="7">
        <v>1020</v>
      </c>
      <c r="GF86" s="10" t="s">
        <v>40</v>
      </c>
      <c r="GG86" s="7"/>
      <c r="GH86" s="7"/>
      <c r="GI86" s="10" t="s">
        <v>40</v>
      </c>
      <c r="GJ86" s="7"/>
      <c r="GK86" s="7"/>
      <c r="GL86" s="10" t="s">
        <v>40</v>
      </c>
      <c r="GM86" s="7"/>
      <c r="GN86" s="7"/>
      <c r="GO86" s="6" t="s">
        <v>40</v>
      </c>
      <c r="GP86" s="7">
        <v>125</v>
      </c>
      <c r="GQ86" s="7">
        <v>1600</v>
      </c>
      <c r="GR86" s="10"/>
      <c r="GS86" s="7"/>
      <c r="GT86" s="7"/>
      <c r="GV86" s="7"/>
      <c r="GW86" s="7"/>
      <c r="GX86" s="10" t="s">
        <v>40</v>
      </c>
      <c r="GY86" s="7"/>
      <c r="GZ86" s="7"/>
      <c r="HA86" s="10" t="s">
        <v>40</v>
      </c>
      <c r="HB86" s="7">
        <v>100</v>
      </c>
      <c r="HC86" s="7">
        <v>1200</v>
      </c>
      <c r="HD86" s="10" t="s">
        <v>40</v>
      </c>
      <c r="HE86" s="7"/>
      <c r="HF86" s="7"/>
      <c r="HG86" s="10" t="s">
        <v>40</v>
      </c>
      <c r="HH86" s="7"/>
      <c r="HI86" s="7"/>
      <c r="HJ86" s="10" t="s">
        <v>40</v>
      </c>
      <c r="HK86" s="7"/>
      <c r="HL86" s="7"/>
      <c r="HM86" s="10" t="s">
        <v>40</v>
      </c>
      <c r="HN86" s="7">
        <v>130</v>
      </c>
      <c r="HO86" s="7">
        <v>1600</v>
      </c>
      <c r="HP86" s="10" t="s">
        <v>40</v>
      </c>
      <c r="HQ86" s="7"/>
      <c r="HR86" s="7"/>
      <c r="HS86" s="10" t="s">
        <v>40</v>
      </c>
      <c r="HT86" s="7"/>
      <c r="HU86" s="7"/>
      <c r="HV86" s="10" t="s">
        <v>40</v>
      </c>
      <c r="HW86" s="7"/>
      <c r="HX86" s="7"/>
      <c r="HY86" s="6" t="s">
        <v>40</v>
      </c>
      <c r="HZ86" s="7">
        <v>70</v>
      </c>
      <c r="IA86" s="7">
        <v>1400</v>
      </c>
      <c r="IC86" s="7"/>
      <c r="ID86" s="7"/>
      <c r="IF86" s="7"/>
      <c r="IG86" s="7"/>
      <c r="II86" s="7"/>
      <c r="IJ86" s="7"/>
      <c r="IK86" s="7"/>
      <c r="IL86" s="7"/>
      <c r="IM86" s="7"/>
      <c r="IN86" s="7"/>
      <c r="IP86" s="7"/>
      <c r="IQ86" s="7"/>
      <c r="IR86" s="7"/>
      <c r="IS86" s="7"/>
      <c r="IT86" s="7"/>
      <c r="IU86" s="7"/>
      <c r="IV86" s="7"/>
      <c r="IW86" s="7"/>
      <c r="IX86" s="7"/>
      <c r="IY86" s="7"/>
      <c r="IZ86" s="7"/>
      <c r="JA86" s="7"/>
      <c r="JB86" s="7"/>
      <c r="JC86" s="7"/>
      <c r="JE86" s="7"/>
      <c r="JF86" s="7"/>
      <c r="JH86" s="7"/>
      <c r="JI86" s="7"/>
      <c r="JJ86" s="7"/>
      <c r="JK86" s="7"/>
      <c r="JL86" s="7"/>
      <c r="JM86" s="7"/>
      <c r="JO86" s="7"/>
      <c r="JP86" s="7"/>
      <c r="JQ86" s="7"/>
      <c r="JR86" s="7"/>
      <c r="JS86" t="s">
        <v>7</v>
      </c>
      <c r="JT86" s="7">
        <v>736</v>
      </c>
      <c r="JU86" s="7">
        <v>474</v>
      </c>
      <c r="JV86" s="7">
        <v>732</v>
      </c>
      <c r="JW86" s="7">
        <v>832</v>
      </c>
      <c r="JX86" s="7"/>
    </row>
    <row r="87" spans="1:284" x14ac:dyDescent="0.3">
      <c r="A87" s="19" t="s">
        <v>161</v>
      </c>
      <c r="D87" s="7"/>
      <c r="F87" s="7"/>
      <c r="G87" s="7"/>
      <c r="I87" s="10"/>
      <c r="J87" s="9"/>
      <c r="M87" s="7"/>
      <c r="P87" s="7"/>
      <c r="R87" s="7"/>
      <c r="S87" s="7"/>
      <c r="U87" s="10"/>
      <c r="V87" s="9"/>
      <c r="Y87" s="7"/>
      <c r="AB87" s="7"/>
      <c r="AD87" s="7"/>
      <c r="AE87" s="7"/>
      <c r="AG87" s="10"/>
      <c r="AH87" s="9"/>
      <c r="AK87" s="7"/>
      <c r="AN87" s="7"/>
      <c r="AP87" s="7"/>
      <c r="AQ87" s="7"/>
      <c r="AS87" s="10"/>
      <c r="AT87" s="9"/>
      <c r="AW87" s="7"/>
      <c r="AZ87" s="7"/>
      <c r="BB87" s="7"/>
      <c r="BC87" s="7"/>
      <c r="BE87" s="10"/>
      <c r="BF87" s="9"/>
      <c r="BI87" s="7"/>
      <c r="BL87" s="7"/>
      <c r="BN87" s="7"/>
      <c r="BO87" s="7"/>
      <c r="BQ87" s="10"/>
      <c r="BR87" s="9"/>
      <c r="BU87" s="7"/>
      <c r="BX87" s="7"/>
      <c r="BZ87" s="7"/>
      <c r="CA87" s="7"/>
      <c r="CC87" s="10"/>
      <c r="CD87" s="9"/>
      <c r="CG87" s="7"/>
      <c r="CJ87" s="7"/>
      <c r="CL87" s="7"/>
      <c r="CM87" s="7"/>
      <c r="CO87" s="10"/>
      <c r="CP87" s="9"/>
      <c r="CS87" s="7"/>
      <c r="CV87" s="7"/>
      <c r="CX87" s="7"/>
      <c r="CY87" s="7"/>
      <c r="DA87" s="10"/>
      <c r="DB87" s="9"/>
      <c r="DE87" s="7"/>
      <c r="DH87" s="7"/>
      <c r="DJ87" s="7"/>
      <c r="DK87" s="7"/>
      <c r="DM87" s="10"/>
      <c r="DN87" s="9"/>
      <c r="DQ87" s="7"/>
      <c r="DT87" s="7"/>
      <c r="DV87" s="7"/>
      <c r="DW87" s="7"/>
      <c r="DY87" s="10"/>
      <c r="DZ87" s="9"/>
      <c r="EC87" s="7"/>
      <c r="EF87" s="7"/>
      <c r="EH87" s="7"/>
      <c r="EI87" s="7"/>
      <c r="EK87" s="10"/>
      <c r="EL87" s="9"/>
      <c r="EO87" s="7"/>
      <c r="ER87" s="7"/>
      <c r="ET87" s="7"/>
      <c r="EU87" s="7"/>
      <c r="EW87" s="10"/>
      <c r="EX87" s="9"/>
      <c r="FA87" s="7"/>
      <c r="FD87" s="7"/>
      <c r="FF87" s="7"/>
      <c r="FG87" s="7"/>
      <c r="FI87" s="10"/>
      <c r="FJ87" s="9"/>
      <c r="FM87" s="7"/>
      <c r="FP87" s="7"/>
      <c r="FR87" s="7"/>
      <c r="FS87" s="7"/>
      <c r="FU87" s="10"/>
      <c r="FV87" s="9"/>
      <c r="FY87" s="7"/>
      <c r="GB87" s="7"/>
      <c r="GD87" s="7"/>
      <c r="GE87" s="7"/>
      <c r="GG87" s="7"/>
      <c r="GH87" s="7"/>
      <c r="GJ87" s="7"/>
      <c r="GK87" s="7"/>
      <c r="GM87" s="7"/>
      <c r="GN87" s="7"/>
      <c r="GO87" s="10"/>
      <c r="GP87" s="7"/>
      <c r="GQ87" s="7"/>
      <c r="GR87" s="10"/>
      <c r="GS87" s="7"/>
      <c r="GT87" s="7"/>
      <c r="GV87" s="7"/>
      <c r="GW87" s="7"/>
      <c r="GY87" s="7"/>
      <c r="GZ87" s="7"/>
      <c r="HB87" s="7"/>
      <c r="HC87" s="7"/>
      <c r="HE87" s="7"/>
      <c r="HF87" s="7"/>
      <c r="HH87" s="7"/>
      <c r="HI87" s="7"/>
      <c r="HK87" s="7"/>
      <c r="HL87" s="7"/>
      <c r="HN87" s="7"/>
      <c r="HO87" s="7"/>
      <c r="HQ87" s="7"/>
      <c r="HR87" s="7"/>
      <c r="HT87" s="7"/>
      <c r="HU87" s="7"/>
      <c r="HW87" s="7"/>
      <c r="HX87" s="7"/>
      <c r="HY87" s="10"/>
      <c r="HZ87" s="7"/>
      <c r="IA87" s="7"/>
      <c r="IC87" s="7"/>
      <c r="ID87" s="7"/>
      <c r="IF87" s="7"/>
      <c r="IG87" s="7"/>
      <c r="II87" s="7"/>
      <c r="IJ87" s="7"/>
      <c r="IK87" s="7"/>
      <c r="IL87" s="7"/>
      <c r="IM87" s="7"/>
      <c r="IN87" s="7"/>
      <c r="IP87" s="7"/>
      <c r="IQ87" s="7"/>
      <c r="IR87" s="7"/>
      <c r="IS87" s="7"/>
      <c r="IT87" s="7"/>
      <c r="IU87" s="7"/>
      <c r="IV87" s="7"/>
      <c r="IW87" s="7"/>
      <c r="IX87" s="7"/>
      <c r="IY87" s="7"/>
      <c r="IZ87" s="7"/>
      <c r="JA87" s="7"/>
      <c r="JB87" s="7"/>
      <c r="JC87" s="7"/>
      <c r="JE87" s="7"/>
      <c r="JF87" s="7"/>
      <c r="JH87" s="7"/>
      <c r="JI87" s="7"/>
      <c r="JJ87" s="7"/>
      <c r="JK87" s="7"/>
      <c r="JL87" s="7"/>
      <c r="JM87" s="7"/>
      <c r="JO87" s="7"/>
      <c r="JP87" s="7"/>
      <c r="JQ87" s="7"/>
      <c r="JR87" s="7"/>
      <c r="JS87" t="s">
        <v>7</v>
      </c>
      <c r="JT87" s="7">
        <v>12978</v>
      </c>
      <c r="JU87" s="7">
        <v>9577</v>
      </c>
      <c r="JV87" s="7">
        <v>11258</v>
      </c>
      <c r="JW87" s="7">
        <v>9565</v>
      </c>
      <c r="JX87" s="7"/>
    </row>
    <row r="88" spans="1:284" x14ac:dyDescent="0.3">
      <c r="A88" t="s">
        <v>258</v>
      </c>
      <c r="B88" s="10" t="s">
        <v>48</v>
      </c>
      <c r="D88" s="7"/>
      <c r="E88" s="10" t="s">
        <v>48</v>
      </c>
      <c r="F88" s="7"/>
      <c r="G88" s="7"/>
      <c r="H88" s="10" t="s">
        <v>48</v>
      </c>
      <c r="I88" s="9"/>
      <c r="J88" s="9"/>
      <c r="K88" s="10" t="s">
        <v>48</v>
      </c>
      <c r="L88" s="7"/>
      <c r="M88" s="7"/>
      <c r="N88" s="10" t="s">
        <v>48</v>
      </c>
      <c r="P88" s="7"/>
      <c r="Q88" s="10" t="s">
        <v>48</v>
      </c>
      <c r="R88" s="7"/>
      <c r="S88" s="7"/>
      <c r="T88" s="10" t="s">
        <v>48</v>
      </c>
      <c r="U88" s="9"/>
      <c r="V88" s="9"/>
      <c r="W88" s="10" t="s">
        <v>48</v>
      </c>
      <c r="X88" s="7"/>
      <c r="Y88" s="7"/>
      <c r="Z88" s="10" t="s">
        <v>48</v>
      </c>
      <c r="AB88" s="7"/>
      <c r="AC88" s="10" t="s">
        <v>48</v>
      </c>
      <c r="AD88" s="7"/>
      <c r="AE88" s="7"/>
      <c r="AF88" s="10" t="s">
        <v>48</v>
      </c>
      <c r="AG88" s="9"/>
      <c r="AH88" s="9"/>
      <c r="AI88" s="10" t="s">
        <v>48</v>
      </c>
      <c r="AJ88" s="7"/>
      <c r="AK88" s="7"/>
      <c r="AL88" s="10" t="s">
        <v>48</v>
      </c>
      <c r="AN88" s="7"/>
      <c r="AO88" s="10" t="s">
        <v>48</v>
      </c>
      <c r="AP88" s="7"/>
      <c r="AQ88" s="7"/>
      <c r="AR88" s="10" t="s">
        <v>48</v>
      </c>
      <c r="AS88" s="9"/>
      <c r="AT88" s="9"/>
      <c r="AU88" s="10" t="s">
        <v>48</v>
      </c>
      <c r="AV88" s="7"/>
      <c r="AW88" s="7"/>
      <c r="AX88" s="10" t="s">
        <v>48</v>
      </c>
      <c r="AZ88" s="7"/>
      <c r="BA88" s="10" t="s">
        <v>48</v>
      </c>
      <c r="BB88" s="7"/>
      <c r="BC88" s="7"/>
      <c r="BD88" s="10" t="s">
        <v>48</v>
      </c>
      <c r="BE88" s="9"/>
      <c r="BF88" s="9"/>
      <c r="BG88" s="10" t="s">
        <v>48</v>
      </c>
      <c r="BH88" s="7"/>
      <c r="BI88" s="7"/>
      <c r="BJ88" s="10" t="s">
        <v>48</v>
      </c>
      <c r="BL88" s="7"/>
      <c r="BM88" s="10" t="s">
        <v>48</v>
      </c>
      <c r="BN88" s="7"/>
      <c r="BO88" s="7"/>
      <c r="BP88" s="10" t="s">
        <v>48</v>
      </c>
      <c r="BQ88" s="9"/>
      <c r="BR88" s="9"/>
      <c r="BS88" s="10" t="s">
        <v>48</v>
      </c>
      <c r="BT88" s="7"/>
      <c r="BU88" s="7"/>
      <c r="BV88" s="10" t="s">
        <v>48</v>
      </c>
      <c r="BX88" s="7"/>
      <c r="BY88" s="10" t="s">
        <v>48</v>
      </c>
      <c r="BZ88" s="7"/>
      <c r="CA88" s="7"/>
      <c r="CB88" s="10" t="s">
        <v>48</v>
      </c>
      <c r="CC88" s="9"/>
      <c r="CD88" s="9"/>
      <c r="CE88" s="10" t="s">
        <v>48</v>
      </c>
      <c r="CF88" s="7"/>
      <c r="CG88" s="7"/>
      <c r="CH88" s="10" t="s">
        <v>48</v>
      </c>
      <c r="CJ88" s="7"/>
      <c r="CK88" s="10" t="s">
        <v>48</v>
      </c>
      <c r="CL88" s="7"/>
      <c r="CM88" s="7"/>
      <c r="CN88" s="10" t="s">
        <v>48</v>
      </c>
      <c r="CO88" s="9"/>
      <c r="CP88" s="9"/>
      <c r="CQ88" s="10" t="s">
        <v>48</v>
      </c>
      <c r="CR88" s="7"/>
      <c r="CS88" s="7"/>
      <c r="CT88" s="10" t="s">
        <v>48</v>
      </c>
      <c r="CV88" s="7"/>
      <c r="CW88" s="10" t="s">
        <v>48</v>
      </c>
      <c r="CX88" s="7"/>
      <c r="CY88" s="7"/>
      <c r="CZ88" s="10" t="s">
        <v>48</v>
      </c>
      <c r="DA88" s="9"/>
      <c r="DB88" s="9"/>
      <c r="DC88" s="10" t="s">
        <v>48</v>
      </c>
      <c r="DD88" s="7"/>
      <c r="DE88" s="7"/>
      <c r="DF88" s="10" t="s">
        <v>48</v>
      </c>
      <c r="DH88" s="7"/>
      <c r="DI88" s="10" t="s">
        <v>48</v>
      </c>
      <c r="DJ88" s="7"/>
      <c r="DK88" s="7"/>
      <c r="DL88" s="10" t="s">
        <v>48</v>
      </c>
      <c r="DM88" s="9"/>
      <c r="DN88" s="9"/>
      <c r="DO88" s="10" t="s">
        <v>48</v>
      </c>
      <c r="DP88" s="7"/>
      <c r="DQ88" s="7"/>
      <c r="DR88" s="10" t="s">
        <v>48</v>
      </c>
      <c r="DT88" s="7"/>
      <c r="DU88" s="10" t="s">
        <v>48</v>
      </c>
      <c r="DV88" s="7"/>
      <c r="DW88" s="7"/>
      <c r="DX88" s="10" t="s">
        <v>48</v>
      </c>
      <c r="DY88" s="9"/>
      <c r="DZ88" s="9"/>
      <c r="EA88" s="10" t="s">
        <v>48</v>
      </c>
      <c r="EB88" s="7"/>
      <c r="EC88" s="7"/>
      <c r="ED88" s="10" t="s">
        <v>48</v>
      </c>
      <c r="EF88" s="7"/>
      <c r="EG88" s="10" t="s">
        <v>48</v>
      </c>
      <c r="EH88" s="7"/>
      <c r="EI88" s="7"/>
      <c r="EJ88" s="10" t="s">
        <v>48</v>
      </c>
      <c r="EK88" s="9"/>
      <c r="EL88" s="9"/>
      <c r="EM88" s="10" t="s">
        <v>48</v>
      </c>
      <c r="EN88" s="7"/>
      <c r="EO88" s="7"/>
      <c r="EP88" s="10" t="s">
        <v>48</v>
      </c>
      <c r="ER88" s="7"/>
      <c r="ES88" s="10" t="s">
        <v>48</v>
      </c>
      <c r="ET88" s="7"/>
      <c r="EU88" s="7"/>
      <c r="EV88" s="10" t="s">
        <v>48</v>
      </c>
      <c r="EW88" s="9"/>
      <c r="EX88" s="9"/>
      <c r="EY88" s="10" t="s">
        <v>48</v>
      </c>
      <c r="EZ88" s="7"/>
      <c r="FA88" s="7"/>
      <c r="FB88" s="10" t="s">
        <v>48</v>
      </c>
      <c r="FD88" s="7"/>
      <c r="FE88" s="10" t="s">
        <v>48</v>
      </c>
      <c r="FF88" s="7"/>
      <c r="FG88" s="7"/>
      <c r="FH88" s="10" t="s">
        <v>48</v>
      </c>
      <c r="FI88" s="9"/>
      <c r="FJ88" s="9"/>
      <c r="FK88" s="10" t="s">
        <v>48</v>
      </c>
      <c r="FL88" s="7"/>
      <c r="FM88" s="7"/>
      <c r="FN88" s="10" t="s">
        <v>48</v>
      </c>
      <c r="FP88" s="7"/>
      <c r="FQ88" s="10" t="s">
        <v>48</v>
      </c>
      <c r="FR88" s="7"/>
      <c r="FS88" s="7"/>
      <c r="FT88" s="10" t="s">
        <v>48</v>
      </c>
      <c r="FU88" s="9"/>
      <c r="FV88" s="9"/>
      <c r="FW88" s="10" t="s">
        <v>48</v>
      </c>
      <c r="FX88" s="7"/>
      <c r="FY88" s="7"/>
      <c r="FZ88" s="6" t="s">
        <v>48</v>
      </c>
      <c r="GA88">
        <v>118</v>
      </c>
      <c r="GB88" s="7">
        <v>75</v>
      </c>
      <c r="GD88" s="7"/>
      <c r="GE88" s="7"/>
      <c r="GG88" s="7"/>
      <c r="GH88" s="7"/>
      <c r="GJ88" s="7"/>
      <c r="GK88" s="7"/>
      <c r="GM88" s="7"/>
      <c r="GN88" s="7"/>
      <c r="GO88" s="10"/>
      <c r="GP88" s="7"/>
      <c r="GQ88" s="7"/>
      <c r="GR88" s="10"/>
      <c r="GS88" s="7"/>
      <c r="GT88" s="7"/>
      <c r="GV88" s="7"/>
      <c r="GW88" s="7"/>
      <c r="GY88" s="7"/>
      <c r="GZ88" s="7"/>
      <c r="HB88" s="7"/>
      <c r="HC88" s="7"/>
      <c r="HE88" s="7"/>
      <c r="HF88" s="7"/>
      <c r="HH88" s="7"/>
      <c r="HI88" s="7"/>
      <c r="HK88" s="7"/>
      <c r="HL88" s="7"/>
      <c r="HN88" s="7"/>
      <c r="HO88" s="7"/>
      <c r="HQ88" s="7"/>
      <c r="HR88" s="7"/>
      <c r="HT88" s="7"/>
      <c r="HU88" s="7"/>
      <c r="HW88" s="7"/>
      <c r="HX88" s="7"/>
      <c r="HY88" s="10"/>
      <c r="HZ88" s="7"/>
      <c r="IA88" s="7"/>
      <c r="IC88" s="7"/>
      <c r="ID88" s="7"/>
      <c r="IF88" s="7"/>
      <c r="IG88" s="7"/>
      <c r="II88" s="7"/>
      <c r="IJ88" s="7"/>
      <c r="IK88" s="7"/>
      <c r="IL88" s="7"/>
      <c r="IM88" s="7"/>
      <c r="IN88" s="7"/>
      <c r="IP88" s="7"/>
      <c r="IQ88" s="7"/>
      <c r="IR88" s="7"/>
      <c r="IS88" s="7"/>
      <c r="IT88" s="7"/>
      <c r="IU88" s="7"/>
      <c r="IV88" s="7"/>
      <c r="IW88" s="7"/>
      <c r="IX88" s="7"/>
      <c r="IY88" s="7"/>
      <c r="IZ88" s="7"/>
      <c r="JA88" s="7"/>
      <c r="JB88" s="7"/>
      <c r="JC88" s="7"/>
      <c r="JE88" s="7"/>
      <c r="JF88" s="7"/>
      <c r="JH88" s="7"/>
      <c r="JI88" s="7"/>
      <c r="JJ88" s="7"/>
      <c r="JK88" s="7"/>
      <c r="JL88" s="7"/>
      <c r="JM88" s="7"/>
      <c r="JO88" s="7"/>
      <c r="JP88" s="7"/>
      <c r="JQ88" s="7"/>
      <c r="JR88" s="7"/>
      <c r="JT88" s="7"/>
      <c r="JU88" s="7"/>
      <c r="JV88" s="7"/>
      <c r="JW88" s="7"/>
      <c r="JX88" s="7"/>
    </row>
    <row r="89" spans="1:284" x14ac:dyDescent="0.3">
      <c r="A89" t="s">
        <v>259</v>
      </c>
      <c r="B89" s="10" t="s">
        <v>18</v>
      </c>
      <c r="C89" s="7"/>
      <c r="D89" s="7"/>
      <c r="E89" s="10" t="s">
        <v>18</v>
      </c>
      <c r="F89" s="7"/>
      <c r="G89" s="7"/>
      <c r="H89" s="10" t="s">
        <v>18</v>
      </c>
      <c r="I89" s="9"/>
      <c r="J89" s="9"/>
      <c r="K89" s="10" t="s">
        <v>18</v>
      </c>
      <c r="L89" s="7"/>
      <c r="M89" s="7"/>
      <c r="N89" s="10" t="s">
        <v>18</v>
      </c>
      <c r="O89" s="7"/>
      <c r="P89" s="7"/>
      <c r="Q89" s="10" t="s">
        <v>18</v>
      </c>
      <c r="R89" s="7"/>
      <c r="S89" s="7"/>
      <c r="T89" s="10" t="s">
        <v>18</v>
      </c>
      <c r="U89" s="9"/>
      <c r="V89" s="9"/>
      <c r="W89" s="10" t="s">
        <v>18</v>
      </c>
      <c r="X89" s="7"/>
      <c r="Y89" s="7"/>
      <c r="Z89" s="10" t="s">
        <v>18</v>
      </c>
      <c r="AA89" s="7"/>
      <c r="AB89" s="7"/>
      <c r="AC89" s="10" t="s">
        <v>18</v>
      </c>
      <c r="AD89" s="7"/>
      <c r="AE89" s="7"/>
      <c r="AF89" s="10" t="s">
        <v>18</v>
      </c>
      <c r="AG89" s="9"/>
      <c r="AH89" s="9"/>
      <c r="AI89" s="10" t="s">
        <v>18</v>
      </c>
      <c r="AJ89" s="7"/>
      <c r="AK89" s="7"/>
      <c r="AL89" s="10" t="s">
        <v>18</v>
      </c>
      <c r="AM89" s="7"/>
      <c r="AN89" s="7"/>
      <c r="AO89" s="10" t="s">
        <v>18</v>
      </c>
      <c r="AP89" s="7"/>
      <c r="AQ89" s="7"/>
      <c r="AR89" s="10" t="s">
        <v>18</v>
      </c>
      <c r="AS89" s="9"/>
      <c r="AT89" s="9"/>
      <c r="AU89" s="10" t="s">
        <v>18</v>
      </c>
      <c r="AV89" s="7"/>
      <c r="AW89" s="7"/>
      <c r="AX89" s="10" t="s">
        <v>18</v>
      </c>
      <c r="AY89" s="7"/>
      <c r="AZ89" s="7"/>
      <c r="BA89" s="10" t="s">
        <v>18</v>
      </c>
      <c r="BB89" s="7"/>
      <c r="BC89" s="7"/>
      <c r="BD89" s="10" t="s">
        <v>18</v>
      </c>
      <c r="BE89" s="9"/>
      <c r="BF89" s="9"/>
      <c r="BG89" s="10" t="s">
        <v>18</v>
      </c>
      <c r="BH89" s="7"/>
      <c r="BI89" s="7"/>
      <c r="BJ89" s="10" t="s">
        <v>18</v>
      </c>
      <c r="BK89" s="7"/>
      <c r="BL89" s="7"/>
      <c r="BM89" s="10" t="s">
        <v>18</v>
      </c>
      <c r="BN89" s="7"/>
      <c r="BO89" s="7"/>
      <c r="BP89" s="10" t="s">
        <v>18</v>
      </c>
      <c r="BQ89" s="9"/>
      <c r="BR89" s="9"/>
      <c r="BS89" s="10" t="s">
        <v>18</v>
      </c>
      <c r="BT89" s="7"/>
      <c r="BU89" s="7"/>
      <c r="BV89" s="10" t="s">
        <v>18</v>
      </c>
      <c r="BW89" s="7"/>
      <c r="BX89" s="7"/>
      <c r="BY89" s="10" t="s">
        <v>18</v>
      </c>
      <c r="BZ89" s="7"/>
      <c r="CA89" s="7"/>
      <c r="CB89" s="10" t="s">
        <v>18</v>
      </c>
      <c r="CC89" s="9"/>
      <c r="CD89" s="9"/>
      <c r="CE89" s="10" t="s">
        <v>18</v>
      </c>
      <c r="CF89" s="7"/>
      <c r="CG89" s="7"/>
      <c r="CH89" s="10" t="s">
        <v>18</v>
      </c>
      <c r="CI89" s="7"/>
      <c r="CJ89" s="7"/>
      <c r="CK89" s="10" t="s">
        <v>18</v>
      </c>
      <c r="CL89" s="7"/>
      <c r="CM89" s="7"/>
      <c r="CN89" s="10" t="s">
        <v>18</v>
      </c>
      <c r="CO89" s="9"/>
      <c r="CP89" s="9"/>
      <c r="CQ89" s="10" t="s">
        <v>18</v>
      </c>
      <c r="CR89" s="7"/>
      <c r="CS89" s="7"/>
      <c r="CT89" s="10" t="s">
        <v>18</v>
      </c>
      <c r="CU89" s="7"/>
      <c r="CV89" s="7"/>
      <c r="CW89" s="10" t="s">
        <v>18</v>
      </c>
      <c r="CX89" s="7"/>
      <c r="CY89" s="7"/>
      <c r="CZ89" s="10" t="s">
        <v>18</v>
      </c>
      <c r="DA89" s="9"/>
      <c r="DB89" s="9"/>
      <c r="DC89" s="10" t="s">
        <v>18</v>
      </c>
      <c r="DD89" s="7"/>
      <c r="DE89" s="7"/>
      <c r="DF89" s="10" t="s">
        <v>18</v>
      </c>
      <c r="DG89" s="7"/>
      <c r="DH89" s="7"/>
      <c r="DI89" s="10" t="s">
        <v>18</v>
      </c>
      <c r="DJ89" s="7"/>
      <c r="DK89" s="7"/>
      <c r="DL89" s="10" t="s">
        <v>18</v>
      </c>
      <c r="DM89" s="9"/>
      <c r="DN89" s="9"/>
      <c r="DO89" s="10" t="s">
        <v>18</v>
      </c>
      <c r="DP89" s="7"/>
      <c r="DQ89" s="7"/>
      <c r="DR89" s="10" t="s">
        <v>18</v>
      </c>
      <c r="DS89" s="7"/>
      <c r="DT89" s="7"/>
      <c r="DU89" s="10" t="s">
        <v>18</v>
      </c>
      <c r="DV89" s="7"/>
      <c r="DW89" s="7"/>
      <c r="DX89" s="10" t="s">
        <v>18</v>
      </c>
      <c r="DY89" s="9"/>
      <c r="DZ89" s="9"/>
      <c r="EA89" s="10" t="s">
        <v>18</v>
      </c>
      <c r="EB89" s="7"/>
      <c r="EC89" s="7"/>
      <c r="ED89" s="10" t="s">
        <v>18</v>
      </c>
      <c r="EE89" s="7"/>
      <c r="EF89" s="7"/>
      <c r="EG89" s="10" t="s">
        <v>18</v>
      </c>
      <c r="EH89" s="7"/>
      <c r="EI89" s="7"/>
      <c r="EJ89" s="10" t="s">
        <v>18</v>
      </c>
      <c r="EK89" s="9"/>
      <c r="EL89" s="9"/>
      <c r="EM89" s="10" t="s">
        <v>18</v>
      </c>
      <c r="EN89" s="7"/>
      <c r="EO89" s="7"/>
      <c r="EP89" s="10" t="s">
        <v>18</v>
      </c>
      <c r="EQ89" s="7"/>
      <c r="ER89" s="7"/>
      <c r="ES89" s="10" t="s">
        <v>18</v>
      </c>
      <c r="ET89" s="7"/>
      <c r="EU89" s="7"/>
      <c r="EV89" s="10" t="s">
        <v>18</v>
      </c>
      <c r="EW89" s="9"/>
      <c r="EX89" s="9"/>
      <c r="EY89" s="10" t="s">
        <v>18</v>
      </c>
      <c r="EZ89" s="7"/>
      <c r="FA89" s="7"/>
      <c r="FB89" s="10" t="s">
        <v>18</v>
      </c>
      <c r="FC89" s="7"/>
      <c r="FD89" s="7"/>
      <c r="FE89" s="10" t="s">
        <v>18</v>
      </c>
      <c r="FF89" s="7"/>
      <c r="FG89" s="7"/>
      <c r="FH89" s="10" t="s">
        <v>18</v>
      </c>
      <c r="FI89" s="9"/>
      <c r="FJ89" s="9"/>
      <c r="FK89" s="10" t="s">
        <v>18</v>
      </c>
      <c r="FL89" s="7"/>
      <c r="FM89" s="7"/>
      <c r="FN89" s="10" t="s">
        <v>18</v>
      </c>
      <c r="FO89" s="7"/>
      <c r="FP89" s="7"/>
      <c r="FQ89" s="10" t="s">
        <v>18</v>
      </c>
      <c r="FR89" s="7">
        <v>80000</v>
      </c>
      <c r="FS89" s="7">
        <v>1500</v>
      </c>
      <c r="FT89" s="10" t="s">
        <v>18</v>
      </c>
      <c r="FU89" s="9"/>
      <c r="FV89" s="9"/>
      <c r="FW89" s="10" t="s">
        <v>18</v>
      </c>
      <c r="FX89" s="7"/>
      <c r="FY89" s="7"/>
      <c r="FZ89" s="10" t="s">
        <v>18</v>
      </c>
      <c r="GA89" s="7">
        <v>20000</v>
      </c>
      <c r="GB89" s="7">
        <v>300</v>
      </c>
      <c r="GC89" s="10" t="s">
        <v>18</v>
      </c>
      <c r="GD89" s="7">
        <v>19000</v>
      </c>
      <c r="GE89" s="7">
        <v>400</v>
      </c>
      <c r="GF89" s="10" t="s">
        <v>18</v>
      </c>
      <c r="GG89" s="7"/>
      <c r="GH89" s="7"/>
      <c r="GI89" s="10" t="s">
        <v>18</v>
      </c>
      <c r="GJ89" s="7"/>
      <c r="GK89" s="7"/>
      <c r="GL89" s="10" t="s">
        <v>18</v>
      </c>
      <c r="GM89" s="7"/>
      <c r="GN89" s="7"/>
      <c r="GO89" s="6" t="s">
        <v>18</v>
      </c>
      <c r="GP89" s="7">
        <v>80000</v>
      </c>
      <c r="GQ89" s="7">
        <v>1500</v>
      </c>
      <c r="GR89" s="10"/>
      <c r="GS89" s="7"/>
      <c r="GT89" s="7"/>
      <c r="GV89" s="7"/>
      <c r="GW89" s="7"/>
      <c r="GX89" s="10" t="s">
        <v>18</v>
      </c>
      <c r="GY89" s="7"/>
      <c r="GZ89" s="7"/>
      <c r="HA89" s="10" t="s">
        <v>18</v>
      </c>
      <c r="HB89" s="7">
        <v>70000</v>
      </c>
      <c r="HC89" s="7">
        <v>1300</v>
      </c>
      <c r="HD89" s="10" t="s">
        <v>18</v>
      </c>
      <c r="HE89" s="7"/>
      <c r="HF89" s="7"/>
      <c r="HG89" s="10" t="s">
        <v>18</v>
      </c>
      <c r="HH89" s="7"/>
      <c r="HI89" s="7"/>
      <c r="HJ89" s="10" t="s">
        <v>18</v>
      </c>
      <c r="HK89" s="7"/>
      <c r="HL89" s="7"/>
      <c r="HM89" s="10" t="s">
        <v>18</v>
      </c>
      <c r="HN89" s="7">
        <v>8000</v>
      </c>
      <c r="HO89" s="7">
        <v>1400</v>
      </c>
      <c r="HP89" s="10" t="s">
        <v>18</v>
      </c>
      <c r="HQ89" s="7"/>
      <c r="HR89" s="7"/>
      <c r="HS89" s="10" t="s">
        <v>18</v>
      </c>
      <c r="HT89" s="7"/>
      <c r="HU89" s="7"/>
      <c r="HV89" s="10" t="s">
        <v>18</v>
      </c>
      <c r="HW89" s="7"/>
      <c r="HX89" s="7"/>
      <c r="HY89" s="6" t="s">
        <v>18</v>
      </c>
      <c r="HZ89" s="7">
        <v>9000</v>
      </c>
      <c r="IA89" s="7">
        <v>1500</v>
      </c>
      <c r="IC89" s="7"/>
      <c r="ID89" s="7"/>
      <c r="IF89" s="7"/>
      <c r="IG89" s="7"/>
      <c r="II89" s="7"/>
      <c r="IJ89" s="7"/>
      <c r="IK89" s="7"/>
      <c r="IL89" s="7"/>
      <c r="IM89" s="7"/>
      <c r="IN89" s="7"/>
      <c r="IP89" s="7"/>
      <c r="IQ89" s="7"/>
      <c r="IR89" s="7"/>
      <c r="IS89" s="7"/>
      <c r="IT89" s="7"/>
      <c r="IU89" s="7"/>
      <c r="IV89" s="7"/>
      <c r="IW89" s="7"/>
      <c r="IX89" s="7"/>
      <c r="IY89" s="7"/>
      <c r="IZ89" s="7"/>
      <c r="JA89" s="7"/>
      <c r="JB89" s="7"/>
      <c r="JC89" s="7"/>
      <c r="JE89" s="7"/>
      <c r="JF89" s="7"/>
      <c r="JH89" s="7"/>
      <c r="JI89" s="7"/>
      <c r="JJ89" s="7"/>
      <c r="JK89" s="7"/>
      <c r="JL89" s="7"/>
      <c r="JM89" s="7"/>
      <c r="JO89" s="7"/>
      <c r="JP89" s="7"/>
      <c r="JQ89" s="7"/>
      <c r="JR89" s="7"/>
      <c r="JT89" s="7"/>
      <c r="JU89" s="7"/>
      <c r="JV89" s="7"/>
      <c r="JW89" s="7"/>
      <c r="JX89" s="7"/>
    </row>
    <row r="90" spans="1:284" ht="15.6" x14ac:dyDescent="0.3">
      <c r="A90" t="s">
        <v>260</v>
      </c>
      <c r="B90" s="10" t="s">
        <v>18</v>
      </c>
      <c r="C90" s="3"/>
      <c r="D90" s="8"/>
      <c r="E90" s="10" t="s">
        <v>18</v>
      </c>
      <c r="F90" s="3"/>
      <c r="G90" s="8"/>
      <c r="H90" s="10" t="s">
        <v>18</v>
      </c>
      <c r="I90" s="9"/>
      <c r="J90" s="9"/>
      <c r="K90" s="10" t="s">
        <v>18</v>
      </c>
      <c r="L90" s="7"/>
      <c r="M90" s="7"/>
      <c r="N90" s="10" t="s">
        <v>18</v>
      </c>
      <c r="O90" s="3"/>
      <c r="P90" s="8"/>
      <c r="Q90" s="10" t="s">
        <v>18</v>
      </c>
      <c r="R90" s="3"/>
      <c r="S90" s="8"/>
      <c r="T90" s="10" t="s">
        <v>18</v>
      </c>
      <c r="U90" s="9"/>
      <c r="V90" s="9"/>
      <c r="W90" s="10" t="s">
        <v>18</v>
      </c>
      <c r="X90" s="7"/>
      <c r="Y90" s="7"/>
      <c r="Z90" s="10" t="s">
        <v>18</v>
      </c>
      <c r="AA90" s="3"/>
      <c r="AB90" s="8"/>
      <c r="AC90" s="10" t="s">
        <v>18</v>
      </c>
      <c r="AD90" s="3"/>
      <c r="AE90" s="8"/>
      <c r="AF90" s="10" t="s">
        <v>18</v>
      </c>
      <c r="AG90" s="9"/>
      <c r="AH90" s="9"/>
      <c r="AI90" s="10" t="s">
        <v>18</v>
      </c>
      <c r="AJ90" s="7"/>
      <c r="AK90" s="7"/>
      <c r="AL90" s="10" t="s">
        <v>18</v>
      </c>
      <c r="AM90" s="3"/>
      <c r="AN90" s="8"/>
      <c r="AO90" s="10" t="s">
        <v>18</v>
      </c>
      <c r="AP90" s="3"/>
      <c r="AQ90" s="8"/>
      <c r="AR90" s="10" t="s">
        <v>18</v>
      </c>
      <c r="AS90" s="9"/>
      <c r="AT90" s="9"/>
      <c r="AU90" s="10" t="s">
        <v>18</v>
      </c>
      <c r="AV90" s="7"/>
      <c r="AW90" s="7"/>
      <c r="AX90" s="10" t="s">
        <v>18</v>
      </c>
      <c r="AY90" s="3"/>
      <c r="AZ90" s="8"/>
      <c r="BA90" s="10" t="s">
        <v>18</v>
      </c>
      <c r="BB90" s="3"/>
      <c r="BC90" s="8"/>
      <c r="BD90" s="10" t="s">
        <v>18</v>
      </c>
      <c r="BE90" s="9"/>
      <c r="BF90" s="9"/>
      <c r="BG90" s="10" t="s">
        <v>18</v>
      </c>
      <c r="BH90" s="7"/>
      <c r="BI90" s="7"/>
      <c r="BJ90" s="10" t="s">
        <v>18</v>
      </c>
      <c r="BK90" s="3"/>
      <c r="BL90" s="8"/>
      <c r="BM90" s="10" t="s">
        <v>18</v>
      </c>
      <c r="BN90" s="3"/>
      <c r="BO90" s="8"/>
      <c r="BP90" s="10" t="s">
        <v>18</v>
      </c>
      <c r="BQ90" s="9"/>
      <c r="BR90" s="9"/>
      <c r="BS90" s="10" t="s">
        <v>18</v>
      </c>
      <c r="BT90" s="7"/>
      <c r="BU90" s="7"/>
      <c r="BV90" s="10" t="s">
        <v>18</v>
      </c>
      <c r="BW90" s="3"/>
      <c r="BX90" s="8"/>
      <c r="BY90" s="10" t="s">
        <v>18</v>
      </c>
      <c r="BZ90" s="3"/>
      <c r="CA90" s="8"/>
      <c r="CB90" s="10" t="s">
        <v>18</v>
      </c>
      <c r="CC90" s="9"/>
      <c r="CD90" s="9"/>
      <c r="CE90" s="10" t="s">
        <v>18</v>
      </c>
      <c r="CF90" s="7"/>
      <c r="CG90" s="7"/>
      <c r="CH90" s="10" t="s">
        <v>18</v>
      </c>
      <c r="CI90" s="3"/>
      <c r="CJ90" s="8"/>
      <c r="CK90" s="10" t="s">
        <v>18</v>
      </c>
      <c r="CL90" s="3"/>
      <c r="CM90" s="8"/>
      <c r="CN90" s="10" t="s">
        <v>18</v>
      </c>
      <c r="CO90" s="9"/>
      <c r="CP90" s="9"/>
      <c r="CQ90" s="10" t="s">
        <v>18</v>
      </c>
      <c r="CR90" s="7"/>
      <c r="CS90" s="7"/>
      <c r="CT90" s="10" t="s">
        <v>18</v>
      </c>
      <c r="CU90" s="3"/>
      <c r="CV90" s="8"/>
      <c r="CW90" s="10" t="s">
        <v>18</v>
      </c>
      <c r="CX90" s="3"/>
      <c r="CY90" s="8"/>
      <c r="CZ90" s="10" t="s">
        <v>18</v>
      </c>
      <c r="DA90" s="9"/>
      <c r="DB90" s="9"/>
      <c r="DC90" s="10" t="s">
        <v>18</v>
      </c>
      <c r="DD90" s="7"/>
      <c r="DE90" s="7"/>
      <c r="DF90" s="10" t="s">
        <v>18</v>
      </c>
      <c r="DG90" s="3"/>
      <c r="DH90" s="8"/>
      <c r="DI90" s="10" t="s">
        <v>18</v>
      </c>
      <c r="DJ90" s="3"/>
      <c r="DK90" s="8"/>
      <c r="DL90" s="10" t="s">
        <v>18</v>
      </c>
      <c r="DM90" s="9"/>
      <c r="DN90" s="9"/>
      <c r="DO90" s="10" t="s">
        <v>18</v>
      </c>
      <c r="DP90" s="7"/>
      <c r="DQ90" s="7"/>
      <c r="DR90" s="10" t="s">
        <v>18</v>
      </c>
      <c r="DS90" s="3"/>
      <c r="DT90" s="8"/>
      <c r="DU90" s="10" t="s">
        <v>18</v>
      </c>
      <c r="DV90" s="3"/>
      <c r="DW90" s="8"/>
      <c r="DX90" s="10" t="s">
        <v>18</v>
      </c>
      <c r="DY90" s="9"/>
      <c r="DZ90" s="9"/>
      <c r="EA90" s="10" t="s">
        <v>18</v>
      </c>
      <c r="EB90" s="7"/>
      <c r="EC90" s="7"/>
      <c r="ED90" s="10" t="s">
        <v>18</v>
      </c>
      <c r="EE90" s="3"/>
      <c r="EF90" s="8"/>
      <c r="EG90" s="10" t="s">
        <v>18</v>
      </c>
      <c r="EH90" s="3"/>
      <c r="EI90" s="8"/>
      <c r="EJ90" s="10" t="s">
        <v>18</v>
      </c>
      <c r="EK90" s="9"/>
      <c r="EL90" s="9"/>
      <c r="EM90" s="10" t="s">
        <v>18</v>
      </c>
      <c r="EN90" s="7"/>
      <c r="EO90" s="7"/>
      <c r="EP90" s="10" t="s">
        <v>18</v>
      </c>
      <c r="EQ90" s="3"/>
      <c r="ER90" s="8"/>
      <c r="ES90" s="10" t="s">
        <v>18</v>
      </c>
      <c r="ET90" s="3"/>
      <c r="EU90" s="8"/>
      <c r="EV90" s="10" t="s">
        <v>18</v>
      </c>
      <c r="EW90" s="9"/>
      <c r="EX90" s="9"/>
      <c r="EY90" s="10" t="s">
        <v>18</v>
      </c>
      <c r="EZ90" s="7"/>
      <c r="FA90" s="7"/>
      <c r="FB90" s="10" t="s">
        <v>18</v>
      </c>
      <c r="FC90" s="3"/>
      <c r="FD90" s="8"/>
      <c r="FE90" s="10" t="s">
        <v>18</v>
      </c>
      <c r="FF90" s="3"/>
      <c r="FG90" s="8"/>
      <c r="FH90" s="10" t="s">
        <v>18</v>
      </c>
      <c r="FI90" s="9"/>
      <c r="FJ90" s="9"/>
      <c r="FK90" s="10" t="s">
        <v>18</v>
      </c>
      <c r="FL90" s="7"/>
      <c r="FM90" s="7"/>
      <c r="FN90" s="10" t="s">
        <v>18</v>
      </c>
      <c r="FO90" s="3"/>
      <c r="FP90" s="8"/>
      <c r="FQ90" s="10" t="s">
        <v>18</v>
      </c>
      <c r="FR90" s="3"/>
      <c r="FS90" s="8"/>
      <c r="FT90" s="10" t="s">
        <v>18</v>
      </c>
      <c r="FU90" s="9"/>
      <c r="FV90" s="9"/>
      <c r="FW90" s="10" t="s">
        <v>18</v>
      </c>
      <c r="FX90" s="7">
        <v>20000</v>
      </c>
      <c r="FY90" s="7">
        <v>400</v>
      </c>
      <c r="FZ90" s="10" t="s">
        <v>18</v>
      </c>
      <c r="GA90" s="3"/>
      <c r="GB90" s="8"/>
      <c r="GC90" s="10" t="s">
        <v>18</v>
      </c>
      <c r="GD90" s="3"/>
      <c r="GE90" s="8"/>
      <c r="GF90" s="10" t="s">
        <v>18</v>
      </c>
      <c r="GG90" s="3"/>
      <c r="GH90" s="8"/>
      <c r="GI90" s="10" t="s">
        <v>18</v>
      </c>
      <c r="GJ90" s="3">
        <v>30000</v>
      </c>
      <c r="GK90" s="8">
        <v>600</v>
      </c>
      <c r="GL90" s="10" t="s">
        <v>18</v>
      </c>
      <c r="GM90" s="7"/>
      <c r="GN90" s="7"/>
      <c r="GO90" s="10" t="s">
        <v>18</v>
      </c>
      <c r="GP90" s="7"/>
      <c r="GQ90" s="7"/>
      <c r="GR90" s="10" t="s">
        <v>18</v>
      </c>
      <c r="GS90" s="7"/>
      <c r="GT90" s="7"/>
      <c r="GU90" s="6" t="s">
        <v>18</v>
      </c>
      <c r="GV90" s="3">
        <v>10100</v>
      </c>
      <c r="GW90" s="8">
        <v>1820</v>
      </c>
      <c r="GX90" s="10" t="s">
        <v>18</v>
      </c>
      <c r="GY90" s="7"/>
      <c r="GZ90" s="7"/>
      <c r="HA90" s="10" t="s">
        <v>18</v>
      </c>
      <c r="HB90" s="7"/>
      <c r="HC90" s="7"/>
      <c r="HD90" s="10" t="s">
        <v>18</v>
      </c>
      <c r="HE90" s="3"/>
      <c r="HF90" s="8"/>
      <c r="HG90" s="10" t="s">
        <v>18</v>
      </c>
      <c r="HH90" s="3">
        <v>8000</v>
      </c>
      <c r="HI90" s="8">
        <v>1500</v>
      </c>
      <c r="HJ90" s="10" t="s">
        <v>18</v>
      </c>
      <c r="HK90" s="7"/>
      <c r="HL90" s="7"/>
      <c r="HM90" s="10" t="s">
        <v>18</v>
      </c>
      <c r="HN90" s="7"/>
      <c r="HO90" s="7"/>
      <c r="HP90" s="10" t="s">
        <v>18</v>
      </c>
      <c r="HQ90" s="3"/>
      <c r="HR90" s="8"/>
      <c r="HS90" s="10" t="s">
        <v>18</v>
      </c>
      <c r="HT90" s="3">
        <v>8200</v>
      </c>
      <c r="HU90" s="8">
        <v>1500</v>
      </c>
      <c r="HV90" s="10" t="s">
        <v>18</v>
      </c>
      <c r="HW90" s="7"/>
      <c r="HX90" s="7"/>
      <c r="HY90" s="10" t="s">
        <v>18</v>
      </c>
      <c r="HZ90" s="7"/>
      <c r="IA90" s="7"/>
      <c r="IB90" s="10" t="s">
        <v>18</v>
      </c>
      <c r="IC90" s="3"/>
      <c r="ID90" s="8"/>
      <c r="IE90" s="6" t="s">
        <v>18</v>
      </c>
      <c r="IF90" s="3">
        <v>7500</v>
      </c>
      <c r="IG90" s="8">
        <v>1060</v>
      </c>
      <c r="IH90" s="10"/>
      <c r="II90" s="3"/>
      <c r="IJ90" s="8"/>
      <c r="IK90" s="3"/>
      <c r="IL90" s="8"/>
      <c r="IM90" s="3"/>
      <c r="IN90" s="8"/>
      <c r="IO90" s="10"/>
      <c r="IP90" s="3"/>
      <c r="IQ90" s="8"/>
      <c r="IR90" s="3"/>
      <c r="IS90" s="8"/>
      <c r="IT90" s="3"/>
      <c r="IU90" s="8"/>
      <c r="IV90" s="3"/>
      <c r="IW90" s="8"/>
      <c r="IX90" s="3"/>
      <c r="IY90" s="8"/>
      <c r="IZ90" s="3"/>
      <c r="JA90" s="8"/>
      <c r="JB90" s="3"/>
      <c r="JC90" s="8"/>
      <c r="JD90" s="12"/>
      <c r="JE90" s="11"/>
      <c r="JF90" s="8"/>
      <c r="JG90" s="12"/>
      <c r="JH90" s="11"/>
      <c r="JI90" s="8"/>
      <c r="JJ90" s="3"/>
      <c r="JK90" s="8"/>
      <c r="JL90" s="3"/>
      <c r="JM90" s="8"/>
      <c r="JN90" s="10"/>
      <c r="JO90" s="7"/>
      <c r="JP90" s="7"/>
      <c r="JQ90" s="7"/>
      <c r="JR90" s="7"/>
      <c r="JS90" s="10"/>
      <c r="JT90" s="7"/>
      <c r="JU90" s="7"/>
      <c r="JV90" s="7"/>
      <c r="JW90" s="7"/>
    </row>
    <row r="91" spans="1:284" ht="15.6" x14ac:dyDescent="0.3">
      <c r="A91" t="s">
        <v>261</v>
      </c>
      <c r="B91" s="10" t="s">
        <v>39</v>
      </c>
      <c r="C91" s="3"/>
      <c r="D91" s="8"/>
      <c r="E91" s="10" t="s">
        <v>39</v>
      </c>
      <c r="F91" s="3"/>
      <c r="G91" s="8"/>
      <c r="H91" s="10" t="s">
        <v>39</v>
      </c>
      <c r="I91" s="9"/>
      <c r="J91" s="9"/>
      <c r="K91" s="10" t="s">
        <v>39</v>
      </c>
      <c r="L91" s="7"/>
      <c r="M91" s="7"/>
      <c r="N91" s="10" t="s">
        <v>39</v>
      </c>
      <c r="O91" s="3"/>
      <c r="P91" s="8"/>
      <c r="Q91" s="10" t="s">
        <v>39</v>
      </c>
      <c r="R91" s="3"/>
      <c r="S91" s="8"/>
      <c r="T91" s="10" t="s">
        <v>39</v>
      </c>
      <c r="U91" s="9"/>
      <c r="V91" s="9"/>
      <c r="W91" s="10" t="s">
        <v>39</v>
      </c>
      <c r="X91" s="7"/>
      <c r="Y91" s="7"/>
      <c r="Z91" s="10" t="s">
        <v>39</v>
      </c>
      <c r="AA91" s="3"/>
      <c r="AB91" s="8"/>
      <c r="AC91" s="10" t="s">
        <v>39</v>
      </c>
      <c r="AD91" s="3"/>
      <c r="AE91" s="8"/>
      <c r="AF91" s="10" t="s">
        <v>39</v>
      </c>
      <c r="AG91" s="9"/>
      <c r="AH91" s="9"/>
      <c r="AI91" s="10" t="s">
        <v>39</v>
      </c>
      <c r="AJ91" s="7"/>
      <c r="AK91" s="7"/>
      <c r="AL91" s="10" t="s">
        <v>39</v>
      </c>
      <c r="AM91" s="3"/>
      <c r="AN91" s="8"/>
      <c r="AO91" s="10" t="s">
        <v>39</v>
      </c>
      <c r="AP91" s="3"/>
      <c r="AQ91" s="8"/>
      <c r="AR91" s="10" t="s">
        <v>39</v>
      </c>
      <c r="AS91" s="9"/>
      <c r="AT91" s="9"/>
      <c r="AU91" s="10" t="s">
        <v>39</v>
      </c>
      <c r="AV91" s="7"/>
      <c r="AW91" s="7"/>
      <c r="AX91" s="10" t="s">
        <v>39</v>
      </c>
      <c r="AY91" s="3"/>
      <c r="AZ91" s="8"/>
      <c r="BA91" s="10" t="s">
        <v>39</v>
      </c>
      <c r="BB91" s="3"/>
      <c r="BC91" s="8"/>
      <c r="BD91" s="10" t="s">
        <v>39</v>
      </c>
      <c r="BE91" s="9"/>
      <c r="BF91" s="9"/>
      <c r="BG91" s="10" t="s">
        <v>39</v>
      </c>
      <c r="BH91" s="7"/>
      <c r="BI91" s="7"/>
      <c r="BJ91" s="10" t="s">
        <v>39</v>
      </c>
      <c r="BK91" s="3"/>
      <c r="BL91" s="8"/>
      <c r="BM91" s="10" t="s">
        <v>39</v>
      </c>
      <c r="BN91" s="3"/>
      <c r="BO91" s="8"/>
      <c r="BP91" s="10" t="s">
        <v>39</v>
      </c>
      <c r="BQ91" s="9"/>
      <c r="BR91" s="9"/>
      <c r="BS91" s="10" t="s">
        <v>39</v>
      </c>
      <c r="BT91" s="7"/>
      <c r="BU91" s="7"/>
      <c r="BV91" s="10" t="s">
        <v>39</v>
      </c>
      <c r="BW91" s="3"/>
      <c r="BX91" s="8"/>
      <c r="BY91" s="10" t="s">
        <v>39</v>
      </c>
      <c r="BZ91" s="3"/>
      <c r="CA91" s="8"/>
      <c r="CB91" s="10" t="s">
        <v>39</v>
      </c>
      <c r="CC91" s="9"/>
      <c r="CD91" s="9"/>
      <c r="CE91" s="10" t="s">
        <v>39</v>
      </c>
      <c r="CF91" s="7"/>
      <c r="CG91" s="7"/>
      <c r="CH91" s="10" t="s">
        <v>39</v>
      </c>
      <c r="CI91" s="3"/>
      <c r="CJ91" s="8"/>
      <c r="CK91" s="10" t="s">
        <v>39</v>
      </c>
      <c r="CL91" s="3"/>
      <c r="CM91" s="8"/>
      <c r="CN91" s="10" t="s">
        <v>39</v>
      </c>
      <c r="CO91" s="9"/>
      <c r="CP91" s="9"/>
      <c r="CQ91" s="10" t="s">
        <v>39</v>
      </c>
      <c r="CR91" s="7"/>
      <c r="CS91" s="7"/>
      <c r="CT91" s="10" t="s">
        <v>39</v>
      </c>
      <c r="CU91" s="3"/>
      <c r="CV91" s="8"/>
      <c r="CW91" s="10" t="s">
        <v>39</v>
      </c>
      <c r="CX91" s="3"/>
      <c r="CY91" s="8"/>
      <c r="CZ91" s="10" t="s">
        <v>39</v>
      </c>
      <c r="DA91" s="9"/>
      <c r="DB91" s="9"/>
      <c r="DC91" s="10" t="s">
        <v>39</v>
      </c>
      <c r="DD91" s="7"/>
      <c r="DE91" s="7"/>
      <c r="DF91" s="10" t="s">
        <v>39</v>
      </c>
      <c r="DG91" s="3"/>
      <c r="DH91" s="8"/>
      <c r="DI91" s="10" t="s">
        <v>39</v>
      </c>
      <c r="DJ91" s="3"/>
      <c r="DK91" s="8"/>
      <c r="DL91" s="10" t="s">
        <v>39</v>
      </c>
      <c r="DM91" s="9"/>
      <c r="DN91" s="9"/>
      <c r="DO91" s="10" t="s">
        <v>39</v>
      </c>
      <c r="DP91" s="7"/>
      <c r="DQ91" s="7"/>
      <c r="DR91" s="10" t="s">
        <v>39</v>
      </c>
      <c r="DS91" s="3"/>
      <c r="DT91" s="8"/>
      <c r="DU91" s="10" t="s">
        <v>39</v>
      </c>
      <c r="DV91" s="3"/>
      <c r="DW91" s="8"/>
      <c r="DX91" s="10" t="s">
        <v>39</v>
      </c>
      <c r="DY91" s="9"/>
      <c r="DZ91" s="9"/>
      <c r="EA91" s="10" t="s">
        <v>39</v>
      </c>
      <c r="EB91" s="7"/>
      <c r="EC91" s="7"/>
      <c r="ED91" s="10" t="s">
        <v>39</v>
      </c>
      <c r="EE91" s="3"/>
      <c r="EF91" s="8"/>
      <c r="EG91" s="10" t="s">
        <v>39</v>
      </c>
      <c r="EH91" s="3"/>
      <c r="EI91" s="8"/>
      <c r="EJ91" s="10" t="s">
        <v>39</v>
      </c>
      <c r="EK91" s="9"/>
      <c r="EL91" s="9"/>
      <c r="EM91" s="10" t="s">
        <v>39</v>
      </c>
      <c r="EN91" s="7"/>
      <c r="EO91" s="7"/>
      <c r="EP91" s="10" t="s">
        <v>39</v>
      </c>
      <c r="EQ91" s="3"/>
      <c r="ER91" s="8"/>
      <c r="ES91" s="10" t="s">
        <v>39</v>
      </c>
      <c r="ET91" s="3"/>
      <c r="EU91" s="8"/>
      <c r="EV91" s="10" t="s">
        <v>39</v>
      </c>
      <c r="EW91" s="9"/>
      <c r="EX91" s="9"/>
      <c r="EY91" s="10" t="s">
        <v>39</v>
      </c>
      <c r="EZ91" s="7"/>
      <c r="FA91" s="7"/>
      <c r="FB91" s="10" t="s">
        <v>39</v>
      </c>
      <c r="FC91" s="3"/>
      <c r="FD91" s="8"/>
      <c r="FE91" s="10" t="s">
        <v>39</v>
      </c>
      <c r="FF91" s="3"/>
      <c r="FG91" s="8"/>
      <c r="FH91" s="10" t="s">
        <v>39</v>
      </c>
      <c r="FI91" s="9"/>
      <c r="FJ91" s="9"/>
      <c r="FK91" s="10" t="s">
        <v>39</v>
      </c>
      <c r="FL91" s="7"/>
      <c r="FM91" s="7"/>
      <c r="FN91" s="10" t="s">
        <v>39</v>
      </c>
      <c r="FO91" s="3"/>
      <c r="FP91" s="8"/>
      <c r="FQ91" s="10" t="s">
        <v>39</v>
      </c>
      <c r="FR91" s="3"/>
      <c r="FS91" s="8"/>
      <c r="FT91" s="10" t="s">
        <v>39</v>
      </c>
      <c r="FU91" s="9"/>
      <c r="FV91" s="9"/>
      <c r="FW91" s="10" t="s">
        <v>39</v>
      </c>
      <c r="FX91" s="7">
        <v>170</v>
      </c>
      <c r="FY91" s="7">
        <v>1000</v>
      </c>
      <c r="FZ91" s="10" t="s">
        <v>39</v>
      </c>
      <c r="GA91" s="3"/>
      <c r="GB91" s="8"/>
      <c r="GC91" s="10" t="s">
        <v>39</v>
      </c>
      <c r="GD91" s="3"/>
      <c r="GE91" s="8"/>
      <c r="GF91" s="10" t="s">
        <v>39</v>
      </c>
      <c r="GG91" s="3"/>
      <c r="GH91" s="8"/>
      <c r="GI91" s="10" t="s">
        <v>39</v>
      </c>
      <c r="GJ91" s="3">
        <v>164</v>
      </c>
      <c r="GK91" s="8">
        <v>1221</v>
      </c>
      <c r="GL91" s="10" t="s">
        <v>39</v>
      </c>
      <c r="GM91" s="7"/>
      <c r="GN91" s="7"/>
      <c r="GO91" s="10" t="s">
        <v>39</v>
      </c>
      <c r="GP91" s="7"/>
      <c r="GQ91" s="7"/>
      <c r="GR91" s="10" t="s">
        <v>39</v>
      </c>
      <c r="GS91" s="7"/>
      <c r="GT91" s="7"/>
      <c r="GU91" s="6" t="s">
        <v>39</v>
      </c>
      <c r="GV91" s="3">
        <v>307</v>
      </c>
      <c r="GW91" s="8">
        <v>650</v>
      </c>
      <c r="GX91" s="10" t="s">
        <v>39</v>
      </c>
      <c r="GY91" s="7"/>
      <c r="GZ91" s="7"/>
      <c r="HA91" s="10" t="s">
        <v>39</v>
      </c>
      <c r="HB91" s="7"/>
      <c r="HC91" s="7"/>
      <c r="HD91" s="10" t="s">
        <v>39</v>
      </c>
      <c r="HE91" s="3"/>
      <c r="HF91" s="8"/>
      <c r="HG91" s="6" t="s">
        <v>39</v>
      </c>
      <c r="HH91" s="3">
        <v>300</v>
      </c>
      <c r="HI91" s="8">
        <v>600</v>
      </c>
      <c r="HJ91" s="10" t="s">
        <v>38</v>
      </c>
      <c r="HK91" s="7"/>
      <c r="HL91" s="7"/>
      <c r="HM91" s="10" t="s">
        <v>38</v>
      </c>
      <c r="HN91" s="7"/>
      <c r="HO91" s="7"/>
      <c r="HP91" s="10" t="s">
        <v>38</v>
      </c>
      <c r="HQ91" s="3"/>
      <c r="HR91" s="8"/>
      <c r="HS91" s="6" t="s">
        <v>38</v>
      </c>
      <c r="HT91" s="3">
        <v>13</v>
      </c>
      <c r="HU91" s="8">
        <v>80</v>
      </c>
      <c r="HV91" s="10" t="s">
        <v>39</v>
      </c>
      <c r="HW91" s="7"/>
      <c r="HX91" s="7"/>
      <c r="HY91" s="10" t="s">
        <v>39</v>
      </c>
      <c r="HZ91" s="7"/>
      <c r="IA91" s="7"/>
      <c r="IB91" s="10" t="s">
        <v>38</v>
      </c>
      <c r="IC91" s="3"/>
      <c r="ID91" s="8"/>
      <c r="IE91" s="6" t="s">
        <v>38</v>
      </c>
      <c r="IF91" s="3">
        <v>112</v>
      </c>
      <c r="IG91" s="8">
        <v>780</v>
      </c>
      <c r="IH91" s="10"/>
      <c r="II91" s="3"/>
      <c r="IJ91" s="8"/>
      <c r="IK91" s="3"/>
      <c r="IL91" s="8"/>
      <c r="IM91" s="3"/>
      <c r="IN91" s="8"/>
      <c r="IO91" s="10"/>
      <c r="IP91" s="3"/>
      <c r="IQ91" s="8"/>
      <c r="IR91" s="3"/>
      <c r="IS91" s="8"/>
      <c r="IT91" s="3"/>
      <c r="IU91" s="8"/>
      <c r="IV91" s="3"/>
      <c r="IW91" s="8"/>
      <c r="IX91" s="3"/>
      <c r="IY91" s="8"/>
      <c r="IZ91" s="3"/>
      <c r="JA91" s="8"/>
      <c r="JB91" s="3"/>
      <c r="JC91" s="8"/>
      <c r="JD91" s="12"/>
      <c r="JE91" s="11"/>
      <c r="JF91" s="8"/>
      <c r="JG91" s="12"/>
      <c r="JH91" s="11"/>
      <c r="JI91" s="8"/>
      <c r="JJ91" s="3"/>
      <c r="JK91" s="8"/>
      <c r="JL91" s="3"/>
      <c r="JM91" s="8"/>
      <c r="JN91" s="10"/>
      <c r="JO91" s="7"/>
      <c r="JP91" s="7"/>
      <c r="JQ91" s="7"/>
      <c r="JR91" s="7"/>
      <c r="JS91" s="10"/>
      <c r="JT91" s="7"/>
      <c r="JU91" s="7"/>
      <c r="JV91" s="7"/>
      <c r="JW91" s="7"/>
    </row>
    <row r="92" spans="1:284" x14ac:dyDescent="0.3">
      <c r="A92" t="s">
        <v>262</v>
      </c>
      <c r="B92" s="10" t="s">
        <v>39</v>
      </c>
      <c r="C92" s="7"/>
      <c r="D92" s="7"/>
      <c r="E92" s="10" t="s">
        <v>39</v>
      </c>
      <c r="F92" s="7"/>
      <c r="G92" s="7"/>
      <c r="H92" s="10" t="s">
        <v>39</v>
      </c>
      <c r="I92" s="9"/>
      <c r="J92" s="9"/>
      <c r="K92" s="10" t="s">
        <v>39</v>
      </c>
      <c r="L92" s="7"/>
      <c r="M92" s="7"/>
      <c r="N92" s="10" t="s">
        <v>39</v>
      </c>
      <c r="O92" s="7"/>
      <c r="P92" s="7"/>
      <c r="Q92" s="10" t="s">
        <v>39</v>
      </c>
      <c r="R92" s="7"/>
      <c r="S92" s="7"/>
      <c r="T92" s="10" t="s">
        <v>39</v>
      </c>
      <c r="U92" s="9"/>
      <c r="V92" s="9"/>
      <c r="W92" s="10" t="s">
        <v>39</v>
      </c>
      <c r="X92" s="7"/>
      <c r="Y92" s="7"/>
      <c r="Z92" s="10" t="s">
        <v>39</v>
      </c>
      <c r="AA92" s="7"/>
      <c r="AB92" s="7"/>
      <c r="AC92" s="10" t="s">
        <v>39</v>
      </c>
      <c r="AD92" s="7"/>
      <c r="AE92" s="7"/>
      <c r="AF92" s="10" t="s">
        <v>39</v>
      </c>
      <c r="AG92" s="9"/>
      <c r="AH92" s="9"/>
      <c r="AI92" s="10" t="s">
        <v>39</v>
      </c>
      <c r="AJ92" s="7"/>
      <c r="AK92" s="7"/>
      <c r="AL92" s="10" t="s">
        <v>39</v>
      </c>
      <c r="AM92" s="7"/>
      <c r="AN92" s="7"/>
      <c r="AO92" s="10" t="s">
        <v>39</v>
      </c>
      <c r="AP92" s="7"/>
      <c r="AQ92" s="7"/>
      <c r="AR92" s="10" t="s">
        <v>39</v>
      </c>
      <c r="AS92" s="9"/>
      <c r="AT92" s="9"/>
      <c r="AU92" s="10" t="s">
        <v>39</v>
      </c>
      <c r="AV92" s="7"/>
      <c r="AW92" s="7"/>
      <c r="AX92" s="10" t="s">
        <v>39</v>
      </c>
      <c r="AY92" s="7"/>
      <c r="AZ92" s="7"/>
      <c r="BA92" s="10" t="s">
        <v>39</v>
      </c>
      <c r="BB92" s="7"/>
      <c r="BC92" s="7"/>
      <c r="BD92" s="10" t="s">
        <v>39</v>
      </c>
      <c r="BE92" s="9"/>
      <c r="BF92" s="9"/>
      <c r="BG92" s="10" t="s">
        <v>39</v>
      </c>
      <c r="BH92" s="7"/>
      <c r="BI92" s="7"/>
      <c r="BJ92" s="10" t="s">
        <v>39</v>
      </c>
      <c r="BK92" s="7"/>
      <c r="BL92" s="7"/>
      <c r="BM92" s="10" t="s">
        <v>39</v>
      </c>
      <c r="BN92" s="7"/>
      <c r="BO92" s="7"/>
      <c r="BP92" s="10" t="s">
        <v>39</v>
      </c>
      <c r="BQ92" s="9"/>
      <c r="BR92" s="9"/>
      <c r="BS92" s="10" t="s">
        <v>39</v>
      </c>
      <c r="BT92" s="7"/>
      <c r="BU92" s="7"/>
      <c r="BV92" s="10" t="s">
        <v>39</v>
      </c>
      <c r="BW92" s="7"/>
      <c r="BX92" s="7"/>
      <c r="BY92" s="10" t="s">
        <v>39</v>
      </c>
      <c r="BZ92" s="7"/>
      <c r="CA92" s="7"/>
      <c r="CB92" s="10" t="s">
        <v>39</v>
      </c>
      <c r="CC92" s="9"/>
      <c r="CD92" s="9"/>
      <c r="CE92" s="10" t="s">
        <v>39</v>
      </c>
      <c r="CF92" s="7"/>
      <c r="CG92" s="7"/>
      <c r="CH92" s="10" t="s">
        <v>39</v>
      </c>
      <c r="CI92" s="7"/>
      <c r="CJ92" s="7"/>
      <c r="CK92" s="10" t="s">
        <v>39</v>
      </c>
      <c r="CL92" s="7"/>
      <c r="CM92" s="7"/>
      <c r="CN92" s="10" t="s">
        <v>39</v>
      </c>
      <c r="CO92" s="9"/>
      <c r="CP92" s="9"/>
      <c r="CQ92" s="10" t="s">
        <v>39</v>
      </c>
      <c r="CR92" s="7"/>
      <c r="CS92" s="7"/>
      <c r="CT92" s="10" t="s">
        <v>39</v>
      </c>
      <c r="CU92" s="7"/>
      <c r="CV92" s="7"/>
      <c r="CW92" s="10" t="s">
        <v>39</v>
      </c>
      <c r="CX92" s="7"/>
      <c r="CY92" s="7"/>
      <c r="CZ92" s="10" t="s">
        <v>39</v>
      </c>
      <c r="DA92" s="9"/>
      <c r="DB92" s="9"/>
      <c r="DC92" s="10" t="s">
        <v>39</v>
      </c>
      <c r="DD92" s="7"/>
      <c r="DE92" s="7"/>
      <c r="DF92" s="10" t="s">
        <v>39</v>
      </c>
      <c r="DG92" s="7"/>
      <c r="DH92" s="7"/>
      <c r="DI92" s="10" t="s">
        <v>39</v>
      </c>
      <c r="DJ92" s="7"/>
      <c r="DK92" s="7"/>
      <c r="DL92" s="10" t="s">
        <v>39</v>
      </c>
      <c r="DM92" s="9"/>
      <c r="DN92" s="9"/>
      <c r="DO92" s="10" t="s">
        <v>39</v>
      </c>
      <c r="DP92" s="7"/>
      <c r="DQ92" s="7"/>
      <c r="DR92" s="10" t="s">
        <v>39</v>
      </c>
      <c r="DS92" s="7"/>
      <c r="DT92" s="7"/>
      <c r="DU92" s="10" t="s">
        <v>39</v>
      </c>
      <c r="DV92" s="7"/>
      <c r="DW92" s="7"/>
      <c r="DX92" s="10" t="s">
        <v>39</v>
      </c>
      <c r="DY92" s="9"/>
      <c r="DZ92" s="9"/>
      <c r="EA92" s="10" t="s">
        <v>39</v>
      </c>
      <c r="EB92" s="7"/>
      <c r="EC92" s="7"/>
      <c r="ED92" s="10" t="s">
        <v>39</v>
      </c>
      <c r="EE92" s="7"/>
      <c r="EF92" s="7"/>
      <c r="EG92" s="10" t="s">
        <v>39</v>
      </c>
      <c r="EH92" s="7"/>
      <c r="EI92" s="7"/>
      <c r="EJ92" s="10" t="s">
        <v>39</v>
      </c>
      <c r="EK92" s="9"/>
      <c r="EL92" s="9"/>
      <c r="EM92" s="10" t="s">
        <v>39</v>
      </c>
      <c r="EN92" s="7"/>
      <c r="EO92" s="7"/>
      <c r="EP92" s="10" t="s">
        <v>39</v>
      </c>
      <c r="EQ92" s="7"/>
      <c r="ER92" s="7"/>
      <c r="ES92" s="10" t="s">
        <v>39</v>
      </c>
      <c r="ET92" s="7"/>
      <c r="EU92" s="7"/>
      <c r="EV92" s="10" t="s">
        <v>39</v>
      </c>
      <c r="EW92" s="9"/>
      <c r="EX92" s="9"/>
      <c r="EY92" s="10" t="s">
        <v>39</v>
      </c>
      <c r="EZ92" s="7"/>
      <c r="FA92" s="7"/>
      <c r="FB92" s="10" t="s">
        <v>39</v>
      </c>
      <c r="FC92" s="7"/>
      <c r="FD92" s="7"/>
      <c r="FE92" s="10" t="s">
        <v>39</v>
      </c>
      <c r="FF92" s="7"/>
      <c r="FG92" s="7"/>
      <c r="FH92" s="10" t="s">
        <v>39</v>
      </c>
      <c r="FI92" s="9"/>
      <c r="FJ92" s="9"/>
      <c r="FK92" s="10" t="s">
        <v>39</v>
      </c>
      <c r="FL92" s="7"/>
      <c r="FM92" s="7"/>
      <c r="FN92" s="10" t="s">
        <v>39</v>
      </c>
      <c r="FO92" s="7"/>
      <c r="FP92" s="7"/>
      <c r="FQ92" s="10" t="s">
        <v>39</v>
      </c>
      <c r="FR92" s="7"/>
      <c r="FS92" s="7"/>
      <c r="FT92" s="10" t="s">
        <v>39</v>
      </c>
      <c r="FU92" s="9"/>
      <c r="FV92" s="9"/>
      <c r="FW92" s="10" t="s">
        <v>39</v>
      </c>
      <c r="FX92" s="7">
        <v>400</v>
      </c>
      <c r="FY92" s="7">
        <v>1000</v>
      </c>
      <c r="FZ92" s="10" t="s">
        <v>39</v>
      </c>
      <c r="GA92" s="7"/>
      <c r="GB92" s="7"/>
      <c r="GC92" s="10" t="s">
        <v>39</v>
      </c>
      <c r="GD92" s="7"/>
      <c r="GE92" s="7"/>
      <c r="GF92" s="10" t="s">
        <v>39</v>
      </c>
      <c r="GG92" s="7"/>
      <c r="GH92" s="7"/>
      <c r="GI92" s="10" t="s">
        <v>39</v>
      </c>
      <c r="GJ92" s="7">
        <v>107</v>
      </c>
      <c r="GK92" s="7">
        <v>190</v>
      </c>
      <c r="GL92" s="10" t="s">
        <v>39</v>
      </c>
      <c r="GM92" s="7"/>
      <c r="GN92" s="7"/>
      <c r="GO92" s="10" t="s">
        <v>39</v>
      </c>
      <c r="GP92" s="7"/>
      <c r="GQ92" s="7"/>
      <c r="GR92" s="10" t="s">
        <v>39</v>
      </c>
      <c r="GS92" s="7"/>
      <c r="GT92" s="7"/>
      <c r="GU92" s="6" t="s">
        <v>39</v>
      </c>
      <c r="GV92" s="7">
        <v>104</v>
      </c>
      <c r="GW92" s="7">
        <v>300</v>
      </c>
      <c r="GX92" s="10" t="s">
        <v>39</v>
      </c>
      <c r="GY92" s="7"/>
      <c r="GZ92" s="7"/>
      <c r="HA92" s="10" t="s">
        <v>39</v>
      </c>
      <c r="HB92" s="7"/>
      <c r="HC92" s="7"/>
      <c r="HD92" s="10" t="s">
        <v>39</v>
      </c>
      <c r="HE92" s="7"/>
      <c r="HF92" s="7"/>
      <c r="HG92" s="10" t="s">
        <v>39</v>
      </c>
      <c r="HH92" s="7">
        <v>500</v>
      </c>
      <c r="HI92" s="7">
        <v>1500</v>
      </c>
      <c r="HJ92" s="10" t="s">
        <v>39</v>
      </c>
      <c r="HK92" s="7"/>
      <c r="HL92" s="7"/>
      <c r="HM92" s="10" t="s">
        <v>39</v>
      </c>
      <c r="HN92" s="7"/>
      <c r="HO92" s="7"/>
      <c r="HP92" s="10" t="s">
        <v>39</v>
      </c>
      <c r="HQ92" s="7"/>
      <c r="HR92" s="7"/>
      <c r="HS92" s="10" t="s">
        <v>39</v>
      </c>
      <c r="HT92" s="7">
        <v>400</v>
      </c>
      <c r="HU92" s="7">
        <v>1400</v>
      </c>
      <c r="HV92" s="10" t="s">
        <v>39</v>
      </c>
      <c r="HW92" s="7"/>
      <c r="HX92" s="7"/>
      <c r="HY92" s="10" t="s">
        <v>39</v>
      </c>
      <c r="HZ92" s="7"/>
      <c r="IA92" s="7"/>
      <c r="IB92" s="10" t="s">
        <v>39</v>
      </c>
      <c r="IC92" s="7"/>
      <c r="ID92" s="7"/>
      <c r="IE92" s="6" t="s">
        <v>39</v>
      </c>
      <c r="IF92" s="7">
        <v>537</v>
      </c>
      <c r="IG92" s="7">
        <v>900</v>
      </c>
      <c r="II92" s="7"/>
      <c r="IJ92" s="7"/>
      <c r="IK92" s="7"/>
      <c r="IL92" s="7"/>
      <c r="IM92" s="7"/>
      <c r="IN92" s="7"/>
      <c r="IP92" s="7"/>
      <c r="IQ92" s="7"/>
      <c r="IR92" s="7"/>
      <c r="IS92" s="7"/>
      <c r="IT92" s="7"/>
      <c r="IU92" s="7"/>
      <c r="IV92" s="7"/>
      <c r="IW92" s="7"/>
      <c r="IX92" s="7"/>
      <c r="IY92" s="7"/>
      <c r="IZ92" s="7"/>
      <c r="JA92" s="7"/>
      <c r="JB92" s="7"/>
      <c r="JC92" s="7"/>
      <c r="JE92" s="7"/>
      <c r="JF92" s="7"/>
      <c r="JH92" s="7"/>
      <c r="JI92" s="7"/>
      <c r="JJ92" s="7"/>
      <c r="JK92" s="7"/>
      <c r="JL92" s="7"/>
      <c r="JM92" s="7"/>
      <c r="JO92" s="7"/>
      <c r="JP92" s="7"/>
      <c r="JQ92" s="7"/>
      <c r="JR92" s="7"/>
      <c r="JT92" s="7"/>
      <c r="JU92" s="7"/>
      <c r="JV92" s="7"/>
      <c r="JW92" s="7"/>
      <c r="JX92" s="7"/>
    </row>
    <row r="93" spans="1:284" x14ac:dyDescent="0.3">
      <c r="A93" t="s">
        <v>162</v>
      </c>
      <c r="I93" s="10"/>
      <c r="J93" s="10"/>
      <c r="U93" s="10"/>
      <c r="V93" s="10"/>
      <c r="AG93" s="10"/>
      <c r="AH93" s="10"/>
      <c r="AS93" s="10"/>
      <c r="AT93" s="10"/>
      <c r="BE93" s="10"/>
      <c r="BF93" s="10"/>
      <c r="BQ93" s="10"/>
      <c r="BR93" s="10"/>
      <c r="CC93" s="10"/>
      <c r="CD93" s="10"/>
      <c r="CO93" s="10"/>
      <c r="CP93" s="10"/>
      <c r="DA93" s="10"/>
      <c r="DB93" s="10"/>
      <c r="DM93" s="10"/>
      <c r="DN93" s="10"/>
      <c r="DY93" s="10"/>
      <c r="DZ93" s="10"/>
      <c r="EK93" s="10"/>
      <c r="EL93" s="10"/>
      <c r="EW93" s="10"/>
      <c r="EX93" s="10"/>
      <c r="FI93" s="10"/>
      <c r="FJ93" s="10"/>
      <c r="FU93" s="10"/>
      <c r="FV93" s="10"/>
      <c r="GM93" s="7"/>
      <c r="GN93" s="7"/>
      <c r="GO93" s="10"/>
      <c r="GP93" s="7"/>
      <c r="GQ93" s="7"/>
      <c r="GR93" s="10"/>
      <c r="GS93" s="7"/>
      <c r="GT93" s="7"/>
      <c r="GY93" s="7"/>
      <c r="GZ93" s="7"/>
      <c r="HB93" s="7"/>
      <c r="HC93" s="7"/>
      <c r="HK93" s="7"/>
      <c r="HL93" s="7"/>
      <c r="HN93" s="7"/>
      <c r="HO93" s="7"/>
      <c r="HW93" s="7"/>
      <c r="HX93" s="7"/>
      <c r="HY93" s="10"/>
      <c r="HZ93" s="7"/>
      <c r="IA93" s="7"/>
    </row>
    <row r="94" spans="1:284" x14ac:dyDescent="0.3">
      <c r="A94" t="s">
        <v>327</v>
      </c>
      <c r="B94" s="10" t="s">
        <v>38</v>
      </c>
      <c r="E94" s="10" t="s">
        <v>38</v>
      </c>
      <c r="H94" s="10" t="s">
        <v>38</v>
      </c>
      <c r="I94" s="10"/>
      <c r="J94" s="10"/>
      <c r="K94" s="10" t="s">
        <v>38</v>
      </c>
      <c r="N94" s="10" t="s">
        <v>38</v>
      </c>
      <c r="Q94" s="10" t="s">
        <v>38</v>
      </c>
      <c r="T94" s="10" t="s">
        <v>38</v>
      </c>
      <c r="U94" s="10"/>
      <c r="V94" s="10"/>
      <c r="W94" s="10" t="s">
        <v>38</v>
      </c>
      <c r="Z94" s="10" t="s">
        <v>38</v>
      </c>
      <c r="AC94" s="10" t="s">
        <v>38</v>
      </c>
      <c r="AF94" s="10" t="s">
        <v>38</v>
      </c>
      <c r="AG94" s="10"/>
      <c r="AH94" s="10"/>
      <c r="AI94" s="10" t="s">
        <v>38</v>
      </c>
      <c r="AL94" s="10" t="s">
        <v>38</v>
      </c>
      <c r="AO94" s="10" t="s">
        <v>38</v>
      </c>
      <c r="AR94" s="10" t="s">
        <v>38</v>
      </c>
      <c r="AS94" s="10"/>
      <c r="AT94" s="10"/>
      <c r="AU94" s="10" t="s">
        <v>38</v>
      </c>
      <c r="AX94" s="10" t="s">
        <v>38</v>
      </c>
      <c r="BA94" s="10" t="s">
        <v>38</v>
      </c>
      <c r="BD94" s="10" t="s">
        <v>38</v>
      </c>
      <c r="BE94" s="10"/>
      <c r="BF94" s="10"/>
      <c r="BG94" s="10" t="s">
        <v>38</v>
      </c>
      <c r="BJ94" s="10" t="s">
        <v>38</v>
      </c>
      <c r="BM94" s="10" t="s">
        <v>38</v>
      </c>
      <c r="BP94" s="10" t="s">
        <v>38</v>
      </c>
      <c r="BQ94" s="10"/>
      <c r="BR94" s="10"/>
      <c r="BS94" s="10" t="s">
        <v>38</v>
      </c>
      <c r="BV94" s="10" t="s">
        <v>38</v>
      </c>
      <c r="BY94" s="10" t="s">
        <v>38</v>
      </c>
      <c r="CB94" s="10" t="s">
        <v>38</v>
      </c>
      <c r="CC94" s="10"/>
      <c r="CD94" s="10"/>
      <c r="CE94" s="10" t="s">
        <v>38</v>
      </c>
      <c r="CH94" s="10" t="s">
        <v>38</v>
      </c>
      <c r="CK94" s="10" t="s">
        <v>38</v>
      </c>
      <c r="CN94" s="10" t="s">
        <v>38</v>
      </c>
      <c r="CO94" s="10"/>
      <c r="CP94" s="10"/>
      <c r="CQ94" s="10" t="s">
        <v>38</v>
      </c>
      <c r="CT94" s="10" t="s">
        <v>38</v>
      </c>
      <c r="CW94" s="10" t="s">
        <v>38</v>
      </c>
      <c r="CZ94" s="10" t="s">
        <v>38</v>
      </c>
      <c r="DA94" s="10"/>
      <c r="DB94" s="10"/>
      <c r="DC94" s="10" t="s">
        <v>38</v>
      </c>
      <c r="DF94" s="10" t="s">
        <v>38</v>
      </c>
      <c r="DI94" s="10" t="s">
        <v>38</v>
      </c>
      <c r="DL94" s="10" t="s">
        <v>38</v>
      </c>
      <c r="DM94" s="10"/>
      <c r="DN94" s="10"/>
      <c r="DO94" s="10" t="s">
        <v>38</v>
      </c>
      <c r="DR94" s="10" t="s">
        <v>38</v>
      </c>
      <c r="DU94" s="10" t="s">
        <v>38</v>
      </c>
      <c r="DX94" s="10" t="s">
        <v>38</v>
      </c>
      <c r="DY94" s="10"/>
      <c r="DZ94" s="10"/>
      <c r="EA94" s="10" t="s">
        <v>38</v>
      </c>
      <c r="ED94" s="10" t="s">
        <v>38</v>
      </c>
      <c r="EG94" s="10" t="s">
        <v>38</v>
      </c>
      <c r="EJ94" s="10" t="s">
        <v>38</v>
      </c>
      <c r="EK94" s="10"/>
      <c r="EL94" s="10"/>
      <c r="EM94" s="10" t="s">
        <v>38</v>
      </c>
      <c r="EP94" s="10" t="s">
        <v>38</v>
      </c>
      <c r="ES94" s="10" t="s">
        <v>38</v>
      </c>
      <c r="EV94" s="10" t="s">
        <v>38</v>
      </c>
      <c r="EW94" s="10"/>
      <c r="EX94" s="10"/>
      <c r="EY94" s="10" t="s">
        <v>38</v>
      </c>
      <c r="FB94" s="10" t="s">
        <v>38</v>
      </c>
      <c r="FE94" s="10" t="s">
        <v>38</v>
      </c>
      <c r="FH94" s="10" t="s">
        <v>38</v>
      </c>
      <c r="FI94" s="10"/>
      <c r="FJ94" s="10"/>
      <c r="FK94" s="10" t="s">
        <v>38</v>
      </c>
      <c r="FN94" s="10" t="s">
        <v>38</v>
      </c>
      <c r="FQ94" s="10" t="s">
        <v>38</v>
      </c>
      <c r="FT94" s="10" t="s">
        <v>38</v>
      </c>
      <c r="FU94" s="10">
        <v>7000</v>
      </c>
      <c r="FV94" s="10">
        <v>14000</v>
      </c>
      <c r="FW94" s="10" t="s">
        <v>38</v>
      </c>
      <c r="FZ94" s="10" t="s">
        <v>38</v>
      </c>
      <c r="GC94" s="10" t="s">
        <v>38</v>
      </c>
      <c r="GF94" s="10" t="s">
        <v>38</v>
      </c>
      <c r="GG94">
        <v>1000</v>
      </c>
      <c r="GH94">
        <v>2000</v>
      </c>
      <c r="GI94" s="10" t="s">
        <v>38</v>
      </c>
      <c r="GL94" s="10" t="s">
        <v>38</v>
      </c>
      <c r="GM94" s="7"/>
      <c r="GN94" s="7"/>
      <c r="GO94" s="6" t="s">
        <v>38</v>
      </c>
      <c r="GP94" s="7"/>
      <c r="GQ94" s="7"/>
      <c r="GR94" s="6" t="s">
        <v>38</v>
      </c>
      <c r="GS94" s="7">
        <v>3485</v>
      </c>
      <c r="GT94" s="7">
        <v>6100</v>
      </c>
      <c r="GX94" s="10" t="s">
        <v>38</v>
      </c>
      <c r="GY94" s="7"/>
      <c r="GZ94" s="7"/>
      <c r="HA94" s="10" t="s">
        <v>38</v>
      </c>
      <c r="HB94" s="7"/>
      <c r="HC94" s="7"/>
      <c r="HD94" s="10" t="s">
        <v>38</v>
      </c>
      <c r="HE94">
        <v>3000</v>
      </c>
      <c r="HF94">
        <v>6000</v>
      </c>
      <c r="HG94" s="10" t="s">
        <v>38</v>
      </c>
      <c r="HJ94" s="10" t="s">
        <v>38</v>
      </c>
      <c r="HK94" s="7"/>
      <c r="HL94" s="7"/>
      <c r="HM94" s="10" t="s">
        <v>38</v>
      </c>
      <c r="HN94" s="7"/>
      <c r="HO94" s="7"/>
      <c r="HP94" s="10" t="s">
        <v>38</v>
      </c>
      <c r="HQ94">
        <v>2000</v>
      </c>
      <c r="HR94">
        <v>4000</v>
      </c>
      <c r="HS94" s="10" t="s">
        <v>38</v>
      </c>
      <c r="HV94" s="10" t="s">
        <v>38</v>
      </c>
      <c r="HW94" s="7"/>
      <c r="HX94" s="7"/>
      <c r="HY94" s="6" t="s">
        <v>38</v>
      </c>
      <c r="HZ94" s="7"/>
      <c r="IA94" s="7"/>
      <c r="IB94" s="6" t="s">
        <v>38</v>
      </c>
    </row>
    <row r="95" spans="1:284" x14ac:dyDescent="0.3">
      <c r="A95" t="s">
        <v>163</v>
      </c>
      <c r="B95" s="10" t="s">
        <v>38</v>
      </c>
      <c r="E95" s="10" t="s">
        <v>38</v>
      </c>
      <c r="H95" s="10" t="s">
        <v>38</v>
      </c>
      <c r="I95" s="10"/>
      <c r="J95" s="10"/>
      <c r="K95" s="10" t="s">
        <v>38</v>
      </c>
      <c r="N95" s="10" t="s">
        <v>38</v>
      </c>
      <c r="Q95" s="10" t="s">
        <v>38</v>
      </c>
      <c r="T95" s="10" t="s">
        <v>38</v>
      </c>
      <c r="U95" s="10"/>
      <c r="V95" s="10"/>
      <c r="W95" s="10" t="s">
        <v>38</v>
      </c>
      <c r="Z95" s="10" t="s">
        <v>38</v>
      </c>
      <c r="AC95" s="10" t="s">
        <v>38</v>
      </c>
      <c r="AF95" s="10" t="s">
        <v>38</v>
      </c>
      <c r="AG95" s="10"/>
      <c r="AH95" s="10"/>
      <c r="AI95" s="10" t="s">
        <v>38</v>
      </c>
      <c r="AL95" s="10" t="s">
        <v>38</v>
      </c>
      <c r="AO95" s="10" t="s">
        <v>38</v>
      </c>
      <c r="AR95" s="10" t="s">
        <v>38</v>
      </c>
      <c r="AS95" s="10"/>
      <c r="AT95" s="10"/>
      <c r="AU95" s="10" t="s">
        <v>38</v>
      </c>
      <c r="AX95" s="10" t="s">
        <v>38</v>
      </c>
      <c r="BA95" s="10" t="s">
        <v>38</v>
      </c>
      <c r="BD95" s="10" t="s">
        <v>38</v>
      </c>
      <c r="BE95" s="10"/>
      <c r="BF95" s="10"/>
      <c r="BG95" s="10" t="s">
        <v>38</v>
      </c>
      <c r="BJ95" s="10" t="s">
        <v>38</v>
      </c>
      <c r="BM95" s="10" t="s">
        <v>38</v>
      </c>
      <c r="BP95" s="10" t="s">
        <v>38</v>
      </c>
      <c r="BQ95" s="10"/>
      <c r="BR95" s="10"/>
      <c r="BS95" s="10" t="s">
        <v>38</v>
      </c>
      <c r="BV95" s="10" t="s">
        <v>38</v>
      </c>
      <c r="BY95" s="10" t="s">
        <v>38</v>
      </c>
      <c r="CB95" s="10" t="s">
        <v>38</v>
      </c>
      <c r="CC95" s="10"/>
      <c r="CD95" s="10"/>
      <c r="CE95" s="10" t="s">
        <v>38</v>
      </c>
      <c r="CH95" s="10" t="s">
        <v>38</v>
      </c>
      <c r="CK95" s="10" t="s">
        <v>38</v>
      </c>
      <c r="CN95" s="10" t="s">
        <v>38</v>
      </c>
      <c r="CO95" s="10"/>
      <c r="CP95" s="10"/>
      <c r="CQ95" s="10" t="s">
        <v>38</v>
      </c>
      <c r="CT95" s="10" t="s">
        <v>38</v>
      </c>
      <c r="CW95" s="10" t="s">
        <v>38</v>
      </c>
      <c r="CZ95" s="10" t="s">
        <v>38</v>
      </c>
      <c r="DA95" s="10"/>
      <c r="DB95" s="10"/>
      <c r="DC95" s="10" t="s">
        <v>38</v>
      </c>
      <c r="DF95" s="10" t="s">
        <v>38</v>
      </c>
      <c r="DI95" s="10" t="s">
        <v>38</v>
      </c>
      <c r="DL95" s="10" t="s">
        <v>38</v>
      </c>
      <c r="DM95" s="10"/>
      <c r="DN95" s="10"/>
      <c r="DO95" s="10" t="s">
        <v>38</v>
      </c>
      <c r="DR95" s="10" t="s">
        <v>38</v>
      </c>
      <c r="DU95" s="10" t="s">
        <v>38</v>
      </c>
      <c r="DX95" s="10" t="s">
        <v>38</v>
      </c>
      <c r="DY95" s="10"/>
      <c r="DZ95" s="10"/>
      <c r="EA95" s="10" t="s">
        <v>38</v>
      </c>
      <c r="ED95" s="10" t="s">
        <v>38</v>
      </c>
      <c r="EG95" s="10" t="s">
        <v>38</v>
      </c>
      <c r="EJ95" s="10" t="s">
        <v>38</v>
      </c>
      <c r="EK95" s="10"/>
      <c r="EL95" s="10"/>
      <c r="EM95" s="10" t="s">
        <v>38</v>
      </c>
      <c r="EP95" s="10" t="s">
        <v>38</v>
      </c>
      <c r="ES95" s="10" t="s">
        <v>38</v>
      </c>
      <c r="EV95" s="10" t="s">
        <v>38</v>
      </c>
      <c r="EW95" s="10"/>
      <c r="EX95" s="10"/>
      <c r="EY95" s="10" t="s">
        <v>38</v>
      </c>
      <c r="FB95" s="10" t="s">
        <v>38</v>
      </c>
      <c r="FE95" s="10" t="s">
        <v>38</v>
      </c>
      <c r="FH95" s="10" t="s">
        <v>38</v>
      </c>
      <c r="FI95" s="10"/>
      <c r="FJ95" s="10"/>
      <c r="FK95" s="10" t="s">
        <v>38</v>
      </c>
      <c r="FN95" s="10" t="s">
        <v>38</v>
      </c>
      <c r="FQ95" s="10" t="s">
        <v>38</v>
      </c>
      <c r="FT95" s="10" t="s">
        <v>38</v>
      </c>
      <c r="FU95" s="10">
        <v>1000</v>
      </c>
      <c r="FV95" s="10">
        <v>8000</v>
      </c>
      <c r="FW95" s="10" t="s">
        <v>38</v>
      </c>
      <c r="FZ95" s="10" t="s">
        <v>38</v>
      </c>
      <c r="GC95" s="10" t="s">
        <v>38</v>
      </c>
      <c r="GF95" s="10" t="s">
        <v>38</v>
      </c>
      <c r="GI95" s="10" t="s">
        <v>38</v>
      </c>
      <c r="GL95" s="10" t="s">
        <v>38</v>
      </c>
      <c r="GM95" s="7"/>
      <c r="GN95" s="7"/>
      <c r="GO95" s="6" t="s">
        <v>38</v>
      </c>
      <c r="GP95" s="7"/>
      <c r="GQ95" s="7"/>
      <c r="GR95" s="6" t="s">
        <v>38</v>
      </c>
      <c r="GS95" s="7">
        <v>200</v>
      </c>
      <c r="GT95" s="7">
        <v>1000</v>
      </c>
      <c r="GX95" s="10" t="s">
        <v>38</v>
      </c>
      <c r="GY95" s="7"/>
      <c r="GZ95" s="7"/>
      <c r="HA95" s="10" t="s">
        <v>38</v>
      </c>
      <c r="HB95" s="7"/>
      <c r="HC95" s="7"/>
      <c r="HD95" s="10" t="s">
        <v>38</v>
      </c>
      <c r="HE95">
        <v>150</v>
      </c>
      <c r="HF95">
        <v>800</v>
      </c>
      <c r="HG95" s="10" t="s">
        <v>38</v>
      </c>
      <c r="HJ95" s="10" t="s">
        <v>38</v>
      </c>
      <c r="HK95" s="7"/>
      <c r="HL95" s="7"/>
      <c r="HM95" s="10" t="s">
        <v>38</v>
      </c>
      <c r="HN95" s="7"/>
      <c r="HO95" s="7"/>
      <c r="HP95" s="10" t="s">
        <v>38</v>
      </c>
      <c r="HQ95">
        <v>100</v>
      </c>
      <c r="HR95">
        <v>500</v>
      </c>
      <c r="HS95" s="10" t="s">
        <v>38</v>
      </c>
      <c r="HV95" s="10" t="s">
        <v>38</v>
      </c>
      <c r="HW95" s="7"/>
      <c r="HX95" s="7"/>
      <c r="HY95" s="6" t="s">
        <v>38</v>
      </c>
      <c r="HZ95" s="7"/>
      <c r="IA95" s="7"/>
      <c r="IB95" s="6" t="s">
        <v>38</v>
      </c>
      <c r="IC95">
        <v>100</v>
      </c>
      <c r="ID95">
        <v>350</v>
      </c>
    </row>
    <row r="96" spans="1:284" x14ac:dyDescent="0.3">
      <c r="A96" t="s">
        <v>263</v>
      </c>
      <c r="C96" s="7"/>
      <c r="D96" s="7"/>
      <c r="F96" s="7"/>
      <c r="G96" s="7"/>
      <c r="I96" s="9"/>
      <c r="J96" s="9"/>
      <c r="L96" s="7"/>
      <c r="M96" s="7"/>
      <c r="O96" s="7"/>
      <c r="P96" s="7"/>
      <c r="R96" s="7"/>
      <c r="S96" s="7"/>
      <c r="U96" s="9"/>
      <c r="V96" s="9"/>
      <c r="X96" s="7"/>
      <c r="Y96" s="7"/>
      <c r="AA96" s="7"/>
      <c r="AB96" s="7"/>
      <c r="AD96" s="7"/>
      <c r="AE96" s="7"/>
      <c r="AG96" s="9"/>
      <c r="AH96" s="9"/>
      <c r="AJ96" s="7"/>
      <c r="AK96" s="7"/>
      <c r="AM96" s="7"/>
      <c r="AN96" s="7"/>
      <c r="AP96" s="7"/>
      <c r="AQ96" s="7"/>
      <c r="AS96" s="9"/>
      <c r="AT96" s="9"/>
      <c r="AV96" s="7"/>
      <c r="AW96" s="7"/>
      <c r="AY96" s="7"/>
      <c r="AZ96" s="7"/>
      <c r="BB96" s="7"/>
      <c r="BC96" s="7"/>
      <c r="BE96" s="9"/>
      <c r="BF96" s="9"/>
      <c r="BH96" s="7"/>
      <c r="BI96" s="7"/>
      <c r="BK96" s="7"/>
      <c r="BL96" s="7"/>
      <c r="BN96" s="7"/>
      <c r="BO96" s="7"/>
      <c r="BQ96" s="9"/>
      <c r="BR96" s="9"/>
      <c r="BT96" s="7"/>
      <c r="BU96" s="7"/>
      <c r="BW96" s="7"/>
      <c r="BX96" s="7"/>
      <c r="BZ96" s="7"/>
      <c r="CA96" s="7"/>
      <c r="CC96" s="9"/>
      <c r="CD96" s="9"/>
      <c r="CF96" s="7"/>
      <c r="CG96" s="7"/>
      <c r="CI96" s="7"/>
      <c r="CJ96" s="7"/>
      <c r="CL96" s="7"/>
      <c r="CM96" s="7"/>
      <c r="CO96" s="9"/>
      <c r="CP96" s="9"/>
      <c r="CR96" s="7"/>
      <c r="CS96" s="7"/>
      <c r="CU96" s="7"/>
      <c r="CV96" s="7"/>
      <c r="CX96" s="7"/>
      <c r="CY96" s="7"/>
      <c r="DA96" s="9"/>
      <c r="DB96" s="9"/>
      <c r="DD96" s="7"/>
      <c r="DE96" s="7"/>
      <c r="DG96" s="7"/>
      <c r="DH96" s="7"/>
      <c r="DJ96" s="7"/>
      <c r="DK96" s="7"/>
      <c r="DM96" s="9"/>
      <c r="DN96" s="9"/>
      <c r="DP96" s="7"/>
      <c r="DQ96" s="7"/>
      <c r="DS96" s="7"/>
      <c r="DT96" s="7"/>
      <c r="DV96" s="7"/>
      <c r="DW96" s="7"/>
      <c r="DY96" s="9"/>
      <c r="DZ96" s="9"/>
      <c r="EB96" s="7"/>
      <c r="EC96" s="7"/>
      <c r="EE96" s="7"/>
      <c r="EF96" s="7"/>
      <c r="EH96" s="7"/>
      <c r="EI96" s="7"/>
      <c r="EK96" s="9"/>
      <c r="EL96" s="9"/>
      <c r="EN96" s="7"/>
      <c r="EO96" s="7"/>
      <c r="EQ96" s="7"/>
      <c r="ER96" s="7"/>
      <c r="ET96" s="7"/>
      <c r="EU96" s="7"/>
      <c r="EW96" s="9"/>
      <c r="EX96" s="9"/>
      <c r="EZ96" s="7"/>
      <c r="FA96" s="7"/>
      <c r="FC96" s="7"/>
      <c r="FD96" s="7"/>
      <c r="FF96" s="7"/>
      <c r="FG96" s="7"/>
      <c r="FI96" s="9"/>
      <c r="FJ96" s="9"/>
      <c r="FL96" s="7"/>
      <c r="FM96" s="7"/>
      <c r="FO96" s="7"/>
      <c r="FP96" s="7"/>
      <c r="FR96" s="7"/>
      <c r="FS96" s="7"/>
      <c r="FU96" s="9"/>
      <c r="FV96" s="9"/>
      <c r="FX96" s="7"/>
      <c r="FY96" s="7"/>
      <c r="GA96" s="7"/>
      <c r="GB96" s="7"/>
      <c r="GD96" s="7"/>
      <c r="GE96" s="7"/>
      <c r="GG96" s="7"/>
      <c r="GH96" s="7"/>
      <c r="GJ96" s="7"/>
      <c r="GK96" s="7"/>
      <c r="GM96" s="7"/>
      <c r="GN96" s="7"/>
      <c r="GO96" s="10"/>
      <c r="GP96" s="7"/>
      <c r="GQ96" s="7"/>
      <c r="GR96" s="10"/>
      <c r="GS96" s="7"/>
      <c r="GT96" s="7"/>
      <c r="GV96" s="7"/>
      <c r="GW96" s="7"/>
      <c r="GY96" s="7"/>
      <c r="GZ96" s="7"/>
      <c r="HB96" s="7"/>
      <c r="HC96" s="7"/>
      <c r="HE96" s="7"/>
      <c r="HF96" s="7"/>
      <c r="HH96" s="7"/>
      <c r="HI96" s="7"/>
      <c r="HK96" s="7"/>
      <c r="HL96" s="7"/>
      <c r="HN96" s="7"/>
      <c r="HO96" s="7"/>
      <c r="HQ96" s="7"/>
      <c r="HR96" s="7"/>
      <c r="HT96" s="7"/>
      <c r="HU96" s="7"/>
      <c r="HW96" s="7"/>
      <c r="HX96" s="7"/>
      <c r="HY96" s="10"/>
      <c r="HZ96" s="7"/>
      <c r="IA96" s="7"/>
      <c r="IC96" s="7"/>
      <c r="ID96" s="7"/>
      <c r="IF96" s="7"/>
      <c r="IG96" s="7"/>
      <c r="II96" s="7"/>
      <c r="IJ96" s="7"/>
      <c r="IK96" s="7"/>
      <c r="IL96" s="7"/>
      <c r="IM96" s="7"/>
      <c r="IN96" s="7"/>
      <c r="IP96" s="7"/>
      <c r="IQ96" s="7"/>
      <c r="IR96" s="7"/>
      <c r="IS96" s="7"/>
      <c r="IT96" s="7"/>
      <c r="IU96" s="7"/>
      <c r="IV96" s="7"/>
      <c r="IW96" s="7"/>
      <c r="IX96" s="7"/>
      <c r="IY96" s="7"/>
      <c r="IZ96" s="7"/>
      <c r="JA96" s="7"/>
      <c r="JB96" s="7"/>
      <c r="JC96" s="7"/>
      <c r="JE96" s="7"/>
      <c r="JF96" s="7"/>
      <c r="JH96" s="7"/>
      <c r="JI96" s="7"/>
      <c r="JJ96" s="7"/>
      <c r="JK96" s="7"/>
      <c r="JL96" s="7"/>
      <c r="JM96" s="7"/>
      <c r="JO96" s="7"/>
      <c r="JP96" s="7"/>
      <c r="JQ96" s="7"/>
      <c r="JR96" s="7"/>
      <c r="JS96" t="s">
        <v>8</v>
      </c>
      <c r="JT96" s="7">
        <v>189</v>
      </c>
      <c r="JU96" s="7">
        <v>56</v>
      </c>
      <c r="JV96" s="7">
        <v>342</v>
      </c>
      <c r="JW96" s="7">
        <v>139</v>
      </c>
      <c r="JX96" s="7"/>
    </row>
    <row r="97" spans="1:284" x14ac:dyDescent="0.3">
      <c r="A97" t="s">
        <v>264</v>
      </c>
      <c r="B97" s="10" t="s">
        <v>54</v>
      </c>
      <c r="C97" s="7"/>
      <c r="D97" s="7"/>
      <c r="E97" s="10" t="s">
        <v>54</v>
      </c>
      <c r="F97" s="7"/>
      <c r="G97" s="7"/>
      <c r="H97" s="10" t="s">
        <v>54</v>
      </c>
      <c r="I97" s="9"/>
      <c r="J97" s="9"/>
      <c r="K97" s="10" t="s">
        <v>54</v>
      </c>
      <c r="L97" s="7"/>
      <c r="M97" s="7"/>
      <c r="N97" s="10" t="s">
        <v>54</v>
      </c>
      <c r="O97" s="7"/>
      <c r="P97" s="7"/>
      <c r="Q97" s="10" t="s">
        <v>54</v>
      </c>
      <c r="R97" s="7"/>
      <c r="S97" s="7"/>
      <c r="T97" s="10" t="s">
        <v>54</v>
      </c>
      <c r="U97" s="9"/>
      <c r="V97" s="9"/>
      <c r="W97" s="10" t="s">
        <v>54</v>
      </c>
      <c r="X97" s="7"/>
      <c r="Y97" s="7"/>
      <c r="Z97" s="10" t="s">
        <v>54</v>
      </c>
      <c r="AA97" s="7"/>
      <c r="AB97" s="7"/>
      <c r="AC97" s="10" t="s">
        <v>54</v>
      </c>
      <c r="AD97" s="7"/>
      <c r="AE97" s="7"/>
      <c r="AF97" s="10" t="s">
        <v>54</v>
      </c>
      <c r="AG97" s="9"/>
      <c r="AH97" s="9"/>
      <c r="AI97" s="10" t="s">
        <v>54</v>
      </c>
      <c r="AJ97" s="7"/>
      <c r="AK97" s="7"/>
      <c r="AL97" s="10" t="s">
        <v>54</v>
      </c>
      <c r="AM97" s="7"/>
      <c r="AN97" s="7"/>
      <c r="AO97" s="10" t="s">
        <v>54</v>
      </c>
      <c r="AP97" s="7"/>
      <c r="AQ97" s="7"/>
      <c r="AR97" s="10" t="s">
        <v>54</v>
      </c>
      <c r="AS97" s="9"/>
      <c r="AT97" s="9"/>
      <c r="AU97" s="10" t="s">
        <v>54</v>
      </c>
      <c r="AV97" s="7"/>
      <c r="AW97" s="7"/>
      <c r="AX97" s="10" t="s">
        <v>54</v>
      </c>
      <c r="AY97" s="7"/>
      <c r="AZ97" s="7"/>
      <c r="BA97" s="10" t="s">
        <v>54</v>
      </c>
      <c r="BB97" s="7"/>
      <c r="BC97" s="7"/>
      <c r="BD97" s="10" t="s">
        <v>54</v>
      </c>
      <c r="BE97" s="9"/>
      <c r="BF97" s="9"/>
      <c r="BG97" s="10" t="s">
        <v>54</v>
      </c>
      <c r="BH97" s="7"/>
      <c r="BI97" s="7"/>
      <c r="BJ97" s="10" t="s">
        <v>54</v>
      </c>
      <c r="BK97" s="7"/>
      <c r="BL97" s="7"/>
      <c r="BM97" s="10" t="s">
        <v>54</v>
      </c>
      <c r="BN97" s="7"/>
      <c r="BO97" s="7"/>
      <c r="BP97" s="10" t="s">
        <v>54</v>
      </c>
      <c r="BQ97" s="9"/>
      <c r="BR97" s="9"/>
      <c r="BS97" s="10" t="s">
        <v>54</v>
      </c>
      <c r="BT97" s="7"/>
      <c r="BU97" s="7"/>
      <c r="BV97" s="10" t="s">
        <v>54</v>
      </c>
      <c r="BW97" s="7"/>
      <c r="BX97" s="7"/>
      <c r="BY97" s="10" t="s">
        <v>54</v>
      </c>
      <c r="BZ97" s="7"/>
      <c r="CA97" s="7"/>
      <c r="CB97" s="10" t="s">
        <v>54</v>
      </c>
      <c r="CC97" s="9"/>
      <c r="CD97" s="9"/>
      <c r="CE97" s="10" t="s">
        <v>54</v>
      </c>
      <c r="CF97" s="7"/>
      <c r="CG97" s="7"/>
      <c r="CH97" s="10" t="s">
        <v>54</v>
      </c>
      <c r="CI97" s="7"/>
      <c r="CJ97" s="7"/>
      <c r="CK97" s="10" t="s">
        <v>54</v>
      </c>
      <c r="CL97" s="7"/>
      <c r="CM97" s="7"/>
      <c r="CN97" s="10" t="s">
        <v>54</v>
      </c>
      <c r="CO97" s="9"/>
      <c r="CP97" s="9"/>
      <c r="CQ97" s="10" t="s">
        <v>54</v>
      </c>
      <c r="CR97" s="7"/>
      <c r="CS97" s="7"/>
      <c r="CT97" s="10" t="s">
        <v>54</v>
      </c>
      <c r="CU97" s="7"/>
      <c r="CV97" s="7"/>
      <c r="CW97" s="10" t="s">
        <v>54</v>
      </c>
      <c r="CX97" s="7"/>
      <c r="CY97" s="7"/>
      <c r="CZ97" s="10" t="s">
        <v>54</v>
      </c>
      <c r="DA97" s="9"/>
      <c r="DB97" s="9"/>
      <c r="DC97" s="10" t="s">
        <v>54</v>
      </c>
      <c r="DD97" s="7"/>
      <c r="DE97" s="7"/>
      <c r="DF97" s="10" t="s">
        <v>54</v>
      </c>
      <c r="DG97" s="7"/>
      <c r="DH97" s="7"/>
      <c r="DI97" s="10" t="s">
        <v>54</v>
      </c>
      <c r="DJ97" s="7"/>
      <c r="DK97" s="7"/>
      <c r="DL97" s="10" t="s">
        <v>54</v>
      </c>
      <c r="DM97" s="9"/>
      <c r="DN97" s="9"/>
      <c r="DO97" s="10" t="s">
        <v>54</v>
      </c>
      <c r="DP97" s="7"/>
      <c r="DQ97" s="7"/>
      <c r="DR97" s="10" t="s">
        <v>54</v>
      </c>
      <c r="DS97" s="7"/>
      <c r="DT97" s="7"/>
      <c r="DU97" s="10" t="s">
        <v>54</v>
      </c>
      <c r="DV97" s="7"/>
      <c r="DW97" s="7"/>
      <c r="DX97" s="10" t="s">
        <v>54</v>
      </c>
      <c r="DY97" s="9"/>
      <c r="DZ97" s="9"/>
      <c r="EA97" s="10" t="s">
        <v>54</v>
      </c>
      <c r="EB97" s="7"/>
      <c r="EC97" s="7"/>
      <c r="ED97" s="10" t="s">
        <v>54</v>
      </c>
      <c r="EE97" s="7"/>
      <c r="EF97" s="7"/>
      <c r="EG97" s="10" t="s">
        <v>54</v>
      </c>
      <c r="EH97" s="7"/>
      <c r="EI97" s="7"/>
      <c r="EJ97" s="10" t="s">
        <v>54</v>
      </c>
      <c r="EK97" s="9"/>
      <c r="EL97" s="9"/>
      <c r="EM97" s="10" t="s">
        <v>54</v>
      </c>
      <c r="EN97" s="7"/>
      <c r="EO97" s="7"/>
      <c r="EP97" s="10" t="s">
        <v>54</v>
      </c>
      <c r="EQ97" s="7"/>
      <c r="ER97" s="7"/>
      <c r="ES97" s="10" t="s">
        <v>54</v>
      </c>
      <c r="ET97" s="7"/>
      <c r="EU97" s="7"/>
      <c r="EV97" s="10" t="s">
        <v>54</v>
      </c>
      <c r="EW97" s="9"/>
      <c r="EX97" s="9"/>
      <c r="EY97" s="10" t="s">
        <v>54</v>
      </c>
      <c r="EZ97" s="7"/>
      <c r="FA97" s="7"/>
      <c r="FB97" s="10" t="s">
        <v>54</v>
      </c>
      <c r="FC97" s="7"/>
      <c r="FD97" s="7"/>
      <c r="FE97" s="10" t="s">
        <v>54</v>
      </c>
      <c r="FF97" s="7"/>
      <c r="FG97" s="7"/>
      <c r="FH97" s="10" t="s">
        <v>54</v>
      </c>
      <c r="FI97" s="9"/>
      <c r="FJ97" s="9"/>
      <c r="FK97" s="10" t="s">
        <v>54</v>
      </c>
      <c r="FL97" s="7"/>
      <c r="FM97" s="7"/>
      <c r="FN97" s="10" t="s">
        <v>54</v>
      </c>
      <c r="FO97" s="7"/>
      <c r="FP97" s="7"/>
      <c r="FQ97" s="10" t="s">
        <v>54</v>
      </c>
      <c r="FR97" s="7"/>
      <c r="FS97" s="7"/>
      <c r="FT97" s="10" t="s">
        <v>54</v>
      </c>
      <c r="FU97" s="9">
        <v>700</v>
      </c>
      <c r="FV97" s="9">
        <v>800</v>
      </c>
      <c r="FW97" s="10" t="s">
        <v>54</v>
      </c>
      <c r="FX97" s="7"/>
      <c r="FY97" s="7"/>
      <c r="FZ97" s="10" t="s">
        <v>54</v>
      </c>
      <c r="GA97" s="7"/>
      <c r="GB97" s="7"/>
      <c r="GC97" s="10" t="s">
        <v>54</v>
      </c>
      <c r="GD97" s="7"/>
      <c r="GE97" s="7"/>
      <c r="GF97" s="10" t="s">
        <v>54</v>
      </c>
      <c r="GG97" s="7">
        <v>1066</v>
      </c>
      <c r="GH97" s="7">
        <v>1142</v>
      </c>
      <c r="GI97" s="10" t="s">
        <v>54</v>
      </c>
      <c r="GJ97" s="7"/>
      <c r="GK97" s="7"/>
      <c r="GL97" s="10" t="s">
        <v>54</v>
      </c>
      <c r="GM97" s="7"/>
      <c r="GN97" s="7"/>
      <c r="GO97" s="6" t="s">
        <v>54</v>
      </c>
      <c r="GP97" s="7"/>
      <c r="GQ97" s="7"/>
      <c r="GR97" s="6" t="s">
        <v>54</v>
      </c>
      <c r="GS97" s="7">
        <v>1364</v>
      </c>
      <c r="GT97" s="7">
        <v>2280</v>
      </c>
      <c r="GV97" s="7"/>
      <c r="GW97" s="7"/>
      <c r="GX97" s="10" t="s">
        <v>54</v>
      </c>
      <c r="GY97" s="7"/>
      <c r="GZ97" s="7"/>
      <c r="HA97" s="10" t="s">
        <v>54</v>
      </c>
      <c r="HB97" s="7"/>
      <c r="HC97" s="7"/>
      <c r="HD97" s="10" t="s">
        <v>54</v>
      </c>
      <c r="HE97" s="7">
        <v>1000</v>
      </c>
      <c r="HF97" s="7">
        <v>1100</v>
      </c>
      <c r="HG97" s="10" t="s">
        <v>54</v>
      </c>
      <c r="HH97" s="7"/>
      <c r="HI97" s="7"/>
      <c r="HJ97" s="10" t="s">
        <v>54</v>
      </c>
      <c r="HK97" s="7"/>
      <c r="HL97" s="7"/>
      <c r="HM97" s="10" t="s">
        <v>54</v>
      </c>
      <c r="HN97" s="7"/>
      <c r="HO97" s="7"/>
      <c r="HP97" s="10" t="s">
        <v>54</v>
      </c>
      <c r="HQ97" s="7">
        <v>800</v>
      </c>
      <c r="HR97" s="7">
        <v>1000</v>
      </c>
      <c r="HS97" s="10" t="s">
        <v>54</v>
      </c>
      <c r="HT97" s="7"/>
      <c r="HU97" s="7"/>
      <c r="HV97" s="10" t="s">
        <v>54</v>
      </c>
      <c r="HW97" s="7"/>
      <c r="HX97" s="7"/>
      <c r="HY97" s="6" t="s">
        <v>54</v>
      </c>
      <c r="HZ97" s="7"/>
      <c r="IA97" s="7"/>
      <c r="IB97" s="6" t="s">
        <v>54</v>
      </c>
      <c r="IC97" s="7">
        <v>543</v>
      </c>
      <c r="ID97" s="7">
        <v>1020</v>
      </c>
      <c r="IF97" s="7"/>
      <c r="IG97" s="7"/>
      <c r="II97" s="7"/>
      <c r="IJ97" s="7"/>
      <c r="IK97" s="7"/>
      <c r="IL97" s="7"/>
      <c r="IM97" s="7"/>
      <c r="IN97" s="7"/>
      <c r="IP97" s="7"/>
      <c r="IQ97" s="7"/>
      <c r="IR97" s="7"/>
      <c r="IS97" s="7"/>
      <c r="IT97" s="7"/>
      <c r="IU97" s="7"/>
      <c r="IV97" s="7"/>
      <c r="IW97" s="7"/>
      <c r="IX97" s="7"/>
      <c r="IY97" s="7"/>
      <c r="IZ97" s="7"/>
      <c r="JA97" s="7"/>
      <c r="JB97" s="7"/>
      <c r="JC97" s="7"/>
      <c r="JE97" s="7"/>
      <c r="JF97" s="7"/>
      <c r="JH97" s="7"/>
      <c r="JI97" s="7"/>
      <c r="JJ97" s="7"/>
      <c r="JK97" s="7"/>
      <c r="JL97" s="7"/>
      <c r="JM97" s="7"/>
      <c r="JO97" s="7"/>
      <c r="JP97" s="7"/>
      <c r="JQ97" s="7"/>
      <c r="JR97" s="7"/>
      <c r="JT97" s="7"/>
      <c r="JU97" s="7"/>
      <c r="JV97" s="7"/>
      <c r="JW97" s="7"/>
      <c r="JX97" s="7"/>
    </row>
    <row r="98" spans="1:284" x14ac:dyDescent="0.3">
      <c r="A98" t="s">
        <v>265</v>
      </c>
      <c r="B98" s="10" t="s">
        <v>38</v>
      </c>
      <c r="C98" s="7"/>
      <c r="D98" s="7"/>
      <c r="E98" s="10" t="s">
        <v>38</v>
      </c>
      <c r="F98" s="7"/>
      <c r="G98" s="7"/>
      <c r="H98" s="10" t="s">
        <v>38</v>
      </c>
      <c r="I98" s="9"/>
      <c r="J98" s="9"/>
      <c r="K98" s="10" t="s">
        <v>38</v>
      </c>
      <c r="L98" s="7"/>
      <c r="M98" s="7"/>
      <c r="N98" s="10" t="s">
        <v>38</v>
      </c>
      <c r="O98" s="7"/>
      <c r="P98" s="7"/>
      <c r="Q98" s="10" t="s">
        <v>38</v>
      </c>
      <c r="R98" s="7"/>
      <c r="S98" s="7"/>
      <c r="T98" s="10" t="s">
        <v>38</v>
      </c>
      <c r="U98" s="9"/>
      <c r="V98" s="9"/>
      <c r="W98" s="10" t="s">
        <v>38</v>
      </c>
      <c r="X98" s="7"/>
      <c r="Y98" s="7"/>
      <c r="Z98" s="10" t="s">
        <v>38</v>
      </c>
      <c r="AA98" s="7"/>
      <c r="AB98" s="7"/>
      <c r="AC98" s="10" t="s">
        <v>38</v>
      </c>
      <c r="AD98" s="7"/>
      <c r="AE98" s="7"/>
      <c r="AF98" s="10" t="s">
        <v>38</v>
      </c>
      <c r="AG98" s="9"/>
      <c r="AH98" s="9"/>
      <c r="AI98" s="10" t="s">
        <v>38</v>
      </c>
      <c r="AJ98" s="7"/>
      <c r="AK98" s="7"/>
      <c r="AL98" s="10" t="s">
        <v>38</v>
      </c>
      <c r="AM98" s="7"/>
      <c r="AN98" s="7"/>
      <c r="AO98" s="10" t="s">
        <v>38</v>
      </c>
      <c r="AP98" s="7"/>
      <c r="AQ98" s="7"/>
      <c r="AR98" s="10" t="s">
        <v>38</v>
      </c>
      <c r="AS98" s="9"/>
      <c r="AT98" s="9"/>
      <c r="AU98" s="10" t="s">
        <v>38</v>
      </c>
      <c r="AV98" s="7"/>
      <c r="AW98" s="7"/>
      <c r="AX98" s="10" t="s">
        <v>38</v>
      </c>
      <c r="AY98" s="7"/>
      <c r="AZ98" s="7"/>
      <c r="BA98" s="10" t="s">
        <v>38</v>
      </c>
      <c r="BB98" s="7"/>
      <c r="BC98" s="7"/>
      <c r="BD98" s="10" t="s">
        <v>38</v>
      </c>
      <c r="BE98" s="9"/>
      <c r="BF98" s="9"/>
      <c r="BG98" s="10" t="s">
        <v>38</v>
      </c>
      <c r="BH98" s="7"/>
      <c r="BI98" s="7"/>
      <c r="BJ98" s="10" t="s">
        <v>38</v>
      </c>
      <c r="BK98" s="7"/>
      <c r="BL98" s="7"/>
      <c r="BM98" s="10" t="s">
        <v>38</v>
      </c>
      <c r="BN98" s="7"/>
      <c r="BO98" s="7"/>
      <c r="BP98" s="10" t="s">
        <v>38</v>
      </c>
      <c r="BQ98" s="9"/>
      <c r="BR98" s="9"/>
      <c r="BS98" s="10" t="s">
        <v>38</v>
      </c>
      <c r="BT98" s="7"/>
      <c r="BU98" s="7"/>
      <c r="BV98" s="10" t="s">
        <v>38</v>
      </c>
      <c r="BW98" s="7"/>
      <c r="BX98" s="7"/>
      <c r="BY98" s="10" t="s">
        <v>38</v>
      </c>
      <c r="BZ98" s="7"/>
      <c r="CA98" s="7"/>
      <c r="CB98" s="10" t="s">
        <v>38</v>
      </c>
      <c r="CC98" s="9"/>
      <c r="CD98" s="9"/>
      <c r="CE98" s="10" t="s">
        <v>38</v>
      </c>
      <c r="CF98" s="7"/>
      <c r="CG98" s="7"/>
      <c r="CH98" s="10" t="s">
        <v>38</v>
      </c>
      <c r="CI98" s="7"/>
      <c r="CJ98" s="7"/>
      <c r="CK98" s="10" t="s">
        <v>38</v>
      </c>
      <c r="CL98" s="7"/>
      <c r="CM98" s="7"/>
      <c r="CN98" s="10" t="s">
        <v>38</v>
      </c>
      <c r="CO98" s="9"/>
      <c r="CP98" s="9"/>
      <c r="CQ98" s="10" t="s">
        <v>38</v>
      </c>
      <c r="CR98" s="7"/>
      <c r="CS98" s="7"/>
      <c r="CT98" s="10" t="s">
        <v>38</v>
      </c>
      <c r="CU98" s="7"/>
      <c r="CV98" s="7"/>
      <c r="CW98" s="10" t="s">
        <v>38</v>
      </c>
      <c r="CX98" s="7"/>
      <c r="CY98" s="7"/>
      <c r="CZ98" s="10" t="s">
        <v>38</v>
      </c>
      <c r="DA98" s="9"/>
      <c r="DB98" s="9"/>
      <c r="DC98" s="10" t="s">
        <v>38</v>
      </c>
      <c r="DD98" s="7"/>
      <c r="DE98" s="7"/>
      <c r="DF98" s="10" t="s">
        <v>38</v>
      </c>
      <c r="DG98" s="7"/>
      <c r="DH98" s="7"/>
      <c r="DI98" s="10" t="s">
        <v>38</v>
      </c>
      <c r="DJ98" s="7"/>
      <c r="DK98" s="7"/>
      <c r="DL98" s="10" t="s">
        <v>38</v>
      </c>
      <c r="DM98" s="9"/>
      <c r="DN98" s="9"/>
      <c r="DO98" s="10" t="s">
        <v>38</v>
      </c>
      <c r="DP98" s="7"/>
      <c r="DQ98" s="7"/>
      <c r="DR98" s="10" t="s">
        <v>38</v>
      </c>
      <c r="DS98" s="7"/>
      <c r="DT98" s="7"/>
      <c r="DU98" s="10" t="s">
        <v>38</v>
      </c>
      <c r="DV98" s="7"/>
      <c r="DW98" s="7"/>
      <c r="DX98" s="10" t="s">
        <v>38</v>
      </c>
      <c r="DY98" s="9"/>
      <c r="DZ98" s="9"/>
      <c r="EA98" s="10" t="s">
        <v>38</v>
      </c>
      <c r="EB98" s="7"/>
      <c r="EC98" s="7"/>
      <c r="ED98" s="10" t="s">
        <v>38</v>
      </c>
      <c r="EE98" s="7"/>
      <c r="EF98" s="7"/>
      <c r="EG98" s="10" t="s">
        <v>38</v>
      </c>
      <c r="EH98" s="7"/>
      <c r="EI98" s="7"/>
      <c r="EJ98" s="10" t="s">
        <v>38</v>
      </c>
      <c r="EK98" s="9"/>
      <c r="EL98" s="9"/>
      <c r="EM98" s="10" t="s">
        <v>38</v>
      </c>
      <c r="EN98" s="7"/>
      <c r="EO98" s="7"/>
      <c r="EP98" s="10" t="s">
        <v>38</v>
      </c>
      <c r="EQ98" s="7"/>
      <c r="ER98" s="7"/>
      <c r="ES98" s="10" t="s">
        <v>38</v>
      </c>
      <c r="ET98" s="7"/>
      <c r="EU98" s="7"/>
      <c r="EV98" s="10" t="s">
        <v>38</v>
      </c>
      <c r="EW98" s="9"/>
      <c r="EX98" s="9"/>
      <c r="EY98" s="10" t="s">
        <v>38</v>
      </c>
      <c r="EZ98" s="7"/>
      <c r="FA98" s="7"/>
      <c r="FB98" s="10" t="s">
        <v>38</v>
      </c>
      <c r="FC98" s="7"/>
      <c r="FD98" s="7"/>
      <c r="FE98" s="10" t="s">
        <v>38</v>
      </c>
      <c r="FF98" s="7"/>
      <c r="FG98" s="7"/>
      <c r="FH98" s="10" t="s">
        <v>38</v>
      </c>
      <c r="FI98" s="9"/>
      <c r="FJ98" s="9"/>
      <c r="FK98" s="10" t="s">
        <v>38</v>
      </c>
      <c r="FL98" s="7"/>
      <c r="FM98" s="7"/>
      <c r="FN98" s="10" t="s">
        <v>38</v>
      </c>
      <c r="FO98" s="7"/>
      <c r="FP98" s="7"/>
      <c r="FQ98" s="10" t="s">
        <v>38</v>
      </c>
      <c r="FR98" s="7"/>
      <c r="FS98" s="7"/>
      <c r="FT98" s="10" t="s">
        <v>38</v>
      </c>
      <c r="FU98" s="9">
        <v>15</v>
      </c>
      <c r="FV98" s="9">
        <v>100</v>
      </c>
      <c r="FW98" s="10" t="s">
        <v>38</v>
      </c>
      <c r="FX98" s="7"/>
      <c r="FY98" s="7"/>
      <c r="FZ98" s="10" t="s">
        <v>38</v>
      </c>
      <c r="GA98" s="7"/>
      <c r="GB98" s="7"/>
      <c r="GC98" s="10" t="s">
        <v>38</v>
      </c>
      <c r="GD98" s="7"/>
      <c r="GE98" s="7"/>
      <c r="GF98" s="10" t="s">
        <v>38</v>
      </c>
      <c r="GG98" s="7">
        <v>25</v>
      </c>
      <c r="GH98" s="7">
        <v>95</v>
      </c>
      <c r="GI98" s="10" t="s">
        <v>38</v>
      </c>
      <c r="GJ98" s="7"/>
      <c r="GK98" s="7"/>
      <c r="GL98" s="10" t="s">
        <v>38</v>
      </c>
      <c r="GM98" s="7"/>
      <c r="GN98" s="7"/>
      <c r="GO98" s="6" t="s">
        <v>38</v>
      </c>
      <c r="GP98" s="7"/>
      <c r="GQ98" s="7"/>
      <c r="GR98" s="6" t="s">
        <v>38</v>
      </c>
      <c r="GS98" s="7">
        <v>40</v>
      </c>
      <c r="GT98" s="7">
        <v>160</v>
      </c>
      <c r="GV98" s="7"/>
      <c r="GW98" s="7"/>
      <c r="GX98" s="10" t="s">
        <v>38</v>
      </c>
      <c r="GY98" s="7"/>
      <c r="GZ98" s="7"/>
      <c r="HA98" s="10" t="s">
        <v>38</v>
      </c>
      <c r="HB98" s="7"/>
      <c r="HC98" s="7"/>
      <c r="HD98" s="10" t="s">
        <v>38</v>
      </c>
      <c r="HE98" s="7">
        <v>35</v>
      </c>
      <c r="HF98" s="7">
        <v>150</v>
      </c>
      <c r="HG98" s="10" t="s">
        <v>38</v>
      </c>
      <c r="HH98" s="7"/>
      <c r="HI98" s="7"/>
      <c r="HJ98" s="10" t="s">
        <v>38</v>
      </c>
      <c r="HK98" s="7"/>
      <c r="HL98" s="7"/>
      <c r="HM98" s="10" t="s">
        <v>38</v>
      </c>
      <c r="HN98" s="7"/>
      <c r="HO98" s="7"/>
      <c r="HP98" s="10" t="s">
        <v>38</v>
      </c>
      <c r="HQ98" s="7">
        <v>48</v>
      </c>
      <c r="HR98" s="7">
        <v>200</v>
      </c>
      <c r="HS98" s="10" t="s">
        <v>38</v>
      </c>
      <c r="HT98" s="7"/>
      <c r="HU98" s="7"/>
      <c r="HV98" s="10" t="s">
        <v>38</v>
      </c>
      <c r="HW98" s="7"/>
      <c r="HX98" s="7"/>
      <c r="HY98" s="6" t="s">
        <v>38</v>
      </c>
      <c r="HZ98" s="7"/>
      <c r="IA98" s="7"/>
      <c r="IB98" s="6" t="s">
        <v>38</v>
      </c>
      <c r="IC98" s="7"/>
      <c r="ID98" s="7"/>
      <c r="IF98" s="7"/>
      <c r="IG98" s="7"/>
      <c r="II98" s="7"/>
      <c r="IJ98" s="7"/>
      <c r="IK98" s="7"/>
      <c r="IL98" s="7"/>
      <c r="IM98" s="7"/>
      <c r="IN98" s="7"/>
      <c r="IP98" s="7"/>
      <c r="IQ98" s="7"/>
      <c r="IR98" s="7"/>
      <c r="IS98" s="7"/>
      <c r="IT98" s="7"/>
      <c r="IU98" s="7"/>
      <c r="IV98" s="7"/>
      <c r="IW98" s="7"/>
      <c r="IX98" s="7"/>
      <c r="IY98" s="7"/>
      <c r="IZ98" s="7"/>
      <c r="JA98" s="7"/>
      <c r="JB98" s="7"/>
      <c r="JC98" s="7"/>
      <c r="JE98" s="7"/>
      <c r="JF98" s="7"/>
      <c r="JH98" s="7"/>
      <c r="JI98" s="7"/>
      <c r="JJ98" s="7"/>
      <c r="JK98" s="7"/>
      <c r="JL98" s="7"/>
      <c r="JM98" s="7"/>
      <c r="JO98" s="7"/>
      <c r="JP98" s="7"/>
      <c r="JQ98" s="7"/>
      <c r="JR98" s="7"/>
      <c r="JT98" s="7"/>
      <c r="JU98" s="7"/>
      <c r="JV98" s="7"/>
      <c r="JW98" s="7"/>
      <c r="JX98" s="7"/>
    </row>
    <row r="99" spans="1:284" x14ac:dyDescent="0.3">
      <c r="A99" t="s">
        <v>79</v>
      </c>
      <c r="B99" s="10" t="s">
        <v>53</v>
      </c>
      <c r="C99" s="7"/>
      <c r="D99" s="7"/>
      <c r="E99" s="10" t="s">
        <v>53</v>
      </c>
      <c r="F99" s="7"/>
      <c r="G99" s="7"/>
      <c r="H99" s="10" t="s">
        <v>53</v>
      </c>
      <c r="I99" s="9"/>
      <c r="J99" s="9"/>
      <c r="K99" s="10" t="s">
        <v>53</v>
      </c>
      <c r="L99" s="7"/>
      <c r="M99" s="7"/>
      <c r="N99" s="10" t="s">
        <v>53</v>
      </c>
      <c r="O99" s="7"/>
      <c r="P99" s="7"/>
      <c r="Q99" s="10" t="s">
        <v>53</v>
      </c>
      <c r="R99" s="7"/>
      <c r="S99" s="7"/>
      <c r="T99" s="10" t="s">
        <v>53</v>
      </c>
      <c r="U99" s="9"/>
      <c r="V99" s="9"/>
      <c r="W99" s="10" t="s">
        <v>53</v>
      </c>
      <c r="X99" s="7"/>
      <c r="Y99" s="7"/>
      <c r="Z99" s="10" t="s">
        <v>53</v>
      </c>
      <c r="AA99" s="7"/>
      <c r="AB99" s="7"/>
      <c r="AC99" s="10" t="s">
        <v>53</v>
      </c>
      <c r="AD99" s="7"/>
      <c r="AE99" s="7"/>
      <c r="AF99" s="10" t="s">
        <v>53</v>
      </c>
      <c r="AG99" s="9"/>
      <c r="AH99" s="9"/>
      <c r="AI99" s="10" t="s">
        <v>53</v>
      </c>
      <c r="AJ99" s="7"/>
      <c r="AK99" s="7"/>
      <c r="AL99" s="10" t="s">
        <v>53</v>
      </c>
      <c r="AM99" s="7"/>
      <c r="AN99" s="7"/>
      <c r="AO99" s="10" t="s">
        <v>53</v>
      </c>
      <c r="AP99" s="7"/>
      <c r="AQ99" s="7"/>
      <c r="AR99" s="10" t="s">
        <v>53</v>
      </c>
      <c r="AS99" s="9"/>
      <c r="AT99" s="9"/>
      <c r="AU99" s="10" t="s">
        <v>53</v>
      </c>
      <c r="AV99" s="7"/>
      <c r="AW99" s="7"/>
      <c r="AX99" s="10" t="s">
        <v>53</v>
      </c>
      <c r="AY99" s="7"/>
      <c r="AZ99" s="7"/>
      <c r="BA99" s="10" t="s">
        <v>53</v>
      </c>
      <c r="BB99" s="7"/>
      <c r="BC99" s="7"/>
      <c r="BD99" s="10" t="s">
        <v>53</v>
      </c>
      <c r="BE99" s="9"/>
      <c r="BF99" s="9"/>
      <c r="BG99" s="10" t="s">
        <v>53</v>
      </c>
      <c r="BH99" s="7"/>
      <c r="BI99" s="7"/>
      <c r="BJ99" s="10" t="s">
        <v>53</v>
      </c>
      <c r="BK99" s="7"/>
      <c r="BL99" s="7"/>
      <c r="BM99" s="10" t="s">
        <v>53</v>
      </c>
      <c r="BN99" s="7"/>
      <c r="BO99" s="7"/>
      <c r="BP99" s="10" t="s">
        <v>53</v>
      </c>
      <c r="BQ99" s="9"/>
      <c r="BR99" s="9"/>
      <c r="BS99" s="10" t="s">
        <v>53</v>
      </c>
      <c r="BT99" s="7"/>
      <c r="BU99" s="7"/>
      <c r="BV99" s="10" t="s">
        <v>53</v>
      </c>
      <c r="BW99" s="7"/>
      <c r="BX99" s="7"/>
      <c r="BY99" s="10" t="s">
        <v>53</v>
      </c>
      <c r="BZ99" s="7"/>
      <c r="CA99" s="7"/>
      <c r="CB99" s="10" t="s">
        <v>53</v>
      </c>
      <c r="CC99" s="9"/>
      <c r="CD99" s="9"/>
      <c r="CE99" s="10" t="s">
        <v>53</v>
      </c>
      <c r="CF99" s="7"/>
      <c r="CG99" s="7"/>
      <c r="CH99" s="10" t="s">
        <v>53</v>
      </c>
      <c r="CI99" s="7"/>
      <c r="CJ99" s="7"/>
      <c r="CK99" s="10" t="s">
        <v>53</v>
      </c>
      <c r="CL99" s="7"/>
      <c r="CM99" s="7"/>
      <c r="CN99" s="10" t="s">
        <v>53</v>
      </c>
      <c r="CO99" s="9"/>
      <c r="CP99" s="9"/>
      <c r="CQ99" s="10" t="s">
        <v>53</v>
      </c>
      <c r="CR99" s="7"/>
      <c r="CS99" s="7"/>
      <c r="CT99" s="10" t="s">
        <v>53</v>
      </c>
      <c r="CU99" s="7"/>
      <c r="CV99" s="7"/>
      <c r="CW99" s="10" t="s">
        <v>53</v>
      </c>
      <c r="CX99" s="7"/>
      <c r="CY99" s="7"/>
      <c r="CZ99" s="10" t="s">
        <v>53</v>
      </c>
      <c r="DA99" s="9"/>
      <c r="DB99" s="9"/>
      <c r="DC99" s="10" t="s">
        <v>53</v>
      </c>
      <c r="DD99" s="7"/>
      <c r="DE99" s="7"/>
      <c r="DF99" s="10" t="s">
        <v>53</v>
      </c>
      <c r="DG99" s="7"/>
      <c r="DH99" s="7"/>
      <c r="DI99" s="10" t="s">
        <v>53</v>
      </c>
      <c r="DJ99" s="7"/>
      <c r="DK99" s="7"/>
      <c r="DL99" s="10" t="s">
        <v>53</v>
      </c>
      <c r="DM99" s="9"/>
      <c r="DN99" s="9"/>
      <c r="DO99" s="10" t="s">
        <v>53</v>
      </c>
      <c r="DP99" s="7"/>
      <c r="DQ99" s="7"/>
      <c r="DR99" s="10" t="s">
        <v>53</v>
      </c>
      <c r="DS99" s="7"/>
      <c r="DT99" s="7"/>
      <c r="DU99" s="10" t="s">
        <v>53</v>
      </c>
      <c r="DV99" s="7"/>
      <c r="DW99" s="7"/>
      <c r="DX99" s="10" t="s">
        <v>53</v>
      </c>
      <c r="DY99" s="9"/>
      <c r="DZ99" s="9"/>
      <c r="EA99" s="10" t="s">
        <v>53</v>
      </c>
      <c r="EB99" s="7"/>
      <c r="EC99" s="7"/>
      <c r="ED99" s="10" t="s">
        <v>53</v>
      </c>
      <c r="EE99" s="7"/>
      <c r="EF99" s="7"/>
      <c r="EG99" s="10" t="s">
        <v>53</v>
      </c>
      <c r="EH99" s="7"/>
      <c r="EI99" s="7"/>
      <c r="EJ99" s="10" t="s">
        <v>53</v>
      </c>
      <c r="EK99" s="9"/>
      <c r="EL99" s="9"/>
      <c r="EM99" s="10" t="s">
        <v>53</v>
      </c>
      <c r="EN99" s="7"/>
      <c r="EO99" s="7"/>
      <c r="EP99" s="10" t="s">
        <v>53</v>
      </c>
      <c r="EQ99" s="7"/>
      <c r="ER99" s="7"/>
      <c r="ES99" s="10" t="s">
        <v>53</v>
      </c>
      <c r="ET99" s="7"/>
      <c r="EU99" s="7"/>
      <c r="EV99" s="10" t="s">
        <v>53</v>
      </c>
      <c r="EW99" s="9"/>
      <c r="EX99" s="9"/>
      <c r="EY99" s="10" t="s">
        <v>53</v>
      </c>
      <c r="EZ99" s="7"/>
      <c r="FA99" s="7"/>
      <c r="FB99" s="10" t="s">
        <v>53</v>
      </c>
      <c r="FC99" s="7"/>
      <c r="FD99" s="7"/>
      <c r="FE99" s="10" t="s">
        <v>53</v>
      </c>
      <c r="FF99" s="7"/>
      <c r="FG99" s="7"/>
      <c r="FH99" s="10" t="s">
        <v>53</v>
      </c>
      <c r="FI99" s="9"/>
      <c r="FJ99" s="9"/>
      <c r="FK99" s="10" t="s">
        <v>53</v>
      </c>
      <c r="FL99" s="7"/>
      <c r="FM99" s="7"/>
      <c r="FN99" s="10" t="s">
        <v>53</v>
      </c>
      <c r="FO99" s="7"/>
      <c r="FP99" s="7"/>
      <c r="FQ99" s="10" t="s">
        <v>53</v>
      </c>
      <c r="FR99" s="7"/>
      <c r="FS99" s="7"/>
      <c r="FT99" s="10" t="s">
        <v>53</v>
      </c>
      <c r="FU99" s="9">
        <v>40000</v>
      </c>
      <c r="FV99" s="9">
        <v>70000</v>
      </c>
      <c r="FW99" s="10" t="s">
        <v>53</v>
      </c>
      <c r="FX99" s="7"/>
      <c r="FY99" s="7"/>
      <c r="FZ99" s="10" t="s">
        <v>53</v>
      </c>
      <c r="GA99" s="7"/>
      <c r="GB99" s="7"/>
      <c r="GC99" s="10" t="s">
        <v>53</v>
      </c>
      <c r="GD99" s="7"/>
      <c r="GE99" s="7"/>
      <c r="GF99" s="10" t="s">
        <v>53</v>
      </c>
      <c r="GG99" s="7">
        <v>35000</v>
      </c>
      <c r="GH99" s="7">
        <v>70000</v>
      </c>
      <c r="GI99" s="10" t="s">
        <v>53</v>
      </c>
      <c r="GJ99" s="7"/>
      <c r="GK99" s="7"/>
      <c r="GL99" s="10" t="s">
        <v>53</v>
      </c>
      <c r="GM99" s="7"/>
      <c r="GN99" s="7"/>
      <c r="GO99" s="6" t="s">
        <v>53</v>
      </c>
      <c r="GP99" s="7"/>
      <c r="GQ99" s="7"/>
      <c r="GR99" s="6" t="s">
        <v>53</v>
      </c>
      <c r="GS99" s="7">
        <v>12400</v>
      </c>
      <c r="GT99" s="7">
        <v>37500</v>
      </c>
      <c r="GV99" s="7"/>
      <c r="GW99" s="7"/>
      <c r="GX99" s="10" t="s">
        <v>53</v>
      </c>
      <c r="GY99" s="7"/>
      <c r="GZ99" s="7"/>
      <c r="HA99" s="10" t="s">
        <v>53</v>
      </c>
      <c r="HB99" s="7"/>
      <c r="HC99" s="7"/>
      <c r="HD99" s="10" t="s">
        <v>53</v>
      </c>
      <c r="HE99" s="7">
        <v>13000</v>
      </c>
      <c r="HF99" s="7">
        <v>50000</v>
      </c>
      <c r="HG99" s="10" t="s">
        <v>53</v>
      </c>
      <c r="HH99" s="7"/>
      <c r="HI99" s="7"/>
      <c r="HJ99" s="10" t="s">
        <v>53</v>
      </c>
      <c r="HK99" s="7"/>
      <c r="HL99" s="7"/>
      <c r="HM99" s="10" t="s">
        <v>53</v>
      </c>
      <c r="HN99" s="7"/>
      <c r="HO99" s="7"/>
      <c r="HP99" s="10" t="s">
        <v>53</v>
      </c>
      <c r="HQ99" s="7">
        <v>14000</v>
      </c>
      <c r="HR99" s="7">
        <v>40000</v>
      </c>
      <c r="HS99" s="10" t="s">
        <v>53</v>
      </c>
      <c r="HT99" s="7"/>
      <c r="HU99" s="7"/>
      <c r="HV99" s="10" t="s">
        <v>53</v>
      </c>
      <c r="HW99" s="7"/>
      <c r="HX99" s="7"/>
      <c r="HY99" s="6" t="s">
        <v>53</v>
      </c>
      <c r="HZ99" s="7"/>
      <c r="IA99" s="7"/>
      <c r="IB99" s="6" t="s">
        <v>53</v>
      </c>
      <c r="IC99" s="7">
        <v>14132</v>
      </c>
      <c r="ID99" s="7">
        <v>45140</v>
      </c>
      <c r="IF99" s="7"/>
      <c r="IG99" s="7"/>
      <c r="II99" s="7"/>
      <c r="IJ99" s="7"/>
      <c r="IK99" s="7"/>
      <c r="IL99" s="7"/>
      <c r="IM99" s="7"/>
      <c r="IN99" s="7"/>
      <c r="IP99" s="7"/>
      <c r="IQ99" s="7"/>
      <c r="IR99" s="7"/>
      <c r="IS99" s="7"/>
      <c r="IT99" s="7"/>
      <c r="IU99" s="7"/>
      <c r="IV99" s="7"/>
      <c r="IW99" s="7"/>
      <c r="IX99" s="7"/>
      <c r="IY99" s="7"/>
      <c r="IZ99" s="7"/>
      <c r="JA99" s="7"/>
      <c r="JB99" s="7"/>
      <c r="JC99" s="7"/>
      <c r="JE99" s="7"/>
      <c r="JF99" s="7"/>
      <c r="JH99" s="7"/>
      <c r="JI99" s="7"/>
      <c r="JJ99" s="7"/>
      <c r="JK99" s="7"/>
      <c r="JL99" s="7"/>
      <c r="JM99" s="7"/>
      <c r="JO99" s="7"/>
      <c r="JP99" s="7"/>
      <c r="JQ99" s="7"/>
      <c r="JR99" s="7"/>
      <c r="JT99" s="7"/>
      <c r="JU99" s="7"/>
      <c r="JV99" s="7"/>
      <c r="JW99" s="7"/>
      <c r="JX99" s="7"/>
    </row>
    <row r="100" spans="1:284" x14ac:dyDescent="0.3">
      <c r="A100" t="s">
        <v>266</v>
      </c>
      <c r="C100" s="7"/>
      <c r="D100" s="7"/>
      <c r="F100" s="7"/>
      <c r="G100" s="7"/>
      <c r="I100" s="9"/>
      <c r="J100" s="9"/>
      <c r="L100" s="7"/>
      <c r="M100" s="7"/>
      <c r="O100" s="7"/>
      <c r="P100" s="7"/>
      <c r="R100" s="7"/>
      <c r="S100" s="7"/>
      <c r="U100" s="9"/>
      <c r="V100" s="9"/>
      <c r="X100" s="7"/>
      <c r="Y100" s="7"/>
      <c r="AA100" s="7"/>
      <c r="AB100" s="7"/>
      <c r="AD100" s="7"/>
      <c r="AE100" s="7"/>
      <c r="AG100" s="9"/>
      <c r="AH100" s="9"/>
      <c r="AJ100" s="7"/>
      <c r="AK100" s="7"/>
      <c r="AM100" s="7"/>
      <c r="AN100" s="7"/>
      <c r="AP100" s="7"/>
      <c r="AQ100" s="7"/>
      <c r="AS100" s="9"/>
      <c r="AT100" s="9"/>
      <c r="AV100" s="7"/>
      <c r="AW100" s="7"/>
      <c r="AY100" s="7"/>
      <c r="AZ100" s="7"/>
      <c r="BB100" s="7"/>
      <c r="BC100" s="7"/>
      <c r="BE100" s="9"/>
      <c r="BF100" s="9"/>
      <c r="BH100" s="7"/>
      <c r="BI100" s="7"/>
      <c r="BK100" s="7"/>
      <c r="BL100" s="7"/>
      <c r="BN100" s="7"/>
      <c r="BO100" s="7"/>
      <c r="BQ100" s="9"/>
      <c r="BR100" s="9"/>
      <c r="BT100" s="7"/>
      <c r="BU100" s="7"/>
      <c r="BW100" s="7"/>
      <c r="BX100" s="7"/>
      <c r="BZ100" s="7"/>
      <c r="CA100" s="7"/>
      <c r="CC100" s="9"/>
      <c r="CD100" s="9"/>
      <c r="CF100" s="7"/>
      <c r="CG100" s="7"/>
      <c r="CI100" s="7"/>
      <c r="CJ100" s="7"/>
      <c r="CL100" s="7"/>
      <c r="CM100" s="7"/>
      <c r="CO100" s="9"/>
      <c r="CP100" s="9"/>
      <c r="CR100" s="7"/>
      <c r="CS100" s="7"/>
      <c r="CU100" s="7"/>
      <c r="CV100" s="7"/>
      <c r="CX100" s="7"/>
      <c r="CY100" s="7"/>
      <c r="DA100" s="9"/>
      <c r="DB100" s="9"/>
      <c r="DD100" s="7"/>
      <c r="DE100" s="7"/>
      <c r="DG100" s="7"/>
      <c r="DH100" s="7"/>
      <c r="DJ100" s="7"/>
      <c r="DK100" s="7"/>
      <c r="DM100" s="9"/>
      <c r="DN100" s="9"/>
      <c r="DP100" s="7"/>
      <c r="DQ100" s="7"/>
      <c r="DS100" s="7"/>
      <c r="DT100" s="7"/>
      <c r="DV100" s="7"/>
      <c r="DW100" s="7"/>
      <c r="DY100" s="9"/>
      <c r="DZ100" s="9"/>
      <c r="EB100" s="7"/>
      <c r="EC100" s="7"/>
      <c r="EE100" s="7"/>
      <c r="EF100" s="7"/>
      <c r="EH100" s="7"/>
      <c r="EI100" s="7"/>
      <c r="EK100" s="9"/>
      <c r="EL100" s="9"/>
      <c r="EN100" s="7"/>
      <c r="EO100" s="7"/>
      <c r="EQ100" s="7"/>
      <c r="ER100" s="7"/>
      <c r="ET100" s="7"/>
      <c r="EU100" s="7"/>
      <c r="EW100" s="9"/>
      <c r="EX100" s="9"/>
      <c r="EZ100" s="7"/>
      <c r="FA100" s="7"/>
      <c r="FC100" s="7"/>
      <c r="FD100" s="7"/>
      <c r="FF100" s="7"/>
      <c r="FG100" s="7"/>
      <c r="FI100" s="9"/>
      <c r="FJ100" s="9"/>
      <c r="FL100" s="7"/>
      <c r="FM100" s="7"/>
      <c r="FO100" s="7"/>
      <c r="FP100" s="7"/>
      <c r="FR100" s="7"/>
      <c r="FS100" s="7"/>
      <c r="FU100" s="9"/>
      <c r="FV100" s="9"/>
      <c r="FX100" s="7"/>
      <c r="FY100" s="7"/>
      <c r="GA100" s="7"/>
      <c r="GB100" s="7"/>
      <c r="GD100" s="7"/>
      <c r="GE100" s="7"/>
      <c r="GG100" s="7"/>
      <c r="GH100" s="7"/>
      <c r="GJ100" s="7"/>
      <c r="GK100" s="7"/>
      <c r="GM100" s="7"/>
      <c r="GN100" s="7"/>
      <c r="GO100" s="10"/>
      <c r="GP100" s="7"/>
      <c r="GQ100" s="7"/>
      <c r="GR100" s="10"/>
      <c r="GS100" s="7"/>
      <c r="GT100" s="7"/>
      <c r="GV100" s="7"/>
      <c r="GW100" s="7"/>
      <c r="GY100" s="7"/>
      <c r="GZ100" s="7"/>
      <c r="HB100" s="7"/>
      <c r="HC100" s="7"/>
      <c r="HE100" s="7"/>
      <c r="HF100" s="7"/>
      <c r="HH100" s="7"/>
      <c r="HI100" s="7"/>
      <c r="HK100" s="7"/>
      <c r="HL100" s="7"/>
      <c r="HN100" s="7"/>
      <c r="HO100" s="7"/>
      <c r="HQ100" s="7"/>
      <c r="HR100" s="7"/>
      <c r="HT100" s="7"/>
      <c r="HU100" s="7"/>
      <c r="HW100" s="7"/>
      <c r="HX100" s="7"/>
      <c r="HY100" s="10"/>
      <c r="HZ100" s="7"/>
      <c r="IA100" s="7"/>
      <c r="IC100" s="7"/>
      <c r="ID100" s="7"/>
      <c r="IF100" s="7"/>
      <c r="IG100" s="7"/>
      <c r="II100" s="7"/>
      <c r="IJ100" s="7"/>
      <c r="IK100" s="7"/>
      <c r="IL100" s="7"/>
      <c r="IM100" s="7"/>
      <c r="IN100" s="7"/>
      <c r="IP100" s="7"/>
      <c r="IQ100" s="7"/>
      <c r="IR100" s="7"/>
      <c r="IS100" s="7"/>
      <c r="IT100" s="7"/>
      <c r="IU100" s="7"/>
      <c r="IV100" s="7"/>
      <c r="IW100" s="7"/>
      <c r="IX100" s="7"/>
      <c r="IY100" s="7"/>
      <c r="IZ100" s="7"/>
      <c r="JA100" s="7"/>
      <c r="JB100" s="7"/>
      <c r="JC100" s="7"/>
      <c r="JE100" s="7"/>
      <c r="JF100" s="7"/>
      <c r="JH100" s="7"/>
      <c r="JI100" s="7"/>
      <c r="JJ100" s="7"/>
      <c r="JK100" s="7"/>
      <c r="JL100" s="7"/>
      <c r="JM100" s="7"/>
      <c r="JO100" s="7"/>
      <c r="JP100" s="7"/>
      <c r="JQ100" s="7"/>
      <c r="JR100" s="7"/>
      <c r="JS100" t="s">
        <v>7</v>
      </c>
      <c r="JT100" s="7">
        <v>3287</v>
      </c>
      <c r="JU100" s="7">
        <v>1534</v>
      </c>
      <c r="JV100" s="7">
        <v>102</v>
      </c>
      <c r="JW100" s="7">
        <v>42</v>
      </c>
      <c r="JX100" s="7"/>
    </row>
    <row r="101" spans="1:284" x14ac:dyDescent="0.3">
      <c r="A101" t="s">
        <v>267</v>
      </c>
      <c r="B101" s="10" t="s">
        <v>38</v>
      </c>
      <c r="C101" s="7"/>
      <c r="D101" s="7"/>
      <c r="E101" s="10" t="s">
        <v>38</v>
      </c>
      <c r="F101" s="7"/>
      <c r="G101" s="7"/>
      <c r="H101" s="10" t="s">
        <v>38</v>
      </c>
      <c r="I101" s="9"/>
      <c r="J101" s="9"/>
      <c r="K101" s="10" t="s">
        <v>38</v>
      </c>
      <c r="L101" s="7"/>
      <c r="M101" s="7"/>
      <c r="N101" s="10" t="s">
        <v>38</v>
      </c>
      <c r="O101" s="7"/>
      <c r="P101" s="7"/>
      <c r="Q101" s="10" t="s">
        <v>38</v>
      </c>
      <c r="R101" s="7"/>
      <c r="S101" s="7"/>
      <c r="T101" s="10" t="s">
        <v>38</v>
      </c>
      <c r="U101" s="9"/>
      <c r="V101" s="9"/>
      <c r="W101" s="10" t="s">
        <v>38</v>
      </c>
      <c r="X101" s="7"/>
      <c r="Y101" s="7"/>
      <c r="Z101" s="10" t="s">
        <v>38</v>
      </c>
      <c r="AA101" s="7"/>
      <c r="AB101" s="7"/>
      <c r="AC101" s="10" t="s">
        <v>38</v>
      </c>
      <c r="AD101" s="7"/>
      <c r="AE101" s="7"/>
      <c r="AF101" s="10" t="s">
        <v>38</v>
      </c>
      <c r="AG101" s="9"/>
      <c r="AH101" s="9"/>
      <c r="AI101" s="10" t="s">
        <v>38</v>
      </c>
      <c r="AJ101" s="7"/>
      <c r="AK101" s="7"/>
      <c r="AL101" s="10" t="s">
        <v>38</v>
      </c>
      <c r="AM101" s="7"/>
      <c r="AN101" s="7"/>
      <c r="AO101" s="10" t="s">
        <v>38</v>
      </c>
      <c r="AP101" s="7"/>
      <c r="AQ101" s="7"/>
      <c r="AR101" s="10" t="s">
        <v>38</v>
      </c>
      <c r="AS101" s="9"/>
      <c r="AT101" s="9"/>
      <c r="AU101" s="10" t="s">
        <v>38</v>
      </c>
      <c r="AV101" s="7"/>
      <c r="AW101" s="7"/>
      <c r="AX101" s="10" t="s">
        <v>38</v>
      </c>
      <c r="AY101" s="7"/>
      <c r="AZ101" s="7"/>
      <c r="BA101" s="10" t="s">
        <v>38</v>
      </c>
      <c r="BB101" s="7"/>
      <c r="BC101" s="7"/>
      <c r="BD101" s="10" t="s">
        <v>38</v>
      </c>
      <c r="BE101" s="9"/>
      <c r="BF101" s="9"/>
      <c r="BG101" s="10" t="s">
        <v>38</v>
      </c>
      <c r="BH101" s="7"/>
      <c r="BI101" s="7"/>
      <c r="BJ101" s="10" t="s">
        <v>38</v>
      </c>
      <c r="BK101" s="7"/>
      <c r="BL101" s="7"/>
      <c r="BM101" s="10" t="s">
        <v>38</v>
      </c>
      <c r="BN101" s="7"/>
      <c r="BO101" s="7"/>
      <c r="BP101" s="10" t="s">
        <v>38</v>
      </c>
      <c r="BQ101" s="9"/>
      <c r="BR101" s="9"/>
      <c r="BS101" s="10" t="s">
        <v>38</v>
      </c>
      <c r="BT101" s="7"/>
      <c r="BU101" s="7"/>
      <c r="BV101" s="10" t="s">
        <v>38</v>
      </c>
      <c r="BW101" s="7"/>
      <c r="BX101" s="7"/>
      <c r="BY101" s="10" t="s">
        <v>38</v>
      </c>
      <c r="BZ101" s="7"/>
      <c r="CA101" s="7"/>
      <c r="CB101" s="10" t="s">
        <v>38</v>
      </c>
      <c r="CC101" s="9"/>
      <c r="CD101" s="9"/>
      <c r="CE101" s="10" t="s">
        <v>38</v>
      </c>
      <c r="CF101" s="7"/>
      <c r="CG101" s="7"/>
      <c r="CH101" s="10" t="s">
        <v>38</v>
      </c>
      <c r="CI101" s="7"/>
      <c r="CJ101" s="7"/>
      <c r="CK101" s="10" t="s">
        <v>38</v>
      </c>
      <c r="CL101" s="7"/>
      <c r="CM101" s="7"/>
      <c r="CN101" s="10" t="s">
        <v>38</v>
      </c>
      <c r="CO101" s="9"/>
      <c r="CP101" s="9"/>
      <c r="CQ101" s="10" t="s">
        <v>38</v>
      </c>
      <c r="CR101" s="7"/>
      <c r="CS101" s="7"/>
      <c r="CT101" s="10" t="s">
        <v>38</v>
      </c>
      <c r="CU101" s="7"/>
      <c r="CV101" s="7"/>
      <c r="CW101" s="10" t="s">
        <v>38</v>
      </c>
      <c r="CX101" s="7"/>
      <c r="CY101" s="7"/>
      <c r="CZ101" s="10" t="s">
        <v>38</v>
      </c>
      <c r="DA101" s="9"/>
      <c r="DB101" s="9"/>
      <c r="DC101" s="10" t="s">
        <v>38</v>
      </c>
      <c r="DD101" s="7"/>
      <c r="DE101" s="7"/>
      <c r="DF101" s="10" t="s">
        <v>38</v>
      </c>
      <c r="DG101" s="7"/>
      <c r="DH101" s="7"/>
      <c r="DI101" s="10" t="s">
        <v>38</v>
      </c>
      <c r="DJ101" s="7"/>
      <c r="DK101" s="7"/>
      <c r="DL101" s="10" t="s">
        <v>38</v>
      </c>
      <c r="DM101" s="9"/>
      <c r="DN101" s="9"/>
      <c r="DO101" s="10" t="s">
        <v>38</v>
      </c>
      <c r="DP101" s="7"/>
      <c r="DQ101" s="7"/>
      <c r="DR101" s="10" t="s">
        <v>38</v>
      </c>
      <c r="DS101" s="7"/>
      <c r="DT101" s="7"/>
      <c r="DU101" s="10" t="s">
        <v>38</v>
      </c>
      <c r="DV101" s="7"/>
      <c r="DW101" s="7"/>
      <c r="DX101" s="10" t="s">
        <v>38</v>
      </c>
      <c r="DY101" s="9"/>
      <c r="DZ101" s="9"/>
      <c r="EA101" s="10" t="s">
        <v>38</v>
      </c>
      <c r="EB101" s="7"/>
      <c r="EC101" s="7"/>
      <c r="ED101" s="10" t="s">
        <v>38</v>
      </c>
      <c r="EE101" s="7"/>
      <c r="EF101" s="7"/>
      <c r="EG101" s="10" t="s">
        <v>38</v>
      </c>
      <c r="EH101" s="7"/>
      <c r="EI101" s="7"/>
      <c r="EJ101" s="10" t="s">
        <v>38</v>
      </c>
      <c r="EK101" s="9"/>
      <c r="EL101" s="9"/>
      <c r="EM101" s="10" t="s">
        <v>38</v>
      </c>
      <c r="EN101" s="7"/>
      <c r="EO101" s="7"/>
      <c r="EP101" s="10" t="s">
        <v>38</v>
      </c>
      <c r="EQ101" s="7"/>
      <c r="ER101" s="7"/>
      <c r="ES101" s="10" t="s">
        <v>38</v>
      </c>
      <c r="ET101" s="7"/>
      <c r="EU101" s="7"/>
      <c r="EV101" s="10" t="s">
        <v>38</v>
      </c>
      <c r="EW101" s="9"/>
      <c r="EX101" s="9"/>
      <c r="EY101" s="10" t="s">
        <v>38</v>
      </c>
      <c r="EZ101" s="7"/>
      <c r="FA101" s="7"/>
      <c r="FB101" s="10" t="s">
        <v>38</v>
      </c>
      <c r="FC101" s="7"/>
      <c r="FD101" s="7"/>
      <c r="FE101" s="10" t="s">
        <v>38</v>
      </c>
      <c r="FF101" s="7"/>
      <c r="FG101" s="7"/>
      <c r="FH101" s="10" t="s">
        <v>38</v>
      </c>
      <c r="FI101" s="9"/>
      <c r="FJ101" s="9"/>
      <c r="FK101" s="10" t="s">
        <v>38</v>
      </c>
      <c r="FL101" s="7"/>
      <c r="FM101" s="7"/>
      <c r="FN101" s="10" t="s">
        <v>38</v>
      </c>
      <c r="FO101" s="7"/>
      <c r="FP101" s="7"/>
      <c r="FQ101" s="10" t="s">
        <v>38</v>
      </c>
      <c r="FR101" s="7"/>
      <c r="FS101" s="7"/>
      <c r="FT101" s="10" t="s">
        <v>38</v>
      </c>
      <c r="FU101" s="9">
        <v>100</v>
      </c>
      <c r="FV101" s="9">
        <v>800</v>
      </c>
      <c r="FW101" s="10" t="s">
        <v>38</v>
      </c>
      <c r="FX101" s="7"/>
      <c r="FY101" s="7"/>
      <c r="FZ101" s="10" t="s">
        <v>38</v>
      </c>
      <c r="GA101" s="7"/>
      <c r="GB101" s="7"/>
      <c r="GC101" s="10" t="s">
        <v>38</v>
      </c>
      <c r="GD101" s="7"/>
      <c r="GE101" s="7"/>
      <c r="GF101" s="10" t="s">
        <v>38</v>
      </c>
      <c r="GG101" s="7">
        <v>131</v>
      </c>
      <c r="GH101" s="7">
        <v>997</v>
      </c>
      <c r="GI101" s="10" t="s">
        <v>38</v>
      </c>
      <c r="GJ101" s="7"/>
      <c r="GK101" s="7"/>
      <c r="GL101" s="10" t="s">
        <v>38</v>
      </c>
      <c r="GM101" s="7"/>
      <c r="GN101" s="7"/>
      <c r="GO101" s="6" t="s">
        <v>38</v>
      </c>
      <c r="GP101" s="7"/>
      <c r="GQ101" s="7"/>
      <c r="GR101" s="6" t="s">
        <v>38</v>
      </c>
      <c r="GS101" s="7">
        <v>50</v>
      </c>
      <c r="GT101" s="7">
        <v>450</v>
      </c>
      <c r="GV101" s="7"/>
      <c r="GW101" s="7"/>
      <c r="GX101" s="10" t="s">
        <v>38</v>
      </c>
      <c r="GY101" s="7"/>
      <c r="GZ101" s="7"/>
      <c r="HA101" s="10" t="s">
        <v>38</v>
      </c>
      <c r="HB101" s="7"/>
      <c r="HC101" s="7"/>
      <c r="HD101" s="10" t="s">
        <v>38</v>
      </c>
      <c r="HE101" s="7">
        <v>70</v>
      </c>
      <c r="HF101" s="7">
        <v>550</v>
      </c>
      <c r="HG101" s="10" t="s">
        <v>38</v>
      </c>
      <c r="HH101" s="7"/>
      <c r="HI101" s="7"/>
      <c r="HJ101" s="10" t="s">
        <v>38</v>
      </c>
      <c r="HK101" s="7"/>
      <c r="HL101" s="7"/>
      <c r="HM101" s="10" t="s">
        <v>38</v>
      </c>
      <c r="HN101" s="7"/>
      <c r="HO101" s="7"/>
      <c r="HP101" s="10" t="s">
        <v>38</v>
      </c>
      <c r="HQ101" s="7">
        <v>55</v>
      </c>
      <c r="HR101" s="7">
        <v>450</v>
      </c>
      <c r="HS101" s="10" t="s">
        <v>38</v>
      </c>
      <c r="HT101" s="7"/>
      <c r="HU101" s="7"/>
      <c r="HV101" s="10" t="s">
        <v>38</v>
      </c>
      <c r="HW101" s="7"/>
      <c r="HX101" s="7"/>
      <c r="HY101" s="6" t="s">
        <v>38</v>
      </c>
      <c r="HZ101" s="7"/>
      <c r="IA101" s="7"/>
      <c r="IB101" s="6" t="s">
        <v>38</v>
      </c>
      <c r="IC101" s="7">
        <v>65</v>
      </c>
      <c r="ID101" s="7">
        <v>716</v>
      </c>
      <c r="IF101" s="7"/>
      <c r="IG101" s="7"/>
      <c r="II101" s="7"/>
      <c r="IJ101" s="7"/>
      <c r="IK101" s="7"/>
      <c r="IL101" s="7"/>
      <c r="IM101" s="7"/>
      <c r="IN101" s="7"/>
      <c r="IP101" s="7"/>
      <c r="IQ101" s="7"/>
      <c r="IR101" s="7"/>
      <c r="IS101" s="7"/>
      <c r="IT101" s="7"/>
      <c r="IU101" s="7"/>
      <c r="IV101" s="7"/>
      <c r="IW101" s="7"/>
      <c r="IX101" s="7"/>
      <c r="IY101" s="7"/>
      <c r="IZ101" s="7"/>
      <c r="JA101" s="7"/>
      <c r="JB101" s="7"/>
      <c r="JC101" s="7"/>
      <c r="JE101" s="7"/>
      <c r="JF101" s="7"/>
      <c r="JH101" s="7"/>
      <c r="JI101" s="7"/>
      <c r="JJ101" s="7"/>
      <c r="JK101" s="7"/>
      <c r="JL101" s="7"/>
      <c r="JM101" s="7"/>
      <c r="JO101" s="7"/>
      <c r="JP101" s="7"/>
      <c r="JQ101" s="7"/>
      <c r="JR101" s="7"/>
      <c r="JT101" s="7"/>
      <c r="JU101" s="7"/>
      <c r="JV101" s="7"/>
      <c r="JW101" s="7"/>
      <c r="JX101" s="7"/>
    </row>
    <row r="102" spans="1:284" x14ac:dyDescent="0.3">
      <c r="A102" t="s">
        <v>268</v>
      </c>
      <c r="B102" s="10" t="s">
        <v>38</v>
      </c>
      <c r="C102" s="7"/>
      <c r="D102" s="7"/>
      <c r="E102" s="10" t="s">
        <v>38</v>
      </c>
      <c r="F102" s="7"/>
      <c r="G102" s="7"/>
      <c r="H102" s="10" t="s">
        <v>38</v>
      </c>
      <c r="I102" s="9"/>
      <c r="J102" s="9"/>
      <c r="K102" s="10" t="s">
        <v>38</v>
      </c>
      <c r="L102" s="7"/>
      <c r="M102" s="7"/>
      <c r="N102" s="10" t="s">
        <v>38</v>
      </c>
      <c r="O102" s="7"/>
      <c r="P102" s="7"/>
      <c r="Q102" s="10" t="s">
        <v>38</v>
      </c>
      <c r="R102" s="7"/>
      <c r="S102" s="7"/>
      <c r="T102" s="10" t="s">
        <v>38</v>
      </c>
      <c r="U102" s="9"/>
      <c r="V102" s="9"/>
      <c r="W102" s="10" t="s">
        <v>38</v>
      </c>
      <c r="X102" s="7"/>
      <c r="Y102" s="7"/>
      <c r="Z102" s="10" t="s">
        <v>38</v>
      </c>
      <c r="AA102" s="7"/>
      <c r="AB102" s="7"/>
      <c r="AC102" s="10" t="s">
        <v>38</v>
      </c>
      <c r="AD102" s="7"/>
      <c r="AE102" s="7"/>
      <c r="AF102" s="10" t="s">
        <v>38</v>
      </c>
      <c r="AG102" s="9"/>
      <c r="AH102" s="9"/>
      <c r="AI102" s="10" t="s">
        <v>38</v>
      </c>
      <c r="AJ102" s="7"/>
      <c r="AK102" s="7"/>
      <c r="AL102" s="10" t="s">
        <v>38</v>
      </c>
      <c r="AM102" s="7"/>
      <c r="AN102" s="7"/>
      <c r="AO102" s="10" t="s">
        <v>38</v>
      </c>
      <c r="AP102" s="7"/>
      <c r="AQ102" s="7"/>
      <c r="AR102" s="10" t="s">
        <v>38</v>
      </c>
      <c r="AS102" s="9"/>
      <c r="AT102" s="9"/>
      <c r="AU102" s="10" t="s">
        <v>38</v>
      </c>
      <c r="AV102" s="7"/>
      <c r="AW102" s="7"/>
      <c r="AX102" s="10" t="s">
        <v>38</v>
      </c>
      <c r="AY102" s="7"/>
      <c r="AZ102" s="7"/>
      <c r="BA102" s="10" t="s">
        <v>38</v>
      </c>
      <c r="BB102" s="7"/>
      <c r="BC102" s="7"/>
      <c r="BD102" s="10" t="s">
        <v>38</v>
      </c>
      <c r="BE102" s="9"/>
      <c r="BF102" s="9"/>
      <c r="BG102" s="10" t="s">
        <v>38</v>
      </c>
      <c r="BH102" s="7"/>
      <c r="BI102" s="7"/>
      <c r="BJ102" s="10" t="s">
        <v>38</v>
      </c>
      <c r="BK102" s="7"/>
      <c r="BL102" s="7"/>
      <c r="BM102" s="10" t="s">
        <v>38</v>
      </c>
      <c r="BN102" s="7"/>
      <c r="BO102" s="7"/>
      <c r="BP102" s="10" t="s">
        <v>38</v>
      </c>
      <c r="BQ102" s="9"/>
      <c r="BR102" s="9"/>
      <c r="BS102" s="10" t="s">
        <v>38</v>
      </c>
      <c r="BT102" s="7"/>
      <c r="BU102" s="7"/>
      <c r="BV102" s="10" t="s">
        <v>38</v>
      </c>
      <c r="BW102" s="7"/>
      <c r="BX102" s="7"/>
      <c r="BY102" s="10" t="s">
        <v>38</v>
      </c>
      <c r="BZ102" s="7"/>
      <c r="CA102" s="7"/>
      <c r="CB102" s="10" t="s">
        <v>38</v>
      </c>
      <c r="CC102" s="9"/>
      <c r="CD102" s="9"/>
      <c r="CE102" s="10" t="s">
        <v>38</v>
      </c>
      <c r="CF102" s="7"/>
      <c r="CG102" s="7"/>
      <c r="CH102" s="10" t="s">
        <v>38</v>
      </c>
      <c r="CI102" s="7"/>
      <c r="CJ102" s="7"/>
      <c r="CK102" s="10" t="s">
        <v>38</v>
      </c>
      <c r="CL102" s="7"/>
      <c r="CM102" s="7"/>
      <c r="CN102" s="10" t="s">
        <v>38</v>
      </c>
      <c r="CO102" s="9"/>
      <c r="CP102" s="9"/>
      <c r="CQ102" s="10" t="s">
        <v>38</v>
      </c>
      <c r="CR102" s="7"/>
      <c r="CS102" s="7"/>
      <c r="CT102" s="10" t="s">
        <v>38</v>
      </c>
      <c r="CU102" s="7"/>
      <c r="CV102" s="7"/>
      <c r="CW102" s="10" t="s">
        <v>38</v>
      </c>
      <c r="CX102" s="7"/>
      <c r="CY102" s="7"/>
      <c r="CZ102" s="10" t="s">
        <v>38</v>
      </c>
      <c r="DA102" s="9"/>
      <c r="DB102" s="9"/>
      <c r="DC102" s="10" t="s">
        <v>38</v>
      </c>
      <c r="DD102" s="7"/>
      <c r="DE102" s="7"/>
      <c r="DF102" s="10" t="s">
        <v>38</v>
      </c>
      <c r="DG102" s="7"/>
      <c r="DH102" s="7"/>
      <c r="DI102" s="10" t="s">
        <v>38</v>
      </c>
      <c r="DJ102" s="7"/>
      <c r="DK102" s="7"/>
      <c r="DL102" s="10" t="s">
        <v>38</v>
      </c>
      <c r="DM102" s="9"/>
      <c r="DN102" s="9"/>
      <c r="DO102" s="10" t="s">
        <v>38</v>
      </c>
      <c r="DP102" s="7"/>
      <c r="DQ102" s="7"/>
      <c r="DR102" s="10" t="s">
        <v>38</v>
      </c>
      <c r="DS102" s="7"/>
      <c r="DT102" s="7"/>
      <c r="DU102" s="10" t="s">
        <v>38</v>
      </c>
      <c r="DV102" s="7"/>
      <c r="DW102" s="7"/>
      <c r="DX102" s="10" t="s">
        <v>38</v>
      </c>
      <c r="DY102" s="9"/>
      <c r="DZ102" s="9"/>
      <c r="EA102" s="10" t="s">
        <v>38</v>
      </c>
      <c r="EB102" s="7"/>
      <c r="EC102" s="7"/>
      <c r="ED102" s="10" t="s">
        <v>38</v>
      </c>
      <c r="EE102" s="7"/>
      <c r="EF102" s="7"/>
      <c r="EG102" s="10" t="s">
        <v>38</v>
      </c>
      <c r="EH102" s="7"/>
      <c r="EI102" s="7"/>
      <c r="EJ102" s="10" t="s">
        <v>38</v>
      </c>
      <c r="EK102" s="9"/>
      <c r="EL102" s="9"/>
      <c r="EM102" s="10" t="s">
        <v>38</v>
      </c>
      <c r="EN102" s="7"/>
      <c r="EO102" s="7"/>
      <c r="EP102" s="10" t="s">
        <v>38</v>
      </c>
      <c r="EQ102" s="7"/>
      <c r="ER102" s="7"/>
      <c r="ES102" s="10" t="s">
        <v>38</v>
      </c>
      <c r="ET102" s="7"/>
      <c r="EU102" s="7"/>
      <c r="EV102" s="10" t="s">
        <v>38</v>
      </c>
      <c r="EW102" s="9"/>
      <c r="EX102" s="9"/>
      <c r="EY102" s="10" t="s">
        <v>38</v>
      </c>
      <c r="EZ102" s="7"/>
      <c r="FA102" s="7"/>
      <c r="FB102" s="10" t="s">
        <v>38</v>
      </c>
      <c r="FC102" s="7"/>
      <c r="FD102" s="7"/>
      <c r="FE102" s="10" t="s">
        <v>38</v>
      </c>
      <c r="FF102" s="7"/>
      <c r="FG102" s="7"/>
      <c r="FH102" s="10" t="s">
        <v>38</v>
      </c>
      <c r="FI102" s="9"/>
      <c r="FJ102" s="9"/>
      <c r="FK102" s="10" t="s">
        <v>38</v>
      </c>
      <c r="FL102" s="7"/>
      <c r="FM102" s="7"/>
      <c r="FN102" s="10" t="s">
        <v>38</v>
      </c>
      <c r="FO102" s="7"/>
      <c r="FP102" s="7"/>
      <c r="FQ102" s="10" t="s">
        <v>38</v>
      </c>
      <c r="FR102" s="7"/>
      <c r="FS102" s="7"/>
      <c r="FT102" s="10" t="s">
        <v>38</v>
      </c>
      <c r="FU102" s="9">
        <v>50</v>
      </c>
      <c r="FV102" s="9">
        <v>250</v>
      </c>
      <c r="FW102" s="10" t="s">
        <v>38</v>
      </c>
      <c r="FX102" s="7"/>
      <c r="FY102" s="7"/>
      <c r="FZ102" s="10" t="s">
        <v>38</v>
      </c>
      <c r="GA102" s="7"/>
      <c r="GB102" s="7"/>
      <c r="GC102" s="10" t="s">
        <v>38</v>
      </c>
      <c r="GD102" s="7"/>
      <c r="GE102" s="7"/>
      <c r="GF102" s="10" t="s">
        <v>38</v>
      </c>
      <c r="GG102" s="7">
        <v>15</v>
      </c>
      <c r="GH102" s="7">
        <v>65</v>
      </c>
      <c r="GI102" s="10" t="s">
        <v>38</v>
      </c>
      <c r="GJ102" s="7"/>
      <c r="GK102" s="7"/>
      <c r="GL102" s="10" t="s">
        <v>38</v>
      </c>
      <c r="GM102" s="7"/>
      <c r="GN102" s="7"/>
      <c r="GO102" s="6" t="s">
        <v>38</v>
      </c>
      <c r="GP102" s="7"/>
      <c r="GQ102" s="7"/>
      <c r="GR102" s="6" t="s">
        <v>38</v>
      </c>
      <c r="GS102" s="7">
        <v>50</v>
      </c>
      <c r="GT102" s="7">
        <v>300</v>
      </c>
      <c r="GV102" s="7"/>
      <c r="GW102" s="7"/>
      <c r="GX102" s="10" t="s">
        <v>38</v>
      </c>
      <c r="GY102" s="7"/>
      <c r="GZ102" s="7"/>
      <c r="HA102" s="10" t="s">
        <v>38</v>
      </c>
      <c r="HB102" s="7"/>
      <c r="HC102" s="7"/>
      <c r="HD102" s="10" t="s">
        <v>38</v>
      </c>
      <c r="HE102" s="7">
        <v>40</v>
      </c>
      <c r="HF102" s="7">
        <v>300</v>
      </c>
      <c r="HG102" s="10" t="s">
        <v>38</v>
      </c>
      <c r="HH102" s="7"/>
      <c r="HI102" s="7"/>
      <c r="HJ102" s="10" t="s">
        <v>38</v>
      </c>
      <c r="HK102" s="7"/>
      <c r="HL102" s="7"/>
      <c r="HM102" s="10" t="s">
        <v>38</v>
      </c>
      <c r="HN102" s="7"/>
      <c r="HO102" s="7"/>
      <c r="HP102" s="10" t="s">
        <v>38</v>
      </c>
      <c r="HQ102" s="7">
        <v>25</v>
      </c>
      <c r="HR102" s="7">
        <v>150</v>
      </c>
      <c r="HS102" s="10" t="s">
        <v>38</v>
      </c>
      <c r="HT102" s="7"/>
      <c r="HU102" s="7"/>
      <c r="HV102" s="10" t="s">
        <v>38</v>
      </c>
      <c r="HW102" s="7"/>
      <c r="HX102" s="7"/>
      <c r="HY102" s="6" t="s">
        <v>38</v>
      </c>
      <c r="HZ102" s="7"/>
      <c r="IA102" s="7"/>
      <c r="IB102" s="6" t="s">
        <v>38</v>
      </c>
      <c r="IC102" s="7">
        <v>17</v>
      </c>
      <c r="ID102" s="7">
        <v>75</v>
      </c>
      <c r="IF102" s="7"/>
      <c r="IG102" s="7"/>
      <c r="II102" s="7"/>
      <c r="IJ102" s="7"/>
      <c r="IK102" s="7"/>
      <c r="IL102" s="7"/>
      <c r="IM102" s="7"/>
      <c r="IN102" s="7"/>
      <c r="IP102" s="7"/>
      <c r="IQ102" s="7"/>
      <c r="IR102" s="7"/>
      <c r="IS102" s="7"/>
      <c r="IT102" s="7"/>
      <c r="IU102" s="7"/>
      <c r="IV102" s="7"/>
      <c r="IW102" s="7"/>
      <c r="IX102" s="7"/>
      <c r="IY102" s="7"/>
      <c r="IZ102" s="7"/>
      <c r="JA102" s="7"/>
      <c r="JB102" s="7"/>
      <c r="JC102" s="7"/>
      <c r="JE102" s="7"/>
      <c r="JF102" s="7"/>
      <c r="JH102" s="7"/>
      <c r="JI102" s="7"/>
      <c r="JJ102" s="7"/>
      <c r="JK102" s="7"/>
      <c r="JL102" s="7"/>
      <c r="JM102" s="7"/>
      <c r="JO102" s="7"/>
      <c r="JP102" s="7"/>
      <c r="JQ102" s="7"/>
      <c r="JR102" s="7"/>
      <c r="JT102" s="7"/>
      <c r="JU102" s="7"/>
      <c r="JV102" s="7"/>
      <c r="JW102" s="7"/>
      <c r="JX102" s="7"/>
    </row>
    <row r="103" spans="1:284" x14ac:dyDescent="0.3">
      <c r="A103" t="s">
        <v>269</v>
      </c>
      <c r="B103" s="10" t="s">
        <v>38</v>
      </c>
      <c r="C103" s="7"/>
      <c r="D103" s="7"/>
      <c r="E103" s="10" t="s">
        <v>38</v>
      </c>
      <c r="F103" s="7"/>
      <c r="G103" s="7"/>
      <c r="H103" s="10" t="s">
        <v>38</v>
      </c>
      <c r="I103" s="9"/>
      <c r="J103" s="9"/>
      <c r="K103" s="10" t="s">
        <v>38</v>
      </c>
      <c r="L103" s="7"/>
      <c r="M103" s="7"/>
      <c r="N103" s="10" t="s">
        <v>38</v>
      </c>
      <c r="O103" s="7"/>
      <c r="P103" s="7"/>
      <c r="Q103" s="10" t="s">
        <v>38</v>
      </c>
      <c r="R103" s="7"/>
      <c r="S103" s="7"/>
      <c r="T103" s="10" t="s">
        <v>38</v>
      </c>
      <c r="U103" s="9"/>
      <c r="V103" s="9"/>
      <c r="W103" s="10" t="s">
        <v>38</v>
      </c>
      <c r="X103" s="7"/>
      <c r="Y103" s="7"/>
      <c r="Z103" s="10" t="s">
        <v>38</v>
      </c>
      <c r="AA103" s="7"/>
      <c r="AB103" s="7"/>
      <c r="AC103" s="10" t="s">
        <v>38</v>
      </c>
      <c r="AD103" s="7"/>
      <c r="AE103" s="7"/>
      <c r="AF103" s="10" t="s">
        <v>38</v>
      </c>
      <c r="AG103" s="9"/>
      <c r="AH103" s="9"/>
      <c r="AI103" s="10" t="s">
        <v>38</v>
      </c>
      <c r="AJ103" s="7"/>
      <c r="AK103" s="7"/>
      <c r="AL103" s="10" t="s">
        <v>38</v>
      </c>
      <c r="AM103" s="7"/>
      <c r="AN103" s="7"/>
      <c r="AO103" s="10" t="s">
        <v>38</v>
      </c>
      <c r="AP103" s="7"/>
      <c r="AQ103" s="7"/>
      <c r="AR103" s="10" t="s">
        <v>38</v>
      </c>
      <c r="AS103" s="9"/>
      <c r="AT103" s="9"/>
      <c r="AU103" s="10" t="s">
        <v>38</v>
      </c>
      <c r="AV103" s="7"/>
      <c r="AW103" s="7"/>
      <c r="AX103" s="10" t="s">
        <v>38</v>
      </c>
      <c r="AY103" s="7"/>
      <c r="AZ103" s="7"/>
      <c r="BA103" s="10" t="s">
        <v>38</v>
      </c>
      <c r="BB103" s="7"/>
      <c r="BC103" s="7"/>
      <c r="BD103" s="10" t="s">
        <v>38</v>
      </c>
      <c r="BE103" s="9"/>
      <c r="BF103" s="9"/>
      <c r="BG103" s="10" t="s">
        <v>38</v>
      </c>
      <c r="BH103" s="7"/>
      <c r="BI103" s="7"/>
      <c r="BJ103" s="10" t="s">
        <v>38</v>
      </c>
      <c r="BK103" s="7"/>
      <c r="BL103" s="7"/>
      <c r="BM103" s="10" t="s">
        <v>38</v>
      </c>
      <c r="BN103" s="7"/>
      <c r="BO103" s="7"/>
      <c r="BP103" s="10" t="s">
        <v>38</v>
      </c>
      <c r="BQ103" s="9"/>
      <c r="BR103" s="9"/>
      <c r="BS103" s="10" t="s">
        <v>38</v>
      </c>
      <c r="BT103" s="7"/>
      <c r="BU103" s="7"/>
      <c r="BV103" s="10" t="s">
        <v>38</v>
      </c>
      <c r="BW103" s="7"/>
      <c r="BX103" s="7"/>
      <c r="BY103" s="10" t="s">
        <v>38</v>
      </c>
      <c r="BZ103" s="7"/>
      <c r="CA103" s="7"/>
      <c r="CB103" s="10" t="s">
        <v>38</v>
      </c>
      <c r="CC103" s="9"/>
      <c r="CD103" s="9"/>
      <c r="CE103" s="10" t="s">
        <v>38</v>
      </c>
      <c r="CF103" s="7"/>
      <c r="CG103" s="7"/>
      <c r="CH103" s="10" t="s">
        <v>38</v>
      </c>
      <c r="CI103" s="7"/>
      <c r="CJ103" s="7"/>
      <c r="CK103" s="10" t="s">
        <v>38</v>
      </c>
      <c r="CL103" s="7"/>
      <c r="CM103" s="7"/>
      <c r="CN103" s="10" t="s">
        <v>38</v>
      </c>
      <c r="CO103" s="9"/>
      <c r="CP103" s="9"/>
      <c r="CQ103" s="10" t="s">
        <v>38</v>
      </c>
      <c r="CR103" s="7"/>
      <c r="CS103" s="7"/>
      <c r="CT103" s="10" t="s">
        <v>38</v>
      </c>
      <c r="CU103" s="7"/>
      <c r="CV103" s="7"/>
      <c r="CW103" s="10" t="s">
        <v>38</v>
      </c>
      <c r="CX103" s="7"/>
      <c r="CY103" s="7"/>
      <c r="CZ103" s="10" t="s">
        <v>38</v>
      </c>
      <c r="DA103" s="9"/>
      <c r="DB103" s="9"/>
      <c r="DC103" s="10" t="s">
        <v>38</v>
      </c>
      <c r="DD103" s="7"/>
      <c r="DE103" s="7"/>
      <c r="DF103" s="10" t="s">
        <v>38</v>
      </c>
      <c r="DG103" s="7"/>
      <c r="DH103" s="7"/>
      <c r="DI103" s="10" t="s">
        <v>38</v>
      </c>
      <c r="DJ103" s="7"/>
      <c r="DK103" s="7"/>
      <c r="DL103" s="10" t="s">
        <v>38</v>
      </c>
      <c r="DM103" s="9"/>
      <c r="DN103" s="9"/>
      <c r="DO103" s="10" t="s">
        <v>38</v>
      </c>
      <c r="DP103" s="7"/>
      <c r="DQ103" s="7"/>
      <c r="DR103" s="10" t="s">
        <v>38</v>
      </c>
      <c r="DS103" s="7"/>
      <c r="DT103" s="7"/>
      <c r="DU103" s="10" t="s">
        <v>38</v>
      </c>
      <c r="DV103" s="7"/>
      <c r="DW103" s="7"/>
      <c r="DX103" s="10" t="s">
        <v>38</v>
      </c>
      <c r="DY103" s="9"/>
      <c r="DZ103" s="9"/>
      <c r="EA103" s="10" t="s">
        <v>38</v>
      </c>
      <c r="EB103" s="7"/>
      <c r="EC103" s="7"/>
      <c r="ED103" s="10" t="s">
        <v>38</v>
      </c>
      <c r="EE103" s="7"/>
      <c r="EF103" s="7"/>
      <c r="EG103" s="10" t="s">
        <v>38</v>
      </c>
      <c r="EH103" s="7"/>
      <c r="EI103" s="7"/>
      <c r="EJ103" s="10" t="s">
        <v>38</v>
      </c>
      <c r="EK103" s="9"/>
      <c r="EL103" s="9"/>
      <c r="EM103" s="10" t="s">
        <v>38</v>
      </c>
      <c r="EN103" s="7"/>
      <c r="EO103" s="7"/>
      <c r="EP103" s="10" t="s">
        <v>38</v>
      </c>
      <c r="EQ103" s="7"/>
      <c r="ER103" s="7"/>
      <c r="ES103" s="10" t="s">
        <v>38</v>
      </c>
      <c r="ET103" s="7"/>
      <c r="EU103" s="7"/>
      <c r="EV103" s="10" t="s">
        <v>38</v>
      </c>
      <c r="EW103" s="9"/>
      <c r="EX103" s="9"/>
      <c r="EY103" s="10" t="s">
        <v>38</v>
      </c>
      <c r="EZ103" s="7"/>
      <c r="FA103" s="7"/>
      <c r="FB103" s="10" t="s">
        <v>38</v>
      </c>
      <c r="FC103" s="7"/>
      <c r="FD103" s="7"/>
      <c r="FE103" s="10" t="s">
        <v>38</v>
      </c>
      <c r="FF103" s="7"/>
      <c r="FG103" s="7"/>
      <c r="FH103" s="10" t="s">
        <v>38</v>
      </c>
      <c r="FI103" s="9"/>
      <c r="FJ103" s="9"/>
      <c r="FK103" s="10" t="s">
        <v>38</v>
      </c>
      <c r="FL103" s="7"/>
      <c r="FM103" s="7"/>
      <c r="FN103" s="10" t="s">
        <v>38</v>
      </c>
      <c r="FO103" s="7"/>
      <c r="FP103" s="7"/>
      <c r="FQ103" s="10" t="s">
        <v>38</v>
      </c>
      <c r="FR103" s="7"/>
      <c r="FS103" s="7"/>
      <c r="FT103" s="10" t="s">
        <v>38</v>
      </c>
      <c r="FU103" s="9">
        <v>10</v>
      </c>
      <c r="FV103" s="9">
        <v>160</v>
      </c>
      <c r="FW103" s="10" t="s">
        <v>38</v>
      </c>
      <c r="FX103" s="7"/>
      <c r="FY103" s="7"/>
      <c r="FZ103" s="10" t="s">
        <v>38</v>
      </c>
      <c r="GA103" s="7"/>
      <c r="GB103" s="7"/>
      <c r="GC103" s="10" t="s">
        <v>38</v>
      </c>
      <c r="GD103" s="7"/>
      <c r="GE103" s="7"/>
      <c r="GF103" s="10" t="s">
        <v>38</v>
      </c>
      <c r="GG103" s="7">
        <v>8</v>
      </c>
      <c r="GH103" s="7">
        <v>125</v>
      </c>
      <c r="GI103" s="10" t="s">
        <v>38</v>
      </c>
      <c r="GJ103" s="7"/>
      <c r="GK103" s="7"/>
      <c r="GL103" s="10" t="s">
        <v>38</v>
      </c>
      <c r="GM103" s="7"/>
      <c r="GN103" s="7"/>
      <c r="GO103" s="6" t="s">
        <v>38</v>
      </c>
      <c r="GP103" s="7"/>
      <c r="GQ103" s="7"/>
      <c r="GR103" s="6" t="s">
        <v>38</v>
      </c>
      <c r="GS103" s="7">
        <v>15</v>
      </c>
      <c r="GT103" s="7">
        <v>150</v>
      </c>
      <c r="GV103" s="7"/>
      <c r="GW103" s="7"/>
      <c r="GX103" s="10" t="s">
        <v>38</v>
      </c>
      <c r="GY103" s="7"/>
      <c r="GZ103" s="7"/>
      <c r="HA103" s="10" t="s">
        <v>38</v>
      </c>
      <c r="HB103" s="7"/>
      <c r="HC103" s="7"/>
      <c r="HD103" s="10" t="s">
        <v>38</v>
      </c>
      <c r="HE103" s="7">
        <v>10</v>
      </c>
      <c r="HF103" s="7">
        <v>120</v>
      </c>
      <c r="HG103" s="10" t="s">
        <v>38</v>
      </c>
      <c r="HH103" s="7"/>
      <c r="HI103" s="7"/>
      <c r="HJ103" s="10" t="s">
        <v>38</v>
      </c>
      <c r="HK103" s="7"/>
      <c r="HL103" s="7"/>
      <c r="HM103" s="10" t="s">
        <v>38</v>
      </c>
      <c r="HN103" s="7"/>
      <c r="HO103" s="7"/>
      <c r="HP103" s="10" t="s">
        <v>38</v>
      </c>
      <c r="HQ103" s="7">
        <v>12</v>
      </c>
      <c r="HR103" s="7">
        <v>130</v>
      </c>
      <c r="HS103" s="10" t="s">
        <v>38</v>
      </c>
      <c r="HT103" s="7"/>
      <c r="HU103" s="7"/>
      <c r="HV103" s="10" t="s">
        <v>38</v>
      </c>
      <c r="HW103" s="7"/>
      <c r="HX103" s="7"/>
      <c r="HY103" s="6" t="s">
        <v>38</v>
      </c>
      <c r="HZ103" s="7"/>
      <c r="IA103" s="7"/>
      <c r="IB103" s="6" t="s">
        <v>38</v>
      </c>
      <c r="IC103" s="7">
        <v>4</v>
      </c>
      <c r="ID103" s="7">
        <v>40</v>
      </c>
      <c r="IF103" s="7"/>
      <c r="IG103" s="7"/>
      <c r="II103" s="7"/>
      <c r="IJ103" s="7"/>
      <c r="IK103" s="7"/>
      <c r="IL103" s="7"/>
      <c r="IM103" s="7"/>
      <c r="IN103" s="7"/>
      <c r="IP103" s="7"/>
      <c r="IQ103" s="7"/>
      <c r="IR103" s="7"/>
      <c r="IS103" s="7"/>
      <c r="IT103" s="7"/>
      <c r="IU103" s="7"/>
      <c r="IV103" s="7"/>
      <c r="IW103" s="7"/>
      <c r="IX103" s="7"/>
      <c r="IY103" s="7"/>
      <c r="IZ103" s="7"/>
      <c r="JA103" s="7"/>
      <c r="JB103" s="7"/>
      <c r="JC103" s="7"/>
      <c r="JE103" s="7"/>
      <c r="JF103" s="7"/>
      <c r="JH103" s="7"/>
      <c r="JI103" s="7"/>
      <c r="JJ103" s="7"/>
      <c r="JK103" s="7"/>
      <c r="JL103" s="7"/>
      <c r="JM103" s="7"/>
      <c r="JO103" s="7"/>
      <c r="JP103" s="7"/>
      <c r="JQ103" s="7"/>
      <c r="JR103" s="7"/>
      <c r="JT103" s="7"/>
      <c r="JU103" s="7"/>
      <c r="JV103" s="7"/>
      <c r="JW103" s="7"/>
      <c r="JX103" s="7"/>
    </row>
    <row r="104" spans="1:284" x14ac:dyDescent="0.3">
      <c r="A104" t="s">
        <v>270</v>
      </c>
      <c r="B104" s="10" t="s">
        <v>38</v>
      </c>
      <c r="C104" s="7"/>
      <c r="D104" s="7"/>
      <c r="E104" s="10" t="s">
        <v>38</v>
      </c>
      <c r="F104" s="7"/>
      <c r="G104" s="7"/>
      <c r="H104" s="10" t="s">
        <v>38</v>
      </c>
      <c r="I104" s="9"/>
      <c r="J104" s="9"/>
      <c r="K104" s="10" t="s">
        <v>38</v>
      </c>
      <c r="L104" s="7"/>
      <c r="M104" s="7"/>
      <c r="N104" s="10" t="s">
        <v>38</v>
      </c>
      <c r="O104" s="7"/>
      <c r="P104" s="7"/>
      <c r="Q104" s="10" t="s">
        <v>38</v>
      </c>
      <c r="R104" s="7"/>
      <c r="S104" s="7"/>
      <c r="T104" s="10" t="s">
        <v>38</v>
      </c>
      <c r="U104" s="9"/>
      <c r="V104" s="9"/>
      <c r="W104" s="10" t="s">
        <v>38</v>
      </c>
      <c r="X104" s="7"/>
      <c r="Y104" s="7"/>
      <c r="Z104" s="10" t="s">
        <v>38</v>
      </c>
      <c r="AA104" s="7"/>
      <c r="AB104" s="7"/>
      <c r="AC104" s="10" t="s">
        <v>38</v>
      </c>
      <c r="AD104" s="7"/>
      <c r="AE104" s="7"/>
      <c r="AF104" s="10" t="s">
        <v>38</v>
      </c>
      <c r="AG104" s="9"/>
      <c r="AH104" s="9"/>
      <c r="AI104" s="10" t="s">
        <v>38</v>
      </c>
      <c r="AJ104" s="7"/>
      <c r="AK104" s="7"/>
      <c r="AL104" s="10" t="s">
        <v>38</v>
      </c>
      <c r="AM104" s="7"/>
      <c r="AN104" s="7"/>
      <c r="AO104" s="10" t="s">
        <v>38</v>
      </c>
      <c r="AP104" s="7"/>
      <c r="AQ104" s="7"/>
      <c r="AR104" s="10" t="s">
        <v>38</v>
      </c>
      <c r="AS104" s="9"/>
      <c r="AT104" s="9"/>
      <c r="AU104" s="10" t="s">
        <v>38</v>
      </c>
      <c r="AV104" s="7"/>
      <c r="AW104" s="7"/>
      <c r="AX104" s="10" t="s">
        <v>38</v>
      </c>
      <c r="AY104" s="7"/>
      <c r="AZ104" s="7"/>
      <c r="BA104" s="10" t="s">
        <v>38</v>
      </c>
      <c r="BB104" s="7"/>
      <c r="BC104" s="7"/>
      <c r="BD104" s="10" t="s">
        <v>38</v>
      </c>
      <c r="BE104" s="9"/>
      <c r="BF104" s="9"/>
      <c r="BG104" s="10" t="s">
        <v>38</v>
      </c>
      <c r="BH104" s="7"/>
      <c r="BI104" s="7"/>
      <c r="BJ104" s="10" t="s">
        <v>38</v>
      </c>
      <c r="BK104" s="7"/>
      <c r="BL104" s="7"/>
      <c r="BM104" s="10" t="s">
        <v>38</v>
      </c>
      <c r="BN104" s="7"/>
      <c r="BO104" s="7"/>
      <c r="BP104" s="10" t="s">
        <v>38</v>
      </c>
      <c r="BQ104" s="9"/>
      <c r="BR104" s="9"/>
      <c r="BS104" s="10" t="s">
        <v>38</v>
      </c>
      <c r="BT104" s="7"/>
      <c r="BU104" s="7"/>
      <c r="BV104" s="10" t="s">
        <v>38</v>
      </c>
      <c r="BW104" s="7"/>
      <c r="BX104" s="7"/>
      <c r="BY104" s="10" t="s">
        <v>38</v>
      </c>
      <c r="BZ104" s="7"/>
      <c r="CA104" s="7"/>
      <c r="CB104" s="10" t="s">
        <v>38</v>
      </c>
      <c r="CC104" s="9"/>
      <c r="CD104" s="9"/>
      <c r="CE104" s="10" t="s">
        <v>38</v>
      </c>
      <c r="CF104" s="7"/>
      <c r="CG104" s="7"/>
      <c r="CH104" s="10" t="s">
        <v>38</v>
      </c>
      <c r="CI104" s="7"/>
      <c r="CJ104" s="7"/>
      <c r="CK104" s="10" t="s">
        <v>38</v>
      </c>
      <c r="CL104" s="7"/>
      <c r="CM104" s="7"/>
      <c r="CN104" s="10" t="s">
        <v>38</v>
      </c>
      <c r="CO104" s="9"/>
      <c r="CP104" s="9"/>
      <c r="CQ104" s="10" t="s">
        <v>38</v>
      </c>
      <c r="CR104" s="7"/>
      <c r="CS104" s="7"/>
      <c r="CT104" s="10" t="s">
        <v>38</v>
      </c>
      <c r="CU104" s="7"/>
      <c r="CV104" s="7"/>
      <c r="CW104" s="10" t="s">
        <v>38</v>
      </c>
      <c r="CX104" s="7"/>
      <c r="CY104" s="7"/>
      <c r="CZ104" s="10" t="s">
        <v>38</v>
      </c>
      <c r="DA104" s="9"/>
      <c r="DB104" s="9"/>
      <c r="DC104" s="10" t="s">
        <v>38</v>
      </c>
      <c r="DD104" s="7"/>
      <c r="DE104" s="7"/>
      <c r="DF104" s="10" t="s">
        <v>38</v>
      </c>
      <c r="DG104" s="7"/>
      <c r="DH104" s="7"/>
      <c r="DI104" s="10" t="s">
        <v>38</v>
      </c>
      <c r="DJ104" s="7"/>
      <c r="DK104" s="7"/>
      <c r="DL104" s="10" t="s">
        <v>38</v>
      </c>
      <c r="DM104" s="9"/>
      <c r="DN104" s="9"/>
      <c r="DO104" s="10" t="s">
        <v>38</v>
      </c>
      <c r="DP104" s="7"/>
      <c r="DQ104" s="7"/>
      <c r="DR104" s="10" t="s">
        <v>38</v>
      </c>
      <c r="DS104" s="7"/>
      <c r="DT104" s="7"/>
      <c r="DU104" s="10" t="s">
        <v>38</v>
      </c>
      <c r="DV104" s="7"/>
      <c r="DW104" s="7"/>
      <c r="DX104" s="10" t="s">
        <v>38</v>
      </c>
      <c r="DY104" s="9"/>
      <c r="DZ104" s="9"/>
      <c r="EA104" s="10" t="s">
        <v>38</v>
      </c>
      <c r="EB104" s="7"/>
      <c r="EC104" s="7"/>
      <c r="ED104" s="10" t="s">
        <v>38</v>
      </c>
      <c r="EE104" s="7"/>
      <c r="EF104" s="7"/>
      <c r="EG104" s="10" t="s">
        <v>38</v>
      </c>
      <c r="EH104" s="7"/>
      <c r="EI104" s="7"/>
      <c r="EJ104" s="10" t="s">
        <v>38</v>
      </c>
      <c r="EK104" s="9"/>
      <c r="EL104" s="9"/>
      <c r="EM104" s="10" t="s">
        <v>38</v>
      </c>
      <c r="EN104" s="7"/>
      <c r="EO104" s="7"/>
      <c r="EP104" s="10" t="s">
        <v>38</v>
      </c>
      <c r="EQ104" s="7"/>
      <c r="ER104" s="7"/>
      <c r="ES104" s="10" t="s">
        <v>38</v>
      </c>
      <c r="ET104" s="7"/>
      <c r="EU104" s="7"/>
      <c r="EV104" s="10" t="s">
        <v>38</v>
      </c>
      <c r="EW104" s="9"/>
      <c r="EX104" s="9"/>
      <c r="EY104" s="10" t="s">
        <v>38</v>
      </c>
      <c r="EZ104" s="7"/>
      <c r="FA104" s="7"/>
      <c r="FB104" s="10" t="s">
        <v>38</v>
      </c>
      <c r="FC104" s="7"/>
      <c r="FD104" s="7"/>
      <c r="FE104" s="10" t="s">
        <v>38</v>
      </c>
      <c r="FF104" s="7"/>
      <c r="FG104" s="7"/>
      <c r="FH104" s="10" t="s">
        <v>38</v>
      </c>
      <c r="FI104" s="9"/>
      <c r="FJ104" s="9"/>
      <c r="FK104" s="10" t="s">
        <v>38</v>
      </c>
      <c r="FL104" s="7"/>
      <c r="FM104" s="7"/>
      <c r="FN104" s="10" t="s">
        <v>38</v>
      </c>
      <c r="FO104" s="7"/>
      <c r="FP104" s="7"/>
      <c r="FQ104" s="10" t="s">
        <v>38</v>
      </c>
      <c r="FR104" s="7"/>
      <c r="FS104" s="7"/>
      <c r="FT104" s="10" t="s">
        <v>38</v>
      </c>
      <c r="FU104" s="9">
        <v>20</v>
      </c>
      <c r="FV104" s="9">
        <v>150</v>
      </c>
      <c r="FW104" s="10" t="s">
        <v>38</v>
      </c>
      <c r="FX104" s="7"/>
      <c r="FY104" s="7"/>
      <c r="FZ104" s="10" t="s">
        <v>38</v>
      </c>
      <c r="GA104" s="7"/>
      <c r="GB104" s="7"/>
      <c r="GC104" s="10" t="s">
        <v>38</v>
      </c>
      <c r="GD104" s="7"/>
      <c r="GE104" s="7"/>
      <c r="GF104" s="10" t="s">
        <v>38</v>
      </c>
      <c r="GG104" s="7">
        <v>21</v>
      </c>
      <c r="GH104" s="7">
        <v>800</v>
      </c>
      <c r="GI104" s="10" t="s">
        <v>38</v>
      </c>
      <c r="GJ104" s="7"/>
      <c r="GK104" s="7"/>
      <c r="GL104" s="10" t="s">
        <v>38</v>
      </c>
      <c r="GM104" s="7"/>
      <c r="GN104" s="7"/>
      <c r="GO104" s="6" t="s">
        <v>38</v>
      </c>
      <c r="GP104" s="7"/>
      <c r="GQ104" s="7"/>
      <c r="GR104" s="6" t="s">
        <v>38</v>
      </c>
      <c r="GS104" s="7">
        <v>15</v>
      </c>
      <c r="GT104" s="7">
        <v>100</v>
      </c>
      <c r="GV104" s="7"/>
      <c r="GW104" s="7"/>
      <c r="GX104" s="10" t="s">
        <v>38</v>
      </c>
      <c r="GY104" s="7"/>
      <c r="GZ104" s="7"/>
      <c r="HA104" s="10" t="s">
        <v>38</v>
      </c>
      <c r="HB104" s="7"/>
      <c r="HC104" s="7"/>
      <c r="HD104" s="10" t="s">
        <v>38</v>
      </c>
      <c r="HE104" s="7">
        <v>15</v>
      </c>
      <c r="HF104" s="7">
        <v>110</v>
      </c>
      <c r="HG104" s="10" t="s">
        <v>38</v>
      </c>
      <c r="HH104" s="7"/>
      <c r="HI104" s="7"/>
      <c r="HJ104" s="10" t="s">
        <v>38</v>
      </c>
      <c r="HK104" s="7"/>
      <c r="HL104" s="7"/>
      <c r="HM104" s="10" t="s">
        <v>38</v>
      </c>
      <c r="HN104" s="7"/>
      <c r="HO104" s="7"/>
      <c r="HP104" s="10" t="s">
        <v>38</v>
      </c>
      <c r="HQ104" s="7">
        <v>16</v>
      </c>
      <c r="HR104" s="7">
        <v>120</v>
      </c>
      <c r="HS104" s="10" t="s">
        <v>38</v>
      </c>
      <c r="HT104" s="7"/>
      <c r="HU104" s="7"/>
      <c r="HV104" s="10" t="s">
        <v>38</v>
      </c>
      <c r="HW104" s="7"/>
      <c r="HX104" s="7"/>
      <c r="HY104" s="6" t="s">
        <v>38</v>
      </c>
      <c r="HZ104" s="7"/>
      <c r="IA104" s="7"/>
      <c r="IB104" s="6" t="s">
        <v>38</v>
      </c>
      <c r="IC104" s="7">
        <v>4</v>
      </c>
      <c r="ID104" s="7">
        <v>45</v>
      </c>
      <c r="IF104" s="7"/>
      <c r="IG104" s="7"/>
      <c r="II104" s="7"/>
      <c r="IJ104" s="7"/>
      <c r="IK104" s="7"/>
      <c r="IL104" s="7"/>
      <c r="IM104" s="7"/>
      <c r="IN104" s="7"/>
      <c r="IP104" s="7"/>
      <c r="IQ104" s="7"/>
      <c r="IR104" s="7"/>
      <c r="IS104" s="7"/>
      <c r="IT104" s="7"/>
      <c r="IU104" s="7"/>
      <c r="IV104" s="7"/>
      <c r="IW104" s="7"/>
      <c r="IX104" s="7"/>
      <c r="IY104" s="7"/>
      <c r="IZ104" s="7"/>
      <c r="JA104" s="7"/>
      <c r="JB104" s="7"/>
      <c r="JC104" s="7"/>
      <c r="JE104" s="7"/>
      <c r="JF104" s="7"/>
      <c r="JH104" s="7"/>
      <c r="JI104" s="7"/>
      <c r="JJ104" s="7"/>
      <c r="JK104" s="7"/>
      <c r="JL104" s="7"/>
      <c r="JM104" s="7"/>
      <c r="JO104" s="7"/>
      <c r="JP104" s="7"/>
      <c r="JQ104" s="7"/>
      <c r="JR104" s="7"/>
      <c r="JT104" s="7"/>
      <c r="JU104" s="7"/>
      <c r="JV104" s="7"/>
      <c r="JW104" s="7"/>
      <c r="JX104" s="7"/>
    </row>
    <row r="105" spans="1:284" x14ac:dyDescent="0.3">
      <c r="A105" t="s">
        <v>271</v>
      </c>
      <c r="B105" s="10" t="s">
        <v>38</v>
      </c>
      <c r="C105" s="7"/>
      <c r="D105" s="7"/>
      <c r="E105" s="10" t="s">
        <v>38</v>
      </c>
      <c r="F105" s="7"/>
      <c r="G105" s="7"/>
      <c r="H105" s="10" t="s">
        <v>38</v>
      </c>
      <c r="I105" s="9"/>
      <c r="J105" s="9"/>
      <c r="K105" s="10" t="s">
        <v>38</v>
      </c>
      <c r="L105" s="7"/>
      <c r="M105" s="7"/>
      <c r="N105" s="10" t="s">
        <v>38</v>
      </c>
      <c r="O105" s="7"/>
      <c r="P105" s="7"/>
      <c r="Q105" s="10" t="s">
        <v>38</v>
      </c>
      <c r="R105" s="7"/>
      <c r="S105" s="7"/>
      <c r="T105" s="10" t="s">
        <v>38</v>
      </c>
      <c r="U105" s="9"/>
      <c r="V105" s="9"/>
      <c r="W105" s="10" t="s">
        <v>38</v>
      </c>
      <c r="X105" s="7"/>
      <c r="Y105" s="7"/>
      <c r="Z105" s="10" t="s">
        <v>38</v>
      </c>
      <c r="AA105" s="7"/>
      <c r="AB105" s="7"/>
      <c r="AC105" s="10" t="s">
        <v>38</v>
      </c>
      <c r="AD105" s="7"/>
      <c r="AE105" s="7"/>
      <c r="AF105" s="10" t="s">
        <v>38</v>
      </c>
      <c r="AG105" s="9"/>
      <c r="AH105" s="9"/>
      <c r="AI105" s="10" t="s">
        <v>38</v>
      </c>
      <c r="AJ105" s="7"/>
      <c r="AK105" s="7"/>
      <c r="AL105" s="10" t="s">
        <v>38</v>
      </c>
      <c r="AM105" s="7"/>
      <c r="AN105" s="7"/>
      <c r="AO105" s="10" t="s">
        <v>38</v>
      </c>
      <c r="AP105" s="7"/>
      <c r="AQ105" s="7"/>
      <c r="AR105" s="10" t="s">
        <v>38</v>
      </c>
      <c r="AS105" s="9"/>
      <c r="AT105" s="9"/>
      <c r="AU105" s="10" t="s">
        <v>38</v>
      </c>
      <c r="AV105" s="7"/>
      <c r="AW105" s="7"/>
      <c r="AX105" s="10" t="s">
        <v>38</v>
      </c>
      <c r="AY105" s="7"/>
      <c r="AZ105" s="7"/>
      <c r="BA105" s="10" t="s">
        <v>38</v>
      </c>
      <c r="BB105" s="7"/>
      <c r="BC105" s="7"/>
      <c r="BD105" s="10" t="s">
        <v>38</v>
      </c>
      <c r="BE105" s="9"/>
      <c r="BF105" s="9"/>
      <c r="BG105" s="10" t="s">
        <v>38</v>
      </c>
      <c r="BH105" s="7"/>
      <c r="BI105" s="7"/>
      <c r="BJ105" s="10" t="s">
        <v>38</v>
      </c>
      <c r="BK105" s="7"/>
      <c r="BL105" s="7"/>
      <c r="BM105" s="10" t="s">
        <v>38</v>
      </c>
      <c r="BN105" s="7"/>
      <c r="BO105" s="7"/>
      <c r="BP105" s="10" t="s">
        <v>38</v>
      </c>
      <c r="BQ105" s="9"/>
      <c r="BR105" s="9"/>
      <c r="BS105" s="10" t="s">
        <v>38</v>
      </c>
      <c r="BT105" s="7"/>
      <c r="BU105" s="7"/>
      <c r="BV105" s="10" t="s">
        <v>38</v>
      </c>
      <c r="BW105" s="7"/>
      <c r="BX105" s="7"/>
      <c r="BY105" s="10" t="s">
        <v>38</v>
      </c>
      <c r="BZ105" s="7"/>
      <c r="CA105" s="7"/>
      <c r="CB105" s="10" t="s">
        <v>38</v>
      </c>
      <c r="CC105" s="9"/>
      <c r="CD105" s="9"/>
      <c r="CE105" s="10" t="s">
        <v>38</v>
      </c>
      <c r="CF105" s="7"/>
      <c r="CG105" s="7"/>
      <c r="CH105" s="10" t="s">
        <v>38</v>
      </c>
      <c r="CI105" s="7"/>
      <c r="CJ105" s="7"/>
      <c r="CK105" s="10" t="s">
        <v>38</v>
      </c>
      <c r="CL105" s="7"/>
      <c r="CM105" s="7"/>
      <c r="CN105" s="10" t="s">
        <v>38</v>
      </c>
      <c r="CO105" s="9"/>
      <c r="CP105" s="9"/>
      <c r="CQ105" s="10" t="s">
        <v>38</v>
      </c>
      <c r="CR105" s="7"/>
      <c r="CS105" s="7"/>
      <c r="CT105" s="10" t="s">
        <v>38</v>
      </c>
      <c r="CU105" s="7"/>
      <c r="CV105" s="7"/>
      <c r="CW105" s="10" t="s">
        <v>38</v>
      </c>
      <c r="CX105" s="7"/>
      <c r="CY105" s="7"/>
      <c r="CZ105" s="10" t="s">
        <v>38</v>
      </c>
      <c r="DA105" s="9"/>
      <c r="DB105" s="9"/>
      <c r="DC105" s="10" t="s">
        <v>38</v>
      </c>
      <c r="DD105" s="7"/>
      <c r="DE105" s="7"/>
      <c r="DF105" s="10" t="s">
        <v>38</v>
      </c>
      <c r="DG105" s="7"/>
      <c r="DH105" s="7"/>
      <c r="DI105" s="10" t="s">
        <v>38</v>
      </c>
      <c r="DJ105" s="7"/>
      <c r="DK105" s="7"/>
      <c r="DL105" s="10" t="s">
        <v>38</v>
      </c>
      <c r="DM105" s="9"/>
      <c r="DN105" s="9"/>
      <c r="DO105" s="10" t="s">
        <v>38</v>
      </c>
      <c r="DP105" s="7"/>
      <c r="DQ105" s="7"/>
      <c r="DR105" s="10" t="s">
        <v>38</v>
      </c>
      <c r="DS105" s="7"/>
      <c r="DT105" s="7"/>
      <c r="DU105" s="10" t="s">
        <v>38</v>
      </c>
      <c r="DV105" s="7"/>
      <c r="DW105" s="7"/>
      <c r="DX105" s="10" t="s">
        <v>38</v>
      </c>
      <c r="DY105" s="9"/>
      <c r="DZ105" s="9"/>
      <c r="EA105" s="10" t="s">
        <v>38</v>
      </c>
      <c r="EB105" s="7"/>
      <c r="EC105" s="7"/>
      <c r="ED105" s="10" t="s">
        <v>38</v>
      </c>
      <c r="EE105" s="7"/>
      <c r="EF105" s="7"/>
      <c r="EG105" s="10" t="s">
        <v>38</v>
      </c>
      <c r="EH105" s="7"/>
      <c r="EI105" s="7"/>
      <c r="EJ105" s="10" t="s">
        <v>38</v>
      </c>
      <c r="EK105" s="9"/>
      <c r="EL105" s="9"/>
      <c r="EM105" s="10" t="s">
        <v>38</v>
      </c>
      <c r="EN105" s="7"/>
      <c r="EO105" s="7"/>
      <c r="EP105" s="10" t="s">
        <v>38</v>
      </c>
      <c r="EQ105" s="7"/>
      <c r="ER105" s="7"/>
      <c r="ES105" s="10" t="s">
        <v>38</v>
      </c>
      <c r="ET105" s="7"/>
      <c r="EU105" s="7"/>
      <c r="EV105" s="10" t="s">
        <v>38</v>
      </c>
      <c r="EW105" s="9"/>
      <c r="EX105" s="9"/>
      <c r="EY105" s="10" t="s">
        <v>38</v>
      </c>
      <c r="EZ105" s="7"/>
      <c r="FA105" s="7"/>
      <c r="FB105" s="10" t="s">
        <v>38</v>
      </c>
      <c r="FC105" s="7"/>
      <c r="FD105" s="7"/>
      <c r="FE105" s="10" t="s">
        <v>38</v>
      </c>
      <c r="FF105" s="7"/>
      <c r="FG105" s="7"/>
      <c r="FH105" s="10" t="s">
        <v>38</v>
      </c>
      <c r="FI105" s="9"/>
      <c r="FJ105" s="9"/>
      <c r="FK105" s="10" t="s">
        <v>38</v>
      </c>
      <c r="FL105" s="7"/>
      <c r="FM105" s="7"/>
      <c r="FN105" s="10" t="s">
        <v>38</v>
      </c>
      <c r="FO105" s="7"/>
      <c r="FP105" s="7"/>
      <c r="FQ105" s="10" t="s">
        <v>38</v>
      </c>
      <c r="FR105" s="7"/>
      <c r="FS105" s="7"/>
      <c r="FT105" s="10" t="s">
        <v>38</v>
      </c>
      <c r="FU105" s="9">
        <v>50</v>
      </c>
      <c r="FV105" s="9">
        <v>400</v>
      </c>
      <c r="FW105" s="10" t="s">
        <v>38</v>
      </c>
      <c r="FX105" s="7"/>
      <c r="FY105" s="7"/>
      <c r="FZ105" s="10" t="s">
        <v>38</v>
      </c>
      <c r="GA105" s="7"/>
      <c r="GB105" s="7"/>
      <c r="GC105" s="10" t="s">
        <v>38</v>
      </c>
      <c r="GD105" s="7"/>
      <c r="GE105" s="7"/>
      <c r="GF105" s="10" t="s">
        <v>38</v>
      </c>
      <c r="GG105" s="7">
        <v>142</v>
      </c>
      <c r="GH105" s="7">
        <v>757</v>
      </c>
      <c r="GI105" s="10" t="s">
        <v>38</v>
      </c>
      <c r="GJ105" s="7"/>
      <c r="GK105" s="7"/>
      <c r="GL105" s="10" t="s">
        <v>38</v>
      </c>
      <c r="GM105" s="7"/>
      <c r="GN105" s="7"/>
      <c r="GO105" s="6" t="s">
        <v>38</v>
      </c>
      <c r="GP105" s="7"/>
      <c r="GQ105" s="7"/>
      <c r="GR105" s="6" t="s">
        <v>38</v>
      </c>
      <c r="GS105" s="7">
        <v>115</v>
      </c>
      <c r="GT105" s="7">
        <v>700</v>
      </c>
      <c r="GV105" s="7"/>
      <c r="GW105" s="7"/>
      <c r="GX105" s="10" t="s">
        <v>38</v>
      </c>
      <c r="GY105" s="7"/>
      <c r="GZ105" s="7"/>
      <c r="HA105" s="10" t="s">
        <v>38</v>
      </c>
      <c r="HB105" s="7"/>
      <c r="HC105" s="7"/>
      <c r="HD105" s="10" t="s">
        <v>38</v>
      </c>
      <c r="HE105" s="7">
        <v>15</v>
      </c>
      <c r="HF105" s="7">
        <v>300</v>
      </c>
      <c r="HG105" s="10" t="s">
        <v>38</v>
      </c>
      <c r="HH105" s="7"/>
      <c r="HI105" s="7"/>
      <c r="HJ105" s="10" t="s">
        <v>38</v>
      </c>
      <c r="HK105" s="7"/>
      <c r="HL105" s="7"/>
      <c r="HM105" s="10" t="s">
        <v>38</v>
      </c>
      <c r="HN105" s="7"/>
      <c r="HO105" s="7"/>
      <c r="HP105" s="10" t="s">
        <v>38</v>
      </c>
      <c r="HQ105" s="7">
        <v>16</v>
      </c>
      <c r="HR105" s="7">
        <v>320</v>
      </c>
      <c r="HS105" s="10" t="s">
        <v>38</v>
      </c>
      <c r="HT105" s="7"/>
      <c r="HU105" s="7"/>
      <c r="HV105" s="10" t="s">
        <v>38</v>
      </c>
      <c r="HW105" s="7"/>
      <c r="HX105" s="7"/>
      <c r="HY105" s="6" t="s">
        <v>38</v>
      </c>
      <c r="HZ105" s="7"/>
      <c r="IA105" s="7"/>
      <c r="IB105" s="6" t="s">
        <v>38</v>
      </c>
      <c r="IC105" s="7">
        <v>10</v>
      </c>
      <c r="ID105" s="7">
        <v>200</v>
      </c>
      <c r="IF105" s="7"/>
      <c r="IG105" s="7"/>
      <c r="II105" s="7"/>
      <c r="IJ105" s="7"/>
      <c r="IK105" s="7"/>
      <c r="IL105" s="7"/>
      <c r="IM105" s="7"/>
      <c r="IN105" s="7"/>
      <c r="IP105" s="7"/>
      <c r="IQ105" s="7"/>
      <c r="IR105" s="7"/>
      <c r="IS105" s="7"/>
      <c r="IT105" s="7"/>
      <c r="IU105" s="7"/>
      <c r="IV105" s="7"/>
      <c r="IW105" s="7"/>
      <c r="IX105" s="7"/>
      <c r="IY105" s="7"/>
      <c r="IZ105" s="7"/>
      <c r="JA105" s="7"/>
      <c r="JB105" s="7"/>
      <c r="JC105" s="7"/>
      <c r="JE105" s="7"/>
      <c r="JF105" s="7"/>
      <c r="JH105" s="7"/>
      <c r="JI105" s="7"/>
      <c r="JJ105" s="7"/>
      <c r="JK105" s="7"/>
      <c r="JL105" s="7"/>
      <c r="JM105" s="7"/>
      <c r="JO105" s="7"/>
      <c r="JP105" s="7"/>
      <c r="JQ105" s="7"/>
      <c r="JR105" s="7"/>
      <c r="JT105" s="7"/>
      <c r="JU105" s="7"/>
      <c r="JV105" s="7"/>
      <c r="JW105" s="7"/>
      <c r="JX105" s="7"/>
    </row>
    <row r="106" spans="1:284" x14ac:dyDescent="0.3">
      <c r="A106" t="s">
        <v>272</v>
      </c>
      <c r="B106" s="10" t="s">
        <v>38</v>
      </c>
      <c r="C106" s="7"/>
      <c r="D106" s="7"/>
      <c r="E106" s="10" t="s">
        <v>38</v>
      </c>
      <c r="F106" s="7"/>
      <c r="G106" s="7"/>
      <c r="H106" s="10" t="s">
        <v>38</v>
      </c>
      <c r="I106" s="9"/>
      <c r="J106" s="9"/>
      <c r="K106" s="10" t="s">
        <v>38</v>
      </c>
      <c r="L106" s="7"/>
      <c r="M106" s="7"/>
      <c r="N106" s="10" t="s">
        <v>38</v>
      </c>
      <c r="O106" s="7"/>
      <c r="P106" s="7"/>
      <c r="Q106" s="10" t="s">
        <v>38</v>
      </c>
      <c r="R106" s="7"/>
      <c r="S106" s="7"/>
      <c r="T106" s="10" t="s">
        <v>38</v>
      </c>
      <c r="U106" s="9"/>
      <c r="V106" s="9"/>
      <c r="W106" s="10" t="s">
        <v>38</v>
      </c>
      <c r="X106" s="7"/>
      <c r="Y106" s="7"/>
      <c r="Z106" s="10" t="s">
        <v>38</v>
      </c>
      <c r="AA106" s="7"/>
      <c r="AB106" s="7"/>
      <c r="AC106" s="10" t="s">
        <v>38</v>
      </c>
      <c r="AD106" s="7"/>
      <c r="AE106" s="7"/>
      <c r="AF106" s="10" t="s">
        <v>38</v>
      </c>
      <c r="AG106" s="9"/>
      <c r="AH106" s="9"/>
      <c r="AI106" s="10" t="s">
        <v>38</v>
      </c>
      <c r="AJ106" s="7"/>
      <c r="AK106" s="7"/>
      <c r="AL106" s="10" t="s">
        <v>38</v>
      </c>
      <c r="AM106" s="7"/>
      <c r="AN106" s="7"/>
      <c r="AO106" s="10" t="s">
        <v>38</v>
      </c>
      <c r="AP106" s="7"/>
      <c r="AQ106" s="7"/>
      <c r="AR106" s="10" t="s">
        <v>38</v>
      </c>
      <c r="AS106" s="9"/>
      <c r="AT106" s="9"/>
      <c r="AU106" s="10" t="s">
        <v>38</v>
      </c>
      <c r="AV106" s="7"/>
      <c r="AW106" s="7"/>
      <c r="AX106" s="10" t="s">
        <v>38</v>
      </c>
      <c r="AY106" s="7"/>
      <c r="AZ106" s="7"/>
      <c r="BA106" s="10" t="s">
        <v>38</v>
      </c>
      <c r="BB106" s="7"/>
      <c r="BC106" s="7"/>
      <c r="BD106" s="10" t="s">
        <v>38</v>
      </c>
      <c r="BE106" s="9"/>
      <c r="BF106" s="9"/>
      <c r="BG106" s="10" t="s">
        <v>38</v>
      </c>
      <c r="BH106" s="7"/>
      <c r="BI106" s="7"/>
      <c r="BJ106" s="10" t="s">
        <v>38</v>
      </c>
      <c r="BK106" s="7"/>
      <c r="BL106" s="7"/>
      <c r="BM106" s="10" t="s">
        <v>38</v>
      </c>
      <c r="BN106" s="7"/>
      <c r="BO106" s="7"/>
      <c r="BP106" s="10" t="s">
        <v>38</v>
      </c>
      <c r="BQ106" s="9"/>
      <c r="BR106" s="9"/>
      <c r="BS106" s="10" t="s">
        <v>38</v>
      </c>
      <c r="BT106" s="7"/>
      <c r="BU106" s="7"/>
      <c r="BV106" s="10" t="s">
        <v>38</v>
      </c>
      <c r="BW106" s="7"/>
      <c r="BX106" s="7"/>
      <c r="BY106" s="10" t="s">
        <v>38</v>
      </c>
      <c r="BZ106" s="7"/>
      <c r="CA106" s="7"/>
      <c r="CB106" s="10" t="s">
        <v>38</v>
      </c>
      <c r="CC106" s="9"/>
      <c r="CD106" s="9"/>
      <c r="CE106" s="10" t="s">
        <v>38</v>
      </c>
      <c r="CF106" s="7"/>
      <c r="CG106" s="7"/>
      <c r="CH106" s="10" t="s">
        <v>38</v>
      </c>
      <c r="CI106" s="7"/>
      <c r="CJ106" s="7"/>
      <c r="CK106" s="10" t="s">
        <v>38</v>
      </c>
      <c r="CL106" s="7"/>
      <c r="CM106" s="7"/>
      <c r="CN106" s="10" t="s">
        <v>38</v>
      </c>
      <c r="CO106" s="9"/>
      <c r="CP106" s="9"/>
      <c r="CQ106" s="10" t="s">
        <v>38</v>
      </c>
      <c r="CR106" s="7"/>
      <c r="CS106" s="7"/>
      <c r="CT106" s="10" t="s">
        <v>38</v>
      </c>
      <c r="CU106" s="7"/>
      <c r="CV106" s="7"/>
      <c r="CW106" s="10" t="s">
        <v>38</v>
      </c>
      <c r="CX106" s="7"/>
      <c r="CY106" s="7"/>
      <c r="CZ106" s="10" t="s">
        <v>38</v>
      </c>
      <c r="DA106" s="9"/>
      <c r="DB106" s="9"/>
      <c r="DC106" s="10" t="s">
        <v>38</v>
      </c>
      <c r="DD106" s="7"/>
      <c r="DE106" s="7"/>
      <c r="DF106" s="10" t="s">
        <v>38</v>
      </c>
      <c r="DG106" s="7"/>
      <c r="DH106" s="7"/>
      <c r="DI106" s="10" t="s">
        <v>38</v>
      </c>
      <c r="DJ106" s="7"/>
      <c r="DK106" s="7"/>
      <c r="DL106" s="10" t="s">
        <v>38</v>
      </c>
      <c r="DM106" s="9"/>
      <c r="DN106" s="9"/>
      <c r="DO106" s="10" t="s">
        <v>38</v>
      </c>
      <c r="DP106" s="7"/>
      <c r="DQ106" s="7"/>
      <c r="DR106" s="10" t="s">
        <v>38</v>
      </c>
      <c r="DS106" s="7"/>
      <c r="DT106" s="7"/>
      <c r="DU106" s="10" t="s">
        <v>38</v>
      </c>
      <c r="DV106" s="7"/>
      <c r="DW106" s="7"/>
      <c r="DX106" s="10" t="s">
        <v>38</v>
      </c>
      <c r="DY106" s="9"/>
      <c r="DZ106" s="9"/>
      <c r="EA106" s="10" t="s">
        <v>38</v>
      </c>
      <c r="EB106" s="7"/>
      <c r="EC106" s="7"/>
      <c r="ED106" s="10" t="s">
        <v>38</v>
      </c>
      <c r="EE106" s="7"/>
      <c r="EF106" s="7"/>
      <c r="EG106" s="10" t="s">
        <v>38</v>
      </c>
      <c r="EH106" s="7"/>
      <c r="EI106" s="7"/>
      <c r="EJ106" s="10" t="s">
        <v>38</v>
      </c>
      <c r="EK106" s="9"/>
      <c r="EL106" s="9"/>
      <c r="EM106" s="10" t="s">
        <v>38</v>
      </c>
      <c r="EN106" s="7"/>
      <c r="EO106" s="7"/>
      <c r="EP106" s="10" t="s">
        <v>38</v>
      </c>
      <c r="EQ106" s="7"/>
      <c r="ER106" s="7"/>
      <c r="ES106" s="10" t="s">
        <v>38</v>
      </c>
      <c r="ET106" s="7"/>
      <c r="EU106" s="7"/>
      <c r="EV106" s="10" t="s">
        <v>38</v>
      </c>
      <c r="EW106" s="9"/>
      <c r="EX106" s="9"/>
      <c r="EY106" s="10" t="s">
        <v>38</v>
      </c>
      <c r="EZ106" s="7"/>
      <c r="FA106" s="7"/>
      <c r="FB106" s="10" t="s">
        <v>38</v>
      </c>
      <c r="FC106" s="7"/>
      <c r="FD106" s="7"/>
      <c r="FE106" s="10" t="s">
        <v>38</v>
      </c>
      <c r="FF106" s="7"/>
      <c r="FG106" s="7"/>
      <c r="FH106" s="10" t="s">
        <v>38</v>
      </c>
      <c r="FI106" s="9"/>
      <c r="FJ106" s="9"/>
      <c r="FK106" s="10" t="s">
        <v>38</v>
      </c>
      <c r="FL106" s="7"/>
      <c r="FM106" s="7"/>
      <c r="FN106" s="10" t="s">
        <v>38</v>
      </c>
      <c r="FO106" s="7"/>
      <c r="FP106" s="7"/>
      <c r="FQ106" s="10" t="s">
        <v>38</v>
      </c>
      <c r="FR106" s="7"/>
      <c r="FS106" s="7"/>
      <c r="FT106" s="10" t="s">
        <v>38</v>
      </c>
      <c r="FU106" s="9">
        <v>300</v>
      </c>
      <c r="FV106" s="9">
        <v>3000</v>
      </c>
      <c r="FW106" s="10" t="s">
        <v>38</v>
      </c>
      <c r="FX106" s="7"/>
      <c r="FY106" s="7"/>
      <c r="FZ106" s="10" t="s">
        <v>38</v>
      </c>
      <c r="GA106" s="7"/>
      <c r="GB106" s="7"/>
      <c r="GC106" s="10" t="s">
        <v>38</v>
      </c>
      <c r="GD106" s="7"/>
      <c r="GE106" s="7"/>
      <c r="GF106" s="10" t="s">
        <v>38</v>
      </c>
      <c r="GG106" s="7">
        <v>6</v>
      </c>
      <c r="GH106" s="7">
        <v>47</v>
      </c>
      <c r="GI106" s="10" t="s">
        <v>38</v>
      </c>
      <c r="GJ106" s="7"/>
      <c r="GK106" s="7"/>
      <c r="GL106" s="10" t="s">
        <v>38</v>
      </c>
      <c r="GM106" s="7"/>
      <c r="GN106" s="7"/>
      <c r="GO106" s="6" t="s">
        <v>38</v>
      </c>
      <c r="GP106" s="7"/>
      <c r="GQ106" s="7"/>
      <c r="GR106" s="6" t="s">
        <v>38</v>
      </c>
      <c r="GS106" s="7">
        <v>11</v>
      </c>
      <c r="GT106" s="7">
        <v>120</v>
      </c>
      <c r="GV106" s="7"/>
      <c r="GW106" s="7"/>
      <c r="GX106" s="10" t="s">
        <v>38</v>
      </c>
      <c r="GY106" s="7"/>
      <c r="GZ106" s="7"/>
      <c r="HA106" s="10" t="s">
        <v>38</v>
      </c>
      <c r="HB106" s="7"/>
      <c r="HC106" s="7"/>
      <c r="HD106" s="10" t="s">
        <v>38</v>
      </c>
      <c r="HE106" s="7">
        <v>300</v>
      </c>
      <c r="HF106" s="7">
        <v>1800</v>
      </c>
      <c r="HG106" s="10" t="s">
        <v>38</v>
      </c>
      <c r="HH106" s="7"/>
      <c r="HI106" s="7"/>
      <c r="HJ106" s="10" t="s">
        <v>38</v>
      </c>
      <c r="HK106" s="7"/>
      <c r="HL106" s="7"/>
      <c r="HM106" s="10" t="s">
        <v>38</v>
      </c>
      <c r="HN106" s="7"/>
      <c r="HO106" s="7"/>
      <c r="HP106" s="10" t="s">
        <v>38</v>
      </c>
      <c r="HQ106" s="7">
        <v>250</v>
      </c>
      <c r="HR106" s="7">
        <v>1500</v>
      </c>
      <c r="HS106" s="10" t="s">
        <v>38</v>
      </c>
      <c r="HT106" s="7"/>
      <c r="HU106" s="7"/>
      <c r="HV106" s="10" t="s">
        <v>38</v>
      </c>
      <c r="HW106" s="7"/>
      <c r="HX106" s="7"/>
      <c r="HY106" s="6" t="s">
        <v>38</v>
      </c>
      <c r="HZ106" s="7"/>
      <c r="IA106" s="7"/>
      <c r="IB106" s="6" t="s">
        <v>38</v>
      </c>
      <c r="IC106" s="7">
        <v>152</v>
      </c>
      <c r="ID106" s="7">
        <v>1160</v>
      </c>
      <c r="IF106" s="7"/>
      <c r="IG106" s="7"/>
      <c r="II106" s="7"/>
      <c r="IJ106" s="7"/>
      <c r="IK106" s="7"/>
      <c r="IL106" s="7"/>
      <c r="IM106" s="7"/>
      <c r="IN106" s="7"/>
      <c r="IP106" s="7"/>
      <c r="IQ106" s="7"/>
      <c r="IR106" s="7"/>
      <c r="IS106" s="7"/>
      <c r="IT106" s="7"/>
      <c r="IU106" s="7"/>
      <c r="IV106" s="7"/>
      <c r="IW106" s="7"/>
      <c r="IX106" s="7"/>
      <c r="IY106" s="7"/>
      <c r="IZ106" s="7"/>
      <c r="JA106" s="7"/>
      <c r="JB106" s="7"/>
      <c r="JC106" s="7"/>
      <c r="JE106" s="7"/>
      <c r="JF106" s="7"/>
      <c r="JH106" s="7"/>
      <c r="JI106" s="7"/>
      <c r="JJ106" s="7"/>
      <c r="JK106" s="7"/>
      <c r="JL106" s="7"/>
      <c r="JM106" s="7"/>
      <c r="JO106" s="7"/>
      <c r="JP106" s="7"/>
      <c r="JQ106" s="7"/>
      <c r="JR106" s="7"/>
      <c r="JT106" s="7"/>
      <c r="JU106" s="7"/>
      <c r="JV106" s="7"/>
      <c r="JW106" s="7"/>
      <c r="JX106" s="7"/>
    </row>
    <row r="107" spans="1:284" x14ac:dyDescent="0.3">
      <c r="A107" t="s">
        <v>273</v>
      </c>
      <c r="C107" s="7"/>
      <c r="D107" s="7"/>
      <c r="F107" s="7"/>
      <c r="G107" s="7"/>
      <c r="I107" s="9"/>
      <c r="J107" s="9"/>
      <c r="L107" s="7"/>
      <c r="M107" s="7"/>
      <c r="O107" s="7"/>
      <c r="P107" s="7"/>
      <c r="R107" s="7"/>
      <c r="S107" s="7"/>
      <c r="U107" s="9"/>
      <c r="V107" s="9"/>
      <c r="X107" s="7"/>
      <c r="Y107" s="7"/>
      <c r="AA107" s="7"/>
      <c r="AB107" s="7"/>
      <c r="AD107" s="7"/>
      <c r="AE107" s="7"/>
      <c r="AG107" s="9"/>
      <c r="AH107" s="9"/>
      <c r="AJ107" s="7"/>
      <c r="AK107" s="7"/>
      <c r="AM107" s="7"/>
      <c r="AN107" s="7"/>
      <c r="AP107" s="7"/>
      <c r="AQ107" s="7"/>
      <c r="AS107" s="9"/>
      <c r="AT107" s="9"/>
      <c r="AV107" s="7"/>
      <c r="AW107" s="7"/>
      <c r="AY107" s="7"/>
      <c r="AZ107" s="7"/>
      <c r="BB107" s="7"/>
      <c r="BC107" s="7"/>
      <c r="BE107" s="9"/>
      <c r="BF107" s="9"/>
      <c r="BH107" s="7"/>
      <c r="BI107" s="7"/>
      <c r="BK107" s="7"/>
      <c r="BL107" s="7"/>
      <c r="BN107" s="7"/>
      <c r="BO107" s="7"/>
      <c r="BQ107" s="9"/>
      <c r="BR107" s="9"/>
      <c r="BT107" s="7"/>
      <c r="BU107" s="7"/>
      <c r="BW107" s="7"/>
      <c r="BX107" s="7"/>
      <c r="BZ107" s="7"/>
      <c r="CA107" s="7"/>
      <c r="CC107" s="9"/>
      <c r="CD107" s="9"/>
      <c r="CF107" s="7"/>
      <c r="CG107" s="7"/>
      <c r="CI107" s="7"/>
      <c r="CJ107" s="7"/>
      <c r="CL107" s="7"/>
      <c r="CM107" s="7"/>
      <c r="CO107" s="9"/>
      <c r="CP107" s="9"/>
      <c r="CR107" s="7"/>
      <c r="CS107" s="7"/>
      <c r="CU107" s="7"/>
      <c r="CV107" s="7"/>
      <c r="CX107" s="7"/>
      <c r="CY107" s="7"/>
      <c r="DA107" s="9"/>
      <c r="DB107" s="9"/>
      <c r="DD107" s="7"/>
      <c r="DE107" s="7"/>
      <c r="DG107" s="7"/>
      <c r="DH107" s="7"/>
      <c r="DJ107" s="7"/>
      <c r="DK107" s="7"/>
      <c r="DM107" s="9"/>
      <c r="DN107" s="9"/>
      <c r="DP107" s="7"/>
      <c r="DQ107" s="7"/>
      <c r="DS107" s="7"/>
      <c r="DT107" s="7"/>
      <c r="DV107" s="7"/>
      <c r="DW107" s="7"/>
      <c r="DY107" s="9"/>
      <c r="DZ107" s="9"/>
      <c r="EB107" s="7"/>
      <c r="EC107" s="7"/>
      <c r="EE107" s="7"/>
      <c r="EF107" s="7"/>
      <c r="EH107" s="7"/>
      <c r="EI107" s="7"/>
      <c r="EK107" s="9"/>
      <c r="EL107" s="9"/>
      <c r="EN107" s="7"/>
      <c r="EO107" s="7"/>
      <c r="EQ107" s="7"/>
      <c r="ER107" s="7"/>
      <c r="ET107" s="7"/>
      <c r="EU107" s="7"/>
      <c r="EW107" s="9"/>
      <c r="EX107" s="9"/>
      <c r="EZ107" s="7"/>
      <c r="FA107" s="7"/>
      <c r="FC107" s="7"/>
      <c r="FD107" s="7"/>
      <c r="FF107" s="7"/>
      <c r="FG107" s="7"/>
      <c r="FI107" s="9"/>
      <c r="FJ107" s="9"/>
      <c r="FL107" s="7"/>
      <c r="FM107" s="7"/>
      <c r="FO107" s="7"/>
      <c r="FP107" s="7"/>
      <c r="FR107" s="7"/>
      <c r="FS107" s="7"/>
      <c r="FU107" s="9"/>
      <c r="FV107" s="9"/>
      <c r="FX107" s="7"/>
      <c r="FY107" s="7"/>
      <c r="GA107" s="7"/>
      <c r="GB107" s="7"/>
      <c r="GD107" s="7"/>
      <c r="GE107" s="7"/>
      <c r="GG107" s="7"/>
      <c r="GH107" s="7"/>
      <c r="GJ107" s="7"/>
      <c r="GK107" s="7"/>
      <c r="GM107" s="7"/>
      <c r="GN107" s="7"/>
      <c r="GO107" s="10"/>
      <c r="GP107" s="7"/>
      <c r="GQ107" s="7"/>
      <c r="GR107" s="10"/>
      <c r="GS107" s="7"/>
      <c r="GT107" s="7"/>
      <c r="GV107" s="7"/>
      <c r="GW107" s="7"/>
      <c r="GY107" s="7"/>
      <c r="GZ107" s="7"/>
      <c r="HB107" s="7"/>
      <c r="HC107" s="7"/>
      <c r="HE107" s="7"/>
      <c r="HF107" s="7"/>
      <c r="HH107" s="7"/>
      <c r="HI107" s="7"/>
      <c r="HK107" s="7"/>
      <c r="HL107" s="7"/>
      <c r="HN107" s="7"/>
      <c r="HO107" s="7"/>
      <c r="HQ107" s="7"/>
      <c r="HR107" s="7"/>
      <c r="HT107" s="7"/>
      <c r="HU107" s="7"/>
      <c r="HW107" s="7"/>
      <c r="HX107" s="7"/>
      <c r="HY107" s="10"/>
      <c r="HZ107" s="7"/>
      <c r="IA107" s="7"/>
      <c r="IC107" s="7"/>
      <c r="ID107" s="7"/>
      <c r="IF107" s="7"/>
      <c r="IG107" s="7"/>
      <c r="II107" s="7"/>
      <c r="IJ107" s="7"/>
      <c r="IK107" s="7"/>
      <c r="IL107" s="7"/>
      <c r="IM107" s="7"/>
      <c r="IN107" s="7"/>
      <c r="IP107" s="7"/>
      <c r="IQ107" s="7"/>
      <c r="IR107" s="7"/>
      <c r="IS107" s="7"/>
      <c r="IT107" s="7"/>
      <c r="IU107" s="7"/>
      <c r="IV107" s="7"/>
      <c r="IW107" s="7"/>
      <c r="IX107" s="7"/>
      <c r="IY107" s="7"/>
      <c r="IZ107" s="7"/>
      <c r="JA107" s="7"/>
      <c r="JB107" s="7"/>
      <c r="JC107" s="7"/>
      <c r="JE107" s="7"/>
      <c r="JF107" s="7"/>
      <c r="JH107" s="7"/>
      <c r="JI107" s="7"/>
      <c r="JJ107" s="7"/>
      <c r="JK107" s="7"/>
      <c r="JL107" s="7"/>
      <c r="JM107" s="7"/>
      <c r="JO107" s="7"/>
      <c r="JP107" s="7"/>
      <c r="JQ107" s="7"/>
      <c r="JR107" s="7"/>
      <c r="JS107" t="s">
        <v>20</v>
      </c>
      <c r="JT107" s="7">
        <v>7700</v>
      </c>
      <c r="JU107" s="7">
        <v>317</v>
      </c>
      <c r="JV107" s="7">
        <v>14800</v>
      </c>
      <c r="JW107" s="7">
        <v>335</v>
      </c>
      <c r="JX107" s="7"/>
    </row>
    <row r="108" spans="1:284" x14ac:dyDescent="0.3">
      <c r="A108" t="s">
        <v>274</v>
      </c>
      <c r="B108" s="10" t="s">
        <v>42</v>
      </c>
      <c r="C108" s="7"/>
      <c r="D108" s="7"/>
      <c r="E108" s="10" t="s">
        <v>42</v>
      </c>
      <c r="F108" s="7"/>
      <c r="G108" s="7"/>
      <c r="H108" s="10" t="s">
        <v>42</v>
      </c>
      <c r="I108" s="9"/>
      <c r="J108" s="9"/>
      <c r="K108" s="10" t="s">
        <v>42</v>
      </c>
      <c r="L108" s="7"/>
      <c r="M108" s="7"/>
      <c r="N108" s="10" t="s">
        <v>42</v>
      </c>
      <c r="O108" s="7"/>
      <c r="P108" s="7"/>
      <c r="Q108" s="10" t="s">
        <v>42</v>
      </c>
      <c r="R108" s="7"/>
      <c r="S108" s="7"/>
      <c r="T108" s="10" t="s">
        <v>42</v>
      </c>
      <c r="U108" s="9"/>
      <c r="V108" s="9"/>
      <c r="W108" s="10" t="s">
        <v>42</v>
      </c>
      <c r="X108" s="7"/>
      <c r="Y108" s="7"/>
      <c r="Z108" s="10" t="s">
        <v>42</v>
      </c>
      <c r="AA108" s="7"/>
      <c r="AB108" s="7"/>
      <c r="AC108" s="10" t="s">
        <v>42</v>
      </c>
      <c r="AD108" s="7"/>
      <c r="AE108" s="7"/>
      <c r="AF108" s="10" t="s">
        <v>42</v>
      </c>
      <c r="AG108" s="9"/>
      <c r="AH108" s="9"/>
      <c r="AI108" s="10" t="s">
        <v>42</v>
      </c>
      <c r="AJ108" s="7"/>
      <c r="AK108" s="7"/>
      <c r="AL108" s="10" t="s">
        <v>42</v>
      </c>
      <c r="AM108" s="7"/>
      <c r="AN108" s="7"/>
      <c r="AO108" s="10" t="s">
        <v>42</v>
      </c>
      <c r="AP108" s="7"/>
      <c r="AQ108" s="7"/>
      <c r="AR108" s="10" t="s">
        <v>42</v>
      </c>
      <c r="AS108" s="9"/>
      <c r="AT108" s="9"/>
      <c r="AU108" s="10" t="s">
        <v>42</v>
      </c>
      <c r="AV108" s="7"/>
      <c r="AW108" s="7"/>
      <c r="AX108" s="10" t="s">
        <v>42</v>
      </c>
      <c r="AY108" s="7"/>
      <c r="AZ108" s="7"/>
      <c r="BA108" s="10" t="s">
        <v>42</v>
      </c>
      <c r="BB108" s="7"/>
      <c r="BC108" s="7"/>
      <c r="BD108" s="10" t="s">
        <v>42</v>
      </c>
      <c r="BE108" s="9"/>
      <c r="BF108" s="9"/>
      <c r="BG108" s="10" t="s">
        <v>42</v>
      </c>
      <c r="BH108" s="7"/>
      <c r="BI108" s="7"/>
      <c r="BJ108" s="10" t="s">
        <v>42</v>
      </c>
      <c r="BK108" s="7"/>
      <c r="BL108" s="7"/>
      <c r="BM108" s="10" t="s">
        <v>42</v>
      </c>
      <c r="BN108" s="7"/>
      <c r="BO108" s="7"/>
      <c r="BP108" s="10" t="s">
        <v>42</v>
      </c>
      <c r="BQ108" s="9"/>
      <c r="BR108" s="9"/>
      <c r="BS108" s="10" t="s">
        <v>42</v>
      </c>
      <c r="BT108" s="7"/>
      <c r="BU108" s="7"/>
      <c r="BV108" s="10" t="s">
        <v>42</v>
      </c>
      <c r="BW108" s="7"/>
      <c r="BX108" s="7"/>
      <c r="BY108" s="10" t="s">
        <v>42</v>
      </c>
      <c r="BZ108" s="7"/>
      <c r="CA108" s="7"/>
      <c r="CB108" s="10" t="s">
        <v>42</v>
      </c>
      <c r="CC108" s="9"/>
      <c r="CD108" s="9"/>
      <c r="CE108" s="10" t="s">
        <v>42</v>
      </c>
      <c r="CF108" s="7"/>
      <c r="CG108" s="7"/>
      <c r="CH108" s="10" t="s">
        <v>42</v>
      </c>
      <c r="CI108" s="7"/>
      <c r="CJ108" s="7"/>
      <c r="CK108" s="10" t="s">
        <v>42</v>
      </c>
      <c r="CL108" s="7"/>
      <c r="CM108" s="7"/>
      <c r="CN108" s="10" t="s">
        <v>42</v>
      </c>
      <c r="CO108" s="9"/>
      <c r="CP108" s="9"/>
      <c r="CQ108" s="10" t="s">
        <v>42</v>
      </c>
      <c r="CR108" s="7"/>
      <c r="CS108" s="7"/>
      <c r="CT108" s="10" t="s">
        <v>42</v>
      </c>
      <c r="CU108" s="7"/>
      <c r="CV108" s="7"/>
      <c r="CW108" s="10" t="s">
        <v>42</v>
      </c>
      <c r="CX108" s="7"/>
      <c r="CY108" s="7"/>
      <c r="CZ108" s="10" t="s">
        <v>42</v>
      </c>
      <c r="DA108" s="9"/>
      <c r="DB108" s="9"/>
      <c r="DC108" s="10" t="s">
        <v>42</v>
      </c>
      <c r="DD108" s="7"/>
      <c r="DE108" s="7"/>
      <c r="DF108" s="10" t="s">
        <v>42</v>
      </c>
      <c r="DG108" s="7"/>
      <c r="DH108" s="7"/>
      <c r="DI108" s="10" t="s">
        <v>42</v>
      </c>
      <c r="DJ108" s="7"/>
      <c r="DK108" s="7"/>
      <c r="DL108" s="10" t="s">
        <v>42</v>
      </c>
      <c r="DM108" s="9"/>
      <c r="DN108" s="9"/>
      <c r="DO108" s="10" t="s">
        <v>42</v>
      </c>
      <c r="DP108" s="7"/>
      <c r="DQ108" s="7"/>
      <c r="DR108" s="10" t="s">
        <v>42</v>
      </c>
      <c r="DS108" s="7"/>
      <c r="DT108" s="7"/>
      <c r="DU108" s="10" t="s">
        <v>42</v>
      </c>
      <c r="DV108" s="7"/>
      <c r="DW108" s="7"/>
      <c r="DX108" s="10" t="s">
        <v>42</v>
      </c>
      <c r="DY108" s="9"/>
      <c r="DZ108" s="9"/>
      <c r="EA108" s="10" t="s">
        <v>42</v>
      </c>
      <c r="EB108" s="7"/>
      <c r="EC108" s="7"/>
      <c r="ED108" s="10" t="s">
        <v>42</v>
      </c>
      <c r="EE108" s="7"/>
      <c r="EF108" s="7"/>
      <c r="EG108" s="10" t="s">
        <v>42</v>
      </c>
      <c r="EH108" s="7"/>
      <c r="EI108" s="7"/>
      <c r="EJ108" s="10" t="s">
        <v>42</v>
      </c>
      <c r="EK108" s="9"/>
      <c r="EL108" s="9"/>
      <c r="EM108" s="10" t="s">
        <v>42</v>
      </c>
      <c r="EN108" s="7"/>
      <c r="EO108" s="7"/>
      <c r="EP108" s="10" t="s">
        <v>42</v>
      </c>
      <c r="EQ108" s="7"/>
      <c r="ER108" s="7"/>
      <c r="ES108" s="10" t="s">
        <v>42</v>
      </c>
      <c r="ET108" s="7"/>
      <c r="EU108" s="7"/>
      <c r="EV108" s="10" t="s">
        <v>42</v>
      </c>
      <c r="EW108" s="9"/>
      <c r="EX108" s="9"/>
      <c r="EY108" s="10" t="s">
        <v>42</v>
      </c>
      <c r="EZ108" s="7"/>
      <c r="FA108" s="7"/>
      <c r="FB108" s="10" t="s">
        <v>42</v>
      </c>
      <c r="FC108" s="7"/>
      <c r="FD108" s="7"/>
      <c r="FE108" s="10" t="s">
        <v>42</v>
      </c>
      <c r="FF108" s="7"/>
      <c r="FG108" s="7"/>
      <c r="FH108" s="10" t="s">
        <v>42</v>
      </c>
      <c r="FI108" s="9"/>
      <c r="FJ108" s="9"/>
      <c r="FK108" s="10" t="s">
        <v>42</v>
      </c>
      <c r="FL108" s="7"/>
      <c r="FM108" s="7"/>
      <c r="FN108" s="10" t="s">
        <v>42</v>
      </c>
      <c r="FO108" s="7"/>
      <c r="FP108" s="7"/>
      <c r="FQ108" s="10" t="s">
        <v>42</v>
      </c>
      <c r="FR108" s="7"/>
      <c r="FS108" s="7"/>
      <c r="FT108" s="10" t="s">
        <v>42</v>
      </c>
      <c r="FU108" s="9"/>
      <c r="FV108" s="9"/>
      <c r="FW108" s="10" t="s">
        <v>42</v>
      </c>
      <c r="FX108" s="7">
        <v>7</v>
      </c>
      <c r="FY108" s="7">
        <v>70</v>
      </c>
      <c r="FZ108" s="10" t="s">
        <v>42</v>
      </c>
      <c r="GA108" s="7"/>
      <c r="GB108" s="7"/>
      <c r="GC108" s="10" t="s">
        <v>42</v>
      </c>
      <c r="GD108" s="7"/>
      <c r="GE108" s="7"/>
      <c r="GF108" s="10" t="s">
        <v>42</v>
      </c>
      <c r="GG108" s="7"/>
      <c r="GH108" s="7"/>
      <c r="GI108" s="10" t="s">
        <v>42</v>
      </c>
      <c r="GJ108" s="7">
        <v>6</v>
      </c>
      <c r="GK108" s="7">
        <v>46</v>
      </c>
      <c r="GL108" s="10" t="s">
        <v>42</v>
      </c>
      <c r="GM108" s="7"/>
      <c r="GN108" s="7"/>
      <c r="GO108" s="10" t="s">
        <v>42</v>
      </c>
      <c r="GP108" s="7"/>
      <c r="GQ108" s="7"/>
      <c r="GR108" s="10" t="s">
        <v>42</v>
      </c>
      <c r="GS108" s="7"/>
      <c r="GT108" s="7"/>
      <c r="GU108" s="6" t="s">
        <v>42</v>
      </c>
      <c r="GV108" s="7">
        <v>10</v>
      </c>
      <c r="GW108" s="7">
        <v>80</v>
      </c>
      <c r="GX108" s="10" t="s">
        <v>42</v>
      </c>
      <c r="GY108" s="7"/>
      <c r="GZ108" s="7"/>
      <c r="HA108" s="10" t="s">
        <v>42</v>
      </c>
      <c r="HB108" s="7"/>
      <c r="HC108" s="7"/>
      <c r="HD108" s="10" t="s">
        <v>42</v>
      </c>
      <c r="HE108" s="7"/>
      <c r="HF108" s="7"/>
      <c r="HG108" s="10" t="s">
        <v>42</v>
      </c>
      <c r="HH108" s="7">
        <v>12</v>
      </c>
      <c r="HI108" s="7">
        <v>100</v>
      </c>
      <c r="HJ108" s="10" t="s">
        <v>42</v>
      </c>
      <c r="HK108" s="7"/>
      <c r="HL108" s="7"/>
      <c r="HM108" s="10" t="s">
        <v>42</v>
      </c>
      <c r="HN108" s="7"/>
      <c r="HO108" s="7"/>
      <c r="HP108" s="10" t="s">
        <v>42</v>
      </c>
      <c r="HQ108" s="7"/>
      <c r="HR108" s="7"/>
      <c r="HS108" s="10" t="s">
        <v>42</v>
      </c>
      <c r="HT108" s="7">
        <v>15</v>
      </c>
      <c r="HU108" s="7">
        <v>120</v>
      </c>
      <c r="HV108" s="10" t="s">
        <v>42</v>
      </c>
      <c r="HW108" s="7"/>
      <c r="HX108" s="7"/>
      <c r="HY108" s="10" t="s">
        <v>42</v>
      </c>
      <c r="HZ108" s="7"/>
      <c r="IA108" s="7"/>
      <c r="IB108" s="10" t="s">
        <v>42</v>
      </c>
      <c r="IC108" s="7"/>
      <c r="ID108" s="7"/>
      <c r="IE108" s="6" t="s">
        <v>42</v>
      </c>
      <c r="IF108" s="7">
        <v>20</v>
      </c>
      <c r="IG108" s="7">
        <v>160</v>
      </c>
      <c r="II108" s="7"/>
      <c r="IJ108" s="7"/>
      <c r="IK108" s="7"/>
      <c r="IL108" s="7"/>
      <c r="IM108" s="7"/>
      <c r="IN108" s="7"/>
      <c r="IP108" s="7"/>
      <c r="IQ108" s="7"/>
      <c r="IR108" s="7"/>
      <c r="IS108" s="7"/>
      <c r="IT108" s="7"/>
      <c r="IU108" s="7"/>
      <c r="IV108" s="7"/>
      <c r="IW108" s="7"/>
      <c r="IX108" s="7"/>
      <c r="IY108" s="7"/>
      <c r="IZ108" s="7"/>
      <c r="JA108" s="7"/>
      <c r="JB108" s="7"/>
      <c r="JC108" s="7"/>
      <c r="JE108" s="7"/>
      <c r="JF108" s="7"/>
      <c r="JH108" s="7"/>
      <c r="JI108" s="7"/>
      <c r="JJ108" s="7"/>
      <c r="JK108" s="7"/>
      <c r="JL108" s="7"/>
      <c r="JM108" s="7"/>
      <c r="JO108" s="7"/>
      <c r="JP108" s="7"/>
      <c r="JQ108" s="7"/>
      <c r="JR108" s="7"/>
      <c r="JT108" s="7"/>
      <c r="JU108" s="7"/>
      <c r="JV108" s="7"/>
      <c r="JW108" s="7"/>
      <c r="JX108" s="7"/>
    </row>
    <row r="109" spans="1:284" x14ac:dyDescent="0.3">
      <c r="A109" s="19" t="s">
        <v>108</v>
      </c>
      <c r="B109" s="10" t="s">
        <v>49</v>
      </c>
      <c r="C109" s="7"/>
      <c r="D109" s="7"/>
      <c r="E109" s="10" t="s">
        <v>49</v>
      </c>
      <c r="F109" s="7"/>
      <c r="G109" s="7"/>
      <c r="H109" s="10" t="s">
        <v>49</v>
      </c>
      <c r="I109" s="9"/>
      <c r="J109" s="9"/>
      <c r="K109" s="6" t="s">
        <v>40</v>
      </c>
      <c r="L109" s="7"/>
      <c r="M109" s="7"/>
      <c r="N109" s="10" t="s">
        <v>49</v>
      </c>
      <c r="O109" s="7"/>
      <c r="P109" s="7"/>
      <c r="Q109" s="10" t="s">
        <v>49</v>
      </c>
      <c r="R109" s="7"/>
      <c r="S109" s="7"/>
      <c r="T109" s="10" t="s">
        <v>49</v>
      </c>
      <c r="U109" s="9"/>
      <c r="V109" s="9"/>
      <c r="W109" s="6" t="s">
        <v>40</v>
      </c>
      <c r="X109" s="7"/>
      <c r="Y109" s="7"/>
      <c r="Z109" s="10" t="s">
        <v>49</v>
      </c>
      <c r="AA109" s="7"/>
      <c r="AB109" s="7"/>
      <c r="AC109" s="10" t="s">
        <v>49</v>
      </c>
      <c r="AD109" s="7"/>
      <c r="AE109" s="7"/>
      <c r="AF109" s="10" t="s">
        <v>49</v>
      </c>
      <c r="AG109" s="9"/>
      <c r="AH109" s="9"/>
      <c r="AI109" s="6" t="s">
        <v>40</v>
      </c>
      <c r="AJ109" s="7"/>
      <c r="AK109" s="7"/>
      <c r="AL109" s="10" t="s">
        <v>49</v>
      </c>
      <c r="AM109" s="7"/>
      <c r="AN109" s="7"/>
      <c r="AO109" s="10" t="s">
        <v>49</v>
      </c>
      <c r="AP109" s="7"/>
      <c r="AQ109" s="7"/>
      <c r="AR109" s="10" t="s">
        <v>49</v>
      </c>
      <c r="AS109" s="9"/>
      <c r="AT109" s="9"/>
      <c r="AU109" s="6" t="s">
        <v>40</v>
      </c>
      <c r="AV109" s="7"/>
      <c r="AW109" s="7"/>
      <c r="AX109" s="10" t="s">
        <v>49</v>
      </c>
      <c r="AY109" s="7"/>
      <c r="AZ109" s="7"/>
      <c r="BA109" s="10" t="s">
        <v>49</v>
      </c>
      <c r="BB109" s="7"/>
      <c r="BC109" s="7"/>
      <c r="BD109" s="10" t="s">
        <v>49</v>
      </c>
      <c r="BE109" s="9"/>
      <c r="BF109" s="9"/>
      <c r="BG109" s="6" t="s">
        <v>40</v>
      </c>
      <c r="BH109" s="7"/>
      <c r="BI109" s="7"/>
      <c r="BJ109" s="10" t="s">
        <v>49</v>
      </c>
      <c r="BK109" s="7"/>
      <c r="BL109" s="7"/>
      <c r="BM109" s="10" t="s">
        <v>49</v>
      </c>
      <c r="BN109" s="7"/>
      <c r="BO109" s="7"/>
      <c r="BP109" s="10" t="s">
        <v>49</v>
      </c>
      <c r="BQ109" s="9"/>
      <c r="BR109" s="9"/>
      <c r="BS109" s="6" t="s">
        <v>40</v>
      </c>
      <c r="BT109" s="7"/>
      <c r="BU109" s="7"/>
      <c r="BV109" s="10" t="s">
        <v>49</v>
      </c>
      <c r="BW109" s="7"/>
      <c r="BX109" s="7"/>
      <c r="BY109" s="10" t="s">
        <v>49</v>
      </c>
      <c r="BZ109" s="7"/>
      <c r="CA109" s="7"/>
      <c r="CB109" s="10" t="s">
        <v>49</v>
      </c>
      <c r="CC109" s="9"/>
      <c r="CD109" s="9"/>
      <c r="CE109" s="6" t="s">
        <v>40</v>
      </c>
      <c r="CF109" s="7"/>
      <c r="CG109" s="7"/>
      <c r="CH109" s="10" t="s">
        <v>49</v>
      </c>
      <c r="CI109" s="7"/>
      <c r="CJ109" s="7"/>
      <c r="CK109" s="10" t="s">
        <v>49</v>
      </c>
      <c r="CL109" s="7"/>
      <c r="CM109" s="7"/>
      <c r="CN109" s="10" t="s">
        <v>49</v>
      </c>
      <c r="CO109" s="9"/>
      <c r="CP109" s="9"/>
      <c r="CQ109" s="6" t="s">
        <v>40</v>
      </c>
      <c r="CR109" s="7"/>
      <c r="CS109" s="7"/>
      <c r="CT109" s="10" t="s">
        <v>49</v>
      </c>
      <c r="CU109" s="7"/>
      <c r="CV109" s="7"/>
      <c r="CW109" s="10" t="s">
        <v>49</v>
      </c>
      <c r="CX109" s="7"/>
      <c r="CY109" s="7"/>
      <c r="CZ109" s="10" t="s">
        <v>49</v>
      </c>
      <c r="DA109" s="9"/>
      <c r="DB109" s="9"/>
      <c r="DC109" s="6" t="s">
        <v>40</v>
      </c>
      <c r="DD109" s="7">
        <v>696</v>
      </c>
      <c r="DE109" s="7">
        <v>5730</v>
      </c>
      <c r="DF109" s="10" t="s">
        <v>49</v>
      </c>
      <c r="DG109" s="7"/>
      <c r="DH109" s="7"/>
      <c r="DI109" s="10" t="s">
        <v>49</v>
      </c>
      <c r="DJ109" s="7"/>
      <c r="DK109" s="7"/>
      <c r="DL109" s="10" t="s">
        <v>49</v>
      </c>
      <c r="DM109" s="9"/>
      <c r="DN109" s="9"/>
      <c r="DO109" s="10" t="s">
        <v>49</v>
      </c>
      <c r="DP109" s="9">
        <v>405</v>
      </c>
      <c r="DQ109" s="7">
        <v>4560</v>
      </c>
      <c r="DR109" s="10" t="s">
        <v>49</v>
      </c>
      <c r="DS109" s="7"/>
      <c r="DT109" s="7"/>
      <c r="DU109" s="10" t="s">
        <v>49</v>
      </c>
      <c r="DV109" s="7"/>
      <c r="DW109" s="7"/>
      <c r="DX109" s="10" t="s">
        <v>49</v>
      </c>
      <c r="DY109" s="9"/>
      <c r="DZ109" s="9"/>
      <c r="EA109" s="10" t="s">
        <v>49</v>
      </c>
      <c r="EB109" s="7">
        <v>500</v>
      </c>
      <c r="EC109" s="7">
        <v>5000</v>
      </c>
      <c r="ED109" s="10" t="s">
        <v>49</v>
      </c>
      <c r="EE109" s="7"/>
      <c r="EF109" s="7"/>
      <c r="EG109" s="10" t="s">
        <v>49</v>
      </c>
      <c r="EH109" s="7"/>
      <c r="EI109" s="7"/>
      <c r="EJ109" s="10" t="s">
        <v>49</v>
      </c>
      <c r="EK109" s="9"/>
      <c r="EL109" s="9"/>
      <c r="EM109" s="10" t="s">
        <v>49</v>
      </c>
      <c r="EN109" s="7">
        <v>520</v>
      </c>
      <c r="EO109" s="7">
        <v>5000</v>
      </c>
      <c r="EP109" s="10" t="s">
        <v>49</v>
      </c>
      <c r="EQ109" s="7"/>
      <c r="ER109" s="7"/>
      <c r="ES109" s="10" t="s">
        <v>49</v>
      </c>
      <c r="ET109" s="7"/>
      <c r="EU109" s="7"/>
      <c r="EV109" s="10" t="s">
        <v>49</v>
      </c>
      <c r="EW109" s="9"/>
      <c r="EX109" s="9"/>
      <c r="EY109" s="10" t="s">
        <v>49</v>
      </c>
      <c r="EZ109" s="7">
        <v>400</v>
      </c>
      <c r="FA109" s="7">
        <v>4000</v>
      </c>
      <c r="FB109" s="10" t="s">
        <v>49</v>
      </c>
      <c r="FC109" s="7"/>
      <c r="FD109" s="7"/>
      <c r="FE109" s="10" t="s">
        <v>49</v>
      </c>
      <c r="FF109" s="7"/>
      <c r="FG109" s="7"/>
      <c r="FH109" s="10" t="s">
        <v>49</v>
      </c>
      <c r="FI109" s="9"/>
      <c r="FJ109" s="9"/>
      <c r="FK109" s="10" t="s">
        <v>49</v>
      </c>
      <c r="FL109" s="7">
        <v>450</v>
      </c>
      <c r="FM109" s="7">
        <v>4500</v>
      </c>
      <c r="FN109" s="10" t="s">
        <v>49</v>
      </c>
      <c r="FO109" s="7"/>
      <c r="FP109" s="7"/>
      <c r="FQ109" s="10" t="s">
        <v>49</v>
      </c>
      <c r="FR109" s="7"/>
      <c r="FS109" s="7"/>
      <c r="FT109" s="10" t="s">
        <v>49</v>
      </c>
      <c r="FU109" s="9"/>
      <c r="FV109" s="9"/>
      <c r="FW109" s="10" t="s">
        <v>49</v>
      </c>
      <c r="FX109" s="7">
        <v>500</v>
      </c>
      <c r="FY109" s="7">
        <v>5000</v>
      </c>
      <c r="FZ109" s="10" t="s">
        <v>49</v>
      </c>
      <c r="GA109" s="7"/>
      <c r="GB109" s="7"/>
      <c r="GC109" s="10" t="s">
        <v>49</v>
      </c>
      <c r="GD109" s="7"/>
      <c r="GE109" s="7"/>
      <c r="GF109" s="10" t="s">
        <v>49</v>
      </c>
      <c r="GG109" s="7"/>
      <c r="GH109" s="7"/>
      <c r="GI109" s="10" t="s">
        <v>49</v>
      </c>
      <c r="GJ109" s="7">
        <v>120</v>
      </c>
      <c r="GK109" s="7">
        <v>886</v>
      </c>
      <c r="GL109" s="10" t="s">
        <v>49</v>
      </c>
      <c r="GM109" s="7"/>
      <c r="GN109" s="7"/>
      <c r="GO109" s="10" t="s">
        <v>49</v>
      </c>
      <c r="GP109" s="7"/>
      <c r="GQ109" s="7"/>
      <c r="GR109" s="10" t="s">
        <v>49</v>
      </c>
      <c r="GS109" s="7"/>
      <c r="GT109" s="7"/>
      <c r="GU109" s="6" t="s">
        <v>49</v>
      </c>
      <c r="GV109" s="7">
        <v>630</v>
      </c>
      <c r="GW109" s="7">
        <v>2800</v>
      </c>
      <c r="GX109" s="10" t="s">
        <v>49</v>
      </c>
      <c r="GY109" s="7"/>
      <c r="GZ109" s="7"/>
      <c r="HA109" s="10" t="s">
        <v>49</v>
      </c>
      <c r="HB109" s="7"/>
      <c r="HC109" s="7"/>
      <c r="HD109" s="10" t="s">
        <v>49</v>
      </c>
      <c r="HE109" s="7"/>
      <c r="HF109" s="7"/>
      <c r="HG109" s="10" t="s">
        <v>49</v>
      </c>
      <c r="HH109" s="7">
        <v>700</v>
      </c>
      <c r="HI109" s="7">
        <v>3500</v>
      </c>
      <c r="HJ109" s="10" t="s">
        <v>49</v>
      </c>
      <c r="HK109" s="7"/>
      <c r="HL109" s="7"/>
      <c r="HM109" s="10" t="s">
        <v>49</v>
      </c>
      <c r="HN109" s="7"/>
      <c r="HO109" s="7"/>
      <c r="HP109" s="10" t="s">
        <v>49</v>
      </c>
      <c r="HQ109" s="7"/>
      <c r="HR109" s="7"/>
      <c r="HS109" s="10" t="s">
        <v>49</v>
      </c>
      <c r="HT109" s="7">
        <v>500</v>
      </c>
      <c r="HU109" s="7">
        <v>2800</v>
      </c>
      <c r="HV109" s="10" t="s">
        <v>49</v>
      </c>
      <c r="HW109" s="7"/>
      <c r="HX109" s="7"/>
      <c r="HY109" s="10" t="s">
        <v>49</v>
      </c>
      <c r="HZ109" s="7"/>
      <c r="IA109" s="7"/>
      <c r="IB109" s="10" t="s">
        <v>40</v>
      </c>
      <c r="IC109" s="7"/>
      <c r="ID109" s="7"/>
      <c r="IE109" s="6" t="s">
        <v>40</v>
      </c>
      <c r="IF109" s="7">
        <v>500</v>
      </c>
      <c r="IG109" s="7">
        <v>3000</v>
      </c>
      <c r="II109" s="7"/>
      <c r="IJ109" s="7"/>
      <c r="IK109" s="7"/>
      <c r="IL109" s="7"/>
      <c r="IM109" s="7"/>
      <c r="IN109" s="7"/>
      <c r="IP109" s="7"/>
      <c r="IQ109" s="7"/>
      <c r="IR109" s="7"/>
      <c r="IS109" s="7"/>
      <c r="IT109" s="7"/>
      <c r="IU109" s="7"/>
      <c r="IV109" s="7"/>
      <c r="IW109" s="7"/>
      <c r="IX109" s="7"/>
      <c r="IY109" s="7"/>
      <c r="IZ109" s="7"/>
      <c r="JA109" s="7"/>
      <c r="JB109" s="7"/>
      <c r="JC109" s="7"/>
      <c r="JE109" s="7"/>
      <c r="JF109" s="7"/>
      <c r="JH109" s="7"/>
      <c r="JI109" s="7"/>
      <c r="JJ109" s="7"/>
      <c r="JK109" s="7"/>
      <c r="JL109" s="7"/>
      <c r="JM109" s="7"/>
      <c r="JO109" s="7"/>
      <c r="JP109" s="7"/>
      <c r="JQ109" s="7"/>
      <c r="JR109" s="7"/>
      <c r="JS109" t="s">
        <v>8</v>
      </c>
      <c r="JT109" s="7">
        <v>8800</v>
      </c>
      <c r="JU109" s="7">
        <v>3043</v>
      </c>
      <c r="JV109" s="7">
        <v>7650</v>
      </c>
      <c r="JW109" s="7">
        <v>4245</v>
      </c>
      <c r="JX109" s="7"/>
    </row>
    <row r="110" spans="1:284" x14ac:dyDescent="0.3">
      <c r="A110" t="s">
        <v>275</v>
      </c>
      <c r="B110" s="10" t="s">
        <v>42</v>
      </c>
      <c r="C110" s="7"/>
      <c r="D110" s="7"/>
      <c r="E110" s="10" t="s">
        <v>42</v>
      </c>
      <c r="F110" s="7"/>
      <c r="G110" s="7"/>
      <c r="H110" s="10" t="s">
        <v>42</v>
      </c>
      <c r="I110" s="9"/>
      <c r="J110" s="9"/>
      <c r="K110" s="10" t="s">
        <v>42</v>
      </c>
      <c r="L110" s="7"/>
      <c r="M110" s="7"/>
      <c r="N110" s="10" t="s">
        <v>42</v>
      </c>
      <c r="O110" s="7"/>
      <c r="P110" s="7"/>
      <c r="Q110" s="10" t="s">
        <v>42</v>
      </c>
      <c r="R110" s="7"/>
      <c r="S110" s="7"/>
      <c r="T110" s="10" t="s">
        <v>42</v>
      </c>
      <c r="U110" s="9"/>
      <c r="V110" s="9"/>
      <c r="W110" s="10" t="s">
        <v>42</v>
      </c>
      <c r="X110" s="7"/>
      <c r="Y110" s="7"/>
      <c r="Z110" s="10" t="s">
        <v>42</v>
      </c>
      <c r="AA110" s="7"/>
      <c r="AB110" s="7"/>
      <c r="AC110" s="10" t="s">
        <v>42</v>
      </c>
      <c r="AD110" s="7"/>
      <c r="AE110" s="7"/>
      <c r="AF110" s="10" t="s">
        <v>42</v>
      </c>
      <c r="AG110" s="9"/>
      <c r="AH110" s="9"/>
      <c r="AI110" s="10" t="s">
        <v>42</v>
      </c>
      <c r="AJ110" s="7"/>
      <c r="AK110" s="7"/>
      <c r="AL110" s="10" t="s">
        <v>42</v>
      </c>
      <c r="AM110" s="7"/>
      <c r="AN110" s="7"/>
      <c r="AO110" s="10" t="s">
        <v>42</v>
      </c>
      <c r="AP110" s="7"/>
      <c r="AQ110" s="7"/>
      <c r="AR110" s="10" t="s">
        <v>42</v>
      </c>
      <c r="AS110" s="9"/>
      <c r="AT110" s="9"/>
      <c r="AU110" s="10" t="s">
        <v>42</v>
      </c>
      <c r="AV110" s="7"/>
      <c r="AW110" s="7"/>
      <c r="AX110" s="10" t="s">
        <v>42</v>
      </c>
      <c r="AY110" s="7"/>
      <c r="AZ110" s="7"/>
      <c r="BA110" s="10" t="s">
        <v>42</v>
      </c>
      <c r="BB110" s="7"/>
      <c r="BC110" s="7"/>
      <c r="BD110" s="10" t="s">
        <v>42</v>
      </c>
      <c r="BE110" s="9"/>
      <c r="BF110" s="9"/>
      <c r="BG110" s="10" t="s">
        <v>42</v>
      </c>
      <c r="BH110" s="7"/>
      <c r="BI110" s="7"/>
      <c r="BJ110" s="10" t="s">
        <v>42</v>
      </c>
      <c r="BK110" s="7"/>
      <c r="BL110" s="7"/>
      <c r="BM110" s="10" t="s">
        <v>42</v>
      </c>
      <c r="BN110" s="7"/>
      <c r="BO110" s="7"/>
      <c r="BP110" s="10" t="s">
        <v>42</v>
      </c>
      <c r="BQ110" s="9"/>
      <c r="BR110" s="9"/>
      <c r="BS110" s="10" t="s">
        <v>42</v>
      </c>
      <c r="BT110" s="7"/>
      <c r="BU110" s="7"/>
      <c r="BV110" s="10" t="s">
        <v>42</v>
      </c>
      <c r="BW110" s="7"/>
      <c r="BX110" s="7"/>
      <c r="BY110" s="10" t="s">
        <v>42</v>
      </c>
      <c r="BZ110" s="7"/>
      <c r="CA110" s="7"/>
      <c r="CB110" s="10" t="s">
        <v>42</v>
      </c>
      <c r="CC110" s="9"/>
      <c r="CD110" s="9"/>
      <c r="CE110" s="10" t="s">
        <v>42</v>
      </c>
      <c r="CF110" s="7"/>
      <c r="CG110" s="7"/>
      <c r="CH110" s="10" t="s">
        <v>42</v>
      </c>
      <c r="CI110" s="7"/>
      <c r="CJ110" s="7"/>
      <c r="CK110" s="10" t="s">
        <v>42</v>
      </c>
      <c r="CL110" s="7"/>
      <c r="CM110" s="7"/>
      <c r="CN110" s="10" t="s">
        <v>42</v>
      </c>
      <c r="CO110" s="9"/>
      <c r="CP110" s="9"/>
      <c r="CQ110" s="10" t="s">
        <v>42</v>
      </c>
      <c r="CR110" s="7"/>
      <c r="CS110" s="7"/>
      <c r="CT110" s="10" t="s">
        <v>42</v>
      </c>
      <c r="CU110" s="7"/>
      <c r="CV110" s="7"/>
      <c r="CW110" s="10" t="s">
        <v>42</v>
      </c>
      <c r="CX110" s="7"/>
      <c r="CY110" s="7"/>
      <c r="CZ110" s="10" t="s">
        <v>42</v>
      </c>
      <c r="DA110" s="9"/>
      <c r="DB110" s="9"/>
      <c r="DC110" s="10" t="s">
        <v>42</v>
      </c>
      <c r="DD110" s="7"/>
      <c r="DE110" s="7"/>
      <c r="DF110" s="10" t="s">
        <v>42</v>
      </c>
      <c r="DG110" s="7"/>
      <c r="DH110" s="7"/>
      <c r="DI110" s="10" t="s">
        <v>42</v>
      </c>
      <c r="DJ110" s="7"/>
      <c r="DK110" s="7"/>
      <c r="DL110" s="10" t="s">
        <v>42</v>
      </c>
      <c r="DM110" s="9"/>
      <c r="DN110" s="9"/>
      <c r="DO110" s="10" t="s">
        <v>42</v>
      </c>
      <c r="DP110" s="7"/>
      <c r="DQ110" s="7"/>
      <c r="DR110" s="10" t="s">
        <v>42</v>
      </c>
      <c r="DS110" s="7"/>
      <c r="DT110" s="7"/>
      <c r="DU110" s="10" t="s">
        <v>42</v>
      </c>
      <c r="DV110" s="7"/>
      <c r="DW110" s="7"/>
      <c r="DX110" s="10" t="s">
        <v>42</v>
      </c>
      <c r="DY110" s="9"/>
      <c r="DZ110" s="9"/>
      <c r="EA110" s="10" t="s">
        <v>42</v>
      </c>
      <c r="EB110" s="7"/>
      <c r="EC110" s="7"/>
      <c r="ED110" s="10" t="s">
        <v>42</v>
      </c>
      <c r="EE110" s="7"/>
      <c r="EF110" s="7"/>
      <c r="EG110" s="10" t="s">
        <v>42</v>
      </c>
      <c r="EH110" s="7"/>
      <c r="EI110" s="7"/>
      <c r="EJ110" s="10" t="s">
        <v>42</v>
      </c>
      <c r="EK110" s="9"/>
      <c r="EL110" s="9"/>
      <c r="EM110" s="10" t="s">
        <v>42</v>
      </c>
      <c r="EN110" s="7"/>
      <c r="EO110" s="7"/>
      <c r="EP110" s="10" t="s">
        <v>42</v>
      </c>
      <c r="EQ110" s="7"/>
      <c r="ER110" s="7"/>
      <c r="ES110" s="10" t="s">
        <v>42</v>
      </c>
      <c r="ET110" s="7"/>
      <c r="EU110" s="7"/>
      <c r="EV110" s="10" t="s">
        <v>42</v>
      </c>
      <c r="EW110" s="9"/>
      <c r="EX110" s="9"/>
      <c r="EY110" s="10" t="s">
        <v>42</v>
      </c>
      <c r="EZ110" s="7"/>
      <c r="FA110" s="7"/>
      <c r="FB110" s="10" t="s">
        <v>42</v>
      </c>
      <c r="FC110" s="7"/>
      <c r="FD110" s="7"/>
      <c r="FE110" s="10" t="s">
        <v>42</v>
      </c>
      <c r="FF110" s="7"/>
      <c r="FG110" s="7"/>
      <c r="FH110" s="10" t="s">
        <v>42</v>
      </c>
      <c r="FI110" s="9"/>
      <c r="FJ110" s="9"/>
      <c r="FK110" s="10" t="s">
        <v>42</v>
      </c>
      <c r="FL110" s="7"/>
      <c r="FM110" s="7"/>
      <c r="FN110" s="10" t="s">
        <v>42</v>
      </c>
      <c r="FO110" s="7"/>
      <c r="FP110" s="7"/>
      <c r="FQ110" s="10" t="s">
        <v>42</v>
      </c>
      <c r="FR110" s="7"/>
      <c r="FS110" s="7"/>
      <c r="FT110" s="10" t="s">
        <v>42</v>
      </c>
      <c r="FU110" s="9"/>
      <c r="FV110" s="9"/>
      <c r="FW110" s="10" t="s">
        <v>42</v>
      </c>
      <c r="FX110" s="7"/>
      <c r="FY110" s="7"/>
      <c r="FZ110" s="10" t="s">
        <v>42</v>
      </c>
      <c r="GA110" s="7"/>
      <c r="GB110" s="7"/>
      <c r="GC110" s="10" t="s">
        <v>42</v>
      </c>
      <c r="GD110" s="7"/>
      <c r="GE110" s="7"/>
      <c r="GF110" s="10" t="s">
        <v>42</v>
      </c>
      <c r="GG110" s="7"/>
      <c r="GH110" s="7"/>
      <c r="GI110" s="10" t="s">
        <v>42</v>
      </c>
      <c r="GJ110" s="7"/>
      <c r="GK110" s="7"/>
      <c r="GL110" s="6" t="s">
        <v>42</v>
      </c>
      <c r="GM110" s="7">
        <v>20</v>
      </c>
      <c r="GN110" s="7">
        <v>500</v>
      </c>
      <c r="GO110" s="10"/>
      <c r="GP110" s="7"/>
      <c r="GQ110" s="7"/>
      <c r="GR110" s="10"/>
      <c r="GS110" s="7"/>
      <c r="GT110" s="7"/>
      <c r="GU110" s="6"/>
      <c r="GV110" s="7"/>
      <c r="GW110" s="7"/>
      <c r="GX110" s="10" t="s">
        <v>42</v>
      </c>
      <c r="GY110" s="7">
        <v>10</v>
      </c>
      <c r="GZ110" s="7">
        <v>250</v>
      </c>
      <c r="HA110" s="10" t="s">
        <v>42</v>
      </c>
      <c r="HB110" s="7"/>
      <c r="HC110" s="7"/>
      <c r="HD110" s="10" t="s">
        <v>42</v>
      </c>
      <c r="HE110" s="7"/>
      <c r="HF110" s="7"/>
      <c r="HG110" s="10" t="s">
        <v>42</v>
      </c>
      <c r="HH110" s="7"/>
      <c r="HI110" s="7"/>
      <c r="HJ110" s="10" t="s">
        <v>42</v>
      </c>
      <c r="HK110" s="7">
        <v>12</v>
      </c>
      <c r="HL110" s="7">
        <v>300</v>
      </c>
      <c r="HM110" s="10" t="s">
        <v>42</v>
      </c>
      <c r="HN110" s="7"/>
      <c r="HO110" s="7"/>
      <c r="HP110" s="10" t="s">
        <v>42</v>
      </c>
      <c r="HQ110" s="7"/>
      <c r="HR110" s="7"/>
      <c r="HS110" s="6" t="s">
        <v>42</v>
      </c>
      <c r="HT110" s="7"/>
      <c r="HU110" s="7"/>
      <c r="HV110" s="6" t="s">
        <v>42</v>
      </c>
      <c r="HW110" s="7">
        <v>15</v>
      </c>
      <c r="HX110" s="7">
        <v>350</v>
      </c>
      <c r="HY110" s="10"/>
      <c r="HZ110" s="7"/>
      <c r="IA110" s="7"/>
      <c r="IC110" s="7"/>
      <c r="ID110" s="7"/>
      <c r="IE110" s="6"/>
      <c r="IF110" s="7"/>
      <c r="IG110" s="7"/>
      <c r="II110" s="7"/>
      <c r="IJ110" s="7"/>
      <c r="IK110" s="7"/>
      <c r="IL110" s="7"/>
      <c r="IM110" s="7"/>
      <c r="IN110" s="7"/>
      <c r="IP110" s="7"/>
      <c r="IQ110" s="7"/>
      <c r="IR110" s="7"/>
      <c r="IS110" s="7"/>
      <c r="IT110" s="7"/>
      <c r="IU110" s="7"/>
      <c r="IV110" s="7"/>
      <c r="IW110" s="7"/>
      <c r="IX110" s="7"/>
      <c r="IY110" s="7"/>
      <c r="IZ110" s="7"/>
      <c r="JA110" s="7"/>
      <c r="JB110" s="7"/>
      <c r="JC110" s="7"/>
      <c r="JE110" s="7"/>
      <c r="JF110" s="7"/>
      <c r="JH110" s="7"/>
      <c r="JI110" s="7"/>
      <c r="JJ110" s="7"/>
      <c r="JK110" s="7"/>
      <c r="JL110" s="7"/>
      <c r="JM110" s="7"/>
      <c r="JO110" s="7"/>
      <c r="JP110" s="7"/>
      <c r="JQ110" s="7"/>
      <c r="JR110" s="7"/>
      <c r="JT110" s="7"/>
      <c r="JU110" s="7"/>
      <c r="JV110" s="7"/>
      <c r="JW110" s="7"/>
      <c r="JX110" s="7"/>
    </row>
    <row r="111" spans="1:284" x14ac:dyDescent="0.3">
      <c r="A111" t="s">
        <v>276</v>
      </c>
      <c r="B111" s="10" t="s">
        <v>42</v>
      </c>
      <c r="C111" s="7"/>
      <c r="D111" s="7"/>
      <c r="E111" s="10" t="s">
        <v>42</v>
      </c>
      <c r="F111" s="7"/>
      <c r="G111" s="7"/>
      <c r="H111" s="10" t="s">
        <v>42</v>
      </c>
      <c r="I111" s="9"/>
      <c r="J111" s="9"/>
      <c r="K111" s="10" t="s">
        <v>42</v>
      </c>
      <c r="L111" s="7"/>
      <c r="M111" s="7"/>
      <c r="N111" s="10" t="s">
        <v>42</v>
      </c>
      <c r="O111" s="7"/>
      <c r="P111" s="7"/>
      <c r="Q111" s="10" t="s">
        <v>42</v>
      </c>
      <c r="R111" s="7"/>
      <c r="S111" s="7"/>
      <c r="T111" s="10" t="s">
        <v>42</v>
      </c>
      <c r="U111" s="9"/>
      <c r="V111" s="9"/>
      <c r="W111" s="10" t="s">
        <v>42</v>
      </c>
      <c r="X111" s="7"/>
      <c r="Y111" s="7"/>
      <c r="Z111" s="10" t="s">
        <v>42</v>
      </c>
      <c r="AA111" s="7"/>
      <c r="AB111" s="7"/>
      <c r="AC111" s="10" t="s">
        <v>42</v>
      </c>
      <c r="AD111" s="7"/>
      <c r="AE111" s="7"/>
      <c r="AF111" s="10" t="s">
        <v>42</v>
      </c>
      <c r="AG111" s="9"/>
      <c r="AH111" s="9"/>
      <c r="AI111" s="10" t="s">
        <v>42</v>
      </c>
      <c r="AJ111" s="7"/>
      <c r="AK111" s="7"/>
      <c r="AL111" s="10" t="s">
        <v>42</v>
      </c>
      <c r="AM111" s="7"/>
      <c r="AN111" s="7"/>
      <c r="AO111" s="10" t="s">
        <v>42</v>
      </c>
      <c r="AP111" s="7"/>
      <c r="AQ111" s="7"/>
      <c r="AR111" s="10" t="s">
        <v>42</v>
      </c>
      <c r="AS111" s="9"/>
      <c r="AT111" s="9"/>
      <c r="AU111" s="10" t="s">
        <v>42</v>
      </c>
      <c r="AV111" s="7"/>
      <c r="AW111" s="7"/>
      <c r="AX111" s="10" t="s">
        <v>42</v>
      </c>
      <c r="AY111" s="7"/>
      <c r="AZ111" s="7"/>
      <c r="BA111" s="10" t="s">
        <v>42</v>
      </c>
      <c r="BB111" s="7"/>
      <c r="BC111" s="7"/>
      <c r="BD111" s="10" t="s">
        <v>42</v>
      </c>
      <c r="BE111" s="9"/>
      <c r="BF111" s="9"/>
      <c r="BG111" s="10" t="s">
        <v>42</v>
      </c>
      <c r="BH111" s="7"/>
      <c r="BI111" s="7"/>
      <c r="BJ111" s="10" t="s">
        <v>42</v>
      </c>
      <c r="BK111" s="7"/>
      <c r="BL111" s="7"/>
      <c r="BM111" s="10" t="s">
        <v>42</v>
      </c>
      <c r="BN111" s="7"/>
      <c r="BO111" s="7"/>
      <c r="BP111" s="10" t="s">
        <v>42</v>
      </c>
      <c r="BQ111" s="9"/>
      <c r="BR111" s="9"/>
      <c r="BS111" s="10" t="s">
        <v>42</v>
      </c>
      <c r="BT111" s="7"/>
      <c r="BU111" s="7"/>
      <c r="BV111" s="10" t="s">
        <v>42</v>
      </c>
      <c r="BW111" s="7"/>
      <c r="BX111" s="7"/>
      <c r="BY111" s="10" t="s">
        <v>42</v>
      </c>
      <c r="BZ111" s="7"/>
      <c r="CA111" s="7"/>
      <c r="CB111" s="10" t="s">
        <v>42</v>
      </c>
      <c r="CC111" s="9"/>
      <c r="CD111" s="9"/>
      <c r="CE111" s="10" t="s">
        <v>42</v>
      </c>
      <c r="CF111" s="7"/>
      <c r="CG111" s="7"/>
      <c r="CH111" s="10" t="s">
        <v>42</v>
      </c>
      <c r="CI111" s="7"/>
      <c r="CJ111" s="7"/>
      <c r="CK111" s="10" t="s">
        <v>42</v>
      </c>
      <c r="CL111" s="7"/>
      <c r="CM111" s="7"/>
      <c r="CN111" s="10" t="s">
        <v>42</v>
      </c>
      <c r="CO111" s="9"/>
      <c r="CP111" s="9"/>
      <c r="CQ111" s="10" t="s">
        <v>42</v>
      </c>
      <c r="CR111" s="7"/>
      <c r="CS111" s="7"/>
      <c r="CT111" s="10" t="s">
        <v>42</v>
      </c>
      <c r="CU111" s="7"/>
      <c r="CV111" s="7"/>
      <c r="CW111" s="10" t="s">
        <v>42</v>
      </c>
      <c r="CX111" s="7"/>
      <c r="CY111" s="7"/>
      <c r="CZ111" s="10" t="s">
        <v>42</v>
      </c>
      <c r="DA111" s="9"/>
      <c r="DB111" s="9"/>
      <c r="DC111" s="10" t="s">
        <v>42</v>
      </c>
      <c r="DD111" s="7"/>
      <c r="DE111" s="7"/>
      <c r="DF111" s="10" t="s">
        <v>42</v>
      </c>
      <c r="DG111" s="7"/>
      <c r="DH111" s="7"/>
      <c r="DI111" s="10" t="s">
        <v>42</v>
      </c>
      <c r="DJ111" s="7"/>
      <c r="DK111" s="7"/>
      <c r="DL111" s="10" t="s">
        <v>42</v>
      </c>
      <c r="DM111" s="9"/>
      <c r="DN111" s="9"/>
      <c r="DO111" s="10" t="s">
        <v>42</v>
      </c>
      <c r="DP111" s="7"/>
      <c r="DQ111" s="7"/>
      <c r="DR111" s="10" t="s">
        <v>42</v>
      </c>
      <c r="DS111" s="7"/>
      <c r="DT111" s="7"/>
      <c r="DU111" s="10" t="s">
        <v>42</v>
      </c>
      <c r="DV111" s="7"/>
      <c r="DW111" s="7"/>
      <c r="DX111" s="10" t="s">
        <v>42</v>
      </c>
      <c r="DY111" s="9"/>
      <c r="DZ111" s="9"/>
      <c r="EA111" s="10" t="s">
        <v>42</v>
      </c>
      <c r="EB111" s="7"/>
      <c r="EC111" s="7"/>
      <c r="ED111" s="10" t="s">
        <v>42</v>
      </c>
      <c r="EE111" s="7"/>
      <c r="EF111" s="7"/>
      <c r="EG111" s="10" t="s">
        <v>42</v>
      </c>
      <c r="EH111" s="7"/>
      <c r="EI111" s="7"/>
      <c r="EJ111" s="10" t="s">
        <v>42</v>
      </c>
      <c r="EK111" s="9"/>
      <c r="EL111" s="9"/>
      <c r="EM111" s="10" t="s">
        <v>42</v>
      </c>
      <c r="EN111" s="7"/>
      <c r="EO111" s="7"/>
      <c r="EP111" s="10" t="s">
        <v>42</v>
      </c>
      <c r="EQ111" s="7"/>
      <c r="ER111" s="7"/>
      <c r="ES111" s="10" t="s">
        <v>42</v>
      </c>
      <c r="ET111" s="7"/>
      <c r="EU111" s="7"/>
      <c r="EV111" s="10" t="s">
        <v>42</v>
      </c>
      <c r="EW111" s="9"/>
      <c r="EX111" s="9"/>
      <c r="EY111" s="10" t="s">
        <v>42</v>
      </c>
      <c r="EZ111" s="7"/>
      <c r="FA111" s="7"/>
      <c r="FB111" s="10" t="s">
        <v>42</v>
      </c>
      <c r="FC111" s="7"/>
      <c r="FD111" s="7"/>
      <c r="FE111" s="10" t="s">
        <v>42</v>
      </c>
      <c r="FF111" s="7"/>
      <c r="FG111" s="7"/>
      <c r="FH111" s="10" t="s">
        <v>42</v>
      </c>
      <c r="FI111" s="9"/>
      <c r="FJ111" s="9"/>
      <c r="FK111" s="10" t="s">
        <v>42</v>
      </c>
      <c r="FL111" s="7"/>
      <c r="FM111" s="7"/>
      <c r="FN111" s="10" t="s">
        <v>42</v>
      </c>
      <c r="FO111" s="7"/>
      <c r="FP111" s="7"/>
      <c r="FQ111" s="10" t="s">
        <v>42</v>
      </c>
      <c r="FR111" s="7"/>
      <c r="FS111" s="7"/>
      <c r="FT111" s="10" t="s">
        <v>42</v>
      </c>
      <c r="FU111" s="9"/>
      <c r="FV111" s="9"/>
      <c r="FW111" s="10" t="s">
        <v>42</v>
      </c>
      <c r="FX111" s="7">
        <v>10</v>
      </c>
      <c r="FY111" s="7">
        <v>50</v>
      </c>
      <c r="FZ111" s="10" t="s">
        <v>42</v>
      </c>
      <c r="GA111" s="7"/>
      <c r="GB111" s="7"/>
      <c r="GC111" s="10" t="s">
        <v>42</v>
      </c>
      <c r="GD111" s="7"/>
      <c r="GE111" s="7"/>
      <c r="GF111" s="10" t="s">
        <v>42</v>
      </c>
      <c r="GG111" s="7"/>
      <c r="GH111" s="7"/>
      <c r="GI111" s="10" t="s">
        <v>42</v>
      </c>
      <c r="GJ111" s="7">
        <v>11</v>
      </c>
      <c r="GK111" s="7">
        <v>60</v>
      </c>
      <c r="GL111" s="10" t="s">
        <v>42</v>
      </c>
      <c r="GM111" s="7"/>
      <c r="GN111" s="7"/>
      <c r="GO111" s="10" t="s">
        <v>42</v>
      </c>
      <c r="GP111" s="7"/>
      <c r="GQ111" s="7"/>
      <c r="GR111" s="10" t="s">
        <v>42</v>
      </c>
      <c r="GS111" s="7"/>
      <c r="GT111" s="7"/>
      <c r="GU111" s="6" t="s">
        <v>42</v>
      </c>
      <c r="GV111" s="7">
        <v>10</v>
      </c>
      <c r="GW111" s="7">
        <v>50</v>
      </c>
      <c r="GX111" s="10" t="s">
        <v>40</v>
      </c>
      <c r="GY111" s="7"/>
      <c r="GZ111" s="7"/>
      <c r="HA111" s="10" t="s">
        <v>40</v>
      </c>
      <c r="HB111" s="7"/>
      <c r="HC111" s="7"/>
      <c r="HD111" s="10" t="s">
        <v>40</v>
      </c>
      <c r="HE111" s="7"/>
      <c r="HF111" s="7"/>
      <c r="HG111" s="10" t="s">
        <v>40</v>
      </c>
      <c r="HH111" s="7">
        <v>12</v>
      </c>
      <c r="HI111" s="7">
        <v>60</v>
      </c>
      <c r="HJ111" s="10" t="s">
        <v>40</v>
      </c>
      <c r="HK111" s="7"/>
      <c r="HL111" s="7"/>
      <c r="HM111" s="10" t="s">
        <v>40</v>
      </c>
      <c r="HN111" s="7"/>
      <c r="HO111" s="7"/>
      <c r="HP111" s="10" t="s">
        <v>40</v>
      </c>
      <c r="HQ111" s="7"/>
      <c r="HR111" s="7"/>
      <c r="HS111" s="6" t="s">
        <v>40</v>
      </c>
      <c r="HT111" s="7">
        <v>15</v>
      </c>
      <c r="HU111" s="7">
        <v>75</v>
      </c>
      <c r="HV111" s="10" t="s">
        <v>42</v>
      </c>
      <c r="HW111" s="7"/>
      <c r="HX111" s="7"/>
      <c r="HY111" s="10" t="s">
        <v>42</v>
      </c>
      <c r="HZ111" s="7"/>
      <c r="IA111" s="7"/>
      <c r="IB111" s="10" t="s">
        <v>40</v>
      </c>
      <c r="IC111" s="7"/>
      <c r="ID111" s="7"/>
      <c r="IE111" s="6" t="s">
        <v>40</v>
      </c>
      <c r="IF111" s="7">
        <v>20</v>
      </c>
      <c r="IG111" s="7">
        <v>100</v>
      </c>
      <c r="II111" s="7"/>
      <c r="IJ111" s="7"/>
      <c r="IK111" s="7"/>
      <c r="IL111" s="7"/>
      <c r="IM111" s="7"/>
      <c r="IN111" s="7"/>
      <c r="IP111" s="7"/>
      <c r="IQ111" s="7"/>
      <c r="IR111" s="7"/>
      <c r="IS111" s="7"/>
      <c r="IT111" s="7"/>
      <c r="IU111" s="7"/>
      <c r="IV111" s="7"/>
      <c r="IW111" s="7"/>
      <c r="IX111" s="7"/>
      <c r="IY111" s="7"/>
      <c r="IZ111" s="7"/>
      <c r="JA111" s="7"/>
      <c r="JB111" s="7"/>
      <c r="JC111" s="7"/>
      <c r="JE111" s="7"/>
      <c r="JF111" s="7"/>
      <c r="JH111" s="7"/>
      <c r="JI111" s="7"/>
      <c r="JJ111" s="7"/>
      <c r="JK111" s="7"/>
      <c r="JL111" s="7"/>
      <c r="JM111" s="7"/>
      <c r="JO111" s="7"/>
      <c r="JP111" s="7"/>
      <c r="JQ111" s="7"/>
      <c r="JR111" s="7"/>
      <c r="JT111" s="7"/>
      <c r="JU111" s="7"/>
      <c r="JV111" s="7"/>
      <c r="JW111" s="7"/>
      <c r="JX111" s="7"/>
    </row>
    <row r="112" spans="1:284" x14ac:dyDescent="0.3">
      <c r="A112" t="s">
        <v>277</v>
      </c>
      <c r="B112" s="10" t="s">
        <v>40</v>
      </c>
      <c r="C112" s="7"/>
      <c r="D112" s="7"/>
      <c r="E112" s="10" t="s">
        <v>40</v>
      </c>
      <c r="F112" s="7"/>
      <c r="G112" s="7"/>
      <c r="H112" s="10" t="s">
        <v>40</v>
      </c>
      <c r="I112" s="9"/>
      <c r="J112" s="9"/>
      <c r="K112" s="10" t="s">
        <v>40</v>
      </c>
      <c r="L112" s="7"/>
      <c r="M112" s="7"/>
      <c r="N112" s="10" t="s">
        <v>40</v>
      </c>
      <c r="O112" s="7"/>
      <c r="P112" s="7"/>
      <c r="Q112" s="10" t="s">
        <v>40</v>
      </c>
      <c r="R112" s="7"/>
      <c r="S112" s="7"/>
      <c r="T112" s="10" t="s">
        <v>40</v>
      </c>
      <c r="U112" s="9"/>
      <c r="V112" s="9"/>
      <c r="W112" s="10" t="s">
        <v>40</v>
      </c>
      <c r="X112" s="7"/>
      <c r="Y112" s="7"/>
      <c r="Z112" s="10" t="s">
        <v>40</v>
      </c>
      <c r="AA112" s="7"/>
      <c r="AB112" s="7"/>
      <c r="AC112" s="10" t="s">
        <v>40</v>
      </c>
      <c r="AD112" s="7"/>
      <c r="AE112" s="7"/>
      <c r="AF112" s="10" t="s">
        <v>40</v>
      </c>
      <c r="AG112" s="9"/>
      <c r="AH112" s="9"/>
      <c r="AI112" s="10" t="s">
        <v>40</v>
      </c>
      <c r="AJ112" s="7"/>
      <c r="AK112" s="7"/>
      <c r="AL112" s="10" t="s">
        <v>40</v>
      </c>
      <c r="AM112" s="7"/>
      <c r="AN112" s="7"/>
      <c r="AO112" s="10" t="s">
        <v>40</v>
      </c>
      <c r="AP112" s="7"/>
      <c r="AQ112" s="7"/>
      <c r="AR112" s="10" t="s">
        <v>40</v>
      </c>
      <c r="AS112" s="9"/>
      <c r="AT112" s="9"/>
      <c r="AU112" s="10" t="s">
        <v>40</v>
      </c>
      <c r="AV112" s="7"/>
      <c r="AW112" s="7"/>
      <c r="AX112" s="10" t="s">
        <v>40</v>
      </c>
      <c r="AY112" s="7"/>
      <c r="AZ112" s="7"/>
      <c r="BA112" s="10" t="s">
        <v>40</v>
      </c>
      <c r="BB112" s="7"/>
      <c r="BC112" s="7"/>
      <c r="BD112" s="10" t="s">
        <v>40</v>
      </c>
      <c r="BE112" s="9"/>
      <c r="BF112" s="9"/>
      <c r="BG112" s="10" t="s">
        <v>40</v>
      </c>
      <c r="BH112" s="7"/>
      <c r="BI112" s="7"/>
      <c r="BJ112" s="10" t="s">
        <v>40</v>
      </c>
      <c r="BK112" s="7"/>
      <c r="BL112" s="7"/>
      <c r="BM112" s="10" t="s">
        <v>40</v>
      </c>
      <c r="BN112" s="7"/>
      <c r="BO112" s="7"/>
      <c r="BP112" s="10" t="s">
        <v>40</v>
      </c>
      <c r="BQ112" s="9"/>
      <c r="BR112" s="9"/>
      <c r="BS112" s="10" t="s">
        <v>40</v>
      </c>
      <c r="BT112" s="7"/>
      <c r="BU112" s="7"/>
      <c r="BV112" s="10" t="s">
        <v>40</v>
      </c>
      <c r="BW112" s="7"/>
      <c r="BX112" s="7"/>
      <c r="BY112" s="10" t="s">
        <v>40</v>
      </c>
      <c r="BZ112" s="7"/>
      <c r="CA112" s="7"/>
      <c r="CB112" s="10" t="s">
        <v>40</v>
      </c>
      <c r="CC112" s="9"/>
      <c r="CD112" s="9"/>
      <c r="CE112" s="10" t="s">
        <v>40</v>
      </c>
      <c r="CF112" s="7"/>
      <c r="CG112" s="7"/>
      <c r="CH112" s="10" t="s">
        <v>40</v>
      </c>
      <c r="CI112" s="7"/>
      <c r="CJ112" s="7"/>
      <c r="CK112" s="10" t="s">
        <v>40</v>
      </c>
      <c r="CL112" s="7"/>
      <c r="CM112" s="7"/>
      <c r="CN112" s="10" t="s">
        <v>40</v>
      </c>
      <c r="CO112" s="9"/>
      <c r="CP112" s="9"/>
      <c r="CQ112" s="10" t="s">
        <v>40</v>
      </c>
      <c r="CR112" s="7"/>
      <c r="CS112" s="7"/>
      <c r="CT112" s="10" t="s">
        <v>40</v>
      </c>
      <c r="CU112" s="7"/>
      <c r="CV112" s="7"/>
      <c r="CW112" s="10" t="s">
        <v>40</v>
      </c>
      <c r="CX112" s="7"/>
      <c r="CY112" s="7"/>
      <c r="CZ112" s="10" t="s">
        <v>40</v>
      </c>
      <c r="DA112" s="9"/>
      <c r="DB112" s="9"/>
      <c r="DC112" s="10" t="s">
        <v>40</v>
      </c>
      <c r="DD112" s="7"/>
      <c r="DE112" s="7"/>
      <c r="DF112" s="10" t="s">
        <v>40</v>
      </c>
      <c r="DG112" s="7"/>
      <c r="DH112" s="7"/>
      <c r="DI112" s="10" t="s">
        <v>40</v>
      </c>
      <c r="DJ112" s="7"/>
      <c r="DK112" s="7"/>
      <c r="DL112" s="10" t="s">
        <v>40</v>
      </c>
      <c r="DM112" s="9"/>
      <c r="DN112" s="9"/>
      <c r="DO112" s="10" t="s">
        <v>40</v>
      </c>
      <c r="DP112" s="7"/>
      <c r="DQ112" s="7"/>
      <c r="DR112" s="10" t="s">
        <v>40</v>
      </c>
      <c r="DS112" s="7"/>
      <c r="DT112" s="7"/>
      <c r="DU112" s="10" t="s">
        <v>40</v>
      </c>
      <c r="DV112" s="7"/>
      <c r="DW112" s="7"/>
      <c r="DX112" s="10" t="s">
        <v>40</v>
      </c>
      <c r="DY112" s="9"/>
      <c r="DZ112" s="9"/>
      <c r="EA112" s="10" t="s">
        <v>40</v>
      </c>
      <c r="EB112" s="7"/>
      <c r="EC112" s="7"/>
      <c r="ED112" s="10" t="s">
        <v>40</v>
      </c>
      <c r="EE112" s="7"/>
      <c r="EF112" s="7"/>
      <c r="EG112" s="10" t="s">
        <v>40</v>
      </c>
      <c r="EH112" s="7"/>
      <c r="EI112" s="7"/>
      <c r="EJ112" s="10" t="s">
        <v>40</v>
      </c>
      <c r="EK112" s="9"/>
      <c r="EL112" s="9"/>
      <c r="EM112" s="10" t="s">
        <v>40</v>
      </c>
      <c r="EN112" s="7"/>
      <c r="EO112" s="7"/>
      <c r="EP112" s="10" t="s">
        <v>40</v>
      </c>
      <c r="EQ112" s="7"/>
      <c r="ER112" s="7"/>
      <c r="ES112" s="10" t="s">
        <v>40</v>
      </c>
      <c r="ET112" s="7"/>
      <c r="EU112" s="7"/>
      <c r="EV112" s="10" t="s">
        <v>40</v>
      </c>
      <c r="EW112" s="9"/>
      <c r="EX112" s="9"/>
      <c r="EY112" s="10" t="s">
        <v>40</v>
      </c>
      <c r="EZ112" s="7"/>
      <c r="FA112" s="7"/>
      <c r="FB112" s="10" t="s">
        <v>40</v>
      </c>
      <c r="FC112" s="7"/>
      <c r="FD112" s="7"/>
      <c r="FE112" s="10" t="s">
        <v>40</v>
      </c>
      <c r="FF112" s="7"/>
      <c r="FG112" s="7"/>
      <c r="FH112" s="10" t="s">
        <v>40</v>
      </c>
      <c r="FI112" s="9"/>
      <c r="FJ112" s="9"/>
      <c r="FK112" s="10" t="s">
        <v>40</v>
      </c>
      <c r="FL112" s="7"/>
      <c r="FM112" s="7"/>
      <c r="FN112" s="10" t="s">
        <v>40</v>
      </c>
      <c r="FO112" s="7"/>
      <c r="FP112" s="7"/>
      <c r="FQ112" s="10" t="s">
        <v>40</v>
      </c>
      <c r="FR112" s="7"/>
      <c r="FS112" s="7"/>
      <c r="FT112" s="10" t="s">
        <v>40</v>
      </c>
      <c r="FU112" s="9"/>
      <c r="FV112" s="9"/>
      <c r="FW112" s="10" t="s">
        <v>40</v>
      </c>
      <c r="FX112" s="7">
        <v>350</v>
      </c>
      <c r="FY112" s="7">
        <v>4000</v>
      </c>
      <c r="FZ112" s="10" t="s">
        <v>40</v>
      </c>
      <c r="GA112" s="7"/>
      <c r="GB112" s="7"/>
      <c r="GC112" s="10" t="s">
        <v>40</v>
      </c>
      <c r="GD112" s="7"/>
      <c r="GE112" s="7"/>
      <c r="GF112" s="10" t="s">
        <v>40</v>
      </c>
      <c r="GG112" s="7"/>
      <c r="GH112" s="7"/>
      <c r="GI112" s="10" t="s">
        <v>40</v>
      </c>
      <c r="GJ112" s="7">
        <v>229</v>
      </c>
      <c r="GK112" s="7">
        <v>5630</v>
      </c>
      <c r="GL112" s="10" t="s">
        <v>40</v>
      </c>
      <c r="GM112" s="7"/>
      <c r="GN112" s="7"/>
      <c r="GO112" s="10" t="s">
        <v>40</v>
      </c>
      <c r="GP112" s="7"/>
      <c r="GQ112" s="7"/>
      <c r="GR112" s="10" t="s">
        <v>40</v>
      </c>
      <c r="GS112" s="7"/>
      <c r="GT112" s="7"/>
      <c r="GU112" s="6" t="s">
        <v>40</v>
      </c>
      <c r="GV112" s="7">
        <v>300</v>
      </c>
      <c r="GW112" s="7">
        <v>3500</v>
      </c>
      <c r="GX112" s="10" t="s">
        <v>40</v>
      </c>
      <c r="GY112" s="7"/>
      <c r="GZ112" s="7"/>
      <c r="HA112" s="10" t="s">
        <v>40</v>
      </c>
      <c r="HB112" s="7"/>
      <c r="HC112" s="7"/>
      <c r="HD112" s="10" t="s">
        <v>40</v>
      </c>
      <c r="HE112" s="7"/>
      <c r="HF112" s="7"/>
      <c r="HG112" s="10" t="s">
        <v>40</v>
      </c>
      <c r="HH112" s="7">
        <v>250</v>
      </c>
      <c r="HI112" s="7">
        <v>3000</v>
      </c>
      <c r="HJ112" s="10" t="s">
        <v>40</v>
      </c>
      <c r="HK112" s="7"/>
      <c r="HL112" s="7"/>
      <c r="HM112" s="10" t="s">
        <v>40</v>
      </c>
      <c r="HN112" s="7"/>
      <c r="HO112" s="7"/>
      <c r="HP112" s="10" t="s">
        <v>40</v>
      </c>
      <c r="HQ112" s="7"/>
      <c r="HR112" s="7"/>
      <c r="HS112" s="10" t="s">
        <v>40</v>
      </c>
      <c r="HT112" s="7">
        <v>280</v>
      </c>
      <c r="HU112" s="7">
        <v>3300</v>
      </c>
      <c r="HV112" s="10" t="s">
        <v>40</v>
      </c>
      <c r="HW112" s="7"/>
      <c r="HX112" s="7"/>
      <c r="HY112" s="10" t="s">
        <v>40</v>
      </c>
      <c r="HZ112" s="7"/>
      <c r="IA112" s="7"/>
      <c r="IB112" s="10" t="s">
        <v>40</v>
      </c>
      <c r="IC112" s="7"/>
      <c r="ID112" s="7"/>
      <c r="IE112" s="6" t="s">
        <v>40</v>
      </c>
      <c r="IF112" s="7">
        <v>85</v>
      </c>
      <c r="IG112" s="7">
        <v>2830</v>
      </c>
      <c r="II112" s="7"/>
      <c r="IJ112" s="7"/>
      <c r="IK112" s="7"/>
      <c r="IL112" s="7"/>
      <c r="IM112" s="7"/>
      <c r="IN112" s="7"/>
      <c r="IP112" s="7"/>
      <c r="IQ112" s="7"/>
      <c r="IR112" s="7"/>
      <c r="IS112" s="7"/>
      <c r="IT112" s="7"/>
      <c r="IU112" s="7"/>
      <c r="IV112" s="7"/>
      <c r="IW112" s="7"/>
      <c r="IX112" s="7"/>
      <c r="IY112" s="7"/>
      <c r="IZ112" s="7"/>
      <c r="JA112" s="7"/>
      <c r="JB112" s="7"/>
      <c r="JC112" s="7"/>
      <c r="JE112" s="7"/>
      <c r="JF112" s="7"/>
      <c r="JH112" s="7"/>
      <c r="JI112" s="7"/>
      <c r="JJ112" s="7"/>
      <c r="JK112" s="7"/>
      <c r="JL112" s="7"/>
      <c r="JM112" s="7"/>
      <c r="JO112" s="7"/>
      <c r="JP112" s="7"/>
      <c r="JQ112" s="7"/>
      <c r="JR112" s="7"/>
      <c r="JT112" s="7"/>
      <c r="JU112" s="7"/>
      <c r="JV112" s="7"/>
      <c r="JW112" s="7"/>
      <c r="JX112" s="7"/>
    </row>
    <row r="113" spans="1:284" x14ac:dyDescent="0.3">
      <c r="A113" t="s">
        <v>278</v>
      </c>
      <c r="B113" s="10" t="s">
        <v>40</v>
      </c>
      <c r="C113" s="7"/>
      <c r="D113" s="7"/>
      <c r="E113" s="10" t="s">
        <v>40</v>
      </c>
      <c r="F113" s="7"/>
      <c r="G113" s="7"/>
      <c r="H113" s="10" t="s">
        <v>40</v>
      </c>
      <c r="I113" s="9"/>
      <c r="J113" s="9"/>
      <c r="K113" s="10" t="s">
        <v>40</v>
      </c>
      <c r="L113" s="7"/>
      <c r="M113" s="7"/>
      <c r="N113" s="10" t="s">
        <v>40</v>
      </c>
      <c r="O113" s="7"/>
      <c r="P113" s="7"/>
      <c r="Q113" s="10" t="s">
        <v>40</v>
      </c>
      <c r="R113" s="7"/>
      <c r="S113" s="7"/>
      <c r="T113" s="10" t="s">
        <v>40</v>
      </c>
      <c r="U113" s="9"/>
      <c r="V113" s="9"/>
      <c r="W113" s="10" t="s">
        <v>40</v>
      </c>
      <c r="X113" s="7"/>
      <c r="Y113" s="7"/>
      <c r="Z113" s="10" t="s">
        <v>40</v>
      </c>
      <c r="AA113" s="7"/>
      <c r="AB113" s="7"/>
      <c r="AC113" s="10" t="s">
        <v>40</v>
      </c>
      <c r="AD113" s="7"/>
      <c r="AE113" s="7"/>
      <c r="AF113" s="10" t="s">
        <v>40</v>
      </c>
      <c r="AG113" s="9"/>
      <c r="AH113" s="9"/>
      <c r="AI113" s="10" t="s">
        <v>40</v>
      </c>
      <c r="AJ113" s="7"/>
      <c r="AK113" s="7"/>
      <c r="AL113" s="10" t="s">
        <v>40</v>
      </c>
      <c r="AM113" s="7"/>
      <c r="AN113" s="7"/>
      <c r="AO113" s="10" t="s">
        <v>40</v>
      </c>
      <c r="AP113" s="7"/>
      <c r="AQ113" s="7"/>
      <c r="AR113" s="10" t="s">
        <v>40</v>
      </c>
      <c r="AS113" s="9"/>
      <c r="AT113" s="9"/>
      <c r="AU113" s="10" t="s">
        <v>40</v>
      </c>
      <c r="AV113" s="7"/>
      <c r="AW113" s="7"/>
      <c r="AX113" s="10" t="s">
        <v>40</v>
      </c>
      <c r="AY113" s="7"/>
      <c r="AZ113" s="7"/>
      <c r="BA113" s="10" t="s">
        <v>40</v>
      </c>
      <c r="BB113" s="7"/>
      <c r="BC113" s="7"/>
      <c r="BD113" s="10" t="s">
        <v>40</v>
      </c>
      <c r="BE113" s="9"/>
      <c r="BF113" s="9"/>
      <c r="BG113" s="10" t="s">
        <v>40</v>
      </c>
      <c r="BH113" s="7"/>
      <c r="BI113" s="7"/>
      <c r="BJ113" s="10" t="s">
        <v>40</v>
      </c>
      <c r="BK113" s="7"/>
      <c r="BL113" s="7"/>
      <c r="BM113" s="10" t="s">
        <v>40</v>
      </c>
      <c r="BN113" s="7"/>
      <c r="BO113" s="7"/>
      <c r="BP113" s="10" t="s">
        <v>40</v>
      </c>
      <c r="BQ113" s="9"/>
      <c r="BR113" s="9"/>
      <c r="BS113" s="10" t="s">
        <v>40</v>
      </c>
      <c r="BT113" s="7"/>
      <c r="BU113" s="7"/>
      <c r="BV113" s="10" t="s">
        <v>40</v>
      </c>
      <c r="BW113" s="7"/>
      <c r="BX113" s="7"/>
      <c r="BY113" s="10" t="s">
        <v>40</v>
      </c>
      <c r="BZ113" s="7"/>
      <c r="CA113" s="7"/>
      <c r="CB113" s="10" t="s">
        <v>40</v>
      </c>
      <c r="CC113" s="9"/>
      <c r="CD113" s="9"/>
      <c r="CE113" s="10" t="s">
        <v>40</v>
      </c>
      <c r="CF113" s="7"/>
      <c r="CG113" s="7"/>
      <c r="CH113" s="10" t="s">
        <v>40</v>
      </c>
      <c r="CI113" s="7"/>
      <c r="CJ113" s="7"/>
      <c r="CK113" s="10" t="s">
        <v>40</v>
      </c>
      <c r="CL113" s="7"/>
      <c r="CM113" s="7"/>
      <c r="CN113" s="10" t="s">
        <v>40</v>
      </c>
      <c r="CO113" s="9"/>
      <c r="CP113" s="9"/>
      <c r="CQ113" s="10" t="s">
        <v>40</v>
      </c>
      <c r="CR113" s="7"/>
      <c r="CS113" s="7"/>
      <c r="CT113" s="10" t="s">
        <v>40</v>
      </c>
      <c r="CU113" s="7"/>
      <c r="CV113" s="7"/>
      <c r="CW113" s="10" t="s">
        <v>40</v>
      </c>
      <c r="CX113" s="7"/>
      <c r="CY113" s="7"/>
      <c r="CZ113" s="10" t="s">
        <v>40</v>
      </c>
      <c r="DA113" s="9"/>
      <c r="DB113" s="9"/>
      <c r="DC113" s="10" t="s">
        <v>40</v>
      </c>
      <c r="DD113" s="7"/>
      <c r="DE113" s="7"/>
      <c r="DF113" s="10" t="s">
        <v>40</v>
      </c>
      <c r="DG113" s="7"/>
      <c r="DH113" s="7"/>
      <c r="DI113" s="10" t="s">
        <v>40</v>
      </c>
      <c r="DJ113" s="7"/>
      <c r="DK113" s="7"/>
      <c r="DL113" s="10" t="s">
        <v>40</v>
      </c>
      <c r="DM113" s="9"/>
      <c r="DN113" s="9"/>
      <c r="DO113" s="10" t="s">
        <v>40</v>
      </c>
      <c r="DP113" s="7"/>
      <c r="DQ113" s="7"/>
      <c r="DR113" s="10" t="s">
        <v>40</v>
      </c>
      <c r="DS113" s="7"/>
      <c r="DT113" s="7"/>
      <c r="DU113" s="10" t="s">
        <v>40</v>
      </c>
      <c r="DV113" s="7"/>
      <c r="DW113" s="7"/>
      <c r="DX113" s="10" t="s">
        <v>40</v>
      </c>
      <c r="DY113" s="9"/>
      <c r="DZ113" s="9"/>
      <c r="EA113" s="10" t="s">
        <v>40</v>
      </c>
      <c r="EB113" s="7"/>
      <c r="EC113" s="7"/>
      <c r="ED113" s="10" t="s">
        <v>40</v>
      </c>
      <c r="EE113" s="7"/>
      <c r="EF113" s="7"/>
      <c r="EG113" s="10" t="s">
        <v>40</v>
      </c>
      <c r="EH113" s="7"/>
      <c r="EI113" s="7"/>
      <c r="EJ113" s="10" t="s">
        <v>40</v>
      </c>
      <c r="EK113" s="9"/>
      <c r="EL113" s="9"/>
      <c r="EM113" s="10" t="s">
        <v>40</v>
      </c>
      <c r="EN113" s="7"/>
      <c r="EO113" s="7"/>
      <c r="EP113" s="10" t="s">
        <v>40</v>
      </c>
      <c r="EQ113" s="7"/>
      <c r="ER113" s="7"/>
      <c r="ES113" s="10" t="s">
        <v>40</v>
      </c>
      <c r="ET113" s="7"/>
      <c r="EU113" s="7"/>
      <c r="EV113" s="10" t="s">
        <v>40</v>
      </c>
      <c r="EW113" s="9"/>
      <c r="EX113" s="9"/>
      <c r="EY113" s="10" t="s">
        <v>40</v>
      </c>
      <c r="EZ113" s="7"/>
      <c r="FA113" s="7"/>
      <c r="FB113" s="10" t="s">
        <v>40</v>
      </c>
      <c r="FC113" s="7"/>
      <c r="FD113" s="7"/>
      <c r="FE113" s="10" t="s">
        <v>40</v>
      </c>
      <c r="FF113" s="7"/>
      <c r="FG113" s="7"/>
      <c r="FH113" s="10" t="s">
        <v>40</v>
      </c>
      <c r="FI113" s="9"/>
      <c r="FJ113" s="9"/>
      <c r="FK113" s="10" t="s">
        <v>40</v>
      </c>
      <c r="FL113" s="7"/>
      <c r="FM113" s="7"/>
      <c r="FN113" s="10" t="s">
        <v>40</v>
      </c>
      <c r="FO113" s="7"/>
      <c r="FP113" s="7"/>
      <c r="FQ113" s="10" t="s">
        <v>40</v>
      </c>
      <c r="FR113" s="7">
        <v>40</v>
      </c>
      <c r="FS113" s="7">
        <v>800</v>
      </c>
      <c r="FT113" s="10" t="s">
        <v>40</v>
      </c>
      <c r="FU113" s="9"/>
      <c r="FV113" s="9"/>
      <c r="FW113" s="10" t="s">
        <v>40</v>
      </c>
      <c r="FX113" s="7">
        <v>35</v>
      </c>
      <c r="FY113" s="7">
        <v>700</v>
      </c>
      <c r="FZ113" s="10" t="s">
        <v>40</v>
      </c>
      <c r="GA113" s="7"/>
      <c r="GB113" s="7"/>
      <c r="GC113" s="10" t="s">
        <v>40</v>
      </c>
      <c r="GD113" s="7">
        <v>25</v>
      </c>
      <c r="GE113" s="7">
        <v>500</v>
      </c>
      <c r="GF113" s="10" t="s">
        <v>40</v>
      </c>
      <c r="GG113" s="7"/>
      <c r="GH113" s="7"/>
      <c r="GI113" s="10" t="s">
        <v>40</v>
      </c>
      <c r="GJ113" s="7">
        <v>35</v>
      </c>
      <c r="GK113" s="7">
        <v>483</v>
      </c>
      <c r="GL113" s="10" t="s">
        <v>40</v>
      </c>
      <c r="GM113" s="7"/>
      <c r="GN113" s="7"/>
      <c r="GO113" s="10" t="s">
        <v>40</v>
      </c>
      <c r="GP113" s="7">
        <v>5</v>
      </c>
      <c r="GQ113" s="7">
        <v>250</v>
      </c>
      <c r="GR113" s="10" t="s">
        <v>40</v>
      </c>
      <c r="GS113" s="7"/>
      <c r="GT113" s="7"/>
      <c r="GU113" s="6" t="s">
        <v>40</v>
      </c>
      <c r="GV113" s="7">
        <v>37</v>
      </c>
      <c r="GW113" s="7">
        <v>550</v>
      </c>
      <c r="GX113" s="10" t="s">
        <v>40</v>
      </c>
      <c r="GY113" s="7"/>
      <c r="GZ113" s="7"/>
      <c r="HA113" s="10" t="s">
        <v>40</v>
      </c>
      <c r="HB113" s="7">
        <v>10</v>
      </c>
      <c r="HC113" s="7">
        <v>300</v>
      </c>
      <c r="HD113" s="10" t="s">
        <v>40</v>
      </c>
      <c r="HE113" s="7"/>
      <c r="HF113" s="7"/>
      <c r="HG113" s="10" t="s">
        <v>40</v>
      </c>
      <c r="HH113" s="7">
        <v>40</v>
      </c>
      <c r="HI113" s="7">
        <v>600</v>
      </c>
      <c r="HJ113" s="10" t="s">
        <v>40</v>
      </c>
      <c r="HK113" s="7"/>
      <c r="HL113" s="7"/>
      <c r="HM113" s="10" t="s">
        <v>40</v>
      </c>
      <c r="HN113" s="7">
        <v>4</v>
      </c>
      <c r="HO113" s="7">
        <v>150</v>
      </c>
      <c r="HP113" s="10" t="s">
        <v>40</v>
      </c>
      <c r="HQ113" s="7"/>
      <c r="HR113" s="7"/>
      <c r="HS113" s="10" t="s">
        <v>40</v>
      </c>
      <c r="HT113" s="7">
        <v>45</v>
      </c>
      <c r="HU113" s="7">
        <v>650</v>
      </c>
      <c r="HV113" s="10" t="s">
        <v>40</v>
      </c>
      <c r="HW113" s="7"/>
      <c r="HX113" s="7"/>
      <c r="HY113" s="10" t="s">
        <v>40</v>
      </c>
      <c r="HZ113" s="7">
        <v>4</v>
      </c>
      <c r="IA113" s="7">
        <v>200</v>
      </c>
      <c r="IB113" s="10" t="s">
        <v>40</v>
      </c>
      <c r="IC113" s="7"/>
      <c r="ID113" s="7"/>
      <c r="IE113" s="6" t="s">
        <v>40</v>
      </c>
      <c r="IF113" s="7">
        <v>24</v>
      </c>
      <c r="IG113" s="7">
        <v>170</v>
      </c>
      <c r="II113" s="7"/>
      <c r="IJ113" s="7"/>
      <c r="IK113" s="7"/>
      <c r="IL113" s="7"/>
      <c r="IM113" s="7"/>
      <c r="IN113" s="7"/>
      <c r="IP113" s="7"/>
      <c r="IQ113" s="7"/>
      <c r="IR113" s="7"/>
      <c r="IS113" s="7"/>
      <c r="IT113" s="7"/>
      <c r="IU113" s="7"/>
      <c r="IV113" s="7"/>
      <c r="IW113" s="7"/>
      <c r="IX113" s="7"/>
      <c r="IY113" s="7"/>
      <c r="IZ113" s="7"/>
      <c r="JA113" s="7"/>
      <c r="JB113" s="7"/>
      <c r="JC113" s="7"/>
      <c r="JE113" s="7"/>
      <c r="JF113" s="7"/>
      <c r="JH113" s="7"/>
      <c r="JI113" s="7"/>
      <c r="JJ113" s="7"/>
      <c r="JK113" s="7"/>
      <c r="JL113" s="7"/>
      <c r="JM113" s="7"/>
      <c r="JO113" s="7"/>
      <c r="JP113" s="7"/>
      <c r="JQ113" s="7"/>
      <c r="JR113" s="7"/>
      <c r="JT113" s="7"/>
      <c r="JU113" s="7"/>
      <c r="JV113" s="7"/>
      <c r="JW113" s="7"/>
      <c r="JX113" s="7"/>
    </row>
    <row r="114" spans="1:284" x14ac:dyDescent="0.3">
      <c r="A114" t="s">
        <v>279</v>
      </c>
      <c r="C114" s="7"/>
      <c r="D114" s="7"/>
      <c r="E114" s="10" t="s">
        <v>40</v>
      </c>
      <c r="F114" s="7"/>
      <c r="G114" s="7"/>
      <c r="H114" s="10" t="s">
        <v>40</v>
      </c>
      <c r="I114" s="9"/>
      <c r="J114" s="9"/>
      <c r="K114" s="10" t="s">
        <v>40</v>
      </c>
      <c r="L114" s="7"/>
      <c r="M114" s="7"/>
      <c r="O114" s="7"/>
      <c r="P114" s="7"/>
      <c r="Q114" s="10" t="s">
        <v>40</v>
      </c>
      <c r="R114" s="7"/>
      <c r="S114" s="7"/>
      <c r="T114" s="10" t="s">
        <v>40</v>
      </c>
      <c r="U114" s="9"/>
      <c r="V114" s="9"/>
      <c r="W114" s="10" t="s">
        <v>40</v>
      </c>
      <c r="X114" s="7"/>
      <c r="Y114" s="7"/>
      <c r="AA114" s="7"/>
      <c r="AB114" s="7"/>
      <c r="AC114" s="10" t="s">
        <v>40</v>
      </c>
      <c r="AD114" s="7"/>
      <c r="AE114" s="7"/>
      <c r="AF114" s="10" t="s">
        <v>40</v>
      </c>
      <c r="AG114" s="9"/>
      <c r="AH114" s="9"/>
      <c r="AI114" s="10" t="s">
        <v>40</v>
      </c>
      <c r="AJ114" s="7"/>
      <c r="AK114" s="7"/>
      <c r="AM114" s="7"/>
      <c r="AN114" s="7"/>
      <c r="AO114" s="10" t="s">
        <v>40</v>
      </c>
      <c r="AP114" s="7"/>
      <c r="AQ114" s="7"/>
      <c r="AR114" s="10" t="s">
        <v>40</v>
      </c>
      <c r="AS114" s="9"/>
      <c r="AT114" s="9"/>
      <c r="AU114" s="10" t="s">
        <v>40</v>
      </c>
      <c r="AV114" s="7"/>
      <c r="AW114" s="7"/>
      <c r="AY114" s="7"/>
      <c r="AZ114" s="7"/>
      <c r="BA114" s="10" t="s">
        <v>40</v>
      </c>
      <c r="BB114" s="7"/>
      <c r="BC114" s="7"/>
      <c r="BD114" s="10" t="s">
        <v>40</v>
      </c>
      <c r="BE114" s="9"/>
      <c r="BF114" s="9"/>
      <c r="BG114" s="10" t="s">
        <v>40</v>
      </c>
      <c r="BH114" s="7"/>
      <c r="BI114" s="7"/>
      <c r="BK114" s="7"/>
      <c r="BL114" s="7"/>
      <c r="BM114" s="10" t="s">
        <v>40</v>
      </c>
      <c r="BN114" s="7"/>
      <c r="BO114" s="7"/>
      <c r="BP114" s="10" t="s">
        <v>40</v>
      </c>
      <c r="BQ114" s="9"/>
      <c r="BR114" s="9"/>
      <c r="BS114" s="10" t="s">
        <v>40</v>
      </c>
      <c r="BT114" s="7"/>
      <c r="BU114" s="7"/>
      <c r="BW114" s="7"/>
      <c r="BX114" s="7"/>
      <c r="BY114" s="10" t="s">
        <v>40</v>
      </c>
      <c r="BZ114" s="7"/>
      <c r="CA114" s="7"/>
      <c r="CB114" s="10" t="s">
        <v>40</v>
      </c>
      <c r="CC114" s="9"/>
      <c r="CD114" s="9"/>
      <c r="CE114" s="10" t="s">
        <v>40</v>
      </c>
      <c r="CF114" s="7"/>
      <c r="CG114" s="7"/>
      <c r="CI114" s="7"/>
      <c r="CJ114" s="7"/>
      <c r="CK114" s="10" t="s">
        <v>40</v>
      </c>
      <c r="CL114" s="7"/>
      <c r="CM114" s="7"/>
      <c r="CN114" s="10" t="s">
        <v>40</v>
      </c>
      <c r="CO114" s="9"/>
      <c r="CP114" s="9"/>
      <c r="CQ114" s="10" t="s">
        <v>40</v>
      </c>
      <c r="CR114" s="7"/>
      <c r="CS114" s="7"/>
      <c r="CU114" s="7"/>
      <c r="CV114" s="7"/>
      <c r="CW114" s="10" t="s">
        <v>40</v>
      </c>
      <c r="CX114" s="7"/>
      <c r="CY114" s="7"/>
      <c r="CZ114" s="10" t="s">
        <v>40</v>
      </c>
      <c r="DA114" s="9"/>
      <c r="DB114" s="9"/>
      <c r="DC114" s="10" t="s">
        <v>40</v>
      </c>
      <c r="DD114" s="7"/>
      <c r="DE114" s="7"/>
      <c r="DG114" s="7"/>
      <c r="DH114" s="7"/>
      <c r="DI114" s="10" t="s">
        <v>40</v>
      </c>
      <c r="DJ114" s="7"/>
      <c r="DK114" s="7"/>
      <c r="DL114" s="10" t="s">
        <v>40</v>
      </c>
      <c r="DM114" s="9"/>
      <c r="DN114" s="9"/>
      <c r="DO114" s="10" t="s">
        <v>40</v>
      </c>
      <c r="DP114" s="7"/>
      <c r="DQ114" s="7"/>
      <c r="DS114" s="7"/>
      <c r="DT114" s="7"/>
      <c r="DU114" s="10" t="s">
        <v>40</v>
      </c>
      <c r="DV114" s="7"/>
      <c r="DW114" s="7"/>
      <c r="DX114" s="10" t="s">
        <v>40</v>
      </c>
      <c r="DY114" s="9"/>
      <c r="DZ114" s="9"/>
      <c r="EA114" s="10" t="s">
        <v>40</v>
      </c>
      <c r="EB114" s="7"/>
      <c r="EC114" s="7"/>
      <c r="EE114" s="7"/>
      <c r="EF114" s="7"/>
      <c r="EG114" s="10" t="s">
        <v>40</v>
      </c>
      <c r="EH114" s="7"/>
      <c r="EI114" s="7"/>
      <c r="EJ114" s="10" t="s">
        <v>40</v>
      </c>
      <c r="EK114" s="9"/>
      <c r="EL114" s="9"/>
      <c r="EM114" s="10" t="s">
        <v>40</v>
      </c>
      <c r="EN114" s="7"/>
      <c r="EO114" s="7"/>
      <c r="EQ114" s="7"/>
      <c r="ER114" s="7"/>
      <c r="ES114" s="10" t="s">
        <v>40</v>
      </c>
      <c r="ET114" s="7"/>
      <c r="EU114" s="7"/>
      <c r="EV114" s="10" t="s">
        <v>40</v>
      </c>
      <c r="EW114" s="9"/>
      <c r="EX114" s="9"/>
      <c r="EY114" s="10" t="s">
        <v>40</v>
      </c>
      <c r="EZ114" s="7"/>
      <c r="FA114" s="7"/>
      <c r="FC114" s="7"/>
      <c r="FD114" s="7"/>
      <c r="FE114" s="10" t="s">
        <v>40</v>
      </c>
      <c r="FF114" s="7"/>
      <c r="FG114" s="7"/>
      <c r="FH114" s="10" t="s">
        <v>40</v>
      </c>
      <c r="FI114" s="9"/>
      <c r="FJ114" s="9"/>
      <c r="FK114" s="10" t="s">
        <v>40</v>
      </c>
      <c r="FL114" s="7"/>
      <c r="FM114" s="7"/>
      <c r="FN114" s="6"/>
      <c r="FO114" s="7"/>
      <c r="FP114" s="7">
        <v>1600</v>
      </c>
      <c r="FQ114" s="10" t="s">
        <v>40</v>
      </c>
      <c r="FR114" s="7"/>
      <c r="FS114" s="7"/>
      <c r="FT114" s="10" t="s">
        <v>40</v>
      </c>
      <c r="FU114" s="9"/>
      <c r="FV114" s="9"/>
      <c r="FW114" s="10" t="s">
        <v>40</v>
      </c>
      <c r="FX114" s="7"/>
      <c r="FY114" s="7"/>
      <c r="FZ114" s="10" t="s">
        <v>40</v>
      </c>
      <c r="GA114" s="7"/>
      <c r="GB114" s="7"/>
      <c r="GC114" s="10" t="s">
        <v>40</v>
      </c>
      <c r="GD114" s="7"/>
      <c r="GE114" s="7"/>
      <c r="GF114" s="10" t="s">
        <v>40</v>
      </c>
      <c r="GG114" s="7"/>
      <c r="GH114" s="7"/>
      <c r="GI114" s="10" t="s">
        <v>40</v>
      </c>
      <c r="GJ114" s="7"/>
      <c r="GK114" s="7"/>
      <c r="GL114" s="6" t="s">
        <v>40</v>
      </c>
      <c r="GM114" s="7">
        <v>15</v>
      </c>
      <c r="GN114" s="7">
        <v>250</v>
      </c>
      <c r="GO114" s="10"/>
      <c r="GP114" s="7"/>
      <c r="GQ114" s="7"/>
      <c r="GR114" s="10"/>
      <c r="GS114" s="7"/>
      <c r="GT114" s="7"/>
      <c r="GU114" s="6"/>
      <c r="GV114" s="7"/>
      <c r="GW114" s="7"/>
      <c r="GX114" s="10" t="s">
        <v>40</v>
      </c>
      <c r="GY114" s="7">
        <v>20</v>
      </c>
      <c r="GZ114" s="7">
        <v>300</v>
      </c>
      <c r="HA114" s="10" t="s">
        <v>40</v>
      </c>
      <c r="HB114" s="7"/>
      <c r="HC114" s="7"/>
      <c r="HD114" s="10" t="s">
        <v>40</v>
      </c>
      <c r="HE114" s="7"/>
      <c r="HF114" s="7"/>
      <c r="HG114" s="10" t="s">
        <v>40</v>
      </c>
      <c r="HH114" s="7"/>
      <c r="HI114" s="7"/>
      <c r="HJ114" s="10" t="s">
        <v>40</v>
      </c>
      <c r="HK114" s="7">
        <v>25</v>
      </c>
      <c r="HL114" s="7">
        <v>350</v>
      </c>
      <c r="HM114" s="10" t="s">
        <v>40</v>
      </c>
      <c r="HN114" s="7"/>
      <c r="HO114" s="7"/>
      <c r="HP114" s="10" t="s">
        <v>40</v>
      </c>
      <c r="HQ114" s="7"/>
      <c r="HR114" s="7"/>
      <c r="HS114" s="6" t="s">
        <v>40</v>
      </c>
      <c r="HT114" s="7"/>
      <c r="HU114" s="7"/>
      <c r="HV114" s="6" t="s">
        <v>40</v>
      </c>
      <c r="HW114" s="7">
        <v>30</v>
      </c>
      <c r="HX114" s="7">
        <v>430</v>
      </c>
      <c r="HY114" s="10"/>
      <c r="HZ114" s="7"/>
      <c r="IA114" s="7"/>
      <c r="IC114" s="7"/>
      <c r="ID114" s="7"/>
      <c r="IE114" s="6"/>
      <c r="IF114" s="7"/>
      <c r="IG114" s="7"/>
      <c r="II114" s="7"/>
      <c r="IJ114" s="7"/>
      <c r="IK114" s="7"/>
      <c r="IL114" s="7"/>
      <c r="IM114" s="7"/>
      <c r="IN114" s="7"/>
      <c r="IP114" s="7"/>
      <c r="IQ114" s="7"/>
      <c r="IR114" s="7"/>
      <c r="IS114" s="7"/>
      <c r="IT114" s="7"/>
      <c r="IU114" s="7"/>
      <c r="IV114" s="7"/>
      <c r="IW114" s="7"/>
      <c r="IX114" s="7"/>
      <c r="IY114" s="7"/>
      <c r="IZ114" s="7"/>
      <c r="JA114" s="7"/>
      <c r="JB114" s="7"/>
      <c r="JC114" s="7"/>
      <c r="JE114" s="7"/>
      <c r="JF114" s="7"/>
      <c r="JH114" s="7"/>
      <c r="JI114" s="7"/>
      <c r="JJ114" s="7"/>
      <c r="JK114" s="7"/>
      <c r="JL114" s="7"/>
      <c r="JM114" s="7"/>
      <c r="JO114" s="7"/>
      <c r="JP114" s="7"/>
      <c r="JQ114" s="7"/>
      <c r="JR114" s="7"/>
      <c r="JT114" s="7"/>
      <c r="JU114" s="7"/>
      <c r="JV114" s="7"/>
      <c r="JW114" s="7"/>
      <c r="JX114" s="7"/>
    </row>
    <row r="115" spans="1:284" x14ac:dyDescent="0.3">
      <c r="A115" t="s">
        <v>280</v>
      </c>
      <c r="B115" s="10" t="s">
        <v>40</v>
      </c>
      <c r="C115" s="7"/>
      <c r="D115" s="7"/>
      <c r="E115" s="10" t="s">
        <v>40</v>
      </c>
      <c r="F115" s="7"/>
      <c r="G115" s="7"/>
      <c r="H115" s="10" t="s">
        <v>40</v>
      </c>
      <c r="I115" s="9"/>
      <c r="J115" s="9"/>
      <c r="K115" s="10" t="s">
        <v>40</v>
      </c>
      <c r="L115" s="7"/>
      <c r="M115" s="7"/>
      <c r="N115" s="10" t="s">
        <v>40</v>
      </c>
      <c r="O115" s="7"/>
      <c r="P115" s="7"/>
      <c r="Q115" s="10" t="s">
        <v>40</v>
      </c>
      <c r="R115" s="7"/>
      <c r="S115" s="7"/>
      <c r="T115" s="10" t="s">
        <v>40</v>
      </c>
      <c r="U115" s="9"/>
      <c r="V115" s="9"/>
      <c r="W115" s="10" t="s">
        <v>40</v>
      </c>
      <c r="X115" s="7"/>
      <c r="Y115" s="7"/>
      <c r="Z115" s="10" t="s">
        <v>40</v>
      </c>
      <c r="AA115" s="7"/>
      <c r="AB115" s="7"/>
      <c r="AC115" s="10" t="s">
        <v>40</v>
      </c>
      <c r="AD115" s="7"/>
      <c r="AE115" s="7"/>
      <c r="AF115" s="10" t="s">
        <v>40</v>
      </c>
      <c r="AG115" s="9"/>
      <c r="AH115" s="9"/>
      <c r="AI115" s="10" t="s">
        <v>40</v>
      </c>
      <c r="AJ115" s="7"/>
      <c r="AK115" s="7"/>
      <c r="AL115" s="10" t="s">
        <v>40</v>
      </c>
      <c r="AM115" s="7"/>
      <c r="AN115" s="7"/>
      <c r="AO115" s="10" t="s">
        <v>40</v>
      </c>
      <c r="AP115" s="7"/>
      <c r="AQ115" s="7"/>
      <c r="AR115" s="10" t="s">
        <v>40</v>
      </c>
      <c r="AS115" s="9"/>
      <c r="AT115" s="9"/>
      <c r="AU115" s="10" t="s">
        <v>40</v>
      </c>
      <c r="AV115" s="7"/>
      <c r="AW115" s="7"/>
      <c r="AX115" s="10" t="s">
        <v>40</v>
      </c>
      <c r="AY115" s="7"/>
      <c r="AZ115" s="7"/>
      <c r="BA115" s="10" t="s">
        <v>40</v>
      </c>
      <c r="BB115" s="7"/>
      <c r="BC115" s="7"/>
      <c r="BD115" s="10" t="s">
        <v>40</v>
      </c>
      <c r="BE115" s="9"/>
      <c r="BF115" s="9"/>
      <c r="BG115" s="10" t="s">
        <v>40</v>
      </c>
      <c r="BH115" s="7"/>
      <c r="BI115" s="7"/>
      <c r="BJ115" s="10" t="s">
        <v>40</v>
      </c>
      <c r="BK115" s="7"/>
      <c r="BL115" s="7"/>
      <c r="BM115" s="10" t="s">
        <v>40</v>
      </c>
      <c r="BN115" s="7"/>
      <c r="BO115" s="7"/>
      <c r="BP115" s="10" t="s">
        <v>40</v>
      </c>
      <c r="BQ115" s="9"/>
      <c r="BR115" s="9"/>
      <c r="BS115" s="10" t="s">
        <v>40</v>
      </c>
      <c r="BT115" s="7"/>
      <c r="BU115" s="7"/>
      <c r="BV115" s="10" t="s">
        <v>40</v>
      </c>
      <c r="BW115" s="7"/>
      <c r="BX115" s="7"/>
      <c r="BY115" s="10" t="s">
        <v>40</v>
      </c>
      <c r="BZ115" s="7"/>
      <c r="CA115" s="7"/>
      <c r="CB115" s="10" t="s">
        <v>40</v>
      </c>
      <c r="CC115" s="9"/>
      <c r="CD115" s="9"/>
      <c r="CE115" s="10" t="s">
        <v>40</v>
      </c>
      <c r="CF115" s="7"/>
      <c r="CG115" s="7"/>
      <c r="CH115" s="10" t="s">
        <v>40</v>
      </c>
      <c r="CI115" s="7"/>
      <c r="CJ115" s="7"/>
      <c r="CK115" s="10" t="s">
        <v>40</v>
      </c>
      <c r="CL115" s="7"/>
      <c r="CM115" s="7"/>
      <c r="CN115" s="10" t="s">
        <v>40</v>
      </c>
      <c r="CO115" s="9"/>
      <c r="CP115" s="9"/>
      <c r="CQ115" s="10" t="s">
        <v>40</v>
      </c>
      <c r="CR115" s="7"/>
      <c r="CS115" s="7"/>
      <c r="CT115" s="10" t="s">
        <v>40</v>
      </c>
      <c r="CU115" s="7"/>
      <c r="CV115" s="7"/>
      <c r="CW115" s="10" t="s">
        <v>40</v>
      </c>
      <c r="CX115" s="7"/>
      <c r="CY115" s="7"/>
      <c r="CZ115" s="10" t="s">
        <v>40</v>
      </c>
      <c r="DA115" s="9"/>
      <c r="DB115" s="9"/>
      <c r="DC115" s="10" t="s">
        <v>40</v>
      </c>
      <c r="DD115" s="7"/>
      <c r="DE115" s="7"/>
      <c r="DF115" s="10" t="s">
        <v>40</v>
      </c>
      <c r="DG115" s="7"/>
      <c r="DH115" s="7"/>
      <c r="DI115" s="10" t="s">
        <v>40</v>
      </c>
      <c r="DJ115" s="7"/>
      <c r="DK115" s="7"/>
      <c r="DL115" s="10" t="s">
        <v>40</v>
      </c>
      <c r="DM115" s="9"/>
      <c r="DN115" s="9"/>
      <c r="DO115" s="10" t="s">
        <v>40</v>
      </c>
      <c r="DP115" s="7"/>
      <c r="DQ115" s="7"/>
      <c r="DR115" s="10" t="s">
        <v>40</v>
      </c>
      <c r="DS115" s="7"/>
      <c r="DT115" s="7"/>
      <c r="DU115" s="10" t="s">
        <v>40</v>
      </c>
      <c r="DV115" s="7"/>
      <c r="DW115" s="7"/>
      <c r="DX115" s="10" t="s">
        <v>40</v>
      </c>
      <c r="DY115" s="9"/>
      <c r="DZ115" s="9"/>
      <c r="EA115" s="10" t="s">
        <v>40</v>
      </c>
      <c r="EB115" s="7"/>
      <c r="EC115" s="7"/>
      <c r="ED115" s="10" t="s">
        <v>40</v>
      </c>
      <c r="EE115" s="7"/>
      <c r="EF115" s="7"/>
      <c r="EG115" s="10" t="s">
        <v>40</v>
      </c>
      <c r="EH115" s="7"/>
      <c r="EI115" s="7"/>
      <c r="EJ115" s="10" t="s">
        <v>40</v>
      </c>
      <c r="EK115" s="9"/>
      <c r="EL115" s="9"/>
      <c r="EM115" s="10" t="s">
        <v>40</v>
      </c>
      <c r="EN115" s="7"/>
      <c r="EO115" s="7"/>
      <c r="EP115" s="10" t="s">
        <v>40</v>
      </c>
      <c r="EQ115" s="7"/>
      <c r="ER115" s="7"/>
      <c r="ES115" s="10" t="s">
        <v>40</v>
      </c>
      <c r="ET115" s="7"/>
      <c r="EU115" s="7"/>
      <c r="EV115" s="10" t="s">
        <v>40</v>
      </c>
      <c r="EW115" s="9"/>
      <c r="EX115" s="9"/>
      <c r="EY115" s="10" t="s">
        <v>40</v>
      </c>
      <c r="EZ115" s="7"/>
      <c r="FA115" s="7"/>
      <c r="FB115" s="10" t="s">
        <v>40</v>
      </c>
      <c r="FC115" s="7"/>
      <c r="FD115" s="7"/>
      <c r="FE115" s="10" t="s">
        <v>40</v>
      </c>
      <c r="FF115" s="7"/>
      <c r="FG115" s="7"/>
      <c r="FH115" s="10" t="s">
        <v>40</v>
      </c>
      <c r="FI115" s="9"/>
      <c r="FJ115" s="9"/>
      <c r="FK115" s="10" t="s">
        <v>40</v>
      </c>
      <c r="FL115" s="7"/>
      <c r="FM115" s="7"/>
      <c r="FN115" s="10" t="s">
        <v>40</v>
      </c>
      <c r="FO115" s="7"/>
      <c r="FP115" s="7"/>
      <c r="FQ115" s="10" t="s">
        <v>40</v>
      </c>
      <c r="FR115" s="7"/>
      <c r="FS115" s="7"/>
      <c r="FT115" s="10" t="s">
        <v>40</v>
      </c>
      <c r="FU115" s="9"/>
      <c r="FV115" s="9"/>
      <c r="FW115" s="10" t="s">
        <v>40</v>
      </c>
      <c r="FX115" s="7">
        <v>10</v>
      </c>
      <c r="FY115" s="7">
        <v>100</v>
      </c>
      <c r="FZ115" s="10" t="s">
        <v>40</v>
      </c>
      <c r="GA115" s="7"/>
      <c r="GB115" s="7"/>
      <c r="GC115" s="10" t="s">
        <v>40</v>
      </c>
      <c r="GD115" s="7"/>
      <c r="GE115" s="7"/>
      <c r="GF115" s="10" t="s">
        <v>40</v>
      </c>
      <c r="GG115" s="7"/>
      <c r="GH115" s="7"/>
      <c r="GI115" s="10" t="s">
        <v>40</v>
      </c>
      <c r="GJ115" s="7">
        <v>5</v>
      </c>
      <c r="GK115" s="7">
        <v>243</v>
      </c>
      <c r="GL115" s="10" t="s">
        <v>40</v>
      </c>
      <c r="GM115" s="7"/>
      <c r="GN115" s="7"/>
      <c r="GO115" s="10" t="s">
        <v>40</v>
      </c>
      <c r="GP115" s="7"/>
      <c r="GQ115" s="7"/>
      <c r="GR115" s="10" t="s">
        <v>40</v>
      </c>
      <c r="GS115" s="7"/>
      <c r="GT115" s="7"/>
      <c r="GU115" s="6" t="s">
        <v>40</v>
      </c>
      <c r="GV115" s="7">
        <v>3</v>
      </c>
      <c r="GW115" s="7">
        <v>150</v>
      </c>
      <c r="GX115" s="10" t="s">
        <v>40</v>
      </c>
      <c r="GY115" s="7"/>
      <c r="GZ115" s="7"/>
      <c r="HA115" s="10" t="s">
        <v>40</v>
      </c>
      <c r="HB115" s="7"/>
      <c r="HC115" s="7"/>
      <c r="HD115" s="10" t="s">
        <v>40</v>
      </c>
      <c r="HE115" s="7"/>
      <c r="HF115" s="7"/>
      <c r="HG115" s="10" t="s">
        <v>40</v>
      </c>
      <c r="HH115" s="7">
        <v>5</v>
      </c>
      <c r="HI115" s="7">
        <v>200</v>
      </c>
      <c r="HJ115" s="10" t="s">
        <v>40</v>
      </c>
      <c r="HK115" s="7"/>
      <c r="HL115" s="7"/>
      <c r="HM115" s="10" t="s">
        <v>40</v>
      </c>
      <c r="HN115" s="7"/>
      <c r="HO115" s="7"/>
      <c r="HP115" s="10" t="s">
        <v>40</v>
      </c>
      <c r="HQ115" s="7"/>
      <c r="HR115" s="7"/>
      <c r="HS115" s="10" t="s">
        <v>40</v>
      </c>
      <c r="HT115" s="7">
        <v>7</v>
      </c>
      <c r="HU115" s="7">
        <v>250</v>
      </c>
      <c r="HV115" s="10" t="s">
        <v>40</v>
      </c>
      <c r="HW115" s="7"/>
      <c r="HX115" s="7"/>
      <c r="HY115" s="10" t="s">
        <v>40</v>
      </c>
      <c r="HZ115" s="7"/>
      <c r="IA115" s="7"/>
      <c r="IB115" s="10" t="s">
        <v>40</v>
      </c>
      <c r="IC115" s="7"/>
      <c r="ID115" s="7"/>
      <c r="IE115" s="6" t="s">
        <v>40</v>
      </c>
      <c r="IF115" s="7">
        <v>4</v>
      </c>
      <c r="IG115" s="7">
        <v>160</v>
      </c>
      <c r="II115" s="7"/>
      <c r="IJ115" s="7"/>
      <c r="IK115" s="7"/>
      <c r="IL115" s="7"/>
      <c r="IM115" s="7"/>
      <c r="IN115" s="7"/>
      <c r="IP115" s="7"/>
      <c r="IQ115" s="7"/>
      <c r="IR115" s="7"/>
      <c r="IS115" s="7"/>
      <c r="IT115" s="7"/>
      <c r="IU115" s="7"/>
      <c r="IV115" s="7"/>
      <c r="IW115" s="7"/>
      <c r="IX115" s="7"/>
      <c r="IY115" s="7"/>
      <c r="IZ115" s="7"/>
      <c r="JA115" s="7"/>
      <c r="JB115" s="7"/>
      <c r="JC115" s="7"/>
      <c r="JE115" s="7"/>
      <c r="JF115" s="7"/>
      <c r="JH115" s="7"/>
      <c r="JI115" s="7"/>
      <c r="JJ115" s="7"/>
      <c r="JK115" s="7"/>
      <c r="JL115" s="7"/>
      <c r="JM115" s="7"/>
      <c r="JO115" s="7"/>
      <c r="JP115" s="7"/>
      <c r="JQ115" s="7"/>
      <c r="JR115" s="7"/>
      <c r="JT115" s="7"/>
      <c r="JU115" s="7"/>
      <c r="JV115" s="7"/>
      <c r="JW115" s="7"/>
      <c r="JX115" s="7"/>
    </row>
    <row r="116" spans="1:284" x14ac:dyDescent="0.3">
      <c r="A116" t="s">
        <v>281</v>
      </c>
      <c r="B116" s="10" t="s">
        <v>40</v>
      </c>
      <c r="C116" s="7"/>
      <c r="D116" s="7"/>
      <c r="E116" s="10" t="s">
        <v>40</v>
      </c>
      <c r="F116" s="7"/>
      <c r="G116" s="7"/>
      <c r="H116" s="10" t="s">
        <v>40</v>
      </c>
      <c r="I116" s="9"/>
      <c r="J116" s="9"/>
      <c r="K116" s="10" t="s">
        <v>40</v>
      </c>
      <c r="L116" s="7"/>
      <c r="M116" s="7"/>
      <c r="N116" s="10" t="s">
        <v>40</v>
      </c>
      <c r="O116" s="7"/>
      <c r="P116" s="7"/>
      <c r="Q116" s="10" t="s">
        <v>40</v>
      </c>
      <c r="R116" s="7"/>
      <c r="S116" s="7"/>
      <c r="T116" s="10" t="s">
        <v>40</v>
      </c>
      <c r="U116" s="9"/>
      <c r="V116" s="9"/>
      <c r="W116" s="10" t="s">
        <v>40</v>
      </c>
      <c r="X116" s="7"/>
      <c r="Y116" s="7"/>
      <c r="Z116" s="10" t="s">
        <v>40</v>
      </c>
      <c r="AA116" s="7"/>
      <c r="AB116" s="7"/>
      <c r="AC116" s="10" t="s">
        <v>40</v>
      </c>
      <c r="AD116" s="7"/>
      <c r="AE116" s="7"/>
      <c r="AF116" s="10" t="s">
        <v>40</v>
      </c>
      <c r="AG116" s="9"/>
      <c r="AH116" s="9"/>
      <c r="AI116" s="10" t="s">
        <v>40</v>
      </c>
      <c r="AJ116" s="7"/>
      <c r="AK116" s="7"/>
      <c r="AL116" s="10" t="s">
        <v>40</v>
      </c>
      <c r="AM116" s="7"/>
      <c r="AN116" s="7"/>
      <c r="AO116" s="10" t="s">
        <v>40</v>
      </c>
      <c r="AP116" s="7"/>
      <c r="AQ116" s="7"/>
      <c r="AR116" s="10" t="s">
        <v>40</v>
      </c>
      <c r="AS116" s="9"/>
      <c r="AT116" s="9"/>
      <c r="AU116" s="10" t="s">
        <v>40</v>
      </c>
      <c r="AV116" s="7"/>
      <c r="AW116" s="7"/>
      <c r="AX116" s="10" t="s">
        <v>40</v>
      </c>
      <c r="AY116" s="7"/>
      <c r="AZ116" s="7"/>
      <c r="BA116" s="10" t="s">
        <v>40</v>
      </c>
      <c r="BB116" s="7"/>
      <c r="BC116" s="7"/>
      <c r="BD116" s="10" t="s">
        <v>40</v>
      </c>
      <c r="BE116" s="9"/>
      <c r="BF116" s="9"/>
      <c r="BG116" s="10" t="s">
        <v>40</v>
      </c>
      <c r="BH116" s="7"/>
      <c r="BI116" s="7"/>
      <c r="BJ116" s="10" t="s">
        <v>40</v>
      </c>
      <c r="BK116" s="7"/>
      <c r="BL116" s="7"/>
      <c r="BM116" s="10" t="s">
        <v>40</v>
      </c>
      <c r="BN116" s="7"/>
      <c r="BO116" s="7"/>
      <c r="BP116" s="10" t="s">
        <v>40</v>
      </c>
      <c r="BQ116" s="9"/>
      <c r="BR116" s="9"/>
      <c r="BS116" s="10" t="s">
        <v>40</v>
      </c>
      <c r="BT116" s="7"/>
      <c r="BU116" s="7"/>
      <c r="BV116" s="10" t="s">
        <v>40</v>
      </c>
      <c r="BW116" s="7"/>
      <c r="BX116" s="7"/>
      <c r="BY116" s="10" t="s">
        <v>40</v>
      </c>
      <c r="BZ116" s="7"/>
      <c r="CA116" s="7"/>
      <c r="CB116" s="10" t="s">
        <v>40</v>
      </c>
      <c r="CC116" s="9"/>
      <c r="CD116" s="9"/>
      <c r="CE116" s="10" t="s">
        <v>40</v>
      </c>
      <c r="CF116" s="7"/>
      <c r="CG116" s="7"/>
      <c r="CH116" s="10" t="s">
        <v>40</v>
      </c>
      <c r="CI116" s="7"/>
      <c r="CJ116" s="7"/>
      <c r="CK116" s="10" t="s">
        <v>40</v>
      </c>
      <c r="CL116" s="7"/>
      <c r="CM116" s="7"/>
      <c r="CN116" s="10" t="s">
        <v>40</v>
      </c>
      <c r="CO116" s="9"/>
      <c r="CP116" s="9"/>
      <c r="CQ116" s="10" t="s">
        <v>40</v>
      </c>
      <c r="CR116" s="7"/>
      <c r="CS116" s="7"/>
      <c r="CT116" s="10" t="s">
        <v>40</v>
      </c>
      <c r="CU116" s="7"/>
      <c r="CV116" s="7"/>
      <c r="CW116" s="10" t="s">
        <v>40</v>
      </c>
      <c r="CX116" s="7"/>
      <c r="CY116" s="7"/>
      <c r="CZ116" s="10" t="s">
        <v>40</v>
      </c>
      <c r="DA116" s="9"/>
      <c r="DB116" s="9"/>
      <c r="DC116" s="10" t="s">
        <v>40</v>
      </c>
      <c r="DD116" s="7"/>
      <c r="DE116" s="7"/>
      <c r="DF116" s="10" t="s">
        <v>40</v>
      </c>
      <c r="DG116" s="7"/>
      <c r="DH116" s="7"/>
      <c r="DI116" s="10" t="s">
        <v>40</v>
      </c>
      <c r="DJ116" s="7"/>
      <c r="DK116" s="7"/>
      <c r="DL116" s="10" t="s">
        <v>40</v>
      </c>
      <c r="DM116" s="9"/>
      <c r="DN116" s="9"/>
      <c r="DO116" s="10" t="s">
        <v>40</v>
      </c>
      <c r="DP116" s="7"/>
      <c r="DQ116" s="7"/>
      <c r="DR116" s="10" t="s">
        <v>40</v>
      </c>
      <c r="DS116" s="7"/>
      <c r="DT116" s="7"/>
      <c r="DU116" s="10" t="s">
        <v>40</v>
      </c>
      <c r="DV116" s="7"/>
      <c r="DW116" s="7"/>
      <c r="DX116" s="10" t="s">
        <v>40</v>
      </c>
      <c r="DY116" s="9"/>
      <c r="DZ116" s="9"/>
      <c r="EA116" s="10" t="s">
        <v>40</v>
      </c>
      <c r="EB116" s="7"/>
      <c r="EC116" s="7"/>
      <c r="ED116" s="10" t="s">
        <v>40</v>
      </c>
      <c r="EE116" s="7"/>
      <c r="EF116" s="7"/>
      <c r="EG116" s="10" t="s">
        <v>40</v>
      </c>
      <c r="EH116" s="7"/>
      <c r="EI116" s="7"/>
      <c r="EJ116" s="10" t="s">
        <v>40</v>
      </c>
      <c r="EK116" s="9"/>
      <c r="EL116" s="9"/>
      <c r="EM116" s="10" t="s">
        <v>40</v>
      </c>
      <c r="EN116" s="7"/>
      <c r="EO116" s="7"/>
      <c r="EP116" s="10" t="s">
        <v>40</v>
      </c>
      <c r="EQ116" s="7"/>
      <c r="ER116" s="7"/>
      <c r="ES116" s="10" t="s">
        <v>40</v>
      </c>
      <c r="ET116" s="7"/>
      <c r="EU116" s="7"/>
      <c r="EV116" s="10" t="s">
        <v>40</v>
      </c>
      <c r="EW116" s="9"/>
      <c r="EX116" s="9"/>
      <c r="EY116" s="10" t="s">
        <v>40</v>
      </c>
      <c r="EZ116" s="7"/>
      <c r="FA116" s="7"/>
      <c r="FB116" s="10" t="s">
        <v>40</v>
      </c>
      <c r="FC116" s="7"/>
      <c r="FD116" s="7"/>
      <c r="FE116" s="10" t="s">
        <v>40</v>
      </c>
      <c r="FF116" s="7"/>
      <c r="FG116" s="7"/>
      <c r="FH116" s="10" t="s">
        <v>40</v>
      </c>
      <c r="FI116" s="9"/>
      <c r="FJ116" s="9"/>
      <c r="FK116" s="10" t="s">
        <v>40</v>
      </c>
      <c r="FL116" s="7"/>
      <c r="FM116" s="7"/>
      <c r="FN116" s="10" t="s">
        <v>40</v>
      </c>
      <c r="FO116" s="7"/>
      <c r="FP116" s="7"/>
      <c r="FQ116" s="10" t="s">
        <v>40</v>
      </c>
      <c r="FR116" s="7"/>
      <c r="FS116" s="7"/>
      <c r="FT116" s="10" t="s">
        <v>40</v>
      </c>
      <c r="FU116" s="9"/>
      <c r="FV116" s="9"/>
      <c r="FW116" s="10" t="s">
        <v>40</v>
      </c>
      <c r="FX116" s="7">
        <v>3</v>
      </c>
      <c r="FY116" s="7">
        <v>80</v>
      </c>
      <c r="FZ116" s="10" t="s">
        <v>40</v>
      </c>
      <c r="GA116" s="7"/>
      <c r="GB116" s="7"/>
      <c r="GC116" s="10" t="s">
        <v>40</v>
      </c>
      <c r="GD116" s="7"/>
      <c r="GE116" s="7"/>
      <c r="GF116" s="10" t="s">
        <v>40</v>
      </c>
      <c r="GG116" s="7"/>
      <c r="GH116" s="7"/>
      <c r="GI116" s="10" t="s">
        <v>40</v>
      </c>
      <c r="GJ116" s="7">
        <v>2</v>
      </c>
      <c r="GK116" s="7">
        <v>9</v>
      </c>
      <c r="GL116" s="10" t="s">
        <v>40</v>
      </c>
      <c r="GM116" s="7"/>
      <c r="GN116" s="7"/>
      <c r="GO116" s="10" t="s">
        <v>40</v>
      </c>
      <c r="GP116" s="7"/>
      <c r="GQ116" s="7"/>
      <c r="GR116" s="10" t="s">
        <v>40</v>
      </c>
      <c r="GS116" s="7"/>
      <c r="GT116" s="7"/>
      <c r="GU116" s="6" t="s">
        <v>40</v>
      </c>
      <c r="GV116" s="7">
        <v>3</v>
      </c>
      <c r="GW116" s="7">
        <v>15</v>
      </c>
      <c r="GX116" s="10" t="s">
        <v>40</v>
      </c>
      <c r="GY116" s="7"/>
      <c r="GZ116" s="7"/>
      <c r="HA116" s="10" t="s">
        <v>40</v>
      </c>
      <c r="HB116" s="7"/>
      <c r="HC116" s="7"/>
      <c r="HD116" s="10" t="s">
        <v>40</v>
      </c>
      <c r="HE116" s="7"/>
      <c r="HF116" s="7"/>
      <c r="HG116" s="10" t="s">
        <v>40</v>
      </c>
      <c r="HH116" s="7">
        <v>3</v>
      </c>
      <c r="HI116" s="7">
        <v>100</v>
      </c>
      <c r="HJ116" s="10" t="s">
        <v>40</v>
      </c>
      <c r="HK116" s="7"/>
      <c r="HL116" s="7"/>
      <c r="HM116" s="10" t="s">
        <v>40</v>
      </c>
      <c r="HN116" s="7"/>
      <c r="HO116" s="7"/>
      <c r="HP116" s="10" t="s">
        <v>40</v>
      </c>
      <c r="HQ116" s="7"/>
      <c r="HR116" s="7"/>
      <c r="HS116" s="10" t="s">
        <v>40</v>
      </c>
      <c r="HT116" s="7">
        <v>2</v>
      </c>
      <c r="HU116" s="7">
        <v>75</v>
      </c>
      <c r="HV116" s="10" t="s">
        <v>40</v>
      </c>
      <c r="HW116" s="7"/>
      <c r="HX116" s="7"/>
      <c r="HY116" s="10" t="s">
        <v>40</v>
      </c>
      <c r="HZ116" s="7"/>
      <c r="IA116" s="7"/>
      <c r="IB116" s="10" t="s">
        <v>40</v>
      </c>
      <c r="IC116" s="7"/>
      <c r="ID116" s="7"/>
      <c r="IE116" s="6" t="s">
        <v>40</v>
      </c>
      <c r="IF116" s="7">
        <v>2</v>
      </c>
      <c r="IG116" s="7">
        <v>70</v>
      </c>
      <c r="II116" s="7"/>
      <c r="IJ116" s="7"/>
      <c r="IK116" s="7"/>
      <c r="IL116" s="7"/>
      <c r="IM116" s="7"/>
      <c r="IN116" s="7"/>
      <c r="IP116" s="7"/>
      <c r="IQ116" s="7"/>
      <c r="IR116" s="7"/>
      <c r="IS116" s="7"/>
      <c r="IT116" s="7"/>
      <c r="IU116" s="7"/>
      <c r="IV116" s="7"/>
      <c r="IW116" s="7"/>
      <c r="IX116" s="7"/>
      <c r="IY116" s="7"/>
      <c r="IZ116" s="7"/>
      <c r="JA116" s="7"/>
      <c r="JB116" s="7"/>
      <c r="JC116" s="7"/>
      <c r="JE116" s="7"/>
      <c r="JF116" s="7"/>
      <c r="JH116" s="7"/>
      <c r="JI116" s="7"/>
      <c r="JJ116" s="7"/>
      <c r="JK116" s="7"/>
      <c r="JL116" s="7"/>
      <c r="JM116" s="7"/>
      <c r="JO116" s="7"/>
      <c r="JP116" s="7"/>
      <c r="JQ116" s="7"/>
      <c r="JR116" s="7"/>
      <c r="JT116" s="7"/>
      <c r="JU116" s="7"/>
      <c r="JV116" s="7"/>
      <c r="JW116" s="7"/>
      <c r="JX116" s="7"/>
    </row>
    <row r="117" spans="1:284" x14ac:dyDescent="0.3">
      <c r="A117" t="s">
        <v>282</v>
      </c>
      <c r="B117" s="10" t="s">
        <v>38</v>
      </c>
      <c r="C117" s="7"/>
      <c r="D117" s="7"/>
      <c r="E117" s="10" t="s">
        <v>38</v>
      </c>
      <c r="F117" s="7"/>
      <c r="G117" s="7"/>
      <c r="H117" s="10" t="s">
        <v>38</v>
      </c>
      <c r="I117" s="9"/>
      <c r="J117" s="9"/>
      <c r="K117" s="10" t="s">
        <v>38</v>
      </c>
      <c r="L117" s="7"/>
      <c r="M117" s="7"/>
      <c r="N117" s="10" t="s">
        <v>38</v>
      </c>
      <c r="O117" s="7"/>
      <c r="P117" s="7"/>
      <c r="Q117" s="10" t="s">
        <v>38</v>
      </c>
      <c r="R117" s="7"/>
      <c r="S117" s="7"/>
      <c r="T117" s="10" t="s">
        <v>38</v>
      </c>
      <c r="U117" s="9"/>
      <c r="V117" s="9"/>
      <c r="W117" s="10" t="s">
        <v>38</v>
      </c>
      <c r="X117" s="7"/>
      <c r="Y117" s="7"/>
      <c r="Z117" s="10" t="s">
        <v>38</v>
      </c>
      <c r="AA117" s="7"/>
      <c r="AB117" s="7"/>
      <c r="AC117" s="10" t="s">
        <v>38</v>
      </c>
      <c r="AD117" s="7"/>
      <c r="AE117" s="7"/>
      <c r="AF117" s="10" t="s">
        <v>38</v>
      </c>
      <c r="AG117" s="9"/>
      <c r="AH117" s="9"/>
      <c r="AI117" s="10" t="s">
        <v>38</v>
      </c>
      <c r="AJ117" s="7"/>
      <c r="AK117" s="7"/>
      <c r="AL117" s="10" t="s">
        <v>38</v>
      </c>
      <c r="AM117" s="7"/>
      <c r="AN117" s="7"/>
      <c r="AO117" s="10" t="s">
        <v>38</v>
      </c>
      <c r="AP117" s="7"/>
      <c r="AQ117" s="7"/>
      <c r="AR117" s="10" t="s">
        <v>38</v>
      </c>
      <c r="AS117" s="9"/>
      <c r="AT117" s="9"/>
      <c r="AU117" s="10" t="s">
        <v>38</v>
      </c>
      <c r="AV117" s="7"/>
      <c r="AW117" s="7"/>
      <c r="AX117" s="10" t="s">
        <v>38</v>
      </c>
      <c r="AY117" s="7"/>
      <c r="AZ117" s="7"/>
      <c r="BA117" s="10" t="s">
        <v>38</v>
      </c>
      <c r="BB117" s="7"/>
      <c r="BC117" s="7"/>
      <c r="BD117" s="10" t="s">
        <v>38</v>
      </c>
      <c r="BE117" s="9"/>
      <c r="BF117" s="9"/>
      <c r="BG117" s="10" t="s">
        <v>38</v>
      </c>
      <c r="BH117" s="7"/>
      <c r="BI117" s="7"/>
      <c r="BJ117" s="10" t="s">
        <v>38</v>
      </c>
      <c r="BK117" s="7"/>
      <c r="BL117" s="7"/>
      <c r="BM117" s="10" t="s">
        <v>38</v>
      </c>
      <c r="BN117" s="7"/>
      <c r="BO117" s="7"/>
      <c r="BP117" s="10" t="s">
        <v>38</v>
      </c>
      <c r="BQ117" s="9"/>
      <c r="BR117" s="9"/>
      <c r="BS117" s="10" t="s">
        <v>38</v>
      </c>
      <c r="BT117" s="7"/>
      <c r="BU117" s="7"/>
      <c r="BV117" s="10" t="s">
        <v>38</v>
      </c>
      <c r="BW117" s="7"/>
      <c r="BX117" s="7"/>
      <c r="BY117" s="10" t="s">
        <v>38</v>
      </c>
      <c r="BZ117" s="7"/>
      <c r="CA117" s="7"/>
      <c r="CB117" s="10" t="s">
        <v>38</v>
      </c>
      <c r="CC117" s="9"/>
      <c r="CD117" s="9"/>
      <c r="CE117" s="10" t="s">
        <v>38</v>
      </c>
      <c r="CF117" s="7"/>
      <c r="CG117" s="7"/>
      <c r="CH117" s="10" t="s">
        <v>38</v>
      </c>
      <c r="CI117" s="7"/>
      <c r="CJ117" s="7"/>
      <c r="CK117" s="10" t="s">
        <v>38</v>
      </c>
      <c r="CL117" s="7"/>
      <c r="CM117" s="7"/>
      <c r="CN117" s="10" t="s">
        <v>38</v>
      </c>
      <c r="CO117" s="9"/>
      <c r="CP117" s="9"/>
      <c r="CQ117" s="10" t="s">
        <v>38</v>
      </c>
      <c r="CR117" s="7"/>
      <c r="CS117" s="7"/>
      <c r="CT117" s="10" t="s">
        <v>38</v>
      </c>
      <c r="CU117" s="7"/>
      <c r="CV117" s="7"/>
      <c r="CW117" s="10" t="s">
        <v>38</v>
      </c>
      <c r="CX117" s="7"/>
      <c r="CY117" s="7"/>
      <c r="CZ117" s="10" t="s">
        <v>38</v>
      </c>
      <c r="DA117" s="9"/>
      <c r="DB117" s="9"/>
      <c r="DC117" s="10" t="s">
        <v>38</v>
      </c>
      <c r="DD117" s="7"/>
      <c r="DE117" s="7"/>
      <c r="DF117" s="10" t="s">
        <v>38</v>
      </c>
      <c r="DG117" s="7"/>
      <c r="DH117" s="7"/>
      <c r="DI117" s="10" t="s">
        <v>38</v>
      </c>
      <c r="DJ117" s="7"/>
      <c r="DK117" s="7"/>
      <c r="DL117" s="10" t="s">
        <v>38</v>
      </c>
      <c r="DM117" s="9"/>
      <c r="DN117" s="9"/>
      <c r="DO117" s="10" t="s">
        <v>38</v>
      </c>
      <c r="DP117" s="7"/>
      <c r="DQ117" s="7"/>
      <c r="DR117" s="10" t="s">
        <v>38</v>
      </c>
      <c r="DS117" s="7"/>
      <c r="DT117" s="7"/>
      <c r="DU117" s="10" t="s">
        <v>38</v>
      </c>
      <c r="DV117" s="7"/>
      <c r="DW117" s="7"/>
      <c r="DX117" s="10" t="s">
        <v>38</v>
      </c>
      <c r="DY117" s="9"/>
      <c r="DZ117" s="9"/>
      <c r="EA117" s="10" t="s">
        <v>38</v>
      </c>
      <c r="EB117" s="7"/>
      <c r="EC117" s="7"/>
      <c r="ED117" s="10" t="s">
        <v>38</v>
      </c>
      <c r="EE117" s="7"/>
      <c r="EF117" s="7"/>
      <c r="EG117" s="10" t="s">
        <v>38</v>
      </c>
      <c r="EH117" s="7"/>
      <c r="EI117" s="7"/>
      <c r="EJ117" s="10" t="s">
        <v>38</v>
      </c>
      <c r="EK117" s="9"/>
      <c r="EL117" s="9"/>
      <c r="EM117" s="10" t="s">
        <v>38</v>
      </c>
      <c r="EN117" s="7"/>
      <c r="EO117" s="7"/>
      <c r="EP117" s="10" t="s">
        <v>38</v>
      </c>
      <c r="EQ117" s="7"/>
      <c r="ER117" s="7"/>
      <c r="ES117" s="10" t="s">
        <v>38</v>
      </c>
      <c r="ET117" s="7"/>
      <c r="EU117" s="7"/>
      <c r="EV117" s="10" t="s">
        <v>38</v>
      </c>
      <c r="EW117" s="9"/>
      <c r="EX117" s="9"/>
      <c r="EY117" s="10" t="s">
        <v>38</v>
      </c>
      <c r="EZ117" s="7"/>
      <c r="FA117" s="7"/>
      <c r="FB117" s="10" t="s">
        <v>38</v>
      </c>
      <c r="FC117" s="7"/>
      <c r="FD117" s="7"/>
      <c r="FE117" s="10" t="s">
        <v>38</v>
      </c>
      <c r="FF117" s="7"/>
      <c r="FG117" s="7"/>
      <c r="FH117" s="10" t="s">
        <v>38</v>
      </c>
      <c r="FI117" s="9"/>
      <c r="FJ117" s="9"/>
      <c r="FK117" s="10" t="s">
        <v>38</v>
      </c>
      <c r="FL117" s="7"/>
      <c r="FM117" s="7"/>
      <c r="FN117" s="10" t="s">
        <v>38</v>
      </c>
      <c r="FO117" s="7"/>
      <c r="FP117" s="7"/>
      <c r="FQ117" s="10" t="s">
        <v>38</v>
      </c>
      <c r="FR117" s="7"/>
      <c r="FS117" s="7"/>
      <c r="FT117" s="10" t="s">
        <v>38</v>
      </c>
      <c r="FU117" s="9"/>
      <c r="FV117" s="9"/>
      <c r="FW117" s="10" t="s">
        <v>38</v>
      </c>
      <c r="FX117" s="7"/>
      <c r="FY117" s="7"/>
      <c r="FZ117" s="10" t="s">
        <v>38</v>
      </c>
      <c r="GA117" s="7"/>
      <c r="GB117" s="7"/>
      <c r="GC117" s="10" t="s">
        <v>38</v>
      </c>
      <c r="GD117" s="7"/>
      <c r="GE117" s="7"/>
      <c r="GF117" s="10" t="s">
        <v>38</v>
      </c>
      <c r="GG117" s="7"/>
      <c r="GH117" s="7"/>
      <c r="GI117" s="10" t="s">
        <v>38</v>
      </c>
      <c r="GJ117" s="7"/>
      <c r="GK117" s="7"/>
      <c r="GL117" s="10" t="s">
        <v>38</v>
      </c>
      <c r="GM117" s="7"/>
      <c r="GN117" s="7"/>
      <c r="GO117" s="10" t="s">
        <v>38</v>
      </c>
      <c r="GP117" s="7"/>
      <c r="GQ117" s="7"/>
      <c r="GR117" s="10" t="s">
        <v>38</v>
      </c>
      <c r="GS117" s="7"/>
      <c r="GT117" s="7"/>
      <c r="GU117" s="6" t="s">
        <v>38</v>
      </c>
      <c r="GV117" s="7">
        <v>3</v>
      </c>
      <c r="GW117" s="7">
        <v>10</v>
      </c>
      <c r="GX117" s="10" t="s">
        <v>38</v>
      </c>
      <c r="GY117" s="7"/>
      <c r="GZ117" s="7"/>
      <c r="HA117" s="10" t="s">
        <v>38</v>
      </c>
      <c r="HB117" s="7"/>
      <c r="HC117" s="7"/>
      <c r="HD117" s="10" t="s">
        <v>38</v>
      </c>
      <c r="HE117" s="7"/>
      <c r="HF117" s="7"/>
      <c r="HG117" s="10" t="s">
        <v>38</v>
      </c>
      <c r="HH117" s="7"/>
      <c r="HI117" s="7"/>
      <c r="HJ117" s="10" t="s">
        <v>38</v>
      </c>
      <c r="HK117" s="7"/>
      <c r="HL117" s="7"/>
      <c r="HM117" s="10" t="s">
        <v>38</v>
      </c>
      <c r="HN117" s="7"/>
      <c r="HO117" s="7"/>
      <c r="HP117" s="10" t="s">
        <v>38</v>
      </c>
      <c r="HQ117" s="7"/>
      <c r="HR117" s="7"/>
      <c r="HS117" s="10" t="s">
        <v>38</v>
      </c>
      <c r="HT117" s="7">
        <v>5</v>
      </c>
      <c r="HU117" s="7">
        <v>15</v>
      </c>
      <c r="HV117" s="10" t="s">
        <v>38</v>
      </c>
      <c r="HW117" s="7"/>
      <c r="HX117" s="7"/>
      <c r="HY117" s="10" t="s">
        <v>38</v>
      </c>
      <c r="HZ117" s="7"/>
      <c r="IA117" s="7"/>
      <c r="IB117" s="10" t="s">
        <v>40</v>
      </c>
      <c r="IC117" s="7"/>
      <c r="ID117" s="7"/>
      <c r="IE117" s="6" t="s">
        <v>40</v>
      </c>
      <c r="IF117" s="7">
        <v>7</v>
      </c>
      <c r="IG117" s="7">
        <v>25</v>
      </c>
      <c r="II117" s="7"/>
      <c r="IJ117" s="7"/>
      <c r="IK117" s="7"/>
      <c r="IL117" s="7"/>
      <c r="IM117" s="7"/>
      <c r="IN117" s="7"/>
      <c r="IP117" s="7"/>
      <c r="IQ117" s="7"/>
      <c r="IR117" s="7"/>
      <c r="IS117" s="7"/>
      <c r="IT117" s="7"/>
      <c r="IU117" s="7"/>
      <c r="IV117" s="7"/>
      <c r="IW117" s="7"/>
      <c r="IX117" s="7"/>
      <c r="IY117" s="7"/>
      <c r="IZ117" s="7"/>
      <c r="JA117" s="7"/>
      <c r="JB117" s="7"/>
      <c r="JC117" s="7"/>
      <c r="JE117" s="7"/>
      <c r="JF117" s="7"/>
      <c r="JH117" s="7"/>
      <c r="JI117" s="7"/>
      <c r="JJ117" s="7"/>
      <c r="JK117" s="7"/>
      <c r="JL117" s="7"/>
      <c r="JM117" s="7"/>
      <c r="JO117" s="7"/>
      <c r="JP117" s="7"/>
      <c r="JQ117" s="7"/>
      <c r="JR117" s="7"/>
      <c r="JT117" s="7"/>
      <c r="JU117" s="7"/>
      <c r="JV117" s="7"/>
      <c r="JW117" s="7"/>
      <c r="JX117" s="7"/>
    </row>
    <row r="118" spans="1:284" x14ac:dyDescent="0.3">
      <c r="A118" t="s">
        <v>283</v>
      </c>
      <c r="B118" s="10" t="s">
        <v>38</v>
      </c>
      <c r="C118" s="7"/>
      <c r="D118" s="7"/>
      <c r="E118" s="10" t="s">
        <v>38</v>
      </c>
      <c r="F118" s="7"/>
      <c r="G118" s="7"/>
      <c r="H118" s="10" t="s">
        <v>38</v>
      </c>
      <c r="I118" s="9"/>
      <c r="J118" s="9"/>
      <c r="K118" s="10" t="s">
        <v>38</v>
      </c>
      <c r="L118" s="7"/>
      <c r="M118" s="7"/>
      <c r="N118" s="10" t="s">
        <v>38</v>
      </c>
      <c r="O118" s="7"/>
      <c r="P118" s="7"/>
      <c r="Q118" s="10" t="s">
        <v>38</v>
      </c>
      <c r="R118" s="7"/>
      <c r="S118" s="7"/>
      <c r="T118" s="10" t="s">
        <v>38</v>
      </c>
      <c r="U118" s="9"/>
      <c r="V118" s="9"/>
      <c r="W118" s="10" t="s">
        <v>38</v>
      </c>
      <c r="X118" s="7"/>
      <c r="Y118" s="7"/>
      <c r="Z118" s="10" t="s">
        <v>38</v>
      </c>
      <c r="AA118" s="7"/>
      <c r="AB118" s="7"/>
      <c r="AC118" s="10" t="s">
        <v>38</v>
      </c>
      <c r="AD118" s="7"/>
      <c r="AE118" s="7"/>
      <c r="AF118" s="10" t="s">
        <v>38</v>
      </c>
      <c r="AG118" s="9"/>
      <c r="AH118" s="9"/>
      <c r="AI118" s="10" t="s">
        <v>38</v>
      </c>
      <c r="AJ118" s="7"/>
      <c r="AK118" s="7"/>
      <c r="AL118" s="10" t="s">
        <v>38</v>
      </c>
      <c r="AM118" s="7"/>
      <c r="AN118" s="7"/>
      <c r="AO118" s="10" t="s">
        <v>38</v>
      </c>
      <c r="AP118" s="7"/>
      <c r="AQ118" s="7"/>
      <c r="AR118" s="10" t="s">
        <v>38</v>
      </c>
      <c r="AS118" s="9"/>
      <c r="AT118" s="9"/>
      <c r="AU118" s="10" t="s">
        <v>38</v>
      </c>
      <c r="AV118" s="7"/>
      <c r="AW118" s="7"/>
      <c r="AX118" s="10" t="s">
        <v>38</v>
      </c>
      <c r="AY118" s="7"/>
      <c r="AZ118" s="7"/>
      <c r="BA118" s="10" t="s">
        <v>38</v>
      </c>
      <c r="BB118" s="7"/>
      <c r="BC118" s="7"/>
      <c r="BD118" s="10" t="s">
        <v>38</v>
      </c>
      <c r="BE118" s="9"/>
      <c r="BF118" s="9"/>
      <c r="BG118" s="10" t="s">
        <v>38</v>
      </c>
      <c r="BH118" s="7"/>
      <c r="BI118" s="7"/>
      <c r="BJ118" s="10" t="s">
        <v>38</v>
      </c>
      <c r="BK118" s="7"/>
      <c r="BL118" s="7"/>
      <c r="BM118" s="10" t="s">
        <v>38</v>
      </c>
      <c r="BN118" s="7"/>
      <c r="BO118" s="7"/>
      <c r="BP118" s="10" t="s">
        <v>38</v>
      </c>
      <c r="BQ118" s="9"/>
      <c r="BR118" s="9"/>
      <c r="BS118" s="10" t="s">
        <v>38</v>
      </c>
      <c r="BT118" s="7"/>
      <c r="BU118" s="7"/>
      <c r="BV118" s="10" t="s">
        <v>38</v>
      </c>
      <c r="BW118" s="7"/>
      <c r="BX118" s="7"/>
      <c r="BY118" s="10" t="s">
        <v>38</v>
      </c>
      <c r="BZ118" s="7"/>
      <c r="CA118" s="7"/>
      <c r="CB118" s="10" t="s">
        <v>38</v>
      </c>
      <c r="CC118" s="9"/>
      <c r="CD118" s="9"/>
      <c r="CE118" s="10" t="s">
        <v>38</v>
      </c>
      <c r="CF118" s="7"/>
      <c r="CG118" s="7"/>
      <c r="CH118" s="10" t="s">
        <v>38</v>
      </c>
      <c r="CI118" s="7"/>
      <c r="CJ118" s="7"/>
      <c r="CK118" s="10" t="s">
        <v>38</v>
      </c>
      <c r="CL118" s="7"/>
      <c r="CM118" s="7"/>
      <c r="CN118" s="10" t="s">
        <v>38</v>
      </c>
      <c r="CO118" s="9"/>
      <c r="CP118" s="9"/>
      <c r="CQ118" s="10" t="s">
        <v>38</v>
      </c>
      <c r="CR118" s="7"/>
      <c r="CS118" s="7"/>
      <c r="CT118" s="10" t="s">
        <v>38</v>
      </c>
      <c r="CU118" s="7"/>
      <c r="CV118" s="7"/>
      <c r="CW118" s="10" t="s">
        <v>38</v>
      </c>
      <c r="CX118" s="7"/>
      <c r="CY118" s="7"/>
      <c r="CZ118" s="10" t="s">
        <v>38</v>
      </c>
      <c r="DA118" s="9"/>
      <c r="DB118" s="9"/>
      <c r="DC118" s="10" t="s">
        <v>38</v>
      </c>
      <c r="DD118" s="7"/>
      <c r="DE118" s="7"/>
      <c r="DF118" s="10" t="s">
        <v>38</v>
      </c>
      <c r="DG118" s="7"/>
      <c r="DH118" s="7"/>
      <c r="DI118" s="10" t="s">
        <v>38</v>
      </c>
      <c r="DJ118" s="7"/>
      <c r="DK118" s="7"/>
      <c r="DL118" s="10" t="s">
        <v>38</v>
      </c>
      <c r="DM118" s="9"/>
      <c r="DN118" s="9"/>
      <c r="DO118" s="10" t="s">
        <v>38</v>
      </c>
      <c r="DP118" s="7"/>
      <c r="DQ118" s="7"/>
      <c r="DR118" s="10" t="s">
        <v>38</v>
      </c>
      <c r="DS118" s="7"/>
      <c r="DT118" s="7"/>
      <c r="DU118" s="10" t="s">
        <v>38</v>
      </c>
      <c r="DV118" s="7"/>
      <c r="DW118" s="7"/>
      <c r="DX118" s="10" t="s">
        <v>38</v>
      </c>
      <c r="DY118" s="9"/>
      <c r="DZ118" s="9"/>
      <c r="EA118" s="10" t="s">
        <v>38</v>
      </c>
      <c r="EB118" s="7"/>
      <c r="EC118" s="7"/>
      <c r="ED118" s="10" t="s">
        <v>38</v>
      </c>
      <c r="EE118" s="7"/>
      <c r="EF118" s="7"/>
      <c r="EG118" s="10" t="s">
        <v>38</v>
      </c>
      <c r="EH118" s="7"/>
      <c r="EI118" s="7"/>
      <c r="EJ118" s="10" t="s">
        <v>38</v>
      </c>
      <c r="EK118" s="9"/>
      <c r="EL118" s="9"/>
      <c r="EM118" s="10" t="s">
        <v>38</v>
      </c>
      <c r="EN118" s="7"/>
      <c r="EO118" s="7"/>
      <c r="EP118" s="10" t="s">
        <v>38</v>
      </c>
      <c r="EQ118" s="7"/>
      <c r="ER118" s="7"/>
      <c r="ES118" s="10" t="s">
        <v>38</v>
      </c>
      <c r="ET118" s="7"/>
      <c r="EU118" s="7"/>
      <c r="EV118" s="10" t="s">
        <v>38</v>
      </c>
      <c r="EW118" s="9"/>
      <c r="EX118" s="9"/>
      <c r="EY118" s="10" t="s">
        <v>38</v>
      </c>
      <c r="EZ118" s="7"/>
      <c r="FA118" s="7"/>
      <c r="FB118" s="10" t="s">
        <v>38</v>
      </c>
      <c r="FC118" s="7"/>
      <c r="FD118" s="7"/>
      <c r="FE118" s="10" t="s">
        <v>38</v>
      </c>
      <c r="FF118" s="7"/>
      <c r="FG118" s="7"/>
      <c r="FH118" s="10" t="s">
        <v>38</v>
      </c>
      <c r="FI118" s="9"/>
      <c r="FJ118" s="9"/>
      <c r="FK118" s="10" t="s">
        <v>38</v>
      </c>
      <c r="FL118" s="7"/>
      <c r="FM118" s="7"/>
      <c r="FN118" s="10" t="s">
        <v>38</v>
      </c>
      <c r="FO118" s="7"/>
      <c r="FP118" s="7"/>
      <c r="FQ118" s="10" t="s">
        <v>38</v>
      </c>
      <c r="FR118" s="7"/>
      <c r="FS118" s="7"/>
      <c r="FT118" s="10" t="s">
        <v>38</v>
      </c>
      <c r="FU118" s="9">
        <v>2500</v>
      </c>
      <c r="FV118" s="9">
        <v>3000</v>
      </c>
      <c r="FW118" s="10" t="s">
        <v>38</v>
      </c>
      <c r="FX118" s="7"/>
      <c r="FY118" s="7"/>
      <c r="FZ118" s="10" t="s">
        <v>38</v>
      </c>
      <c r="GA118" s="7"/>
      <c r="GB118" s="7"/>
      <c r="GC118" s="10" t="s">
        <v>38</v>
      </c>
      <c r="GD118" s="7"/>
      <c r="GE118" s="7"/>
      <c r="GF118" s="10" t="s">
        <v>38</v>
      </c>
      <c r="GG118" s="7">
        <v>900</v>
      </c>
      <c r="GH118" s="7">
        <v>4000</v>
      </c>
      <c r="GI118" s="10" t="s">
        <v>38</v>
      </c>
      <c r="GJ118" s="7"/>
      <c r="GK118" s="7"/>
      <c r="GL118" s="10" t="s">
        <v>38</v>
      </c>
      <c r="GM118" s="7"/>
      <c r="GN118" s="7"/>
      <c r="GO118" s="6" t="s">
        <v>38</v>
      </c>
      <c r="GP118" s="7"/>
      <c r="GQ118" s="7"/>
      <c r="GR118" s="6" t="s">
        <v>38</v>
      </c>
      <c r="GS118" s="7">
        <v>480</v>
      </c>
      <c r="GT118" s="7">
        <v>2300</v>
      </c>
      <c r="GU118" s="10"/>
      <c r="GV118" s="7"/>
      <c r="GW118" s="7"/>
      <c r="GX118" s="10" t="s">
        <v>38</v>
      </c>
      <c r="GY118" s="7"/>
      <c r="GZ118" s="7"/>
      <c r="HA118" s="10" t="s">
        <v>38</v>
      </c>
      <c r="HB118" s="7"/>
      <c r="HC118" s="7"/>
      <c r="HD118" s="10" t="s">
        <v>38</v>
      </c>
      <c r="HE118" s="7">
        <v>800</v>
      </c>
      <c r="HF118" s="7">
        <v>2000</v>
      </c>
      <c r="HG118" s="10" t="s">
        <v>38</v>
      </c>
      <c r="HH118" s="7"/>
      <c r="HI118" s="7"/>
      <c r="HJ118" s="10" t="s">
        <v>38</v>
      </c>
      <c r="HK118" s="7"/>
      <c r="HL118" s="7"/>
      <c r="HM118" s="10" t="s">
        <v>38</v>
      </c>
      <c r="HN118" s="7"/>
      <c r="HO118" s="7"/>
      <c r="HP118" s="10" t="s">
        <v>38</v>
      </c>
      <c r="HQ118" s="7">
        <v>700</v>
      </c>
      <c r="HR118" s="7">
        <v>2000</v>
      </c>
      <c r="HS118" s="10" t="s">
        <v>38</v>
      </c>
      <c r="HT118" s="7"/>
      <c r="HU118" s="7"/>
      <c r="HV118" s="10" t="s">
        <v>38</v>
      </c>
      <c r="HW118" s="7"/>
      <c r="HX118" s="7"/>
      <c r="HY118" s="6" t="s">
        <v>38</v>
      </c>
      <c r="HZ118" s="7"/>
      <c r="IA118" s="7"/>
      <c r="IB118" s="6" t="s">
        <v>38</v>
      </c>
      <c r="IC118" s="7">
        <v>41</v>
      </c>
      <c r="ID118" s="7">
        <v>680</v>
      </c>
      <c r="IE118" s="10"/>
      <c r="IF118" s="7"/>
      <c r="IG118" s="7"/>
      <c r="II118" s="7"/>
      <c r="IJ118" s="7"/>
      <c r="IK118" s="7"/>
      <c r="IL118" s="7"/>
      <c r="IM118" s="7"/>
      <c r="IN118" s="7"/>
      <c r="IP118" s="7"/>
      <c r="IQ118" s="7"/>
      <c r="IR118" s="7"/>
      <c r="IS118" s="7"/>
      <c r="IT118" s="7"/>
      <c r="IU118" s="7"/>
      <c r="IV118" s="7"/>
      <c r="IW118" s="7"/>
      <c r="IX118" s="7"/>
      <c r="IY118" s="7"/>
      <c r="IZ118" s="7"/>
      <c r="JA118" s="7"/>
      <c r="JB118" s="7"/>
      <c r="JC118" s="7"/>
      <c r="JE118" s="7"/>
      <c r="JF118" s="7"/>
      <c r="JH118" s="7"/>
      <c r="JI118" s="7"/>
      <c r="JJ118" s="7"/>
      <c r="JK118" s="7"/>
      <c r="JL118" s="7"/>
      <c r="JM118" s="7"/>
      <c r="JO118" s="7"/>
      <c r="JP118" s="7"/>
      <c r="JQ118" s="7"/>
      <c r="JR118" s="7"/>
      <c r="JT118" s="7"/>
      <c r="JU118" s="7"/>
      <c r="JV118" s="7"/>
      <c r="JW118" s="7"/>
      <c r="JX118" s="7"/>
    </row>
    <row r="119" spans="1:284" x14ac:dyDescent="0.3">
      <c r="A119" t="s">
        <v>284</v>
      </c>
      <c r="B119" s="10" t="s">
        <v>18</v>
      </c>
      <c r="C119" s="7"/>
      <c r="D119" s="7"/>
      <c r="E119" s="10" t="s">
        <v>18</v>
      </c>
      <c r="F119" s="7"/>
      <c r="G119" s="7"/>
      <c r="H119" s="10" t="s">
        <v>18</v>
      </c>
      <c r="I119" s="9"/>
      <c r="J119" s="9"/>
      <c r="K119" s="10" t="s">
        <v>18</v>
      </c>
      <c r="L119" s="7"/>
      <c r="M119" s="7"/>
      <c r="N119" s="10" t="s">
        <v>18</v>
      </c>
      <c r="O119" s="7"/>
      <c r="P119" s="7"/>
      <c r="Q119" s="10" t="s">
        <v>18</v>
      </c>
      <c r="R119" s="7"/>
      <c r="S119" s="7"/>
      <c r="T119" s="10" t="s">
        <v>18</v>
      </c>
      <c r="U119" s="9"/>
      <c r="V119" s="9"/>
      <c r="W119" s="10" t="s">
        <v>18</v>
      </c>
      <c r="X119" s="7"/>
      <c r="Y119" s="7"/>
      <c r="Z119" s="10" t="s">
        <v>18</v>
      </c>
      <c r="AA119" s="7"/>
      <c r="AB119" s="7"/>
      <c r="AC119" s="10" t="s">
        <v>18</v>
      </c>
      <c r="AD119" s="7"/>
      <c r="AE119" s="7"/>
      <c r="AF119" s="10" t="s">
        <v>18</v>
      </c>
      <c r="AG119" s="9"/>
      <c r="AH119" s="9"/>
      <c r="AI119" s="10" t="s">
        <v>18</v>
      </c>
      <c r="AJ119" s="7"/>
      <c r="AK119" s="7"/>
      <c r="AL119" s="10" t="s">
        <v>18</v>
      </c>
      <c r="AM119" s="7"/>
      <c r="AN119" s="7"/>
      <c r="AO119" s="10" t="s">
        <v>18</v>
      </c>
      <c r="AP119" s="7"/>
      <c r="AQ119" s="7"/>
      <c r="AR119" s="10" t="s">
        <v>18</v>
      </c>
      <c r="AS119" s="9"/>
      <c r="AT119" s="9"/>
      <c r="AU119" s="10" t="s">
        <v>18</v>
      </c>
      <c r="AV119" s="7"/>
      <c r="AW119" s="7"/>
      <c r="AX119" s="10" t="s">
        <v>18</v>
      </c>
      <c r="AY119" s="7"/>
      <c r="AZ119" s="7"/>
      <c r="BA119" s="10" t="s">
        <v>18</v>
      </c>
      <c r="BB119" s="7"/>
      <c r="BC119" s="7"/>
      <c r="BD119" s="10" t="s">
        <v>18</v>
      </c>
      <c r="BE119" s="9"/>
      <c r="BF119" s="9"/>
      <c r="BG119" s="10" t="s">
        <v>18</v>
      </c>
      <c r="BH119" s="7"/>
      <c r="BI119" s="7"/>
      <c r="BJ119" s="10" t="s">
        <v>18</v>
      </c>
      <c r="BK119" s="7"/>
      <c r="BL119" s="7"/>
      <c r="BM119" s="10" t="s">
        <v>18</v>
      </c>
      <c r="BN119" s="7"/>
      <c r="BO119" s="7"/>
      <c r="BP119" s="10" t="s">
        <v>18</v>
      </c>
      <c r="BQ119" s="9"/>
      <c r="BR119" s="9"/>
      <c r="BS119" s="10" t="s">
        <v>18</v>
      </c>
      <c r="BT119" s="7"/>
      <c r="BU119" s="7"/>
      <c r="BV119" s="10" t="s">
        <v>18</v>
      </c>
      <c r="BW119" s="7"/>
      <c r="BX119" s="7"/>
      <c r="BY119" s="10" t="s">
        <v>18</v>
      </c>
      <c r="BZ119" s="7"/>
      <c r="CA119" s="7"/>
      <c r="CB119" s="10" t="s">
        <v>18</v>
      </c>
      <c r="CC119" s="9"/>
      <c r="CD119" s="9"/>
      <c r="CE119" s="10" t="s">
        <v>18</v>
      </c>
      <c r="CF119" s="7"/>
      <c r="CG119" s="7"/>
      <c r="CH119" s="10" t="s">
        <v>18</v>
      </c>
      <c r="CI119" s="7"/>
      <c r="CJ119" s="7"/>
      <c r="CK119" s="10" t="s">
        <v>18</v>
      </c>
      <c r="CL119" s="7"/>
      <c r="CM119" s="7"/>
      <c r="CN119" s="10" t="s">
        <v>18</v>
      </c>
      <c r="CO119" s="9"/>
      <c r="CP119" s="9"/>
      <c r="CQ119" s="10" t="s">
        <v>18</v>
      </c>
      <c r="CR119" s="7"/>
      <c r="CS119" s="7"/>
      <c r="CT119" s="10" t="s">
        <v>18</v>
      </c>
      <c r="CU119" s="7"/>
      <c r="CV119" s="7"/>
      <c r="CW119" s="10" t="s">
        <v>18</v>
      </c>
      <c r="CX119" s="7"/>
      <c r="CY119" s="7"/>
      <c r="CZ119" s="10" t="s">
        <v>18</v>
      </c>
      <c r="DA119" s="9"/>
      <c r="DB119" s="9"/>
      <c r="DC119" s="10" t="s">
        <v>18</v>
      </c>
      <c r="DD119" s="7"/>
      <c r="DE119" s="7"/>
      <c r="DF119" s="10" t="s">
        <v>18</v>
      </c>
      <c r="DG119" s="7"/>
      <c r="DH119" s="7"/>
      <c r="DI119" s="10" t="s">
        <v>18</v>
      </c>
      <c r="DJ119" s="7"/>
      <c r="DK119" s="7"/>
      <c r="DL119" s="10" t="s">
        <v>18</v>
      </c>
      <c r="DM119" s="9"/>
      <c r="DN119" s="9"/>
      <c r="DO119" s="10" t="s">
        <v>18</v>
      </c>
      <c r="DP119" s="7"/>
      <c r="DQ119" s="7"/>
      <c r="DR119" s="10" t="s">
        <v>18</v>
      </c>
      <c r="DS119" s="7"/>
      <c r="DT119" s="7"/>
      <c r="DU119" s="10" t="s">
        <v>18</v>
      </c>
      <c r="DV119" s="7"/>
      <c r="DW119" s="7"/>
      <c r="DX119" s="10" t="s">
        <v>18</v>
      </c>
      <c r="DY119" s="9"/>
      <c r="DZ119" s="9"/>
      <c r="EA119" s="10" t="s">
        <v>18</v>
      </c>
      <c r="EB119" s="7"/>
      <c r="EC119" s="7"/>
      <c r="ED119" s="10" t="s">
        <v>18</v>
      </c>
      <c r="EE119" s="7"/>
      <c r="EF119" s="7"/>
      <c r="EG119" s="10" t="s">
        <v>18</v>
      </c>
      <c r="EH119" s="7"/>
      <c r="EI119" s="7"/>
      <c r="EJ119" s="10" t="s">
        <v>18</v>
      </c>
      <c r="EK119" s="9"/>
      <c r="EL119" s="9"/>
      <c r="EM119" s="10" t="s">
        <v>18</v>
      </c>
      <c r="EN119" s="7"/>
      <c r="EO119" s="7"/>
      <c r="EP119" s="10" t="s">
        <v>18</v>
      </c>
      <c r="EQ119" s="7"/>
      <c r="ER119" s="7"/>
      <c r="ES119" s="10" t="s">
        <v>18</v>
      </c>
      <c r="ET119" s="7"/>
      <c r="EU119" s="7"/>
      <c r="EV119" s="10" t="s">
        <v>18</v>
      </c>
      <c r="EW119" s="9"/>
      <c r="EX119" s="9"/>
      <c r="EY119" s="10" t="s">
        <v>18</v>
      </c>
      <c r="EZ119" s="7"/>
      <c r="FA119" s="7"/>
      <c r="FB119" s="10" t="s">
        <v>18</v>
      </c>
      <c r="FC119" s="7"/>
      <c r="FD119" s="7"/>
      <c r="FE119" s="10" t="s">
        <v>18</v>
      </c>
      <c r="FF119" s="7"/>
      <c r="FG119" s="7"/>
      <c r="FH119" s="10" t="s">
        <v>18</v>
      </c>
      <c r="FI119" s="9"/>
      <c r="FJ119" s="9"/>
      <c r="FK119" s="10" t="s">
        <v>18</v>
      </c>
      <c r="FL119" s="7"/>
      <c r="FM119" s="7"/>
      <c r="FN119" s="10" t="s">
        <v>18</v>
      </c>
      <c r="FO119" s="7"/>
      <c r="FP119" s="7"/>
      <c r="FQ119" s="10" t="s">
        <v>18</v>
      </c>
      <c r="FR119" s="7"/>
      <c r="FS119" s="7"/>
      <c r="FT119" s="10" t="s">
        <v>18</v>
      </c>
      <c r="FU119" s="9">
        <v>7000</v>
      </c>
      <c r="FV119" s="9">
        <v>1300</v>
      </c>
      <c r="FW119" s="10" t="s">
        <v>18</v>
      </c>
      <c r="FX119" s="7"/>
      <c r="FY119" s="7"/>
      <c r="FZ119" s="10" t="s">
        <v>18</v>
      </c>
      <c r="GA119" s="7"/>
      <c r="GB119" s="7"/>
      <c r="GC119" s="10" t="s">
        <v>18</v>
      </c>
      <c r="GD119" s="7"/>
      <c r="GE119" s="7"/>
      <c r="GF119" s="10" t="s">
        <v>18</v>
      </c>
      <c r="GG119" s="7">
        <v>6000</v>
      </c>
      <c r="GH119" s="7">
        <v>1200</v>
      </c>
      <c r="GI119" s="10" t="s">
        <v>18</v>
      </c>
      <c r="GJ119" s="7"/>
      <c r="GK119" s="7"/>
      <c r="GL119" s="10" t="s">
        <v>18</v>
      </c>
      <c r="GM119" s="7"/>
      <c r="GN119" s="7"/>
      <c r="GO119" s="6" t="s">
        <v>18</v>
      </c>
      <c r="GP119" s="7"/>
      <c r="GQ119" s="7"/>
      <c r="GR119" s="6" t="s">
        <v>18</v>
      </c>
      <c r="GS119" s="7">
        <v>1290</v>
      </c>
      <c r="GT119" s="7">
        <v>2800</v>
      </c>
      <c r="GU119" s="10"/>
      <c r="GV119" s="7"/>
      <c r="GW119" s="7"/>
      <c r="GX119" s="10" t="s">
        <v>18</v>
      </c>
      <c r="GY119" s="7"/>
      <c r="GZ119" s="7"/>
      <c r="HA119" s="10" t="s">
        <v>18</v>
      </c>
      <c r="HB119" s="7"/>
      <c r="HC119" s="7"/>
      <c r="HD119" s="10" t="s">
        <v>18</v>
      </c>
      <c r="HE119" s="7">
        <v>2500</v>
      </c>
      <c r="HF119" s="7">
        <v>500</v>
      </c>
      <c r="HG119" s="10" t="s">
        <v>18</v>
      </c>
      <c r="HH119" s="7"/>
      <c r="HI119" s="7"/>
      <c r="HJ119" s="10" t="s">
        <v>18</v>
      </c>
      <c r="HK119" s="7"/>
      <c r="HL119" s="7"/>
      <c r="HM119" s="10" t="s">
        <v>18</v>
      </c>
      <c r="HN119" s="7"/>
      <c r="HO119" s="7"/>
      <c r="HP119" s="10" t="s">
        <v>18</v>
      </c>
      <c r="HQ119" s="7">
        <v>2000</v>
      </c>
      <c r="HR119" s="7">
        <v>400</v>
      </c>
      <c r="HS119" s="10" t="s">
        <v>18</v>
      </c>
      <c r="HT119" s="7"/>
      <c r="HU119" s="7"/>
      <c r="HV119" s="10" t="s">
        <v>18</v>
      </c>
      <c r="HW119" s="7"/>
      <c r="HX119" s="7"/>
      <c r="HY119" s="6" t="s">
        <v>18</v>
      </c>
      <c r="HZ119" s="7"/>
      <c r="IA119" s="7"/>
      <c r="IB119" s="6" t="s">
        <v>18</v>
      </c>
      <c r="IC119" s="7">
        <v>2030</v>
      </c>
      <c r="ID119" s="7">
        <v>1560</v>
      </c>
      <c r="IE119" s="10"/>
      <c r="IF119" s="7"/>
      <c r="IG119" s="7"/>
      <c r="II119" s="7"/>
      <c r="IJ119" s="7"/>
      <c r="IK119" s="7"/>
      <c r="IL119" s="7"/>
      <c r="IM119" s="7"/>
      <c r="IN119" s="7"/>
      <c r="IP119" s="7"/>
      <c r="IQ119" s="7"/>
      <c r="IR119" s="7"/>
      <c r="IS119" s="7"/>
      <c r="IT119" s="7"/>
      <c r="IU119" s="7"/>
      <c r="IV119" s="7"/>
      <c r="IW119" s="7"/>
      <c r="IX119" s="7"/>
      <c r="IY119" s="7"/>
      <c r="IZ119" s="7"/>
      <c r="JA119" s="7"/>
      <c r="JB119" s="7"/>
      <c r="JC119" s="7"/>
      <c r="JE119" s="7"/>
      <c r="JF119" s="7"/>
      <c r="JH119" s="7"/>
      <c r="JI119" s="7"/>
      <c r="JJ119" s="7"/>
      <c r="JK119" s="7"/>
      <c r="JL119" s="7"/>
      <c r="JM119" s="7"/>
      <c r="JO119" s="7"/>
      <c r="JP119" s="7"/>
      <c r="JQ119" s="7"/>
      <c r="JR119" s="7"/>
      <c r="JT119" s="7"/>
      <c r="JU119" s="7"/>
      <c r="JV119" s="7"/>
      <c r="JW119" s="7"/>
      <c r="JX119" s="7"/>
    </row>
    <row r="120" spans="1:284" x14ac:dyDescent="0.3">
      <c r="A120" t="s">
        <v>285</v>
      </c>
      <c r="B120" s="10" t="s">
        <v>38</v>
      </c>
      <c r="C120" s="7"/>
      <c r="D120" s="7"/>
      <c r="E120" s="10" t="s">
        <v>38</v>
      </c>
      <c r="F120" s="7"/>
      <c r="G120" s="7"/>
      <c r="H120" s="10" t="s">
        <v>38</v>
      </c>
      <c r="I120" s="9"/>
      <c r="J120" s="9"/>
      <c r="K120" s="10" t="s">
        <v>38</v>
      </c>
      <c r="L120" s="7"/>
      <c r="M120" s="7"/>
      <c r="N120" s="10" t="s">
        <v>38</v>
      </c>
      <c r="O120" s="7"/>
      <c r="P120" s="7"/>
      <c r="Q120" s="10" t="s">
        <v>38</v>
      </c>
      <c r="R120" s="7"/>
      <c r="S120" s="7"/>
      <c r="T120" s="10" t="s">
        <v>38</v>
      </c>
      <c r="U120" s="9"/>
      <c r="V120" s="9"/>
      <c r="W120" s="10" t="s">
        <v>38</v>
      </c>
      <c r="X120" s="7"/>
      <c r="Y120" s="7"/>
      <c r="Z120" s="10" t="s">
        <v>38</v>
      </c>
      <c r="AA120" s="7"/>
      <c r="AB120" s="7"/>
      <c r="AC120" s="10" t="s">
        <v>38</v>
      </c>
      <c r="AD120" s="7"/>
      <c r="AE120" s="7"/>
      <c r="AF120" s="10" t="s">
        <v>38</v>
      </c>
      <c r="AG120" s="9"/>
      <c r="AH120" s="9"/>
      <c r="AI120" s="10" t="s">
        <v>38</v>
      </c>
      <c r="AJ120" s="7"/>
      <c r="AK120" s="7"/>
      <c r="AL120" s="10" t="s">
        <v>38</v>
      </c>
      <c r="AM120" s="7"/>
      <c r="AN120" s="7"/>
      <c r="AO120" s="10" t="s">
        <v>38</v>
      </c>
      <c r="AP120" s="7"/>
      <c r="AQ120" s="7"/>
      <c r="AR120" s="10" t="s">
        <v>38</v>
      </c>
      <c r="AS120" s="9"/>
      <c r="AT120" s="9"/>
      <c r="AU120" s="10" t="s">
        <v>38</v>
      </c>
      <c r="AV120" s="7"/>
      <c r="AW120" s="7"/>
      <c r="AX120" s="10" t="s">
        <v>38</v>
      </c>
      <c r="AY120" s="7"/>
      <c r="AZ120" s="7"/>
      <c r="BA120" s="10" t="s">
        <v>38</v>
      </c>
      <c r="BB120" s="7"/>
      <c r="BC120" s="7"/>
      <c r="BD120" s="10" t="s">
        <v>38</v>
      </c>
      <c r="BE120" s="9"/>
      <c r="BF120" s="9"/>
      <c r="BG120" s="10" t="s">
        <v>38</v>
      </c>
      <c r="BH120" s="7"/>
      <c r="BI120" s="7"/>
      <c r="BJ120" s="10" t="s">
        <v>38</v>
      </c>
      <c r="BK120" s="7"/>
      <c r="BL120" s="7"/>
      <c r="BM120" s="10" t="s">
        <v>38</v>
      </c>
      <c r="BN120" s="7"/>
      <c r="BO120" s="7"/>
      <c r="BP120" s="10" t="s">
        <v>38</v>
      </c>
      <c r="BQ120" s="9"/>
      <c r="BR120" s="9"/>
      <c r="BS120" s="10" t="s">
        <v>38</v>
      </c>
      <c r="BT120" s="7"/>
      <c r="BU120" s="7"/>
      <c r="BV120" s="10" t="s">
        <v>38</v>
      </c>
      <c r="BW120" s="7"/>
      <c r="BX120" s="7"/>
      <c r="BY120" s="10" t="s">
        <v>38</v>
      </c>
      <c r="BZ120" s="7"/>
      <c r="CA120" s="7"/>
      <c r="CB120" s="10" t="s">
        <v>38</v>
      </c>
      <c r="CC120" s="9"/>
      <c r="CD120" s="9"/>
      <c r="CE120" s="10" t="s">
        <v>38</v>
      </c>
      <c r="CF120" s="7"/>
      <c r="CG120" s="7"/>
      <c r="CH120" s="10" t="s">
        <v>38</v>
      </c>
      <c r="CI120" s="7"/>
      <c r="CJ120" s="7"/>
      <c r="CK120" s="10" t="s">
        <v>38</v>
      </c>
      <c r="CL120" s="7"/>
      <c r="CM120" s="7"/>
      <c r="CN120" s="10" t="s">
        <v>38</v>
      </c>
      <c r="CO120" s="9"/>
      <c r="CP120" s="9"/>
      <c r="CQ120" s="10" t="s">
        <v>38</v>
      </c>
      <c r="CR120" s="7"/>
      <c r="CS120" s="7"/>
      <c r="CT120" s="10" t="s">
        <v>38</v>
      </c>
      <c r="CU120" s="7"/>
      <c r="CV120" s="7"/>
      <c r="CW120" s="10" t="s">
        <v>38</v>
      </c>
      <c r="CX120" s="7"/>
      <c r="CY120" s="7"/>
      <c r="CZ120" s="10" t="s">
        <v>38</v>
      </c>
      <c r="DA120" s="9"/>
      <c r="DB120" s="9"/>
      <c r="DC120" s="10" t="s">
        <v>38</v>
      </c>
      <c r="DD120" s="7"/>
      <c r="DE120" s="7"/>
      <c r="DF120" s="10" t="s">
        <v>38</v>
      </c>
      <c r="DG120" s="7"/>
      <c r="DH120" s="7"/>
      <c r="DI120" s="10" t="s">
        <v>38</v>
      </c>
      <c r="DJ120" s="7"/>
      <c r="DK120" s="7"/>
      <c r="DL120" s="10" t="s">
        <v>38</v>
      </c>
      <c r="DM120" s="9"/>
      <c r="DN120" s="9"/>
      <c r="DO120" s="10" t="s">
        <v>38</v>
      </c>
      <c r="DP120" s="7"/>
      <c r="DQ120" s="7"/>
      <c r="DR120" s="10" t="s">
        <v>38</v>
      </c>
      <c r="DS120" s="7"/>
      <c r="DT120" s="7"/>
      <c r="DU120" s="10" t="s">
        <v>38</v>
      </c>
      <c r="DV120" s="7"/>
      <c r="DW120" s="7"/>
      <c r="DX120" s="10" t="s">
        <v>38</v>
      </c>
      <c r="DY120" s="9"/>
      <c r="DZ120" s="9"/>
      <c r="EA120" s="10" t="s">
        <v>38</v>
      </c>
      <c r="EB120" s="7"/>
      <c r="EC120" s="7"/>
      <c r="ED120" s="10" t="s">
        <v>38</v>
      </c>
      <c r="EE120" s="7"/>
      <c r="EF120" s="7"/>
      <c r="EG120" s="10" t="s">
        <v>38</v>
      </c>
      <c r="EH120" s="7"/>
      <c r="EI120" s="7"/>
      <c r="EJ120" s="10" t="s">
        <v>38</v>
      </c>
      <c r="EK120" s="9"/>
      <c r="EL120" s="9"/>
      <c r="EM120" s="10" t="s">
        <v>38</v>
      </c>
      <c r="EN120" s="7"/>
      <c r="EO120" s="7"/>
      <c r="EP120" s="10" t="s">
        <v>38</v>
      </c>
      <c r="EQ120" s="7"/>
      <c r="ER120" s="7"/>
      <c r="ES120" s="10" t="s">
        <v>38</v>
      </c>
      <c r="ET120" s="7"/>
      <c r="EU120" s="7"/>
      <c r="EV120" s="10" t="s">
        <v>38</v>
      </c>
      <c r="EW120" s="9"/>
      <c r="EX120" s="9"/>
      <c r="EY120" s="10" t="s">
        <v>38</v>
      </c>
      <c r="EZ120" s="7"/>
      <c r="FA120" s="7"/>
      <c r="FB120" s="10" t="s">
        <v>38</v>
      </c>
      <c r="FC120" s="7"/>
      <c r="FD120" s="7"/>
      <c r="FE120" s="10" t="s">
        <v>38</v>
      </c>
      <c r="FF120" s="7"/>
      <c r="FG120" s="7"/>
      <c r="FH120" s="10" t="s">
        <v>38</v>
      </c>
      <c r="FI120" s="9"/>
      <c r="FJ120" s="9"/>
      <c r="FK120" s="10" t="s">
        <v>38</v>
      </c>
      <c r="FL120" s="7"/>
      <c r="FM120" s="7"/>
      <c r="FN120" s="10" t="s">
        <v>38</v>
      </c>
      <c r="FO120" s="7"/>
      <c r="FP120" s="7"/>
      <c r="FQ120" s="10" t="s">
        <v>38</v>
      </c>
      <c r="FR120" s="7"/>
      <c r="FS120" s="7"/>
      <c r="FT120" s="10" t="s">
        <v>38</v>
      </c>
      <c r="FU120" s="9"/>
      <c r="FV120" s="9"/>
      <c r="FW120" s="10" t="s">
        <v>38</v>
      </c>
      <c r="FX120" s="7"/>
      <c r="FY120" s="7"/>
      <c r="FZ120" s="10" t="s">
        <v>38</v>
      </c>
      <c r="GA120" s="7"/>
      <c r="GB120" s="7"/>
      <c r="GC120" s="10" t="s">
        <v>38</v>
      </c>
      <c r="GD120" s="7"/>
      <c r="GE120" s="7"/>
      <c r="GF120" s="10" t="s">
        <v>38</v>
      </c>
      <c r="GG120" s="7">
        <v>25</v>
      </c>
      <c r="GH120" s="7">
        <v>1020</v>
      </c>
      <c r="GI120" s="10" t="s">
        <v>38</v>
      </c>
      <c r="GJ120" s="7"/>
      <c r="GK120" s="7"/>
      <c r="GL120" s="10" t="s">
        <v>38</v>
      </c>
      <c r="GM120" s="7"/>
      <c r="GN120" s="7"/>
      <c r="GO120" s="6" t="s">
        <v>38</v>
      </c>
      <c r="GP120" s="7"/>
      <c r="GQ120" s="7"/>
      <c r="GR120" s="6" t="s">
        <v>38</v>
      </c>
      <c r="GS120" s="7">
        <v>20</v>
      </c>
      <c r="GT120" s="7">
        <v>800</v>
      </c>
      <c r="GU120" s="10"/>
      <c r="GV120" s="7"/>
      <c r="GW120" s="7"/>
      <c r="GX120" s="10" t="s">
        <v>38</v>
      </c>
      <c r="GY120" s="7"/>
      <c r="GZ120" s="7"/>
      <c r="HA120" s="10" t="s">
        <v>38</v>
      </c>
      <c r="HB120" s="7"/>
      <c r="HC120" s="7"/>
      <c r="HD120" s="10" t="s">
        <v>38</v>
      </c>
      <c r="HE120" s="7">
        <v>25</v>
      </c>
      <c r="HF120" s="7">
        <v>800</v>
      </c>
      <c r="HG120" s="10" t="s">
        <v>38</v>
      </c>
      <c r="HH120" s="7"/>
      <c r="HI120" s="7"/>
      <c r="HJ120" s="10" t="s">
        <v>38</v>
      </c>
      <c r="HK120" s="7"/>
      <c r="HL120" s="7"/>
      <c r="HM120" s="10" t="s">
        <v>38</v>
      </c>
      <c r="HN120" s="7"/>
      <c r="HO120" s="7"/>
      <c r="HP120" s="10" t="s">
        <v>38</v>
      </c>
      <c r="HQ120" s="7">
        <v>25</v>
      </c>
      <c r="HR120" s="7">
        <v>700</v>
      </c>
      <c r="HS120" s="10" t="s">
        <v>38</v>
      </c>
      <c r="HT120" s="7"/>
      <c r="HU120" s="7"/>
      <c r="HV120" s="10" t="s">
        <v>38</v>
      </c>
      <c r="HW120" s="7"/>
      <c r="HX120" s="7"/>
      <c r="HY120" s="6" t="s">
        <v>38</v>
      </c>
      <c r="HZ120" s="7"/>
      <c r="IA120" s="7"/>
      <c r="IB120" s="6" t="s">
        <v>38</v>
      </c>
      <c r="IC120" s="7">
        <v>30</v>
      </c>
      <c r="ID120" s="7">
        <v>750</v>
      </c>
      <c r="IE120" s="10"/>
      <c r="IF120" s="7"/>
      <c r="IG120" s="7"/>
      <c r="II120" s="7"/>
      <c r="IJ120" s="7"/>
      <c r="IK120" s="7"/>
      <c r="IL120" s="7"/>
      <c r="IM120" s="7"/>
      <c r="IN120" s="7"/>
      <c r="IP120" s="7"/>
      <c r="IQ120" s="7"/>
      <c r="IR120" s="7"/>
      <c r="IS120" s="7"/>
      <c r="IT120" s="7"/>
      <c r="IU120" s="7"/>
      <c r="IV120" s="7"/>
      <c r="IW120" s="7"/>
      <c r="IX120" s="7"/>
      <c r="IY120" s="7"/>
      <c r="IZ120" s="7"/>
      <c r="JA120" s="7"/>
      <c r="JB120" s="7"/>
      <c r="JC120" s="7"/>
      <c r="JE120" s="7"/>
      <c r="JF120" s="7"/>
      <c r="JH120" s="7"/>
      <c r="JI120" s="7"/>
      <c r="JJ120" s="7"/>
      <c r="JK120" s="7"/>
      <c r="JL120" s="7"/>
      <c r="JM120" s="7"/>
      <c r="JO120" s="7"/>
      <c r="JP120" s="7"/>
      <c r="JQ120" s="7"/>
      <c r="JR120" s="7"/>
      <c r="JT120" s="7"/>
      <c r="JU120" s="7"/>
      <c r="JV120" s="7"/>
      <c r="JW120" s="7"/>
      <c r="JX120" s="7"/>
    </row>
    <row r="121" spans="1:284" x14ac:dyDescent="0.3">
      <c r="A121" t="s">
        <v>286</v>
      </c>
      <c r="C121" s="7"/>
      <c r="D121" s="7"/>
      <c r="F121" s="7"/>
      <c r="G121" s="7"/>
      <c r="I121" s="9"/>
      <c r="J121" s="9"/>
      <c r="L121" s="7"/>
      <c r="M121" s="7"/>
      <c r="O121" s="7"/>
      <c r="P121" s="7"/>
      <c r="R121" s="7"/>
      <c r="S121" s="7"/>
      <c r="U121" s="9"/>
      <c r="V121" s="9"/>
      <c r="X121" s="7"/>
      <c r="Y121" s="7"/>
      <c r="AA121" s="7"/>
      <c r="AB121" s="7"/>
      <c r="AD121" s="7"/>
      <c r="AE121" s="7"/>
      <c r="AG121" s="9"/>
      <c r="AH121" s="9"/>
      <c r="AJ121" s="7"/>
      <c r="AK121" s="7"/>
      <c r="AM121" s="7"/>
      <c r="AN121" s="7"/>
      <c r="AP121" s="7"/>
      <c r="AQ121" s="7"/>
      <c r="AS121" s="9"/>
      <c r="AT121" s="9"/>
      <c r="AV121" s="7"/>
      <c r="AW121" s="7"/>
      <c r="AY121" s="7"/>
      <c r="AZ121" s="7"/>
      <c r="BB121" s="7"/>
      <c r="BC121" s="7"/>
      <c r="BE121" s="9"/>
      <c r="BF121" s="9"/>
      <c r="BH121" s="7"/>
      <c r="BI121" s="7"/>
      <c r="BK121" s="7"/>
      <c r="BL121" s="7"/>
      <c r="BN121" s="7"/>
      <c r="BO121" s="7"/>
      <c r="BQ121" s="9"/>
      <c r="BR121" s="9"/>
      <c r="BT121" s="7"/>
      <c r="BU121" s="7"/>
      <c r="BW121" s="7"/>
      <c r="BX121" s="7"/>
      <c r="BZ121" s="7"/>
      <c r="CA121" s="7"/>
      <c r="CC121" s="9"/>
      <c r="CD121" s="9"/>
      <c r="CF121" s="7"/>
      <c r="CG121" s="7"/>
      <c r="CI121" s="7"/>
      <c r="CJ121" s="7"/>
      <c r="CL121" s="7"/>
      <c r="CM121" s="7"/>
      <c r="CO121" s="9"/>
      <c r="CP121" s="9"/>
      <c r="CR121" s="7"/>
      <c r="CS121" s="7"/>
      <c r="CU121" s="7"/>
      <c r="CV121" s="7"/>
      <c r="CX121" s="7"/>
      <c r="CY121" s="7"/>
      <c r="DA121" s="9"/>
      <c r="DB121" s="9"/>
      <c r="DD121" s="7"/>
      <c r="DE121" s="7"/>
      <c r="DG121" s="7"/>
      <c r="DH121" s="7"/>
      <c r="DJ121" s="7"/>
      <c r="DK121" s="7"/>
      <c r="DM121" s="9"/>
      <c r="DN121" s="9"/>
      <c r="DP121" s="7"/>
      <c r="DQ121" s="7"/>
      <c r="DS121" s="7"/>
      <c r="DT121" s="7"/>
      <c r="DV121" s="7"/>
      <c r="DW121" s="7"/>
      <c r="DY121" s="9"/>
      <c r="DZ121" s="9"/>
      <c r="EB121" s="7"/>
      <c r="EC121" s="7"/>
      <c r="EE121" s="7"/>
      <c r="EF121" s="7"/>
      <c r="EH121" s="7"/>
      <c r="EI121" s="7"/>
      <c r="EK121" s="9"/>
      <c r="EL121" s="9"/>
      <c r="EN121" s="7"/>
      <c r="EO121" s="7"/>
      <c r="EQ121" s="7"/>
      <c r="ER121" s="7"/>
      <c r="ET121" s="7"/>
      <c r="EU121" s="7"/>
      <c r="EW121" s="9"/>
      <c r="EX121" s="9"/>
      <c r="EZ121" s="7"/>
      <c r="FA121" s="7"/>
      <c r="FC121" s="7"/>
      <c r="FD121" s="7"/>
      <c r="FF121" s="7"/>
      <c r="FG121" s="7"/>
      <c r="FI121" s="9"/>
      <c r="FJ121" s="9"/>
      <c r="FL121" s="7"/>
      <c r="FM121" s="7"/>
      <c r="FO121" s="7"/>
      <c r="FP121" s="7">
        <v>2000</v>
      </c>
      <c r="FR121" s="7"/>
      <c r="FS121" s="7"/>
      <c r="FU121" s="9"/>
      <c r="FV121" s="9"/>
      <c r="FX121" s="7"/>
      <c r="FY121" s="7">
        <v>20000</v>
      </c>
      <c r="GA121" s="7"/>
      <c r="GB121" s="7"/>
      <c r="GD121" s="7"/>
      <c r="GE121" s="7"/>
      <c r="GG121" s="7"/>
      <c r="GH121" s="7"/>
      <c r="GJ121" s="7"/>
      <c r="GK121" s="7">
        <v>20000</v>
      </c>
      <c r="GM121" s="7"/>
      <c r="GN121" s="7"/>
      <c r="GO121" s="10"/>
      <c r="GP121" s="7"/>
      <c r="GQ121" s="7"/>
      <c r="GR121" s="10"/>
      <c r="GS121" s="7"/>
      <c r="GT121" s="7"/>
      <c r="GU121" s="10"/>
      <c r="GV121" s="7"/>
      <c r="GW121" s="7">
        <v>15000</v>
      </c>
      <c r="GY121" s="7"/>
      <c r="GZ121" s="7"/>
      <c r="HB121" s="7"/>
      <c r="HC121" s="7"/>
      <c r="HE121" s="7"/>
      <c r="HF121" s="7"/>
      <c r="HH121" s="7"/>
      <c r="HI121" s="7">
        <v>17000</v>
      </c>
      <c r="HK121" s="7"/>
      <c r="HL121" s="7"/>
      <c r="HN121" s="7"/>
      <c r="HO121" s="7"/>
      <c r="HQ121" s="7"/>
      <c r="HR121" s="7"/>
      <c r="HT121" s="7"/>
      <c r="HU121" s="7">
        <v>15000</v>
      </c>
      <c r="HW121" s="7"/>
      <c r="HX121" s="7"/>
      <c r="HY121" s="10"/>
      <c r="HZ121" s="7"/>
      <c r="IA121" s="7"/>
      <c r="IC121" s="7"/>
      <c r="ID121" s="7"/>
      <c r="IE121" s="10"/>
      <c r="IF121" s="7"/>
      <c r="IG121" s="7">
        <v>12000</v>
      </c>
      <c r="II121" s="7"/>
      <c r="IJ121" s="7"/>
      <c r="IK121" s="7"/>
      <c r="IL121" s="7"/>
      <c r="IM121" s="7"/>
      <c r="IN121" s="7"/>
      <c r="IP121" s="7"/>
      <c r="IQ121" s="7"/>
      <c r="IR121" s="7"/>
      <c r="IS121" s="7"/>
      <c r="IT121" s="7"/>
      <c r="IU121" s="7"/>
      <c r="IV121" s="7"/>
      <c r="IW121" s="7"/>
      <c r="IX121" s="7"/>
      <c r="IY121" s="7"/>
      <c r="IZ121" s="7"/>
      <c r="JA121" s="7"/>
      <c r="JB121" s="7"/>
      <c r="JC121" s="7"/>
      <c r="JE121" s="7"/>
      <c r="JF121" s="7"/>
      <c r="JH121" s="7"/>
      <c r="JI121" s="7"/>
      <c r="JJ121" s="7"/>
      <c r="JK121" s="7"/>
      <c r="JL121" s="7"/>
      <c r="JM121" s="7"/>
      <c r="JO121" s="7"/>
      <c r="JP121" s="7"/>
      <c r="JQ121" s="7"/>
      <c r="JR121" s="7"/>
      <c r="JT121" s="7"/>
      <c r="JU121" s="7"/>
      <c r="JV121" s="7"/>
      <c r="JW121" s="7"/>
      <c r="JX121" s="7"/>
    </row>
    <row r="122" spans="1:284" x14ac:dyDescent="0.3">
      <c r="A122" t="s">
        <v>287</v>
      </c>
      <c r="C122" s="7"/>
      <c r="D122" s="7"/>
      <c r="F122" s="7"/>
      <c r="G122" s="7"/>
      <c r="I122" s="9"/>
      <c r="J122" s="9"/>
      <c r="L122" s="7"/>
      <c r="M122" s="7"/>
      <c r="O122" s="7"/>
      <c r="P122" s="7"/>
      <c r="R122" s="7"/>
      <c r="S122" s="7"/>
      <c r="U122" s="9"/>
      <c r="V122" s="9"/>
      <c r="X122" s="7"/>
      <c r="Y122" s="7"/>
      <c r="AA122" s="7"/>
      <c r="AB122" s="7"/>
      <c r="AD122" s="7"/>
      <c r="AE122" s="7"/>
      <c r="AG122" s="9"/>
      <c r="AH122" s="9"/>
      <c r="AJ122" s="7"/>
      <c r="AK122" s="7"/>
      <c r="AM122" s="7"/>
      <c r="AN122" s="7"/>
      <c r="AP122" s="7"/>
      <c r="AQ122" s="7"/>
      <c r="AS122" s="9"/>
      <c r="AT122" s="9"/>
      <c r="AV122" s="7"/>
      <c r="AW122" s="7"/>
      <c r="AY122" s="7"/>
      <c r="AZ122" s="7"/>
      <c r="BB122" s="7"/>
      <c r="BC122" s="7"/>
      <c r="BE122" s="9"/>
      <c r="BF122" s="9"/>
      <c r="BH122" s="7"/>
      <c r="BI122" s="7"/>
      <c r="BK122" s="7"/>
      <c r="BL122" s="7"/>
      <c r="BN122" s="7"/>
      <c r="BO122" s="7"/>
      <c r="BQ122" s="9"/>
      <c r="BR122" s="9"/>
      <c r="BT122" s="7"/>
      <c r="BU122" s="7"/>
      <c r="BW122" s="7"/>
      <c r="BX122" s="7"/>
      <c r="BZ122" s="7"/>
      <c r="CA122" s="7"/>
      <c r="CC122" s="9"/>
      <c r="CD122" s="9"/>
      <c r="CF122" s="7"/>
      <c r="CG122" s="7"/>
      <c r="CI122" s="7"/>
      <c r="CJ122" s="7"/>
      <c r="CL122" s="7"/>
      <c r="CM122" s="7"/>
      <c r="CO122" s="9"/>
      <c r="CP122" s="9"/>
      <c r="CR122" s="7"/>
      <c r="CS122" s="7"/>
      <c r="CU122" s="7"/>
      <c r="CV122" s="7"/>
      <c r="CX122" s="7"/>
      <c r="CY122" s="7"/>
      <c r="DA122" s="9"/>
      <c r="DB122" s="9"/>
      <c r="DD122" s="7"/>
      <c r="DE122" s="7"/>
      <c r="DG122" s="7"/>
      <c r="DH122" s="7"/>
      <c r="DJ122" s="7"/>
      <c r="DK122" s="7"/>
      <c r="DM122" s="9"/>
      <c r="DN122" s="9"/>
      <c r="DP122" s="7"/>
      <c r="DQ122" s="7"/>
      <c r="DS122" s="7"/>
      <c r="DT122" s="7"/>
      <c r="DV122" s="7"/>
      <c r="DW122" s="7"/>
      <c r="DY122" s="9"/>
      <c r="DZ122" s="9"/>
      <c r="EB122" s="7"/>
      <c r="EC122" s="7"/>
      <c r="EE122" s="7"/>
      <c r="EF122" s="7"/>
      <c r="EH122" s="7"/>
      <c r="EI122" s="7"/>
      <c r="EK122" s="9"/>
      <c r="EL122" s="9"/>
      <c r="EN122" s="7"/>
      <c r="EO122" s="7"/>
      <c r="EQ122" s="7"/>
      <c r="ER122" s="7"/>
      <c r="ET122" s="7"/>
      <c r="EU122" s="7"/>
      <c r="EW122" s="9"/>
      <c r="EX122" s="9"/>
      <c r="EZ122" s="7"/>
      <c r="FA122" s="7"/>
      <c r="FC122" s="7"/>
      <c r="FD122" s="7"/>
      <c r="FF122" s="7"/>
      <c r="FG122" s="7"/>
      <c r="FI122" s="9"/>
      <c r="FJ122" s="9"/>
      <c r="FL122" s="7"/>
      <c r="FM122" s="7"/>
      <c r="FO122" s="7"/>
      <c r="FP122" s="7"/>
      <c r="FR122" s="7"/>
      <c r="FS122" s="7"/>
      <c r="FU122" s="9"/>
      <c r="FV122" s="9"/>
      <c r="FX122" s="7"/>
      <c r="FY122" s="7"/>
      <c r="GA122" s="7"/>
      <c r="GB122" s="7"/>
      <c r="GD122" s="7"/>
      <c r="GE122" s="7"/>
      <c r="GG122" s="7"/>
      <c r="GH122" s="7"/>
      <c r="GJ122" s="7"/>
      <c r="GK122" s="7">
        <v>2080</v>
      </c>
      <c r="GM122" s="7"/>
      <c r="GN122" s="7"/>
      <c r="GO122" s="10"/>
      <c r="GP122" s="7"/>
      <c r="GQ122" s="7"/>
      <c r="GR122" s="10"/>
      <c r="GS122" s="7"/>
      <c r="GT122" s="7"/>
      <c r="GU122" s="10"/>
      <c r="GV122" s="7"/>
      <c r="GW122" s="7">
        <v>2500</v>
      </c>
      <c r="GY122" s="7"/>
      <c r="GZ122" s="7"/>
      <c r="HB122" s="7"/>
      <c r="HC122" s="7"/>
      <c r="HE122" s="7"/>
      <c r="HF122" s="7"/>
      <c r="HH122" s="7"/>
      <c r="HI122" s="7">
        <v>2000</v>
      </c>
      <c r="HK122" s="7"/>
      <c r="HL122" s="7"/>
      <c r="HN122" s="7"/>
      <c r="HO122" s="7"/>
      <c r="HQ122" s="7"/>
      <c r="HR122" s="7"/>
      <c r="HT122" s="7"/>
      <c r="HU122" s="7">
        <v>2500</v>
      </c>
      <c r="HW122" s="7"/>
      <c r="HX122" s="7"/>
      <c r="HY122" s="10"/>
      <c r="HZ122" s="7"/>
      <c r="IA122" s="7"/>
      <c r="IC122" s="7"/>
      <c r="ID122" s="7"/>
      <c r="IE122" s="10"/>
      <c r="IF122" s="7"/>
      <c r="IG122" s="7">
        <v>2800</v>
      </c>
      <c r="II122" s="7"/>
      <c r="IJ122" s="7"/>
      <c r="IK122" s="7"/>
      <c r="IL122" s="7"/>
      <c r="IM122" s="7"/>
      <c r="IN122" s="7"/>
      <c r="IP122" s="7"/>
      <c r="IQ122" s="7"/>
      <c r="IR122" s="7"/>
      <c r="IS122" s="7"/>
      <c r="IT122" s="7"/>
      <c r="IU122" s="7"/>
      <c r="IV122" s="7"/>
      <c r="IW122" s="7"/>
      <c r="IX122" s="7"/>
      <c r="IY122" s="7"/>
      <c r="IZ122" s="7"/>
      <c r="JA122" s="7"/>
      <c r="JB122" s="7"/>
      <c r="JC122" s="7"/>
      <c r="JE122" s="7"/>
      <c r="JF122" s="7"/>
      <c r="JH122" s="7"/>
      <c r="JI122" s="7"/>
      <c r="JJ122" s="7"/>
      <c r="JK122" s="7"/>
      <c r="JL122" s="7"/>
      <c r="JM122" s="7"/>
      <c r="JO122" s="7"/>
      <c r="JP122" s="7"/>
      <c r="JQ122" s="7"/>
      <c r="JR122" s="7"/>
      <c r="JT122" s="7"/>
      <c r="JU122" s="7"/>
      <c r="JV122" s="7"/>
      <c r="JW122" s="7"/>
      <c r="JX122" s="7"/>
    </row>
    <row r="123" spans="1:284" x14ac:dyDescent="0.3">
      <c r="A123" t="s">
        <v>288</v>
      </c>
      <c r="B123" s="10" t="s">
        <v>58</v>
      </c>
      <c r="C123" s="7"/>
      <c r="D123" s="7"/>
      <c r="E123" s="10" t="s">
        <v>58</v>
      </c>
      <c r="F123" s="7"/>
      <c r="G123" s="7"/>
      <c r="H123" s="10" t="s">
        <v>58</v>
      </c>
      <c r="I123" s="9"/>
      <c r="J123" s="9"/>
      <c r="K123" s="10" t="s">
        <v>58</v>
      </c>
      <c r="L123" s="7"/>
      <c r="M123" s="7"/>
      <c r="N123" s="10" t="s">
        <v>58</v>
      </c>
      <c r="O123" s="7"/>
      <c r="P123" s="7"/>
      <c r="Q123" s="10" t="s">
        <v>58</v>
      </c>
      <c r="R123" s="7"/>
      <c r="S123" s="7"/>
      <c r="T123" s="10" t="s">
        <v>58</v>
      </c>
      <c r="U123" s="9"/>
      <c r="V123" s="9"/>
      <c r="W123" s="10" t="s">
        <v>58</v>
      </c>
      <c r="X123" s="7"/>
      <c r="Y123" s="7"/>
      <c r="Z123" s="10" t="s">
        <v>58</v>
      </c>
      <c r="AA123" s="7"/>
      <c r="AB123" s="7"/>
      <c r="AC123" s="10" t="s">
        <v>58</v>
      </c>
      <c r="AD123" s="7"/>
      <c r="AE123" s="7"/>
      <c r="AF123" s="10" t="s">
        <v>58</v>
      </c>
      <c r="AG123" s="9"/>
      <c r="AH123" s="9"/>
      <c r="AI123" s="10" t="s">
        <v>58</v>
      </c>
      <c r="AJ123" s="7"/>
      <c r="AK123" s="7"/>
      <c r="AL123" s="10" t="s">
        <v>58</v>
      </c>
      <c r="AM123" s="7"/>
      <c r="AN123" s="7"/>
      <c r="AO123" s="10" t="s">
        <v>58</v>
      </c>
      <c r="AP123" s="7"/>
      <c r="AQ123" s="7"/>
      <c r="AR123" s="10" t="s">
        <v>58</v>
      </c>
      <c r="AS123" s="9"/>
      <c r="AT123" s="9"/>
      <c r="AU123" s="10" t="s">
        <v>58</v>
      </c>
      <c r="AV123" s="7"/>
      <c r="AW123" s="7"/>
      <c r="AX123" s="10" t="s">
        <v>58</v>
      </c>
      <c r="AY123" s="7"/>
      <c r="AZ123" s="7"/>
      <c r="BA123" s="10" t="s">
        <v>58</v>
      </c>
      <c r="BB123" s="7"/>
      <c r="BC123" s="7"/>
      <c r="BD123" s="10" t="s">
        <v>58</v>
      </c>
      <c r="BE123" s="9"/>
      <c r="BF123" s="9"/>
      <c r="BG123" s="10" t="s">
        <v>58</v>
      </c>
      <c r="BH123" s="7"/>
      <c r="BI123" s="7"/>
      <c r="BJ123" s="10" t="s">
        <v>58</v>
      </c>
      <c r="BK123" s="7"/>
      <c r="BL123" s="7"/>
      <c r="BM123" s="10" t="s">
        <v>58</v>
      </c>
      <c r="BN123" s="7"/>
      <c r="BO123" s="7"/>
      <c r="BP123" s="10" t="s">
        <v>58</v>
      </c>
      <c r="BQ123" s="9"/>
      <c r="BR123" s="9"/>
      <c r="BS123" s="10" t="s">
        <v>58</v>
      </c>
      <c r="BT123" s="7"/>
      <c r="BU123" s="7"/>
      <c r="BV123" s="10" t="s">
        <v>58</v>
      </c>
      <c r="BW123" s="7"/>
      <c r="BX123" s="7"/>
      <c r="BY123" s="10" t="s">
        <v>58</v>
      </c>
      <c r="BZ123" s="7"/>
      <c r="CA123" s="7"/>
      <c r="CB123" s="10" t="s">
        <v>58</v>
      </c>
      <c r="CC123" s="9"/>
      <c r="CD123" s="9"/>
      <c r="CE123" s="10" t="s">
        <v>58</v>
      </c>
      <c r="CF123" s="7"/>
      <c r="CG123" s="7"/>
      <c r="CH123" s="10" t="s">
        <v>58</v>
      </c>
      <c r="CI123" s="7"/>
      <c r="CJ123" s="7"/>
      <c r="CK123" s="10" t="s">
        <v>58</v>
      </c>
      <c r="CL123" s="7"/>
      <c r="CM123" s="7"/>
      <c r="CN123" s="10" t="s">
        <v>58</v>
      </c>
      <c r="CO123" s="9"/>
      <c r="CP123" s="9"/>
      <c r="CQ123" s="10" t="s">
        <v>58</v>
      </c>
      <c r="CR123" s="7"/>
      <c r="CS123" s="7"/>
      <c r="CT123" s="10" t="s">
        <v>58</v>
      </c>
      <c r="CU123" s="7"/>
      <c r="CV123" s="7"/>
      <c r="CW123" s="10" t="s">
        <v>58</v>
      </c>
      <c r="CX123" s="7"/>
      <c r="CY123" s="7"/>
      <c r="CZ123" s="10" t="s">
        <v>58</v>
      </c>
      <c r="DA123" s="9"/>
      <c r="DB123" s="9"/>
      <c r="DC123" s="10" t="s">
        <v>58</v>
      </c>
      <c r="DD123" s="7"/>
      <c r="DE123" s="7"/>
      <c r="DF123" s="10" t="s">
        <v>58</v>
      </c>
      <c r="DG123" s="7"/>
      <c r="DH123" s="7"/>
      <c r="DI123" s="10" t="s">
        <v>58</v>
      </c>
      <c r="DJ123" s="7"/>
      <c r="DK123" s="7"/>
      <c r="DL123" s="10" t="s">
        <v>58</v>
      </c>
      <c r="DM123" s="9"/>
      <c r="DN123" s="9"/>
      <c r="DO123" s="10" t="s">
        <v>58</v>
      </c>
      <c r="DP123" s="7"/>
      <c r="DQ123" s="7"/>
      <c r="DR123" s="10" t="s">
        <v>58</v>
      </c>
      <c r="DS123" s="7"/>
      <c r="DT123" s="7"/>
      <c r="DU123" s="10" t="s">
        <v>58</v>
      </c>
      <c r="DV123" s="7"/>
      <c r="DW123" s="7"/>
      <c r="DX123" s="10" t="s">
        <v>58</v>
      </c>
      <c r="DY123" s="9"/>
      <c r="DZ123" s="9"/>
      <c r="EA123" s="10" t="s">
        <v>58</v>
      </c>
      <c r="EB123" s="7"/>
      <c r="EC123" s="7"/>
      <c r="ED123" s="10" t="s">
        <v>58</v>
      </c>
      <c r="EE123" s="7"/>
      <c r="EF123" s="7"/>
      <c r="EG123" s="10" t="s">
        <v>58</v>
      </c>
      <c r="EH123" s="7"/>
      <c r="EI123" s="7"/>
      <c r="EJ123" s="10" t="s">
        <v>58</v>
      </c>
      <c r="EK123" s="9"/>
      <c r="EL123" s="9"/>
      <c r="EM123" s="10" t="s">
        <v>58</v>
      </c>
      <c r="EN123" s="7"/>
      <c r="EO123" s="7"/>
      <c r="EP123" s="10" t="s">
        <v>58</v>
      </c>
      <c r="EQ123" s="7"/>
      <c r="ER123" s="7"/>
      <c r="ES123" s="10" t="s">
        <v>58</v>
      </c>
      <c r="ET123" s="7"/>
      <c r="EU123" s="7"/>
      <c r="EV123" s="10" t="s">
        <v>58</v>
      </c>
      <c r="EW123" s="9"/>
      <c r="EX123" s="9"/>
      <c r="EY123" s="10" t="s">
        <v>58</v>
      </c>
      <c r="EZ123" s="7"/>
      <c r="FA123" s="7"/>
      <c r="FB123" s="10" t="s">
        <v>58</v>
      </c>
      <c r="FC123" s="7"/>
      <c r="FD123" s="7"/>
      <c r="FE123" s="10" t="s">
        <v>58</v>
      </c>
      <c r="FF123" s="7"/>
      <c r="FG123" s="7"/>
      <c r="FH123" s="10" t="s">
        <v>58</v>
      </c>
      <c r="FI123" s="9"/>
      <c r="FJ123" s="9"/>
      <c r="FK123" s="10" t="s">
        <v>58</v>
      </c>
      <c r="FL123" s="7"/>
      <c r="FM123" s="7"/>
      <c r="FN123" s="10" t="s">
        <v>58</v>
      </c>
      <c r="FO123" s="7"/>
      <c r="FP123" s="7"/>
      <c r="FQ123" s="10" t="s">
        <v>58</v>
      </c>
      <c r="FR123" s="7">
        <v>60</v>
      </c>
      <c r="FS123" s="7">
        <v>4000</v>
      </c>
      <c r="FT123" s="10" t="s">
        <v>58</v>
      </c>
      <c r="FU123" s="9"/>
      <c r="FV123" s="9"/>
      <c r="FW123" s="10" t="s">
        <v>58</v>
      </c>
      <c r="FX123" s="7"/>
      <c r="FY123" s="7"/>
      <c r="FZ123" s="10" t="s">
        <v>58</v>
      </c>
      <c r="GA123" s="7"/>
      <c r="GB123" s="7"/>
      <c r="GC123" s="10" t="s">
        <v>58</v>
      </c>
      <c r="GD123" s="7">
        <v>54</v>
      </c>
      <c r="GE123" s="7">
        <v>2268</v>
      </c>
      <c r="GF123" s="10" t="s">
        <v>58</v>
      </c>
      <c r="GG123" s="7"/>
      <c r="GH123" s="7"/>
      <c r="GI123" s="10" t="s">
        <v>58</v>
      </c>
      <c r="GJ123" s="7"/>
      <c r="GK123" s="7"/>
      <c r="GL123" s="10" t="s">
        <v>58</v>
      </c>
      <c r="GM123" s="7"/>
      <c r="GN123" s="7"/>
      <c r="GO123" s="6" t="s">
        <v>58</v>
      </c>
      <c r="GP123" s="7">
        <v>8</v>
      </c>
      <c r="GQ123" s="7">
        <v>1350</v>
      </c>
      <c r="GR123" s="10"/>
      <c r="GS123" s="7"/>
      <c r="GT123" s="7"/>
      <c r="GU123" s="10"/>
      <c r="GV123" s="7"/>
      <c r="GW123" s="7"/>
      <c r="GX123" s="10" t="s">
        <v>58</v>
      </c>
      <c r="GY123" s="7"/>
      <c r="GZ123" s="7"/>
      <c r="HA123" s="10" t="s">
        <v>58</v>
      </c>
      <c r="HB123" s="7">
        <v>40</v>
      </c>
      <c r="HC123" s="7">
        <v>2500</v>
      </c>
      <c r="HD123" s="10" t="s">
        <v>58</v>
      </c>
      <c r="HE123" s="7"/>
      <c r="HF123" s="7"/>
      <c r="HG123" s="10" t="s">
        <v>58</v>
      </c>
      <c r="HH123" s="7"/>
      <c r="HI123" s="7"/>
      <c r="HJ123" s="10" t="s">
        <v>58</v>
      </c>
      <c r="HK123" s="7"/>
      <c r="HL123" s="7"/>
      <c r="HM123" s="10" t="s">
        <v>58</v>
      </c>
      <c r="HN123" s="7">
        <v>30</v>
      </c>
      <c r="HO123" s="7">
        <v>2000</v>
      </c>
      <c r="HP123" s="10" t="s">
        <v>58</v>
      </c>
      <c r="HQ123" s="7"/>
      <c r="HR123" s="7"/>
      <c r="HS123" s="10" t="s">
        <v>58</v>
      </c>
      <c r="HT123" s="7"/>
      <c r="HU123" s="7"/>
      <c r="HV123" s="10" t="s">
        <v>58</v>
      </c>
      <c r="HW123" s="7"/>
      <c r="HX123" s="7"/>
      <c r="HY123" s="6" t="s">
        <v>58</v>
      </c>
      <c r="HZ123" s="7">
        <v>9</v>
      </c>
      <c r="IA123" s="7">
        <v>700</v>
      </c>
      <c r="IC123" s="7"/>
      <c r="ID123" s="7"/>
      <c r="IE123" s="10"/>
      <c r="IF123" s="7"/>
      <c r="IG123" s="7"/>
      <c r="II123" s="7"/>
      <c r="IJ123" s="7"/>
      <c r="IK123" s="7"/>
      <c r="IL123" s="7"/>
      <c r="IM123" s="7"/>
      <c r="IN123" s="7"/>
      <c r="IP123" s="7"/>
      <c r="IQ123" s="7"/>
      <c r="IR123" s="7"/>
      <c r="IS123" s="7"/>
      <c r="IT123" s="7"/>
      <c r="IU123" s="7"/>
      <c r="IV123" s="7"/>
      <c r="IW123" s="7"/>
      <c r="IX123" s="7"/>
      <c r="IY123" s="7"/>
      <c r="IZ123" s="7"/>
      <c r="JA123" s="7"/>
      <c r="JB123" s="7"/>
      <c r="JC123" s="7"/>
      <c r="JE123" s="7"/>
      <c r="JF123" s="7"/>
      <c r="JH123" s="7"/>
      <c r="JI123" s="7"/>
      <c r="JJ123" s="7"/>
      <c r="JK123" s="7"/>
      <c r="JL123" s="7"/>
      <c r="JM123" s="7"/>
      <c r="JO123" s="7"/>
      <c r="JP123" s="7"/>
      <c r="JQ123" s="7"/>
      <c r="JR123" s="7"/>
      <c r="JT123" s="7"/>
      <c r="JU123" s="7"/>
      <c r="JV123" s="7"/>
      <c r="JW123" s="7"/>
      <c r="JX123" s="7"/>
    </row>
    <row r="124" spans="1:284" x14ac:dyDescent="0.3">
      <c r="A124" t="s">
        <v>289</v>
      </c>
      <c r="B124" s="10" t="s">
        <v>38</v>
      </c>
      <c r="C124" s="7"/>
      <c r="D124" s="7"/>
      <c r="E124" s="10" t="s">
        <v>38</v>
      </c>
      <c r="F124" s="7"/>
      <c r="G124" s="7"/>
      <c r="H124" s="10" t="s">
        <v>38</v>
      </c>
      <c r="I124" s="9"/>
      <c r="J124" s="9"/>
      <c r="K124" s="10" t="s">
        <v>38</v>
      </c>
      <c r="L124" s="7"/>
      <c r="M124" s="7"/>
      <c r="N124" s="10" t="s">
        <v>38</v>
      </c>
      <c r="O124" s="7"/>
      <c r="P124" s="7"/>
      <c r="Q124" s="10" t="s">
        <v>38</v>
      </c>
      <c r="R124" s="7"/>
      <c r="S124" s="7"/>
      <c r="T124" s="10" t="s">
        <v>38</v>
      </c>
      <c r="U124" s="9"/>
      <c r="V124" s="9"/>
      <c r="W124" s="10" t="s">
        <v>38</v>
      </c>
      <c r="X124" s="7"/>
      <c r="Y124" s="7"/>
      <c r="Z124" s="10" t="s">
        <v>38</v>
      </c>
      <c r="AA124" s="7"/>
      <c r="AB124" s="7"/>
      <c r="AC124" s="10" t="s">
        <v>38</v>
      </c>
      <c r="AD124" s="7"/>
      <c r="AE124" s="7"/>
      <c r="AF124" s="10" t="s">
        <v>38</v>
      </c>
      <c r="AG124" s="9"/>
      <c r="AH124" s="9"/>
      <c r="AI124" s="10" t="s">
        <v>38</v>
      </c>
      <c r="AJ124" s="7"/>
      <c r="AK124" s="7"/>
      <c r="AL124" s="10" t="s">
        <v>38</v>
      </c>
      <c r="AM124" s="7"/>
      <c r="AN124" s="7"/>
      <c r="AO124" s="10" t="s">
        <v>38</v>
      </c>
      <c r="AP124" s="7"/>
      <c r="AQ124" s="7"/>
      <c r="AR124" s="10" t="s">
        <v>38</v>
      </c>
      <c r="AS124" s="9"/>
      <c r="AT124" s="9"/>
      <c r="AU124" s="10" t="s">
        <v>38</v>
      </c>
      <c r="AV124" s="7"/>
      <c r="AW124" s="7"/>
      <c r="AX124" s="10" t="s">
        <v>38</v>
      </c>
      <c r="AY124" s="7"/>
      <c r="AZ124" s="7"/>
      <c r="BA124" s="10" t="s">
        <v>38</v>
      </c>
      <c r="BB124" s="7"/>
      <c r="BC124" s="7"/>
      <c r="BD124" s="10" t="s">
        <v>38</v>
      </c>
      <c r="BE124" s="9"/>
      <c r="BF124" s="9"/>
      <c r="BG124" s="10" t="s">
        <v>38</v>
      </c>
      <c r="BH124" s="7"/>
      <c r="BI124" s="7"/>
      <c r="BJ124" s="10" t="s">
        <v>38</v>
      </c>
      <c r="BK124" s="7"/>
      <c r="BL124" s="7"/>
      <c r="BM124" s="10" t="s">
        <v>38</v>
      </c>
      <c r="BN124" s="7"/>
      <c r="BO124" s="7"/>
      <c r="BP124" s="10" t="s">
        <v>38</v>
      </c>
      <c r="BQ124" s="9"/>
      <c r="BR124" s="9"/>
      <c r="BS124" s="10" t="s">
        <v>38</v>
      </c>
      <c r="BT124" s="7"/>
      <c r="BU124" s="7"/>
      <c r="BV124" s="10" t="s">
        <v>38</v>
      </c>
      <c r="BW124" s="7"/>
      <c r="BX124" s="7"/>
      <c r="BY124" s="10" t="s">
        <v>38</v>
      </c>
      <c r="BZ124" s="7"/>
      <c r="CA124" s="7"/>
      <c r="CB124" s="10" t="s">
        <v>38</v>
      </c>
      <c r="CC124" s="9"/>
      <c r="CD124" s="9"/>
      <c r="CE124" s="10" t="s">
        <v>38</v>
      </c>
      <c r="CF124" s="7"/>
      <c r="CG124" s="7"/>
      <c r="CH124" s="10" t="s">
        <v>38</v>
      </c>
      <c r="CI124" s="7"/>
      <c r="CJ124" s="7"/>
      <c r="CK124" s="10" t="s">
        <v>38</v>
      </c>
      <c r="CL124" s="7"/>
      <c r="CM124" s="7"/>
      <c r="CN124" s="10" t="s">
        <v>38</v>
      </c>
      <c r="CO124" s="9"/>
      <c r="CP124" s="9"/>
      <c r="CQ124" s="10" t="s">
        <v>38</v>
      </c>
      <c r="CR124" s="7"/>
      <c r="CS124" s="7"/>
      <c r="CT124" s="10" t="s">
        <v>38</v>
      </c>
      <c r="CU124" s="7"/>
      <c r="CV124" s="7"/>
      <c r="CW124" s="10" t="s">
        <v>38</v>
      </c>
      <c r="CX124" s="7"/>
      <c r="CY124" s="7"/>
      <c r="CZ124" s="10" t="s">
        <v>38</v>
      </c>
      <c r="DA124" s="9"/>
      <c r="DB124" s="9"/>
      <c r="DC124" s="10" t="s">
        <v>38</v>
      </c>
      <c r="DD124" s="7"/>
      <c r="DE124" s="7"/>
      <c r="DF124" s="10" t="s">
        <v>38</v>
      </c>
      <c r="DG124" s="7"/>
      <c r="DH124" s="7"/>
      <c r="DI124" s="10" t="s">
        <v>38</v>
      </c>
      <c r="DJ124" s="7"/>
      <c r="DK124" s="7"/>
      <c r="DL124" s="10" t="s">
        <v>38</v>
      </c>
      <c r="DM124" s="9"/>
      <c r="DN124" s="9"/>
      <c r="DO124" s="10" t="s">
        <v>38</v>
      </c>
      <c r="DP124" s="7"/>
      <c r="DQ124" s="7"/>
      <c r="DR124" s="10" t="s">
        <v>38</v>
      </c>
      <c r="DS124" s="7"/>
      <c r="DT124" s="7"/>
      <c r="DU124" s="10" t="s">
        <v>38</v>
      </c>
      <c r="DV124" s="7"/>
      <c r="DW124" s="7"/>
      <c r="DX124" s="10" t="s">
        <v>38</v>
      </c>
      <c r="DY124" s="9"/>
      <c r="DZ124" s="9"/>
      <c r="EA124" s="10" t="s">
        <v>38</v>
      </c>
      <c r="EB124" s="7"/>
      <c r="EC124" s="7"/>
      <c r="ED124" s="10" t="s">
        <v>38</v>
      </c>
      <c r="EE124" s="7"/>
      <c r="EF124" s="7"/>
      <c r="EG124" s="10" t="s">
        <v>38</v>
      </c>
      <c r="EH124" s="7"/>
      <c r="EI124" s="7"/>
      <c r="EJ124" s="10" t="s">
        <v>38</v>
      </c>
      <c r="EK124" s="9"/>
      <c r="EL124" s="9"/>
      <c r="EM124" s="10" t="s">
        <v>38</v>
      </c>
      <c r="EN124" s="7"/>
      <c r="EO124" s="7"/>
      <c r="EP124" s="10" t="s">
        <v>38</v>
      </c>
      <c r="EQ124" s="7"/>
      <c r="ER124" s="7"/>
      <c r="ES124" s="10" t="s">
        <v>38</v>
      </c>
      <c r="ET124" s="7"/>
      <c r="EU124" s="7"/>
      <c r="EV124" s="10" t="s">
        <v>38</v>
      </c>
      <c r="EW124" s="9"/>
      <c r="EX124" s="9"/>
      <c r="EY124" s="10" t="s">
        <v>38</v>
      </c>
      <c r="EZ124" s="7"/>
      <c r="FA124" s="7"/>
      <c r="FB124" s="10" t="s">
        <v>38</v>
      </c>
      <c r="FC124" s="7"/>
      <c r="FD124" s="7"/>
      <c r="FE124" s="10" t="s">
        <v>38</v>
      </c>
      <c r="FF124" s="7"/>
      <c r="FG124" s="7"/>
      <c r="FH124" s="10" t="s">
        <v>38</v>
      </c>
      <c r="FI124" s="9"/>
      <c r="FJ124" s="9"/>
      <c r="FK124" s="10" t="s">
        <v>38</v>
      </c>
      <c r="FL124" s="7"/>
      <c r="FM124" s="7"/>
      <c r="FN124" s="10" t="s">
        <v>38</v>
      </c>
      <c r="FO124" s="7"/>
      <c r="FP124" s="7"/>
      <c r="FQ124" s="10" t="s">
        <v>38</v>
      </c>
      <c r="FR124" s="7"/>
      <c r="FS124" s="7"/>
      <c r="FT124" s="10" t="s">
        <v>38</v>
      </c>
      <c r="FU124" s="9"/>
      <c r="FV124" s="9"/>
      <c r="FW124" s="10" t="s">
        <v>38</v>
      </c>
      <c r="FX124" s="7"/>
      <c r="FY124" s="7"/>
      <c r="FZ124" s="10" t="s">
        <v>38</v>
      </c>
      <c r="GA124" s="7"/>
      <c r="GB124" s="7"/>
      <c r="GC124" s="10" t="s">
        <v>38</v>
      </c>
      <c r="GD124" s="7">
        <v>527</v>
      </c>
      <c r="GE124" s="7">
        <v>7623</v>
      </c>
      <c r="GF124" s="10" t="s">
        <v>38</v>
      </c>
      <c r="GG124" s="7"/>
      <c r="GH124" s="7"/>
      <c r="GI124" s="10" t="s">
        <v>38</v>
      </c>
      <c r="GJ124" s="7"/>
      <c r="GK124" s="7"/>
      <c r="GL124" s="10" t="s">
        <v>38</v>
      </c>
      <c r="GM124" s="7"/>
      <c r="GN124" s="7"/>
      <c r="GO124" s="6" t="s">
        <v>38</v>
      </c>
      <c r="GP124" s="7">
        <v>110</v>
      </c>
      <c r="GQ124" s="7">
        <v>900</v>
      </c>
      <c r="GR124" s="10"/>
      <c r="GS124" s="7"/>
      <c r="GT124" s="7"/>
      <c r="GU124" s="10"/>
      <c r="GV124" s="7"/>
      <c r="GW124" s="7"/>
      <c r="GX124" s="10" t="s">
        <v>38</v>
      </c>
      <c r="GY124" s="7"/>
      <c r="GZ124" s="7"/>
      <c r="HA124" s="10" t="s">
        <v>38</v>
      </c>
      <c r="HB124" s="7">
        <v>300</v>
      </c>
      <c r="HC124" s="7">
        <v>1200</v>
      </c>
      <c r="HD124" s="10" t="s">
        <v>38</v>
      </c>
      <c r="HE124" s="7"/>
      <c r="HF124" s="7"/>
      <c r="HG124" s="10" t="s">
        <v>38</v>
      </c>
      <c r="HH124" s="7"/>
      <c r="HI124" s="7"/>
      <c r="HJ124" s="10" t="s">
        <v>38</v>
      </c>
      <c r="HK124" s="7"/>
      <c r="HL124" s="7"/>
      <c r="HM124" s="6" t="s">
        <v>38</v>
      </c>
      <c r="HN124" s="7">
        <v>200</v>
      </c>
      <c r="HO124" s="7">
        <v>1000</v>
      </c>
      <c r="HP124" s="10" t="s">
        <v>45</v>
      </c>
      <c r="HQ124" s="7"/>
      <c r="HR124" s="7"/>
      <c r="HS124" s="10" t="s">
        <v>45</v>
      </c>
      <c r="HT124" s="7"/>
      <c r="HU124" s="7"/>
      <c r="HV124" s="10" t="s">
        <v>45</v>
      </c>
      <c r="HW124" s="7"/>
      <c r="HX124" s="7"/>
      <c r="HY124" s="6" t="s">
        <v>45</v>
      </c>
      <c r="HZ124" s="7">
        <v>230</v>
      </c>
      <c r="IA124" s="7">
        <v>1000</v>
      </c>
      <c r="IC124" s="7"/>
      <c r="ID124" s="7"/>
      <c r="IE124" s="10"/>
      <c r="IF124" s="7"/>
      <c r="IG124" s="7"/>
      <c r="II124" s="7"/>
      <c r="IJ124" s="7"/>
      <c r="IK124" s="7"/>
      <c r="IL124" s="7"/>
      <c r="IM124" s="7"/>
      <c r="IN124" s="7"/>
      <c r="IP124" s="7"/>
      <c r="IQ124" s="7"/>
      <c r="IR124" s="7"/>
      <c r="IS124" s="7"/>
      <c r="IT124" s="7"/>
      <c r="IU124" s="7"/>
      <c r="IV124" s="7"/>
      <c r="IW124" s="7"/>
      <c r="IX124" s="7"/>
      <c r="IY124" s="7"/>
      <c r="IZ124" s="7"/>
      <c r="JA124" s="7"/>
      <c r="JB124" s="7"/>
      <c r="JC124" s="7"/>
      <c r="JE124" s="7"/>
      <c r="JF124" s="7"/>
      <c r="JH124" s="7"/>
      <c r="JI124" s="7"/>
      <c r="JJ124" s="7"/>
      <c r="JK124" s="7"/>
      <c r="JL124" s="7"/>
      <c r="JM124" s="7"/>
      <c r="JO124" s="7"/>
      <c r="JP124" s="7"/>
      <c r="JQ124" s="7"/>
      <c r="JR124" s="7"/>
      <c r="JT124" s="7"/>
      <c r="JU124" s="7"/>
      <c r="JV124" s="7"/>
      <c r="JW124" s="7"/>
      <c r="JX124" s="7"/>
    </row>
    <row r="125" spans="1:284" x14ac:dyDescent="0.3">
      <c r="A125" t="s">
        <v>290</v>
      </c>
      <c r="B125" s="10" t="s">
        <v>40</v>
      </c>
      <c r="C125" s="7"/>
      <c r="D125" s="7"/>
      <c r="E125" s="10" t="s">
        <v>40</v>
      </c>
      <c r="F125" s="7"/>
      <c r="G125" s="7"/>
      <c r="H125" s="10" t="s">
        <v>40</v>
      </c>
      <c r="I125" s="9"/>
      <c r="J125" s="9"/>
      <c r="K125" s="10" t="s">
        <v>40</v>
      </c>
      <c r="L125" s="7"/>
      <c r="M125" s="7"/>
      <c r="N125" s="10" t="s">
        <v>40</v>
      </c>
      <c r="O125" s="7"/>
      <c r="P125" s="7"/>
      <c r="Q125" s="10" t="s">
        <v>40</v>
      </c>
      <c r="R125" s="7"/>
      <c r="S125" s="7"/>
      <c r="T125" s="10" t="s">
        <v>40</v>
      </c>
      <c r="U125" s="9"/>
      <c r="V125" s="9"/>
      <c r="W125" s="10" t="s">
        <v>40</v>
      </c>
      <c r="X125" s="7"/>
      <c r="Y125" s="7"/>
      <c r="Z125" s="10" t="s">
        <v>40</v>
      </c>
      <c r="AA125" s="7"/>
      <c r="AB125" s="7"/>
      <c r="AC125" s="10" t="s">
        <v>40</v>
      </c>
      <c r="AD125" s="7"/>
      <c r="AE125" s="7"/>
      <c r="AF125" s="10" t="s">
        <v>40</v>
      </c>
      <c r="AG125" s="9"/>
      <c r="AH125" s="9"/>
      <c r="AI125" s="10" t="s">
        <v>40</v>
      </c>
      <c r="AJ125" s="7"/>
      <c r="AK125" s="7"/>
      <c r="AL125" s="10" t="s">
        <v>40</v>
      </c>
      <c r="AM125" s="7"/>
      <c r="AN125" s="7"/>
      <c r="AO125" s="10" t="s">
        <v>40</v>
      </c>
      <c r="AP125" s="7"/>
      <c r="AQ125" s="7"/>
      <c r="AR125" s="10" t="s">
        <v>40</v>
      </c>
      <c r="AS125" s="9"/>
      <c r="AT125" s="9"/>
      <c r="AU125" s="10" t="s">
        <v>40</v>
      </c>
      <c r="AV125" s="7"/>
      <c r="AW125" s="7"/>
      <c r="AX125" s="10" t="s">
        <v>40</v>
      </c>
      <c r="AY125" s="7"/>
      <c r="AZ125" s="7"/>
      <c r="BA125" s="10" t="s">
        <v>40</v>
      </c>
      <c r="BB125" s="7"/>
      <c r="BC125" s="7"/>
      <c r="BD125" s="10" t="s">
        <v>40</v>
      </c>
      <c r="BE125" s="9"/>
      <c r="BF125" s="9"/>
      <c r="BG125" s="10" t="s">
        <v>40</v>
      </c>
      <c r="BH125" s="7"/>
      <c r="BI125" s="7"/>
      <c r="BJ125" s="10" t="s">
        <v>40</v>
      </c>
      <c r="BK125" s="7"/>
      <c r="BL125" s="7"/>
      <c r="BM125" s="10" t="s">
        <v>40</v>
      </c>
      <c r="BN125" s="7"/>
      <c r="BO125" s="7"/>
      <c r="BP125" s="10" t="s">
        <v>40</v>
      </c>
      <c r="BQ125" s="9"/>
      <c r="BR125" s="9"/>
      <c r="BS125" s="10" t="s">
        <v>40</v>
      </c>
      <c r="BT125" s="7"/>
      <c r="BU125" s="7"/>
      <c r="BV125" s="10" t="s">
        <v>40</v>
      </c>
      <c r="BW125" s="7"/>
      <c r="BX125" s="7"/>
      <c r="BY125" s="10" t="s">
        <v>40</v>
      </c>
      <c r="BZ125" s="7"/>
      <c r="CA125" s="7"/>
      <c r="CB125" s="10" t="s">
        <v>40</v>
      </c>
      <c r="CC125" s="9"/>
      <c r="CD125" s="9"/>
      <c r="CE125" s="10" t="s">
        <v>40</v>
      </c>
      <c r="CF125" s="7"/>
      <c r="CG125" s="7"/>
      <c r="CH125" s="10" t="s">
        <v>40</v>
      </c>
      <c r="CI125" s="7"/>
      <c r="CJ125" s="7"/>
      <c r="CK125" s="10" t="s">
        <v>40</v>
      </c>
      <c r="CL125" s="7"/>
      <c r="CM125" s="7"/>
      <c r="CN125" s="10" t="s">
        <v>40</v>
      </c>
      <c r="CO125" s="9"/>
      <c r="CP125" s="9"/>
      <c r="CQ125" s="10" t="s">
        <v>40</v>
      </c>
      <c r="CR125" s="7"/>
      <c r="CS125" s="7"/>
      <c r="CT125" s="10" t="s">
        <v>40</v>
      </c>
      <c r="CU125" s="7"/>
      <c r="CV125" s="7"/>
      <c r="CW125" s="10" t="s">
        <v>40</v>
      </c>
      <c r="CX125" s="7"/>
      <c r="CY125" s="7"/>
      <c r="CZ125" s="10" t="s">
        <v>40</v>
      </c>
      <c r="DA125" s="9"/>
      <c r="DB125" s="9"/>
      <c r="DC125" s="10" t="s">
        <v>40</v>
      </c>
      <c r="DD125" s="7"/>
      <c r="DE125" s="7"/>
      <c r="DF125" s="10" t="s">
        <v>40</v>
      </c>
      <c r="DG125" s="7"/>
      <c r="DH125" s="7"/>
      <c r="DI125" s="10" t="s">
        <v>40</v>
      </c>
      <c r="DJ125" s="7"/>
      <c r="DK125" s="7"/>
      <c r="DL125" s="10" t="s">
        <v>40</v>
      </c>
      <c r="DM125" s="9"/>
      <c r="DN125" s="9"/>
      <c r="DO125" s="10" t="s">
        <v>40</v>
      </c>
      <c r="DP125" s="7"/>
      <c r="DQ125" s="7"/>
      <c r="DR125" s="10" t="s">
        <v>40</v>
      </c>
      <c r="DS125" s="7"/>
      <c r="DT125" s="7"/>
      <c r="DU125" s="10" t="s">
        <v>40</v>
      </c>
      <c r="DV125" s="7"/>
      <c r="DW125" s="7"/>
      <c r="DX125" s="10" t="s">
        <v>40</v>
      </c>
      <c r="DY125" s="9"/>
      <c r="DZ125" s="9"/>
      <c r="EA125" s="10" t="s">
        <v>40</v>
      </c>
      <c r="EB125" s="7"/>
      <c r="EC125" s="7"/>
      <c r="ED125" s="10" t="s">
        <v>40</v>
      </c>
      <c r="EE125" s="7"/>
      <c r="EF125" s="7"/>
      <c r="EG125" s="10" t="s">
        <v>40</v>
      </c>
      <c r="EH125" s="7"/>
      <c r="EI125" s="7"/>
      <c r="EJ125" s="10" t="s">
        <v>40</v>
      </c>
      <c r="EK125" s="9"/>
      <c r="EL125" s="9"/>
      <c r="EM125" s="10" t="s">
        <v>40</v>
      </c>
      <c r="EN125" s="7"/>
      <c r="EO125" s="7"/>
      <c r="EP125" s="10" t="s">
        <v>40</v>
      </c>
      <c r="EQ125" s="7"/>
      <c r="ER125" s="7"/>
      <c r="ES125" s="10" t="s">
        <v>40</v>
      </c>
      <c r="ET125" s="7"/>
      <c r="EU125" s="7"/>
      <c r="EV125" s="10" t="s">
        <v>40</v>
      </c>
      <c r="EW125" s="9"/>
      <c r="EX125" s="9"/>
      <c r="EY125" s="10" t="s">
        <v>40</v>
      </c>
      <c r="EZ125" s="7"/>
      <c r="FA125" s="7"/>
      <c r="FB125" s="10" t="s">
        <v>40</v>
      </c>
      <c r="FC125" s="7"/>
      <c r="FD125" s="7"/>
      <c r="FE125" s="10" t="s">
        <v>40</v>
      </c>
      <c r="FF125" s="7"/>
      <c r="FG125" s="7"/>
      <c r="FH125" s="10" t="s">
        <v>40</v>
      </c>
      <c r="FI125" s="9"/>
      <c r="FJ125" s="9"/>
      <c r="FK125" s="10" t="s">
        <v>40</v>
      </c>
      <c r="FL125" s="7"/>
      <c r="FM125" s="7"/>
      <c r="FN125" s="10" t="s">
        <v>40</v>
      </c>
      <c r="FO125" s="7"/>
      <c r="FP125" s="7"/>
      <c r="FQ125" s="10" t="s">
        <v>40</v>
      </c>
      <c r="FR125" s="7">
        <v>40</v>
      </c>
      <c r="FS125" s="7">
        <v>150</v>
      </c>
      <c r="FT125" s="10" t="s">
        <v>40</v>
      </c>
      <c r="FU125" s="9"/>
      <c r="FV125" s="9"/>
      <c r="FW125" s="10" t="s">
        <v>40</v>
      </c>
      <c r="FX125" s="7"/>
      <c r="FY125" s="7"/>
      <c r="FZ125" s="10" t="s">
        <v>40</v>
      </c>
      <c r="GA125" s="7"/>
      <c r="GB125" s="7"/>
      <c r="GC125" s="10" t="s">
        <v>40</v>
      </c>
      <c r="GD125" s="7"/>
      <c r="GE125" s="7"/>
      <c r="GF125" s="10" t="s">
        <v>40</v>
      </c>
      <c r="GG125" s="7"/>
      <c r="GH125" s="7"/>
      <c r="GI125" s="10" t="s">
        <v>40</v>
      </c>
      <c r="GJ125" s="7"/>
      <c r="GK125" s="7"/>
      <c r="GL125" s="10" t="s">
        <v>40</v>
      </c>
      <c r="GM125" s="7"/>
      <c r="GN125" s="7"/>
      <c r="GO125" s="6" t="s">
        <v>40</v>
      </c>
      <c r="GP125" s="7">
        <v>11</v>
      </c>
      <c r="GQ125" s="7">
        <v>50</v>
      </c>
      <c r="GR125" s="10"/>
      <c r="GS125" s="7"/>
      <c r="GT125" s="7"/>
      <c r="GU125" s="10"/>
      <c r="GV125" s="7"/>
      <c r="GW125" s="7"/>
      <c r="GX125" s="10" t="s">
        <v>40</v>
      </c>
      <c r="GY125" s="7"/>
      <c r="GZ125" s="7"/>
      <c r="HA125" s="10" t="s">
        <v>40</v>
      </c>
      <c r="HB125" s="7">
        <v>20</v>
      </c>
      <c r="HC125" s="7">
        <v>100</v>
      </c>
      <c r="HD125" s="10" t="s">
        <v>40</v>
      </c>
      <c r="HE125" s="7"/>
      <c r="HF125" s="7"/>
      <c r="HG125" s="10" t="s">
        <v>40</v>
      </c>
      <c r="HH125" s="7"/>
      <c r="HI125" s="7"/>
      <c r="HJ125" s="10" t="s">
        <v>40</v>
      </c>
      <c r="HK125" s="7"/>
      <c r="HL125" s="7"/>
      <c r="HM125" s="10" t="s">
        <v>40</v>
      </c>
      <c r="HN125" s="7">
        <v>25</v>
      </c>
      <c r="HO125" s="7">
        <v>100</v>
      </c>
      <c r="HP125" s="10" t="s">
        <v>40</v>
      </c>
      <c r="HQ125" s="7"/>
      <c r="HR125" s="7"/>
      <c r="HS125" s="10" t="s">
        <v>40</v>
      </c>
      <c r="HT125" s="7"/>
      <c r="HU125" s="7"/>
      <c r="HV125" s="10" t="s">
        <v>40</v>
      </c>
      <c r="HW125" s="7"/>
      <c r="HX125" s="7"/>
      <c r="HY125" s="6" t="s">
        <v>40</v>
      </c>
      <c r="HZ125" s="7">
        <v>20</v>
      </c>
      <c r="IA125" s="7">
        <v>80</v>
      </c>
      <c r="IC125" s="7"/>
      <c r="ID125" s="7"/>
      <c r="IE125" s="10"/>
      <c r="IF125" s="7"/>
      <c r="IG125" s="7"/>
      <c r="II125" s="7"/>
      <c r="IJ125" s="7"/>
      <c r="IK125" s="7"/>
      <c r="IL125" s="7"/>
      <c r="IM125" s="7"/>
      <c r="IN125" s="7"/>
      <c r="IP125" s="7"/>
      <c r="IQ125" s="7"/>
      <c r="IR125" s="7"/>
      <c r="IS125" s="7"/>
      <c r="IT125" s="7"/>
      <c r="IU125" s="7"/>
      <c r="IV125" s="7"/>
      <c r="IW125" s="7"/>
      <c r="IX125" s="7"/>
      <c r="IY125" s="7"/>
      <c r="IZ125" s="7"/>
      <c r="JA125" s="7"/>
      <c r="JB125" s="7"/>
      <c r="JC125" s="7"/>
      <c r="JE125" s="7"/>
      <c r="JF125" s="7"/>
      <c r="JH125" s="7"/>
      <c r="JI125" s="7"/>
      <c r="JJ125" s="7"/>
      <c r="JK125" s="7"/>
      <c r="JL125" s="7"/>
      <c r="JM125" s="7"/>
      <c r="JO125" s="7"/>
      <c r="JP125" s="7"/>
      <c r="JQ125" s="7"/>
      <c r="JR125" s="7"/>
      <c r="JT125" s="7"/>
      <c r="JU125" s="7"/>
      <c r="JV125" s="7"/>
      <c r="JW125" s="7"/>
      <c r="JX125" s="7"/>
    </row>
    <row r="126" spans="1:284" x14ac:dyDescent="0.3">
      <c r="A126" t="s">
        <v>291</v>
      </c>
      <c r="B126" s="10" t="s">
        <v>40</v>
      </c>
      <c r="C126" s="7"/>
      <c r="D126" s="7"/>
      <c r="E126" s="10" t="s">
        <v>40</v>
      </c>
      <c r="F126" s="7"/>
      <c r="G126" s="7"/>
      <c r="H126" s="10" t="s">
        <v>40</v>
      </c>
      <c r="I126" s="9"/>
      <c r="J126" s="9"/>
      <c r="K126" s="10" t="s">
        <v>40</v>
      </c>
      <c r="L126" s="7"/>
      <c r="M126" s="7"/>
      <c r="N126" s="10" t="s">
        <v>40</v>
      </c>
      <c r="O126" s="7"/>
      <c r="P126" s="7"/>
      <c r="Q126" s="10" t="s">
        <v>40</v>
      </c>
      <c r="R126" s="7"/>
      <c r="S126" s="7"/>
      <c r="T126" s="10" t="s">
        <v>40</v>
      </c>
      <c r="U126" s="9"/>
      <c r="V126" s="9"/>
      <c r="W126" s="10" t="s">
        <v>40</v>
      </c>
      <c r="X126" s="7"/>
      <c r="Y126" s="7"/>
      <c r="Z126" s="10" t="s">
        <v>40</v>
      </c>
      <c r="AA126" s="7"/>
      <c r="AB126" s="7"/>
      <c r="AC126" s="10" t="s">
        <v>40</v>
      </c>
      <c r="AD126" s="7"/>
      <c r="AE126" s="7"/>
      <c r="AF126" s="10" t="s">
        <v>40</v>
      </c>
      <c r="AG126" s="9"/>
      <c r="AH126" s="9"/>
      <c r="AI126" s="10" t="s">
        <v>40</v>
      </c>
      <c r="AJ126" s="7"/>
      <c r="AK126" s="7"/>
      <c r="AL126" s="10" t="s">
        <v>40</v>
      </c>
      <c r="AM126" s="7"/>
      <c r="AN126" s="7"/>
      <c r="AO126" s="10" t="s">
        <v>40</v>
      </c>
      <c r="AP126" s="7"/>
      <c r="AQ126" s="7"/>
      <c r="AR126" s="10" t="s">
        <v>40</v>
      </c>
      <c r="AS126" s="9"/>
      <c r="AT126" s="9"/>
      <c r="AU126" s="10" t="s">
        <v>40</v>
      </c>
      <c r="AV126" s="7"/>
      <c r="AW126" s="7"/>
      <c r="AX126" s="10" t="s">
        <v>40</v>
      </c>
      <c r="AY126" s="7"/>
      <c r="AZ126" s="7"/>
      <c r="BA126" s="10" t="s">
        <v>40</v>
      </c>
      <c r="BB126" s="7"/>
      <c r="BC126" s="7"/>
      <c r="BD126" s="10" t="s">
        <v>40</v>
      </c>
      <c r="BE126" s="9"/>
      <c r="BF126" s="9"/>
      <c r="BG126" s="10" t="s">
        <v>40</v>
      </c>
      <c r="BH126" s="7"/>
      <c r="BI126" s="7"/>
      <c r="BJ126" s="10" t="s">
        <v>40</v>
      </c>
      <c r="BK126" s="7"/>
      <c r="BL126" s="7"/>
      <c r="BM126" s="10" t="s">
        <v>40</v>
      </c>
      <c r="BN126" s="7"/>
      <c r="BO126" s="7"/>
      <c r="BP126" s="10" t="s">
        <v>40</v>
      </c>
      <c r="BQ126" s="9"/>
      <c r="BR126" s="9"/>
      <c r="BS126" s="10" t="s">
        <v>40</v>
      </c>
      <c r="BT126" s="7"/>
      <c r="BU126" s="7"/>
      <c r="BV126" s="10" t="s">
        <v>40</v>
      </c>
      <c r="BW126" s="7"/>
      <c r="BX126" s="7"/>
      <c r="BY126" s="10" t="s">
        <v>40</v>
      </c>
      <c r="BZ126" s="7"/>
      <c r="CA126" s="7"/>
      <c r="CB126" s="10" t="s">
        <v>40</v>
      </c>
      <c r="CC126" s="9"/>
      <c r="CD126" s="9"/>
      <c r="CE126" s="10" t="s">
        <v>40</v>
      </c>
      <c r="CF126" s="7"/>
      <c r="CG126" s="7"/>
      <c r="CH126" s="10" t="s">
        <v>40</v>
      </c>
      <c r="CI126" s="7"/>
      <c r="CJ126" s="7"/>
      <c r="CK126" s="10" t="s">
        <v>40</v>
      </c>
      <c r="CL126" s="7"/>
      <c r="CM126" s="7"/>
      <c r="CN126" s="10" t="s">
        <v>40</v>
      </c>
      <c r="CO126" s="9"/>
      <c r="CP126" s="9"/>
      <c r="CQ126" s="10" t="s">
        <v>40</v>
      </c>
      <c r="CR126" s="7"/>
      <c r="CS126" s="7"/>
      <c r="CT126" s="10" t="s">
        <v>40</v>
      </c>
      <c r="CU126" s="7"/>
      <c r="CV126" s="7"/>
      <c r="CW126" s="10" t="s">
        <v>40</v>
      </c>
      <c r="CX126" s="7"/>
      <c r="CY126" s="7"/>
      <c r="CZ126" s="10" t="s">
        <v>40</v>
      </c>
      <c r="DA126" s="9"/>
      <c r="DB126" s="9"/>
      <c r="DC126" s="10" t="s">
        <v>40</v>
      </c>
      <c r="DD126" s="7"/>
      <c r="DE126" s="7"/>
      <c r="DF126" s="10" t="s">
        <v>40</v>
      </c>
      <c r="DG126" s="7"/>
      <c r="DH126" s="7"/>
      <c r="DI126" s="10" t="s">
        <v>40</v>
      </c>
      <c r="DJ126" s="7"/>
      <c r="DK126" s="7"/>
      <c r="DL126" s="10" t="s">
        <v>40</v>
      </c>
      <c r="DM126" s="9"/>
      <c r="DN126" s="9"/>
      <c r="DO126" s="10" t="s">
        <v>40</v>
      </c>
      <c r="DP126" s="7"/>
      <c r="DQ126" s="7"/>
      <c r="DR126" s="10" t="s">
        <v>40</v>
      </c>
      <c r="DS126" s="7"/>
      <c r="DT126" s="7"/>
      <c r="DU126" s="10" t="s">
        <v>40</v>
      </c>
      <c r="DV126" s="7"/>
      <c r="DW126" s="7"/>
      <c r="DX126" s="10" t="s">
        <v>40</v>
      </c>
      <c r="DY126" s="9"/>
      <c r="DZ126" s="9"/>
      <c r="EA126" s="10" t="s">
        <v>40</v>
      </c>
      <c r="EB126" s="7"/>
      <c r="EC126" s="7"/>
      <c r="ED126" s="10" t="s">
        <v>40</v>
      </c>
      <c r="EE126" s="7"/>
      <c r="EF126" s="7"/>
      <c r="EG126" s="10" t="s">
        <v>40</v>
      </c>
      <c r="EH126" s="7"/>
      <c r="EI126" s="7"/>
      <c r="EJ126" s="10" t="s">
        <v>40</v>
      </c>
      <c r="EK126" s="9"/>
      <c r="EL126" s="9"/>
      <c r="EM126" s="10" t="s">
        <v>40</v>
      </c>
      <c r="EN126" s="7"/>
      <c r="EO126" s="7"/>
      <c r="EP126" s="10" t="s">
        <v>40</v>
      </c>
      <c r="EQ126" s="7"/>
      <c r="ER126" s="7"/>
      <c r="ES126" s="10" t="s">
        <v>40</v>
      </c>
      <c r="ET126" s="7"/>
      <c r="EU126" s="7"/>
      <c r="EV126" s="10" t="s">
        <v>40</v>
      </c>
      <c r="EW126" s="9"/>
      <c r="EX126" s="9"/>
      <c r="EY126" s="10" t="s">
        <v>40</v>
      </c>
      <c r="EZ126" s="7"/>
      <c r="FA126" s="7"/>
      <c r="FB126" s="10" t="s">
        <v>40</v>
      </c>
      <c r="FC126" s="7"/>
      <c r="FD126" s="7"/>
      <c r="FE126" s="10" t="s">
        <v>40</v>
      </c>
      <c r="FF126" s="7"/>
      <c r="FG126" s="7"/>
      <c r="FH126" s="10" t="s">
        <v>40</v>
      </c>
      <c r="FI126" s="9"/>
      <c r="FJ126" s="9"/>
      <c r="FK126" s="10" t="s">
        <v>40</v>
      </c>
      <c r="FL126" s="7"/>
      <c r="FM126" s="7"/>
      <c r="FN126" s="10" t="s">
        <v>40</v>
      </c>
      <c r="FO126" s="7"/>
      <c r="FP126" s="7"/>
      <c r="FQ126" s="10" t="s">
        <v>40</v>
      </c>
      <c r="FR126" s="7"/>
      <c r="FS126" s="7"/>
      <c r="FT126" s="10" t="s">
        <v>40</v>
      </c>
      <c r="FU126" s="9">
        <v>25</v>
      </c>
      <c r="FV126" s="9">
        <v>300</v>
      </c>
      <c r="FW126" s="10" t="s">
        <v>40</v>
      </c>
      <c r="FX126" s="7"/>
      <c r="FY126" s="7"/>
      <c r="FZ126" s="10" t="s">
        <v>40</v>
      </c>
      <c r="GA126" s="7"/>
      <c r="GB126" s="7"/>
      <c r="GC126" s="10" t="s">
        <v>40</v>
      </c>
      <c r="GD126" s="7"/>
      <c r="GE126" s="7"/>
      <c r="GF126" s="10" t="s">
        <v>40</v>
      </c>
      <c r="GG126" s="7">
        <v>18</v>
      </c>
      <c r="GH126" s="7">
        <v>250</v>
      </c>
      <c r="GI126" s="10" t="s">
        <v>40</v>
      </c>
      <c r="GJ126" s="7"/>
      <c r="GK126" s="7"/>
      <c r="GL126" s="10" t="s">
        <v>40</v>
      </c>
      <c r="GM126" s="7"/>
      <c r="GN126" s="7"/>
      <c r="GO126" s="6" t="s">
        <v>40</v>
      </c>
      <c r="GP126" s="7"/>
      <c r="GQ126" s="7"/>
      <c r="GR126" s="6" t="s">
        <v>40</v>
      </c>
      <c r="GS126" s="7">
        <v>18</v>
      </c>
      <c r="GT126" s="7">
        <v>300</v>
      </c>
      <c r="GU126" s="10"/>
      <c r="GV126" s="7"/>
      <c r="GW126" s="7"/>
      <c r="GX126" s="10" t="s">
        <v>40</v>
      </c>
      <c r="GY126" s="7"/>
      <c r="GZ126" s="7"/>
      <c r="HA126" s="10" t="s">
        <v>40</v>
      </c>
      <c r="HB126" s="7"/>
      <c r="HC126" s="7"/>
      <c r="HD126" s="10" t="s">
        <v>40</v>
      </c>
      <c r="HE126" s="7">
        <v>25</v>
      </c>
      <c r="HF126" s="7">
        <v>350</v>
      </c>
      <c r="HG126" s="10" t="s">
        <v>40</v>
      </c>
      <c r="HH126" s="7"/>
      <c r="HI126" s="7"/>
      <c r="HJ126" s="10" t="s">
        <v>40</v>
      </c>
      <c r="HK126" s="7"/>
      <c r="HL126" s="7"/>
      <c r="HM126" s="10" t="s">
        <v>40</v>
      </c>
      <c r="HN126" s="7"/>
      <c r="HO126" s="7"/>
      <c r="HP126" s="10" t="s">
        <v>40</v>
      </c>
      <c r="HQ126" s="7">
        <v>25</v>
      </c>
      <c r="HR126" s="7">
        <v>360</v>
      </c>
      <c r="HS126" s="10" t="s">
        <v>40</v>
      </c>
      <c r="HT126" s="7"/>
      <c r="HU126" s="7"/>
      <c r="HV126" s="10" t="s">
        <v>40</v>
      </c>
      <c r="HW126" s="7"/>
      <c r="HX126" s="7"/>
      <c r="HY126" s="6" t="s">
        <v>40</v>
      </c>
      <c r="HZ126" s="7"/>
      <c r="IA126" s="7"/>
      <c r="IB126" s="6" t="s">
        <v>40</v>
      </c>
      <c r="IC126" s="7">
        <v>9</v>
      </c>
      <c r="ID126" s="7">
        <v>240</v>
      </c>
      <c r="IE126" s="10"/>
      <c r="IF126" s="7"/>
      <c r="IG126" s="7"/>
      <c r="II126" s="7"/>
      <c r="IJ126" s="7"/>
      <c r="IK126" s="7"/>
      <c r="IL126" s="7"/>
      <c r="IM126" s="7"/>
      <c r="IN126" s="7"/>
      <c r="IP126" s="7"/>
      <c r="IQ126" s="7"/>
      <c r="IR126" s="7"/>
      <c r="IS126" s="7"/>
      <c r="IT126" s="7"/>
      <c r="IU126" s="7"/>
      <c r="IV126" s="7"/>
      <c r="IW126" s="7"/>
      <c r="IX126" s="7"/>
      <c r="IY126" s="7"/>
      <c r="IZ126" s="7"/>
      <c r="JA126" s="7"/>
      <c r="JB126" s="7"/>
      <c r="JC126" s="7"/>
      <c r="JE126" s="7"/>
      <c r="JF126" s="7"/>
      <c r="JH126" s="7"/>
      <c r="JI126" s="7"/>
      <c r="JJ126" s="7"/>
      <c r="JK126" s="7"/>
      <c r="JL126" s="7"/>
      <c r="JM126" s="7"/>
      <c r="JO126" s="7"/>
      <c r="JP126" s="7"/>
      <c r="JQ126" s="7"/>
      <c r="JR126" s="7"/>
      <c r="JT126" s="7"/>
      <c r="JU126" s="7"/>
      <c r="JV126" s="7"/>
      <c r="JW126" s="7"/>
      <c r="JX126" s="7"/>
    </row>
    <row r="127" spans="1:284" x14ac:dyDescent="0.3">
      <c r="A127" t="s">
        <v>292</v>
      </c>
      <c r="B127" s="10" t="s">
        <v>40</v>
      </c>
      <c r="C127" s="7"/>
      <c r="D127" s="7"/>
      <c r="E127" s="10" t="s">
        <v>40</v>
      </c>
      <c r="F127" s="7"/>
      <c r="G127" s="7"/>
      <c r="I127" s="9"/>
      <c r="J127" s="9"/>
      <c r="L127" s="7"/>
      <c r="M127" s="7"/>
      <c r="N127" s="10" t="s">
        <v>40</v>
      </c>
      <c r="O127" s="7"/>
      <c r="P127" s="7"/>
      <c r="Q127" s="10" t="s">
        <v>40</v>
      </c>
      <c r="R127" s="7"/>
      <c r="S127" s="7"/>
      <c r="U127" s="9"/>
      <c r="V127" s="9"/>
      <c r="X127" s="7"/>
      <c r="Y127" s="7"/>
      <c r="Z127" s="10" t="s">
        <v>40</v>
      </c>
      <c r="AA127" s="7"/>
      <c r="AB127" s="7"/>
      <c r="AC127" s="10" t="s">
        <v>40</v>
      </c>
      <c r="AD127" s="7"/>
      <c r="AE127" s="7"/>
      <c r="AG127" s="9"/>
      <c r="AH127" s="9"/>
      <c r="AJ127" s="7"/>
      <c r="AK127" s="7"/>
      <c r="AL127" s="10" t="s">
        <v>40</v>
      </c>
      <c r="AM127" s="7"/>
      <c r="AN127" s="7"/>
      <c r="AO127" s="10" t="s">
        <v>40</v>
      </c>
      <c r="AP127" s="7"/>
      <c r="AQ127" s="7"/>
      <c r="AS127" s="9"/>
      <c r="AT127" s="9"/>
      <c r="AV127" s="7"/>
      <c r="AW127" s="7"/>
      <c r="AX127" s="10" t="s">
        <v>40</v>
      </c>
      <c r="AY127" s="7"/>
      <c r="AZ127" s="7"/>
      <c r="BA127" s="10" t="s">
        <v>40</v>
      </c>
      <c r="BB127" s="7"/>
      <c r="BC127" s="7"/>
      <c r="BE127" s="9"/>
      <c r="BF127" s="9"/>
      <c r="BH127" s="7"/>
      <c r="BI127" s="7"/>
      <c r="BJ127" s="10" t="s">
        <v>40</v>
      </c>
      <c r="BK127" s="7"/>
      <c r="BL127" s="7"/>
      <c r="BM127" s="10" t="s">
        <v>40</v>
      </c>
      <c r="BN127" s="7"/>
      <c r="BO127" s="7"/>
      <c r="BQ127" s="9"/>
      <c r="BR127" s="9"/>
      <c r="BT127" s="7"/>
      <c r="BU127" s="7"/>
      <c r="BV127" s="10" t="s">
        <v>40</v>
      </c>
      <c r="BW127" s="7"/>
      <c r="BX127" s="7"/>
      <c r="BY127" s="10" t="s">
        <v>40</v>
      </c>
      <c r="BZ127" s="7"/>
      <c r="CA127" s="7"/>
      <c r="CC127" s="9"/>
      <c r="CD127" s="9"/>
      <c r="CF127" s="7"/>
      <c r="CG127" s="7"/>
      <c r="CH127" s="10" t="s">
        <v>40</v>
      </c>
      <c r="CI127" s="7"/>
      <c r="CJ127" s="7"/>
      <c r="CK127" s="10" t="s">
        <v>40</v>
      </c>
      <c r="CL127" s="7"/>
      <c r="CM127" s="7"/>
      <c r="CO127" s="9"/>
      <c r="CP127" s="9"/>
      <c r="CR127" s="7"/>
      <c r="CS127" s="7"/>
      <c r="CT127" s="10" t="s">
        <v>40</v>
      </c>
      <c r="CU127" s="7"/>
      <c r="CV127" s="7"/>
      <c r="CW127" s="10" t="s">
        <v>40</v>
      </c>
      <c r="CX127" s="7"/>
      <c r="CY127" s="7"/>
      <c r="DA127" s="9"/>
      <c r="DB127" s="9"/>
      <c r="DD127" s="7"/>
      <c r="DE127" s="7"/>
      <c r="DF127" s="10" t="s">
        <v>40</v>
      </c>
      <c r="DG127" s="7"/>
      <c r="DH127" s="7"/>
      <c r="DI127" s="10" t="s">
        <v>40</v>
      </c>
      <c r="DJ127" s="7"/>
      <c r="DK127" s="7"/>
      <c r="DM127" s="9"/>
      <c r="DN127" s="9"/>
      <c r="DP127" s="7"/>
      <c r="DQ127" s="7"/>
      <c r="DR127" s="10" t="s">
        <v>40</v>
      </c>
      <c r="DS127" s="7"/>
      <c r="DT127" s="7"/>
      <c r="DU127" s="10" t="s">
        <v>40</v>
      </c>
      <c r="DV127" s="7"/>
      <c r="DW127" s="7"/>
      <c r="DY127" s="9"/>
      <c r="DZ127" s="9"/>
      <c r="EB127" s="7"/>
      <c r="EC127" s="7"/>
      <c r="ED127" s="10" t="s">
        <v>40</v>
      </c>
      <c r="EE127" s="7"/>
      <c r="EF127" s="7"/>
      <c r="EG127" s="10" t="s">
        <v>40</v>
      </c>
      <c r="EH127" s="7"/>
      <c r="EI127" s="7"/>
      <c r="EK127" s="9"/>
      <c r="EL127" s="9"/>
      <c r="EN127" s="7"/>
      <c r="EO127" s="7"/>
      <c r="EP127" s="10" t="s">
        <v>40</v>
      </c>
      <c r="EQ127" s="7"/>
      <c r="ER127" s="7"/>
      <c r="ES127" s="10" t="s">
        <v>40</v>
      </c>
      <c r="ET127" s="7"/>
      <c r="EU127" s="7"/>
      <c r="EW127" s="9"/>
      <c r="EX127" s="9"/>
      <c r="EZ127" s="7"/>
      <c r="FA127" s="7"/>
      <c r="FB127" s="10" t="s">
        <v>40</v>
      </c>
      <c r="FC127" s="7"/>
      <c r="FD127" s="7"/>
      <c r="FE127" s="10" t="s">
        <v>40</v>
      </c>
      <c r="FF127" s="7"/>
      <c r="FG127" s="7"/>
      <c r="FI127" s="9"/>
      <c r="FJ127" s="9"/>
      <c r="FL127" s="7"/>
      <c r="FM127" s="7"/>
      <c r="FN127" s="10" t="s">
        <v>40</v>
      </c>
      <c r="FO127" s="7"/>
      <c r="FP127" s="7"/>
      <c r="FQ127" s="6" t="s">
        <v>40</v>
      </c>
      <c r="FR127" s="7">
        <v>4</v>
      </c>
      <c r="FS127" s="7">
        <v>250</v>
      </c>
      <c r="FU127" s="9"/>
      <c r="FV127" s="9"/>
      <c r="FX127" s="7"/>
      <c r="FY127" s="7"/>
      <c r="GA127" s="7"/>
      <c r="GB127" s="7"/>
      <c r="GD127" s="7"/>
      <c r="GE127" s="7"/>
      <c r="GG127" s="7"/>
      <c r="GH127" s="7"/>
      <c r="GJ127" s="7"/>
      <c r="GK127" s="7"/>
      <c r="GM127" s="7"/>
      <c r="GN127" s="7"/>
      <c r="GO127" s="6"/>
      <c r="GP127" s="7"/>
      <c r="GQ127" s="7"/>
      <c r="GR127" s="6"/>
      <c r="GS127" s="7"/>
      <c r="GT127" s="7"/>
      <c r="GU127" s="10"/>
      <c r="GV127" s="7"/>
      <c r="GW127" s="7"/>
      <c r="GX127" s="10" t="s">
        <v>40</v>
      </c>
      <c r="GY127" s="7"/>
      <c r="GZ127" s="7"/>
      <c r="HA127" s="10" t="s">
        <v>40</v>
      </c>
      <c r="HB127" s="7"/>
      <c r="HC127" s="7"/>
      <c r="HD127" s="10" t="s">
        <v>40</v>
      </c>
      <c r="HE127" s="7"/>
      <c r="HF127" s="7"/>
      <c r="HG127" s="10" t="s">
        <v>40</v>
      </c>
      <c r="HH127" s="7"/>
      <c r="HI127" s="7"/>
      <c r="HJ127" s="10" t="s">
        <v>40</v>
      </c>
      <c r="HK127" s="7"/>
      <c r="HL127" s="7"/>
      <c r="HM127" s="10" t="s">
        <v>40</v>
      </c>
      <c r="HN127" s="7">
        <v>3</v>
      </c>
      <c r="HO127" s="7">
        <v>120</v>
      </c>
      <c r="HP127" s="10" t="s">
        <v>40</v>
      </c>
      <c r="HQ127" s="7"/>
      <c r="HR127" s="7"/>
      <c r="HS127" s="10" t="s">
        <v>40</v>
      </c>
      <c r="HT127" s="7"/>
      <c r="HU127" s="7"/>
      <c r="HV127" s="10" t="s">
        <v>40</v>
      </c>
      <c r="HW127" s="7"/>
      <c r="HX127" s="7"/>
      <c r="HY127" s="6" t="s">
        <v>40</v>
      </c>
      <c r="HZ127" s="7">
        <v>5</v>
      </c>
      <c r="IA127" s="7">
        <v>200</v>
      </c>
      <c r="IB127" s="6"/>
      <c r="IC127" s="7"/>
      <c r="ID127" s="7"/>
      <c r="IE127" s="10"/>
      <c r="IF127" s="7"/>
      <c r="IG127" s="7"/>
      <c r="II127" s="7"/>
      <c r="IJ127" s="7"/>
      <c r="IK127" s="7"/>
      <c r="IL127" s="7"/>
      <c r="IM127" s="7"/>
      <c r="IN127" s="7"/>
      <c r="IP127" s="7"/>
      <c r="IQ127" s="7"/>
      <c r="IR127" s="7"/>
      <c r="IS127" s="7"/>
      <c r="IT127" s="7"/>
      <c r="IU127" s="7"/>
      <c r="IV127" s="7"/>
      <c r="IW127" s="7"/>
      <c r="IX127" s="7"/>
      <c r="IY127" s="7"/>
      <c r="IZ127" s="7"/>
      <c r="JA127" s="7"/>
      <c r="JB127" s="7"/>
      <c r="JC127" s="7"/>
      <c r="JE127" s="7"/>
      <c r="JF127" s="7"/>
      <c r="JH127" s="7"/>
      <c r="JI127" s="7"/>
      <c r="JJ127" s="7"/>
      <c r="JK127" s="7"/>
      <c r="JL127" s="7"/>
      <c r="JM127" s="7"/>
      <c r="JO127" s="7"/>
      <c r="JP127" s="7"/>
      <c r="JQ127" s="7"/>
      <c r="JR127" s="7"/>
      <c r="JT127" s="7"/>
      <c r="JU127" s="7"/>
      <c r="JV127" s="7"/>
      <c r="JW127" s="7"/>
      <c r="JX127" s="7"/>
    </row>
    <row r="128" spans="1:284" x14ac:dyDescent="0.3">
      <c r="A128" t="s">
        <v>293</v>
      </c>
      <c r="C128" s="7"/>
      <c r="D128" s="7"/>
      <c r="F128" s="7"/>
      <c r="G128" s="7"/>
      <c r="I128" s="9"/>
      <c r="J128" s="9"/>
      <c r="L128" s="7"/>
      <c r="M128" s="7"/>
      <c r="O128" s="7"/>
      <c r="P128" s="7"/>
      <c r="R128" s="7"/>
      <c r="S128" s="7"/>
      <c r="U128" s="9"/>
      <c r="V128" s="9"/>
      <c r="X128" s="7"/>
      <c r="Y128" s="7"/>
      <c r="AA128" s="7"/>
      <c r="AB128" s="7"/>
      <c r="AD128" s="7"/>
      <c r="AE128" s="7"/>
      <c r="AG128" s="9"/>
      <c r="AH128" s="9"/>
      <c r="AJ128" s="7"/>
      <c r="AK128" s="7"/>
      <c r="AM128" s="7"/>
      <c r="AN128" s="7"/>
      <c r="AP128" s="7"/>
      <c r="AQ128" s="7"/>
      <c r="AS128" s="9"/>
      <c r="AT128" s="9"/>
      <c r="AV128" s="7"/>
      <c r="AW128" s="7"/>
      <c r="AY128" s="7"/>
      <c r="AZ128" s="7"/>
      <c r="BB128" s="7"/>
      <c r="BC128" s="7"/>
      <c r="BE128" s="9"/>
      <c r="BF128" s="9"/>
      <c r="BH128" s="7"/>
      <c r="BI128" s="7"/>
      <c r="BK128" s="7"/>
      <c r="BL128" s="7"/>
      <c r="BN128" s="7"/>
      <c r="BO128" s="7"/>
      <c r="BQ128" s="9"/>
      <c r="BR128" s="9"/>
      <c r="BT128" s="7"/>
      <c r="BU128" s="7"/>
      <c r="BW128" s="7"/>
      <c r="BX128" s="7"/>
      <c r="BZ128" s="7"/>
      <c r="CA128" s="7"/>
      <c r="CC128" s="9"/>
      <c r="CD128" s="9"/>
      <c r="CF128" s="7"/>
      <c r="CG128" s="7"/>
      <c r="CI128" s="7"/>
      <c r="CJ128" s="7"/>
      <c r="CL128" s="7"/>
      <c r="CM128" s="7"/>
      <c r="CO128" s="9"/>
      <c r="CP128" s="9"/>
      <c r="CR128" s="7"/>
      <c r="CS128" s="7"/>
      <c r="CU128" s="7"/>
      <c r="CV128" s="7"/>
      <c r="CX128" s="7"/>
      <c r="CY128" s="7"/>
      <c r="DA128" s="9"/>
      <c r="DB128" s="9"/>
      <c r="DD128" s="7"/>
      <c r="DE128" s="7"/>
      <c r="DG128" s="7"/>
      <c r="DH128" s="7"/>
      <c r="DJ128" s="7"/>
      <c r="DK128" s="7"/>
      <c r="DM128" s="9"/>
      <c r="DN128" s="9"/>
      <c r="DP128" s="7"/>
      <c r="DQ128" s="7"/>
      <c r="DS128" s="7"/>
      <c r="DT128" s="7"/>
      <c r="DV128" s="7"/>
      <c r="DW128" s="7"/>
      <c r="DY128" s="9"/>
      <c r="DZ128" s="9"/>
      <c r="EB128" s="7"/>
      <c r="EC128" s="7"/>
      <c r="EE128" s="7"/>
      <c r="EF128" s="7"/>
      <c r="EH128" s="7"/>
      <c r="EI128" s="7"/>
      <c r="EK128" s="9"/>
      <c r="EL128" s="9"/>
      <c r="EN128" s="7"/>
      <c r="EO128" s="7"/>
      <c r="EQ128" s="7"/>
      <c r="ER128" s="7"/>
      <c r="ET128" s="7"/>
      <c r="EU128" s="7"/>
      <c r="EW128" s="9"/>
      <c r="EX128" s="9"/>
      <c r="EZ128" s="7"/>
      <c r="FA128" s="7"/>
      <c r="FC128" s="7"/>
      <c r="FD128" s="7"/>
      <c r="FF128" s="7"/>
      <c r="FG128" s="7"/>
      <c r="FI128" s="9"/>
      <c r="FJ128" s="9"/>
      <c r="FL128" s="7"/>
      <c r="FM128" s="7"/>
      <c r="FO128" s="7"/>
      <c r="FP128" s="7"/>
      <c r="FR128" s="7">
        <v>4</v>
      </c>
      <c r="FS128" s="7">
        <v>200</v>
      </c>
      <c r="FU128" s="9"/>
      <c r="FV128" s="9"/>
      <c r="FX128" s="7"/>
      <c r="FY128" s="7"/>
      <c r="GA128" s="7"/>
      <c r="GB128" s="7"/>
      <c r="GD128" s="7"/>
      <c r="GE128" s="7"/>
      <c r="GG128" s="7"/>
      <c r="GH128" s="7"/>
      <c r="GJ128" s="7"/>
      <c r="GK128" s="7"/>
      <c r="GM128" s="7"/>
      <c r="GN128" s="7"/>
      <c r="GO128" s="6"/>
      <c r="GP128" s="7"/>
      <c r="GQ128" s="7"/>
      <c r="GR128" s="6"/>
      <c r="GS128" s="7"/>
      <c r="GT128" s="7"/>
      <c r="GU128" s="10"/>
      <c r="GV128" s="7"/>
      <c r="GW128" s="7"/>
      <c r="GX128" s="10" t="s">
        <v>40</v>
      </c>
      <c r="GY128" s="7"/>
      <c r="GZ128" s="7"/>
      <c r="HA128" s="10" t="s">
        <v>40</v>
      </c>
      <c r="HB128" s="7">
        <v>2</v>
      </c>
      <c r="HC128" s="7"/>
      <c r="HD128" s="10" t="s">
        <v>40</v>
      </c>
      <c r="HE128" s="7"/>
      <c r="HF128" s="7"/>
      <c r="HG128" s="10" t="s">
        <v>40</v>
      </c>
      <c r="HH128" s="7"/>
      <c r="HI128" s="7"/>
      <c r="HJ128" s="10" t="s">
        <v>40</v>
      </c>
      <c r="HK128" s="7"/>
      <c r="HL128" s="7"/>
      <c r="HM128" s="10" t="s">
        <v>40</v>
      </c>
      <c r="HN128" s="7">
        <v>4</v>
      </c>
      <c r="HO128" s="7">
        <v>180</v>
      </c>
      <c r="HP128" s="10" t="s">
        <v>40</v>
      </c>
      <c r="HQ128" s="7"/>
      <c r="HR128" s="7"/>
      <c r="HS128" s="10" t="s">
        <v>40</v>
      </c>
      <c r="HT128" s="7"/>
      <c r="HU128" s="7"/>
      <c r="HV128" s="10" t="s">
        <v>40</v>
      </c>
      <c r="HW128" s="7"/>
      <c r="HX128" s="7"/>
      <c r="HY128" s="6" t="s">
        <v>40</v>
      </c>
      <c r="HZ128" s="7">
        <v>5</v>
      </c>
      <c r="IA128" s="7">
        <v>200</v>
      </c>
      <c r="IB128" s="6"/>
      <c r="IC128" s="7"/>
      <c r="ID128" s="7"/>
      <c r="IE128" s="10"/>
      <c r="IF128" s="7"/>
      <c r="IG128" s="7"/>
      <c r="II128" s="7"/>
      <c r="IJ128" s="7"/>
      <c r="IK128" s="7"/>
      <c r="IL128" s="7"/>
      <c r="IM128" s="7"/>
      <c r="IN128" s="7"/>
      <c r="IP128" s="7"/>
      <c r="IQ128" s="7"/>
      <c r="IR128" s="7"/>
      <c r="IS128" s="7"/>
      <c r="IT128" s="7"/>
      <c r="IU128" s="7"/>
      <c r="IV128" s="7"/>
      <c r="IW128" s="7"/>
      <c r="IX128" s="7"/>
      <c r="IY128" s="7"/>
      <c r="IZ128" s="7"/>
      <c r="JA128" s="7"/>
      <c r="JB128" s="7"/>
      <c r="JC128" s="7"/>
      <c r="JE128" s="7"/>
      <c r="JF128" s="7"/>
      <c r="JH128" s="7"/>
      <c r="JI128" s="7"/>
      <c r="JJ128" s="7"/>
      <c r="JK128" s="7"/>
      <c r="JL128" s="7"/>
      <c r="JM128" s="7"/>
      <c r="JO128" s="7"/>
      <c r="JP128" s="7"/>
      <c r="JQ128" s="7"/>
      <c r="JR128" s="7"/>
      <c r="JT128" s="7"/>
      <c r="JU128" s="7"/>
      <c r="JV128" s="7"/>
      <c r="JW128" s="7"/>
      <c r="JX128" s="7"/>
    </row>
    <row r="129" spans="1:284" x14ac:dyDescent="0.3">
      <c r="A129" t="s">
        <v>294</v>
      </c>
      <c r="B129" s="10" t="s">
        <v>38</v>
      </c>
      <c r="C129" s="7"/>
      <c r="D129" s="7"/>
      <c r="E129" s="10" t="s">
        <v>38</v>
      </c>
      <c r="F129" s="7"/>
      <c r="G129" s="7"/>
      <c r="H129" s="10" t="s">
        <v>38</v>
      </c>
      <c r="I129" s="9"/>
      <c r="J129" s="9"/>
      <c r="K129" s="10" t="s">
        <v>38</v>
      </c>
      <c r="L129" s="7"/>
      <c r="M129" s="7"/>
      <c r="N129" s="10" t="s">
        <v>38</v>
      </c>
      <c r="O129" s="7"/>
      <c r="P129" s="7"/>
      <c r="Q129" s="10" t="s">
        <v>38</v>
      </c>
      <c r="R129" s="7"/>
      <c r="S129" s="7"/>
      <c r="T129" s="10" t="s">
        <v>38</v>
      </c>
      <c r="U129" s="9"/>
      <c r="V129" s="9"/>
      <c r="W129" s="10" t="s">
        <v>38</v>
      </c>
      <c r="X129" s="7"/>
      <c r="Y129" s="7"/>
      <c r="Z129" s="10" t="s">
        <v>38</v>
      </c>
      <c r="AA129" s="7"/>
      <c r="AB129" s="7"/>
      <c r="AC129" s="10" t="s">
        <v>38</v>
      </c>
      <c r="AD129" s="7"/>
      <c r="AE129" s="7"/>
      <c r="AF129" s="10" t="s">
        <v>38</v>
      </c>
      <c r="AG129" s="9"/>
      <c r="AH129" s="9"/>
      <c r="AI129" s="10" t="s">
        <v>38</v>
      </c>
      <c r="AJ129" s="7"/>
      <c r="AK129" s="7"/>
      <c r="AL129" s="10" t="s">
        <v>38</v>
      </c>
      <c r="AM129" s="7"/>
      <c r="AN129" s="7"/>
      <c r="AO129" s="10" t="s">
        <v>38</v>
      </c>
      <c r="AP129" s="7"/>
      <c r="AQ129" s="7"/>
      <c r="AR129" s="10" t="s">
        <v>38</v>
      </c>
      <c r="AS129" s="9"/>
      <c r="AT129" s="9"/>
      <c r="AU129" s="10" t="s">
        <v>38</v>
      </c>
      <c r="AV129" s="7"/>
      <c r="AW129" s="7"/>
      <c r="AX129" s="10" t="s">
        <v>38</v>
      </c>
      <c r="AY129" s="7"/>
      <c r="AZ129" s="7"/>
      <c r="BA129" s="10" t="s">
        <v>38</v>
      </c>
      <c r="BB129" s="7"/>
      <c r="BC129" s="7"/>
      <c r="BD129" s="10" t="s">
        <v>38</v>
      </c>
      <c r="BE129" s="9"/>
      <c r="BF129" s="9"/>
      <c r="BG129" s="10" t="s">
        <v>38</v>
      </c>
      <c r="BH129" s="7"/>
      <c r="BI129" s="7"/>
      <c r="BJ129" s="10" t="s">
        <v>38</v>
      </c>
      <c r="BK129" s="7"/>
      <c r="BL129" s="7"/>
      <c r="BM129" s="10" t="s">
        <v>38</v>
      </c>
      <c r="BN129" s="7"/>
      <c r="BO129" s="7"/>
      <c r="BP129" s="10" t="s">
        <v>38</v>
      </c>
      <c r="BQ129" s="9"/>
      <c r="BR129" s="9"/>
      <c r="BS129" s="10" t="s">
        <v>38</v>
      </c>
      <c r="BT129" s="7"/>
      <c r="BU129" s="7"/>
      <c r="BV129" s="10" t="s">
        <v>38</v>
      </c>
      <c r="BW129" s="7"/>
      <c r="BX129" s="7"/>
      <c r="BY129" s="10" t="s">
        <v>38</v>
      </c>
      <c r="BZ129" s="7"/>
      <c r="CA129" s="7"/>
      <c r="CB129" s="10" t="s">
        <v>38</v>
      </c>
      <c r="CC129" s="9"/>
      <c r="CD129" s="9"/>
      <c r="CE129" s="10" t="s">
        <v>38</v>
      </c>
      <c r="CF129" s="7"/>
      <c r="CG129" s="7"/>
      <c r="CH129" s="10" t="s">
        <v>38</v>
      </c>
      <c r="CI129" s="7"/>
      <c r="CJ129" s="7"/>
      <c r="CK129" s="10" t="s">
        <v>38</v>
      </c>
      <c r="CL129" s="7"/>
      <c r="CM129" s="7"/>
      <c r="CN129" s="10" t="s">
        <v>38</v>
      </c>
      <c r="CO129" s="9"/>
      <c r="CP129" s="9"/>
      <c r="CQ129" s="10" t="s">
        <v>38</v>
      </c>
      <c r="CR129" s="7"/>
      <c r="CS129" s="7"/>
      <c r="CT129" s="10" t="s">
        <v>38</v>
      </c>
      <c r="CU129" s="7"/>
      <c r="CV129" s="7"/>
      <c r="CW129" s="10" t="s">
        <v>38</v>
      </c>
      <c r="CX129" s="7"/>
      <c r="CY129" s="7"/>
      <c r="CZ129" s="10" t="s">
        <v>38</v>
      </c>
      <c r="DA129" s="9"/>
      <c r="DB129" s="9"/>
      <c r="DC129" s="10" t="s">
        <v>38</v>
      </c>
      <c r="DD129" s="7"/>
      <c r="DE129" s="7"/>
      <c r="DF129" s="10" t="s">
        <v>38</v>
      </c>
      <c r="DG129" s="7"/>
      <c r="DH129" s="7"/>
      <c r="DI129" s="10" t="s">
        <v>38</v>
      </c>
      <c r="DJ129" s="7"/>
      <c r="DK129" s="7"/>
      <c r="DL129" s="10" t="s">
        <v>38</v>
      </c>
      <c r="DM129" s="9"/>
      <c r="DN129" s="9"/>
      <c r="DO129" s="10" t="s">
        <v>38</v>
      </c>
      <c r="DP129" s="7"/>
      <c r="DQ129" s="7"/>
      <c r="DR129" s="10" t="s">
        <v>38</v>
      </c>
      <c r="DS129" s="7"/>
      <c r="DT129" s="7"/>
      <c r="DU129" s="10" t="s">
        <v>38</v>
      </c>
      <c r="DV129" s="7"/>
      <c r="DW129" s="7"/>
      <c r="DX129" s="10" t="s">
        <v>38</v>
      </c>
      <c r="DY129" s="9"/>
      <c r="DZ129" s="9"/>
      <c r="EA129" s="10" t="s">
        <v>38</v>
      </c>
      <c r="EB129" s="7"/>
      <c r="EC129" s="7"/>
      <c r="ED129" s="10" t="s">
        <v>38</v>
      </c>
      <c r="EE129" s="7"/>
      <c r="EF129" s="7"/>
      <c r="EG129" s="10" t="s">
        <v>38</v>
      </c>
      <c r="EH129" s="7"/>
      <c r="EI129" s="7"/>
      <c r="EJ129" s="10" t="s">
        <v>38</v>
      </c>
      <c r="EK129" s="9"/>
      <c r="EL129" s="9"/>
      <c r="EM129" s="10" t="s">
        <v>38</v>
      </c>
      <c r="EN129" s="7"/>
      <c r="EO129" s="7"/>
      <c r="EP129" s="10" t="s">
        <v>38</v>
      </c>
      <c r="EQ129" s="7"/>
      <c r="ER129" s="7"/>
      <c r="ES129" s="10" t="s">
        <v>38</v>
      </c>
      <c r="ET129" s="7"/>
      <c r="EU129" s="7"/>
      <c r="EV129" s="10" t="s">
        <v>38</v>
      </c>
      <c r="EW129" s="9"/>
      <c r="EX129" s="9"/>
      <c r="EY129" s="10" t="s">
        <v>38</v>
      </c>
      <c r="EZ129" s="7"/>
      <c r="FA129" s="7"/>
      <c r="FB129" s="10" t="s">
        <v>38</v>
      </c>
      <c r="FC129" s="7"/>
      <c r="FD129" s="7"/>
      <c r="FE129" s="10" t="s">
        <v>38</v>
      </c>
      <c r="FF129" s="7"/>
      <c r="FG129" s="7"/>
      <c r="FH129" s="10" t="s">
        <v>38</v>
      </c>
      <c r="FI129" s="9"/>
      <c r="FJ129" s="9"/>
      <c r="FK129" s="10" t="s">
        <v>38</v>
      </c>
      <c r="FL129" s="7"/>
      <c r="FM129" s="7"/>
      <c r="FN129" s="10" t="s">
        <v>38</v>
      </c>
      <c r="FO129" s="7"/>
      <c r="FP129" s="7"/>
      <c r="FQ129" s="10" t="s">
        <v>38</v>
      </c>
      <c r="FR129" s="7"/>
      <c r="FS129" s="7"/>
      <c r="FT129" s="10" t="s">
        <v>38</v>
      </c>
      <c r="FU129" s="9"/>
      <c r="FV129" s="9"/>
      <c r="FW129" s="10" t="s">
        <v>38</v>
      </c>
      <c r="FX129" s="7">
        <v>150</v>
      </c>
      <c r="FY129" s="7">
        <v>2500</v>
      </c>
      <c r="FZ129" s="10" t="s">
        <v>38</v>
      </c>
      <c r="GA129" s="7"/>
      <c r="GB129" s="7"/>
      <c r="GC129" s="10" t="s">
        <v>38</v>
      </c>
      <c r="GD129" s="7"/>
      <c r="GE129" s="7"/>
      <c r="GF129" s="10" t="s">
        <v>38</v>
      </c>
      <c r="GG129" s="7"/>
      <c r="GH129" s="7"/>
      <c r="GI129" s="10" t="s">
        <v>38</v>
      </c>
      <c r="GJ129" s="7">
        <v>340</v>
      </c>
      <c r="GK129" s="7">
        <v>8241</v>
      </c>
      <c r="GL129" s="10" t="s">
        <v>38</v>
      </c>
      <c r="GM129" s="7"/>
      <c r="GN129" s="7"/>
      <c r="GO129" s="10" t="s">
        <v>38</v>
      </c>
      <c r="GP129" s="7"/>
      <c r="GQ129" s="7"/>
      <c r="GR129" s="10" t="s">
        <v>38</v>
      </c>
      <c r="GS129" s="7"/>
      <c r="GT129" s="7"/>
      <c r="GU129" s="6" t="s">
        <v>38</v>
      </c>
      <c r="GV129" s="7">
        <v>400</v>
      </c>
      <c r="GW129" s="7">
        <v>6300</v>
      </c>
      <c r="GX129" s="10" t="s">
        <v>38</v>
      </c>
      <c r="GY129" s="7"/>
      <c r="GZ129" s="7"/>
      <c r="HA129" s="10" t="s">
        <v>38</v>
      </c>
      <c r="HB129" s="7"/>
      <c r="HC129" s="7"/>
      <c r="HD129" s="10" t="s">
        <v>38</v>
      </c>
      <c r="HE129" s="7"/>
      <c r="HF129" s="7"/>
      <c r="HG129" s="10" t="s">
        <v>38</v>
      </c>
      <c r="HH129" s="7">
        <v>350</v>
      </c>
      <c r="HI129" s="7">
        <v>3500</v>
      </c>
      <c r="HJ129" s="10" t="s">
        <v>38</v>
      </c>
      <c r="HK129" s="7"/>
      <c r="HL129" s="7"/>
      <c r="HM129" s="10" t="s">
        <v>38</v>
      </c>
      <c r="HN129" s="7"/>
      <c r="HO129" s="7"/>
      <c r="HP129" s="10" t="s">
        <v>38</v>
      </c>
      <c r="HQ129" s="7"/>
      <c r="HR129" s="7"/>
      <c r="HS129" s="10" t="s">
        <v>38</v>
      </c>
      <c r="HT129" s="7">
        <v>334</v>
      </c>
      <c r="HU129" s="7">
        <v>3500</v>
      </c>
      <c r="HV129" s="10" t="s">
        <v>38</v>
      </c>
      <c r="HW129" s="7"/>
      <c r="HX129" s="7"/>
      <c r="HY129" s="10" t="s">
        <v>38</v>
      </c>
      <c r="HZ129" s="7"/>
      <c r="IA129" s="7"/>
      <c r="IB129" s="10" t="s">
        <v>38</v>
      </c>
      <c r="IC129" s="7"/>
      <c r="ID129" s="7"/>
      <c r="IE129" s="6" t="s">
        <v>38</v>
      </c>
      <c r="IF129" s="7">
        <v>10</v>
      </c>
      <c r="IG129" s="7">
        <v>100</v>
      </c>
      <c r="II129" s="7"/>
      <c r="IJ129" s="7"/>
      <c r="IK129" s="7"/>
      <c r="IL129" s="7"/>
      <c r="IM129" s="7"/>
      <c r="IN129" s="7"/>
      <c r="IP129" s="7"/>
      <c r="IQ129" s="7"/>
      <c r="IR129" s="7"/>
      <c r="IS129" s="7"/>
      <c r="IT129" s="7"/>
      <c r="IU129" s="7"/>
      <c r="IV129" s="7"/>
      <c r="IW129" s="7"/>
      <c r="IX129" s="7"/>
      <c r="IY129" s="7"/>
      <c r="IZ129" s="7"/>
      <c r="JA129" s="7"/>
      <c r="JB129" s="7"/>
      <c r="JC129" s="7"/>
      <c r="JE129" s="7"/>
      <c r="JF129" s="7"/>
      <c r="JH129" s="7"/>
      <c r="JI129" s="7"/>
      <c r="JJ129" s="7"/>
      <c r="JK129" s="7"/>
      <c r="JL129" s="7"/>
      <c r="JM129" s="7"/>
      <c r="JO129" s="7"/>
      <c r="JP129" s="7"/>
      <c r="JQ129" s="7"/>
      <c r="JR129" s="7"/>
      <c r="JT129" s="7"/>
      <c r="JU129" s="7"/>
      <c r="JV129" s="7"/>
      <c r="JW129" s="7"/>
      <c r="JX129" s="7"/>
    </row>
    <row r="130" spans="1:284" x14ac:dyDescent="0.3">
      <c r="A130" t="s">
        <v>295</v>
      </c>
      <c r="B130" s="10" t="s">
        <v>38</v>
      </c>
      <c r="C130" s="7"/>
      <c r="D130" s="7"/>
      <c r="E130" s="10" t="s">
        <v>38</v>
      </c>
      <c r="F130" s="7"/>
      <c r="G130" s="7"/>
      <c r="H130" s="10" t="s">
        <v>38</v>
      </c>
      <c r="I130" s="9"/>
      <c r="J130" s="9"/>
      <c r="K130" s="10" t="s">
        <v>38</v>
      </c>
      <c r="L130" s="7"/>
      <c r="M130" s="7"/>
      <c r="N130" s="10" t="s">
        <v>38</v>
      </c>
      <c r="O130" s="7"/>
      <c r="P130" s="7"/>
      <c r="Q130" s="10" t="s">
        <v>38</v>
      </c>
      <c r="R130" s="7"/>
      <c r="S130" s="7"/>
      <c r="T130" s="10" t="s">
        <v>38</v>
      </c>
      <c r="U130" s="9"/>
      <c r="V130" s="9"/>
      <c r="W130" s="10" t="s">
        <v>38</v>
      </c>
      <c r="X130" s="7"/>
      <c r="Y130" s="7"/>
      <c r="Z130" s="10" t="s">
        <v>38</v>
      </c>
      <c r="AA130" s="7"/>
      <c r="AB130" s="7"/>
      <c r="AC130" s="10" t="s">
        <v>38</v>
      </c>
      <c r="AD130" s="7"/>
      <c r="AE130" s="7"/>
      <c r="AF130" s="10" t="s">
        <v>38</v>
      </c>
      <c r="AG130" s="9"/>
      <c r="AH130" s="9"/>
      <c r="AI130" s="10" t="s">
        <v>38</v>
      </c>
      <c r="AJ130" s="7"/>
      <c r="AK130" s="7"/>
      <c r="AL130" s="10" t="s">
        <v>38</v>
      </c>
      <c r="AM130" s="7"/>
      <c r="AN130" s="7"/>
      <c r="AO130" s="10" t="s">
        <v>38</v>
      </c>
      <c r="AP130" s="7"/>
      <c r="AQ130" s="7"/>
      <c r="AR130" s="10" t="s">
        <v>38</v>
      </c>
      <c r="AS130" s="9"/>
      <c r="AT130" s="9"/>
      <c r="AU130" s="10" t="s">
        <v>38</v>
      </c>
      <c r="AV130" s="7"/>
      <c r="AW130" s="7"/>
      <c r="AX130" s="10" t="s">
        <v>38</v>
      </c>
      <c r="AY130" s="7"/>
      <c r="AZ130" s="7"/>
      <c r="BA130" s="10" t="s">
        <v>38</v>
      </c>
      <c r="BB130" s="7"/>
      <c r="BC130" s="7"/>
      <c r="BD130" s="10" t="s">
        <v>38</v>
      </c>
      <c r="BE130" s="9"/>
      <c r="BF130" s="9"/>
      <c r="BG130" s="10" t="s">
        <v>38</v>
      </c>
      <c r="BH130" s="7"/>
      <c r="BI130" s="7"/>
      <c r="BJ130" s="10" t="s">
        <v>38</v>
      </c>
      <c r="BK130" s="7"/>
      <c r="BL130" s="7"/>
      <c r="BM130" s="10" t="s">
        <v>38</v>
      </c>
      <c r="BN130" s="7"/>
      <c r="BO130" s="7"/>
      <c r="BP130" s="10" t="s">
        <v>38</v>
      </c>
      <c r="BQ130" s="9"/>
      <c r="BR130" s="9"/>
      <c r="BS130" s="10" t="s">
        <v>38</v>
      </c>
      <c r="BT130" s="7"/>
      <c r="BU130" s="7"/>
      <c r="BV130" s="10" t="s">
        <v>38</v>
      </c>
      <c r="BW130" s="7"/>
      <c r="BX130" s="7"/>
      <c r="BY130" s="10" t="s">
        <v>38</v>
      </c>
      <c r="BZ130" s="7"/>
      <c r="CA130" s="7"/>
      <c r="CB130" s="10" t="s">
        <v>38</v>
      </c>
      <c r="CC130" s="9"/>
      <c r="CD130" s="9"/>
      <c r="CE130" s="10" t="s">
        <v>38</v>
      </c>
      <c r="CF130" s="7"/>
      <c r="CG130" s="7"/>
      <c r="CH130" s="10" t="s">
        <v>38</v>
      </c>
      <c r="CI130" s="7"/>
      <c r="CJ130" s="7"/>
      <c r="CK130" s="10" t="s">
        <v>38</v>
      </c>
      <c r="CL130" s="7"/>
      <c r="CM130" s="7"/>
      <c r="CN130" s="10" t="s">
        <v>38</v>
      </c>
      <c r="CO130" s="9"/>
      <c r="CP130" s="9"/>
      <c r="CQ130" s="10" t="s">
        <v>38</v>
      </c>
      <c r="CR130" s="7"/>
      <c r="CS130" s="7"/>
      <c r="CT130" s="10" t="s">
        <v>38</v>
      </c>
      <c r="CU130" s="7"/>
      <c r="CV130" s="7"/>
      <c r="CW130" s="10" t="s">
        <v>38</v>
      </c>
      <c r="CX130" s="7"/>
      <c r="CY130" s="7"/>
      <c r="CZ130" s="10" t="s">
        <v>38</v>
      </c>
      <c r="DA130" s="9"/>
      <c r="DB130" s="9"/>
      <c r="DC130" s="10" t="s">
        <v>38</v>
      </c>
      <c r="DD130" s="7"/>
      <c r="DE130" s="7"/>
      <c r="DF130" s="10" t="s">
        <v>38</v>
      </c>
      <c r="DG130" s="7"/>
      <c r="DH130" s="7"/>
      <c r="DI130" s="10" t="s">
        <v>38</v>
      </c>
      <c r="DJ130" s="7"/>
      <c r="DK130" s="7"/>
      <c r="DL130" s="10" t="s">
        <v>38</v>
      </c>
      <c r="DM130" s="9"/>
      <c r="DN130" s="9"/>
      <c r="DO130" s="10" t="s">
        <v>38</v>
      </c>
      <c r="DP130" s="7"/>
      <c r="DQ130" s="7"/>
      <c r="DR130" s="10" t="s">
        <v>38</v>
      </c>
      <c r="DS130" s="7"/>
      <c r="DT130" s="7"/>
      <c r="DU130" s="10" t="s">
        <v>38</v>
      </c>
      <c r="DV130" s="7"/>
      <c r="DW130" s="7"/>
      <c r="DX130" s="10" t="s">
        <v>38</v>
      </c>
      <c r="DY130" s="9"/>
      <c r="DZ130" s="9"/>
      <c r="EA130" s="10" t="s">
        <v>38</v>
      </c>
      <c r="EB130" s="7"/>
      <c r="EC130" s="7"/>
      <c r="ED130" s="10" t="s">
        <v>38</v>
      </c>
      <c r="EE130" s="7"/>
      <c r="EF130" s="7"/>
      <c r="EG130" s="10" t="s">
        <v>38</v>
      </c>
      <c r="EH130" s="7"/>
      <c r="EI130" s="7"/>
      <c r="EJ130" s="10" t="s">
        <v>38</v>
      </c>
      <c r="EK130" s="9"/>
      <c r="EL130" s="9"/>
      <c r="EM130" s="10" t="s">
        <v>38</v>
      </c>
      <c r="EN130" s="7"/>
      <c r="EO130" s="7"/>
      <c r="EP130" s="10" t="s">
        <v>38</v>
      </c>
      <c r="EQ130" s="7"/>
      <c r="ER130" s="7"/>
      <c r="ES130" s="10" t="s">
        <v>38</v>
      </c>
      <c r="ET130" s="7"/>
      <c r="EU130" s="7"/>
      <c r="EV130" s="10" t="s">
        <v>38</v>
      </c>
      <c r="EW130" s="9"/>
      <c r="EX130" s="9"/>
      <c r="EY130" s="10" t="s">
        <v>38</v>
      </c>
      <c r="EZ130" s="7"/>
      <c r="FA130" s="7"/>
      <c r="FB130" s="10" t="s">
        <v>38</v>
      </c>
      <c r="FC130" s="7"/>
      <c r="FD130" s="7"/>
      <c r="FE130" s="10" t="s">
        <v>38</v>
      </c>
      <c r="FF130" s="7"/>
      <c r="FG130" s="7"/>
      <c r="FH130" s="10" t="s">
        <v>38</v>
      </c>
      <c r="FI130" s="9"/>
      <c r="FJ130" s="9"/>
      <c r="FK130" s="10" t="s">
        <v>38</v>
      </c>
      <c r="FL130" s="7"/>
      <c r="FM130" s="7"/>
      <c r="FN130" s="10" t="s">
        <v>38</v>
      </c>
      <c r="FO130" s="7"/>
      <c r="FP130" s="7"/>
      <c r="FQ130" s="10" t="s">
        <v>38</v>
      </c>
      <c r="FR130" s="7"/>
      <c r="FS130" s="7"/>
      <c r="FT130" s="10" t="s">
        <v>38</v>
      </c>
      <c r="FU130" s="9"/>
      <c r="FV130" s="9"/>
      <c r="FW130" s="10" t="s">
        <v>38</v>
      </c>
      <c r="FX130" s="7">
        <v>450</v>
      </c>
      <c r="FY130" s="7">
        <v>1400</v>
      </c>
      <c r="FZ130" s="10" t="s">
        <v>38</v>
      </c>
      <c r="GA130" s="7"/>
      <c r="GB130" s="7"/>
      <c r="GC130" s="10" t="s">
        <v>38</v>
      </c>
      <c r="GD130" s="7"/>
      <c r="GE130" s="7"/>
      <c r="GF130" s="10" t="s">
        <v>38</v>
      </c>
      <c r="GG130" s="7"/>
      <c r="GH130" s="7"/>
      <c r="GI130" s="10" t="s">
        <v>38</v>
      </c>
      <c r="GJ130" s="7">
        <v>306</v>
      </c>
      <c r="GK130" s="7">
        <v>1786</v>
      </c>
      <c r="GL130" s="10" t="s">
        <v>38</v>
      </c>
      <c r="GM130" s="7"/>
      <c r="GN130" s="7"/>
      <c r="GO130" s="10" t="s">
        <v>38</v>
      </c>
      <c r="GP130" s="7"/>
      <c r="GQ130" s="7"/>
      <c r="GR130" s="10" t="s">
        <v>38</v>
      </c>
      <c r="GS130" s="7"/>
      <c r="GT130" s="7"/>
      <c r="GU130" s="6" t="s">
        <v>38</v>
      </c>
      <c r="GV130" s="7">
        <v>460</v>
      </c>
      <c r="GW130" s="7">
        <v>4100</v>
      </c>
      <c r="GX130" s="10" t="s">
        <v>38</v>
      </c>
      <c r="GY130" s="7"/>
      <c r="GZ130" s="7"/>
      <c r="HA130" s="10" t="s">
        <v>38</v>
      </c>
      <c r="HB130" s="7"/>
      <c r="HC130" s="7"/>
      <c r="HD130" s="10" t="s">
        <v>38</v>
      </c>
      <c r="HE130" s="7"/>
      <c r="HF130" s="7"/>
      <c r="HG130" s="10" t="s">
        <v>38</v>
      </c>
      <c r="HH130" s="7">
        <v>400</v>
      </c>
      <c r="HI130" s="7">
        <v>3500</v>
      </c>
      <c r="HJ130" s="10" t="s">
        <v>38</v>
      </c>
      <c r="HK130" s="7"/>
      <c r="HL130" s="7"/>
      <c r="HM130" s="10" t="s">
        <v>38</v>
      </c>
      <c r="HN130" s="7"/>
      <c r="HO130" s="7"/>
      <c r="HP130" s="10" t="s">
        <v>38</v>
      </c>
      <c r="HQ130" s="7"/>
      <c r="HR130" s="7"/>
      <c r="HS130" s="10" t="s">
        <v>38</v>
      </c>
      <c r="HT130" s="7">
        <v>350</v>
      </c>
      <c r="HU130" s="7">
        <v>3300</v>
      </c>
      <c r="HV130" s="10" t="s">
        <v>38</v>
      </c>
      <c r="HW130" s="7"/>
      <c r="HX130" s="7"/>
      <c r="HY130" s="10" t="s">
        <v>38</v>
      </c>
      <c r="HZ130" s="7"/>
      <c r="IA130" s="7"/>
      <c r="IB130" s="10" t="s">
        <v>38</v>
      </c>
      <c r="IC130" s="7"/>
      <c r="ID130" s="7"/>
      <c r="IE130" s="6" t="s">
        <v>38</v>
      </c>
      <c r="IF130" s="7"/>
      <c r="IG130" s="7"/>
      <c r="II130" s="7"/>
      <c r="IJ130" s="7"/>
      <c r="IK130" s="7"/>
      <c r="IL130" s="7"/>
      <c r="IM130" s="7"/>
      <c r="IN130" s="7"/>
      <c r="IP130" s="7"/>
      <c r="IQ130" s="7"/>
      <c r="IR130" s="7"/>
      <c r="IS130" s="7"/>
      <c r="IT130" s="7"/>
      <c r="IU130" s="7"/>
      <c r="IV130" s="7"/>
      <c r="IW130" s="7"/>
      <c r="IX130" s="7"/>
      <c r="IY130" s="7"/>
      <c r="IZ130" s="7"/>
      <c r="JA130" s="7"/>
      <c r="JB130" s="7"/>
      <c r="JC130" s="7"/>
      <c r="JE130" s="7"/>
      <c r="JF130" s="7"/>
      <c r="JH130" s="7"/>
      <c r="JI130" s="7"/>
      <c r="JJ130" s="7"/>
      <c r="JK130" s="7"/>
      <c r="JL130" s="7"/>
      <c r="JM130" s="7"/>
      <c r="JO130" s="7"/>
      <c r="JP130" s="7"/>
      <c r="JQ130" s="7"/>
      <c r="JR130" s="7"/>
      <c r="JT130" s="7"/>
      <c r="JU130" s="7"/>
      <c r="JV130" s="7"/>
      <c r="JW130" s="7"/>
      <c r="JX130" s="7"/>
    </row>
    <row r="131" spans="1:284" x14ac:dyDescent="0.3">
      <c r="A131" t="s">
        <v>296</v>
      </c>
      <c r="B131" s="10" t="s">
        <v>38</v>
      </c>
      <c r="C131" s="7"/>
      <c r="D131" s="7"/>
      <c r="E131" s="10" t="s">
        <v>38</v>
      </c>
      <c r="F131" s="7"/>
      <c r="G131" s="7"/>
      <c r="H131" s="10" t="s">
        <v>38</v>
      </c>
      <c r="I131" s="9"/>
      <c r="J131" s="9"/>
      <c r="K131" s="10" t="s">
        <v>38</v>
      </c>
      <c r="L131" s="7"/>
      <c r="M131" s="7"/>
      <c r="N131" s="10" t="s">
        <v>38</v>
      </c>
      <c r="O131" s="7"/>
      <c r="P131" s="7"/>
      <c r="Q131" s="10" t="s">
        <v>38</v>
      </c>
      <c r="R131" s="7"/>
      <c r="S131" s="7"/>
      <c r="T131" s="10" t="s">
        <v>38</v>
      </c>
      <c r="U131" s="9"/>
      <c r="V131" s="9"/>
      <c r="W131" s="10" t="s">
        <v>38</v>
      </c>
      <c r="X131" s="7"/>
      <c r="Y131" s="7"/>
      <c r="Z131" s="10" t="s">
        <v>38</v>
      </c>
      <c r="AA131" s="7"/>
      <c r="AB131" s="7"/>
      <c r="AC131" s="10" t="s">
        <v>38</v>
      </c>
      <c r="AD131" s="7"/>
      <c r="AE131" s="7"/>
      <c r="AF131" s="10" t="s">
        <v>38</v>
      </c>
      <c r="AG131" s="9"/>
      <c r="AH131" s="9"/>
      <c r="AI131" s="10" t="s">
        <v>38</v>
      </c>
      <c r="AJ131" s="7"/>
      <c r="AK131" s="7"/>
      <c r="AL131" s="10" t="s">
        <v>38</v>
      </c>
      <c r="AM131" s="7"/>
      <c r="AN131" s="7"/>
      <c r="AO131" s="10" t="s">
        <v>38</v>
      </c>
      <c r="AP131" s="7"/>
      <c r="AQ131" s="7"/>
      <c r="AR131" s="10" t="s">
        <v>38</v>
      </c>
      <c r="AS131" s="9"/>
      <c r="AT131" s="9"/>
      <c r="AU131" s="10" t="s">
        <v>38</v>
      </c>
      <c r="AV131" s="7"/>
      <c r="AW131" s="7"/>
      <c r="AX131" s="10" t="s">
        <v>38</v>
      </c>
      <c r="AY131" s="7"/>
      <c r="AZ131" s="7"/>
      <c r="BA131" s="10" t="s">
        <v>38</v>
      </c>
      <c r="BB131" s="7"/>
      <c r="BC131" s="7"/>
      <c r="BD131" s="10" t="s">
        <v>38</v>
      </c>
      <c r="BE131" s="9"/>
      <c r="BF131" s="9"/>
      <c r="BG131" s="10" t="s">
        <v>38</v>
      </c>
      <c r="BH131" s="7"/>
      <c r="BI131" s="7"/>
      <c r="BJ131" s="10" t="s">
        <v>38</v>
      </c>
      <c r="BK131" s="7"/>
      <c r="BL131" s="7"/>
      <c r="BM131" s="10" t="s">
        <v>38</v>
      </c>
      <c r="BN131" s="7"/>
      <c r="BO131" s="7"/>
      <c r="BP131" s="10" t="s">
        <v>38</v>
      </c>
      <c r="BQ131" s="9"/>
      <c r="BR131" s="9"/>
      <c r="BS131" s="10" t="s">
        <v>38</v>
      </c>
      <c r="BT131" s="7"/>
      <c r="BU131" s="7"/>
      <c r="BV131" s="10" t="s">
        <v>38</v>
      </c>
      <c r="BW131" s="7"/>
      <c r="BX131" s="7"/>
      <c r="BY131" s="10" t="s">
        <v>38</v>
      </c>
      <c r="BZ131" s="7"/>
      <c r="CA131" s="7"/>
      <c r="CB131" s="10" t="s">
        <v>38</v>
      </c>
      <c r="CC131" s="9"/>
      <c r="CD131" s="9"/>
      <c r="CE131" s="10" t="s">
        <v>38</v>
      </c>
      <c r="CF131" s="7"/>
      <c r="CG131" s="7"/>
      <c r="CH131" s="10" t="s">
        <v>38</v>
      </c>
      <c r="CI131" s="7"/>
      <c r="CJ131" s="7"/>
      <c r="CK131" s="10" t="s">
        <v>38</v>
      </c>
      <c r="CL131" s="7"/>
      <c r="CM131" s="7"/>
      <c r="CN131" s="10" t="s">
        <v>38</v>
      </c>
      <c r="CO131" s="9"/>
      <c r="CP131" s="9"/>
      <c r="CQ131" s="10" t="s">
        <v>38</v>
      </c>
      <c r="CR131" s="7"/>
      <c r="CS131" s="7"/>
      <c r="CT131" s="10" t="s">
        <v>38</v>
      </c>
      <c r="CU131" s="7"/>
      <c r="CV131" s="7"/>
      <c r="CW131" s="10" t="s">
        <v>38</v>
      </c>
      <c r="CX131" s="7"/>
      <c r="CY131" s="7"/>
      <c r="CZ131" s="10" t="s">
        <v>38</v>
      </c>
      <c r="DA131" s="9"/>
      <c r="DB131" s="9"/>
      <c r="DC131" s="10" t="s">
        <v>38</v>
      </c>
      <c r="DD131" s="7"/>
      <c r="DE131" s="7"/>
      <c r="DF131" s="10" t="s">
        <v>38</v>
      </c>
      <c r="DG131" s="7"/>
      <c r="DH131" s="7"/>
      <c r="DI131" s="10" t="s">
        <v>38</v>
      </c>
      <c r="DJ131" s="7"/>
      <c r="DK131" s="7"/>
      <c r="DL131" s="10" t="s">
        <v>38</v>
      </c>
      <c r="DM131" s="9"/>
      <c r="DN131" s="9"/>
      <c r="DO131" s="10" t="s">
        <v>38</v>
      </c>
      <c r="DP131" s="7"/>
      <c r="DQ131" s="7"/>
      <c r="DR131" s="10" t="s">
        <v>38</v>
      </c>
      <c r="DS131" s="7"/>
      <c r="DT131" s="7"/>
      <c r="DU131" s="10" t="s">
        <v>38</v>
      </c>
      <c r="DV131" s="7"/>
      <c r="DW131" s="7"/>
      <c r="DX131" s="10" t="s">
        <v>38</v>
      </c>
      <c r="DY131" s="9"/>
      <c r="DZ131" s="9"/>
      <c r="EA131" s="10" t="s">
        <v>38</v>
      </c>
      <c r="EB131" s="7"/>
      <c r="EC131" s="7"/>
      <c r="ED131" s="10" t="s">
        <v>38</v>
      </c>
      <c r="EE131" s="7"/>
      <c r="EF131" s="7"/>
      <c r="EG131" s="10" t="s">
        <v>38</v>
      </c>
      <c r="EH131" s="7"/>
      <c r="EI131" s="7"/>
      <c r="EJ131" s="10" t="s">
        <v>38</v>
      </c>
      <c r="EK131" s="9"/>
      <c r="EL131" s="9"/>
      <c r="EM131" s="10" t="s">
        <v>38</v>
      </c>
      <c r="EN131" s="7"/>
      <c r="EO131" s="7"/>
      <c r="EP131" s="10" t="s">
        <v>38</v>
      </c>
      <c r="EQ131" s="7"/>
      <c r="ER131" s="7"/>
      <c r="ES131" s="10" t="s">
        <v>38</v>
      </c>
      <c r="ET131" s="7"/>
      <c r="EU131" s="7"/>
      <c r="EV131" s="10" t="s">
        <v>38</v>
      </c>
      <c r="EW131" s="9"/>
      <c r="EX131" s="9"/>
      <c r="EY131" s="10" t="s">
        <v>38</v>
      </c>
      <c r="EZ131" s="7"/>
      <c r="FA131" s="7"/>
      <c r="FB131" s="10" t="s">
        <v>38</v>
      </c>
      <c r="FC131" s="7"/>
      <c r="FD131" s="7"/>
      <c r="FE131" s="10" t="s">
        <v>38</v>
      </c>
      <c r="FF131" s="7"/>
      <c r="FG131" s="7"/>
      <c r="FH131" s="10" t="s">
        <v>38</v>
      </c>
      <c r="FI131" s="9"/>
      <c r="FJ131" s="9"/>
      <c r="FK131" s="10" t="s">
        <v>38</v>
      </c>
      <c r="FL131" s="7"/>
      <c r="FM131" s="7"/>
      <c r="FN131" s="10" t="s">
        <v>38</v>
      </c>
      <c r="FO131" s="7"/>
      <c r="FP131" s="7"/>
      <c r="FQ131" s="10" t="s">
        <v>38</v>
      </c>
      <c r="FR131" s="7"/>
      <c r="FS131" s="7"/>
      <c r="FT131" s="10" t="s">
        <v>38</v>
      </c>
      <c r="FU131" s="9"/>
      <c r="FV131" s="9"/>
      <c r="FW131" s="10" t="s">
        <v>38</v>
      </c>
      <c r="FX131" s="7">
        <v>30</v>
      </c>
      <c r="FY131" s="7">
        <v>1200</v>
      </c>
      <c r="FZ131" s="10" t="s">
        <v>38</v>
      </c>
      <c r="GA131" s="7"/>
      <c r="GB131" s="7"/>
      <c r="GC131" s="10" t="s">
        <v>38</v>
      </c>
      <c r="GD131" s="7"/>
      <c r="GE131" s="7"/>
      <c r="GF131" s="10" t="s">
        <v>38</v>
      </c>
      <c r="GG131" s="7"/>
      <c r="GH131" s="7"/>
      <c r="GI131" s="10" t="s">
        <v>38</v>
      </c>
      <c r="GJ131" s="7">
        <v>25</v>
      </c>
      <c r="GK131" s="7">
        <v>1651</v>
      </c>
      <c r="GL131" s="10" t="s">
        <v>38</v>
      </c>
      <c r="GM131" s="7"/>
      <c r="GN131" s="7"/>
      <c r="GO131" s="10" t="s">
        <v>38</v>
      </c>
      <c r="GP131" s="7"/>
      <c r="GQ131" s="7"/>
      <c r="GR131" s="10" t="s">
        <v>38</v>
      </c>
      <c r="GS131" s="7"/>
      <c r="GT131" s="7"/>
      <c r="GU131" s="6" t="s">
        <v>38</v>
      </c>
      <c r="GV131" s="7">
        <v>30</v>
      </c>
      <c r="GW131" s="7">
        <v>3400</v>
      </c>
      <c r="GX131" s="10" t="s">
        <v>38</v>
      </c>
      <c r="GY131" s="7"/>
      <c r="GZ131" s="7"/>
      <c r="HA131" s="10" t="s">
        <v>38</v>
      </c>
      <c r="HB131" s="7"/>
      <c r="HC131" s="7"/>
      <c r="HD131" s="10" t="s">
        <v>38</v>
      </c>
      <c r="HE131" s="7"/>
      <c r="HF131" s="7"/>
      <c r="HG131" s="10" t="s">
        <v>38</v>
      </c>
      <c r="HH131" s="7">
        <v>25</v>
      </c>
      <c r="HI131" s="7">
        <v>3000</v>
      </c>
      <c r="HJ131" s="10" t="s">
        <v>38</v>
      </c>
      <c r="HK131" s="7"/>
      <c r="HL131" s="7"/>
      <c r="HM131" s="10" t="s">
        <v>38</v>
      </c>
      <c r="HN131" s="7"/>
      <c r="HO131" s="7"/>
      <c r="HP131" s="10" t="s">
        <v>38</v>
      </c>
      <c r="HQ131" s="7"/>
      <c r="HR131" s="7"/>
      <c r="HS131" s="10" t="s">
        <v>38</v>
      </c>
      <c r="HT131" s="7">
        <v>37</v>
      </c>
      <c r="HU131" s="7">
        <v>3500</v>
      </c>
      <c r="HV131" s="10" t="s">
        <v>38</v>
      </c>
      <c r="HW131" s="7"/>
      <c r="HX131" s="7"/>
      <c r="HY131" s="10" t="s">
        <v>38</v>
      </c>
      <c r="HZ131" s="7"/>
      <c r="IA131" s="7"/>
      <c r="IB131" s="10" t="s">
        <v>38</v>
      </c>
      <c r="IC131" s="7"/>
      <c r="ID131" s="7"/>
      <c r="IE131" s="6" t="s">
        <v>38</v>
      </c>
      <c r="IF131" s="7">
        <v>31</v>
      </c>
      <c r="IG131" s="7">
        <v>2665</v>
      </c>
      <c r="II131" s="7"/>
      <c r="IJ131" s="7"/>
      <c r="IK131" s="7"/>
      <c r="IL131" s="7"/>
      <c r="IM131" s="7"/>
      <c r="IN131" s="7"/>
      <c r="IP131" s="7"/>
      <c r="IQ131" s="7"/>
      <c r="IR131" s="7"/>
      <c r="IS131" s="7"/>
      <c r="IT131" s="7"/>
      <c r="IU131" s="7"/>
      <c r="IV131" s="7"/>
      <c r="IW131" s="7"/>
      <c r="IX131" s="7"/>
      <c r="IY131" s="7"/>
      <c r="IZ131" s="7"/>
      <c r="JA131" s="7"/>
      <c r="JB131" s="7"/>
      <c r="JC131" s="7"/>
      <c r="JE131" s="7"/>
      <c r="JF131" s="7"/>
      <c r="JH131" s="7"/>
      <c r="JI131" s="7"/>
      <c r="JJ131" s="7"/>
      <c r="JK131" s="7"/>
      <c r="JL131" s="7"/>
      <c r="JM131" s="7"/>
      <c r="JO131" s="7"/>
      <c r="JP131" s="7"/>
      <c r="JQ131" s="7"/>
      <c r="JR131" s="7"/>
      <c r="JT131" s="7"/>
      <c r="JU131" s="7"/>
      <c r="JV131" s="7"/>
      <c r="JW131" s="7"/>
      <c r="JX131" s="7"/>
    </row>
    <row r="132" spans="1:284" x14ac:dyDescent="0.3">
      <c r="A132" t="s">
        <v>297</v>
      </c>
      <c r="B132" s="10" t="s">
        <v>38</v>
      </c>
      <c r="C132" s="7"/>
      <c r="D132" s="7"/>
      <c r="E132" s="10" t="s">
        <v>38</v>
      </c>
      <c r="F132" s="7"/>
      <c r="G132" s="7"/>
      <c r="H132" s="10" t="s">
        <v>38</v>
      </c>
      <c r="I132" s="9"/>
      <c r="J132" s="9"/>
      <c r="K132" s="10" t="s">
        <v>38</v>
      </c>
      <c r="L132" s="7"/>
      <c r="M132" s="7"/>
      <c r="N132" s="10" t="s">
        <v>38</v>
      </c>
      <c r="O132" s="7"/>
      <c r="P132" s="7"/>
      <c r="Q132" s="10" t="s">
        <v>38</v>
      </c>
      <c r="R132" s="7"/>
      <c r="S132" s="7"/>
      <c r="T132" s="10" t="s">
        <v>38</v>
      </c>
      <c r="U132" s="9"/>
      <c r="V132" s="9"/>
      <c r="W132" s="10" t="s">
        <v>38</v>
      </c>
      <c r="X132" s="7"/>
      <c r="Y132" s="7"/>
      <c r="Z132" s="10" t="s">
        <v>38</v>
      </c>
      <c r="AA132" s="7"/>
      <c r="AB132" s="7"/>
      <c r="AC132" s="10" t="s">
        <v>38</v>
      </c>
      <c r="AD132" s="7"/>
      <c r="AE132" s="7"/>
      <c r="AF132" s="10" t="s">
        <v>38</v>
      </c>
      <c r="AG132" s="9"/>
      <c r="AH132" s="9"/>
      <c r="AI132" s="10" t="s">
        <v>38</v>
      </c>
      <c r="AJ132" s="7"/>
      <c r="AK132" s="7"/>
      <c r="AL132" s="10" t="s">
        <v>38</v>
      </c>
      <c r="AM132" s="7"/>
      <c r="AN132" s="7"/>
      <c r="AO132" s="10" t="s">
        <v>38</v>
      </c>
      <c r="AP132" s="7"/>
      <c r="AQ132" s="7"/>
      <c r="AR132" s="10" t="s">
        <v>38</v>
      </c>
      <c r="AS132" s="9"/>
      <c r="AT132" s="9"/>
      <c r="AU132" s="10" t="s">
        <v>38</v>
      </c>
      <c r="AV132" s="7"/>
      <c r="AW132" s="7"/>
      <c r="AX132" s="10" t="s">
        <v>38</v>
      </c>
      <c r="AY132" s="7"/>
      <c r="AZ132" s="7"/>
      <c r="BA132" s="10" t="s">
        <v>38</v>
      </c>
      <c r="BB132" s="7"/>
      <c r="BC132" s="7"/>
      <c r="BD132" s="10" t="s">
        <v>38</v>
      </c>
      <c r="BE132" s="9"/>
      <c r="BF132" s="9"/>
      <c r="BG132" s="10" t="s">
        <v>38</v>
      </c>
      <c r="BH132" s="7"/>
      <c r="BI132" s="7"/>
      <c r="BJ132" s="10" t="s">
        <v>38</v>
      </c>
      <c r="BK132" s="7"/>
      <c r="BL132" s="7"/>
      <c r="BM132" s="10" t="s">
        <v>38</v>
      </c>
      <c r="BN132" s="7"/>
      <c r="BO132" s="7"/>
      <c r="BP132" s="10" t="s">
        <v>38</v>
      </c>
      <c r="BQ132" s="9"/>
      <c r="BR132" s="9"/>
      <c r="BS132" s="10" t="s">
        <v>38</v>
      </c>
      <c r="BT132" s="7"/>
      <c r="BU132" s="7"/>
      <c r="BV132" s="10" t="s">
        <v>38</v>
      </c>
      <c r="BW132" s="7"/>
      <c r="BX132" s="7"/>
      <c r="BY132" s="10" t="s">
        <v>38</v>
      </c>
      <c r="BZ132" s="7"/>
      <c r="CA132" s="7"/>
      <c r="CB132" s="10" t="s">
        <v>38</v>
      </c>
      <c r="CC132" s="9"/>
      <c r="CD132" s="9"/>
      <c r="CE132" s="10" t="s">
        <v>38</v>
      </c>
      <c r="CF132" s="7"/>
      <c r="CG132" s="7"/>
      <c r="CH132" s="10" t="s">
        <v>38</v>
      </c>
      <c r="CI132" s="7"/>
      <c r="CJ132" s="7"/>
      <c r="CK132" s="10" t="s">
        <v>38</v>
      </c>
      <c r="CL132" s="7"/>
      <c r="CM132" s="7"/>
      <c r="CN132" s="10" t="s">
        <v>38</v>
      </c>
      <c r="CO132" s="9"/>
      <c r="CP132" s="9"/>
      <c r="CQ132" s="10" t="s">
        <v>38</v>
      </c>
      <c r="CR132" s="7"/>
      <c r="CS132" s="7"/>
      <c r="CT132" s="10" t="s">
        <v>38</v>
      </c>
      <c r="CU132" s="7"/>
      <c r="CV132" s="7"/>
      <c r="CW132" s="10" t="s">
        <v>38</v>
      </c>
      <c r="CX132" s="7"/>
      <c r="CY132" s="7"/>
      <c r="CZ132" s="10" t="s">
        <v>38</v>
      </c>
      <c r="DA132" s="9"/>
      <c r="DB132" s="9"/>
      <c r="DC132" s="10" t="s">
        <v>38</v>
      </c>
      <c r="DD132" s="7"/>
      <c r="DE132" s="7"/>
      <c r="DF132" s="10" t="s">
        <v>38</v>
      </c>
      <c r="DG132" s="7"/>
      <c r="DH132" s="7"/>
      <c r="DI132" s="10" t="s">
        <v>38</v>
      </c>
      <c r="DJ132" s="7"/>
      <c r="DK132" s="7"/>
      <c r="DL132" s="10" t="s">
        <v>38</v>
      </c>
      <c r="DM132" s="9"/>
      <c r="DN132" s="9"/>
      <c r="DO132" s="10" t="s">
        <v>38</v>
      </c>
      <c r="DP132" s="7"/>
      <c r="DQ132" s="7"/>
      <c r="DR132" s="10" t="s">
        <v>38</v>
      </c>
      <c r="DS132" s="7"/>
      <c r="DT132" s="7"/>
      <c r="DU132" s="10" t="s">
        <v>38</v>
      </c>
      <c r="DV132" s="7"/>
      <c r="DW132" s="7"/>
      <c r="DX132" s="10" t="s">
        <v>38</v>
      </c>
      <c r="DY132" s="9"/>
      <c r="DZ132" s="9"/>
      <c r="EA132" s="10" t="s">
        <v>38</v>
      </c>
      <c r="EB132" s="7"/>
      <c r="EC132" s="7"/>
      <c r="ED132" s="10" t="s">
        <v>38</v>
      </c>
      <c r="EE132" s="7"/>
      <c r="EF132" s="7"/>
      <c r="EG132" s="10" t="s">
        <v>38</v>
      </c>
      <c r="EH132" s="7"/>
      <c r="EI132" s="7"/>
      <c r="EJ132" s="10" t="s">
        <v>38</v>
      </c>
      <c r="EK132" s="9"/>
      <c r="EL132" s="9"/>
      <c r="EM132" s="10" t="s">
        <v>38</v>
      </c>
      <c r="EN132" s="7"/>
      <c r="EO132" s="7"/>
      <c r="EP132" s="10" t="s">
        <v>38</v>
      </c>
      <c r="EQ132" s="7"/>
      <c r="ER132" s="7"/>
      <c r="ES132" s="10" t="s">
        <v>38</v>
      </c>
      <c r="ET132" s="7"/>
      <c r="EU132" s="7"/>
      <c r="EV132" s="10" t="s">
        <v>38</v>
      </c>
      <c r="EW132" s="9"/>
      <c r="EX132" s="9"/>
      <c r="EY132" s="10" t="s">
        <v>38</v>
      </c>
      <c r="EZ132" s="7"/>
      <c r="FA132" s="7"/>
      <c r="FB132" s="10" t="s">
        <v>38</v>
      </c>
      <c r="FC132" s="7"/>
      <c r="FD132" s="7"/>
      <c r="FE132" s="10" t="s">
        <v>38</v>
      </c>
      <c r="FF132" s="7"/>
      <c r="FG132" s="7"/>
      <c r="FH132" s="10" t="s">
        <v>38</v>
      </c>
      <c r="FI132" s="9"/>
      <c r="FJ132" s="9"/>
      <c r="FK132" s="10" t="s">
        <v>38</v>
      </c>
      <c r="FL132" s="7"/>
      <c r="FM132" s="7"/>
      <c r="FN132" s="10" t="s">
        <v>38</v>
      </c>
      <c r="FO132" s="7"/>
      <c r="FP132" s="7"/>
      <c r="FQ132" s="10" t="s">
        <v>38</v>
      </c>
      <c r="FR132" s="7"/>
      <c r="FS132" s="7"/>
      <c r="FT132" s="10" t="s">
        <v>38</v>
      </c>
      <c r="FU132" s="9"/>
      <c r="FV132" s="9"/>
      <c r="FW132" s="10" t="s">
        <v>38</v>
      </c>
      <c r="FX132" s="7">
        <v>500</v>
      </c>
      <c r="FY132" s="7">
        <v>2500</v>
      </c>
      <c r="FZ132" s="10" t="s">
        <v>38</v>
      </c>
      <c r="GA132" s="7"/>
      <c r="GB132" s="7"/>
      <c r="GC132" s="10" t="s">
        <v>38</v>
      </c>
      <c r="GD132" s="7"/>
      <c r="GE132" s="7"/>
      <c r="GF132" s="10" t="s">
        <v>38</v>
      </c>
      <c r="GG132" s="7"/>
      <c r="GH132" s="7"/>
      <c r="GI132" s="10" t="s">
        <v>38</v>
      </c>
      <c r="GJ132" s="7">
        <v>714</v>
      </c>
      <c r="GK132" s="7">
        <v>3760</v>
      </c>
      <c r="GL132" s="10" t="s">
        <v>38</v>
      </c>
      <c r="GM132" s="7"/>
      <c r="GN132" s="7"/>
      <c r="GO132" s="10" t="s">
        <v>38</v>
      </c>
      <c r="GP132" s="7"/>
      <c r="GQ132" s="7"/>
      <c r="GR132" s="10" t="s">
        <v>38</v>
      </c>
      <c r="GS132" s="7"/>
      <c r="GT132" s="7"/>
      <c r="GU132" s="6" t="s">
        <v>38</v>
      </c>
      <c r="GV132" s="7">
        <v>780</v>
      </c>
      <c r="GW132" s="7">
        <v>4580</v>
      </c>
      <c r="GX132" s="10" t="s">
        <v>38</v>
      </c>
      <c r="GY132" s="7"/>
      <c r="GZ132" s="7"/>
      <c r="HA132" s="10" t="s">
        <v>38</v>
      </c>
      <c r="HB132" s="7"/>
      <c r="HC132" s="7"/>
      <c r="HD132" s="10" t="s">
        <v>38</v>
      </c>
      <c r="HE132" s="7"/>
      <c r="HF132" s="7"/>
      <c r="HG132" s="10" t="s">
        <v>38</v>
      </c>
      <c r="HH132" s="7">
        <v>700</v>
      </c>
      <c r="HI132" s="7">
        <v>4000</v>
      </c>
      <c r="HJ132" s="10" t="s">
        <v>38</v>
      </c>
      <c r="HK132" s="7"/>
      <c r="HL132" s="7"/>
      <c r="HM132" s="10" t="s">
        <v>38</v>
      </c>
      <c r="HN132" s="7"/>
      <c r="HO132" s="7"/>
      <c r="HP132" s="10" t="s">
        <v>38</v>
      </c>
      <c r="HQ132" s="7"/>
      <c r="HR132" s="7"/>
      <c r="HS132" s="10" t="s">
        <v>38</v>
      </c>
      <c r="HT132" s="7">
        <v>775</v>
      </c>
      <c r="HU132" s="7">
        <v>3900</v>
      </c>
      <c r="HV132" s="10" t="s">
        <v>38</v>
      </c>
      <c r="HW132" s="7"/>
      <c r="HX132" s="7"/>
      <c r="HY132" s="10" t="s">
        <v>38</v>
      </c>
      <c r="HZ132" s="7"/>
      <c r="IA132" s="7"/>
      <c r="IB132" s="10" t="s">
        <v>38</v>
      </c>
      <c r="IC132" s="7"/>
      <c r="ID132" s="7"/>
      <c r="IE132" s="6" t="s">
        <v>38</v>
      </c>
      <c r="IF132" s="7">
        <v>670</v>
      </c>
      <c r="IG132" s="7">
        <v>4450</v>
      </c>
      <c r="II132" s="7"/>
      <c r="IJ132" s="7"/>
      <c r="IK132" s="7"/>
      <c r="IL132" s="7"/>
      <c r="IM132" s="7"/>
      <c r="IN132" s="7"/>
      <c r="IP132" s="7"/>
      <c r="IQ132" s="7"/>
      <c r="IR132" s="7"/>
      <c r="IS132" s="7"/>
      <c r="IT132" s="7"/>
      <c r="IU132" s="7"/>
      <c r="IV132" s="7"/>
      <c r="IW132" s="7"/>
      <c r="IX132" s="7"/>
      <c r="IY132" s="7"/>
      <c r="IZ132" s="7"/>
      <c r="JA132" s="7"/>
      <c r="JB132" s="7"/>
      <c r="JC132" s="7"/>
      <c r="JE132" s="7"/>
      <c r="JF132" s="7"/>
      <c r="JH132" s="7"/>
      <c r="JI132" s="7"/>
      <c r="JJ132" s="7"/>
      <c r="JK132" s="7"/>
      <c r="JL132" s="7"/>
      <c r="JM132" s="7"/>
      <c r="JO132" s="7"/>
      <c r="JP132" s="7"/>
      <c r="JQ132" s="7"/>
      <c r="JR132" s="7"/>
      <c r="JT132" s="7"/>
      <c r="JU132" s="7"/>
      <c r="JV132" s="7"/>
      <c r="JW132" s="7"/>
      <c r="JX132" s="7"/>
    </row>
    <row r="133" spans="1:284" x14ac:dyDescent="0.3">
      <c r="A133" t="s">
        <v>298</v>
      </c>
      <c r="B133" s="10" t="s">
        <v>38</v>
      </c>
      <c r="C133" s="7"/>
      <c r="D133" s="7"/>
      <c r="E133" s="10" t="s">
        <v>38</v>
      </c>
      <c r="F133" s="7"/>
      <c r="G133" s="7"/>
      <c r="H133" s="10" t="s">
        <v>38</v>
      </c>
      <c r="I133" s="9"/>
      <c r="J133" s="9"/>
      <c r="K133" s="10" t="s">
        <v>38</v>
      </c>
      <c r="L133" s="7"/>
      <c r="M133" s="7"/>
      <c r="N133" s="10" t="s">
        <v>38</v>
      </c>
      <c r="O133" s="7"/>
      <c r="P133" s="7"/>
      <c r="Q133" s="10" t="s">
        <v>38</v>
      </c>
      <c r="R133" s="7"/>
      <c r="S133" s="7"/>
      <c r="T133" s="10" t="s">
        <v>38</v>
      </c>
      <c r="U133" s="9"/>
      <c r="V133" s="9"/>
      <c r="W133" s="10" t="s">
        <v>38</v>
      </c>
      <c r="X133" s="7"/>
      <c r="Y133" s="7"/>
      <c r="Z133" s="10" t="s">
        <v>38</v>
      </c>
      <c r="AA133" s="7"/>
      <c r="AB133" s="7"/>
      <c r="AC133" s="10" t="s">
        <v>38</v>
      </c>
      <c r="AD133" s="7"/>
      <c r="AE133" s="7"/>
      <c r="AF133" s="10" t="s">
        <v>38</v>
      </c>
      <c r="AG133" s="9"/>
      <c r="AH133" s="9"/>
      <c r="AI133" s="10" t="s">
        <v>38</v>
      </c>
      <c r="AJ133" s="7"/>
      <c r="AK133" s="7"/>
      <c r="AL133" s="10" t="s">
        <v>38</v>
      </c>
      <c r="AM133" s="7"/>
      <c r="AN133" s="7"/>
      <c r="AO133" s="10" t="s">
        <v>38</v>
      </c>
      <c r="AP133" s="7"/>
      <c r="AQ133" s="7"/>
      <c r="AR133" s="10" t="s">
        <v>38</v>
      </c>
      <c r="AS133" s="9"/>
      <c r="AT133" s="9"/>
      <c r="AU133" s="10" t="s">
        <v>38</v>
      </c>
      <c r="AV133" s="7"/>
      <c r="AW133" s="7"/>
      <c r="AX133" s="10" t="s">
        <v>38</v>
      </c>
      <c r="AY133" s="7"/>
      <c r="AZ133" s="7"/>
      <c r="BA133" s="10" t="s">
        <v>38</v>
      </c>
      <c r="BB133" s="7"/>
      <c r="BC133" s="7"/>
      <c r="BD133" s="10" t="s">
        <v>38</v>
      </c>
      <c r="BE133" s="9"/>
      <c r="BF133" s="9"/>
      <c r="BG133" s="10" t="s">
        <v>38</v>
      </c>
      <c r="BH133" s="7"/>
      <c r="BI133" s="7"/>
      <c r="BJ133" s="10" t="s">
        <v>38</v>
      </c>
      <c r="BK133" s="7"/>
      <c r="BL133" s="7"/>
      <c r="BM133" s="10" t="s">
        <v>38</v>
      </c>
      <c r="BN133" s="7"/>
      <c r="BO133" s="7"/>
      <c r="BP133" s="10" t="s">
        <v>38</v>
      </c>
      <c r="BQ133" s="9"/>
      <c r="BR133" s="9"/>
      <c r="BS133" s="10" t="s">
        <v>38</v>
      </c>
      <c r="BT133" s="7"/>
      <c r="BU133" s="7"/>
      <c r="BV133" s="10" t="s">
        <v>38</v>
      </c>
      <c r="BW133" s="7"/>
      <c r="BX133" s="7"/>
      <c r="BY133" s="10" t="s">
        <v>38</v>
      </c>
      <c r="BZ133" s="7"/>
      <c r="CA133" s="7"/>
      <c r="CB133" s="10" t="s">
        <v>38</v>
      </c>
      <c r="CC133" s="9"/>
      <c r="CD133" s="9"/>
      <c r="CE133" s="10" t="s">
        <v>38</v>
      </c>
      <c r="CF133" s="7"/>
      <c r="CG133" s="7"/>
      <c r="CH133" s="10" t="s">
        <v>38</v>
      </c>
      <c r="CI133" s="7"/>
      <c r="CJ133" s="7"/>
      <c r="CK133" s="10" t="s">
        <v>38</v>
      </c>
      <c r="CL133" s="7"/>
      <c r="CM133" s="7"/>
      <c r="CN133" s="10" t="s">
        <v>38</v>
      </c>
      <c r="CO133" s="9"/>
      <c r="CP133" s="9"/>
      <c r="CQ133" s="10" t="s">
        <v>38</v>
      </c>
      <c r="CR133" s="7"/>
      <c r="CS133" s="7"/>
      <c r="CT133" s="10" t="s">
        <v>38</v>
      </c>
      <c r="CU133" s="7"/>
      <c r="CV133" s="7"/>
      <c r="CW133" s="10" t="s">
        <v>38</v>
      </c>
      <c r="CX133" s="7"/>
      <c r="CY133" s="7"/>
      <c r="CZ133" s="10" t="s">
        <v>38</v>
      </c>
      <c r="DA133" s="9"/>
      <c r="DB133" s="9"/>
      <c r="DC133" s="10" t="s">
        <v>38</v>
      </c>
      <c r="DD133" s="7"/>
      <c r="DE133" s="7"/>
      <c r="DF133" s="10" t="s">
        <v>38</v>
      </c>
      <c r="DG133" s="7"/>
      <c r="DH133" s="7"/>
      <c r="DI133" s="10" t="s">
        <v>38</v>
      </c>
      <c r="DJ133" s="7"/>
      <c r="DK133" s="7"/>
      <c r="DL133" s="10" t="s">
        <v>38</v>
      </c>
      <c r="DM133" s="9"/>
      <c r="DN133" s="9"/>
      <c r="DO133" s="10" t="s">
        <v>38</v>
      </c>
      <c r="DP133" s="7"/>
      <c r="DQ133" s="7"/>
      <c r="DR133" s="10" t="s">
        <v>38</v>
      </c>
      <c r="DS133" s="7"/>
      <c r="DT133" s="7"/>
      <c r="DU133" s="10" t="s">
        <v>38</v>
      </c>
      <c r="DV133" s="7"/>
      <c r="DW133" s="7"/>
      <c r="DX133" s="10" t="s">
        <v>38</v>
      </c>
      <c r="DY133" s="9"/>
      <c r="DZ133" s="9"/>
      <c r="EA133" s="10" t="s">
        <v>38</v>
      </c>
      <c r="EB133" s="7"/>
      <c r="EC133" s="7"/>
      <c r="ED133" s="10" t="s">
        <v>38</v>
      </c>
      <c r="EE133" s="7"/>
      <c r="EF133" s="7"/>
      <c r="EG133" s="10" t="s">
        <v>38</v>
      </c>
      <c r="EH133" s="7"/>
      <c r="EI133" s="7"/>
      <c r="EJ133" s="10" t="s">
        <v>38</v>
      </c>
      <c r="EK133" s="9"/>
      <c r="EL133" s="9"/>
      <c r="EM133" s="10" t="s">
        <v>38</v>
      </c>
      <c r="EN133" s="7"/>
      <c r="EO133" s="7"/>
      <c r="EP133" s="10" t="s">
        <v>38</v>
      </c>
      <c r="EQ133" s="7"/>
      <c r="ER133" s="7"/>
      <c r="ES133" s="10" t="s">
        <v>38</v>
      </c>
      <c r="ET133" s="7"/>
      <c r="EU133" s="7"/>
      <c r="EV133" s="10" t="s">
        <v>38</v>
      </c>
      <c r="EW133" s="9"/>
      <c r="EX133" s="9"/>
      <c r="EY133" s="10" t="s">
        <v>38</v>
      </c>
      <c r="EZ133" s="7"/>
      <c r="FA133" s="7"/>
      <c r="FB133" s="10" t="s">
        <v>38</v>
      </c>
      <c r="FC133" s="7"/>
      <c r="FD133" s="7"/>
      <c r="FE133" s="10" t="s">
        <v>38</v>
      </c>
      <c r="FF133" s="7"/>
      <c r="FG133" s="7"/>
      <c r="FH133" s="10" t="s">
        <v>38</v>
      </c>
      <c r="FI133" s="9"/>
      <c r="FJ133" s="9"/>
      <c r="FK133" s="10" t="s">
        <v>38</v>
      </c>
      <c r="FL133" s="7"/>
      <c r="FM133" s="7"/>
      <c r="FN133" s="10" t="s">
        <v>38</v>
      </c>
      <c r="FO133" s="7"/>
      <c r="FP133" s="7"/>
      <c r="FQ133" s="10" t="s">
        <v>38</v>
      </c>
      <c r="FR133" s="7">
        <v>25</v>
      </c>
      <c r="FS133" s="7">
        <v>1000</v>
      </c>
      <c r="FT133" s="10" t="s">
        <v>38</v>
      </c>
      <c r="FU133" s="9"/>
      <c r="FV133" s="9"/>
      <c r="FW133" s="10" t="s">
        <v>38</v>
      </c>
      <c r="FX133" s="7"/>
      <c r="FY133" s="7"/>
      <c r="FZ133" s="10" t="s">
        <v>38</v>
      </c>
      <c r="GA133" s="7"/>
      <c r="GB133" s="7"/>
      <c r="GC133" s="10" t="s">
        <v>38</v>
      </c>
      <c r="GD133" s="7">
        <v>26</v>
      </c>
      <c r="GE133" s="7">
        <v>455</v>
      </c>
      <c r="GF133" s="10" t="s">
        <v>38</v>
      </c>
      <c r="GG133" s="7"/>
      <c r="GH133" s="7"/>
      <c r="GI133" s="10" t="s">
        <v>38</v>
      </c>
      <c r="GJ133" s="7"/>
      <c r="GK133" s="7"/>
      <c r="GL133" s="10" t="s">
        <v>38</v>
      </c>
      <c r="GM133" s="7"/>
      <c r="GN133" s="7"/>
      <c r="GO133" s="6" t="s">
        <v>38</v>
      </c>
      <c r="GP133" s="7">
        <v>50</v>
      </c>
      <c r="GQ133" s="7">
        <v>600</v>
      </c>
      <c r="GR133" s="10"/>
      <c r="GS133" s="7"/>
      <c r="GT133" s="7"/>
      <c r="GU133" s="6"/>
      <c r="GV133" s="7"/>
      <c r="GW133" s="7"/>
      <c r="GX133" s="10" t="s">
        <v>38</v>
      </c>
      <c r="GY133" s="7"/>
      <c r="GZ133" s="7"/>
      <c r="HA133" s="10" t="s">
        <v>38</v>
      </c>
      <c r="HB133" s="7">
        <v>100</v>
      </c>
      <c r="HC133" s="7">
        <v>800</v>
      </c>
      <c r="HD133" s="10" t="s">
        <v>38</v>
      </c>
      <c r="HE133" s="7"/>
      <c r="HF133" s="7"/>
      <c r="HG133" s="10" t="s">
        <v>38</v>
      </c>
      <c r="HH133" s="7"/>
      <c r="HI133" s="7"/>
      <c r="HJ133" s="10" t="s">
        <v>38</v>
      </c>
      <c r="HK133" s="7"/>
      <c r="HL133" s="7"/>
      <c r="HM133" s="10" t="s">
        <v>38</v>
      </c>
      <c r="HN133" s="7">
        <v>50</v>
      </c>
      <c r="HO133" s="7">
        <v>500</v>
      </c>
      <c r="HP133" s="10" t="s">
        <v>38</v>
      </c>
      <c r="HQ133" s="7"/>
      <c r="HR133" s="7"/>
      <c r="HS133" s="10" t="s">
        <v>38</v>
      </c>
      <c r="HT133" s="7"/>
      <c r="HU133" s="7"/>
      <c r="HV133" s="10" t="s">
        <v>38</v>
      </c>
      <c r="HW133" s="7"/>
      <c r="HX133" s="7"/>
      <c r="HY133" s="6" t="s">
        <v>38</v>
      </c>
      <c r="HZ133" s="7">
        <v>60</v>
      </c>
      <c r="IA133" s="7">
        <v>600</v>
      </c>
      <c r="IC133" s="7"/>
      <c r="ID133" s="7"/>
      <c r="IE133" s="6"/>
      <c r="IF133" s="7"/>
      <c r="IG133" s="7"/>
      <c r="II133" s="7"/>
      <c r="IJ133" s="7"/>
      <c r="IK133" s="7"/>
      <c r="IL133" s="7"/>
      <c r="IM133" s="7"/>
      <c r="IN133" s="7"/>
      <c r="IP133" s="7"/>
      <c r="IQ133" s="7"/>
      <c r="IR133" s="7"/>
      <c r="IS133" s="7"/>
      <c r="IT133" s="7"/>
      <c r="IU133" s="7"/>
      <c r="IV133" s="7"/>
      <c r="IW133" s="7"/>
      <c r="IX133" s="7"/>
      <c r="IY133" s="7"/>
      <c r="IZ133" s="7"/>
      <c r="JA133" s="7"/>
      <c r="JB133" s="7"/>
      <c r="JC133" s="7"/>
      <c r="JE133" s="7"/>
      <c r="JF133" s="7"/>
      <c r="JH133" s="7"/>
      <c r="JI133" s="7"/>
      <c r="JJ133" s="7"/>
      <c r="JK133" s="7"/>
      <c r="JL133" s="7"/>
      <c r="JM133" s="7"/>
      <c r="JO133" s="7"/>
      <c r="JP133" s="7"/>
      <c r="JQ133" s="7"/>
      <c r="JR133" s="7"/>
      <c r="JT133" s="7"/>
      <c r="JU133" s="7"/>
      <c r="JV133" s="7"/>
      <c r="JW133" s="7"/>
      <c r="JX133" s="7"/>
    </row>
    <row r="134" spans="1:284" x14ac:dyDescent="0.3">
      <c r="A134" t="s">
        <v>299</v>
      </c>
      <c r="B134" s="10" t="s">
        <v>38</v>
      </c>
      <c r="C134" s="7"/>
      <c r="D134" s="7"/>
      <c r="E134" s="10" t="s">
        <v>38</v>
      </c>
      <c r="F134" s="7"/>
      <c r="G134" s="7"/>
      <c r="H134" s="10" t="s">
        <v>38</v>
      </c>
      <c r="I134" s="9"/>
      <c r="J134" s="9"/>
      <c r="K134" s="10" t="s">
        <v>38</v>
      </c>
      <c r="L134" s="7"/>
      <c r="M134" s="7"/>
      <c r="N134" s="10" t="s">
        <v>38</v>
      </c>
      <c r="O134" s="7"/>
      <c r="P134" s="7"/>
      <c r="Q134" s="10" t="s">
        <v>38</v>
      </c>
      <c r="R134" s="7"/>
      <c r="S134" s="7"/>
      <c r="T134" s="10" t="s">
        <v>38</v>
      </c>
      <c r="U134" s="9"/>
      <c r="V134" s="9"/>
      <c r="W134" s="10" t="s">
        <v>38</v>
      </c>
      <c r="X134" s="7"/>
      <c r="Y134" s="7"/>
      <c r="Z134" s="10" t="s">
        <v>38</v>
      </c>
      <c r="AA134" s="7"/>
      <c r="AB134" s="7"/>
      <c r="AC134" s="10" t="s">
        <v>38</v>
      </c>
      <c r="AD134" s="7"/>
      <c r="AE134" s="7"/>
      <c r="AF134" s="10" t="s">
        <v>38</v>
      </c>
      <c r="AG134" s="9"/>
      <c r="AH134" s="9"/>
      <c r="AI134" s="10" t="s">
        <v>38</v>
      </c>
      <c r="AJ134" s="7"/>
      <c r="AK134" s="7"/>
      <c r="AL134" s="10" t="s">
        <v>38</v>
      </c>
      <c r="AM134" s="7"/>
      <c r="AN134" s="7"/>
      <c r="AO134" s="10" t="s">
        <v>38</v>
      </c>
      <c r="AP134" s="7"/>
      <c r="AQ134" s="7"/>
      <c r="AR134" s="10" t="s">
        <v>38</v>
      </c>
      <c r="AS134" s="9"/>
      <c r="AT134" s="9"/>
      <c r="AU134" s="10" t="s">
        <v>38</v>
      </c>
      <c r="AV134" s="7"/>
      <c r="AW134" s="7"/>
      <c r="AX134" s="10" t="s">
        <v>38</v>
      </c>
      <c r="AY134" s="7"/>
      <c r="AZ134" s="7"/>
      <c r="BA134" s="10" t="s">
        <v>38</v>
      </c>
      <c r="BB134" s="7"/>
      <c r="BC134" s="7"/>
      <c r="BD134" s="10" t="s">
        <v>38</v>
      </c>
      <c r="BE134" s="9"/>
      <c r="BF134" s="9"/>
      <c r="BG134" s="10" t="s">
        <v>38</v>
      </c>
      <c r="BH134" s="7"/>
      <c r="BI134" s="7"/>
      <c r="BJ134" s="10" t="s">
        <v>38</v>
      </c>
      <c r="BK134" s="7"/>
      <c r="BL134" s="7"/>
      <c r="BM134" s="10" t="s">
        <v>38</v>
      </c>
      <c r="BN134" s="7"/>
      <c r="BO134" s="7"/>
      <c r="BP134" s="10" t="s">
        <v>38</v>
      </c>
      <c r="BQ134" s="9"/>
      <c r="BR134" s="9"/>
      <c r="BS134" s="10" t="s">
        <v>38</v>
      </c>
      <c r="BT134" s="7"/>
      <c r="BU134" s="7"/>
      <c r="BV134" s="10" t="s">
        <v>38</v>
      </c>
      <c r="BW134" s="7"/>
      <c r="BX134" s="7"/>
      <c r="BY134" s="10" t="s">
        <v>38</v>
      </c>
      <c r="BZ134" s="7"/>
      <c r="CA134" s="7"/>
      <c r="CB134" s="10" t="s">
        <v>38</v>
      </c>
      <c r="CC134" s="9"/>
      <c r="CD134" s="9"/>
      <c r="CE134" s="10" t="s">
        <v>38</v>
      </c>
      <c r="CF134" s="7"/>
      <c r="CG134" s="7"/>
      <c r="CH134" s="10" t="s">
        <v>38</v>
      </c>
      <c r="CI134" s="7"/>
      <c r="CJ134" s="7"/>
      <c r="CK134" s="10" t="s">
        <v>38</v>
      </c>
      <c r="CL134" s="7"/>
      <c r="CM134" s="7"/>
      <c r="CN134" s="10" t="s">
        <v>38</v>
      </c>
      <c r="CO134" s="9"/>
      <c r="CP134" s="9"/>
      <c r="CQ134" s="10" t="s">
        <v>38</v>
      </c>
      <c r="CR134" s="7"/>
      <c r="CS134" s="7"/>
      <c r="CT134" s="10" t="s">
        <v>38</v>
      </c>
      <c r="CU134" s="7"/>
      <c r="CV134" s="7"/>
      <c r="CW134" s="10" t="s">
        <v>38</v>
      </c>
      <c r="CX134" s="7"/>
      <c r="CY134" s="7"/>
      <c r="CZ134" s="10" t="s">
        <v>38</v>
      </c>
      <c r="DA134" s="9"/>
      <c r="DB134" s="9"/>
      <c r="DC134" s="10" t="s">
        <v>38</v>
      </c>
      <c r="DD134" s="7"/>
      <c r="DE134" s="7"/>
      <c r="DF134" s="10" t="s">
        <v>38</v>
      </c>
      <c r="DG134" s="7"/>
      <c r="DH134" s="7"/>
      <c r="DI134" s="10" t="s">
        <v>38</v>
      </c>
      <c r="DJ134" s="7"/>
      <c r="DK134" s="7"/>
      <c r="DL134" s="10" t="s">
        <v>38</v>
      </c>
      <c r="DM134" s="9"/>
      <c r="DN134" s="9"/>
      <c r="DO134" s="10" t="s">
        <v>38</v>
      </c>
      <c r="DP134" s="7"/>
      <c r="DQ134" s="7"/>
      <c r="DR134" s="10" t="s">
        <v>38</v>
      </c>
      <c r="DS134" s="7"/>
      <c r="DT134" s="7"/>
      <c r="DU134" s="10" t="s">
        <v>38</v>
      </c>
      <c r="DV134" s="7"/>
      <c r="DW134" s="7"/>
      <c r="DX134" s="10" t="s">
        <v>38</v>
      </c>
      <c r="DY134" s="9"/>
      <c r="DZ134" s="9"/>
      <c r="EA134" s="10" t="s">
        <v>38</v>
      </c>
      <c r="EB134" s="7"/>
      <c r="EC134" s="7"/>
      <c r="ED134" s="10" t="s">
        <v>38</v>
      </c>
      <c r="EE134" s="7"/>
      <c r="EF134" s="7"/>
      <c r="EG134" s="10" t="s">
        <v>38</v>
      </c>
      <c r="EH134" s="7"/>
      <c r="EI134" s="7"/>
      <c r="EJ134" s="10" t="s">
        <v>38</v>
      </c>
      <c r="EK134" s="9"/>
      <c r="EL134" s="9"/>
      <c r="EM134" s="10" t="s">
        <v>38</v>
      </c>
      <c r="EN134" s="7"/>
      <c r="EO134" s="7"/>
      <c r="EP134" s="10" t="s">
        <v>38</v>
      </c>
      <c r="EQ134" s="7"/>
      <c r="ER134" s="7"/>
      <c r="ES134" s="10" t="s">
        <v>38</v>
      </c>
      <c r="ET134" s="7"/>
      <c r="EU134" s="7"/>
      <c r="EV134" s="10" t="s">
        <v>38</v>
      </c>
      <c r="EW134" s="9"/>
      <c r="EX134" s="9"/>
      <c r="EY134" s="10" t="s">
        <v>38</v>
      </c>
      <c r="EZ134" s="7"/>
      <c r="FA134" s="7"/>
      <c r="FB134" s="10" t="s">
        <v>38</v>
      </c>
      <c r="FC134" s="7"/>
      <c r="FD134" s="7"/>
      <c r="FE134" s="10" t="s">
        <v>38</v>
      </c>
      <c r="FF134" s="7"/>
      <c r="FG134" s="7"/>
      <c r="FH134" s="10" t="s">
        <v>38</v>
      </c>
      <c r="FI134" s="9"/>
      <c r="FJ134" s="9"/>
      <c r="FK134" s="10" t="s">
        <v>38</v>
      </c>
      <c r="FL134" s="7"/>
      <c r="FM134" s="7"/>
      <c r="FN134" s="10" t="s">
        <v>38</v>
      </c>
      <c r="FO134" s="7"/>
      <c r="FP134" s="7"/>
      <c r="FQ134" s="10" t="s">
        <v>38</v>
      </c>
      <c r="FR134" s="7"/>
      <c r="FS134" s="7"/>
      <c r="FT134" s="10" t="s">
        <v>38</v>
      </c>
      <c r="FU134" s="9"/>
      <c r="FV134" s="9"/>
      <c r="FW134" s="10" t="s">
        <v>38</v>
      </c>
      <c r="FX134" s="7">
        <v>500</v>
      </c>
      <c r="FY134" s="7">
        <v>4000</v>
      </c>
      <c r="FZ134" s="10" t="s">
        <v>38</v>
      </c>
      <c r="GA134" s="7"/>
      <c r="GB134" s="7"/>
      <c r="GC134" s="10" t="s">
        <v>38</v>
      </c>
      <c r="GD134" s="7"/>
      <c r="GE134" s="7"/>
      <c r="GF134" s="10" t="s">
        <v>38</v>
      </c>
      <c r="GG134" s="7"/>
      <c r="GH134" s="7"/>
      <c r="GI134" s="10" t="s">
        <v>38</v>
      </c>
      <c r="GJ134" s="7">
        <v>1465</v>
      </c>
      <c r="GK134" s="7">
        <v>10973</v>
      </c>
      <c r="GL134" s="10" t="s">
        <v>38</v>
      </c>
      <c r="GM134" s="7"/>
      <c r="GN134" s="7"/>
      <c r="GO134" s="10" t="s">
        <v>38</v>
      </c>
      <c r="GP134" s="7"/>
      <c r="GQ134" s="7"/>
      <c r="GR134" s="10" t="s">
        <v>38</v>
      </c>
      <c r="GS134" s="7"/>
      <c r="GT134" s="7"/>
      <c r="GU134" s="6" t="s">
        <v>38</v>
      </c>
      <c r="GV134" s="7">
        <v>1050</v>
      </c>
      <c r="GW134" s="7">
        <v>9300</v>
      </c>
      <c r="GX134" s="10" t="s">
        <v>38</v>
      </c>
      <c r="GY134" s="7"/>
      <c r="GZ134" s="7"/>
      <c r="HA134" s="10" t="s">
        <v>38</v>
      </c>
      <c r="HB134" s="7"/>
      <c r="HC134" s="7"/>
      <c r="HD134" s="10" t="s">
        <v>38</v>
      </c>
      <c r="HE134" s="7"/>
      <c r="HF134" s="7"/>
      <c r="HG134" s="10" t="s">
        <v>38</v>
      </c>
      <c r="HH134" s="7">
        <v>1100</v>
      </c>
      <c r="HI134" s="7">
        <v>9000</v>
      </c>
      <c r="HJ134" s="10" t="s">
        <v>38</v>
      </c>
      <c r="HK134" s="7"/>
      <c r="HL134" s="7"/>
      <c r="HM134" s="10" t="s">
        <v>38</v>
      </c>
      <c r="HN134" s="7"/>
      <c r="HO134" s="7"/>
      <c r="HP134" s="10" t="s">
        <v>38</v>
      </c>
      <c r="HQ134" s="7"/>
      <c r="HR134" s="7"/>
      <c r="HS134" s="10" t="s">
        <v>38</v>
      </c>
      <c r="HT134" s="7">
        <v>1000</v>
      </c>
      <c r="HU134" s="7">
        <v>8500</v>
      </c>
      <c r="HV134" s="10" t="s">
        <v>38</v>
      </c>
      <c r="HW134" s="7"/>
      <c r="HX134" s="7"/>
      <c r="HY134" s="10" t="s">
        <v>38</v>
      </c>
      <c r="HZ134" s="7"/>
      <c r="IA134" s="7"/>
      <c r="IB134" s="10" t="s">
        <v>38</v>
      </c>
      <c r="IC134" s="7"/>
      <c r="ID134" s="7"/>
      <c r="IE134" s="6" t="s">
        <v>38</v>
      </c>
      <c r="IF134" s="7">
        <v>945</v>
      </c>
      <c r="IG134" s="7">
        <v>6800</v>
      </c>
      <c r="II134" s="7"/>
      <c r="IJ134" s="7"/>
      <c r="IK134" s="7"/>
      <c r="IL134" s="7"/>
      <c r="IM134" s="7"/>
      <c r="IN134" s="7"/>
      <c r="IP134" s="7"/>
      <c r="IQ134" s="7"/>
      <c r="IR134" s="7"/>
      <c r="IS134" s="7"/>
      <c r="IT134" s="7"/>
      <c r="IU134" s="7"/>
      <c r="IV134" s="7"/>
      <c r="IW134" s="7"/>
      <c r="IX134" s="7"/>
      <c r="IY134" s="7"/>
      <c r="IZ134" s="7"/>
      <c r="JA134" s="7"/>
      <c r="JB134" s="7"/>
      <c r="JC134" s="7"/>
      <c r="JE134" s="7"/>
      <c r="JF134" s="7"/>
      <c r="JH134" s="7"/>
      <c r="JI134" s="7"/>
      <c r="JJ134" s="7"/>
      <c r="JK134" s="7"/>
      <c r="JL134" s="7"/>
      <c r="JM134" s="7"/>
      <c r="JO134" s="7"/>
      <c r="JP134" s="7"/>
      <c r="JQ134" s="7"/>
      <c r="JR134" s="7"/>
      <c r="JT134" s="7"/>
      <c r="JU134" s="7"/>
      <c r="JV134" s="7"/>
      <c r="JW134" s="7"/>
      <c r="JX134" s="7"/>
    </row>
    <row r="135" spans="1:284" x14ac:dyDescent="0.3">
      <c r="A135" t="s">
        <v>300</v>
      </c>
      <c r="B135" s="10" t="s">
        <v>38</v>
      </c>
      <c r="C135" s="7"/>
      <c r="D135" s="7"/>
      <c r="E135" s="10" t="s">
        <v>38</v>
      </c>
      <c r="F135" s="7"/>
      <c r="G135" s="7"/>
      <c r="H135" s="10" t="s">
        <v>38</v>
      </c>
      <c r="I135" s="9"/>
      <c r="J135" s="9"/>
      <c r="K135" s="10" t="s">
        <v>38</v>
      </c>
      <c r="L135" s="7"/>
      <c r="M135" s="7"/>
      <c r="N135" s="10" t="s">
        <v>38</v>
      </c>
      <c r="O135" s="7"/>
      <c r="P135" s="7"/>
      <c r="Q135" s="10" t="s">
        <v>38</v>
      </c>
      <c r="R135" s="7"/>
      <c r="S135" s="7"/>
      <c r="T135" s="10" t="s">
        <v>38</v>
      </c>
      <c r="U135" s="9"/>
      <c r="V135" s="9"/>
      <c r="W135" s="10" t="s">
        <v>38</v>
      </c>
      <c r="X135" s="7"/>
      <c r="Y135" s="7"/>
      <c r="Z135" s="10" t="s">
        <v>38</v>
      </c>
      <c r="AA135" s="7"/>
      <c r="AB135" s="7"/>
      <c r="AC135" s="10" t="s">
        <v>38</v>
      </c>
      <c r="AD135" s="7"/>
      <c r="AE135" s="7"/>
      <c r="AF135" s="10" t="s">
        <v>38</v>
      </c>
      <c r="AG135" s="9"/>
      <c r="AH135" s="9"/>
      <c r="AI135" s="10" t="s">
        <v>38</v>
      </c>
      <c r="AJ135" s="7"/>
      <c r="AK135" s="7"/>
      <c r="AL135" s="10" t="s">
        <v>38</v>
      </c>
      <c r="AM135" s="7"/>
      <c r="AN135" s="7"/>
      <c r="AO135" s="10" t="s">
        <v>38</v>
      </c>
      <c r="AP135" s="7"/>
      <c r="AQ135" s="7"/>
      <c r="AR135" s="10" t="s">
        <v>38</v>
      </c>
      <c r="AS135" s="9"/>
      <c r="AT135" s="9"/>
      <c r="AU135" s="10" t="s">
        <v>38</v>
      </c>
      <c r="AV135" s="7"/>
      <c r="AW135" s="7"/>
      <c r="AX135" s="10" t="s">
        <v>38</v>
      </c>
      <c r="AY135" s="7"/>
      <c r="AZ135" s="7"/>
      <c r="BA135" s="10" t="s">
        <v>38</v>
      </c>
      <c r="BB135" s="7"/>
      <c r="BC135" s="7"/>
      <c r="BD135" s="10" t="s">
        <v>38</v>
      </c>
      <c r="BE135" s="9"/>
      <c r="BF135" s="9"/>
      <c r="BG135" s="10" t="s">
        <v>38</v>
      </c>
      <c r="BH135" s="7"/>
      <c r="BI135" s="7"/>
      <c r="BJ135" s="10" t="s">
        <v>38</v>
      </c>
      <c r="BK135" s="7"/>
      <c r="BL135" s="7"/>
      <c r="BM135" s="10" t="s">
        <v>38</v>
      </c>
      <c r="BN135" s="7"/>
      <c r="BO135" s="7"/>
      <c r="BP135" s="10" t="s">
        <v>38</v>
      </c>
      <c r="BQ135" s="9"/>
      <c r="BR135" s="9"/>
      <c r="BS135" s="10" t="s">
        <v>38</v>
      </c>
      <c r="BT135" s="7"/>
      <c r="BU135" s="7"/>
      <c r="BV135" s="10" t="s">
        <v>38</v>
      </c>
      <c r="BW135" s="7"/>
      <c r="BX135" s="7"/>
      <c r="BY135" s="10" t="s">
        <v>38</v>
      </c>
      <c r="BZ135" s="7"/>
      <c r="CA135" s="7"/>
      <c r="CB135" s="10" t="s">
        <v>38</v>
      </c>
      <c r="CC135" s="9"/>
      <c r="CD135" s="9"/>
      <c r="CE135" s="10" t="s">
        <v>38</v>
      </c>
      <c r="CF135" s="7"/>
      <c r="CG135" s="7"/>
      <c r="CH135" s="10" t="s">
        <v>38</v>
      </c>
      <c r="CI135" s="7"/>
      <c r="CJ135" s="7"/>
      <c r="CK135" s="10" t="s">
        <v>38</v>
      </c>
      <c r="CL135" s="7"/>
      <c r="CM135" s="7"/>
      <c r="CN135" s="10" t="s">
        <v>38</v>
      </c>
      <c r="CO135" s="9"/>
      <c r="CP135" s="9"/>
      <c r="CQ135" s="10" t="s">
        <v>38</v>
      </c>
      <c r="CR135" s="7"/>
      <c r="CS135" s="7"/>
      <c r="CT135" s="10" t="s">
        <v>38</v>
      </c>
      <c r="CU135" s="7"/>
      <c r="CV135" s="7"/>
      <c r="CW135" s="10" t="s">
        <v>38</v>
      </c>
      <c r="CX135" s="7"/>
      <c r="CY135" s="7"/>
      <c r="CZ135" s="10" t="s">
        <v>38</v>
      </c>
      <c r="DA135" s="9"/>
      <c r="DB135" s="9"/>
      <c r="DC135" s="10" t="s">
        <v>38</v>
      </c>
      <c r="DD135" s="7"/>
      <c r="DE135" s="7"/>
      <c r="DF135" s="10" t="s">
        <v>38</v>
      </c>
      <c r="DG135" s="7"/>
      <c r="DH135" s="7"/>
      <c r="DI135" s="10" t="s">
        <v>38</v>
      </c>
      <c r="DJ135" s="7"/>
      <c r="DK135" s="7"/>
      <c r="DL135" s="10" t="s">
        <v>38</v>
      </c>
      <c r="DM135" s="9"/>
      <c r="DN135" s="9"/>
      <c r="DO135" s="10" t="s">
        <v>38</v>
      </c>
      <c r="DP135" s="7"/>
      <c r="DQ135" s="7"/>
      <c r="DR135" s="10" t="s">
        <v>38</v>
      </c>
      <c r="DS135" s="7"/>
      <c r="DT135" s="7"/>
      <c r="DU135" s="10" t="s">
        <v>38</v>
      </c>
      <c r="DV135" s="7"/>
      <c r="DW135" s="7"/>
      <c r="DX135" s="10" t="s">
        <v>38</v>
      </c>
      <c r="DY135" s="9"/>
      <c r="DZ135" s="9"/>
      <c r="EA135" s="10" t="s">
        <v>38</v>
      </c>
      <c r="EB135" s="7"/>
      <c r="EC135" s="7"/>
      <c r="ED135" s="10" t="s">
        <v>38</v>
      </c>
      <c r="EE135" s="7"/>
      <c r="EF135" s="7"/>
      <c r="EG135" s="10" t="s">
        <v>38</v>
      </c>
      <c r="EH135" s="7"/>
      <c r="EI135" s="7"/>
      <c r="EJ135" s="10" t="s">
        <v>38</v>
      </c>
      <c r="EK135" s="9"/>
      <c r="EL135" s="9"/>
      <c r="EM135" s="10" t="s">
        <v>38</v>
      </c>
      <c r="EN135" s="7"/>
      <c r="EO135" s="7"/>
      <c r="EP135" s="10" t="s">
        <v>38</v>
      </c>
      <c r="EQ135" s="7"/>
      <c r="ER135" s="7"/>
      <c r="ES135" s="10" t="s">
        <v>38</v>
      </c>
      <c r="ET135" s="7"/>
      <c r="EU135" s="7"/>
      <c r="EV135" s="10" t="s">
        <v>38</v>
      </c>
      <c r="EW135" s="9"/>
      <c r="EX135" s="9"/>
      <c r="EY135" s="10" t="s">
        <v>38</v>
      </c>
      <c r="EZ135" s="7"/>
      <c r="FA135" s="7"/>
      <c r="FB135" s="10" t="s">
        <v>38</v>
      </c>
      <c r="FC135" s="7"/>
      <c r="FD135" s="7"/>
      <c r="FE135" s="10" t="s">
        <v>38</v>
      </c>
      <c r="FF135" s="7"/>
      <c r="FG135" s="7"/>
      <c r="FH135" s="10" t="s">
        <v>38</v>
      </c>
      <c r="FI135" s="9"/>
      <c r="FJ135" s="9"/>
      <c r="FK135" s="10" t="s">
        <v>38</v>
      </c>
      <c r="FL135" s="7"/>
      <c r="FM135" s="7"/>
      <c r="FN135" s="10" t="s">
        <v>38</v>
      </c>
      <c r="FO135" s="7"/>
      <c r="FP135" s="7"/>
      <c r="FQ135" s="10" t="s">
        <v>38</v>
      </c>
      <c r="FR135" s="7"/>
      <c r="FS135" s="7"/>
      <c r="FT135" s="10" t="s">
        <v>38</v>
      </c>
      <c r="FU135" s="9"/>
      <c r="FV135" s="9"/>
      <c r="FW135" s="10" t="s">
        <v>38</v>
      </c>
      <c r="FX135" s="7">
        <v>10</v>
      </c>
      <c r="FY135" s="7">
        <v>130</v>
      </c>
      <c r="FZ135" s="10" t="s">
        <v>38</v>
      </c>
      <c r="GA135" s="7"/>
      <c r="GB135" s="7"/>
      <c r="GC135" s="10" t="s">
        <v>38</v>
      </c>
      <c r="GD135" s="7"/>
      <c r="GE135" s="7"/>
      <c r="GF135" s="10" t="s">
        <v>38</v>
      </c>
      <c r="GG135" s="7"/>
      <c r="GH135" s="7"/>
      <c r="GI135" s="10" t="s">
        <v>38</v>
      </c>
      <c r="GJ135" s="7">
        <v>15</v>
      </c>
      <c r="GK135" s="7">
        <v>128</v>
      </c>
      <c r="GL135" s="10" t="s">
        <v>38</v>
      </c>
      <c r="GM135" s="7"/>
      <c r="GN135" s="7"/>
      <c r="GO135" s="10" t="s">
        <v>38</v>
      </c>
      <c r="GP135" s="7"/>
      <c r="GQ135" s="7"/>
      <c r="GR135" s="10" t="s">
        <v>38</v>
      </c>
      <c r="GS135" s="7"/>
      <c r="GT135" s="7"/>
      <c r="GU135" s="6" t="s">
        <v>38</v>
      </c>
      <c r="GV135" s="7">
        <v>11</v>
      </c>
      <c r="GW135" s="7">
        <v>45</v>
      </c>
      <c r="GX135" s="10" t="s">
        <v>38</v>
      </c>
      <c r="GY135" s="7"/>
      <c r="GZ135" s="7"/>
      <c r="HA135" s="10" t="s">
        <v>38</v>
      </c>
      <c r="HB135" s="7"/>
      <c r="HC135" s="7"/>
      <c r="HD135" s="10" t="s">
        <v>38</v>
      </c>
      <c r="HE135" s="7"/>
      <c r="HF135" s="7"/>
      <c r="HG135" s="10" t="s">
        <v>38</v>
      </c>
      <c r="HH135" s="7">
        <v>10</v>
      </c>
      <c r="HI135" s="7">
        <v>50</v>
      </c>
      <c r="HJ135" s="10" t="s">
        <v>38</v>
      </c>
      <c r="HK135" s="7"/>
      <c r="HL135" s="7"/>
      <c r="HM135" s="10" t="s">
        <v>38</v>
      </c>
      <c r="HN135" s="7"/>
      <c r="HO135" s="7"/>
      <c r="HP135" s="10" t="s">
        <v>38</v>
      </c>
      <c r="HQ135" s="7"/>
      <c r="HR135" s="7"/>
      <c r="HS135" s="10" t="s">
        <v>38</v>
      </c>
      <c r="HT135" s="7">
        <v>13</v>
      </c>
      <c r="HU135" s="7">
        <v>80</v>
      </c>
      <c r="HV135" s="10" t="s">
        <v>38</v>
      </c>
      <c r="HW135" s="7"/>
      <c r="HX135" s="7"/>
      <c r="HY135" s="10" t="s">
        <v>38</v>
      </c>
      <c r="HZ135" s="7"/>
      <c r="IA135" s="7"/>
      <c r="IB135" s="10" t="s">
        <v>38</v>
      </c>
      <c r="IC135" s="7"/>
      <c r="ID135" s="7"/>
      <c r="IE135" s="6" t="s">
        <v>38</v>
      </c>
      <c r="IF135" s="7">
        <v>10</v>
      </c>
      <c r="IG135" s="7">
        <v>170</v>
      </c>
      <c r="II135" s="7"/>
      <c r="IJ135" s="7"/>
      <c r="IK135" s="7"/>
      <c r="IL135" s="7"/>
      <c r="IM135" s="7"/>
      <c r="IN135" s="7"/>
      <c r="IP135" s="7"/>
      <c r="IQ135" s="7"/>
      <c r="IR135" s="7"/>
      <c r="IS135" s="7"/>
      <c r="IT135" s="7"/>
      <c r="IU135" s="7"/>
      <c r="IV135" s="7"/>
      <c r="IW135" s="7"/>
      <c r="IX135" s="7"/>
      <c r="IY135" s="7"/>
      <c r="IZ135" s="7"/>
      <c r="JA135" s="7"/>
      <c r="JB135" s="7"/>
      <c r="JC135" s="7"/>
      <c r="JE135" s="7"/>
      <c r="JF135" s="7"/>
      <c r="JH135" s="7"/>
      <c r="JI135" s="7"/>
      <c r="JJ135" s="7"/>
      <c r="JK135" s="7"/>
      <c r="JL135" s="7"/>
      <c r="JM135" s="7"/>
      <c r="JO135" s="7"/>
      <c r="JP135" s="7"/>
      <c r="JQ135" s="7"/>
      <c r="JR135" s="7"/>
      <c r="JT135" s="7"/>
      <c r="JU135" s="7"/>
      <c r="JV135" s="7"/>
      <c r="JW135" s="7"/>
      <c r="JX135" s="7"/>
    </row>
    <row r="136" spans="1:284" x14ac:dyDescent="0.3">
      <c r="A136" t="s">
        <v>301</v>
      </c>
      <c r="B136" s="10" t="s">
        <v>38</v>
      </c>
      <c r="C136" s="7"/>
      <c r="D136" s="7"/>
      <c r="E136" s="10" t="s">
        <v>38</v>
      </c>
      <c r="F136" s="7"/>
      <c r="G136" s="7"/>
      <c r="H136" s="10" t="s">
        <v>38</v>
      </c>
      <c r="I136" s="9"/>
      <c r="J136" s="9"/>
      <c r="K136" s="10" t="s">
        <v>38</v>
      </c>
      <c r="L136" s="7"/>
      <c r="M136" s="7"/>
      <c r="N136" s="10" t="s">
        <v>38</v>
      </c>
      <c r="O136" s="7"/>
      <c r="P136" s="7"/>
      <c r="Q136" s="10" t="s">
        <v>38</v>
      </c>
      <c r="R136" s="7"/>
      <c r="S136" s="7"/>
      <c r="T136" s="10" t="s">
        <v>38</v>
      </c>
      <c r="U136" s="9"/>
      <c r="V136" s="9"/>
      <c r="W136" s="10" t="s">
        <v>38</v>
      </c>
      <c r="X136" s="7"/>
      <c r="Y136" s="7"/>
      <c r="Z136" s="10" t="s">
        <v>38</v>
      </c>
      <c r="AA136" s="7"/>
      <c r="AB136" s="7"/>
      <c r="AC136" s="10" t="s">
        <v>38</v>
      </c>
      <c r="AD136" s="7"/>
      <c r="AE136" s="7"/>
      <c r="AF136" s="10" t="s">
        <v>38</v>
      </c>
      <c r="AG136" s="9"/>
      <c r="AH136" s="9"/>
      <c r="AI136" s="10" t="s">
        <v>38</v>
      </c>
      <c r="AJ136" s="7"/>
      <c r="AK136" s="7"/>
      <c r="AL136" s="10" t="s">
        <v>38</v>
      </c>
      <c r="AM136" s="7"/>
      <c r="AN136" s="7"/>
      <c r="AO136" s="10" t="s">
        <v>38</v>
      </c>
      <c r="AP136" s="7"/>
      <c r="AQ136" s="7"/>
      <c r="AR136" s="10" t="s">
        <v>38</v>
      </c>
      <c r="AS136" s="9"/>
      <c r="AT136" s="9"/>
      <c r="AU136" s="10" t="s">
        <v>38</v>
      </c>
      <c r="AV136" s="7"/>
      <c r="AW136" s="7"/>
      <c r="AX136" s="10" t="s">
        <v>38</v>
      </c>
      <c r="AY136" s="7"/>
      <c r="AZ136" s="7"/>
      <c r="BA136" s="10" t="s">
        <v>38</v>
      </c>
      <c r="BB136" s="7"/>
      <c r="BC136" s="7"/>
      <c r="BD136" s="10" t="s">
        <v>38</v>
      </c>
      <c r="BE136" s="9"/>
      <c r="BF136" s="9"/>
      <c r="BG136" s="10" t="s">
        <v>38</v>
      </c>
      <c r="BH136" s="7"/>
      <c r="BI136" s="7"/>
      <c r="BJ136" s="10" t="s">
        <v>38</v>
      </c>
      <c r="BK136" s="7"/>
      <c r="BL136" s="7"/>
      <c r="BM136" s="10" t="s">
        <v>38</v>
      </c>
      <c r="BN136" s="7"/>
      <c r="BO136" s="7"/>
      <c r="BP136" s="10" t="s">
        <v>38</v>
      </c>
      <c r="BQ136" s="9"/>
      <c r="BR136" s="9"/>
      <c r="BS136" s="10" t="s">
        <v>38</v>
      </c>
      <c r="BT136" s="7"/>
      <c r="BU136" s="7"/>
      <c r="BV136" s="10" t="s">
        <v>38</v>
      </c>
      <c r="BW136" s="7"/>
      <c r="BX136" s="7"/>
      <c r="BY136" s="10" t="s">
        <v>38</v>
      </c>
      <c r="BZ136" s="7"/>
      <c r="CA136" s="7"/>
      <c r="CB136" s="10" t="s">
        <v>38</v>
      </c>
      <c r="CC136" s="9"/>
      <c r="CD136" s="9"/>
      <c r="CE136" s="10" t="s">
        <v>38</v>
      </c>
      <c r="CF136" s="7"/>
      <c r="CG136" s="7"/>
      <c r="CH136" s="10" t="s">
        <v>38</v>
      </c>
      <c r="CI136" s="7"/>
      <c r="CJ136" s="7"/>
      <c r="CK136" s="10" t="s">
        <v>38</v>
      </c>
      <c r="CL136" s="7"/>
      <c r="CM136" s="7"/>
      <c r="CN136" s="10" t="s">
        <v>38</v>
      </c>
      <c r="CO136" s="9"/>
      <c r="CP136" s="9"/>
      <c r="CQ136" s="10" t="s">
        <v>38</v>
      </c>
      <c r="CR136" s="7"/>
      <c r="CS136" s="7"/>
      <c r="CT136" s="10" t="s">
        <v>38</v>
      </c>
      <c r="CU136" s="7"/>
      <c r="CV136" s="7"/>
      <c r="CW136" s="10" t="s">
        <v>38</v>
      </c>
      <c r="CX136" s="7"/>
      <c r="CY136" s="7"/>
      <c r="CZ136" s="10" t="s">
        <v>38</v>
      </c>
      <c r="DA136" s="9"/>
      <c r="DB136" s="9"/>
      <c r="DC136" s="10" t="s">
        <v>38</v>
      </c>
      <c r="DD136" s="7"/>
      <c r="DE136" s="7"/>
      <c r="DF136" s="10" t="s">
        <v>38</v>
      </c>
      <c r="DG136" s="7"/>
      <c r="DH136" s="7"/>
      <c r="DI136" s="10" t="s">
        <v>38</v>
      </c>
      <c r="DJ136" s="7"/>
      <c r="DK136" s="7"/>
      <c r="DL136" s="10" t="s">
        <v>38</v>
      </c>
      <c r="DM136" s="9"/>
      <c r="DN136" s="9"/>
      <c r="DO136" s="10" t="s">
        <v>38</v>
      </c>
      <c r="DP136" s="7"/>
      <c r="DQ136" s="7"/>
      <c r="DR136" s="10" t="s">
        <v>38</v>
      </c>
      <c r="DS136" s="7"/>
      <c r="DT136" s="7"/>
      <c r="DU136" s="10" t="s">
        <v>38</v>
      </c>
      <c r="DV136" s="7"/>
      <c r="DW136" s="7"/>
      <c r="DX136" s="10" t="s">
        <v>38</v>
      </c>
      <c r="DY136" s="9"/>
      <c r="DZ136" s="9"/>
      <c r="EA136" s="10" t="s">
        <v>38</v>
      </c>
      <c r="EB136" s="7"/>
      <c r="EC136" s="7"/>
      <c r="ED136" s="10" t="s">
        <v>38</v>
      </c>
      <c r="EE136" s="7"/>
      <c r="EF136" s="7"/>
      <c r="EG136" s="10" t="s">
        <v>38</v>
      </c>
      <c r="EH136" s="7"/>
      <c r="EI136" s="7"/>
      <c r="EJ136" s="10" t="s">
        <v>38</v>
      </c>
      <c r="EK136" s="9"/>
      <c r="EL136" s="9"/>
      <c r="EM136" s="10" t="s">
        <v>38</v>
      </c>
      <c r="EN136" s="7"/>
      <c r="EO136" s="7"/>
      <c r="EP136" s="10" t="s">
        <v>38</v>
      </c>
      <c r="EQ136" s="7"/>
      <c r="ER136" s="7"/>
      <c r="ES136" s="10" t="s">
        <v>38</v>
      </c>
      <c r="ET136" s="7"/>
      <c r="EU136" s="7"/>
      <c r="EV136" s="10" t="s">
        <v>38</v>
      </c>
      <c r="EW136" s="9"/>
      <c r="EX136" s="9"/>
      <c r="EY136" s="10" t="s">
        <v>38</v>
      </c>
      <c r="EZ136" s="7"/>
      <c r="FA136" s="7"/>
      <c r="FB136" s="10" t="s">
        <v>38</v>
      </c>
      <c r="FC136" s="7"/>
      <c r="FD136" s="7"/>
      <c r="FE136" s="10" t="s">
        <v>38</v>
      </c>
      <c r="FF136" s="7"/>
      <c r="FG136" s="7"/>
      <c r="FH136" s="10" t="s">
        <v>38</v>
      </c>
      <c r="FI136" s="9"/>
      <c r="FJ136" s="9"/>
      <c r="FK136" s="10" t="s">
        <v>38</v>
      </c>
      <c r="FL136" s="7"/>
      <c r="FM136" s="7"/>
      <c r="FN136" s="10" t="s">
        <v>38</v>
      </c>
      <c r="FO136" s="7"/>
      <c r="FP136" s="7"/>
      <c r="FQ136" s="10" t="s">
        <v>38</v>
      </c>
      <c r="FR136" s="7"/>
      <c r="FS136" s="7"/>
      <c r="FT136" s="10" t="s">
        <v>38</v>
      </c>
      <c r="FU136" s="9"/>
      <c r="FV136" s="9"/>
      <c r="FW136" s="10" t="s">
        <v>38</v>
      </c>
      <c r="FX136" s="7">
        <v>15</v>
      </c>
      <c r="FY136" s="7">
        <v>300</v>
      </c>
      <c r="FZ136" s="10" t="s">
        <v>38</v>
      </c>
      <c r="GA136" s="7"/>
      <c r="GB136" s="7"/>
      <c r="GC136" s="10" t="s">
        <v>38</v>
      </c>
      <c r="GD136" s="7"/>
      <c r="GE136" s="7"/>
      <c r="GF136" s="10" t="s">
        <v>38</v>
      </c>
      <c r="GG136" s="7"/>
      <c r="GH136" s="7"/>
      <c r="GI136" s="10" t="s">
        <v>38</v>
      </c>
      <c r="GJ136" s="7">
        <v>7</v>
      </c>
      <c r="GK136" s="7">
        <v>203</v>
      </c>
      <c r="GL136" s="10" t="s">
        <v>38</v>
      </c>
      <c r="GM136" s="7"/>
      <c r="GN136" s="7"/>
      <c r="GO136" s="10" t="s">
        <v>38</v>
      </c>
      <c r="GP136" s="7"/>
      <c r="GQ136" s="7"/>
      <c r="GR136" s="10" t="s">
        <v>38</v>
      </c>
      <c r="GS136" s="7"/>
      <c r="GT136" s="7"/>
      <c r="GU136" s="6" t="s">
        <v>38</v>
      </c>
      <c r="GV136" s="7">
        <v>20</v>
      </c>
      <c r="GW136" s="7">
        <v>200</v>
      </c>
      <c r="GX136" s="10" t="s">
        <v>38</v>
      </c>
      <c r="GY136" s="7"/>
      <c r="GZ136" s="7"/>
      <c r="HA136" s="10" t="s">
        <v>38</v>
      </c>
      <c r="HB136" s="7"/>
      <c r="HC136" s="7"/>
      <c r="HD136" s="10" t="s">
        <v>38</v>
      </c>
      <c r="HE136" s="7"/>
      <c r="HF136" s="7"/>
      <c r="HG136" s="10" t="s">
        <v>38</v>
      </c>
      <c r="HH136" s="7">
        <v>15</v>
      </c>
      <c r="HI136" s="7">
        <v>200</v>
      </c>
      <c r="HJ136" s="10" t="s">
        <v>38</v>
      </c>
      <c r="HK136" s="7"/>
      <c r="HL136" s="7"/>
      <c r="HM136" s="10" t="s">
        <v>38</v>
      </c>
      <c r="HN136" s="7"/>
      <c r="HO136" s="7"/>
      <c r="HP136" s="10" t="s">
        <v>38</v>
      </c>
      <c r="HQ136" s="7"/>
      <c r="HR136" s="7"/>
      <c r="HS136" s="10" t="s">
        <v>38</v>
      </c>
      <c r="HT136" s="7">
        <v>17</v>
      </c>
      <c r="HU136" s="7">
        <v>250</v>
      </c>
      <c r="HV136" s="10" t="s">
        <v>38</v>
      </c>
      <c r="HW136" s="7"/>
      <c r="HX136" s="7"/>
      <c r="HY136" s="10" t="s">
        <v>38</v>
      </c>
      <c r="HZ136" s="7"/>
      <c r="IA136" s="7"/>
      <c r="IB136" s="10" t="s">
        <v>38</v>
      </c>
      <c r="IC136" s="7"/>
      <c r="ID136" s="7"/>
      <c r="IE136" s="6" t="s">
        <v>38</v>
      </c>
      <c r="IF136" s="7">
        <v>3</v>
      </c>
      <c r="IG136" s="7">
        <v>85</v>
      </c>
      <c r="II136" s="7"/>
      <c r="IJ136" s="7"/>
      <c r="IK136" s="7"/>
      <c r="IL136" s="7"/>
      <c r="IM136" s="7"/>
      <c r="IN136" s="7"/>
      <c r="IP136" s="7"/>
      <c r="IQ136" s="7"/>
      <c r="IR136" s="7"/>
      <c r="IS136" s="7"/>
      <c r="IT136" s="7"/>
      <c r="IU136" s="7"/>
      <c r="IV136" s="7"/>
      <c r="IW136" s="7"/>
      <c r="IX136" s="7"/>
      <c r="IY136" s="7"/>
      <c r="IZ136" s="7"/>
      <c r="JA136" s="7"/>
      <c r="JB136" s="7"/>
      <c r="JC136" s="7"/>
      <c r="JE136" s="7"/>
      <c r="JF136" s="7"/>
      <c r="JH136" s="7"/>
      <c r="JI136" s="7"/>
      <c r="JJ136" s="7"/>
      <c r="JK136" s="7"/>
      <c r="JL136" s="7"/>
      <c r="JM136" s="7"/>
      <c r="JO136" s="7"/>
      <c r="JP136" s="7"/>
      <c r="JQ136" s="7"/>
      <c r="JR136" s="7"/>
      <c r="JT136" s="7"/>
      <c r="JU136" s="7"/>
      <c r="JV136" s="7"/>
      <c r="JW136" s="7"/>
      <c r="JX136" s="7"/>
    </row>
    <row r="137" spans="1:284" x14ac:dyDescent="0.3">
      <c r="A137" t="s">
        <v>302</v>
      </c>
      <c r="B137" s="10" t="s">
        <v>38</v>
      </c>
      <c r="C137" s="7"/>
      <c r="D137" s="7"/>
      <c r="E137" s="10" t="s">
        <v>38</v>
      </c>
      <c r="F137" s="7"/>
      <c r="G137" s="7"/>
      <c r="H137" s="10" t="s">
        <v>38</v>
      </c>
      <c r="I137" s="9"/>
      <c r="J137" s="9"/>
      <c r="K137" s="10" t="s">
        <v>38</v>
      </c>
      <c r="L137" s="7"/>
      <c r="M137" s="7"/>
      <c r="N137" s="10" t="s">
        <v>38</v>
      </c>
      <c r="O137" s="7"/>
      <c r="P137" s="7"/>
      <c r="Q137" s="10" t="s">
        <v>38</v>
      </c>
      <c r="R137" s="7"/>
      <c r="S137" s="7"/>
      <c r="T137" s="10" t="s">
        <v>38</v>
      </c>
      <c r="U137" s="9"/>
      <c r="V137" s="9"/>
      <c r="W137" s="10" t="s">
        <v>38</v>
      </c>
      <c r="X137" s="7"/>
      <c r="Y137" s="7"/>
      <c r="Z137" s="10" t="s">
        <v>38</v>
      </c>
      <c r="AA137" s="7"/>
      <c r="AB137" s="7"/>
      <c r="AC137" s="10" t="s">
        <v>38</v>
      </c>
      <c r="AD137" s="7"/>
      <c r="AE137" s="7"/>
      <c r="AF137" s="10" t="s">
        <v>38</v>
      </c>
      <c r="AG137" s="9"/>
      <c r="AH137" s="9"/>
      <c r="AI137" s="10" t="s">
        <v>38</v>
      </c>
      <c r="AJ137" s="7"/>
      <c r="AK137" s="7"/>
      <c r="AL137" s="10" t="s">
        <v>38</v>
      </c>
      <c r="AM137" s="7"/>
      <c r="AN137" s="7"/>
      <c r="AO137" s="10" t="s">
        <v>38</v>
      </c>
      <c r="AP137" s="7"/>
      <c r="AQ137" s="7"/>
      <c r="AR137" s="10" t="s">
        <v>38</v>
      </c>
      <c r="AS137" s="9"/>
      <c r="AT137" s="9"/>
      <c r="AU137" s="10" t="s">
        <v>38</v>
      </c>
      <c r="AV137" s="7"/>
      <c r="AW137" s="7"/>
      <c r="AX137" s="10" t="s">
        <v>38</v>
      </c>
      <c r="AY137" s="7"/>
      <c r="AZ137" s="7"/>
      <c r="BA137" s="10" t="s">
        <v>38</v>
      </c>
      <c r="BB137" s="7"/>
      <c r="BC137" s="7"/>
      <c r="BD137" s="10" t="s">
        <v>38</v>
      </c>
      <c r="BE137" s="9"/>
      <c r="BF137" s="9"/>
      <c r="BG137" s="10" t="s">
        <v>38</v>
      </c>
      <c r="BH137" s="7"/>
      <c r="BI137" s="7"/>
      <c r="BJ137" s="10" t="s">
        <v>38</v>
      </c>
      <c r="BK137" s="7"/>
      <c r="BL137" s="7"/>
      <c r="BM137" s="10" t="s">
        <v>38</v>
      </c>
      <c r="BN137" s="7"/>
      <c r="BO137" s="7"/>
      <c r="BP137" s="10" t="s">
        <v>38</v>
      </c>
      <c r="BQ137" s="9"/>
      <c r="BR137" s="9"/>
      <c r="BS137" s="10" t="s">
        <v>38</v>
      </c>
      <c r="BT137" s="7"/>
      <c r="BU137" s="7"/>
      <c r="BV137" s="10" t="s">
        <v>38</v>
      </c>
      <c r="BW137" s="7"/>
      <c r="BX137" s="7"/>
      <c r="BY137" s="10" t="s">
        <v>38</v>
      </c>
      <c r="BZ137" s="7"/>
      <c r="CA137" s="7"/>
      <c r="CB137" s="10" t="s">
        <v>38</v>
      </c>
      <c r="CC137" s="9"/>
      <c r="CD137" s="9"/>
      <c r="CE137" s="10" t="s">
        <v>38</v>
      </c>
      <c r="CF137" s="7"/>
      <c r="CG137" s="7"/>
      <c r="CH137" s="10" t="s">
        <v>38</v>
      </c>
      <c r="CI137" s="7"/>
      <c r="CJ137" s="7"/>
      <c r="CK137" s="10" t="s">
        <v>38</v>
      </c>
      <c r="CL137" s="7"/>
      <c r="CM137" s="7"/>
      <c r="CN137" s="10" t="s">
        <v>38</v>
      </c>
      <c r="CO137" s="9"/>
      <c r="CP137" s="9"/>
      <c r="CQ137" s="10" t="s">
        <v>38</v>
      </c>
      <c r="CR137" s="7"/>
      <c r="CS137" s="7"/>
      <c r="CT137" s="10" t="s">
        <v>38</v>
      </c>
      <c r="CU137" s="7"/>
      <c r="CV137" s="7"/>
      <c r="CW137" s="10" t="s">
        <v>38</v>
      </c>
      <c r="CX137" s="7"/>
      <c r="CY137" s="7"/>
      <c r="CZ137" s="10" t="s">
        <v>38</v>
      </c>
      <c r="DA137" s="9"/>
      <c r="DB137" s="9"/>
      <c r="DC137" s="10" t="s">
        <v>38</v>
      </c>
      <c r="DD137" s="7"/>
      <c r="DE137" s="7"/>
      <c r="DF137" s="10" t="s">
        <v>38</v>
      </c>
      <c r="DG137" s="7"/>
      <c r="DH137" s="7"/>
      <c r="DI137" s="10" t="s">
        <v>38</v>
      </c>
      <c r="DJ137" s="7"/>
      <c r="DK137" s="7"/>
      <c r="DL137" s="10" t="s">
        <v>38</v>
      </c>
      <c r="DM137" s="9"/>
      <c r="DN137" s="9"/>
      <c r="DO137" s="10" t="s">
        <v>38</v>
      </c>
      <c r="DP137" s="7"/>
      <c r="DQ137" s="7"/>
      <c r="DR137" s="10" t="s">
        <v>38</v>
      </c>
      <c r="DS137" s="7"/>
      <c r="DT137" s="7"/>
      <c r="DU137" s="10" t="s">
        <v>38</v>
      </c>
      <c r="DV137" s="7"/>
      <c r="DW137" s="7"/>
      <c r="DX137" s="10" t="s">
        <v>38</v>
      </c>
      <c r="DY137" s="9"/>
      <c r="DZ137" s="9"/>
      <c r="EA137" s="10" t="s">
        <v>38</v>
      </c>
      <c r="EB137" s="7"/>
      <c r="EC137" s="7"/>
      <c r="ED137" s="10" t="s">
        <v>38</v>
      </c>
      <c r="EE137" s="7"/>
      <c r="EF137" s="7"/>
      <c r="EG137" s="10" t="s">
        <v>38</v>
      </c>
      <c r="EH137" s="7"/>
      <c r="EI137" s="7"/>
      <c r="EJ137" s="10" t="s">
        <v>38</v>
      </c>
      <c r="EK137" s="9"/>
      <c r="EL137" s="9"/>
      <c r="EM137" s="10" t="s">
        <v>38</v>
      </c>
      <c r="EN137" s="7"/>
      <c r="EO137" s="7"/>
      <c r="EP137" s="10" t="s">
        <v>38</v>
      </c>
      <c r="EQ137" s="7"/>
      <c r="ER137" s="7"/>
      <c r="ES137" s="10" t="s">
        <v>38</v>
      </c>
      <c r="ET137" s="7"/>
      <c r="EU137" s="7"/>
      <c r="EV137" s="10" t="s">
        <v>38</v>
      </c>
      <c r="EW137" s="9"/>
      <c r="EX137" s="9"/>
      <c r="EY137" s="10" t="s">
        <v>38</v>
      </c>
      <c r="EZ137" s="7"/>
      <c r="FA137" s="7"/>
      <c r="FB137" s="10" t="s">
        <v>38</v>
      </c>
      <c r="FC137" s="7"/>
      <c r="FD137" s="7"/>
      <c r="FE137" s="10" t="s">
        <v>38</v>
      </c>
      <c r="FF137" s="7"/>
      <c r="FG137" s="7"/>
      <c r="FH137" s="10" t="s">
        <v>38</v>
      </c>
      <c r="FI137" s="9"/>
      <c r="FJ137" s="9"/>
      <c r="FK137" s="10" t="s">
        <v>38</v>
      </c>
      <c r="FL137" s="7"/>
      <c r="FM137" s="7"/>
      <c r="FN137" s="10" t="s">
        <v>38</v>
      </c>
      <c r="FO137" s="7"/>
      <c r="FP137" s="7"/>
      <c r="FQ137" s="10" t="s">
        <v>38</v>
      </c>
      <c r="FR137" s="7"/>
      <c r="FS137" s="7"/>
      <c r="FT137" s="10" t="s">
        <v>38</v>
      </c>
      <c r="FU137" s="9"/>
      <c r="FV137" s="9"/>
      <c r="FW137" s="10" t="s">
        <v>38</v>
      </c>
      <c r="FX137" s="7">
        <v>45</v>
      </c>
      <c r="FY137" s="7">
        <v>1000</v>
      </c>
      <c r="FZ137" s="10" t="s">
        <v>38</v>
      </c>
      <c r="GA137" s="7"/>
      <c r="GB137" s="7"/>
      <c r="GC137" s="10" t="s">
        <v>38</v>
      </c>
      <c r="GD137" s="7"/>
      <c r="GE137" s="7"/>
      <c r="GF137" s="10" t="s">
        <v>38</v>
      </c>
      <c r="GG137" s="7"/>
      <c r="GH137" s="7"/>
      <c r="GI137" s="10" t="s">
        <v>38</v>
      </c>
      <c r="GJ137" s="7">
        <v>11</v>
      </c>
      <c r="GK137" s="7">
        <v>203</v>
      </c>
      <c r="GL137" s="10" t="s">
        <v>38</v>
      </c>
      <c r="GM137" s="7"/>
      <c r="GN137" s="7"/>
      <c r="GO137" s="10" t="s">
        <v>38</v>
      </c>
      <c r="GP137" s="7"/>
      <c r="GQ137" s="7"/>
      <c r="GR137" s="10" t="s">
        <v>38</v>
      </c>
      <c r="GS137" s="7"/>
      <c r="GT137" s="7"/>
      <c r="GU137" s="6" t="s">
        <v>38</v>
      </c>
      <c r="GV137" s="7">
        <v>25</v>
      </c>
      <c r="GW137" s="7">
        <v>220</v>
      </c>
      <c r="GX137" s="10" t="s">
        <v>38</v>
      </c>
      <c r="GY137" s="7"/>
      <c r="GZ137" s="7"/>
      <c r="HA137" s="10" t="s">
        <v>38</v>
      </c>
      <c r="HB137" s="7"/>
      <c r="HC137" s="7"/>
      <c r="HD137" s="10" t="s">
        <v>38</v>
      </c>
      <c r="HE137" s="7"/>
      <c r="HF137" s="7"/>
      <c r="HG137" s="10" t="s">
        <v>38</v>
      </c>
      <c r="HH137" s="7">
        <v>30</v>
      </c>
      <c r="HI137" s="7">
        <v>250</v>
      </c>
      <c r="HJ137" s="10" t="s">
        <v>38</v>
      </c>
      <c r="HK137" s="7"/>
      <c r="HL137" s="7"/>
      <c r="HM137" s="10" t="s">
        <v>38</v>
      </c>
      <c r="HN137" s="7"/>
      <c r="HO137" s="7"/>
      <c r="HP137" s="10" t="s">
        <v>38</v>
      </c>
      <c r="HQ137" s="7"/>
      <c r="HR137" s="7"/>
      <c r="HS137" s="10" t="s">
        <v>38</v>
      </c>
      <c r="HT137" s="7">
        <v>23</v>
      </c>
      <c r="HU137" s="7">
        <v>270</v>
      </c>
      <c r="HV137" s="10" t="s">
        <v>38</v>
      </c>
      <c r="HW137" s="7"/>
      <c r="HX137" s="7"/>
      <c r="HY137" s="10" t="s">
        <v>38</v>
      </c>
      <c r="HZ137" s="7"/>
      <c r="IA137" s="7"/>
      <c r="IB137" s="10" t="s">
        <v>38</v>
      </c>
      <c r="IC137" s="7"/>
      <c r="ID137" s="7"/>
      <c r="IE137" s="6" t="s">
        <v>38</v>
      </c>
      <c r="IF137" s="7">
        <v>13</v>
      </c>
      <c r="IG137" s="7">
        <v>260</v>
      </c>
      <c r="II137" s="7"/>
      <c r="IJ137" s="7"/>
      <c r="IK137" s="7"/>
      <c r="IL137" s="7"/>
      <c r="IM137" s="7"/>
      <c r="IN137" s="7"/>
      <c r="IP137" s="7"/>
      <c r="IQ137" s="7"/>
      <c r="IR137" s="7"/>
      <c r="IS137" s="7"/>
      <c r="IT137" s="7"/>
      <c r="IU137" s="7"/>
      <c r="IV137" s="7"/>
      <c r="IW137" s="7"/>
      <c r="IX137" s="7"/>
      <c r="IY137" s="7"/>
      <c r="IZ137" s="7"/>
      <c r="JA137" s="7"/>
      <c r="JB137" s="7"/>
      <c r="JC137" s="7"/>
      <c r="JE137" s="7"/>
      <c r="JF137" s="7"/>
      <c r="JH137" s="7"/>
      <c r="JI137" s="7"/>
      <c r="JJ137" s="7"/>
      <c r="JK137" s="7"/>
      <c r="JL137" s="7"/>
      <c r="JM137" s="7"/>
      <c r="JO137" s="7"/>
      <c r="JP137" s="7"/>
      <c r="JQ137" s="7"/>
      <c r="JR137" s="7"/>
      <c r="JT137" s="7"/>
      <c r="JU137" s="7"/>
      <c r="JV137" s="7"/>
      <c r="JW137" s="7"/>
      <c r="JX137" s="7"/>
    </row>
    <row r="138" spans="1:284" x14ac:dyDescent="0.3">
      <c r="A138" t="s">
        <v>303</v>
      </c>
      <c r="B138" s="10" t="s">
        <v>48</v>
      </c>
      <c r="C138" s="7"/>
      <c r="D138" s="7"/>
      <c r="E138" s="10" t="s">
        <v>48</v>
      </c>
      <c r="F138" s="7"/>
      <c r="G138" s="7"/>
      <c r="H138" s="10" t="s">
        <v>48</v>
      </c>
      <c r="I138" s="9"/>
      <c r="J138" s="9"/>
      <c r="K138" s="10" t="s">
        <v>48</v>
      </c>
      <c r="L138" s="7"/>
      <c r="M138" s="7"/>
      <c r="N138" s="10" t="s">
        <v>48</v>
      </c>
      <c r="O138" s="7"/>
      <c r="P138" s="7"/>
      <c r="Q138" s="10" t="s">
        <v>48</v>
      </c>
      <c r="R138" s="7"/>
      <c r="S138" s="7"/>
      <c r="T138" s="10" t="s">
        <v>48</v>
      </c>
      <c r="U138" s="9"/>
      <c r="V138" s="9"/>
      <c r="W138" s="10" t="s">
        <v>48</v>
      </c>
      <c r="X138" s="7"/>
      <c r="Y138" s="7"/>
      <c r="Z138" s="10" t="s">
        <v>48</v>
      </c>
      <c r="AA138" s="7"/>
      <c r="AB138" s="7"/>
      <c r="AC138" s="10" t="s">
        <v>48</v>
      </c>
      <c r="AD138" s="7"/>
      <c r="AE138" s="7"/>
      <c r="AF138" s="10" t="s">
        <v>48</v>
      </c>
      <c r="AG138" s="9"/>
      <c r="AH138" s="9"/>
      <c r="AI138" s="10" t="s">
        <v>48</v>
      </c>
      <c r="AJ138" s="7"/>
      <c r="AK138" s="7"/>
      <c r="AL138" s="10" t="s">
        <v>48</v>
      </c>
      <c r="AM138" s="7"/>
      <c r="AN138" s="7"/>
      <c r="AO138" s="10" t="s">
        <v>48</v>
      </c>
      <c r="AP138" s="7"/>
      <c r="AQ138" s="7"/>
      <c r="AR138" s="10" t="s">
        <v>48</v>
      </c>
      <c r="AS138" s="9"/>
      <c r="AT138" s="9"/>
      <c r="AU138" s="10" t="s">
        <v>48</v>
      </c>
      <c r="AV138" s="7"/>
      <c r="AW138" s="7"/>
      <c r="AX138" s="10" t="s">
        <v>48</v>
      </c>
      <c r="AY138" s="7"/>
      <c r="AZ138" s="7"/>
      <c r="BA138" s="10" t="s">
        <v>48</v>
      </c>
      <c r="BB138" s="7"/>
      <c r="BC138" s="7"/>
      <c r="BD138" s="10" t="s">
        <v>48</v>
      </c>
      <c r="BE138" s="9"/>
      <c r="BF138" s="9"/>
      <c r="BG138" s="10" t="s">
        <v>48</v>
      </c>
      <c r="BH138" s="7"/>
      <c r="BI138" s="7"/>
      <c r="BJ138" s="10" t="s">
        <v>48</v>
      </c>
      <c r="BK138" s="7"/>
      <c r="BL138" s="7"/>
      <c r="BM138" s="10" t="s">
        <v>48</v>
      </c>
      <c r="BN138" s="7"/>
      <c r="BO138" s="7"/>
      <c r="BP138" s="10" t="s">
        <v>48</v>
      </c>
      <c r="BQ138" s="9"/>
      <c r="BR138" s="9"/>
      <c r="BS138" s="10" t="s">
        <v>48</v>
      </c>
      <c r="BT138" s="7"/>
      <c r="BU138" s="7"/>
      <c r="BV138" s="10" t="s">
        <v>48</v>
      </c>
      <c r="BW138" s="7"/>
      <c r="BX138" s="7"/>
      <c r="BY138" s="10" t="s">
        <v>48</v>
      </c>
      <c r="BZ138" s="7"/>
      <c r="CA138" s="7"/>
      <c r="CB138" s="10" t="s">
        <v>48</v>
      </c>
      <c r="CC138" s="9"/>
      <c r="CD138" s="9"/>
      <c r="CE138" s="10" t="s">
        <v>48</v>
      </c>
      <c r="CF138" s="7"/>
      <c r="CG138" s="7"/>
      <c r="CH138" s="10" t="s">
        <v>48</v>
      </c>
      <c r="CI138" s="7"/>
      <c r="CJ138" s="7"/>
      <c r="CK138" s="10" t="s">
        <v>48</v>
      </c>
      <c r="CL138" s="7"/>
      <c r="CM138" s="7"/>
      <c r="CN138" s="10" t="s">
        <v>48</v>
      </c>
      <c r="CO138" s="9"/>
      <c r="CP138" s="9"/>
      <c r="CQ138" s="10" t="s">
        <v>48</v>
      </c>
      <c r="CR138" s="7"/>
      <c r="CS138" s="7"/>
      <c r="CT138" s="10" t="s">
        <v>48</v>
      </c>
      <c r="CU138" s="7"/>
      <c r="CV138" s="7"/>
      <c r="CW138" s="10" t="s">
        <v>48</v>
      </c>
      <c r="CX138" s="7"/>
      <c r="CY138" s="7"/>
      <c r="CZ138" s="10" t="s">
        <v>48</v>
      </c>
      <c r="DA138" s="9"/>
      <c r="DB138" s="9"/>
      <c r="DC138" s="10" t="s">
        <v>48</v>
      </c>
      <c r="DD138" s="7"/>
      <c r="DE138" s="7"/>
      <c r="DF138" s="10" t="s">
        <v>48</v>
      </c>
      <c r="DG138" s="7"/>
      <c r="DH138" s="7"/>
      <c r="DI138" s="10" t="s">
        <v>48</v>
      </c>
      <c r="DJ138" s="7"/>
      <c r="DK138" s="7"/>
      <c r="DL138" s="10" t="s">
        <v>48</v>
      </c>
      <c r="DM138" s="9"/>
      <c r="DN138" s="9"/>
      <c r="DO138" s="10" t="s">
        <v>48</v>
      </c>
      <c r="DP138" s="7"/>
      <c r="DQ138" s="7"/>
      <c r="DR138" s="10" t="s">
        <v>48</v>
      </c>
      <c r="DS138" s="7"/>
      <c r="DT138" s="7"/>
      <c r="DU138" s="10" t="s">
        <v>48</v>
      </c>
      <c r="DV138" s="7"/>
      <c r="DW138" s="7"/>
      <c r="DX138" s="10" t="s">
        <v>48</v>
      </c>
      <c r="DY138" s="9"/>
      <c r="DZ138" s="9"/>
      <c r="EA138" s="10" t="s">
        <v>48</v>
      </c>
      <c r="EB138" s="7"/>
      <c r="EC138" s="7"/>
      <c r="ED138" s="10" t="s">
        <v>48</v>
      </c>
      <c r="EE138" s="7"/>
      <c r="EF138" s="7"/>
      <c r="EG138" s="10" t="s">
        <v>48</v>
      </c>
      <c r="EH138" s="7"/>
      <c r="EI138" s="7"/>
      <c r="EJ138" s="10" t="s">
        <v>48</v>
      </c>
      <c r="EK138" s="9"/>
      <c r="EL138" s="9"/>
      <c r="EM138" s="10" t="s">
        <v>48</v>
      </c>
      <c r="EN138" s="7"/>
      <c r="EO138" s="7"/>
      <c r="EP138" s="10" t="s">
        <v>48</v>
      </c>
      <c r="EQ138" s="7"/>
      <c r="ER138" s="7"/>
      <c r="ES138" s="10" t="s">
        <v>48</v>
      </c>
      <c r="ET138" s="7"/>
      <c r="EU138" s="7"/>
      <c r="EV138" s="10" t="s">
        <v>48</v>
      </c>
      <c r="EW138" s="9"/>
      <c r="EX138" s="9"/>
      <c r="EY138" s="10" t="s">
        <v>48</v>
      </c>
      <c r="EZ138" s="7"/>
      <c r="FA138" s="7"/>
      <c r="FB138" s="10" t="s">
        <v>48</v>
      </c>
      <c r="FC138" s="7"/>
      <c r="FD138" s="7"/>
      <c r="FE138" s="10" t="s">
        <v>48</v>
      </c>
      <c r="FF138" s="7"/>
      <c r="FG138" s="7"/>
      <c r="FH138" s="10" t="s">
        <v>48</v>
      </c>
      <c r="FI138" s="9"/>
      <c r="FJ138" s="9"/>
      <c r="FK138" s="10" t="s">
        <v>48</v>
      </c>
      <c r="FL138" s="7"/>
      <c r="FM138" s="7"/>
      <c r="FN138" s="10" t="s">
        <v>48</v>
      </c>
      <c r="FO138" s="7"/>
      <c r="FP138" s="7"/>
      <c r="FQ138" s="10" t="s">
        <v>48</v>
      </c>
      <c r="FR138" s="7"/>
      <c r="FS138" s="7"/>
      <c r="FT138" s="10" t="s">
        <v>48</v>
      </c>
      <c r="FU138" s="9">
        <v>30</v>
      </c>
      <c r="FV138" s="9">
        <v>2000</v>
      </c>
      <c r="FW138" s="6" t="s">
        <v>48</v>
      </c>
      <c r="FX138" s="7">
        <v>20</v>
      </c>
      <c r="FY138" s="7">
        <v>900</v>
      </c>
      <c r="FZ138" s="10" t="s">
        <v>40</v>
      </c>
      <c r="GA138" s="7"/>
      <c r="GB138" s="7"/>
      <c r="GC138" s="10" t="s">
        <v>40</v>
      </c>
      <c r="GD138" s="7"/>
      <c r="GE138" s="7"/>
      <c r="GF138" s="10" t="s">
        <v>40</v>
      </c>
      <c r="GG138" s="7">
        <v>10</v>
      </c>
      <c r="GH138" s="7">
        <v>3100</v>
      </c>
      <c r="GI138" s="10" t="s">
        <v>40</v>
      </c>
      <c r="GJ138" s="7">
        <v>9</v>
      </c>
      <c r="GK138" s="7">
        <v>1961</v>
      </c>
      <c r="GL138" s="10" t="s">
        <v>40</v>
      </c>
      <c r="GM138" s="7"/>
      <c r="GN138" s="7"/>
      <c r="GO138" s="10" t="s">
        <v>40</v>
      </c>
      <c r="GP138" s="7"/>
      <c r="GQ138" s="7"/>
      <c r="GR138" s="10" t="s">
        <v>40</v>
      </c>
      <c r="GS138" s="7">
        <v>32</v>
      </c>
      <c r="GT138" s="7">
        <v>4800</v>
      </c>
      <c r="GU138" s="6" t="s">
        <v>40</v>
      </c>
      <c r="GV138" s="7">
        <v>45</v>
      </c>
      <c r="GW138" s="7">
        <v>1300</v>
      </c>
      <c r="GX138" s="10" t="s">
        <v>40</v>
      </c>
      <c r="GY138" s="7"/>
      <c r="GZ138" s="7"/>
      <c r="HA138" s="10" t="s">
        <v>40</v>
      </c>
      <c r="HB138" s="7"/>
      <c r="HC138" s="7"/>
      <c r="HD138" s="10" t="s">
        <v>40</v>
      </c>
      <c r="HE138" s="7">
        <v>30</v>
      </c>
      <c r="HF138" s="7">
        <v>4500</v>
      </c>
      <c r="HG138" s="10" t="s">
        <v>40</v>
      </c>
      <c r="HH138" s="7">
        <v>40</v>
      </c>
      <c r="HI138" s="7">
        <v>1200</v>
      </c>
      <c r="HJ138" s="10" t="s">
        <v>40</v>
      </c>
      <c r="HK138" s="7"/>
      <c r="HL138" s="7"/>
      <c r="HM138" s="10" t="s">
        <v>40</v>
      </c>
      <c r="HN138" s="7"/>
      <c r="HO138" s="7"/>
      <c r="HP138" s="10" t="s">
        <v>40</v>
      </c>
      <c r="HQ138" s="7">
        <v>20</v>
      </c>
      <c r="HR138" s="7">
        <v>3000</v>
      </c>
      <c r="HS138" s="10" t="s">
        <v>40</v>
      </c>
      <c r="HT138" s="7">
        <v>35</v>
      </c>
      <c r="HU138" s="7">
        <v>1000</v>
      </c>
      <c r="HV138" s="10" t="s">
        <v>40</v>
      </c>
      <c r="HW138" s="7"/>
      <c r="HX138" s="7"/>
      <c r="HY138" s="10" t="s">
        <v>40</v>
      </c>
      <c r="HZ138" s="7"/>
      <c r="IA138" s="7"/>
      <c r="IB138" s="6" t="s">
        <v>40</v>
      </c>
      <c r="IC138" s="7">
        <v>3</v>
      </c>
      <c r="ID138" s="7">
        <v>420</v>
      </c>
      <c r="IE138" s="6" t="s">
        <v>38</v>
      </c>
      <c r="IF138" s="7">
        <v>150</v>
      </c>
      <c r="IG138" s="7">
        <v>3000</v>
      </c>
      <c r="II138" s="7"/>
      <c r="IJ138" s="7"/>
      <c r="IK138" s="7"/>
      <c r="IL138" s="7"/>
      <c r="IM138" s="7"/>
      <c r="IN138" s="7"/>
      <c r="IP138" s="7"/>
      <c r="IQ138" s="7"/>
      <c r="IR138" s="7"/>
      <c r="IS138" s="7"/>
      <c r="IT138" s="7"/>
      <c r="IU138" s="7"/>
      <c r="IV138" s="7"/>
      <c r="IW138" s="7"/>
      <c r="IX138" s="7"/>
      <c r="IY138" s="7"/>
      <c r="IZ138" s="7"/>
      <c r="JA138" s="7"/>
      <c r="JB138" s="7"/>
      <c r="JC138" s="7"/>
      <c r="JE138" s="7"/>
      <c r="JF138" s="7"/>
      <c r="JH138" s="7"/>
      <c r="JI138" s="7"/>
      <c r="JJ138" s="7"/>
      <c r="JK138" s="7"/>
      <c r="JL138" s="7"/>
      <c r="JM138" s="7"/>
      <c r="JO138" s="7"/>
      <c r="JP138" s="7"/>
      <c r="JQ138" s="7"/>
      <c r="JR138" s="7"/>
      <c r="JT138" s="7"/>
      <c r="JU138" s="7"/>
      <c r="JV138" s="7"/>
      <c r="JW138" s="7"/>
      <c r="JX138" s="7"/>
    </row>
    <row r="139" spans="1:284" x14ac:dyDescent="0.3">
      <c r="A139" t="s">
        <v>304</v>
      </c>
      <c r="B139" s="10" t="s">
        <v>42</v>
      </c>
      <c r="C139" s="7"/>
      <c r="D139" s="7"/>
      <c r="E139" s="10" t="s">
        <v>42</v>
      </c>
      <c r="F139" s="7"/>
      <c r="G139" s="7"/>
      <c r="H139" s="10" t="s">
        <v>42</v>
      </c>
      <c r="I139" s="9"/>
      <c r="J139" s="9"/>
      <c r="K139" s="10" t="s">
        <v>42</v>
      </c>
      <c r="L139" s="7"/>
      <c r="M139" s="7"/>
      <c r="N139" s="10" t="s">
        <v>42</v>
      </c>
      <c r="O139" s="7"/>
      <c r="P139" s="7"/>
      <c r="Q139" s="10" t="s">
        <v>42</v>
      </c>
      <c r="R139" s="7"/>
      <c r="S139" s="7"/>
      <c r="T139" s="10" t="s">
        <v>42</v>
      </c>
      <c r="U139" s="9"/>
      <c r="V139" s="9"/>
      <c r="W139" s="10" t="s">
        <v>42</v>
      </c>
      <c r="X139" s="7"/>
      <c r="Y139" s="7"/>
      <c r="Z139" s="10" t="s">
        <v>42</v>
      </c>
      <c r="AA139" s="7"/>
      <c r="AB139" s="7"/>
      <c r="AC139" s="10" t="s">
        <v>42</v>
      </c>
      <c r="AD139" s="7"/>
      <c r="AE139" s="7"/>
      <c r="AF139" s="10" t="s">
        <v>42</v>
      </c>
      <c r="AG139" s="9"/>
      <c r="AH139" s="9"/>
      <c r="AI139" s="10" t="s">
        <v>42</v>
      </c>
      <c r="AJ139" s="7"/>
      <c r="AK139" s="7"/>
      <c r="AL139" s="10" t="s">
        <v>42</v>
      </c>
      <c r="AM139" s="7"/>
      <c r="AN139" s="7"/>
      <c r="AO139" s="10" t="s">
        <v>42</v>
      </c>
      <c r="AP139" s="7"/>
      <c r="AQ139" s="7"/>
      <c r="AR139" s="10" t="s">
        <v>42</v>
      </c>
      <c r="AS139" s="9"/>
      <c r="AT139" s="9"/>
      <c r="AU139" s="10" t="s">
        <v>42</v>
      </c>
      <c r="AV139" s="7"/>
      <c r="AW139" s="7"/>
      <c r="AX139" s="10" t="s">
        <v>42</v>
      </c>
      <c r="AY139" s="7"/>
      <c r="AZ139" s="7"/>
      <c r="BA139" s="10" t="s">
        <v>42</v>
      </c>
      <c r="BB139" s="7"/>
      <c r="BC139" s="7"/>
      <c r="BD139" s="10" t="s">
        <v>42</v>
      </c>
      <c r="BE139" s="9"/>
      <c r="BF139" s="9"/>
      <c r="BG139" s="10" t="s">
        <v>42</v>
      </c>
      <c r="BH139" s="7"/>
      <c r="BI139" s="7"/>
      <c r="BJ139" s="10" t="s">
        <v>42</v>
      </c>
      <c r="BK139" s="7"/>
      <c r="BL139" s="7"/>
      <c r="BM139" s="10" t="s">
        <v>42</v>
      </c>
      <c r="BN139" s="7"/>
      <c r="BO139" s="7"/>
      <c r="BP139" s="10" t="s">
        <v>42</v>
      </c>
      <c r="BQ139" s="9"/>
      <c r="BR139" s="9"/>
      <c r="BS139" s="10" t="s">
        <v>42</v>
      </c>
      <c r="BT139" s="7"/>
      <c r="BU139" s="7"/>
      <c r="BV139" s="10" t="s">
        <v>42</v>
      </c>
      <c r="BW139" s="7"/>
      <c r="BX139" s="7"/>
      <c r="BY139" s="10" t="s">
        <v>42</v>
      </c>
      <c r="BZ139" s="7"/>
      <c r="CA139" s="7"/>
      <c r="CB139" s="10" t="s">
        <v>42</v>
      </c>
      <c r="CC139" s="9"/>
      <c r="CD139" s="9"/>
      <c r="CE139" s="10" t="s">
        <v>42</v>
      </c>
      <c r="CF139" s="7"/>
      <c r="CG139" s="7"/>
      <c r="CH139" s="10" t="s">
        <v>42</v>
      </c>
      <c r="CI139" s="7"/>
      <c r="CJ139" s="7"/>
      <c r="CK139" s="10" t="s">
        <v>42</v>
      </c>
      <c r="CL139" s="7"/>
      <c r="CM139" s="7"/>
      <c r="CN139" s="10" t="s">
        <v>42</v>
      </c>
      <c r="CO139" s="9"/>
      <c r="CP139" s="9"/>
      <c r="CQ139" s="10" t="s">
        <v>42</v>
      </c>
      <c r="CR139" s="7"/>
      <c r="CS139" s="7"/>
      <c r="CT139" s="10" t="s">
        <v>42</v>
      </c>
      <c r="CU139" s="7"/>
      <c r="CV139" s="7"/>
      <c r="CW139" s="10" t="s">
        <v>42</v>
      </c>
      <c r="CX139" s="7"/>
      <c r="CY139" s="7"/>
      <c r="CZ139" s="10" t="s">
        <v>42</v>
      </c>
      <c r="DA139" s="9"/>
      <c r="DB139" s="9"/>
      <c r="DC139" s="10" t="s">
        <v>42</v>
      </c>
      <c r="DD139" s="7"/>
      <c r="DE139" s="7"/>
      <c r="DF139" s="10" t="s">
        <v>42</v>
      </c>
      <c r="DG139" s="7"/>
      <c r="DH139" s="7"/>
      <c r="DI139" s="10" t="s">
        <v>42</v>
      </c>
      <c r="DJ139" s="7"/>
      <c r="DK139" s="7"/>
      <c r="DL139" s="10" t="s">
        <v>42</v>
      </c>
      <c r="DM139" s="9"/>
      <c r="DN139" s="9"/>
      <c r="DO139" s="10" t="s">
        <v>42</v>
      </c>
      <c r="DP139" s="7"/>
      <c r="DQ139" s="7"/>
      <c r="DR139" s="10" t="s">
        <v>42</v>
      </c>
      <c r="DS139" s="7"/>
      <c r="DT139" s="7"/>
      <c r="DU139" s="10" t="s">
        <v>42</v>
      </c>
      <c r="DV139" s="7"/>
      <c r="DW139" s="7"/>
      <c r="DX139" s="10" t="s">
        <v>42</v>
      </c>
      <c r="DY139" s="9"/>
      <c r="DZ139" s="9"/>
      <c r="EA139" s="10" t="s">
        <v>42</v>
      </c>
      <c r="EB139" s="7"/>
      <c r="EC139" s="7"/>
      <c r="ED139" s="10" t="s">
        <v>42</v>
      </c>
      <c r="EE139" s="7"/>
      <c r="EF139" s="7"/>
      <c r="EG139" s="10" t="s">
        <v>42</v>
      </c>
      <c r="EH139" s="7"/>
      <c r="EI139" s="7"/>
      <c r="EJ139" s="10" t="s">
        <v>42</v>
      </c>
      <c r="EK139" s="9"/>
      <c r="EL139" s="9"/>
      <c r="EM139" s="10" t="s">
        <v>42</v>
      </c>
      <c r="EN139" s="7"/>
      <c r="EO139" s="7"/>
      <c r="EP139" s="10" t="s">
        <v>42</v>
      </c>
      <c r="EQ139" s="7"/>
      <c r="ER139" s="7"/>
      <c r="ES139" s="10" t="s">
        <v>42</v>
      </c>
      <c r="ET139" s="7"/>
      <c r="EU139" s="7"/>
      <c r="EV139" s="10" t="s">
        <v>42</v>
      </c>
      <c r="EW139" s="9"/>
      <c r="EX139" s="9"/>
      <c r="EY139" s="10" t="s">
        <v>42</v>
      </c>
      <c r="EZ139" s="7"/>
      <c r="FA139" s="7"/>
      <c r="FB139" s="10" t="s">
        <v>42</v>
      </c>
      <c r="FC139" s="7"/>
      <c r="FD139" s="7"/>
      <c r="FE139" s="10" t="s">
        <v>42</v>
      </c>
      <c r="FF139" s="7"/>
      <c r="FG139" s="7"/>
      <c r="FH139" s="10" t="s">
        <v>42</v>
      </c>
      <c r="FI139" s="9"/>
      <c r="FJ139" s="9"/>
      <c r="FK139" s="10" t="s">
        <v>42</v>
      </c>
      <c r="FL139" s="7"/>
      <c r="FM139" s="7"/>
      <c r="FN139" s="10" t="s">
        <v>42</v>
      </c>
      <c r="FO139" s="7"/>
      <c r="FP139" s="7"/>
      <c r="FQ139" s="10" t="s">
        <v>42</v>
      </c>
      <c r="FR139" s="7"/>
      <c r="FS139" s="7"/>
      <c r="FT139" s="10" t="s">
        <v>42</v>
      </c>
      <c r="FU139" s="9"/>
      <c r="FV139" s="9"/>
      <c r="FW139" s="6" t="s">
        <v>42</v>
      </c>
      <c r="FX139" s="7">
        <v>9</v>
      </c>
      <c r="FY139" s="7">
        <v>150</v>
      </c>
      <c r="FZ139" s="10" t="s">
        <v>42</v>
      </c>
      <c r="GA139" s="7"/>
      <c r="GB139" s="7"/>
      <c r="GC139" s="10" t="s">
        <v>42</v>
      </c>
      <c r="GD139" s="7"/>
      <c r="GE139" s="7"/>
      <c r="GF139" s="10" t="s">
        <v>42</v>
      </c>
      <c r="GG139" s="7"/>
      <c r="GH139" s="7"/>
      <c r="GI139" s="10" t="s">
        <v>42</v>
      </c>
      <c r="GJ139" s="7">
        <v>35</v>
      </c>
      <c r="GK139" s="7">
        <v>172</v>
      </c>
      <c r="GL139" s="10" t="s">
        <v>42</v>
      </c>
      <c r="GM139" s="7"/>
      <c r="GN139" s="7"/>
      <c r="GO139" s="10" t="s">
        <v>42</v>
      </c>
      <c r="GP139" s="7"/>
      <c r="GQ139" s="7"/>
      <c r="GR139" s="10" t="s">
        <v>42</v>
      </c>
      <c r="GS139" s="7"/>
      <c r="GT139" s="7"/>
      <c r="GU139" s="6" t="s">
        <v>42</v>
      </c>
      <c r="GV139" s="7">
        <v>20</v>
      </c>
      <c r="GW139" s="7">
        <v>120</v>
      </c>
      <c r="GX139" s="10" t="s">
        <v>42</v>
      </c>
      <c r="GY139" s="7"/>
      <c r="GZ139" s="7"/>
      <c r="HA139" s="10" t="s">
        <v>42</v>
      </c>
      <c r="HB139" s="7"/>
      <c r="HC139" s="7"/>
      <c r="HD139" s="10" t="s">
        <v>42</v>
      </c>
      <c r="HE139" s="7"/>
      <c r="HF139" s="7"/>
      <c r="HG139" s="10" t="s">
        <v>42</v>
      </c>
      <c r="HH139" s="7">
        <v>25</v>
      </c>
      <c r="HI139" s="7">
        <v>150</v>
      </c>
      <c r="HJ139" s="10" t="s">
        <v>42</v>
      </c>
      <c r="HK139" s="7"/>
      <c r="HL139" s="7"/>
      <c r="HM139" s="10" t="s">
        <v>42</v>
      </c>
      <c r="HN139" s="7"/>
      <c r="HO139" s="7"/>
      <c r="HP139" s="10" t="s">
        <v>42</v>
      </c>
      <c r="HQ139" s="7"/>
      <c r="HR139" s="7"/>
      <c r="HS139" s="10" t="s">
        <v>42</v>
      </c>
      <c r="HT139" s="7">
        <v>20</v>
      </c>
      <c r="HU139" s="7">
        <v>130</v>
      </c>
      <c r="HV139" s="10" t="s">
        <v>42</v>
      </c>
      <c r="HW139" s="7"/>
      <c r="HX139" s="7"/>
      <c r="HY139" s="10" t="s">
        <v>42</v>
      </c>
      <c r="HZ139" s="7"/>
      <c r="IA139" s="7"/>
      <c r="IB139" s="10" t="s">
        <v>40</v>
      </c>
      <c r="IC139" s="7"/>
      <c r="ID139" s="7"/>
      <c r="IE139" s="6" t="s">
        <v>40</v>
      </c>
      <c r="IF139" s="7">
        <v>20</v>
      </c>
      <c r="IG139" s="7">
        <v>120</v>
      </c>
      <c r="II139" s="7"/>
      <c r="IJ139" s="7"/>
      <c r="IK139" s="7"/>
      <c r="IL139" s="7"/>
      <c r="IM139" s="7"/>
      <c r="IN139" s="7"/>
      <c r="IP139" s="7"/>
      <c r="IQ139" s="7"/>
      <c r="IR139" s="7"/>
      <c r="IS139" s="7"/>
      <c r="IT139" s="7"/>
      <c r="IU139" s="7"/>
      <c r="IV139" s="7"/>
      <c r="IW139" s="7"/>
      <c r="IX139" s="7"/>
      <c r="IY139" s="7"/>
      <c r="IZ139" s="7"/>
      <c r="JA139" s="7"/>
      <c r="JB139" s="7"/>
      <c r="JC139" s="7"/>
      <c r="JE139" s="7"/>
      <c r="JF139" s="7"/>
      <c r="JH139" s="7"/>
      <c r="JI139" s="7"/>
      <c r="JJ139" s="7"/>
      <c r="JK139" s="7"/>
      <c r="JL139" s="7"/>
      <c r="JM139" s="7"/>
      <c r="JO139" s="7"/>
      <c r="JP139" s="7"/>
      <c r="JQ139" s="7"/>
      <c r="JR139" s="7"/>
      <c r="JT139" s="7"/>
      <c r="JU139" s="7"/>
      <c r="JV139" s="7"/>
      <c r="JW139" s="7"/>
      <c r="JX139" s="7"/>
    </row>
    <row r="140" spans="1:284" x14ac:dyDescent="0.3">
      <c r="A140" t="s">
        <v>142</v>
      </c>
      <c r="B140" s="10" t="s">
        <v>44</v>
      </c>
      <c r="C140" s="7"/>
      <c r="D140" s="7"/>
      <c r="E140" s="6" t="s">
        <v>44</v>
      </c>
      <c r="F140" s="7"/>
      <c r="G140" s="7"/>
      <c r="H140" s="6" t="s">
        <v>44</v>
      </c>
      <c r="I140" s="7"/>
      <c r="J140" s="7"/>
      <c r="K140" s="10" t="s">
        <v>44</v>
      </c>
      <c r="L140" s="7"/>
      <c r="M140" s="7"/>
      <c r="N140" s="10" t="s">
        <v>44</v>
      </c>
      <c r="O140" s="7"/>
      <c r="P140" s="7"/>
      <c r="Q140" s="6" t="s">
        <v>44</v>
      </c>
      <c r="R140" s="7"/>
      <c r="S140" s="7"/>
      <c r="T140" s="6" t="s">
        <v>44</v>
      </c>
      <c r="U140" s="7">
        <v>10000</v>
      </c>
      <c r="V140" s="7">
        <v>50000</v>
      </c>
      <c r="W140" s="10" t="s">
        <v>44</v>
      </c>
      <c r="X140" s="7"/>
      <c r="Y140" s="7"/>
      <c r="Z140" s="10" t="s">
        <v>44</v>
      </c>
      <c r="AA140" s="7"/>
      <c r="AB140" s="7"/>
      <c r="AC140" s="6" t="s">
        <v>44</v>
      </c>
      <c r="AD140" s="7">
        <v>838</v>
      </c>
      <c r="AE140" s="7">
        <v>60000</v>
      </c>
      <c r="AF140" s="6" t="s">
        <v>44</v>
      </c>
      <c r="AG140" s="7">
        <v>11000</v>
      </c>
      <c r="AH140" s="7">
        <v>53000</v>
      </c>
      <c r="AI140" s="10" t="s">
        <v>44</v>
      </c>
      <c r="AJ140" s="7"/>
      <c r="AK140" s="7"/>
      <c r="AL140" s="10" t="s">
        <v>44</v>
      </c>
      <c r="AM140" s="7"/>
      <c r="AN140" s="7"/>
      <c r="AO140" s="6" t="s">
        <v>44</v>
      </c>
      <c r="AP140" s="7">
        <v>800</v>
      </c>
      <c r="AQ140" s="7">
        <v>50000</v>
      </c>
      <c r="AR140" s="6" t="s">
        <v>44</v>
      </c>
      <c r="AS140" s="7">
        <v>13000</v>
      </c>
      <c r="AT140" s="7">
        <v>40000</v>
      </c>
      <c r="AU140" s="10" t="s">
        <v>44</v>
      </c>
      <c r="AV140" s="7"/>
      <c r="AW140" s="7"/>
      <c r="AX140" s="10" t="s">
        <v>44</v>
      </c>
      <c r="AY140" s="7"/>
      <c r="AZ140" s="7"/>
      <c r="BA140" s="6" t="s">
        <v>44</v>
      </c>
      <c r="BB140" s="7">
        <v>500</v>
      </c>
      <c r="BC140" s="7">
        <v>30000</v>
      </c>
      <c r="BD140" s="6" t="s">
        <v>44</v>
      </c>
      <c r="BE140" s="7">
        <v>2000</v>
      </c>
      <c r="BF140" s="7">
        <v>12000</v>
      </c>
      <c r="BG140" s="10" t="s">
        <v>44</v>
      </c>
      <c r="BH140" s="7"/>
      <c r="BI140" s="7"/>
      <c r="BJ140" s="10" t="s">
        <v>44</v>
      </c>
      <c r="BK140" s="7"/>
      <c r="BL140" s="7"/>
      <c r="BM140" s="6" t="s">
        <v>44</v>
      </c>
      <c r="BN140" s="7">
        <v>950</v>
      </c>
      <c r="BO140" s="7">
        <v>61000</v>
      </c>
      <c r="BP140" s="6" t="s">
        <v>44</v>
      </c>
      <c r="BQ140" s="7">
        <v>2000</v>
      </c>
      <c r="BR140" s="7">
        <v>14000</v>
      </c>
      <c r="BS140" s="10" t="s">
        <v>44</v>
      </c>
      <c r="BT140" s="7"/>
      <c r="BU140" s="7"/>
      <c r="BV140" s="10" t="s">
        <v>44</v>
      </c>
      <c r="BW140" s="7"/>
      <c r="BX140" s="7"/>
      <c r="BY140" s="6" t="s">
        <v>44</v>
      </c>
      <c r="BZ140" s="7">
        <f>410+117</f>
        <v>527</v>
      </c>
      <c r="CA140" s="7">
        <f>27000+1100</f>
        <v>28100</v>
      </c>
      <c r="CB140" s="6" t="s">
        <v>44</v>
      </c>
      <c r="CC140" s="7">
        <v>1990</v>
      </c>
      <c r="CD140" s="7">
        <v>15000</v>
      </c>
      <c r="CE140" s="10" t="s">
        <v>44</v>
      </c>
      <c r="CF140" s="7"/>
      <c r="CG140" s="7"/>
      <c r="CH140" s="10" t="s">
        <v>44</v>
      </c>
      <c r="CI140" s="7"/>
      <c r="CJ140" s="7"/>
      <c r="CK140" s="6" t="s">
        <v>44</v>
      </c>
      <c r="CL140" s="7">
        <f>200+500</f>
        <v>700</v>
      </c>
      <c r="CM140" s="7">
        <f>1800+3000</f>
        <v>4800</v>
      </c>
      <c r="CN140" s="6" t="s">
        <v>44</v>
      </c>
      <c r="CO140" s="7">
        <v>8000</v>
      </c>
      <c r="CP140" s="7">
        <v>56000</v>
      </c>
      <c r="CQ140" s="10" t="s">
        <v>44</v>
      </c>
      <c r="CR140" s="7"/>
      <c r="CS140" s="7"/>
      <c r="CT140" s="10" t="s">
        <v>44</v>
      </c>
      <c r="CU140" s="7"/>
      <c r="CV140" s="7"/>
      <c r="CW140" s="6" t="s">
        <v>395</v>
      </c>
      <c r="CX140" s="7"/>
      <c r="CY140" s="7"/>
      <c r="CZ140" s="6" t="s">
        <v>44</v>
      </c>
      <c r="DA140" s="7">
        <v>2683</v>
      </c>
      <c r="DB140" s="7">
        <v>18630</v>
      </c>
      <c r="DC140" s="10" t="s">
        <v>44</v>
      </c>
      <c r="DD140" s="7"/>
      <c r="DE140" s="7"/>
      <c r="DF140" s="10" t="s">
        <v>44</v>
      </c>
      <c r="DG140" s="7"/>
      <c r="DH140" s="7"/>
      <c r="DI140" s="6" t="s">
        <v>395</v>
      </c>
      <c r="DJ140" s="7"/>
      <c r="DK140" s="7"/>
      <c r="DL140" s="6" t="s">
        <v>44</v>
      </c>
      <c r="DM140" s="7">
        <v>468</v>
      </c>
      <c r="DN140" s="7">
        <v>3150</v>
      </c>
      <c r="DO140" s="10" t="s">
        <v>44</v>
      </c>
      <c r="DP140" s="7"/>
      <c r="DQ140" s="7"/>
      <c r="DR140" s="10" t="s">
        <v>44</v>
      </c>
      <c r="DS140" s="7"/>
      <c r="DT140" s="7"/>
      <c r="DU140" s="6" t="s">
        <v>395</v>
      </c>
      <c r="DV140" s="7">
        <v>200</v>
      </c>
      <c r="DW140" s="7">
        <v>1200</v>
      </c>
      <c r="DX140" s="6" t="s">
        <v>44</v>
      </c>
      <c r="DY140" s="7">
        <v>2500</v>
      </c>
      <c r="DZ140" s="7">
        <v>17000</v>
      </c>
      <c r="EA140" s="10" t="s">
        <v>44</v>
      </c>
      <c r="EB140" s="7"/>
      <c r="EC140" s="7"/>
      <c r="ED140" s="10" t="s">
        <v>44</v>
      </c>
      <c r="EE140" s="7"/>
      <c r="EF140" s="7"/>
      <c r="EG140" s="6" t="s">
        <v>395</v>
      </c>
      <c r="EH140" s="7">
        <v>215</v>
      </c>
      <c r="EI140" s="7">
        <v>1500</v>
      </c>
      <c r="EJ140" s="6" t="s">
        <v>44</v>
      </c>
      <c r="EK140" s="7">
        <v>2500</v>
      </c>
      <c r="EL140" s="7">
        <v>17000</v>
      </c>
      <c r="EM140" s="10" t="s">
        <v>44</v>
      </c>
      <c r="EP140" s="10" t="s">
        <v>44</v>
      </c>
      <c r="EQ140" s="7"/>
      <c r="ER140" s="7"/>
      <c r="ES140" s="6" t="s">
        <v>395</v>
      </c>
      <c r="ET140" s="7">
        <v>200</v>
      </c>
      <c r="EU140" s="7">
        <v>1500</v>
      </c>
      <c r="EV140" s="6" t="s">
        <v>44</v>
      </c>
      <c r="EW140" s="7">
        <v>3100</v>
      </c>
      <c r="EX140" s="7">
        <v>20000</v>
      </c>
      <c r="EY140" s="10" t="s">
        <v>44</v>
      </c>
      <c r="EZ140" s="7"/>
      <c r="FA140" s="7"/>
      <c r="FB140" s="10" t="s">
        <v>44</v>
      </c>
      <c r="FC140" s="7"/>
      <c r="FD140" s="7"/>
      <c r="FE140" s="6" t="s">
        <v>395</v>
      </c>
      <c r="FF140">
        <v>250</v>
      </c>
      <c r="FG140">
        <v>2000</v>
      </c>
      <c r="FH140" s="10" t="s">
        <v>44</v>
      </c>
      <c r="FI140" s="7">
        <v>4500</v>
      </c>
      <c r="FJ140" s="7">
        <v>30000</v>
      </c>
      <c r="FK140" s="10" t="s">
        <v>44</v>
      </c>
      <c r="FN140" s="10" t="s">
        <v>44</v>
      </c>
      <c r="FO140" s="7"/>
      <c r="FP140" s="7"/>
      <c r="FQ140" s="10" t="s">
        <v>44</v>
      </c>
      <c r="FR140" s="7">
        <v>300</v>
      </c>
      <c r="FS140" s="7">
        <v>2500</v>
      </c>
      <c r="FT140" s="10" t="s">
        <v>44</v>
      </c>
      <c r="FW140" s="10" t="s">
        <v>44</v>
      </c>
      <c r="FX140" s="7"/>
      <c r="FY140" s="7"/>
      <c r="FZ140" s="10" t="s">
        <v>44</v>
      </c>
      <c r="GA140" s="7"/>
      <c r="GB140" s="7"/>
      <c r="GC140" s="10" t="s">
        <v>44</v>
      </c>
      <c r="GD140" s="7">
        <v>25</v>
      </c>
      <c r="GE140" s="7">
        <v>150</v>
      </c>
      <c r="GF140" s="10" t="s">
        <v>44</v>
      </c>
      <c r="GG140" s="7">
        <v>4425</v>
      </c>
      <c r="GH140" s="7">
        <v>38400</v>
      </c>
      <c r="GI140" s="10" t="s">
        <v>44</v>
      </c>
      <c r="GJ140" s="7"/>
      <c r="GK140" s="7"/>
      <c r="GL140" s="10" t="s">
        <v>44</v>
      </c>
      <c r="GM140" s="7"/>
      <c r="GN140" s="7"/>
      <c r="GO140" s="10" t="s">
        <v>44</v>
      </c>
      <c r="GP140" s="7">
        <v>20</v>
      </c>
      <c r="GQ140" s="7">
        <v>100</v>
      </c>
      <c r="GR140" s="6" t="s">
        <v>44</v>
      </c>
      <c r="GS140" s="7">
        <v>1600</v>
      </c>
      <c r="GT140" s="7">
        <v>9700</v>
      </c>
      <c r="GU140" s="10"/>
      <c r="GV140" s="7"/>
      <c r="GW140" s="7"/>
      <c r="GX140" s="10" t="s">
        <v>38</v>
      </c>
      <c r="GY140" s="7"/>
      <c r="GZ140" s="7"/>
      <c r="HA140" s="6" t="s">
        <v>38</v>
      </c>
      <c r="HB140" s="7">
        <v>100</v>
      </c>
      <c r="HC140" s="7">
        <v>500</v>
      </c>
      <c r="HD140" s="6" t="s">
        <v>44</v>
      </c>
      <c r="HE140" s="7">
        <v>1500</v>
      </c>
      <c r="HF140" s="7">
        <v>9000</v>
      </c>
      <c r="HG140" s="10" t="s">
        <v>38</v>
      </c>
      <c r="HH140" s="7"/>
      <c r="HI140" s="7"/>
      <c r="HJ140" s="10" t="s">
        <v>38</v>
      </c>
      <c r="HK140" s="7"/>
      <c r="HL140" s="7"/>
      <c r="HM140" s="6" t="s">
        <v>38</v>
      </c>
      <c r="HN140" s="7">
        <v>120</v>
      </c>
      <c r="HO140" s="7">
        <v>700</v>
      </c>
      <c r="HP140" s="6" t="s">
        <v>44</v>
      </c>
      <c r="HQ140" s="7">
        <v>1200</v>
      </c>
      <c r="HR140" s="7">
        <v>20000</v>
      </c>
      <c r="HS140" s="10" t="s">
        <v>38</v>
      </c>
      <c r="HT140" s="7"/>
      <c r="HU140" s="7"/>
      <c r="HV140" s="10" t="s">
        <v>38</v>
      </c>
      <c r="HW140" s="7"/>
      <c r="HX140" s="7"/>
      <c r="HY140" s="6" t="s">
        <v>38</v>
      </c>
      <c r="HZ140" s="7">
        <v>150</v>
      </c>
      <c r="IA140" s="7">
        <v>1000</v>
      </c>
      <c r="IB140" s="6" t="s">
        <v>44</v>
      </c>
      <c r="IC140" s="7">
        <v>2330</v>
      </c>
      <c r="ID140" s="7">
        <v>20450</v>
      </c>
      <c r="IE140" s="10"/>
      <c r="IF140" s="7"/>
      <c r="IG140" s="7"/>
      <c r="II140" s="7"/>
      <c r="IJ140" s="7"/>
      <c r="IK140" s="7"/>
      <c r="IL140" s="7"/>
      <c r="IM140" s="7"/>
      <c r="IN140" s="7"/>
      <c r="IP140" s="7"/>
      <c r="IQ140" s="7"/>
      <c r="IR140" s="7"/>
      <c r="IS140" s="7"/>
      <c r="IT140" s="7"/>
      <c r="IU140" s="7"/>
      <c r="IV140" s="7"/>
      <c r="IW140" s="7"/>
      <c r="IX140" s="7"/>
      <c r="IY140" s="7"/>
      <c r="IZ140" s="7"/>
      <c r="JA140" s="7"/>
      <c r="JB140" s="7"/>
      <c r="JC140" s="7"/>
      <c r="JE140" s="7"/>
      <c r="JF140" s="7"/>
      <c r="JH140" s="7"/>
      <c r="JI140" s="7"/>
      <c r="JJ140" s="7"/>
      <c r="JK140" s="7"/>
      <c r="JL140" s="7"/>
      <c r="JM140" s="7"/>
      <c r="JO140" s="7"/>
      <c r="JP140" s="7"/>
      <c r="JQ140" s="7"/>
      <c r="JR140" s="7"/>
      <c r="JT140" s="7"/>
      <c r="JU140" s="7"/>
      <c r="JV140" s="7"/>
      <c r="JW140" s="7"/>
      <c r="JX140" s="7"/>
    </row>
    <row r="141" spans="1:284" x14ac:dyDescent="0.3">
      <c r="A141" t="s">
        <v>305</v>
      </c>
      <c r="B141" s="10" t="s">
        <v>44</v>
      </c>
      <c r="C141" s="7"/>
      <c r="D141" s="7"/>
      <c r="E141" s="10" t="s">
        <v>44</v>
      </c>
      <c r="F141" s="7"/>
      <c r="G141" s="7"/>
      <c r="H141" s="10" t="s">
        <v>44</v>
      </c>
      <c r="I141" s="7"/>
      <c r="J141" s="7"/>
      <c r="K141" s="10" t="s">
        <v>44</v>
      </c>
      <c r="L141" s="7">
        <v>800</v>
      </c>
      <c r="M141" s="7">
        <v>1000</v>
      </c>
      <c r="N141" s="10" t="s">
        <v>44</v>
      </c>
      <c r="O141" s="7"/>
      <c r="P141" s="7"/>
      <c r="Q141" s="10" t="s">
        <v>44</v>
      </c>
      <c r="R141" s="7"/>
      <c r="S141" s="7"/>
      <c r="T141" s="10" t="s">
        <v>44</v>
      </c>
      <c r="U141" s="7"/>
      <c r="V141" s="7"/>
      <c r="W141" s="10" t="s">
        <v>44</v>
      </c>
      <c r="X141" s="7">
        <v>800</v>
      </c>
      <c r="Y141" s="7">
        <v>1200</v>
      </c>
      <c r="Z141" s="10" t="s">
        <v>44</v>
      </c>
      <c r="AA141" s="7"/>
      <c r="AB141" s="7"/>
      <c r="AC141" s="10" t="s">
        <v>44</v>
      </c>
      <c r="AD141" s="7"/>
      <c r="AE141" s="7"/>
      <c r="AF141" s="10" t="s">
        <v>44</v>
      </c>
      <c r="AG141" s="7"/>
      <c r="AH141" s="7"/>
      <c r="AI141" s="10" t="s">
        <v>44</v>
      </c>
      <c r="AJ141" s="7">
        <v>375</v>
      </c>
      <c r="AK141" s="7">
        <v>600</v>
      </c>
      <c r="AL141" s="10" t="s">
        <v>44</v>
      </c>
      <c r="AM141" s="7"/>
      <c r="AN141" s="7"/>
      <c r="AO141" s="10" t="s">
        <v>44</v>
      </c>
      <c r="AP141" s="7"/>
      <c r="AQ141" s="7"/>
      <c r="AR141" s="10" t="s">
        <v>44</v>
      </c>
      <c r="AS141" s="7"/>
      <c r="AT141" s="7"/>
      <c r="AU141" s="10" t="s">
        <v>44</v>
      </c>
      <c r="AV141" s="7">
        <v>300</v>
      </c>
      <c r="AW141" s="7">
        <v>500</v>
      </c>
      <c r="AX141" s="10" t="s">
        <v>44</v>
      </c>
      <c r="AY141" s="7"/>
      <c r="AZ141" s="7"/>
      <c r="BA141" s="10" t="s">
        <v>44</v>
      </c>
      <c r="BB141" s="7"/>
      <c r="BC141" s="7"/>
      <c r="BD141" s="10" t="s">
        <v>44</v>
      </c>
      <c r="BE141" s="7"/>
      <c r="BF141" s="7"/>
      <c r="BG141" s="10" t="s">
        <v>44</v>
      </c>
      <c r="BH141" s="7">
        <v>300</v>
      </c>
      <c r="BI141" s="7">
        <v>600</v>
      </c>
      <c r="BJ141" s="10" t="s">
        <v>44</v>
      </c>
      <c r="BK141" s="7"/>
      <c r="BL141" s="7"/>
      <c r="BM141" s="10" t="s">
        <v>44</v>
      </c>
      <c r="BN141" s="7"/>
      <c r="BO141" s="7"/>
      <c r="BP141" s="10" t="s">
        <v>44</v>
      </c>
      <c r="BQ141" s="7"/>
      <c r="BR141" s="7"/>
      <c r="BS141" s="10" t="s">
        <v>44</v>
      </c>
      <c r="BT141" s="7">
        <v>250</v>
      </c>
      <c r="BU141" s="7">
        <v>500</v>
      </c>
      <c r="BV141" s="10" t="s">
        <v>44</v>
      </c>
      <c r="BW141" s="7"/>
      <c r="BX141" s="7"/>
      <c r="BY141" s="10" t="s">
        <v>44</v>
      </c>
      <c r="BZ141" s="7"/>
      <c r="CA141" s="7"/>
      <c r="CB141" s="10" t="s">
        <v>44</v>
      </c>
      <c r="CC141" s="7"/>
      <c r="CD141" s="7"/>
      <c r="CE141" s="10" t="s">
        <v>44</v>
      </c>
      <c r="CF141" s="7">
        <v>600</v>
      </c>
      <c r="CG141" s="7">
        <v>2400</v>
      </c>
      <c r="CH141" s="10" t="s">
        <v>44</v>
      </c>
      <c r="CI141" s="7"/>
      <c r="CJ141" s="7"/>
      <c r="CK141" s="10" t="s">
        <v>44</v>
      </c>
      <c r="CL141" s="7"/>
      <c r="CM141" s="7"/>
      <c r="CN141" s="10" t="s">
        <v>44</v>
      </c>
      <c r="CO141" s="7"/>
      <c r="CP141" s="7"/>
      <c r="CQ141" s="10" t="s">
        <v>44</v>
      </c>
      <c r="CR141" s="7">
        <v>1000</v>
      </c>
      <c r="CS141" s="7">
        <v>900</v>
      </c>
      <c r="CT141" s="10" t="s">
        <v>44</v>
      </c>
      <c r="CU141" s="7"/>
      <c r="CV141" s="7"/>
      <c r="CW141" s="10" t="s">
        <v>44</v>
      </c>
      <c r="CX141" s="7"/>
      <c r="CY141" s="7"/>
      <c r="CZ141" s="10" t="s">
        <v>44</v>
      </c>
      <c r="DA141" s="7"/>
      <c r="DB141" s="7"/>
      <c r="DC141" s="10" t="s">
        <v>44</v>
      </c>
      <c r="DD141" s="7">
        <v>183</v>
      </c>
      <c r="DE141" s="7">
        <v>480</v>
      </c>
      <c r="DF141" s="10" t="s">
        <v>44</v>
      </c>
      <c r="DG141" s="7"/>
      <c r="DH141" s="7"/>
      <c r="DI141" s="10" t="s">
        <v>44</v>
      </c>
      <c r="DJ141" s="7"/>
      <c r="DK141" s="7"/>
      <c r="DL141" s="10" t="s">
        <v>44</v>
      </c>
      <c r="DM141" s="9"/>
      <c r="DN141" s="9"/>
      <c r="DO141" s="10" t="s">
        <v>44</v>
      </c>
      <c r="DP141" s="7">
        <v>209</v>
      </c>
      <c r="DQ141" s="7">
        <v>510</v>
      </c>
      <c r="DR141" s="10" t="s">
        <v>44</v>
      </c>
      <c r="DS141" s="7"/>
      <c r="DT141" s="7"/>
      <c r="DU141" s="10" t="s">
        <v>44</v>
      </c>
      <c r="DV141" s="7"/>
      <c r="DW141" s="7"/>
      <c r="DX141" s="10" t="s">
        <v>44</v>
      </c>
      <c r="DY141" s="9"/>
      <c r="DZ141" s="9"/>
      <c r="EA141" s="10" t="s">
        <v>44</v>
      </c>
      <c r="EB141" s="7">
        <v>500</v>
      </c>
      <c r="EC141" s="7">
        <v>1250</v>
      </c>
      <c r="ED141" s="10" t="s">
        <v>44</v>
      </c>
      <c r="EE141" s="7"/>
      <c r="EF141" s="7"/>
      <c r="EG141" s="10" t="s">
        <v>44</v>
      </c>
      <c r="EH141" s="7"/>
      <c r="EI141" s="7"/>
      <c r="EJ141" s="10" t="s">
        <v>44</v>
      </c>
      <c r="EK141" s="9"/>
      <c r="EL141" s="9"/>
      <c r="EM141" s="10" t="s">
        <v>44</v>
      </c>
      <c r="EN141" s="7">
        <v>250</v>
      </c>
      <c r="EO141" s="7">
        <v>1500</v>
      </c>
      <c r="EP141" s="10" t="s">
        <v>44</v>
      </c>
      <c r="EQ141" s="7"/>
      <c r="ER141" s="7"/>
      <c r="ES141" s="10" t="s">
        <v>44</v>
      </c>
      <c r="ET141" s="7"/>
      <c r="EU141" s="7"/>
      <c r="EV141" s="10" t="s">
        <v>44</v>
      </c>
      <c r="EW141" s="9"/>
      <c r="EX141" s="9"/>
      <c r="EY141" s="10" t="s">
        <v>44</v>
      </c>
      <c r="EZ141" s="7">
        <v>500</v>
      </c>
      <c r="FA141" s="7">
        <v>1500</v>
      </c>
      <c r="FB141" s="10" t="s">
        <v>44</v>
      </c>
      <c r="FC141" s="7"/>
      <c r="FD141" s="7"/>
      <c r="FE141" s="10" t="s">
        <v>44</v>
      </c>
      <c r="FF141" s="7"/>
      <c r="FG141" s="7"/>
      <c r="FH141" s="10" t="s">
        <v>44</v>
      </c>
      <c r="FI141" s="9"/>
      <c r="FJ141" s="9"/>
      <c r="FK141" s="10" t="s">
        <v>44</v>
      </c>
      <c r="FL141" s="7">
        <v>550</v>
      </c>
      <c r="FM141" s="7">
        <v>1600</v>
      </c>
      <c r="FN141" s="10" t="s">
        <v>44</v>
      </c>
      <c r="FO141" s="7"/>
      <c r="FP141" s="7"/>
      <c r="FQ141" s="10" t="s">
        <v>44</v>
      </c>
      <c r="FR141" s="7"/>
      <c r="FS141" s="7"/>
      <c r="FT141" s="10" t="s">
        <v>44</v>
      </c>
      <c r="FU141" s="9"/>
      <c r="FV141" s="9"/>
      <c r="FW141" s="10" t="s">
        <v>44</v>
      </c>
      <c r="FX141" s="7">
        <v>600</v>
      </c>
      <c r="FY141" s="7">
        <v>1700</v>
      </c>
      <c r="FZ141" s="10" t="s">
        <v>44</v>
      </c>
      <c r="GA141" s="7"/>
      <c r="GB141" s="7"/>
      <c r="GC141" s="10" t="s">
        <v>44</v>
      </c>
      <c r="GD141" s="7"/>
      <c r="GE141" s="7"/>
      <c r="GF141" s="10" t="s">
        <v>44</v>
      </c>
      <c r="GG141" s="7"/>
      <c r="GH141" s="7"/>
      <c r="GI141" s="10" t="s">
        <v>44</v>
      </c>
      <c r="GJ141" s="7">
        <v>550</v>
      </c>
      <c r="GK141" s="7">
        <v>1562</v>
      </c>
      <c r="GL141" s="10" t="s">
        <v>44</v>
      </c>
      <c r="GM141" s="7"/>
      <c r="GN141" s="7"/>
      <c r="GO141" s="10" t="s">
        <v>44</v>
      </c>
      <c r="GP141" s="7"/>
      <c r="GQ141" s="7"/>
      <c r="GR141" s="10" t="s">
        <v>44</v>
      </c>
      <c r="GS141" s="7"/>
      <c r="GT141" s="7"/>
      <c r="GU141" s="6" t="s">
        <v>44</v>
      </c>
      <c r="GV141" s="7">
        <v>300</v>
      </c>
      <c r="GW141" s="7">
        <v>450</v>
      </c>
      <c r="GX141" s="10" t="s">
        <v>44</v>
      </c>
      <c r="GY141" s="7"/>
      <c r="GZ141" s="7"/>
      <c r="HA141" s="10" t="s">
        <v>44</v>
      </c>
      <c r="HB141" s="7"/>
      <c r="HC141" s="7"/>
      <c r="HD141" s="10" t="s">
        <v>44</v>
      </c>
      <c r="HE141" s="7"/>
      <c r="HF141" s="7"/>
      <c r="HG141" s="10" t="s">
        <v>44</v>
      </c>
      <c r="HH141" s="7">
        <v>400</v>
      </c>
      <c r="HI141" s="7">
        <v>600</v>
      </c>
      <c r="HJ141" s="10" t="s">
        <v>44</v>
      </c>
      <c r="HK141" s="7"/>
      <c r="HL141" s="7"/>
      <c r="HM141" s="10" t="s">
        <v>44</v>
      </c>
      <c r="HN141" s="7"/>
      <c r="HO141" s="7"/>
      <c r="HP141" s="10" t="s">
        <v>44</v>
      </c>
      <c r="HQ141" s="7"/>
      <c r="HR141" s="7"/>
      <c r="HS141" s="10" t="s">
        <v>44</v>
      </c>
      <c r="HT141" s="7">
        <v>300</v>
      </c>
      <c r="HU141" s="7">
        <v>500</v>
      </c>
      <c r="HV141" s="10" t="s">
        <v>44</v>
      </c>
      <c r="HW141" s="7"/>
      <c r="HX141" s="7"/>
      <c r="HY141" s="10" t="s">
        <v>44</v>
      </c>
      <c r="HZ141" s="7"/>
      <c r="IA141" s="7"/>
      <c r="IB141" s="10" t="s">
        <v>38</v>
      </c>
      <c r="IC141" s="7"/>
      <c r="ID141" s="7"/>
      <c r="IE141" s="6" t="s">
        <v>38</v>
      </c>
      <c r="IF141" s="7">
        <v>510</v>
      </c>
      <c r="IG141" s="7">
        <v>1200</v>
      </c>
      <c r="II141" s="7"/>
      <c r="IJ141" s="7"/>
      <c r="IK141" s="7"/>
      <c r="IL141" s="7"/>
      <c r="IM141" s="7"/>
      <c r="IN141" s="7"/>
      <c r="IP141" s="7"/>
      <c r="IQ141" s="7"/>
      <c r="IR141" s="7"/>
      <c r="IS141" s="7"/>
      <c r="IT141" s="7"/>
      <c r="IU141" s="7"/>
      <c r="IV141" s="7"/>
      <c r="IW141" s="7"/>
      <c r="IX141" s="7"/>
      <c r="IY141" s="7"/>
      <c r="IZ141" s="7"/>
      <c r="JA141" s="7"/>
      <c r="JB141" s="7"/>
      <c r="JC141" s="7"/>
      <c r="JE141" s="7"/>
      <c r="JF141" s="7"/>
      <c r="JH141" s="7"/>
      <c r="JI141" s="7"/>
      <c r="JJ141" s="7"/>
      <c r="JK141" s="7"/>
      <c r="JL141" s="7"/>
      <c r="JM141" s="7"/>
      <c r="JO141" s="7"/>
      <c r="JP141" s="7"/>
      <c r="JQ141" s="7"/>
      <c r="JR141" s="7"/>
      <c r="JT141" s="7"/>
      <c r="JU141" s="7"/>
      <c r="JV141" s="7"/>
      <c r="JW141" s="7"/>
      <c r="JX141" s="7"/>
    </row>
    <row r="142" spans="1:284" x14ac:dyDescent="0.3">
      <c r="A142" t="s">
        <v>306</v>
      </c>
      <c r="B142" s="10" t="s">
        <v>44</v>
      </c>
      <c r="C142" s="7"/>
      <c r="D142" s="7"/>
      <c r="E142" s="10" t="s">
        <v>44</v>
      </c>
      <c r="F142" s="7"/>
      <c r="G142" s="7"/>
      <c r="H142" s="10" t="s">
        <v>44</v>
      </c>
      <c r="I142" s="7"/>
      <c r="J142" s="7"/>
      <c r="K142" s="10" t="s">
        <v>44</v>
      </c>
      <c r="L142" s="7">
        <v>1600</v>
      </c>
      <c r="M142" s="7">
        <v>203000</v>
      </c>
      <c r="N142" s="10" t="s">
        <v>44</v>
      </c>
      <c r="O142" s="7"/>
      <c r="P142" s="7"/>
      <c r="Q142" s="10" t="s">
        <v>44</v>
      </c>
      <c r="R142" s="7"/>
      <c r="S142" s="7"/>
      <c r="T142" s="10" t="s">
        <v>44</v>
      </c>
      <c r="U142" s="7"/>
      <c r="V142" s="7"/>
      <c r="W142" s="10" t="s">
        <v>44</v>
      </c>
      <c r="X142" s="7">
        <v>1500</v>
      </c>
      <c r="Y142" s="7">
        <v>200000</v>
      </c>
      <c r="Z142" s="10" t="s">
        <v>44</v>
      </c>
      <c r="AA142" s="7"/>
      <c r="AB142" s="7"/>
      <c r="AC142" s="10" t="s">
        <v>44</v>
      </c>
      <c r="AD142" s="7"/>
      <c r="AE142" s="7"/>
      <c r="AF142" s="10" t="s">
        <v>44</v>
      </c>
      <c r="AG142" s="7"/>
      <c r="AH142" s="7"/>
      <c r="AI142" s="10" t="s">
        <v>44</v>
      </c>
      <c r="AJ142" s="7">
        <v>1461</v>
      </c>
      <c r="AK142" s="7">
        <v>194000</v>
      </c>
      <c r="AL142" s="10" t="s">
        <v>44</v>
      </c>
      <c r="AM142" s="7"/>
      <c r="AN142" s="7"/>
      <c r="AO142" s="10" t="s">
        <v>44</v>
      </c>
      <c r="AP142" s="7"/>
      <c r="AQ142" s="7"/>
      <c r="AR142" s="10" t="s">
        <v>44</v>
      </c>
      <c r="AS142" s="7"/>
      <c r="AT142" s="7"/>
      <c r="AU142" s="10" t="s">
        <v>44</v>
      </c>
      <c r="AV142" s="7">
        <v>1500</v>
      </c>
      <c r="AW142" s="7">
        <v>200000</v>
      </c>
      <c r="AX142" s="10" t="s">
        <v>44</v>
      </c>
      <c r="AY142" s="7"/>
      <c r="AZ142" s="7"/>
      <c r="BA142" s="10" t="s">
        <v>44</v>
      </c>
      <c r="BB142" s="7"/>
      <c r="BC142" s="7"/>
      <c r="BD142" s="10" t="s">
        <v>44</v>
      </c>
      <c r="BE142" s="7"/>
      <c r="BF142" s="7"/>
      <c r="BG142" s="10" t="s">
        <v>44</v>
      </c>
      <c r="BH142" s="7">
        <v>800</v>
      </c>
      <c r="BI142" s="7">
        <v>80000</v>
      </c>
      <c r="BJ142" s="10" t="s">
        <v>44</v>
      </c>
      <c r="BK142" s="7"/>
      <c r="BL142" s="7"/>
      <c r="BM142" s="10" t="s">
        <v>44</v>
      </c>
      <c r="BN142" s="7"/>
      <c r="BO142" s="7"/>
      <c r="BP142" s="10" t="s">
        <v>44</v>
      </c>
      <c r="BQ142" s="7"/>
      <c r="BR142" s="7"/>
      <c r="BS142" s="10" t="s">
        <v>44</v>
      </c>
      <c r="BT142" s="7">
        <v>830</v>
      </c>
      <c r="BU142" s="7">
        <v>106000</v>
      </c>
      <c r="BV142" s="10" t="s">
        <v>44</v>
      </c>
      <c r="BW142" s="7"/>
      <c r="BX142" s="7"/>
      <c r="BY142" s="10" t="s">
        <v>44</v>
      </c>
      <c r="BZ142" s="7"/>
      <c r="CA142" s="7"/>
      <c r="CB142" s="10" t="s">
        <v>44</v>
      </c>
      <c r="CC142" s="7"/>
      <c r="CD142" s="7"/>
      <c r="CE142" s="10" t="s">
        <v>44</v>
      </c>
      <c r="CF142" s="7">
        <v>1100</v>
      </c>
      <c r="CG142" s="7">
        <v>150000</v>
      </c>
      <c r="CH142" s="10" t="s">
        <v>44</v>
      </c>
      <c r="CI142" s="7"/>
      <c r="CJ142" s="7"/>
      <c r="CK142" s="10" t="s">
        <v>44</v>
      </c>
      <c r="CL142" s="7"/>
      <c r="CM142" s="7"/>
      <c r="CN142" s="10" t="s">
        <v>44</v>
      </c>
      <c r="CO142" s="7"/>
      <c r="CP142" s="7"/>
      <c r="CQ142" s="10" t="s">
        <v>44</v>
      </c>
      <c r="CR142" s="7">
        <v>1500</v>
      </c>
      <c r="CS142" s="7">
        <v>150000</v>
      </c>
      <c r="CT142" s="10" t="s">
        <v>44</v>
      </c>
      <c r="CU142" s="7"/>
      <c r="CV142" s="7"/>
      <c r="CW142" s="10" t="s">
        <v>44</v>
      </c>
      <c r="CX142" s="7">
        <v>822</v>
      </c>
      <c r="CY142" s="7">
        <v>53175</v>
      </c>
      <c r="CZ142" s="10" t="s">
        <v>44</v>
      </c>
      <c r="DA142" s="7"/>
      <c r="DB142" s="7"/>
      <c r="DC142" s="10" t="s">
        <v>44</v>
      </c>
      <c r="DD142" s="7">
        <v>1342</v>
      </c>
      <c r="DE142" s="7">
        <v>136212</v>
      </c>
      <c r="DF142" s="10" t="s">
        <v>44</v>
      </c>
      <c r="DG142" s="7"/>
      <c r="DH142" s="7"/>
      <c r="DI142" s="10" t="s">
        <v>44</v>
      </c>
      <c r="DJ142" s="7">
        <v>4</v>
      </c>
      <c r="DK142" s="7">
        <v>200</v>
      </c>
      <c r="DL142" s="10" t="s">
        <v>44</v>
      </c>
      <c r="DM142" s="9"/>
      <c r="DN142" s="9"/>
      <c r="DO142" s="10" t="s">
        <v>44</v>
      </c>
      <c r="DP142" s="7">
        <v>1144</v>
      </c>
      <c r="DQ142" s="7">
        <v>111340</v>
      </c>
      <c r="DR142" s="10" t="s">
        <v>44</v>
      </c>
      <c r="DS142" s="7"/>
      <c r="DT142" s="7"/>
      <c r="DU142" s="10" t="s">
        <v>44</v>
      </c>
      <c r="DV142" s="7">
        <v>25</v>
      </c>
      <c r="DW142" s="7">
        <v>1500</v>
      </c>
      <c r="DX142" s="10" t="s">
        <v>44</v>
      </c>
      <c r="DY142" s="9"/>
      <c r="DZ142" s="9"/>
      <c r="EA142" s="10" t="s">
        <v>44</v>
      </c>
      <c r="EB142" s="7">
        <v>1050</v>
      </c>
      <c r="EC142" s="7">
        <v>105000</v>
      </c>
      <c r="ED142" s="10" t="s">
        <v>44</v>
      </c>
      <c r="EE142" s="7"/>
      <c r="EF142" s="7"/>
      <c r="EG142" s="10" t="s">
        <v>44</v>
      </c>
      <c r="EH142" s="7">
        <v>400</v>
      </c>
      <c r="EI142" s="7">
        <v>25000</v>
      </c>
      <c r="EJ142" s="10" t="s">
        <v>44</v>
      </c>
      <c r="EK142" s="9"/>
      <c r="EL142" s="9"/>
      <c r="EM142" s="10" t="s">
        <v>44</v>
      </c>
      <c r="EN142" s="7">
        <v>1200</v>
      </c>
      <c r="EO142" s="7">
        <v>120000</v>
      </c>
      <c r="EP142" s="10" t="s">
        <v>44</v>
      </c>
      <c r="EQ142" s="7"/>
      <c r="ER142" s="7"/>
      <c r="ES142" s="10" t="s">
        <v>44</v>
      </c>
      <c r="ET142" s="7">
        <v>500</v>
      </c>
      <c r="EU142" s="7">
        <v>30000</v>
      </c>
      <c r="EV142" s="10" t="s">
        <v>44</v>
      </c>
      <c r="EW142" s="9"/>
      <c r="EX142" s="9"/>
      <c r="EY142" s="10" t="s">
        <v>44</v>
      </c>
      <c r="EZ142" s="7">
        <v>1250</v>
      </c>
      <c r="FA142" s="7">
        <v>200000</v>
      </c>
      <c r="FB142" s="10" t="s">
        <v>44</v>
      </c>
      <c r="FC142" s="7"/>
      <c r="FD142" s="7"/>
      <c r="FE142" s="10" t="s">
        <v>44</v>
      </c>
      <c r="FF142" s="7">
        <v>250</v>
      </c>
      <c r="FG142" s="7">
        <v>20000</v>
      </c>
      <c r="FH142" s="10" t="s">
        <v>44</v>
      </c>
      <c r="FI142" s="9"/>
      <c r="FJ142" s="9"/>
      <c r="FK142" s="10" t="s">
        <v>44</v>
      </c>
      <c r="FL142" s="7">
        <v>150</v>
      </c>
      <c r="FM142" s="7">
        <v>190000</v>
      </c>
      <c r="FN142" s="10" t="s">
        <v>44</v>
      </c>
      <c r="FO142" s="7"/>
      <c r="FP142" s="7"/>
      <c r="FQ142" s="10" t="s">
        <v>44</v>
      </c>
      <c r="FR142" s="7">
        <v>200</v>
      </c>
      <c r="FS142" s="7">
        <v>14000</v>
      </c>
      <c r="FT142" s="10" t="s">
        <v>44</v>
      </c>
      <c r="FU142" s="7">
        <v>350</v>
      </c>
      <c r="FV142" s="7">
        <v>25000</v>
      </c>
      <c r="FW142" s="10" t="s">
        <v>44</v>
      </c>
      <c r="FX142" s="7">
        <v>1600</v>
      </c>
      <c r="FY142" s="7">
        <v>200000</v>
      </c>
      <c r="FZ142" s="10" t="s">
        <v>44</v>
      </c>
      <c r="GA142" s="7"/>
      <c r="GB142" s="7"/>
      <c r="GC142" s="10" t="s">
        <v>44</v>
      </c>
      <c r="GD142" s="7">
        <v>150</v>
      </c>
      <c r="GE142" s="7">
        <v>11000</v>
      </c>
      <c r="GF142" s="10" t="s">
        <v>44</v>
      </c>
      <c r="GG142" s="7"/>
      <c r="GH142" s="7"/>
      <c r="GI142" s="10" t="s">
        <v>44</v>
      </c>
      <c r="GJ142" s="7">
        <v>2400</v>
      </c>
      <c r="GK142" s="7">
        <v>225765</v>
      </c>
      <c r="GL142" s="10" t="s">
        <v>44</v>
      </c>
      <c r="GM142" s="7"/>
      <c r="GN142" s="7"/>
      <c r="GO142" s="10" t="s">
        <v>44</v>
      </c>
      <c r="GP142" s="7">
        <v>154</v>
      </c>
      <c r="GQ142" s="7">
        <v>12400</v>
      </c>
      <c r="GR142" s="10" t="s">
        <v>44</v>
      </c>
      <c r="GS142" s="7"/>
      <c r="GT142" s="7"/>
      <c r="GU142" s="6" t="s">
        <v>44</v>
      </c>
      <c r="GV142" s="7">
        <v>2030</v>
      </c>
      <c r="GW142" s="7">
        <v>222000</v>
      </c>
      <c r="GX142" s="10" t="s">
        <v>44</v>
      </c>
      <c r="GY142" s="7"/>
      <c r="GZ142" s="7"/>
      <c r="HA142" s="10" t="s">
        <v>44</v>
      </c>
      <c r="HB142" s="7">
        <v>400</v>
      </c>
      <c r="HC142" s="7">
        <v>25000</v>
      </c>
      <c r="HD142" s="10" t="s">
        <v>44</v>
      </c>
      <c r="HE142" s="7"/>
      <c r="HF142" s="7"/>
      <c r="HG142" s="10" t="s">
        <v>44</v>
      </c>
      <c r="HH142" s="7">
        <v>1900</v>
      </c>
      <c r="HI142" s="7">
        <v>200000</v>
      </c>
      <c r="HJ142" s="10" t="s">
        <v>44</v>
      </c>
      <c r="HK142" s="7"/>
      <c r="HL142" s="7"/>
      <c r="HM142" s="10" t="s">
        <v>44</v>
      </c>
      <c r="HN142" s="7">
        <v>350</v>
      </c>
      <c r="HO142" s="7">
        <v>25000</v>
      </c>
      <c r="HP142" s="10" t="s">
        <v>44</v>
      </c>
      <c r="HQ142" s="7"/>
      <c r="HR142" s="7"/>
      <c r="HS142" s="10" t="s">
        <v>44</v>
      </c>
      <c r="HT142" s="7">
        <v>1800</v>
      </c>
      <c r="HU142" s="7">
        <v>200000</v>
      </c>
      <c r="HV142" s="10" t="s">
        <v>44</v>
      </c>
      <c r="HW142" s="7"/>
      <c r="HX142" s="7"/>
      <c r="HY142" s="10" t="s">
        <v>44</v>
      </c>
      <c r="HZ142" s="7">
        <v>190</v>
      </c>
      <c r="IA142" s="7">
        <v>12300</v>
      </c>
      <c r="IB142" s="10" t="s">
        <v>44</v>
      </c>
      <c r="IC142" s="7"/>
      <c r="ID142" s="7"/>
      <c r="IE142" s="6" t="s">
        <v>44</v>
      </c>
      <c r="IF142" s="7">
        <v>1335</v>
      </c>
      <c r="IG142" s="7">
        <v>153200</v>
      </c>
      <c r="II142" s="7"/>
      <c r="IJ142" s="7"/>
      <c r="IK142" s="7"/>
      <c r="IL142" s="7"/>
      <c r="IM142" s="7"/>
      <c r="IN142" s="7"/>
      <c r="IP142" s="7"/>
      <c r="IQ142" s="7"/>
      <c r="IR142" s="7"/>
      <c r="IS142" s="7"/>
      <c r="IT142" s="7"/>
      <c r="IU142" s="7"/>
      <c r="IV142" s="7"/>
      <c r="IW142" s="7"/>
      <c r="IX142" s="7"/>
      <c r="IY142" s="7"/>
      <c r="IZ142" s="7"/>
      <c r="JA142" s="7"/>
      <c r="JB142" s="7"/>
      <c r="JC142" s="7"/>
      <c r="JE142" s="7"/>
      <c r="JF142" s="7"/>
      <c r="JH142" s="7"/>
      <c r="JI142" s="7"/>
      <c r="JJ142" s="7"/>
      <c r="JK142" s="7"/>
      <c r="JL142" s="7"/>
      <c r="JM142" s="7"/>
      <c r="JO142" s="7"/>
      <c r="JP142" s="7"/>
      <c r="JQ142" s="7"/>
      <c r="JR142" s="7"/>
      <c r="JT142" s="7"/>
      <c r="JU142" s="7"/>
      <c r="JV142" s="7"/>
      <c r="JW142" s="7"/>
      <c r="JX142" s="7"/>
    </row>
    <row r="143" spans="1:284" x14ac:dyDescent="0.3">
      <c r="A143" t="s">
        <v>307</v>
      </c>
      <c r="B143" s="10" t="s">
        <v>44</v>
      </c>
      <c r="C143" s="7"/>
      <c r="D143" s="7"/>
      <c r="E143" s="10" t="s">
        <v>44</v>
      </c>
      <c r="F143" s="7"/>
      <c r="G143" s="7"/>
      <c r="H143" s="10" t="s">
        <v>44</v>
      </c>
      <c r="I143" s="7"/>
      <c r="J143" s="7"/>
      <c r="K143" s="10" t="s">
        <v>44</v>
      </c>
      <c r="L143" s="7"/>
      <c r="M143" s="7"/>
      <c r="N143" s="10" t="s">
        <v>44</v>
      </c>
      <c r="O143" s="7"/>
      <c r="P143" s="7"/>
      <c r="Q143" s="10" t="s">
        <v>44</v>
      </c>
      <c r="R143" s="7"/>
      <c r="S143" s="7"/>
      <c r="T143" s="10" t="s">
        <v>44</v>
      </c>
      <c r="U143" s="7"/>
      <c r="V143" s="7"/>
      <c r="W143" s="10" t="s">
        <v>44</v>
      </c>
      <c r="X143" s="7"/>
      <c r="Y143" s="7"/>
      <c r="Z143" s="10" t="s">
        <v>44</v>
      </c>
      <c r="AA143" s="7"/>
      <c r="AB143" s="7"/>
      <c r="AC143" s="10" t="s">
        <v>44</v>
      </c>
      <c r="AD143" s="7"/>
      <c r="AE143" s="7"/>
      <c r="AF143" s="10" t="s">
        <v>44</v>
      </c>
      <c r="AG143" s="7"/>
      <c r="AH143" s="7"/>
      <c r="AI143" s="10" t="s">
        <v>44</v>
      </c>
      <c r="AJ143" s="7"/>
      <c r="AK143" s="7"/>
      <c r="AL143" s="10" t="s">
        <v>44</v>
      </c>
      <c r="AM143" s="7"/>
      <c r="AN143" s="7"/>
      <c r="AO143" s="10" t="s">
        <v>44</v>
      </c>
      <c r="AP143" s="7"/>
      <c r="AQ143" s="7"/>
      <c r="AR143" s="10" t="s">
        <v>44</v>
      </c>
      <c r="AS143" s="7"/>
      <c r="AT143" s="7"/>
      <c r="AU143" s="10" t="s">
        <v>44</v>
      </c>
      <c r="AV143" s="7"/>
      <c r="AW143" s="7"/>
      <c r="AX143" s="10" t="s">
        <v>44</v>
      </c>
      <c r="AY143" s="7"/>
      <c r="AZ143" s="7"/>
      <c r="BA143" s="10" t="s">
        <v>44</v>
      </c>
      <c r="BB143" s="7"/>
      <c r="BC143" s="7"/>
      <c r="BD143" s="10" t="s">
        <v>44</v>
      </c>
      <c r="BE143" s="7"/>
      <c r="BF143" s="7"/>
      <c r="BG143" s="10" t="s">
        <v>44</v>
      </c>
      <c r="BH143" s="7"/>
      <c r="BI143" s="7"/>
      <c r="BJ143" s="10" t="s">
        <v>44</v>
      </c>
      <c r="BK143" s="7"/>
      <c r="BL143" s="7"/>
      <c r="BM143" s="10" t="s">
        <v>44</v>
      </c>
      <c r="BN143" s="7"/>
      <c r="BO143" s="7"/>
      <c r="BP143" s="10" t="s">
        <v>44</v>
      </c>
      <c r="BQ143" s="7"/>
      <c r="BR143" s="7"/>
      <c r="BS143" s="10" t="s">
        <v>44</v>
      </c>
      <c r="BT143" s="7"/>
      <c r="BU143" s="7"/>
      <c r="BV143" s="10" t="s">
        <v>44</v>
      </c>
      <c r="BW143" s="7"/>
      <c r="BX143" s="7"/>
      <c r="BY143" s="10" t="s">
        <v>44</v>
      </c>
      <c r="BZ143" s="7"/>
      <c r="CA143" s="7"/>
      <c r="CB143" s="10" t="s">
        <v>44</v>
      </c>
      <c r="CC143" s="7"/>
      <c r="CD143" s="7"/>
      <c r="CE143" s="10" t="s">
        <v>44</v>
      </c>
      <c r="CF143" s="7"/>
      <c r="CG143" s="7"/>
      <c r="CH143" s="10" t="s">
        <v>44</v>
      </c>
      <c r="CI143" s="7"/>
      <c r="CJ143" s="7"/>
      <c r="CK143" s="10" t="s">
        <v>44</v>
      </c>
      <c r="CL143" s="7"/>
      <c r="CM143" s="7"/>
      <c r="CN143" s="10" t="s">
        <v>44</v>
      </c>
      <c r="CO143" s="7"/>
      <c r="CP143" s="7"/>
      <c r="CQ143" s="10" t="s">
        <v>44</v>
      </c>
      <c r="CR143" s="7"/>
      <c r="CS143" s="7"/>
      <c r="CT143" s="10" t="s">
        <v>44</v>
      </c>
      <c r="CU143" s="7"/>
      <c r="CV143" s="7"/>
      <c r="CW143" s="10" t="s">
        <v>44</v>
      </c>
      <c r="CX143" s="7"/>
      <c r="CY143" s="7"/>
      <c r="CZ143" s="10" t="s">
        <v>44</v>
      </c>
      <c r="DA143" s="7"/>
      <c r="DB143" s="7"/>
      <c r="DC143" s="10" t="s">
        <v>44</v>
      </c>
      <c r="DD143" s="7"/>
      <c r="DE143" s="7"/>
      <c r="DF143" s="10" t="s">
        <v>44</v>
      </c>
      <c r="DG143" s="7"/>
      <c r="DH143" s="7"/>
      <c r="DI143" s="10" t="s">
        <v>44</v>
      </c>
      <c r="DJ143" s="7"/>
      <c r="DK143" s="7"/>
      <c r="DL143" s="10" t="s">
        <v>44</v>
      </c>
      <c r="DM143" s="9"/>
      <c r="DN143" s="9"/>
      <c r="DO143" s="10" t="s">
        <v>44</v>
      </c>
      <c r="DP143" s="7"/>
      <c r="DQ143" s="7"/>
      <c r="DR143" s="10" t="s">
        <v>44</v>
      </c>
      <c r="DS143" s="7"/>
      <c r="DT143" s="7"/>
      <c r="DU143" s="10" t="s">
        <v>44</v>
      </c>
      <c r="DV143" s="7"/>
      <c r="DW143" s="7"/>
      <c r="DX143" s="10" t="s">
        <v>44</v>
      </c>
      <c r="DY143" s="9"/>
      <c r="DZ143" s="9"/>
      <c r="EA143" s="10" t="s">
        <v>44</v>
      </c>
      <c r="EB143" s="7"/>
      <c r="EC143" s="7"/>
      <c r="ED143" s="10" t="s">
        <v>44</v>
      </c>
      <c r="EE143" s="7"/>
      <c r="EF143" s="7"/>
      <c r="EG143" s="10" t="s">
        <v>44</v>
      </c>
      <c r="EH143" s="7"/>
      <c r="EI143" s="7"/>
      <c r="EJ143" s="10" t="s">
        <v>44</v>
      </c>
      <c r="EK143" s="9"/>
      <c r="EL143" s="9"/>
      <c r="EM143" s="10" t="s">
        <v>44</v>
      </c>
      <c r="EN143" s="7"/>
      <c r="EO143" s="7"/>
      <c r="EP143" s="10" t="s">
        <v>44</v>
      </c>
      <c r="EQ143" s="7"/>
      <c r="ER143" s="7"/>
      <c r="ES143" s="10" t="s">
        <v>44</v>
      </c>
      <c r="ET143" s="7"/>
      <c r="EU143" s="7"/>
      <c r="EV143" s="10" t="s">
        <v>44</v>
      </c>
      <c r="EW143" s="9"/>
      <c r="EX143" s="9"/>
      <c r="EY143" s="10" t="s">
        <v>44</v>
      </c>
      <c r="EZ143" s="7"/>
      <c r="FA143" s="7"/>
      <c r="FB143" s="10" t="s">
        <v>44</v>
      </c>
      <c r="FC143" s="7"/>
      <c r="FD143" s="7"/>
      <c r="FE143" s="10" t="s">
        <v>44</v>
      </c>
      <c r="FF143" s="7"/>
      <c r="FG143" s="7"/>
      <c r="FH143" s="10" t="s">
        <v>44</v>
      </c>
      <c r="FI143" s="9"/>
      <c r="FJ143" s="9"/>
      <c r="FK143" s="10" t="s">
        <v>44</v>
      </c>
      <c r="FL143" s="7"/>
      <c r="FM143" s="7"/>
      <c r="FN143" s="10" t="s">
        <v>44</v>
      </c>
      <c r="FO143" s="7"/>
      <c r="FP143" s="7"/>
      <c r="FQ143" s="10" t="s">
        <v>44</v>
      </c>
      <c r="FR143" s="7"/>
      <c r="FS143" s="7"/>
      <c r="FT143" s="10" t="s">
        <v>44</v>
      </c>
      <c r="FU143" s="9"/>
      <c r="FV143" s="9"/>
      <c r="FW143" s="10" t="s">
        <v>44</v>
      </c>
      <c r="FX143" s="7">
        <v>250</v>
      </c>
      <c r="FY143" s="7">
        <v>22000</v>
      </c>
      <c r="FZ143" s="10" t="s">
        <v>44</v>
      </c>
      <c r="GA143" s="7"/>
      <c r="GB143" s="7"/>
      <c r="GC143" s="10" t="s">
        <v>44</v>
      </c>
      <c r="GD143" s="7"/>
      <c r="GE143" s="7"/>
      <c r="GF143" s="10" t="s">
        <v>44</v>
      </c>
      <c r="GG143" s="7"/>
      <c r="GH143" s="7"/>
      <c r="GI143" s="10" t="s">
        <v>44</v>
      </c>
      <c r="GJ143" s="7">
        <v>511</v>
      </c>
      <c r="GK143" s="7">
        <v>50000</v>
      </c>
      <c r="GL143" s="10" t="s">
        <v>44</v>
      </c>
      <c r="GM143" s="7"/>
      <c r="GN143" s="7"/>
      <c r="GO143" s="10" t="s">
        <v>44</v>
      </c>
      <c r="GP143" s="7"/>
      <c r="GQ143" s="7"/>
      <c r="GR143" s="10" t="s">
        <v>44</v>
      </c>
      <c r="GS143" s="7"/>
      <c r="GT143" s="7"/>
      <c r="GU143" s="6" t="s">
        <v>44</v>
      </c>
      <c r="GV143" s="7">
        <v>400</v>
      </c>
      <c r="GW143" s="7">
        <v>40000</v>
      </c>
      <c r="GX143" s="10" t="s">
        <v>44</v>
      </c>
      <c r="GY143" s="7"/>
      <c r="GZ143" s="7"/>
      <c r="HA143" s="10" t="s">
        <v>44</v>
      </c>
      <c r="HB143" s="7"/>
      <c r="HC143" s="7"/>
      <c r="HD143" s="10" t="s">
        <v>44</v>
      </c>
      <c r="HE143" s="7"/>
      <c r="HF143" s="7"/>
      <c r="HG143" s="10" t="s">
        <v>44</v>
      </c>
      <c r="HH143" s="7">
        <v>450</v>
      </c>
      <c r="HI143" s="7">
        <v>40500</v>
      </c>
      <c r="HJ143" s="10" t="s">
        <v>44</v>
      </c>
      <c r="HK143" s="7"/>
      <c r="HL143" s="7"/>
      <c r="HM143" s="10" t="s">
        <v>44</v>
      </c>
      <c r="HN143" s="7"/>
      <c r="HO143" s="7"/>
      <c r="HP143" s="10" t="s">
        <v>44</v>
      </c>
      <c r="HQ143" s="7"/>
      <c r="HR143" s="7"/>
      <c r="HS143" s="10" t="s">
        <v>44</v>
      </c>
      <c r="HT143" s="7">
        <v>500</v>
      </c>
      <c r="HU143" s="7">
        <v>45800</v>
      </c>
      <c r="HV143" s="10" t="s">
        <v>44</v>
      </c>
      <c r="HW143" s="7"/>
      <c r="HX143" s="7"/>
      <c r="HY143" s="10" t="s">
        <v>44</v>
      </c>
      <c r="HZ143" s="7"/>
      <c r="IA143" s="7"/>
      <c r="IB143" s="10" t="s">
        <v>44</v>
      </c>
      <c r="IC143" s="7"/>
      <c r="ID143" s="7"/>
      <c r="IE143" s="6" t="s">
        <v>44</v>
      </c>
      <c r="IF143" s="7">
        <v>90</v>
      </c>
      <c r="IG143" s="7">
        <v>20500</v>
      </c>
      <c r="II143" s="7"/>
      <c r="IJ143" s="7"/>
      <c r="IK143" s="7"/>
      <c r="IL143" s="7"/>
      <c r="IM143" s="7"/>
      <c r="IN143" s="7"/>
      <c r="IP143" s="7"/>
      <c r="IQ143" s="7"/>
      <c r="IR143" s="7"/>
      <c r="IS143" s="7"/>
      <c r="IT143" s="7"/>
      <c r="IU143" s="7"/>
      <c r="IV143" s="7"/>
      <c r="IW143" s="7"/>
      <c r="IX143" s="7"/>
      <c r="IY143" s="7"/>
      <c r="IZ143" s="7"/>
      <c r="JA143" s="7"/>
      <c r="JB143" s="7"/>
      <c r="JC143" s="7"/>
      <c r="JE143" s="7"/>
      <c r="JF143" s="7"/>
      <c r="JH143" s="7"/>
      <c r="JI143" s="7"/>
      <c r="JJ143" s="7"/>
      <c r="JK143" s="7"/>
      <c r="JL143" s="7"/>
      <c r="JM143" s="7"/>
      <c r="JO143" s="7"/>
      <c r="JP143" s="7"/>
      <c r="JQ143" s="7"/>
      <c r="JR143" s="7"/>
      <c r="JT143" s="7"/>
      <c r="JU143" s="7"/>
      <c r="JV143" s="7"/>
      <c r="JW143" s="7"/>
      <c r="JX143" s="7"/>
    </row>
    <row r="144" spans="1:284" x14ac:dyDescent="0.3">
      <c r="A144" t="s">
        <v>308</v>
      </c>
      <c r="B144" s="10" t="s">
        <v>44</v>
      </c>
      <c r="C144" s="7"/>
      <c r="D144" s="7"/>
      <c r="E144" s="10" t="s">
        <v>44</v>
      </c>
      <c r="F144" s="7"/>
      <c r="G144" s="7"/>
      <c r="H144" s="10" t="s">
        <v>44</v>
      </c>
      <c r="I144" s="7"/>
      <c r="J144" s="7"/>
      <c r="K144" s="10" t="s">
        <v>44</v>
      </c>
      <c r="L144" s="7"/>
      <c r="M144" s="7"/>
      <c r="N144" s="10" t="s">
        <v>44</v>
      </c>
      <c r="O144" s="7"/>
      <c r="P144" s="7"/>
      <c r="Q144" s="10" t="s">
        <v>44</v>
      </c>
      <c r="R144" s="7"/>
      <c r="S144" s="7"/>
      <c r="T144" s="10" t="s">
        <v>44</v>
      </c>
      <c r="U144" s="7"/>
      <c r="V144" s="7"/>
      <c r="W144" s="10" t="s">
        <v>44</v>
      </c>
      <c r="X144" s="7"/>
      <c r="Y144" s="7"/>
      <c r="Z144" s="10" t="s">
        <v>44</v>
      </c>
      <c r="AA144" s="7"/>
      <c r="AB144" s="7"/>
      <c r="AC144" s="10" t="s">
        <v>44</v>
      </c>
      <c r="AD144" s="7"/>
      <c r="AE144" s="7"/>
      <c r="AF144" s="10" t="s">
        <v>44</v>
      </c>
      <c r="AG144" s="7"/>
      <c r="AH144" s="7"/>
      <c r="AI144" s="10" t="s">
        <v>44</v>
      </c>
      <c r="AJ144" s="7"/>
      <c r="AK144" s="7"/>
      <c r="AL144" s="10" t="s">
        <v>44</v>
      </c>
      <c r="AM144" s="7"/>
      <c r="AN144" s="7"/>
      <c r="AO144" s="10" t="s">
        <v>44</v>
      </c>
      <c r="AP144" s="7"/>
      <c r="AQ144" s="7"/>
      <c r="AR144" s="10" t="s">
        <v>44</v>
      </c>
      <c r="AS144" s="7"/>
      <c r="AT144" s="7"/>
      <c r="AU144" s="10" t="s">
        <v>44</v>
      </c>
      <c r="AV144" s="7"/>
      <c r="AW144" s="7"/>
      <c r="AX144" s="10" t="s">
        <v>44</v>
      </c>
      <c r="AY144" s="7"/>
      <c r="AZ144" s="7"/>
      <c r="BA144" s="10" t="s">
        <v>44</v>
      </c>
      <c r="BB144" s="7"/>
      <c r="BC144" s="7"/>
      <c r="BD144" s="10" t="s">
        <v>44</v>
      </c>
      <c r="BE144" s="7"/>
      <c r="BF144" s="7"/>
      <c r="BG144" s="10" t="s">
        <v>44</v>
      </c>
      <c r="BH144" s="7"/>
      <c r="BI144" s="7"/>
      <c r="BJ144" s="10" t="s">
        <v>44</v>
      </c>
      <c r="BK144" s="7"/>
      <c r="BL144" s="7"/>
      <c r="BM144" s="10" t="s">
        <v>44</v>
      </c>
      <c r="BN144" s="7"/>
      <c r="BO144" s="7"/>
      <c r="BP144" s="10" t="s">
        <v>44</v>
      </c>
      <c r="BQ144" s="7"/>
      <c r="BR144" s="7"/>
      <c r="BS144" s="10" t="s">
        <v>44</v>
      </c>
      <c r="BT144" s="7"/>
      <c r="BU144" s="7"/>
      <c r="BV144" s="10" t="s">
        <v>44</v>
      </c>
      <c r="BW144" s="7"/>
      <c r="BX144" s="7"/>
      <c r="BY144" s="10" t="s">
        <v>44</v>
      </c>
      <c r="BZ144" s="7"/>
      <c r="CA144" s="7"/>
      <c r="CB144" s="10" t="s">
        <v>44</v>
      </c>
      <c r="CC144" s="7"/>
      <c r="CD144" s="7"/>
      <c r="CE144" s="10" t="s">
        <v>44</v>
      </c>
      <c r="CF144" s="7"/>
      <c r="CG144" s="7"/>
      <c r="CH144" s="10" t="s">
        <v>44</v>
      </c>
      <c r="CI144" s="7"/>
      <c r="CJ144" s="7"/>
      <c r="CK144" s="10" t="s">
        <v>44</v>
      </c>
      <c r="CL144" s="7"/>
      <c r="CM144" s="7"/>
      <c r="CN144" s="10" t="s">
        <v>44</v>
      </c>
      <c r="CO144" s="7"/>
      <c r="CP144" s="7"/>
      <c r="CQ144" s="10" t="s">
        <v>44</v>
      </c>
      <c r="CR144" s="7"/>
      <c r="CS144" s="7"/>
      <c r="CT144" s="10" t="s">
        <v>44</v>
      </c>
      <c r="CU144" s="7"/>
      <c r="CV144" s="7"/>
      <c r="CW144" s="10" t="s">
        <v>44</v>
      </c>
      <c r="CX144" s="7"/>
      <c r="CY144" s="7"/>
      <c r="CZ144" s="10" t="s">
        <v>44</v>
      </c>
      <c r="DA144" s="7"/>
      <c r="DB144" s="7"/>
      <c r="DC144" s="10" t="s">
        <v>44</v>
      </c>
      <c r="DD144" s="7"/>
      <c r="DE144" s="7"/>
      <c r="DF144" s="10" t="s">
        <v>44</v>
      </c>
      <c r="DG144" s="7"/>
      <c r="DH144" s="7"/>
      <c r="DI144" s="10" t="s">
        <v>44</v>
      </c>
      <c r="DJ144" s="7"/>
      <c r="DK144" s="7"/>
      <c r="DL144" s="10" t="s">
        <v>44</v>
      </c>
      <c r="DM144" s="9"/>
      <c r="DN144" s="9"/>
      <c r="DO144" s="10" t="s">
        <v>44</v>
      </c>
      <c r="DP144" s="7"/>
      <c r="DQ144" s="7"/>
      <c r="DR144" s="10" t="s">
        <v>44</v>
      </c>
      <c r="DS144" s="7"/>
      <c r="DT144" s="7"/>
      <c r="DU144" s="10" t="s">
        <v>44</v>
      </c>
      <c r="DV144" s="7"/>
      <c r="DW144" s="7"/>
      <c r="DX144" s="10" t="s">
        <v>44</v>
      </c>
      <c r="DY144" s="9"/>
      <c r="DZ144" s="9"/>
      <c r="EA144" s="10" t="s">
        <v>44</v>
      </c>
      <c r="EB144" s="7"/>
      <c r="EC144" s="7"/>
      <c r="ED144" s="10" t="s">
        <v>44</v>
      </c>
      <c r="EE144" s="7"/>
      <c r="EF144" s="7"/>
      <c r="EG144" s="10" t="s">
        <v>44</v>
      </c>
      <c r="EH144" s="7"/>
      <c r="EI144" s="7"/>
      <c r="EJ144" s="10" t="s">
        <v>44</v>
      </c>
      <c r="EK144" s="9"/>
      <c r="EL144" s="9"/>
      <c r="EM144" s="10" t="s">
        <v>44</v>
      </c>
      <c r="EN144" s="7"/>
      <c r="EO144" s="7"/>
      <c r="EP144" s="10" t="s">
        <v>44</v>
      </c>
      <c r="EQ144" s="7"/>
      <c r="ER144" s="7"/>
      <c r="ES144" s="10" t="s">
        <v>44</v>
      </c>
      <c r="ET144" s="7"/>
      <c r="EU144" s="7"/>
      <c r="EV144" s="10" t="s">
        <v>44</v>
      </c>
      <c r="EW144" s="9"/>
      <c r="EX144" s="9"/>
      <c r="EY144" s="10" t="s">
        <v>44</v>
      </c>
      <c r="EZ144" s="7"/>
      <c r="FA144" s="7"/>
      <c r="FB144" s="10" t="s">
        <v>44</v>
      </c>
      <c r="FC144" s="7"/>
      <c r="FD144" s="7"/>
      <c r="FE144" s="10" t="s">
        <v>44</v>
      </c>
      <c r="FF144" s="7"/>
      <c r="FG144" s="7"/>
      <c r="FH144" s="10" t="s">
        <v>44</v>
      </c>
      <c r="FI144" s="9"/>
      <c r="FJ144" s="9"/>
      <c r="FK144" s="10" t="s">
        <v>44</v>
      </c>
      <c r="FL144" s="7"/>
      <c r="FM144" s="7"/>
      <c r="FN144" s="10" t="s">
        <v>44</v>
      </c>
      <c r="FO144" s="7"/>
      <c r="FP144" s="7"/>
      <c r="FQ144" s="10" t="s">
        <v>44</v>
      </c>
      <c r="FR144" s="7"/>
      <c r="FS144" s="7"/>
      <c r="FT144" s="10" t="s">
        <v>44</v>
      </c>
      <c r="FU144" s="9"/>
      <c r="FV144" s="9"/>
      <c r="FW144" s="10" t="s">
        <v>44</v>
      </c>
      <c r="FX144" s="7">
        <v>100</v>
      </c>
      <c r="FY144" s="7">
        <v>20000</v>
      </c>
      <c r="FZ144" s="10" t="s">
        <v>44</v>
      </c>
      <c r="GA144" s="7"/>
      <c r="GB144" s="7"/>
      <c r="GC144" s="10" t="s">
        <v>44</v>
      </c>
      <c r="GD144" s="7"/>
      <c r="GE144" s="7"/>
      <c r="GF144" s="10" t="s">
        <v>44</v>
      </c>
      <c r="GG144" s="7"/>
      <c r="GH144" s="7"/>
      <c r="GI144" s="10" t="s">
        <v>44</v>
      </c>
      <c r="GJ144" s="7">
        <v>125</v>
      </c>
      <c r="GK144" s="7">
        <v>22000</v>
      </c>
      <c r="GL144" s="10" t="s">
        <v>44</v>
      </c>
      <c r="GM144" s="7"/>
      <c r="GN144" s="7"/>
      <c r="GO144" s="10" t="s">
        <v>44</v>
      </c>
      <c r="GP144" s="7"/>
      <c r="GQ144" s="7"/>
      <c r="GR144" s="10" t="s">
        <v>44</v>
      </c>
      <c r="GS144" s="7"/>
      <c r="GT144" s="7"/>
      <c r="GU144" s="6" t="s">
        <v>44</v>
      </c>
      <c r="GV144" s="7">
        <v>100</v>
      </c>
      <c r="GW144" s="7">
        <v>21000</v>
      </c>
      <c r="GX144" s="10" t="s">
        <v>44</v>
      </c>
      <c r="GY144" s="7"/>
      <c r="GZ144" s="7"/>
      <c r="HA144" s="10" t="s">
        <v>44</v>
      </c>
      <c r="HB144" s="7"/>
      <c r="HC144" s="7"/>
      <c r="HD144" s="10" t="s">
        <v>44</v>
      </c>
      <c r="HE144" s="7"/>
      <c r="HF144" s="7"/>
      <c r="HG144" s="10" t="s">
        <v>44</v>
      </c>
      <c r="HH144" s="7">
        <v>90</v>
      </c>
      <c r="HI144" s="7">
        <v>20000</v>
      </c>
      <c r="HJ144" s="10" t="s">
        <v>44</v>
      </c>
      <c r="HK144" s="7"/>
      <c r="HL144" s="7"/>
      <c r="HM144" s="10" t="s">
        <v>44</v>
      </c>
      <c r="HN144" s="7"/>
      <c r="HO144" s="7"/>
      <c r="HP144" s="10" t="s">
        <v>44</v>
      </c>
      <c r="HQ144" s="7"/>
      <c r="HR144" s="7"/>
      <c r="HS144" s="10" t="s">
        <v>44</v>
      </c>
      <c r="HT144" s="7">
        <v>85</v>
      </c>
      <c r="HU144" s="7">
        <v>20000</v>
      </c>
      <c r="HV144" s="10" t="s">
        <v>44</v>
      </c>
      <c r="HW144" s="7"/>
      <c r="HX144" s="7"/>
      <c r="HY144" s="10" t="s">
        <v>44</v>
      </c>
      <c r="HZ144" s="7"/>
      <c r="IA144" s="7"/>
      <c r="IB144" s="10" t="s">
        <v>44</v>
      </c>
      <c r="IC144" s="7"/>
      <c r="ID144" s="7"/>
      <c r="IE144" s="6" t="s">
        <v>44</v>
      </c>
      <c r="IF144" s="7">
        <v>430</v>
      </c>
      <c r="IG144" s="7">
        <v>77690</v>
      </c>
      <c r="II144" s="7"/>
      <c r="IJ144" s="7"/>
      <c r="IK144" s="7"/>
      <c r="IL144" s="7"/>
      <c r="IM144" s="7"/>
      <c r="IN144" s="7"/>
      <c r="IP144" s="7"/>
      <c r="IQ144" s="7"/>
      <c r="IR144" s="7"/>
      <c r="IS144" s="7"/>
      <c r="IT144" s="7"/>
      <c r="IU144" s="7"/>
      <c r="IV144" s="7"/>
      <c r="IW144" s="7"/>
      <c r="IX144" s="7"/>
      <c r="IY144" s="7"/>
      <c r="IZ144" s="7"/>
      <c r="JA144" s="7"/>
      <c r="JB144" s="7"/>
      <c r="JC144" s="7"/>
      <c r="JE144" s="7"/>
      <c r="JF144" s="7"/>
      <c r="JH144" s="7"/>
      <c r="JI144" s="7"/>
      <c r="JJ144" s="7"/>
      <c r="JK144" s="7"/>
      <c r="JL144" s="7"/>
      <c r="JM144" s="7"/>
      <c r="JO144" s="7"/>
      <c r="JP144" s="7"/>
      <c r="JQ144" s="7"/>
      <c r="JR144" s="7"/>
      <c r="JT144" s="7"/>
      <c r="JU144" s="7"/>
      <c r="JV144" s="7"/>
      <c r="JW144" s="7"/>
      <c r="JX144" s="7"/>
    </row>
    <row r="145" spans="1:284" x14ac:dyDescent="0.3">
      <c r="A145" t="s">
        <v>309</v>
      </c>
      <c r="B145" s="10" t="s">
        <v>44</v>
      </c>
      <c r="C145" s="7"/>
      <c r="D145" s="7"/>
      <c r="E145" s="10" t="s">
        <v>44</v>
      </c>
      <c r="F145" s="7"/>
      <c r="G145" s="7"/>
      <c r="H145" s="10" t="s">
        <v>44</v>
      </c>
      <c r="I145" s="7"/>
      <c r="J145" s="7"/>
      <c r="K145" s="10" t="s">
        <v>44</v>
      </c>
      <c r="L145" s="7"/>
      <c r="M145" s="7"/>
      <c r="N145" s="10" t="s">
        <v>44</v>
      </c>
      <c r="O145" s="7"/>
      <c r="P145" s="7"/>
      <c r="Q145" s="10" t="s">
        <v>44</v>
      </c>
      <c r="R145" s="7"/>
      <c r="S145" s="7"/>
      <c r="T145" s="10" t="s">
        <v>44</v>
      </c>
      <c r="U145" s="7"/>
      <c r="V145" s="7"/>
      <c r="W145" s="10" t="s">
        <v>44</v>
      </c>
      <c r="X145" s="7"/>
      <c r="Y145" s="7"/>
      <c r="Z145" s="10" t="s">
        <v>44</v>
      </c>
      <c r="AA145" s="7"/>
      <c r="AB145" s="7"/>
      <c r="AC145" s="10" t="s">
        <v>44</v>
      </c>
      <c r="AD145" s="7"/>
      <c r="AE145" s="7"/>
      <c r="AF145" s="10" t="s">
        <v>44</v>
      </c>
      <c r="AG145" s="7"/>
      <c r="AH145" s="7"/>
      <c r="AI145" s="10" t="s">
        <v>44</v>
      </c>
      <c r="AJ145" s="7"/>
      <c r="AK145" s="7"/>
      <c r="AL145" s="10" t="s">
        <v>44</v>
      </c>
      <c r="AM145" s="7"/>
      <c r="AN145" s="7"/>
      <c r="AO145" s="10" t="s">
        <v>44</v>
      </c>
      <c r="AP145" s="7"/>
      <c r="AQ145" s="7"/>
      <c r="AR145" s="10" t="s">
        <v>44</v>
      </c>
      <c r="AS145" s="7"/>
      <c r="AT145" s="7"/>
      <c r="AU145" s="10" t="s">
        <v>44</v>
      </c>
      <c r="AV145" s="7"/>
      <c r="AW145" s="7"/>
      <c r="AX145" s="10" t="s">
        <v>44</v>
      </c>
      <c r="AY145" s="7"/>
      <c r="AZ145" s="7"/>
      <c r="BA145" s="10" t="s">
        <v>44</v>
      </c>
      <c r="BB145" s="7"/>
      <c r="BC145" s="7"/>
      <c r="BD145" s="10" t="s">
        <v>44</v>
      </c>
      <c r="BE145" s="7"/>
      <c r="BF145" s="7"/>
      <c r="BG145" s="10" t="s">
        <v>44</v>
      </c>
      <c r="BH145" s="7"/>
      <c r="BI145" s="7"/>
      <c r="BJ145" s="10" t="s">
        <v>44</v>
      </c>
      <c r="BK145" s="7"/>
      <c r="BL145" s="7"/>
      <c r="BM145" s="10" t="s">
        <v>44</v>
      </c>
      <c r="BN145" s="7"/>
      <c r="BO145" s="7"/>
      <c r="BP145" s="10" t="s">
        <v>44</v>
      </c>
      <c r="BQ145" s="7"/>
      <c r="BR145" s="7"/>
      <c r="BS145" s="10" t="s">
        <v>44</v>
      </c>
      <c r="BT145" s="7"/>
      <c r="BU145" s="7"/>
      <c r="BV145" s="10" t="s">
        <v>44</v>
      </c>
      <c r="BW145" s="7"/>
      <c r="BX145" s="7"/>
      <c r="BY145" s="10" t="s">
        <v>44</v>
      </c>
      <c r="BZ145" s="7"/>
      <c r="CA145" s="7"/>
      <c r="CB145" s="10" t="s">
        <v>44</v>
      </c>
      <c r="CC145" s="7"/>
      <c r="CD145" s="7"/>
      <c r="CE145" s="10" t="s">
        <v>44</v>
      </c>
      <c r="CF145" s="7"/>
      <c r="CG145" s="7"/>
      <c r="CH145" s="10" t="s">
        <v>44</v>
      </c>
      <c r="CI145" s="7"/>
      <c r="CJ145" s="7"/>
      <c r="CK145" s="10" t="s">
        <v>44</v>
      </c>
      <c r="CL145" s="7"/>
      <c r="CM145" s="7"/>
      <c r="CN145" s="10" t="s">
        <v>44</v>
      </c>
      <c r="CO145" s="7"/>
      <c r="CP145" s="7"/>
      <c r="CQ145" s="10" t="s">
        <v>44</v>
      </c>
      <c r="CR145" s="7"/>
      <c r="CS145" s="7"/>
      <c r="CT145" s="10" t="s">
        <v>44</v>
      </c>
      <c r="CU145" s="7"/>
      <c r="CV145" s="7"/>
      <c r="CW145" s="10" t="s">
        <v>44</v>
      </c>
      <c r="CX145" s="7"/>
      <c r="CY145" s="7"/>
      <c r="CZ145" s="10" t="s">
        <v>44</v>
      </c>
      <c r="DA145" s="7"/>
      <c r="DB145" s="7"/>
      <c r="DC145" s="10" t="s">
        <v>44</v>
      </c>
      <c r="DD145" s="7"/>
      <c r="DE145" s="7"/>
      <c r="DF145" s="10" t="s">
        <v>44</v>
      </c>
      <c r="DG145" s="7"/>
      <c r="DH145" s="7"/>
      <c r="DI145" s="10" t="s">
        <v>44</v>
      </c>
      <c r="DJ145" s="7"/>
      <c r="DK145" s="7"/>
      <c r="DL145" s="10" t="s">
        <v>44</v>
      </c>
      <c r="DM145" s="9"/>
      <c r="DN145" s="9"/>
      <c r="DO145" s="10" t="s">
        <v>44</v>
      </c>
      <c r="DP145" s="7"/>
      <c r="DQ145" s="7"/>
      <c r="DR145" s="10" t="s">
        <v>44</v>
      </c>
      <c r="DS145" s="7"/>
      <c r="DT145" s="7"/>
      <c r="DU145" s="10" t="s">
        <v>44</v>
      </c>
      <c r="DV145" s="7"/>
      <c r="DW145" s="7"/>
      <c r="DX145" s="10" t="s">
        <v>44</v>
      </c>
      <c r="DY145" s="9"/>
      <c r="DZ145" s="9"/>
      <c r="EA145" s="10" t="s">
        <v>44</v>
      </c>
      <c r="EB145" s="7"/>
      <c r="EC145" s="7"/>
      <c r="ED145" s="10" t="s">
        <v>44</v>
      </c>
      <c r="EE145" s="7"/>
      <c r="EF145" s="7"/>
      <c r="EG145" s="10" t="s">
        <v>44</v>
      </c>
      <c r="EH145" s="7"/>
      <c r="EI145" s="7"/>
      <c r="EJ145" s="10" t="s">
        <v>44</v>
      </c>
      <c r="EK145" s="9"/>
      <c r="EL145" s="9"/>
      <c r="EM145" s="10" t="s">
        <v>44</v>
      </c>
      <c r="EN145" s="7"/>
      <c r="EO145" s="7"/>
      <c r="EP145" s="10" t="s">
        <v>44</v>
      </c>
      <c r="EQ145" s="7"/>
      <c r="ER145" s="7"/>
      <c r="ES145" s="10" t="s">
        <v>44</v>
      </c>
      <c r="ET145" s="7"/>
      <c r="EU145" s="7"/>
      <c r="EV145" s="10" t="s">
        <v>44</v>
      </c>
      <c r="EW145" s="9"/>
      <c r="EX145" s="9"/>
      <c r="EY145" s="10" t="s">
        <v>44</v>
      </c>
      <c r="EZ145" s="7"/>
      <c r="FA145" s="7"/>
      <c r="FB145" s="10" t="s">
        <v>44</v>
      </c>
      <c r="FC145" s="7"/>
      <c r="FD145" s="7"/>
      <c r="FE145" s="10" t="s">
        <v>44</v>
      </c>
      <c r="FF145" s="7"/>
      <c r="FG145" s="7"/>
      <c r="FH145" s="10" t="s">
        <v>44</v>
      </c>
      <c r="FI145" s="9"/>
      <c r="FJ145" s="9"/>
      <c r="FK145" s="10" t="s">
        <v>44</v>
      </c>
      <c r="FL145" s="7"/>
      <c r="FM145" s="7"/>
      <c r="FN145" s="10" t="s">
        <v>44</v>
      </c>
      <c r="FO145" s="7"/>
      <c r="FP145" s="7"/>
      <c r="FQ145" s="10" t="s">
        <v>44</v>
      </c>
      <c r="FR145" s="7"/>
      <c r="FS145" s="7"/>
      <c r="FT145" s="10" t="s">
        <v>44</v>
      </c>
      <c r="FU145" s="9"/>
      <c r="FV145" s="9"/>
      <c r="FW145" s="10" t="s">
        <v>44</v>
      </c>
      <c r="FX145" s="7">
        <v>3</v>
      </c>
      <c r="FY145" s="7">
        <v>400</v>
      </c>
      <c r="FZ145" s="10" t="s">
        <v>44</v>
      </c>
      <c r="GA145" s="7"/>
      <c r="GB145" s="7"/>
      <c r="GC145" s="10" t="s">
        <v>44</v>
      </c>
      <c r="GD145" s="7"/>
      <c r="GE145" s="7"/>
      <c r="GF145" s="10" t="s">
        <v>44</v>
      </c>
      <c r="GG145" s="7"/>
      <c r="GH145" s="7"/>
      <c r="GI145" s="10" t="s">
        <v>44</v>
      </c>
      <c r="GJ145" s="7">
        <v>4</v>
      </c>
      <c r="GK145" s="7">
        <v>500</v>
      </c>
      <c r="GL145" s="10" t="s">
        <v>44</v>
      </c>
      <c r="GM145" s="7"/>
      <c r="GN145" s="7"/>
      <c r="GO145" s="10" t="s">
        <v>44</v>
      </c>
      <c r="GP145" s="7"/>
      <c r="GQ145" s="7"/>
      <c r="GR145" s="10" t="s">
        <v>44</v>
      </c>
      <c r="GS145" s="7"/>
      <c r="GT145" s="7"/>
      <c r="GU145" s="6" t="s">
        <v>44</v>
      </c>
      <c r="GV145" s="7">
        <v>3</v>
      </c>
      <c r="GW145" s="7">
        <v>300</v>
      </c>
      <c r="GX145" s="10" t="s">
        <v>44</v>
      </c>
      <c r="GY145" s="7"/>
      <c r="GZ145" s="7"/>
      <c r="HA145" s="10" t="s">
        <v>44</v>
      </c>
      <c r="HB145" s="7"/>
      <c r="HC145" s="7"/>
      <c r="HD145" s="10" t="s">
        <v>44</v>
      </c>
      <c r="HE145" s="7"/>
      <c r="HF145" s="7"/>
      <c r="HG145" s="10" t="s">
        <v>44</v>
      </c>
      <c r="HH145" s="7">
        <v>4</v>
      </c>
      <c r="HI145" s="7">
        <v>400</v>
      </c>
      <c r="HJ145" s="10" t="s">
        <v>44</v>
      </c>
      <c r="HK145" s="7"/>
      <c r="HL145" s="7"/>
      <c r="HM145" s="10" t="s">
        <v>44</v>
      </c>
      <c r="HN145" s="7"/>
      <c r="HO145" s="7"/>
      <c r="HP145" s="10" t="s">
        <v>44</v>
      </c>
      <c r="HQ145" s="7"/>
      <c r="HR145" s="7"/>
      <c r="HS145" s="10" t="s">
        <v>44</v>
      </c>
      <c r="HT145" s="7">
        <v>4</v>
      </c>
      <c r="HU145" s="7">
        <v>400</v>
      </c>
      <c r="HV145" s="10" t="s">
        <v>44</v>
      </c>
      <c r="HW145" s="7"/>
      <c r="HX145" s="7"/>
      <c r="HY145" s="10" t="s">
        <v>44</v>
      </c>
      <c r="HZ145" s="7"/>
      <c r="IA145" s="7"/>
      <c r="IB145" s="10" t="s">
        <v>44</v>
      </c>
      <c r="IC145" s="7"/>
      <c r="ID145" s="7"/>
      <c r="IE145" s="6" t="s">
        <v>44</v>
      </c>
      <c r="IF145" s="7">
        <v>2</v>
      </c>
      <c r="IG145" s="7">
        <v>200</v>
      </c>
    </row>
    <row r="146" spans="1:284" x14ac:dyDescent="0.3">
      <c r="A146" t="s">
        <v>310</v>
      </c>
      <c r="B146" s="10" t="s">
        <v>52</v>
      </c>
      <c r="C146" s="7"/>
      <c r="D146" s="7"/>
      <c r="E146" s="10" t="s">
        <v>52</v>
      </c>
      <c r="F146" s="7"/>
      <c r="G146" s="7"/>
      <c r="H146" s="10" t="s">
        <v>52</v>
      </c>
      <c r="I146" s="7"/>
      <c r="J146" s="7"/>
      <c r="K146" s="10" t="s">
        <v>52</v>
      </c>
      <c r="L146" s="7"/>
      <c r="M146" s="7"/>
      <c r="N146" s="10" t="s">
        <v>52</v>
      </c>
      <c r="O146" s="7"/>
      <c r="P146" s="7"/>
      <c r="Q146" s="10" t="s">
        <v>52</v>
      </c>
      <c r="R146" s="7"/>
      <c r="S146" s="7"/>
      <c r="T146" s="10" t="s">
        <v>52</v>
      </c>
      <c r="U146" s="7"/>
      <c r="V146" s="7"/>
      <c r="W146" s="10" t="s">
        <v>52</v>
      </c>
      <c r="X146" s="7"/>
      <c r="Y146" s="7"/>
      <c r="Z146" s="10" t="s">
        <v>52</v>
      </c>
      <c r="AA146" s="7"/>
      <c r="AB146" s="7"/>
      <c r="AC146" s="10" t="s">
        <v>52</v>
      </c>
      <c r="AD146" s="7"/>
      <c r="AE146" s="7"/>
      <c r="AF146" s="10" t="s">
        <v>52</v>
      </c>
      <c r="AG146" s="7"/>
      <c r="AH146" s="7"/>
      <c r="AI146" s="10" t="s">
        <v>52</v>
      </c>
      <c r="AJ146" s="7"/>
      <c r="AK146" s="7"/>
      <c r="AL146" s="10" t="s">
        <v>52</v>
      </c>
      <c r="AM146" s="7"/>
      <c r="AN146" s="7"/>
      <c r="AO146" s="10" t="s">
        <v>52</v>
      </c>
      <c r="AP146" s="7"/>
      <c r="AQ146" s="7"/>
      <c r="AR146" s="10" t="s">
        <v>52</v>
      </c>
      <c r="AS146" s="7"/>
      <c r="AT146" s="7"/>
      <c r="AU146" s="10" t="s">
        <v>52</v>
      </c>
      <c r="AV146" s="7"/>
      <c r="AW146" s="7"/>
      <c r="AX146" s="10" t="s">
        <v>52</v>
      </c>
      <c r="AY146" s="7"/>
      <c r="AZ146" s="7"/>
      <c r="BA146" s="10" t="s">
        <v>52</v>
      </c>
      <c r="BB146" s="7"/>
      <c r="BC146" s="7"/>
      <c r="BD146" s="10" t="s">
        <v>52</v>
      </c>
      <c r="BE146" s="7"/>
      <c r="BF146" s="7"/>
      <c r="BG146" s="10" t="s">
        <v>52</v>
      </c>
      <c r="BH146" s="7"/>
      <c r="BI146" s="7"/>
      <c r="BJ146" s="10" t="s">
        <v>52</v>
      </c>
      <c r="BK146" s="7"/>
      <c r="BL146" s="7"/>
      <c r="BM146" s="10" t="s">
        <v>52</v>
      </c>
      <c r="BN146" s="7"/>
      <c r="BO146" s="7"/>
      <c r="BP146" s="10" t="s">
        <v>52</v>
      </c>
      <c r="BQ146" s="7"/>
      <c r="BR146" s="7"/>
      <c r="BS146" s="10" t="s">
        <v>52</v>
      </c>
      <c r="BT146" s="7"/>
      <c r="BU146" s="7"/>
      <c r="BV146" s="10" t="s">
        <v>52</v>
      </c>
      <c r="BW146" s="7"/>
      <c r="BX146" s="7"/>
      <c r="BY146" s="10" t="s">
        <v>52</v>
      </c>
      <c r="BZ146" s="7"/>
      <c r="CA146" s="7"/>
      <c r="CB146" s="10" t="s">
        <v>52</v>
      </c>
      <c r="CC146" s="7"/>
      <c r="CD146" s="7"/>
      <c r="CE146" s="10" t="s">
        <v>52</v>
      </c>
      <c r="CF146" s="7"/>
      <c r="CG146" s="7"/>
      <c r="CH146" s="10" t="s">
        <v>52</v>
      </c>
      <c r="CI146" s="7"/>
      <c r="CJ146" s="7"/>
      <c r="CK146" s="10" t="s">
        <v>52</v>
      </c>
      <c r="CL146" s="7"/>
      <c r="CM146" s="7"/>
      <c r="CN146" s="10" t="s">
        <v>52</v>
      </c>
      <c r="CO146" s="7"/>
      <c r="CP146" s="7"/>
      <c r="CQ146" s="10" t="s">
        <v>52</v>
      </c>
      <c r="CR146" s="7"/>
      <c r="CS146" s="7"/>
      <c r="CT146" s="10" t="s">
        <v>52</v>
      </c>
      <c r="CU146" s="7"/>
      <c r="CV146" s="7"/>
      <c r="CW146" s="10" t="s">
        <v>52</v>
      </c>
      <c r="CX146" s="7"/>
      <c r="CY146" s="7"/>
      <c r="CZ146" s="10" t="s">
        <v>52</v>
      </c>
      <c r="DA146" s="7"/>
      <c r="DB146" s="7"/>
      <c r="DC146" s="10" t="s">
        <v>52</v>
      </c>
      <c r="DD146" s="7"/>
      <c r="DE146" s="7"/>
      <c r="DF146" s="10" t="s">
        <v>52</v>
      </c>
      <c r="DG146" s="7"/>
      <c r="DH146" s="7"/>
      <c r="DI146" s="10" t="s">
        <v>52</v>
      </c>
      <c r="DJ146" s="7"/>
      <c r="DK146" s="7"/>
      <c r="DL146" s="10" t="s">
        <v>52</v>
      </c>
      <c r="DM146" s="9"/>
      <c r="DN146" s="9"/>
      <c r="DO146" s="10" t="s">
        <v>52</v>
      </c>
      <c r="DP146" s="7"/>
      <c r="DQ146" s="7"/>
      <c r="DR146" s="10" t="s">
        <v>52</v>
      </c>
      <c r="DS146" s="7"/>
      <c r="DT146" s="7"/>
      <c r="DU146" s="10" t="s">
        <v>52</v>
      </c>
      <c r="DV146" s="7"/>
      <c r="DW146" s="7"/>
      <c r="DX146" s="10" t="s">
        <v>52</v>
      </c>
      <c r="DY146" s="9"/>
      <c r="DZ146" s="9"/>
      <c r="EA146" s="10" t="s">
        <v>52</v>
      </c>
      <c r="EB146" s="7"/>
      <c r="EC146" s="7"/>
      <c r="ED146" s="10" t="s">
        <v>52</v>
      </c>
      <c r="EE146" s="7"/>
      <c r="EF146" s="7"/>
      <c r="EG146" s="10" t="s">
        <v>52</v>
      </c>
      <c r="EH146" s="7"/>
      <c r="EI146" s="7"/>
      <c r="EJ146" s="10" t="s">
        <v>52</v>
      </c>
      <c r="EK146" s="9"/>
      <c r="EL146" s="9"/>
      <c r="EM146" s="10" t="s">
        <v>52</v>
      </c>
      <c r="EN146" s="7"/>
      <c r="EO146" s="7"/>
      <c r="EP146" s="10" t="s">
        <v>52</v>
      </c>
      <c r="EQ146" s="7"/>
      <c r="ER146" s="7"/>
      <c r="ES146" s="10" t="s">
        <v>52</v>
      </c>
      <c r="ET146" s="7"/>
      <c r="EU146" s="7"/>
      <c r="EV146" s="10" t="s">
        <v>52</v>
      </c>
      <c r="EW146" s="9"/>
      <c r="EX146" s="9"/>
      <c r="EY146" s="10" t="s">
        <v>52</v>
      </c>
      <c r="EZ146" s="7"/>
      <c r="FA146" s="7"/>
      <c r="FB146" s="10" t="s">
        <v>52</v>
      </c>
      <c r="FC146" s="7"/>
      <c r="FD146" s="7"/>
      <c r="FE146" s="10" t="s">
        <v>52</v>
      </c>
      <c r="FF146" s="7"/>
      <c r="FG146" s="7"/>
      <c r="FH146" s="10" t="s">
        <v>52</v>
      </c>
      <c r="FI146" s="9"/>
      <c r="FJ146" s="9"/>
      <c r="FK146" s="10" t="s">
        <v>52</v>
      </c>
      <c r="FL146" s="7"/>
      <c r="FM146" s="7"/>
      <c r="FN146" s="10" t="s">
        <v>52</v>
      </c>
      <c r="FO146" s="7"/>
      <c r="FP146" s="7"/>
      <c r="FQ146" s="10" t="s">
        <v>52</v>
      </c>
      <c r="FR146" s="7"/>
      <c r="FS146" s="7"/>
      <c r="FT146" s="10" t="s">
        <v>52</v>
      </c>
      <c r="FU146" s="9">
        <v>50</v>
      </c>
      <c r="FV146" s="9">
        <v>300</v>
      </c>
      <c r="FW146" s="10" t="s">
        <v>52</v>
      </c>
      <c r="FX146" s="7"/>
      <c r="FY146" s="7"/>
      <c r="FZ146" s="10" t="s">
        <v>52</v>
      </c>
      <c r="GA146" s="7"/>
      <c r="GB146" s="7"/>
      <c r="GC146" s="10" t="s">
        <v>52</v>
      </c>
      <c r="GD146" s="7"/>
      <c r="GE146" s="7"/>
      <c r="GF146" s="10" t="s">
        <v>52</v>
      </c>
      <c r="GG146" s="7">
        <v>200</v>
      </c>
      <c r="GH146" s="7">
        <v>900</v>
      </c>
      <c r="GI146" s="10" t="s">
        <v>52</v>
      </c>
      <c r="GJ146" s="7"/>
      <c r="GK146" s="7"/>
      <c r="GL146" s="10" t="s">
        <v>52</v>
      </c>
      <c r="GM146" s="7"/>
      <c r="GN146" s="7"/>
      <c r="GO146" s="10" t="s">
        <v>52</v>
      </c>
      <c r="GP146" s="7"/>
      <c r="GQ146" s="7"/>
      <c r="GR146" s="10" t="s">
        <v>52</v>
      </c>
      <c r="GS146" s="7">
        <v>150</v>
      </c>
      <c r="GT146" s="7">
        <v>700</v>
      </c>
      <c r="GU146" s="6"/>
      <c r="GV146" s="7"/>
      <c r="GW146" s="7"/>
      <c r="GX146" s="10" t="s">
        <v>52</v>
      </c>
      <c r="GY146" s="7"/>
      <c r="GZ146" s="7"/>
      <c r="HA146" s="10" t="s">
        <v>52</v>
      </c>
      <c r="HB146" s="7"/>
      <c r="HC146" s="7"/>
      <c r="HD146" s="10" t="s">
        <v>52</v>
      </c>
      <c r="HE146" s="7">
        <v>170</v>
      </c>
      <c r="HF146" s="7">
        <v>850</v>
      </c>
      <c r="HG146" s="10" t="s">
        <v>52</v>
      </c>
      <c r="HH146" s="7"/>
      <c r="HI146" s="7"/>
      <c r="HJ146" s="10" t="s">
        <v>52</v>
      </c>
      <c r="HK146" s="7"/>
      <c r="HL146" s="7"/>
      <c r="HM146" s="10" t="s">
        <v>52</v>
      </c>
      <c r="HN146" s="7"/>
      <c r="HO146" s="7"/>
      <c r="HP146" s="10" t="s">
        <v>52</v>
      </c>
      <c r="HQ146" s="7">
        <v>150</v>
      </c>
      <c r="HR146" s="7">
        <v>600</v>
      </c>
      <c r="HS146" s="10" t="s">
        <v>52</v>
      </c>
      <c r="HT146" s="7"/>
      <c r="HU146" s="7"/>
      <c r="HV146" s="10" t="s">
        <v>52</v>
      </c>
      <c r="HW146" s="7"/>
      <c r="HX146" s="7"/>
      <c r="HY146" s="10" t="s">
        <v>52</v>
      </c>
      <c r="HZ146" s="7"/>
      <c r="IA146" s="7"/>
      <c r="IB146" s="10" t="s">
        <v>52</v>
      </c>
      <c r="IC146" s="7">
        <v>192</v>
      </c>
      <c r="ID146" s="7">
        <v>1040</v>
      </c>
      <c r="IE146" s="6"/>
      <c r="IF146" s="7"/>
      <c r="IG146" s="7"/>
    </row>
    <row r="147" spans="1:284" x14ac:dyDescent="0.3">
      <c r="A147" t="s">
        <v>311</v>
      </c>
      <c r="B147" s="10" t="s">
        <v>40</v>
      </c>
      <c r="C147" s="7"/>
      <c r="D147" s="7"/>
      <c r="E147" s="10" t="s">
        <v>40</v>
      </c>
      <c r="F147" s="7"/>
      <c r="G147" s="7"/>
      <c r="H147" s="10" t="s">
        <v>40</v>
      </c>
      <c r="I147" s="7"/>
      <c r="J147" s="7"/>
      <c r="K147" s="10" t="s">
        <v>40</v>
      </c>
      <c r="L147" s="7"/>
      <c r="M147" s="7"/>
      <c r="N147" s="10" t="s">
        <v>40</v>
      </c>
      <c r="O147" s="7"/>
      <c r="P147" s="7"/>
      <c r="Q147" s="10" t="s">
        <v>40</v>
      </c>
      <c r="R147" s="7"/>
      <c r="S147" s="7"/>
      <c r="T147" s="10" t="s">
        <v>40</v>
      </c>
      <c r="U147" s="7"/>
      <c r="V147" s="7"/>
      <c r="W147" s="10" t="s">
        <v>40</v>
      </c>
      <c r="X147" s="7"/>
      <c r="Y147" s="7"/>
      <c r="Z147" s="10" t="s">
        <v>40</v>
      </c>
      <c r="AA147" s="7"/>
      <c r="AB147" s="7"/>
      <c r="AC147" s="10" t="s">
        <v>40</v>
      </c>
      <c r="AD147" s="7"/>
      <c r="AE147" s="7"/>
      <c r="AF147" s="10" t="s">
        <v>40</v>
      </c>
      <c r="AG147" s="7"/>
      <c r="AH147" s="7"/>
      <c r="AI147" s="10" t="s">
        <v>40</v>
      </c>
      <c r="AJ147" s="7"/>
      <c r="AK147" s="7"/>
      <c r="AL147" s="10" t="s">
        <v>40</v>
      </c>
      <c r="AM147" s="7"/>
      <c r="AN147" s="7"/>
      <c r="AO147" s="10" t="s">
        <v>40</v>
      </c>
      <c r="AP147" s="7"/>
      <c r="AQ147" s="7"/>
      <c r="AR147" s="10" t="s">
        <v>40</v>
      </c>
      <c r="AS147" s="7"/>
      <c r="AT147" s="7"/>
      <c r="AU147" s="10" t="s">
        <v>40</v>
      </c>
      <c r="AV147" s="7"/>
      <c r="AW147" s="7"/>
      <c r="AX147" s="10" t="s">
        <v>40</v>
      </c>
      <c r="AY147" s="7"/>
      <c r="AZ147" s="7"/>
      <c r="BA147" s="10" t="s">
        <v>40</v>
      </c>
      <c r="BB147" s="7"/>
      <c r="BC147" s="7"/>
      <c r="BD147" s="10" t="s">
        <v>40</v>
      </c>
      <c r="BE147" s="7"/>
      <c r="BF147" s="7"/>
      <c r="BG147" s="10" t="s">
        <v>40</v>
      </c>
      <c r="BH147" s="7"/>
      <c r="BI147" s="7"/>
      <c r="BJ147" s="10" t="s">
        <v>40</v>
      </c>
      <c r="BK147" s="7"/>
      <c r="BL147" s="7"/>
      <c r="BM147" s="10" t="s">
        <v>40</v>
      </c>
      <c r="BN147" s="7"/>
      <c r="BO147" s="7"/>
      <c r="BP147" s="10" t="s">
        <v>40</v>
      </c>
      <c r="BQ147" s="7"/>
      <c r="BR147" s="7"/>
      <c r="BS147" s="10" t="s">
        <v>40</v>
      </c>
      <c r="BT147" s="7"/>
      <c r="BU147" s="7"/>
      <c r="BV147" s="10" t="s">
        <v>40</v>
      </c>
      <c r="BW147" s="7"/>
      <c r="BX147" s="7"/>
      <c r="BY147" s="10" t="s">
        <v>40</v>
      </c>
      <c r="BZ147" s="7"/>
      <c r="CA147" s="7"/>
      <c r="CB147" s="10" t="s">
        <v>40</v>
      </c>
      <c r="CC147" s="7"/>
      <c r="CD147" s="7"/>
      <c r="CE147" s="10" t="s">
        <v>40</v>
      </c>
      <c r="CF147" s="7"/>
      <c r="CG147" s="7"/>
      <c r="CH147" s="10" t="s">
        <v>40</v>
      </c>
      <c r="CI147" s="7"/>
      <c r="CJ147" s="7"/>
      <c r="CK147" s="10" t="s">
        <v>40</v>
      </c>
      <c r="CL147" s="7"/>
      <c r="CM147" s="7"/>
      <c r="CN147" s="10" t="s">
        <v>40</v>
      </c>
      <c r="CO147" s="7"/>
      <c r="CP147" s="7"/>
      <c r="CQ147" s="10" t="s">
        <v>40</v>
      </c>
      <c r="CR147" s="7"/>
      <c r="CS147" s="7"/>
      <c r="CT147" s="10" t="s">
        <v>40</v>
      </c>
      <c r="CU147" s="7"/>
      <c r="CV147" s="7"/>
      <c r="CW147" s="10" t="s">
        <v>40</v>
      </c>
      <c r="CX147" s="7"/>
      <c r="CY147" s="7"/>
      <c r="CZ147" s="10" t="s">
        <v>40</v>
      </c>
      <c r="DA147" s="7"/>
      <c r="DB147" s="7"/>
      <c r="DC147" s="10" t="s">
        <v>40</v>
      </c>
      <c r="DD147" s="7"/>
      <c r="DE147" s="7"/>
      <c r="DF147" s="10" t="s">
        <v>40</v>
      </c>
      <c r="DG147" s="7"/>
      <c r="DH147" s="7"/>
      <c r="DI147" s="10" t="s">
        <v>40</v>
      </c>
      <c r="DJ147" s="7"/>
      <c r="DK147" s="7"/>
      <c r="DL147" s="10" t="s">
        <v>40</v>
      </c>
      <c r="DM147" s="9"/>
      <c r="DN147" s="9"/>
      <c r="DO147" s="10" t="s">
        <v>40</v>
      </c>
      <c r="DP147" s="7"/>
      <c r="DQ147" s="7"/>
      <c r="DR147" s="10" t="s">
        <v>40</v>
      </c>
      <c r="DS147" s="7"/>
      <c r="DT147" s="7"/>
      <c r="DU147" s="10" t="s">
        <v>40</v>
      </c>
      <c r="DV147" s="7"/>
      <c r="DW147" s="7"/>
      <c r="DX147" s="10" t="s">
        <v>40</v>
      </c>
      <c r="DY147" s="9"/>
      <c r="DZ147" s="9"/>
      <c r="EA147" s="10" t="s">
        <v>40</v>
      </c>
      <c r="EB147" s="7"/>
      <c r="EC147" s="7"/>
      <c r="ED147" s="10" t="s">
        <v>40</v>
      </c>
      <c r="EE147" s="7"/>
      <c r="EF147" s="7"/>
      <c r="EG147" s="10" t="s">
        <v>40</v>
      </c>
      <c r="EH147" s="7"/>
      <c r="EI147" s="7"/>
      <c r="EJ147" s="10" t="s">
        <v>40</v>
      </c>
      <c r="EK147" s="9"/>
      <c r="EL147" s="9"/>
      <c r="EM147" s="10" t="s">
        <v>40</v>
      </c>
      <c r="EN147" s="7"/>
      <c r="EO147" s="7"/>
      <c r="EP147" s="10" t="s">
        <v>40</v>
      </c>
      <c r="EQ147" s="7"/>
      <c r="ER147" s="7"/>
      <c r="ES147" s="10" t="s">
        <v>40</v>
      </c>
      <c r="ET147" s="7"/>
      <c r="EU147" s="7"/>
      <c r="EV147" s="10" t="s">
        <v>40</v>
      </c>
      <c r="EW147" s="9"/>
      <c r="EX147" s="9"/>
      <c r="EY147" s="10" t="s">
        <v>40</v>
      </c>
      <c r="EZ147" s="7"/>
      <c r="FA147" s="7"/>
      <c r="FB147" s="10" t="s">
        <v>40</v>
      </c>
      <c r="FC147" s="7"/>
      <c r="FD147" s="7"/>
      <c r="FE147" s="10" t="s">
        <v>40</v>
      </c>
      <c r="FF147" s="7"/>
      <c r="FG147" s="7"/>
      <c r="FH147" s="10" t="s">
        <v>40</v>
      </c>
      <c r="FI147" s="9"/>
      <c r="FJ147" s="9"/>
      <c r="FK147" s="10" t="s">
        <v>40</v>
      </c>
      <c r="FL147" s="7"/>
      <c r="FM147" s="7"/>
      <c r="FN147" s="10" t="s">
        <v>40</v>
      </c>
      <c r="FO147" s="7"/>
      <c r="FP147" s="7"/>
      <c r="FQ147" s="10" t="s">
        <v>40</v>
      </c>
      <c r="FR147" s="7">
        <v>25</v>
      </c>
      <c r="FS147" s="7">
        <v>3000</v>
      </c>
      <c r="FT147" s="10" t="s">
        <v>40</v>
      </c>
      <c r="FU147" s="9"/>
      <c r="FV147" s="9"/>
      <c r="FW147" s="10" t="s">
        <v>40</v>
      </c>
      <c r="FX147" s="7">
        <v>50</v>
      </c>
      <c r="FY147" s="7">
        <v>7500</v>
      </c>
      <c r="FZ147" s="10" t="s">
        <v>40</v>
      </c>
      <c r="GA147" s="7"/>
      <c r="GB147" s="7"/>
      <c r="GC147" s="10" t="s">
        <v>40</v>
      </c>
      <c r="GD147" s="7">
        <v>10</v>
      </c>
      <c r="GE147" s="7">
        <v>1000</v>
      </c>
      <c r="GF147" s="10" t="s">
        <v>40</v>
      </c>
      <c r="GG147" s="7"/>
      <c r="GH147" s="7"/>
      <c r="GI147" s="10" t="s">
        <v>40</v>
      </c>
      <c r="GJ147" s="7">
        <v>60</v>
      </c>
      <c r="GK147" s="7">
        <v>8000</v>
      </c>
      <c r="GL147" s="10" t="s">
        <v>40</v>
      </c>
      <c r="GM147" s="7"/>
      <c r="GN147" s="7"/>
      <c r="GO147" s="10" t="s">
        <v>40</v>
      </c>
      <c r="GP147" s="7">
        <v>5</v>
      </c>
      <c r="GQ147" s="7">
        <v>500</v>
      </c>
      <c r="GR147" s="10" t="s">
        <v>40</v>
      </c>
      <c r="GS147" s="7"/>
      <c r="GT147" s="7"/>
      <c r="GU147" s="6" t="s">
        <v>40</v>
      </c>
      <c r="GV147" s="7">
        <v>50</v>
      </c>
      <c r="GW147" s="7">
        <v>7000</v>
      </c>
      <c r="GX147" s="10" t="s">
        <v>40</v>
      </c>
      <c r="GY147" s="7"/>
      <c r="GZ147" s="7"/>
      <c r="HA147" s="10" t="s">
        <v>40</v>
      </c>
      <c r="HB147" s="7">
        <v>6</v>
      </c>
      <c r="HC147" s="7">
        <v>500</v>
      </c>
      <c r="HD147" s="10" t="s">
        <v>40</v>
      </c>
      <c r="HE147" s="7"/>
      <c r="HF147" s="7"/>
      <c r="HG147" s="10" t="s">
        <v>40</v>
      </c>
      <c r="HH147" s="7">
        <v>70</v>
      </c>
      <c r="HI147" s="7">
        <v>8000</v>
      </c>
      <c r="HJ147" s="10" t="s">
        <v>40</v>
      </c>
      <c r="HK147" s="7"/>
      <c r="HL147" s="7"/>
      <c r="HM147" s="10" t="s">
        <v>40</v>
      </c>
      <c r="HN147" s="7">
        <v>5</v>
      </c>
      <c r="HO147" s="7">
        <v>400</v>
      </c>
      <c r="HP147" s="10" t="s">
        <v>40</v>
      </c>
      <c r="HQ147" s="7"/>
      <c r="HR147" s="7"/>
      <c r="HS147" s="10" t="s">
        <v>40</v>
      </c>
      <c r="HT147" s="7">
        <v>100</v>
      </c>
      <c r="HU147" s="7">
        <v>10000</v>
      </c>
      <c r="HV147" s="10" t="s">
        <v>40</v>
      </c>
      <c r="HW147" s="7"/>
      <c r="HX147" s="7"/>
      <c r="HY147" s="10" t="s">
        <v>40</v>
      </c>
      <c r="HZ147" s="7">
        <v>2</v>
      </c>
      <c r="IA147" s="7">
        <v>300</v>
      </c>
      <c r="IB147" s="10" t="s">
        <v>40</v>
      </c>
      <c r="IC147" s="7"/>
      <c r="ID147" s="7"/>
      <c r="IE147" s="6" t="s">
        <v>40</v>
      </c>
      <c r="IF147" s="7">
        <v>80</v>
      </c>
      <c r="IG147" s="7">
        <v>8000</v>
      </c>
    </row>
    <row r="148" spans="1:284" x14ac:dyDescent="0.3">
      <c r="A148" t="s">
        <v>312</v>
      </c>
      <c r="B148" s="10" t="s">
        <v>40</v>
      </c>
      <c r="C148" s="7"/>
      <c r="D148" s="7"/>
      <c r="E148" s="10" t="s">
        <v>40</v>
      </c>
      <c r="F148" s="7"/>
      <c r="G148" s="7"/>
      <c r="H148" s="10" t="s">
        <v>40</v>
      </c>
      <c r="I148" s="7"/>
      <c r="J148" s="7"/>
      <c r="K148" s="10" t="s">
        <v>40</v>
      </c>
      <c r="L148" s="7"/>
      <c r="M148" s="7"/>
      <c r="N148" s="10" t="s">
        <v>40</v>
      </c>
      <c r="O148" s="7"/>
      <c r="P148" s="7"/>
      <c r="Q148" s="10" t="s">
        <v>40</v>
      </c>
      <c r="R148" s="7"/>
      <c r="S148" s="7"/>
      <c r="T148" s="10" t="s">
        <v>40</v>
      </c>
      <c r="U148" s="7"/>
      <c r="V148" s="7"/>
      <c r="W148" s="10" t="s">
        <v>40</v>
      </c>
      <c r="X148" s="7"/>
      <c r="Y148" s="7"/>
      <c r="Z148" s="10" t="s">
        <v>40</v>
      </c>
      <c r="AA148" s="7"/>
      <c r="AB148" s="7"/>
      <c r="AC148" s="10" t="s">
        <v>40</v>
      </c>
      <c r="AD148" s="7"/>
      <c r="AE148" s="7"/>
      <c r="AF148" s="10" t="s">
        <v>40</v>
      </c>
      <c r="AG148" s="7"/>
      <c r="AH148" s="7"/>
      <c r="AI148" s="10" t="s">
        <v>40</v>
      </c>
      <c r="AJ148" s="7"/>
      <c r="AK148" s="7"/>
      <c r="AL148" s="10" t="s">
        <v>40</v>
      </c>
      <c r="AM148" s="7"/>
      <c r="AN148" s="7"/>
      <c r="AO148" s="10" t="s">
        <v>40</v>
      </c>
      <c r="AP148" s="7"/>
      <c r="AQ148" s="7"/>
      <c r="AR148" s="10" t="s">
        <v>40</v>
      </c>
      <c r="AS148" s="7"/>
      <c r="AT148" s="7"/>
      <c r="AU148" s="10" t="s">
        <v>40</v>
      </c>
      <c r="AV148" s="7"/>
      <c r="AW148" s="7"/>
      <c r="AX148" s="10" t="s">
        <v>40</v>
      </c>
      <c r="AY148" s="7"/>
      <c r="AZ148" s="7"/>
      <c r="BA148" s="10" t="s">
        <v>40</v>
      </c>
      <c r="BB148" s="7"/>
      <c r="BC148" s="7"/>
      <c r="BD148" s="10" t="s">
        <v>40</v>
      </c>
      <c r="BE148" s="7"/>
      <c r="BF148" s="7"/>
      <c r="BG148" s="10" t="s">
        <v>40</v>
      </c>
      <c r="BH148" s="7"/>
      <c r="BI148" s="7"/>
      <c r="BJ148" s="10" t="s">
        <v>40</v>
      </c>
      <c r="BK148" s="7"/>
      <c r="BL148" s="7"/>
      <c r="BM148" s="10" t="s">
        <v>40</v>
      </c>
      <c r="BN148" s="7"/>
      <c r="BO148" s="7"/>
      <c r="BP148" s="10" t="s">
        <v>40</v>
      </c>
      <c r="BQ148" s="7"/>
      <c r="BR148" s="7"/>
      <c r="BS148" s="10" t="s">
        <v>40</v>
      </c>
      <c r="BT148" s="7"/>
      <c r="BU148" s="7"/>
      <c r="BV148" s="10" t="s">
        <v>40</v>
      </c>
      <c r="BW148" s="7"/>
      <c r="BX148" s="7"/>
      <c r="BY148" s="10" t="s">
        <v>40</v>
      </c>
      <c r="BZ148" s="7"/>
      <c r="CA148" s="7"/>
      <c r="CB148" s="10" t="s">
        <v>40</v>
      </c>
      <c r="CC148" s="7"/>
      <c r="CD148" s="7"/>
      <c r="CE148" s="10" t="s">
        <v>40</v>
      </c>
      <c r="CF148" s="7"/>
      <c r="CG148" s="7"/>
      <c r="CH148" s="10" t="s">
        <v>40</v>
      </c>
      <c r="CI148" s="7"/>
      <c r="CJ148" s="7"/>
      <c r="CK148" s="10" t="s">
        <v>40</v>
      </c>
      <c r="CL148" s="7"/>
      <c r="CM148" s="7"/>
      <c r="CN148" s="10" t="s">
        <v>40</v>
      </c>
      <c r="CO148" s="7"/>
      <c r="CP148" s="7"/>
      <c r="CQ148" s="10" t="s">
        <v>40</v>
      </c>
      <c r="CR148" s="7"/>
      <c r="CS148" s="7"/>
      <c r="CT148" s="10" t="s">
        <v>40</v>
      </c>
      <c r="CU148" s="7"/>
      <c r="CV148" s="7"/>
      <c r="CW148" s="10" t="s">
        <v>40</v>
      </c>
      <c r="CX148" s="7"/>
      <c r="CY148" s="7"/>
      <c r="CZ148" s="10" t="s">
        <v>40</v>
      </c>
      <c r="DA148" s="7"/>
      <c r="DB148" s="7"/>
      <c r="DC148" s="10" t="s">
        <v>40</v>
      </c>
      <c r="DD148" s="7"/>
      <c r="DE148" s="7"/>
      <c r="DF148" s="10" t="s">
        <v>40</v>
      </c>
      <c r="DG148" s="7"/>
      <c r="DH148" s="7"/>
      <c r="DI148" s="10" t="s">
        <v>40</v>
      </c>
      <c r="DJ148" s="7"/>
      <c r="DK148" s="7"/>
      <c r="DL148" s="10" t="s">
        <v>40</v>
      </c>
      <c r="DM148" s="9"/>
      <c r="DN148" s="9"/>
      <c r="DO148" s="10" t="s">
        <v>40</v>
      </c>
      <c r="DP148" s="7"/>
      <c r="DQ148" s="7"/>
      <c r="DR148" s="10" t="s">
        <v>40</v>
      </c>
      <c r="DS148" s="7"/>
      <c r="DT148" s="7"/>
      <c r="DU148" s="10" t="s">
        <v>40</v>
      </c>
      <c r="DV148" s="7"/>
      <c r="DW148" s="7"/>
      <c r="DX148" s="10" t="s">
        <v>40</v>
      </c>
      <c r="DY148" s="9"/>
      <c r="DZ148" s="9"/>
      <c r="EA148" s="10" t="s">
        <v>40</v>
      </c>
      <c r="EB148" s="7"/>
      <c r="EC148" s="7"/>
      <c r="ED148" s="10" t="s">
        <v>40</v>
      </c>
      <c r="EE148" s="7"/>
      <c r="EF148" s="7"/>
      <c r="EG148" s="10" t="s">
        <v>40</v>
      </c>
      <c r="EH148" s="7"/>
      <c r="EI148" s="7"/>
      <c r="EJ148" s="10" t="s">
        <v>40</v>
      </c>
      <c r="EK148" s="9"/>
      <c r="EL148" s="9"/>
      <c r="EM148" s="10" t="s">
        <v>40</v>
      </c>
      <c r="EN148" s="7"/>
      <c r="EO148" s="7"/>
      <c r="EP148" s="10" t="s">
        <v>40</v>
      </c>
      <c r="EQ148" s="7"/>
      <c r="ER148" s="7"/>
      <c r="ES148" s="10" t="s">
        <v>40</v>
      </c>
      <c r="ET148" s="7"/>
      <c r="EU148" s="7"/>
      <c r="EV148" s="10" t="s">
        <v>40</v>
      </c>
      <c r="EW148" s="9"/>
      <c r="EX148" s="9"/>
      <c r="EY148" s="10" t="s">
        <v>40</v>
      </c>
      <c r="EZ148" s="7"/>
      <c r="FA148" s="7"/>
      <c r="FB148" s="10" t="s">
        <v>40</v>
      </c>
      <c r="FC148" s="7"/>
      <c r="FD148" s="7"/>
      <c r="FE148" s="10" t="s">
        <v>40</v>
      </c>
      <c r="FF148" s="7"/>
      <c r="FG148" s="7"/>
      <c r="FH148" s="10" t="s">
        <v>40</v>
      </c>
      <c r="FI148" s="9"/>
      <c r="FJ148" s="9"/>
      <c r="FK148" s="10" t="s">
        <v>40</v>
      </c>
      <c r="FL148" s="7"/>
      <c r="FM148" s="7"/>
      <c r="FN148" s="10" t="s">
        <v>40</v>
      </c>
      <c r="FO148" s="7"/>
      <c r="FP148" s="7"/>
      <c r="FQ148" s="10" t="s">
        <v>40</v>
      </c>
      <c r="FR148" s="7"/>
      <c r="FS148" s="7"/>
      <c r="FT148" s="10" t="s">
        <v>40</v>
      </c>
      <c r="FU148" s="9"/>
      <c r="FV148" s="9"/>
      <c r="FW148" s="10" t="s">
        <v>40</v>
      </c>
      <c r="FX148" s="7">
        <v>8</v>
      </c>
      <c r="FY148" s="7">
        <v>3000</v>
      </c>
      <c r="FZ148" s="10" t="s">
        <v>40</v>
      </c>
      <c r="GA148" s="7"/>
      <c r="GB148" s="7"/>
      <c r="GC148" s="10" t="s">
        <v>40</v>
      </c>
      <c r="GD148" s="7"/>
      <c r="GE148" s="7"/>
      <c r="GF148" s="10" t="s">
        <v>40</v>
      </c>
      <c r="GG148" s="7"/>
      <c r="GH148" s="7"/>
      <c r="GI148" s="10" t="s">
        <v>40</v>
      </c>
      <c r="GJ148" s="7">
        <v>25</v>
      </c>
      <c r="GK148" s="7">
        <v>2501</v>
      </c>
      <c r="GL148" s="10" t="s">
        <v>40</v>
      </c>
      <c r="GM148" s="7"/>
      <c r="GN148" s="7"/>
      <c r="GO148" s="10" t="s">
        <v>40</v>
      </c>
      <c r="GP148" s="7"/>
      <c r="GQ148" s="7"/>
      <c r="GR148" s="10" t="s">
        <v>40</v>
      </c>
      <c r="GS148" s="7"/>
      <c r="GT148" s="7"/>
      <c r="GU148" s="6" t="s">
        <v>40</v>
      </c>
      <c r="GV148" s="7">
        <v>11</v>
      </c>
      <c r="GW148" s="7">
        <v>1400</v>
      </c>
      <c r="GX148" s="10" t="s">
        <v>40</v>
      </c>
      <c r="GY148" s="7"/>
      <c r="GZ148" s="7"/>
      <c r="HA148" s="10" t="s">
        <v>40</v>
      </c>
      <c r="HB148" s="7"/>
      <c r="HC148" s="7"/>
      <c r="HD148" s="10" t="s">
        <v>40</v>
      </c>
      <c r="HE148" s="7"/>
      <c r="HF148" s="7"/>
      <c r="HG148" s="10" t="s">
        <v>40</v>
      </c>
      <c r="HH148" s="7">
        <v>10</v>
      </c>
      <c r="HI148" s="7">
        <v>1200</v>
      </c>
      <c r="HJ148" s="10" t="s">
        <v>40</v>
      </c>
      <c r="HK148" s="7"/>
      <c r="HL148" s="7"/>
      <c r="HM148" s="10" t="s">
        <v>40</v>
      </c>
      <c r="HN148" s="7"/>
      <c r="HO148" s="7"/>
      <c r="HP148" s="10" t="s">
        <v>40</v>
      </c>
      <c r="HQ148" s="7"/>
      <c r="HR148" s="7"/>
      <c r="HS148" s="10" t="s">
        <v>40</v>
      </c>
      <c r="HT148" s="7">
        <v>12</v>
      </c>
      <c r="HU148" s="7">
        <v>1300</v>
      </c>
      <c r="HV148" s="10" t="s">
        <v>40</v>
      </c>
      <c r="HW148" s="7"/>
      <c r="HX148" s="7"/>
      <c r="HY148" s="10" t="s">
        <v>40</v>
      </c>
      <c r="HZ148" s="7"/>
      <c r="IA148" s="7"/>
      <c r="IB148" s="10" t="s">
        <v>40</v>
      </c>
      <c r="IC148" s="7"/>
      <c r="ID148" s="7"/>
      <c r="IE148" s="6" t="s">
        <v>40</v>
      </c>
      <c r="IF148" s="7">
        <v>23</v>
      </c>
      <c r="IG148" s="7">
        <v>2900</v>
      </c>
    </row>
    <row r="149" spans="1:284" x14ac:dyDescent="0.3">
      <c r="A149" t="s">
        <v>313</v>
      </c>
      <c r="B149" s="10" t="s">
        <v>38</v>
      </c>
      <c r="C149" s="7"/>
      <c r="D149" s="7"/>
      <c r="E149" s="10" t="s">
        <v>38</v>
      </c>
      <c r="F149" s="7"/>
      <c r="G149" s="7"/>
      <c r="H149" s="10" t="s">
        <v>38</v>
      </c>
      <c r="I149" s="7"/>
      <c r="J149" s="7"/>
      <c r="K149" s="10" t="s">
        <v>38</v>
      </c>
      <c r="L149" s="7"/>
      <c r="M149" s="7"/>
      <c r="N149" s="10" t="s">
        <v>38</v>
      </c>
      <c r="O149" s="7"/>
      <c r="P149" s="7"/>
      <c r="Q149" s="10" t="s">
        <v>38</v>
      </c>
      <c r="R149" s="7"/>
      <c r="S149" s="7"/>
      <c r="T149" s="10" t="s">
        <v>38</v>
      </c>
      <c r="U149" s="7"/>
      <c r="V149" s="7"/>
      <c r="W149" s="10" t="s">
        <v>38</v>
      </c>
      <c r="X149" s="7"/>
      <c r="Y149" s="7"/>
      <c r="Z149" s="10" t="s">
        <v>38</v>
      </c>
      <c r="AA149" s="7"/>
      <c r="AB149" s="7"/>
      <c r="AC149" s="10" t="s">
        <v>38</v>
      </c>
      <c r="AD149" s="7"/>
      <c r="AE149" s="7"/>
      <c r="AF149" s="10" t="s">
        <v>38</v>
      </c>
      <c r="AG149" s="7"/>
      <c r="AH149" s="7"/>
      <c r="AI149" s="10" t="s">
        <v>38</v>
      </c>
      <c r="AJ149" s="7"/>
      <c r="AK149" s="7"/>
      <c r="AL149" s="10" t="s">
        <v>38</v>
      </c>
      <c r="AM149" s="7"/>
      <c r="AN149" s="7"/>
      <c r="AO149" s="10" t="s">
        <v>38</v>
      </c>
      <c r="AP149" s="7"/>
      <c r="AQ149" s="7"/>
      <c r="AR149" s="10" t="s">
        <v>38</v>
      </c>
      <c r="AS149" s="7"/>
      <c r="AT149" s="7"/>
      <c r="AU149" s="10" t="s">
        <v>38</v>
      </c>
      <c r="AV149" s="7"/>
      <c r="AW149" s="7"/>
      <c r="AX149" s="10" t="s">
        <v>38</v>
      </c>
      <c r="AY149" s="7"/>
      <c r="AZ149" s="7"/>
      <c r="BA149" s="10" t="s">
        <v>38</v>
      </c>
      <c r="BB149" s="7"/>
      <c r="BC149" s="7"/>
      <c r="BD149" s="10" t="s">
        <v>38</v>
      </c>
      <c r="BE149" s="7"/>
      <c r="BF149" s="7"/>
      <c r="BG149" s="10" t="s">
        <v>38</v>
      </c>
      <c r="BH149" s="7"/>
      <c r="BI149" s="7"/>
      <c r="BJ149" s="10" t="s">
        <v>38</v>
      </c>
      <c r="BK149" s="7"/>
      <c r="BL149" s="7"/>
      <c r="BM149" s="10" t="s">
        <v>38</v>
      </c>
      <c r="BN149" s="7"/>
      <c r="BO149" s="7"/>
      <c r="BP149" s="10" t="s">
        <v>38</v>
      </c>
      <c r="BQ149" s="7"/>
      <c r="BR149" s="7"/>
      <c r="BS149" s="10" t="s">
        <v>38</v>
      </c>
      <c r="BT149" s="7"/>
      <c r="BU149" s="7"/>
      <c r="BV149" s="10" t="s">
        <v>38</v>
      </c>
      <c r="BW149" s="7"/>
      <c r="BX149" s="7"/>
      <c r="BY149" s="10" t="s">
        <v>38</v>
      </c>
      <c r="BZ149" s="7"/>
      <c r="CA149" s="7"/>
      <c r="CB149" s="10" t="s">
        <v>38</v>
      </c>
      <c r="CC149" s="7"/>
      <c r="CD149" s="7"/>
      <c r="CE149" s="10" t="s">
        <v>38</v>
      </c>
      <c r="CF149" s="7"/>
      <c r="CG149" s="7"/>
      <c r="CH149" s="10" t="s">
        <v>38</v>
      </c>
      <c r="CI149" s="7"/>
      <c r="CJ149" s="7"/>
      <c r="CK149" s="10" t="s">
        <v>38</v>
      </c>
      <c r="CL149" s="7"/>
      <c r="CM149" s="7"/>
      <c r="CN149" s="10" t="s">
        <v>38</v>
      </c>
      <c r="CO149" s="7"/>
      <c r="CP149" s="7"/>
      <c r="CQ149" s="10" t="s">
        <v>38</v>
      </c>
      <c r="CR149" s="7"/>
      <c r="CS149" s="7"/>
      <c r="CT149" s="10" t="s">
        <v>38</v>
      </c>
      <c r="CU149" s="7"/>
      <c r="CV149" s="7"/>
      <c r="CW149" s="10" t="s">
        <v>38</v>
      </c>
      <c r="CX149" s="7"/>
      <c r="CY149" s="7"/>
      <c r="CZ149" s="10" t="s">
        <v>38</v>
      </c>
      <c r="DA149" s="7"/>
      <c r="DB149" s="7"/>
      <c r="DC149" s="10" t="s">
        <v>38</v>
      </c>
      <c r="DD149" s="7"/>
      <c r="DE149" s="7"/>
      <c r="DF149" s="10" t="s">
        <v>38</v>
      </c>
      <c r="DG149" s="7"/>
      <c r="DH149" s="7"/>
      <c r="DI149" s="10" t="s">
        <v>38</v>
      </c>
      <c r="DJ149" s="7"/>
      <c r="DK149" s="7"/>
      <c r="DL149" s="10" t="s">
        <v>38</v>
      </c>
      <c r="DM149" s="9"/>
      <c r="DN149" s="9"/>
      <c r="DO149" s="10" t="s">
        <v>38</v>
      </c>
      <c r="DP149" s="7"/>
      <c r="DQ149" s="7"/>
      <c r="DR149" s="10" t="s">
        <v>38</v>
      </c>
      <c r="DS149" s="7"/>
      <c r="DT149" s="7"/>
      <c r="DU149" s="10" t="s">
        <v>38</v>
      </c>
      <c r="DV149" s="7"/>
      <c r="DW149" s="7"/>
      <c r="DX149" s="10" t="s">
        <v>38</v>
      </c>
      <c r="DY149" s="9"/>
      <c r="DZ149" s="9"/>
      <c r="EA149" s="10" t="s">
        <v>38</v>
      </c>
      <c r="EB149" s="7"/>
      <c r="EC149" s="7"/>
      <c r="ED149" s="10" t="s">
        <v>38</v>
      </c>
      <c r="EE149" s="7"/>
      <c r="EF149" s="7"/>
      <c r="EG149" s="10" t="s">
        <v>38</v>
      </c>
      <c r="EH149" s="7"/>
      <c r="EI149" s="7"/>
      <c r="EJ149" s="10" t="s">
        <v>38</v>
      </c>
      <c r="EK149" s="9"/>
      <c r="EL149" s="9"/>
      <c r="EM149" s="10" t="s">
        <v>38</v>
      </c>
      <c r="EN149" s="7"/>
      <c r="EO149" s="7"/>
      <c r="EP149" s="10" t="s">
        <v>38</v>
      </c>
      <c r="EQ149" s="7"/>
      <c r="ER149" s="7"/>
      <c r="ES149" s="10" t="s">
        <v>38</v>
      </c>
      <c r="ET149" s="7"/>
      <c r="EU149" s="7"/>
      <c r="EV149" s="10" t="s">
        <v>38</v>
      </c>
      <c r="EW149" s="9"/>
      <c r="EX149" s="9"/>
      <c r="EY149" s="10" t="s">
        <v>38</v>
      </c>
      <c r="EZ149" s="7"/>
      <c r="FA149" s="7"/>
      <c r="FB149" s="10" t="s">
        <v>38</v>
      </c>
      <c r="FC149" s="7"/>
      <c r="FD149" s="7"/>
      <c r="FE149" s="10" t="s">
        <v>38</v>
      </c>
      <c r="FF149" s="7"/>
      <c r="FG149" s="7"/>
      <c r="FH149" s="10" t="s">
        <v>38</v>
      </c>
      <c r="FI149" s="9"/>
      <c r="FJ149" s="9"/>
      <c r="FK149" s="10" t="s">
        <v>38</v>
      </c>
      <c r="FL149" s="7"/>
      <c r="FM149" s="7"/>
      <c r="FN149" s="10" t="s">
        <v>38</v>
      </c>
      <c r="FO149" s="7"/>
      <c r="FP149" s="7"/>
      <c r="FQ149" s="10" t="s">
        <v>38</v>
      </c>
      <c r="FR149" s="7"/>
      <c r="FS149" s="7"/>
      <c r="FT149" s="10" t="s">
        <v>38</v>
      </c>
      <c r="FU149" s="9">
        <v>10</v>
      </c>
      <c r="FV149" s="9">
        <v>300</v>
      </c>
      <c r="FW149" s="10" t="s">
        <v>38</v>
      </c>
      <c r="FX149" s="7"/>
      <c r="FY149" s="7"/>
      <c r="FZ149" s="10" t="s">
        <v>38</v>
      </c>
      <c r="GA149" s="7"/>
      <c r="GB149" s="7"/>
      <c r="GC149" s="10" t="s">
        <v>38</v>
      </c>
      <c r="GD149" s="7"/>
      <c r="GE149" s="7"/>
      <c r="GF149" s="10" t="s">
        <v>38</v>
      </c>
      <c r="GG149" s="7">
        <v>5</v>
      </c>
      <c r="GH149" s="7">
        <v>150</v>
      </c>
      <c r="GI149" s="10" t="s">
        <v>38</v>
      </c>
      <c r="GJ149" s="7"/>
      <c r="GK149" s="7"/>
      <c r="GL149" s="10" t="s">
        <v>38</v>
      </c>
      <c r="GM149" s="7"/>
      <c r="GN149" s="7"/>
      <c r="GO149" s="6" t="s">
        <v>38</v>
      </c>
      <c r="GP149" s="7"/>
      <c r="GQ149" s="7"/>
      <c r="GR149" s="6" t="s">
        <v>38</v>
      </c>
      <c r="GS149" s="7">
        <v>8</v>
      </c>
      <c r="GT149" s="7">
        <v>500</v>
      </c>
      <c r="GU149" s="10"/>
      <c r="GV149" s="7"/>
      <c r="GW149" s="7"/>
      <c r="GX149" s="10" t="s">
        <v>45</v>
      </c>
      <c r="GY149" s="7"/>
      <c r="GZ149" s="7"/>
      <c r="HA149" s="10" t="s">
        <v>45</v>
      </c>
      <c r="HB149" s="7"/>
      <c r="HC149" s="7"/>
      <c r="HD149" s="10" t="s">
        <v>45</v>
      </c>
      <c r="HE149" s="7">
        <v>6</v>
      </c>
      <c r="HF149" s="7">
        <v>400</v>
      </c>
      <c r="HG149" s="10" t="s">
        <v>45</v>
      </c>
      <c r="HH149" s="7"/>
      <c r="HI149" s="7"/>
      <c r="HJ149" s="10" t="s">
        <v>45</v>
      </c>
      <c r="HK149" s="7"/>
      <c r="HL149" s="7"/>
      <c r="HM149" s="10" t="s">
        <v>45</v>
      </c>
      <c r="HN149" s="7"/>
      <c r="HO149" s="7"/>
      <c r="HP149" s="6" t="s">
        <v>45</v>
      </c>
      <c r="HQ149" s="7">
        <v>10</v>
      </c>
      <c r="HR149" s="7">
        <v>700</v>
      </c>
      <c r="HS149" s="10" t="s">
        <v>38</v>
      </c>
      <c r="HT149" s="7"/>
      <c r="HU149" s="7"/>
      <c r="HV149" s="10" t="s">
        <v>38</v>
      </c>
      <c r="HW149" s="7"/>
      <c r="HX149" s="7"/>
      <c r="HY149" s="6" t="s">
        <v>38</v>
      </c>
      <c r="HZ149" s="7"/>
      <c r="IA149" s="7"/>
      <c r="IB149" s="6" t="s">
        <v>45</v>
      </c>
      <c r="IC149" s="7">
        <v>10</v>
      </c>
      <c r="ID149" s="7">
        <v>500</v>
      </c>
      <c r="IE149" s="10"/>
      <c r="IF149" s="7"/>
      <c r="IG149" s="7"/>
    </row>
    <row r="150" spans="1:284" x14ac:dyDescent="0.3">
      <c r="A150" t="s">
        <v>314</v>
      </c>
      <c r="B150" s="10" t="s">
        <v>45</v>
      </c>
      <c r="C150" s="7"/>
      <c r="D150" s="7"/>
      <c r="E150" s="10" t="s">
        <v>45</v>
      </c>
      <c r="F150" s="7"/>
      <c r="G150" s="7"/>
      <c r="H150" s="10" t="s">
        <v>45</v>
      </c>
      <c r="I150" s="7"/>
      <c r="J150" s="7"/>
      <c r="K150" s="10" t="s">
        <v>45</v>
      </c>
      <c r="L150" s="7"/>
      <c r="M150" s="7"/>
      <c r="N150" s="10" t="s">
        <v>45</v>
      </c>
      <c r="O150" s="7"/>
      <c r="P150" s="7"/>
      <c r="Q150" s="10" t="s">
        <v>45</v>
      </c>
      <c r="R150" s="7"/>
      <c r="S150" s="7"/>
      <c r="T150" s="10" t="s">
        <v>45</v>
      </c>
      <c r="U150" s="7"/>
      <c r="V150" s="7"/>
      <c r="W150" s="10" t="s">
        <v>45</v>
      </c>
      <c r="X150" s="7"/>
      <c r="Y150" s="7"/>
      <c r="Z150" s="10" t="s">
        <v>45</v>
      </c>
      <c r="AA150" s="7"/>
      <c r="AB150" s="7"/>
      <c r="AC150" s="10" t="s">
        <v>45</v>
      </c>
      <c r="AD150" s="7"/>
      <c r="AE150" s="7"/>
      <c r="AF150" s="10" t="s">
        <v>45</v>
      </c>
      <c r="AG150" s="7"/>
      <c r="AH150" s="7"/>
      <c r="AI150" s="10" t="s">
        <v>45</v>
      </c>
      <c r="AJ150" s="7"/>
      <c r="AK150" s="7"/>
      <c r="AL150" s="10" t="s">
        <v>45</v>
      </c>
      <c r="AM150" s="7"/>
      <c r="AN150" s="7"/>
      <c r="AO150" s="10" t="s">
        <v>45</v>
      </c>
      <c r="AP150" s="7"/>
      <c r="AQ150" s="7"/>
      <c r="AR150" s="10" t="s">
        <v>45</v>
      </c>
      <c r="AS150" s="7"/>
      <c r="AT150" s="7"/>
      <c r="AU150" s="10" t="s">
        <v>45</v>
      </c>
      <c r="AV150" s="7"/>
      <c r="AW150" s="7"/>
      <c r="AX150" s="10" t="s">
        <v>45</v>
      </c>
      <c r="AY150" s="7"/>
      <c r="AZ150" s="7"/>
      <c r="BA150" s="10" t="s">
        <v>45</v>
      </c>
      <c r="BB150" s="7"/>
      <c r="BC150" s="7"/>
      <c r="BD150" s="10" t="s">
        <v>45</v>
      </c>
      <c r="BE150" s="7"/>
      <c r="BF150" s="7"/>
      <c r="BG150" s="10" t="s">
        <v>45</v>
      </c>
      <c r="BH150" s="7"/>
      <c r="BI150" s="7"/>
      <c r="BJ150" s="10" t="s">
        <v>45</v>
      </c>
      <c r="BK150" s="7"/>
      <c r="BL150" s="7"/>
      <c r="BM150" s="10" t="s">
        <v>45</v>
      </c>
      <c r="BN150" s="7"/>
      <c r="BO150" s="7"/>
      <c r="BP150" s="10" t="s">
        <v>45</v>
      </c>
      <c r="BQ150" s="7"/>
      <c r="BR150" s="7"/>
      <c r="BS150" s="10" t="s">
        <v>45</v>
      </c>
      <c r="BT150" s="7"/>
      <c r="BU150" s="7"/>
      <c r="BV150" s="10" t="s">
        <v>45</v>
      </c>
      <c r="BW150" s="7"/>
      <c r="BX150" s="7"/>
      <c r="BY150" s="10" t="s">
        <v>45</v>
      </c>
      <c r="BZ150" s="7"/>
      <c r="CA150" s="7"/>
      <c r="CB150" s="10" t="s">
        <v>45</v>
      </c>
      <c r="CC150" s="7"/>
      <c r="CD150" s="7"/>
      <c r="CE150" s="10" t="s">
        <v>45</v>
      </c>
      <c r="CF150" s="7"/>
      <c r="CG150" s="7"/>
      <c r="CH150" s="10" t="s">
        <v>45</v>
      </c>
      <c r="CI150" s="7"/>
      <c r="CJ150" s="7"/>
      <c r="CK150" s="10" t="s">
        <v>45</v>
      </c>
      <c r="CL150" s="7"/>
      <c r="CM150" s="7"/>
      <c r="CN150" s="10" t="s">
        <v>45</v>
      </c>
      <c r="CO150" s="7"/>
      <c r="CP150" s="7"/>
      <c r="CQ150" s="10" t="s">
        <v>45</v>
      </c>
      <c r="CR150" s="7"/>
      <c r="CS150" s="7"/>
      <c r="CT150" s="10" t="s">
        <v>45</v>
      </c>
      <c r="CU150" s="7"/>
      <c r="CV150" s="7"/>
      <c r="CW150" s="10" t="s">
        <v>45</v>
      </c>
      <c r="CX150" s="7"/>
      <c r="CY150" s="7"/>
      <c r="CZ150" s="10" t="s">
        <v>45</v>
      </c>
      <c r="DA150" s="7"/>
      <c r="DB150" s="7"/>
      <c r="DC150" s="10" t="s">
        <v>45</v>
      </c>
      <c r="DD150" s="7"/>
      <c r="DE150" s="7"/>
      <c r="DF150" s="10" t="s">
        <v>45</v>
      </c>
      <c r="DG150" s="7"/>
      <c r="DH150" s="7"/>
      <c r="DI150" s="10" t="s">
        <v>45</v>
      </c>
      <c r="DJ150" s="7"/>
      <c r="DK150" s="7"/>
      <c r="DL150" s="10" t="s">
        <v>45</v>
      </c>
      <c r="DM150" s="9"/>
      <c r="DN150" s="9"/>
      <c r="DO150" s="10" t="s">
        <v>45</v>
      </c>
      <c r="DP150" s="7"/>
      <c r="DQ150" s="7"/>
      <c r="DR150" s="10" t="s">
        <v>45</v>
      </c>
      <c r="DS150" s="7"/>
      <c r="DT150" s="7"/>
      <c r="DU150" s="10" t="s">
        <v>45</v>
      </c>
      <c r="DV150" s="7"/>
      <c r="DW150" s="7"/>
      <c r="DX150" s="10" t="s">
        <v>45</v>
      </c>
      <c r="DY150" s="9"/>
      <c r="DZ150" s="9"/>
      <c r="EA150" s="10" t="s">
        <v>45</v>
      </c>
      <c r="EB150" s="7"/>
      <c r="EC150" s="7"/>
      <c r="ED150" s="10" t="s">
        <v>45</v>
      </c>
      <c r="EE150" s="7"/>
      <c r="EF150" s="7"/>
      <c r="EG150" s="10" t="s">
        <v>45</v>
      </c>
      <c r="EH150" s="7"/>
      <c r="EI150" s="7"/>
      <c r="EJ150" s="10" t="s">
        <v>45</v>
      </c>
      <c r="EK150" s="9"/>
      <c r="EL150" s="9"/>
      <c r="EM150" s="10" t="s">
        <v>45</v>
      </c>
      <c r="EN150" s="7"/>
      <c r="EO150" s="7"/>
      <c r="EP150" s="10" t="s">
        <v>45</v>
      </c>
      <c r="EQ150" s="7"/>
      <c r="ER150" s="7"/>
      <c r="ES150" s="10" t="s">
        <v>45</v>
      </c>
      <c r="ET150" s="7"/>
      <c r="EU150" s="7"/>
      <c r="EV150" s="10" t="s">
        <v>45</v>
      </c>
      <c r="EW150" s="9"/>
      <c r="EX150" s="9"/>
      <c r="EY150" s="10" t="s">
        <v>45</v>
      </c>
      <c r="EZ150" s="7"/>
      <c r="FA150" s="7"/>
      <c r="FB150" s="10" t="s">
        <v>45</v>
      </c>
      <c r="FC150" s="7"/>
      <c r="FD150" s="7"/>
      <c r="FE150" s="10" t="s">
        <v>45</v>
      </c>
      <c r="FF150" s="7"/>
      <c r="FG150" s="7"/>
      <c r="FH150" s="10" t="s">
        <v>45</v>
      </c>
      <c r="FI150" s="9"/>
      <c r="FJ150" s="9"/>
      <c r="FK150" s="10" t="s">
        <v>45</v>
      </c>
      <c r="FL150" s="7"/>
      <c r="FM150" s="7"/>
      <c r="FN150" s="10" t="s">
        <v>45</v>
      </c>
      <c r="FO150" s="7"/>
      <c r="FP150" s="7"/>
      <c r="FQ150" s="10" t="s">
        <v>45</v>
      </c>
      <c r="FR150" s="7"/>
      <c r="FS150" s="7"/>
      <c r="FT150" s="10" t="s">
        <v>45</v>
      </c>
      <c r="FU150" s="9"/>
      <c r="FV150" s="9"/>
      <c r="FW150" s="10" t="s">
        <v>45</v>
      </c>
      <c r="FX150" s="7">
        <v>100</v>
      </c>
      <c r="FY150" s="7">
        <v>2000</v>
      </c>
      <c r="FZ150" s="10" t="s">
        <v>45</v>
      </c>
      <c r="GA150" s="7"/>
      <c r="GB150" s="7"/>
      <c r="GC150" s="10" t="s">
        <v>45</v>
      </c>
      <c r="GD150" s="7"/>
      <c r="GE150" s="7"/>
      <c r="GF150" s="10" t="s">
        <v>45</v>
      </c>
      <c r="GG150" s="7"/>
      <c r="GH150" s="7"/>
      <c r="GI150" s="10" t="s">
        <v>45</v>
      </c>
      <c r="GJ150" s="7">
        <v>492</v>
      </c>
      <c r="GK150" s="7">
        <v>5048</v>
      </c>
      <c r="GL150" s="10" t="s">
        <v>45</v>
      </c>
      <c r="GM150" s="7"/>
      <c r="GN150" s="7"/>
      <c r="GO150" s="10" t="s">
        <v>45</v>
      </c>
      <c r="GP150" s="7"/>
      <c r="GQ150" s="7"/>
      <c r="GR150" s="10" t="s">
        <v>45</v>
      </c>
      <c r="GS150" s="7"/>
      <c r="GT150" s="7"/>
      <c r="GU150" s="6" t="s">
        <v>45</v>
      </c>
      <c r="GV150" s="7">
        <v>687</v>
      </c>
      <c r="GW150" s="7">
        <v>5600</v>
      </c>
      <c r="GX150" s="10" t="s">
        <v>45</v>
      </c>
      <c r="GY150" s="7"/>
      <c r="GZ150" s="7"/>
      <c r="HA150" s="10" t="s">
        <v>45</v>
      </c>
      <c r="HB150" s="7"/>
      <c r="HC150" s="7"/>
      <c r="HD150" s="10" t="s">
        <v>45</v>
      </c>
      <c r="HE150" s="7"/>
      <c r="HF150" s="7"/>
      <c r="HG150" s="10" t="s">
        <v>45</v>
      </c>
      <c r="HH150" s="7">
        <v>800</v>
      </c>
      <c r="HI150" s="7">
        <v>7000</v>
      </c>
      <c r="HJ150" s="10" t="s">
        <v>45</v>
      </c>
      <c r="HK150" s="7"/>
      <c r="HL150" s="7"/>
      <c r="HM150" s="10" t="s">
        <v>45</v>
      </c>
      <c r="HN150" s="7"/>
      <c r="HO150" s="7"/>
      <c r="HP150" s="10" t="s">
        <v>45</v>
      </c>
      <c r="HQ150" s="7"/>
      <c r="HR150" s="7"/>
      <c r="HS150" s="10" t="s">
        <v>45</v>
      </c>
      <c r="HT150" s="7">
        <v>900</v>
      </c>
      <c r="HU150" s="7">
        <v>9000</v>
      </c>
      <c r="HV150" s="10" t="s">
        <v>45</v>
      </c>
      <c r="HW150" s="7"/>
      <c r="HX150" s="7"/>
      <c r="HY150" s="10" t="s">
        <v>45</v>
      </c>
      <c r="HZ150" s="7"/>
      <c r="IA150" s="7"/>
      <c r="IB150" s="10" t="s">
        <v>45</v>
      </c>
      <c r="IC150" s="7"/>
      <c r="ID150" s="7"/>
      <c r="IE150" s="6" t="s">
        <v>45</v>
      </c>
      <c r="IF150" s="7">
        <v>535</v>
      </c>
      <c r="IG150" s="7">
        <v>5400</v>
      </c>
    </row>
    <row r="151" spans="1:284" x14ac:dyDescent="0.3">
      <c r="A151" t="s">
        <v>315</v>
      </c>
      <c r="B151" s="10" t="s">
        <v>40</v>
      </c>
      <c r="C151" s="7"/>
      <c r="D151" s="7"/>
      <c r="E151" s="10" t="s">
        <v>40</v>
      </c>
      <c r="F151" s="7"/>
      <c r="G151" s="7"/>
      <c r="H151" s="10" t="s">
        <v>40</v>
      </c>
      <c r="I151" s="7"/>
      <c r="J151" s="7"/>
      <c r="K151" s="10" t="s">
        <v>40</v>
      </c>
      <c r="L151" s="7"/>
      <c r="M151" s="7"/>
      <c r="N151" s="10" t="s">
        <v>40</v>
      </c>
      <c r="O151" s="7"/>
      <c r="P151" s="7"/>
      <c r="Q151" s="10" t="s">
        <v>40</v>
      </c>
      <c r="R151" s="7"/>
      <c r="S151" s="7"/>
      <c r="T151" s="10" t="s">
        <v>40</v>
      </c>
      <c r="U151" s="7"/>
      <c r="V151" s="7"/>
      <c r="W151" s="10" t="s">
        <v>40</v>
      </c>
      <c r="X151" s="7"/>
      <c r="Y151" s="7"/>
      <c r="Z151" s="10" t="s">
        <v>40</v>
      </c>
      <c r="AA151" s="7"/>
      <c r="AB151" s="7"/>
      <c r="AC151" s="10" t="s">
        <v>40</v>
      </c>
      <c r="AD151" s="7"/>
      <c r="AE151" s="7"/>
      <c r="AF151" s="10" t="s">
        <v>40</v>
      </c>
      <c r="AG151" s="7"/>
      <c r="AH151" s="7"/>
      <c r="AI151" s="10" t="s">
        <v>40</v>
      </c>
      <c r="AJ151" s="7"/>
      <c r="AK151" s="7"/>
      <c r="AL151" s="10" t="s">
        <v>40</v>
      </c>
      <c r="AM151" s="7"/>
      <c r="AN151" s="7"/>
      <c r="AO151" s="10" t="s">
        <v>40</v>
      </c>
      <c r="AP151" s="7"/>
      <c r="AQ151" s="7"/>
      <c r="AR151" s="10" t="s">
        <v>40</v>
      </c>
      <c r="AS151" s="7"/>
      <c r="AT151" s="7"/>
      <c r="AU151" s="10" t="s">
        <v>40</v>
      </c>
      <c r="AV151" s="7"/>
      <c r="AW151" s="7"/>
      <c r="AX151" s="10" t="s">
        <v>40</v>
      </c>
      <c r="AY151" s="7"/>
      <c r="AZ151" s="7"/>
      <c r="BA151" s="10" t="s">
        <v>40</v>
      </c>
      <c r="BB151" s="7"/>
      <c r="BC151" s="7"/>
      <c r="BD151" s="10" t="s">
        <v>40</v>
      </c>
      <c r="BE151" s="7"/>
      <c r="BF151" s="7"/>
      <c r="BG151" s="10" t="s">
        <v>40</v>
      </c>
      <c r="BH151" s="7"/>
      <c r="BI151" s="7"/>
      <c r="BJ151" s="10" t="s">
        <v>40</v>
      </c>
      <c r="BK151" s="7"/>
      <c r="BL151" s="7"/>
      <c r="BM151" s="10" t="s">
        <v>40</v>
      </c>
      <c r="BN151" s="7"/>
      <c r="BO151" s="7"/>
      <c r="BP151" s="10" t="s">
        <v>40</v>
      </c>
      <c r="BQ151" s="7"/>
      <c r="BR151" s="7"/>
      <c r="BS151" s="10" t="s">
        <v>40</v>
      </c>
      <c r="BT151" s="7"/>
      <c r="BU151" s="7"/>
      <c r="BV151" s="10" t="s">
        <v>40</v>
      </c>
      <c r="BW151" s="7"/>
      <c r="BX151" s="7"/>
      <c r="BY151" s="10" t="s">
        <v>40</v>
      </c>
      <c r="BZ151" s="7"/>
      <c r="CA151" s="7"/>
      <c r="CB151" s="10" t="s">
        <v>40</v>
      </c>
      <c r="CC151" s="7"/>
      <c r="CD151" s="7"/>
      <c r="CE151" s="10" t="s">
        <v>40</v>
      </c>
      <c r="CF151" s="7"/>
      <c r="CG151" s="7"/>
      <c r="CH151" s="10" t="s">
        <v>40</v>
      </c>
      <c r="CI151" s="7"/>
      <c r="CJ151" s="7"/>
      <c r="CK151" s="10" t="s">
        <v>40</v>
      </c>
      <c r="CL151" s="7"/>
      <c r="CM151" s="7"/>
      <c r="CN151" s="10" t="s">
        <v>40</v>
      </c>
      <c r="CO151" s="7"/>
      <c r="CP151" s="7"/>
      <c r="CQ151" s="10" t="s">
        <v>40</v>
      </c>
      <c r="CR151" s="7"/>
      <c r="CS151" s="7"/>
      <c r="CT151" s="10" t="s">
        <v>40</v>
      </c>
      <c r="CU151" s="7"/>
      <c r="CV151" s="7"/>
      <c r="CW151" s="10" t="s">
        <v>40</v>
      </c>
      <c r="CX151" s="7"/>
      <c r="CY151" s="7"/>
      <c r="CZ151" s="10" t="s">
        <v>40</v>
      </c>
      <c r="DA151" s="7"/>
      <c r="DB151" s="7"/>
      <c r="DC151" s="10" t="s">
        <v>40</v>
      </c>
      <c r="DD151" s="7"/>
      <c r="DE151" s="7"/>
      <c r="DF151" s="10" t="s">
        <v>40</v>
      </c>
      <c r="DG151" s="7"/>
      <c r="DH151" s="7"/>
      <c r="DI151" s="10" t="s">
        <v>40</v>
      </c>
      <c r="DJ151" s="7"/>
      <c r="DK151" s="7"/>
      <c r="DL151" s="10" t="s">
        <v>40</v>
      </c>
      <c r="DM151" s="9"/>
      <c r="DN151" s="9"/>
      <c r="DO151" s="10" t="s">
        <v>40</v>
      </c>
      <c r="DP151" s="7"/>
      <c r="DQ151" s="7"/>
      <c r="DR151" s="10" t="s">
        <v>40</v>
      </c>
      <c r="DS151" s="7"/>
      <c r="DT151" s="7"/>
      <c r="DU151" s="10" t="s">
        <v>40</v>
      </c>
      <c r="DV151" s="7"/>
      <c r="DW151" s="7"/>
      <c r="DX151" s="10" t="s">
        <v>40</v>
      </c>
      <c r="DY151" s="9"/>
      <c r="DZ151" s="9"/>
      <c r="EA151" s="10" t="s">
        <v>40</v>
      </c>
      <c r="EB151" s="7"/>
      <c r="EC151" s="7"/>
      <c r="ED151" s="10" t="s">
        <v>40</v>
      </c>
      <c r="EE151" s="7"/>
      <c r="EF151" s="7"/>
      <c r="EG151" s="10" t="s">
        <v>40</v>
      </c>
      <c r="EH151" s="7"/>
      <c r="EI151" s="7"/>
      <c r="EJ151" s="10" t="s">
        <v>40</v>
      </c>
      <c r="EK151" s="9"/>
      <c r="EL151" s="9"/>
      <c r="EM151" s="10" t="s">
        <v>40</v>
      </c>
      <c r="EN151" s="7"/>
      <c r="EO151" s="7"/>
      <c r="EP151" s="10" t="s">
        <v>40</v>
      </c>
      <c r="EQ151" s="7"/>
      <c r="ER151" s="7"/>
      <c r="ES151" s="10" t="s">
        <v>40</v>
      </c>
      <c r="ET151" s="7"/>
      <c r="EU151" s="7"/>
      <c r="EV151" s="10" t="s">
        <v>40</v>
      </c>
      <c r="EW151" s="9"/>
      <c r="EX151" s="9"/>
      <c r="EY151" s="10" t="s">
        <v>40</v>
      </c>
      <c r="EZ151" s="7"/>
      <c r="FA151" s="7"/>
      <c r="FB151" s="10" t="s">
        <v>40</v>
      </c>
      <c r="FC151" s="7"/>
      <c r="FD151" s="7"/>
      <c r="FE151" s="10" t="s">
        <v>40</v>
      </c>
      <c r="FF151" s="7"/>
      <c r="FG151" s="7"/>
      <c r="FH151" s="10" t="s">
        <v>40</v>
      </c>
      <c r="FI151" s="9"/>
      <c r="FJ151" s="9"/>
      <c r="FK151" s="10" t="s">
        <v>40</v>
      </c>
      <c r="FL151" s="7"/>
      <c r="FM151" s="7"/>
      <c r="FN151" s="10" t="s">
        <v>40</v>
      </c>
      <c r="FO151" s="7"/>
      <c r="FP151" s="7"/>
      <c r="FQ151" s="10" t="s">
        <v>40</v>
      </c>
      <c r="FR151" s="7"/>
      <c r="FS151" s="7"/>
      <c r="FT151" s="10" t="s">
        <v>40</v>
      </c>
      <c r="FU151" s="9"/>
      <c r="FV151" s="9"/>
      <c r="FW151" s="10" t="s">
        <v>40</v>
      </c>
      <c r="FX151" s="7">
        <v>15</v>
      </c>
      <c r="FY151" s="7">
        <v>1600</v>
      </c>
      <c r="FZ151" s="10" t="s">
        <v>40</v>
      </c>
      <c r="GA151" s="7"/>
      <c r="GB151" s="7"/>
      <c r="GC151" s="10" t="s">
        <v>40</v>
      </c>
      <c r="GD151" s="7"/>
      <c r="GE151" s="7"/>
      <c r="GF151" s="10" t="s">
        <v>40</v>
      </c>
      <c r="GG151" s="7"/>
      <c r="GH151" s="7"/>
      <c r="GI151" s="10" t="s">
        <v>40</v>
      </c>
      <c r="GJ151" s="7">
        <v>20</v>
      </c>
      <c r="GK151" s="7">
        <v>2300</v>
      </c>
      <c r="GL151" s="10" t="s">
        <v>40</v>
      </c>
      <c r="GM151" s="7"/>
      <c r="GN151" s="7"/>
      <c r="GO151" s="10" t="s">
        <v>40</v>
      </c>
      <c r="GP151" s="7"/>
      <c r="GQ151" s="7"/>
      <c r="GR151" s="10" t="s">
        <v>40</v>
      </c>
      <c r="GS151" s="7"/>
      <c r="GT151" s="7"/>
      <c r="GU151" s="6" t="s">
        <v>40</v>
      </c>
      <c r="GV151" s="7">
        <v>15</v>
      </c>
      <c r="GW151" s="7">
        <v>1500</v>
      </c>
      <c r="GX151" s="10" t="s">
        <v>40</v>
      </c>
      <c r="GY151" s="7"/>
      <c r="GZ151" s="7"/>
      <c r="HA151" s="10" t="s">
        <v>40</v>
      </c>
      <c r="HB151" s="7"/>
      <c r="HC151" s="7"/>
      <c r="HD151" s="10" t="s">
        <v>40</v>
      </c>
      <c r="HE151" s="7"/>
      <c r="HF151" s="7"/>
      <c r="HG151" s="10" t="s">
        <v>40</v>
      </c>
      <c r="HH151" s="7">
        <v>17</v>
      </c>
      <c r="HI151" s="7">
        <v>1500</v>
      </c>
      <c r="HJ151" s="10" t="s">
        <v>40</v>
      </c>
      <c r="HK151" s="7"/>
      <c r="HL151" s="7"/>
      <c r="HM151" s="10" t="s">
        <v>40</v>
      </c>
      <c r="HN151" s="7"/>
      <c r="HO151" s="7"/>
      <c r="HP151" s="10" t="s">
        <v>40</v>
      </c>
      <c r="HQ151" s="7"/>
      <c r="HR151" s="7"/>
      <c r="HS151" s="10" t="s">
        <v>40</v>
      </c>
      <c r="HT151" s="7">
        <v>20</v>
      </c>
      <c r="HU151" s="7">
        <v>2000</v>
      </c>
      <c r="HV151" s="10" t="s">
        <v>40</v>
      </c>
      <c r="HW151" s="7"/>
      <c r="HX151" s="7"/>
      <c r="HY151" s="10" t="s">
        <v>40</v>
      </c>
      <c r="HZ151" s="7"/>
      <c r="IA151" s="7"/>
      <c r="IB151" s="10" t="s">
        <v>40</v>
      </c>
      <c r="IC151" s="7"/>
      <c r="ID151" s="7"/>
      <c r="IE151" s="6" t="s">
        <v>40</v>
      </c>
      <c r="IF151" s="7">
        <v>31</v>
      </c>
      <c r="IG151" s="7">
        <v>4200</v>
      </c>
    </row>
    <row r="152" spans="1:284" x14ac:dyDescent="0.3">
      <c r="A152" t="s">
        <v>316</v>
      </c>
      <c r="B152" s="10" t="s">
        <v>45</v>
      </c>
      <c r="C152" s="7"/>
      <c r="D152" s="7"/>
      <c r="E152" s="10" t="s">
        <v>45</v>
      </c>
      <c r="F152" s="7"/>
      <c r="G152" s="7"/>
      <c r="H152" s="10" t="s">
        <v>45</v>
      </c>
      <c r="I152" s="7"/>
      <c r="J152" s="7"/>
      <c r="K152" s="10" t="s">
        <v>45</v>
      </c>
      <c r="L152" s="7"/>
      <c r="M152" s="7"/>
      <c r="N152" s="10" t="s">
        <v>45</v>
      </c>
      <c r="O152" s="7"/>
      <c r="P152" s="7"/>
      <c r="Q152" s="10" t="s">
        <v>45</v>
      </c>
      <c r="R152" s="7"/>
      <c r="S152" s="7"/>
      <c r="T152" s="10" t="s">
        <v>45</v>
      </c>
      <c r="U152" s="7"/>
      <c r="V152" s="7"/>
      <c r="W152" s="10" t="s">
        <v>45</v>
      </c>
      <c r="X152" s="7"/>
      <c r="Y152" s="7"/>
      <c r="Z152" s="10" t="s">
        <v>45</v>
      </c>
      <c r="AA152" s="7"/>
      <c r="AB152" s="7"/>
      <c r="AC152" s="10" t="s">
        <v>45</v>
      </c>
      <c r="AD152" s="7"/>
      <c r="AE152" s="7"/>
      <c r="AF152" s="10" t="s">
        <v>45</v>
      </c>
      <c r="AG152" s="7"/>
      <c r="AH152" s="7"/>
      <c r="AI152" s="10" t="s">
        <v>45</v>
      </c>
      <c r="AJ152" s="7"/>
      <c r="AK152" s="7"/>
      <c r="AL152" s="10" t="s">
        <v>45</v>
      </c>
      <c r="AM152" s="7"/>
      <c r="AN152" s="7"/>
      <c r="AO152" s="10" t="s">
        <v>45</v>
      </c>
      <c r="AP152" s="7"/>
      <c r="AQ152" s="7"/>
      <c r="AR152" s="10" t="s">
        <v>45</v>
      </c>
      <c r="AS152" s="7"/>
      <c r="AT152" s="7"/>
      <c r="AU152" s="10" t="s">
        <v>45</v>
      </c>
      <c r="AV152" s="7"/>
      <c r="AW152" s="7"/>
      <c r="AX152" s="10" t="s">
        <v>45</v>
      </c>
      <c r="AY152" s="7"/>
      <c r="AZ152" s="7"/>
      <c r="BA152" s="10" t="s">
        <v>45</v>
      </c>
      <c r="BB152" s="7"/>
      <c r="BC152" s="7"/>
      <c r="BD152" s="10" t="s">
        <v>45</v>
      </c>
      <c r="BE152" s="7"/>
      <c r="BF152" s="7"/>
      <c r="BG152" s="10" t="s">
        <v>45</v>
      </c>
      <c r="BH152" s="7"/>
      <c r="BI152" s="7"/>
      <c r="BJ152" s="10" t="s">
        <v>45</v>
      </c>
      <c r="BK152" s="7"/>
      <c r="BL152" s="7"/>
      <c r="BM152" s="10" t="s">
        <v>45</v>
      </c>
      <c r="BN152" s="7"/>
      <c r="BO152" s="7"/>
      <c r="BP152" s="10" t="s">
        <v>45</v>
      </c>
      <c r="BQ152" s="7"/>
      <c r="BR152" s="7"/>
      <c r="BS152" s="10" t="s">
        <v>45</v>
      </c>
      <c r="BT152" s="7"/>
      <c r="BU152" s="7"/>
      <c r="BV152" s="10" t="s">
        <v>45</v>
      </c>
      <c r="BW152" s="7"/>
      <c r="BX152" s="7"/>
      <c r="BY152" s="10" t="s">
        <v>45</v>
      </c>
      <c r="BZ152" s="7"/>
      <c r="CA152" s="7"/>
      <c r="CB152" s="10" t="s">
        <v>45</v>
      </c>
      <c r="CC152" s="7"/>
      <c r="CD152" s="7"/>
      <c r="CE152" s="10" t="s">
        <v>45</v>
      </c>
      <c r="CF152" s="7"/>
      <c r="CG152" s="7"/>
      <c r="CH152" s="10" t="s">
        <v>45</v>
      </c>
      <c r="CI152" s="7"/>
      <c r="CJ152" s="7"/>
      <c r="CK152" s="10" t="s">
        <v>45</v>
      </c>
      <c r="CL152" s="7"/>
      <c r="CM152" s="7"/>
      <c r="CN152" s="10" t="s">
        <v>45</v>
      </c>
      <c r="CO152" s="7"/>
      <c r="CP152" s="7"/>
      <c r="CQ152" s="10" t="s">
        <v>45</v>
      </c>
      <c r="CR152" s="7"/>
      <c r="CS152" s="7"/>
      <c r="CT152" s="10" t="s">
        <v>45</v>
      </c>
      <c r="CU152" s="7"/>
      <c r="CV152" s="7"/>
      <c r="CW152" s="10" t="s">
        <v>45</v>
      </c>
      <c r="CX152" s="7"/>
      <c r="CY152" s="7"/>
      <c r="CZ152" s="10" t="s">
        <v>45</v>
      </c>
      <c r="DA152" s="7"/>
      <c r="DB152" s="7"/>
      <c r="DC152" s="10" t="s">
        <v>45</v>
      </c>
      <c r="DD152" s="7"/>
      <c r="DE152" s="7"/>
      <c r="DF152" s="10" t="s">
        <v>45</v>
      </c>
      <c r="DG152" s="7"/>
      <c r="DH152" s="7"/>
      <c r="DI152" s="10" t="s">
        <v>45</v>
      </c>
      <c r="DJ152" s="7"/>
      <c r="DK152" s="7"/>
      <c r="DL152" s="10" t="s">
        <v>45</v>
      </c>
      <c r="DM152" s="9"/>
      <c r="DN152" s="9"/>
      <c r="DO152" s="10" t="s">
        <v>45</v>
      </c>
      <c r="DP152" s="7"/>
      <c r="DQ152" s="7"/>
      <c r="DR152" s="10" t="s">
        <v>45</v>
      </c>
      <c r="DS152" s="7"/>
      <c r="DT152" s="7"/>
      <c r="DU152" s="10" t="s">
        <v>45</v>
      </c>
      <c r="DV152" s="7"/>
      <c r="DW152" s="7"/>
      <c r="DX152" s="10" t="s">
        <v>45</v>
      </c>
      <c r="DY152" s="9"/>
      <c r="DZ152" s="9"/>
      <c r="EA152" s="10" t="s">
        <v>45</v>
      </c>
      <c r="EB152" s="7"/>
      <c r="EC152" s="7"/>
      <c r="ED152" s="10" t="s">
        <v>45</v>
      </c>
      <c r="EE152" s="7"/>
      <c r="EF152" s="7"/>
      <c r="EG152" s="10" t="s">
        <v>45</v>
      </c>
      <c r="EH152" s="7"/>
      <c r="EI152" s="7"/>
      <c r="EJ152" s="10" t="s">
        <v>45</v>
      </c>
      <c r="EK152" s="9"/>
      <c r="EL152" s="9"/>
      <c r="EM152" s="10" t="s">
        <v>45</v>
      </c>
      <c r="EN152" s="7"/>
      <c r="EO152" s="7"/>
      <c r="EP152" s="10" t="s">
        <v>45</v>
      </c>
      <c r="EQ152" s="7"/>
      <c r="ER152" s="7"/>
      <c r="ES152" s="10" t="s">
        <v>45</v>
      </c>
      <c r="ET152" s="7"/>
      <c r="EU152" s="7"/>
      <c r="EV152" s="10" t="s">
        <v>45</v>
      </c>
      <c r="EW152" s="9"/>
      <c r="EX152" s="9"/>
      <c r="EY152" s="10" t="s">
        <v>45</v>
      </c>
      <c r="EZ152" s="7"/>
      <c r="FA152" s="7"/>
      <c r="FB152" s="10" t="s">
        <v>45</v>
      </c>
      <c r="FC152" s="7"/>
      <c r="FD152" s="7"/>
      <c r="FE152" s="10" t="s">
        <v>45</v>
      </c>
      <c r="FF152" s="7"/>
      <c r="FG152" s="7"/>
      <c r="FH152" s="10" t="s">
        <v>45</v>
      </c>
      <c r="FI152" s="9"/>
      <c r="FJ152" s="9"/>
      <c r="FK152" s="10" t="s">
        <v>45</v>
      </c>
      <c r="FL152" s="7"/>
      <c r="FM152" s="7"/>
      <c r="FN152" s="10" t="s">
        <v>45</v>
      </c>
      <c r="FO152" s="7"/>
      <c r="FP152" s="7"/>
      <c r="FQ152" s="10" t="s">
        <v>45</v>
      </c>
      <c r="FR152" s="7"/>
      <c r="FS152" s="7"/>
      <c r="FT152" s="10" t="s">
        <v>45</v>
      </c>
      <c r="FU152" s="9">
        <v>4500</v>
      </c>
      <c r="FV152" s="9">
        <v>10000</v>
      </c>
      <c r="FW152" s="10" t="s">
        <v>45</v>
      </c>
      <c r="FX152" s="7"/>
      <c r="FY152" s="7"/>
      <c r="FZ152" s="10" t="s">
        <v>45</v>
      </c>
      <c r="GA152" s="7"/>
      <c r="GB152" s="7"/>
      <c r="GC152" s="10" t="s">
        <v>45</v>
      </c>
      <c r="GD152" s="7"/>
      <c r="GE152" s="7"/>
      <c r="GF152" s="10" t="s">
        <v>45</v>
      </c>
      <c r="GG152" s="7">
        <v>4000</v>
      </c>
      <c r="GH152" s="7">
        <v>8100</v>
      </c>
      <c r="GI152" s="10" t="s">
        <v>45</v>
      </c>
      <c r="GJ152" s="7"/>
      <c r="GK152" s="7"/>
      <c r="GL152" s="10" t="s">
        <v>45</v>
      </c>
      <c r="GM152" s="7"/>
      <c r="GN152" s="7"/>
      <c r="GO152" s="6" t="s">
        <v>45</v>
      </c>
      <c r="GP152" s="7"/>
      <c r="GQ152" s="7"/>
      <c r="GR152" s="6" t="s">
        <v>45</v>
      </c>
      <c r="GS152" s="7">
        <v>4500</v>
      </c>
      <c r="GT152" s="7">
        <v>5500</v>
      </c>
      <c r="GU152" s="6"/>
      <c r="GV152" s="7"/>
      <c r="GW152" s="7"/>
      <c r="GX152" s="10" t="s">
        <v>45</v>
      </c>
      <c r="GY152" s="7"/>
      <c r="GZ152" s="7"/>
      <c r="HA152" s="10" t="s">
        <v>45</v>
      </c>
      <c r="HB152" s="7"/>
      <c r="HC152" s="7"/>
      <c r="HD152" s="10" t="s">
        <v>45</v>
      </c>
      <c r="HE152" s="7">
        <v>4000</v>
      </c>
      <c r="HF152" s="7">
        <v>6000</v>
      </c>
      <c r="HG152" s="10" t="s">
        <v>45</v>
      </c>
      <c r="HH152" s="7"/>
      <c r="HI152" s="7"/>
      <c r="HJ152" s="10" t="s">
        <v>45</v>
      </c>
      <c r="HK152" s="7"/>
      <c r="HL152" s="7"/>
      <c r="HM152" s="10" t="s">
        <v>45</v>
      </c>
      <c r="HN152" s="7"/>
      <c r="HO152" s="7"/>
      <c r="HP152" s="10" t="s">
        <v>45</v>
      </c>
      <c r="HQ152" s="7">
        <v>3000</v>
      </c>
      <c r="HR152" s="7">
        <v>5000</v>
      </c>
      <c r="HS152" s="10" t="s">
        <v>45</v>
      </c>
      <c r="HT152" s="7"/>
      <c r="HU152" s="7"/>
      <c r="HV152" s="10" t="s">
        <v>45</v>
      </c>
      <c r="HW152" s="7"/>
      <c r="HX152" s="7"/>
      <c r="HY152" s="6" t="s">
        <v>45</v>
      </c>
      <c r="HZ152" s="7"/>
      <c r="IA152" s="7"/>
      <c r="IB152" s="6" t="s">
        <v>45</v>
      </c>
      <c r="IC152" s="7">
        <v>1500</v>
      </c>
      <c r="ID152" s="7">
        <v>2500</v>
      </c>
      <c r="IE152" s="6"/>
      <c r="IF152" s="7"/>
      <c r="IG152" s="7"/>
    </row>
    <row r="153" spans="1:284" x14ac:dyDescent="0.3">
      <c r="A153" t="s">
        <v>317</v>
      </c>
      <c r="B153" s="10" t="s">
        <v>40</v>
      </c>
      <c r="C153" s="7"/>
      <c r="D153" s="7"/>
      <c r="E153" s="10" t="s">
        <v>40</v>
      </c>
      <c r="F153" s="7"/>
      <c r="G153" s="7"/>
      <c r="H153" s="10" t="s">
        <v>40</v>
      </c>
      <c r="I153" s="7"/>
      <c r="J153" s="7"/>
      <c r="K153" s="10" t="s">
        <v>40</v>
      </c>
      <c r="L153" s="7"/>
      <c r="M153" s="7"/>
      <c r="N153" s="10" t="s">
        <v>40</v>
      </c>
      <c r="O153" s="7"/>
      <c r="P153" s="7"/>
      <c r="Q153" s="10" t="s">
        <v>40</v>
      </c>
      <c r="R153" s="7"/>
      <c r="S153" s="7"/>
      <c r="T153" s="10" t="s">
        <v>40</v>
      </c>
      <c r="U153" s="7"/>
      <c r="V153" s="7"/>
      <c r="W153" s="10" t="s">
        <v>40</v>
      </c>
      <c r="X153" s="7"/>
      <c r="Y153" s="7"/>
      <c r="Z153" s="10" t="s">
        <v>40</v>
      </c>
      <c r="AA153" s="7"/>
      <c r="AB153" s="7"/>
      <c r="AC153" s="10" t="s">
        <v>40</v>
      </c>
      <c r="AD153" s="7"/>
      <c r="AE153" s="7"/>
      <c r="AF153" s="10" t="s">
        <v>40</v>
      </c>
      <c r="AG153" s="7"/>
      <c r="AH153" s="7"/>
      <c r="AI153" s="10" t="s">
        <v>40</v>
      </c>
      <c r="AJ153" s="7"/>
      <c r="AK153" s="7"/>
      <c r="AL153" s="10" t="s">
        <v>40</v>
      </c>
      <c r="AM153" s="7"/>
      <c r="AN153" s="7"/>
      <c r="AO153" s="10" t="s">
        <v>40</v>
      </c>
      <c r="AP153" s="7"/>
      <c r="AQ153" s="7"/>
      <c r="AR153" s="10" t="s">
        <v>40</v>
      </c>
      <c r="AS153" s="7"/>
      <c r="AT153" s="7"/>
      <c r="AU153" s="10" t="s">
        <v>40</v>
      </c>
      <c r="AV153" s="7"/>
      <c r="AW153" s="7"/>
      <c r="AX153" s="10" t="s">
        <v>40</v>
      </c>
      <c r="AY153" s="7"/>
      <c r="AZ153" s="7"/>
      <c r="BA153" s="10" t="s">
        <v>40</v>
      </c>
      <c r="BB153" s="7"/>
      <c r="BC153" s="7"/>
      <c r="BD153" s="10" t="s">
        <v>40</v>
      </c>
      <c r="BE153" s="7"/>
      <c r="BF153" s="7"/>
      <c r="BG153" s="10" t="s">
        <v>40</v>
      </c>
      <c r="BH153" s="7"/>
      <c r="BI153" s="7"/>
      <c r="BJ153" s="10" t="s">
        <v>40</v>
      </c>
      <c r="BK153" s="7"/>
      <c r="BL153" s="7"/>
      <c r="BM153" s="10" t="s">
        <v>40</v>
      </c>
      <c r="BN153" s="7"/>
      <c r="BO153" s="7"/>
      <c r="BP153" s="10" t="s">
        <v>40</v>
      </c>
      <c r="BQ153" s="7"/>
      <c r="BR153" s="7"/>
      <c r="BS153" s="10" t="s">
        <v>40</v>
      </c>
      <c r="BT153" s="7"/>
      <c r="BU153" s="7"/>
      <c r="BV153" s="10" t="s">
        <v>40</v>
      </c>
      <c r="BW153" s="7"/>
      <c r="BX153" s="7"/>
      <c r="BY153" s="10" t="s">
        <v>40</v>
      </c>
      <c r="BZ153" s="7"/>
      <c r="CA153" s="7"/>
      <c r="CB153" s="10" t="s">
        <v>40</v>
      </c>
      <c r="CC153" s="7"/>
      <c r="CD153" s="7"/>
      <c r="CE153" s="10" t="s">
        <v>40</v>
      </c>
      <c r="CF153" s="7"/>
      <c r="CG153" s="7"/>
      <c r="CH153" s="10" t="s">
        <v>40</v>
      </c>
      <c r="CI153" s="7"/>
      <c r="CJ153" s="7"/>
      <c r="CK153" s="10" t="s">
        <v>40</v>
      </c>
      <c r="CL153" s="7"/>
      <c r="CM153" s="7"/>
      <c r="CN153" s="10" t="s">
        <v>40</v>
      </c>
      <c r="CO153" s="7"/>
      <c r="CP153" s="7"/>
      <c r="CQ153" s="10" t="s">
        <v>40</v>
      </c>
      <c r="CR153" s="7"/>
      <c r="CS153" s="7"/>
      <c r="CT153" s="10" t="s">
        <v>40</v>
      </c>
      <c r="CU153" s="7"/>
      <c r="CV153" s="7"/>
      <c r="CW153" s="10" t="s">
        <v>40</v>
      </c>
      <c r="CX153" s="7"/>
      <c r="CY153" s="7"/>
      <c r="CZ153" s="10" t="s">
        <v>40</v>
      </c>
      <c r="DA153" s="7"/>
      <c r="DB153" s="7"/>
      <c r="DC153" s="10" t="s">
        <v>40</v>
      </c>
      <c r="DD153" s="7"/>
      <c r="DE153" s="7"/>
      <c r="DF153" s="10" t="s">
        <v>40</v>
      </c>
      <c r="DG153" s="7"/>
      <c r="DH153" s="7"/>
      <c r="DI153" s="10" t="s">
        <v>40</v>
      </c>
      <c r="DJ153" s="7"/>
      <c r="DK153" s="7"/>
      <c r="DL153" s="10" t="s">
        <v>40</v>
      </c>
      <c r="DM153" s="9"/>
      <c r="DN153" s="9"/>
      <c r="DO153" s="10" t="s">
        <v>40</v>
      </c>
      <c r="DP153" s="7"/>
      <c r="DQ153" s="7"/>
      <c r="DR153" s="10" t="s">
        <v>40</v>
      </c>
      <c r="DS153" s="7"/>
      <c r="DT153" s="7"/>
      <c r="DU153" s="10" t="s">
        <v>40</v>
      </c>
      <c r="DV153" s="7"/>
      <c r="DW153" s="7"/>
      <c r="DX153" s="10" t="s">
        <v>40</v>
      </c>
      <c r="DY153" s="9"/>
      <c r="DZ153" s="9"/>
      <c r="EA153" s="10" t="s">
        <v>40</v>
      </c>
      <c r="EB153" s="7"/>
      <c r="EC153" s="7"/>
      <c r="ED153" s="10" t="s">
        <v>40</v>
      </c>
      <c r="EE153" s="7"/>
      <c r="EF153" s="7"/>
      <c r="EG153" s="10" t="s">
        <v>40</v>
      </c>
      <c r="EH153" s="7"/>
      <c r="EI153" s="7"/>
      <c r="EJ153" s="10" t="s">
        <v>40</v>
      </c>
      <c r="EK153" s="9"/>
      <c r="EL153" s="9"/>
      <c r="EM153" s="10" t="s">
        <v>40</v>
      </c>
      <c r="EN153" s="7"/>
      <c r="EO153" s="7"/>
      <c r="EP153" s="10" t="s">
        <v>40</v>
      </c>
      <c r="EQ153" s="7"/>
      <c r="ER153" s="7"/>
      <c r="ES153" s="10" t="s">
        <v>40</v>
      </c>
      <c r="ET153" s="7"/>
      <c r="EU153" s="7"/>
      <c r="EV153" s="10" t="s">
        <v>40</v>
      </c>
      <c r="EW153" s="9"/>
      <c r="EX153" s="9"/>
      <c r="EY153" s="10" t="s">
        <v>40</v>
      </c>
      <c r="EZ153" s="7"/>
      <c r="FA153" s="7"/>
      <c r="FB153" s="10" t="s">
        <v>40</v>
      </c>
      <c r="FC153" s="7"/>
      <c r="FD153" s="7"/>
      <c r="FE153" s="10" t="s">
        <v>40</v>
      </c>
      <c r="FF153" s="7"/>
      <c r="FG153" s="7"/>
      <c r="FH153" s="10" t="s">
        <v>40</v>
      </c>
      <c r="FI153" s="9"/>
      <c r="FJ153" s="9"/>
      <c r="FK153" s="10" t="s">
        <v>40</v>
      </c>
      <c r="FL153" s="7"/>
      <c r="FM153" s="7"/>
      <c r="FN153" s="10" t="s">
        <v>40</v>
      </c>
      <c r="FO153" s="7"/>
      <c r="FP153" s="7"/>
      <c r="FQ153" s="10" t="s">
        <v>40</v>
      </c>
      <c r="FR153" s="7"/>
      <c r="FS153" s="7"/>
      <c r="FT153" s="10" t="s">
        <v>40</v>
      </c>
      <c r="FU153" s="9"/>
      <c r="FV153" s="9"/>
      <c r="FW153" s="10" t="s">
        <v>40</v>
      </c>
      <c r="FX153" s="7">
        <v>450</v>
      </c>
      <c r="FY153" s="7">
        <v>2500</v>
      </c>
      <c r="FZ153" s="10" t="s">
        <v>40</v>
      </c>
      <c r="GA153" s="7"/>
      <c r="GB153" s="7"/>
      <c r="GC153" s="10" t="s">
        <v>40</v>
      </c>
      <c r="GD153" s="7"/>
      <c r="GE153" s="7"/>
      <c r="GF153" s="10" t="s">
        <v>40</v>
      </c>
      <c r="GG153" s="7"/>
      <c r="GH153" s="7"/>
      <c r="GI153" s="6" t="s">
        <v>40</v>
      </c>
      <c r="GJ153" s="7">
        <v>441</v>
      </c>
      <c r="GK153" s="7">
        <v>2850</v>
      </c>
      <c r="GL153" s="10" t="s">
        <v>45</v>
      </c>
      <c r="GM153" s="7"/>
      <c r="GN153" s="7"/>
      <c r="GO153" s="10" t="s">
        <v>45</v>
      </c>
      <c r="GP153" s="7"/>
      <c r="GQ153" s="7"/>
      <c r="GR153" s="10" t="s">
        <v>45</v>
      </c>
      <c r="GS153" s="7"/>
      <c r="GT153" s="7"/>
      <c r="GU153" s="6" t="s">
        <v>45</v>
      </c>
      <c r="GV153" s="7">
        <v>10</v>
      </c>
      <c r="GW153" s="7">
        <v>125</v>
      </c>
      <c r="GX153" s="10" t="s">
        <v>45</v>
      </c>
      <c r="GY153" s="7"/>
      <c r="GZ153" s="7"/>
      <c r="HA153" s="10" t="s">
        <v>45</v>
      </c>
      <c r="HB153" s="7"/>
      <c r="HC153" s="7"/>
      <c r="HD153" s="10" t="s">
        <v>45</v>
      </c>
      <c r="HE153" s="7"/>
      <c r="HF153" s="7"/>
      <c r="HG153" s="10" t="s">
        <v>45</v>
      </c>
      <c r="HH153" s="7">
        <v>12</v>
      </c>
      <c r="HI153" s="7">
        <v>150</v>
      </c>
      <c r="HJ153" s="10" t="s">
        <v>45</v>
      </c>
      <c r="HK153" s="7"/>
      <c r="HL153" s="7"/>
      <c r="HM153" s="10" t="s">
        <v>45</v>
      </c>
      <c r="HN153" s="7"/>
      <c r="HO153" s="7"/>
      <c r="HP153" s="10" t="s">
        <v>45</v>
      </c>
      <c r="HQ153" s="7"/>
      <c r="HR153" s="7"/>
      <c r="HS153" s="10" t="s">
        <v>45</v>
      </c>
      <c r="HT153" s="7">
        <v>700</v>
      </c>
      <c r="HU153" s="7">
        <v>4500</v>
      </c>
      <c r="HV153" s="10" t="s">
        <v>45</v>
      </c>
      <c r="HW153" s="7"/>
      <c r="HX153" s="7"/>
      <c r="HY153" s="10" t="s">
        <v>45</v>
      </c>
      <c r="HZ153" s="7"/>
      <c r="IA153" s="7"/>
      <c r="IB153" s="10" t="s">
        <v>45</v>
      </c>
      <c r="IC153" s="7"/>
      <c r="ID153" s="7"/>
      <c r="IE153" s="6" t="s">
        <v>45</v>
      </c>
      <c r="IF153" s="7"/>
      <c r="IG153" s="7"/>
    </row>
    <row r="154" spans="1:284" x14ac:dyDescent="0.3">
      <c r="A154" s="19" t="s">
        <v>109</v>
      </c>
      <c r="B154" s="10" t="s">
        <v>9</v>
      </c>
      <c r="C154" s="9"/>
      <c r="D154" s="9"/>
      <c r="E154" s="10" t="s">
        <v>9</v>
      </c>
      <c r="F154" s="9"/>
      <c r="G154" s="9"/>
      <c r="H154" s="10" t="s">
        <v>9</v>
      </c>
      <c r="I154" s="7"/>
      <c r="J154" s="7"/>
      <c r="K154" s="10" t="s">
        <v>9</v>
      </c>
      <c r="N154" s="10" t="s">
        <v>9</v>
      </c>
      <c r="O154" s="9"/>
      <c r="P154" s="9"/>
      <c r="Q154" s="10" t="s">
        <v>9</v>
      </c>
      <c r="R154" s="9"/>
      <c r="S154" s="9"/>
      <c r="T154" s="10" t="s">
        <v>9</v>
      </c>
      <c r="U154" s="7"/>
      <c r="V154" s="7"/>
      <c r="W154" s="10" t="s">
        <v>9</v>
      </c>
      <c r="Z154" s="10" t="s">
        <v>9</v>
      </c>
      <c r="AA154" s="9"/>
      <c r="AB154" s="9"/>
      <c r="AC154" s="10" t="s">
        <v>9</v>
      </c>
      <c r="AD154" s="9"/>
      <c r="AE154" s="9"/>
      <c r="AF154" s="10" t="s">
        <v>9</v>
      </c>
      <c r="AG154" s="7"/>
      <c r="AH154" s="7"/>
      <c r="AI154" s="10" t="s">
        <v>9</v>
      </c>
      <c r="AL154" s="10" t="s">
        <v>9</v>
      </c>
      <c r="AM154" s="9"/>
      <c r="AN154" s="9"/>
      <c r="AO154" s="10" t="s">
        <v>9</v>
      </c>
      <c r="AP154" s="9"/>
      <c r="AQ154" s="9"/>
      <c r="AR154" s="10" t="s">
        <v>9</v>
      </c>
      <c r="AS154" s="7"/>
      <c r="AT154" s="7"/>
      <c r="AU154" s="10" t="s">
        <v>9</v>
      </c>
      <c r="AX154" s="10" t="s">
        <v>9</v>
      </c>
      <c r="AY154" s="9"/>
      <c r="AZ154" s="9"/>
      <c r="BA154" s="10" t="s">
        <v>9</v>
      </c>
      <c r="BB154" s="9"/>
      <c r="BC154" s="9"/>
      <c r="BD154" s="10" t="s">
        <v>9</v>
      </c>
      <c r="BE154" s="7"/>
      <c r="BF154" s="7"/>
      <c r="BG154" s="10" t="s">
        <v>9</v>
      </c>
      <c r="BJ154" s="10" t="s">
        <v>9</v>
      </c>
      <c r="BK154" s="9"/>
      <c r="BL154" s="9"/>
      <c r="BM154" s="10" t="s">
        <v>9</v>
      </c>
      <c r="BN154" s="9"/>
      <c r="BO154" s="9"/>
      <c r="BP154" s="10" t="s">
        <v>9</v>
      </c>
      <c r="BQ154" s="7"/>
      <c r="BR154" s="7"/>
      <c r="BS154" s="10" t="s">
        <v>9</v>
      </c>
      <c r="BV154" s="10" t="s">
        <v>9</v>
      </c>
      <c r="BW154" s="9"/>
      <c r="BX154" s="9"/>
      <c r="BY154" s="10" t="s">
        <v>9</v>
      </c>
      <c r="BZ154" s="9"/>
      <c r="CA154" s="9"/>
      <c r="CB154" s="10" t="s">
        <v>9</v>
      </c>
      <c r="CC154" s="7"/>
      <c r="CD154" s="7"/>
      <c r="CE154" s="10" t="s">
        <v>9</v>
      </c>
      <c r="CH154" s="10" t="s">
        <v>9</v>
      </c>
      <c r="CI154" s="9"/>
      <c r="CJ154" s="9"/>
      <c r="CK154" s="10" t="s">
        <v>9</v>
      </c>
      <c r="CL154" s="9"/>
      <c r="CM154" s="9"/>
      <c r="CN154" s="10" t="s">
        <v>9</v>
      </c>
      <c r="CO154" s="7"/>
      <c r="CP154" s="7"/>
      <c r="CQ154" s="10" t="s">
        <v>9</v>
      </c>
      <c r="CT154" s="10" t="s">
        <v>9</v>
      </c>
      <c r="CU154" s="9"/>
      <c r="CV154" s="9"/>
      <c r="CW154" s="10" t="s">
        <v>9</v>
      </c>
      <c r="CX154" s="9"/>
      <c r="CY154" s="9"/>
      <c r="CZ154" s="10" t="s">
        <v>9</v>
      </c>
      <c r="DA154" s="7"/>
      <c r="DB154" s="7"/>
      <c r="DC154" s="10" t="s">
        <v>9</v>
      </c>
      <c r="DF154" s="10" t="s">
        <v>9</v>
      </c>
      <c r="DG154" s="9"/>
      <c r="DH154" s="9"/>
      <c r="DI154" s="10" t="s">
        <v>9</v>
      </c>
      <c r="DJ154" s="9"/>
      <c r="DK154" s="9"/>
      <c r="DL154" s="10" t="s">
        <v>9</v>
      </c>
      <c r="DM154" s="9"/>
      <c r="DN154" s="9"/>
      <c r="DO154" s="10" t="s">
        <v>9</v>
      </c>
      <c r="DR154" s="10" t="s">
        <v>9</v>
      </c>
      <c r="DS154" s="9"/>
      <c r="DT154" s="9"/>
      <c r="DU154" s="10" t="s">
        <v>9</v>
      </c>
      <c r="DV154" s="9"/>
      <c r="DW154" s="9"/>
      <c r="DX154" s="10" t="s">
        <v>9</v>
      </c>
      <c r="DY154" s="9"/>
      <c r="DZ154" s="9"/>
      <c r="EA154" s="10" t="s">
        <v>9</v>
      </c>
      <c r="ED154" s="10" t="s">
        <v>9</v>
      </c>
      <c r="EE154" s="9"/>
      <c r="EF154" s="9"/>
      <c r="EG154" s="10" t="s">
        <v>9</v>
      </c>
      <c r="EH154" s="9"/>
      <c r="EI154" s="9"/>
      <c r="EJ154" s="10" t="s">
        <v>9</v>
      </c>
      <c r="EK154" s="9"/>
      <c r="EL154" s="9"/>
      <c r="EM154" s="10" t="s">
        <v>9</v>
      </c>
      <c r="EP154" s="10" t="s">
        <v>9</v>
      </c>
      <c r="EQ154" s="9"/>
      <c r="ER154" s="9"/>
      <c r="ES154" s="10" t="s">
        <v>9</v>
      </c>
      <c r="ET154" s="9"/>
      <c r="EU154" s="9"/>
      <c r="EV154" s="10" t="s">
        <v>9</v>
      </c>
      <c r="EW154" s="9"/>
      <c r="EX154" s="9"/>
      <c r="EY154" s="10" t="s">
        <v>9</v>
      </c>
      <c r="FB154" s="10" t="s">
        <v>9</v>
      </c>
      <c r="FC154" s="9"/>
      <c r="FD154" s="9"/>
      <c r="FE154" s="10" t="s">
        <v>9</v>
      </c>
      <c r="FF154" s="9"/>
      <c r="FG154" s="9"/>
      <c r="FH154" s="10" t="s">
        <v>9</v>
      </c>
      <c r="FI154" s="9"/>
      <c r="FJ154" s="9"/>
      <c r="FK154" s="10" t="s">
        <v>9</v>
      </c>
      <c r="FN154" s="10" t="s">
        <v>9</v>
      </c>
      <c r="FO154" s="9"/>
      <c r="FP154" s="9"/>
      <c r="FQ154" s="10" t="s">
        <v>9</v>
      </c>
      <c r="FR154" s="9"/>
      <c r="FS154" s="9"/>
      <c r="FT154" s="10" t="s">
        <v>9</v>
      </c>
      <c r="FU154" s="9"/>
      <c r="FV154" s="9"/>
      <c r="FW154" s="10" t="s">
        <v>9</v>
      </c>
      <c r="FX154" s="9"/>
      <c r="FY154" s="9"/>
      <c r="FZ154" s="10" t="s">
        <v>9</v>
      </c>
      <c r="GA154" s="9"/>
      <c r="GB154" s="9"/>
      <c r="GC154" s="10" t="s">
        <v>9</v>
      </c>
      <c r="GD154" s="9"/>
      <c r="GE154" s="9"/>
      <c r="GF154" s="10" t="s">
        <v>9</v>
      </c>
      <c r="GG154" s="9"/>
      <c r="GH154" s="9"/>
      <c r="GI154" s="10" t="s">
        <v>9</v>
      </c>
      <c r="GJ154" s="9"/>
      <c r="GK154" s="9"/>
      <c r="GL154" s="10" t="s">
        <v>9</v>
      </c>
      <c r="GM154" s="7"/>
      <c r="GN154" s="7"/>
      <c r="GO154" s="10" t="s">
        <v>9</v>
      </c>
      <c r="GP154" s="7"/>
      <c r="GQ154" s="7"/>
      <c r="GR154" s="10" t="s">
        <v>9</v>
      </c>
      <c r="GS154" s="7"/>
      <c r="GT154" s="7"/>
      <c r="GU154" t="s">
        <v>9</v>
      </c>
      <c r="GV154" s="9"/>
      <c r="GW154" s="9"/>
      <c r="GX154" s="10" t="s">
        <v>9</v>
      </c>
      <c r="GY154" s="7"/>
      <c r="GZ154" s="7"/>
      <c r="HA154" s="10" t="s">
        <v>9</v>
      </c>
      <c r="HB154" s="7"/>
      <c r="HC154" s="7"/>
      <c r="HD154" s="10" t="s">
        <v>9</v>
      </c>
      <c r="HE154" s="9"/>
      <c r="HF154" s="9"/>
      <c r="HG154" s="10" t="s">
        <v>9</v>
      </c>
      <c r="HH154" s="9"/>
      <c r="HI154" s="9"/>
      <c r="HJ154" s="10" t="s">
        <v>9</v>
      </c>
      <c r="HK154" s="7"/>
      <c r="HL154" s="7"/>
      <c r="HM154" s="10" t="s">
        <v>9</v>
      </c>
      <c r="HN154" s="7"/>
      <c r="HO154" s="7"/>
      <c r="HP154" s="10" t="s">
        <v>9</v>
      </c>
      <c r="HQ154" s="9"/>
      <c r="HR154" s="9"/>
      <c r="HS154" s="10" t="s">
        <v>9</v>
      </c>
      <c r="HT154" s="9"/>
      <c r="HU154" s="9"/>
      <c r="HV154" s="10" t="s">
        <v>9</v>
      </c>
      <c r="HW154" s="7"/>
      <c r="HX154" s="7"/>
      <c r="HY154" s="10" t="s">
        <v>9</v>
      </c>
      <c r="HZ154" s="7"/>
      <c r="IA154" s="7"/>
      <c r="IB154" s="10" t="s">
        <v>9</v>
      </c>
      <c r="IC154" s="9"/>
      <c r="ID154" s="9"/>
      <c r="IE154" t="s">
        <v>9</v>
      </c>
      <c r="IF154" s="9"/>
      <c r="IG154" s="9"/>
      <c r="IH154" t="s">
        <v>9</v>
      </c>
      <c r="II154" s="9">
        <f>1458+88</f>
        <v>1546</v>
      </c>
      <c r="IJ154" s="9">
        <f>243000+11000</f>
        <v>254000</v>
      </c>
      <c r="IK154" s="9">
        <f>1542+80</f>
        <v>1622</v>
      </c>
      <c r="IL154" s="9">
        <f>257000+10000</f>
        <v>267000</v>
      </c>
      <c r="IM154" s="9">
        <f>1620+192</f>
        <v>1812</v>
      </c>
      <c r="IN154" s="9">
        <f>270000+24000</f>
        <v>294000</v>
      </c>
      <c r="IO154" t="s">
        <v>9</v>
      </c>
      <c r="IP154" s="9">
        <f>1500+225</f>
        <v>1725</v>
      </c>
      <c r="IQ154" s="9">
        <f>255000+27000</f>
        <v>282000</v>
      </c>
      <c r="IR154" s="9">
        <f>1200+450</f>
        <v>1650</v>
      </c>
      <c r="IS154" s="9">
        <f>200000+48000</f>
        <v>248000</v>
      </c>
      <c r="IT154" s="9">
        <f>(1/100)*(100000+480)</f>
        <v>1004.8000000000001</v>
      </c>
      <c r="IU154" s="9">
        <f>184000+40000</f>
        <v>224000</v>
      </c>
      <c r="IV154" s="9">
        <f>(1/100)*(228600+477)</f>
        <v>2290.77</v>
      </c>
      <c r="IW154" s="7">
        <f>372160+593</f>
        <v>372753</v>
      </c>
      <c r="IX154" s="9">
        <f>(1/100)*(149833+37967)</f>
        <v>1878</v>
      </c>
      <c r="IY154" s="9">
        <f>243928+47200</f>
        <v>291128</v>
      </c>
      <c r="IZ154" s="9">
        <f>(1/100)*(132200+43400)</f>
        <v>1756</v>
      </c>
      <c r="JA154" s="9">
        <f>235800+52400</f>
        <v>288200</v>
      </c>
      <c r="JB154" s="9">
        <f>(1/100)*(140500+56200)</f>
        <v>1967</v>
      </c>
      <c r="JC154" s="7">
        <f>255800+72600</f>
        <v>328400</v>
      </c>
      <c r="JD154" s="10" t="s">
        <v>9</v>
      </c>
      <c r="JE154" s="7">
        <f>(1/100)*(112500+150000)</f>
        <v>2625</v>
      </c>
      <c r="JF154" s="7">
        <f>123000+300000</f>
        <v>423000</v>
      </c>
      <c r="JG154" t="s">
        <v>9</v>
      </c>
      <c r="JH154" s="7">
        <v>2700</v>
      </c>
      <c r="JI154" s="7">
        <v>49000</v>
      </c>
      <c r="JJ154" s="7">
        <v>3277</v>
      </c>
      <c r="JK154" s="7">
        <v>54300</v>
      </c>
      <c r="JL154" s="7">
        <v>2447</v>
      </c>
      <c r="JM154" s="7">
        <v>41633</v>
      </c>
      <c r="JN154" t="s">
        <v>9</v>
      </c>
      <c r="JO154" s="7">
        <v>3667</v>
      </c>
      <c r="JP154" s="7">
        <v>62965</v>
      </c>
      <c r="JQ154" s="7">
        <v>3667</v>
      </c>
      <c r="JR154" s="7">
        <v>62007</v>
      </c>
      <c r="JS154" t="s">
        <v>9</v>
      </c>
      <c r="JT154" s="7"/>
      <c r="JU154" s="7"/>
      <c r="JV154" s="7">
        <v>3301</v>
      </c>
      <c r="JW154" s="7">
        <v>46323</v>
      </c>
      <c r="JX154" s="7"/>
    </row>
    <row r="155" spans="1:284" x14ac:dyDescent="0.3">
      <c r="A155" t="s">
        <v>318</v>
      </c>
      <c r="B155" s="10" t="s">
        <v>45</v>
      </c>
      <c r="C155" s="9"/>
      <c r="D155" s="9"/>
      <c r="E155" s="10" t="s">
        <v>45</v>
      </c>
      <c r="F155" s="9"/>
      <c r="G155" s="9"/>
      <c r="H155" s="10" t="s">
        <v>45</v>
      </c>
      <c r="I155" s="7"/>
      <c r="J155" s="7"/>
      <c r="K155" s="10" t="s">
        <v>45</v>
      </c>
      <c r="L155" s="9"/>
      <c r="M155" s="9"/>
      <c r="N155" s="10" t="s">
        <v>45</v>
      </c>
      <c r="O155" s="9"/>
      <c r="P155" s="9"/>
      <c r="Q155" s="10" t="s">
        <v>45</v>
      </c>
      <c r="R155" s="9"/>
      <c r="S155" s="9"/>
      <c r="T155" s="10" t="s">
        <v>45</v>
      </c>
      <c r="U155" s="7"/>
      <c r="V155" s="7"/>
      <c r="W155" s="10" t="s">
        <v>45</v>
      </c>
      <c r="X155" s="9"/>
      <c r="Y155" s="9"/>
      <c r="Z155" s="10" t="s">
        <v>45</v>
      </c>
      <c r="AA155" s="9"/>
      <c r="AB155" s="9"/>
      <c r="AC155" s="10" t="s">
        <v>45</v>
      </c>
      <c r="AD155" s="9"/>
      <c r="AE155" s="9"/>
      <c r="AF155" s="10" t="s">
        <v>45</v>
      </c>
      <c r="AG155" s="7"/>
      <c r="AH155" s="7"/>
      <c r="AI155" s="10" t="s">
        <v>45</v>
      </c>
      <c r="AJ155" s="9"/>
      <c r="AK155" s="9"/>
      <c r="AL155" s="10" t="s">
        <v>45</v>
      </c>
      <c r="AM155" s="9"/>
      <c r="AN155" s="9"/>
      <c r="AO155" s="10" t="s">
        <v>45</v>
      </c>
      <c r="AP155" s="9"/>
      <c r="AQ155" s="9"/>
      <c r="AR155" s="10" t="s">
        <v>45</v>
      </c>
      <c r="AS155" s="7"/>
      <c r="AT155" s="7"/>
      <c r="AU155" s="10" t="s">
        <v>45</v>
      </c>
      <c r="AV155" s="9"/>
      <c r="AW155" s="9"/>
      <c r="AX155" s="10" t="s">
        <v>45</v>
      </c>
      <c r="AY155" s="9"/>
      <c r="AZ155" s="9"/>
      <c r="BA155" s="10" t="s">
        <v>45</v>
      </c>
      <c r="BB155" s="9"/>
      <c r="BC155" s="9"/>
      <c r="BD155" s="10" t="s">
        <v>45</v>
      </c>
      <c r="BE155" s="7"/>
      <c r="BF155" s="7"/>
      <c r="BG155" s="10" t="s">
        <v>45</v>
      </c>
      <c r="BH155" s="9"/>
      <c r="BI155" s="9"/>
      <c r="BJ155" s="10" t="s">
        <v>45</v>
      </c>
      <c r="BK155" s="9"/>
      <c r="BL155" s="9"/>
      <c r="BM155" s="10" t="s">
        <v>45</v>
      </c>
      <c r="BN155" s="9"/>
      <c r="BO155" s="9"/>
      <c r="BP155" s="10" t="s">
        <v>45</v>
      </c>
      <c r="BQ155" s="7"/>
      <c r="BR155" s="7"/>
      <c r="BS155" s="10" t="s">
        <v>45</v>
      </c>
      <c r="BT155" s="9"/>
      <c r="BU155" s="9"/>
      <c r="BV155" s="10" t="s">
        <v>45</v>
      </c>
      <c r="BW155" s="9"/>
      <c r="BX155" s="9"/>
      <c r="BY155" s="10" t="s">
        <v>45</v>
      </c>
      <c r="BZ155" s="9"/>
      <c r="CA155" s="9"/>
      <c r="CB155" s="10" t="s">
        <v>45</v>
      </c>
      <c r="CC155" s="7"/>
      <c r="CD155" s="7"/>
      <c r="CE155" s="10" t="s">
        <v>45</v>
      </c>
      <c r="CF155" s="9"/>
      <c r="CG155" s="9"/>
      <c r="CH155" s="10" t="s">
        <v>45</v>
      </c>
      <c r="CI155" s="9"/>
      <c r="CJ155" s="9"/>
      <c r="CK155" s="10" t="s">
        <v>45</v>
      </c>
      <c r="CL155" s="9"/>
      <c r="CM155" s="9"/>
      <c r="CN155" s="10" t="s">
        <v>45</v>
      </c>
      <c r="CO155" s="7"/>
      <c r="CP155" s="7"/>
      <c r="CQ155" s="10" t="s">
        <v>45</v>
      </c>
      <c r="CR155" s="9"/>
      <c r="CS155" s="9"/>
      <c r="CT155" s="10" t="s">
        <v>45</v>
      </c>
      <c r="CU155" s="9"/>
      <c r="CV155" s="9"/>
      <c r="CW155" s="10" t="s">
        <v>45</v>
      </c>
      <c r="CX155" s="9"/>
      <c r="CY155" s="9"/>
      <c r="CZ155" s="10" t="s">
        <v>45</v>
      </c>
      <c r="DA155" s="7"/>
      <c r="DB155" s="7"/>
      <c r="DC155" s="10" t="s">
        <v>45</v>
      </c>
      <c r="DD155" s="9"/>
      <c r="DE155" s="9"/>
      <c r="DF155" s="10" t="s">
        <v>45</v>
      </c>
      <c r="DG155" s="9"/>
      <c r="DH155" s="9"/>
      <c r="DI155" s="10" t="s">
        <v>45</v>
      </c>
      <c r="DJ155" s="9"/>
      <c r="DK155" s="9"/>
      <c r="DL155" s="10" t="s">
        <v>45</v>
      </c>
      <c r="DM155" s="9"/>
      <c r="DN155" s="9"/>
      <c r="DO155" s="10" t="s">
        <v>45</v>
      </c>
      <c r="DP155" s="9"/>
      <c r="DQ155" s="9"/>
      <c r="DR155" s="10" t="s">
        <v>45</v>
      </c>
      <c r="DS155" s="9"/>
      <c r="DT155" s="9"/>
      <c r="DU155" s="10" t="s">
        <v>45</v>
      </c>
      <c r="DV155" s="9"/>
      <c r="DW155" s="9"/>
      <c r="DX155" s="10" t="s">
        <v>45</v>
      </c>
      <c r="DY155" s="9"/>
      <c r="DZ155" s="9"/>
      <c r="EA155" s="10" t="s">
        <v>45</v>
      </c>
      <c r="EB155" s="9"/>
      <c r="EC155" s="9"/>
      <c r="ED155" s="10" t="s">
        <v>45</v>
      </c>
      <c r="EE155" s="9"/>
      <c r="EF155" s="9"/>
      <c r="EG155" s="10" t="s">
        <v>45</v>
      </c>
      <c r="EH155" s="9"/>
      <c r="EI155" s="9"/>
      <c r="EJ155" s="10" t="s">
        <v>45</v>
      </c>
      <c r="EK155" s="9"/>
      <c r="EL155" s="9"/>
      <c r="EM155" s="10" t="s">
        <v>45</v>
      </c>
      <c r="EN155" s="9"/>
      <c r="EO155" s="9"/>
      <c r="EP155" s="10" t="s">
        <v>45</v>
      </c>
      <c r="EQ155" s="9"/>
      <c r="ER155" s="9"/>
      <c r="ES155" s="10" t="s">
        <v>45</v>
      </c>
      <c r="ET155" s="9"/>
      <c r="EU155" s="9"/>
      <c r="EV155" s="10" t="s">
        <v>45</v>
      </c>
      <c r="EW155" s="9"/>
      <c r="EX155" s="9"/>
      <c r="EY155" s="10" t="s">
        <v>45</v>
      </c>
      <c r="EZ155" s="9"/>
      <c r="FA155" s="9"/>
      <c r="FB155" s="10" t="s">
        <v>45</v>
      </c>
      <c r="FC155" s="9"/>
      <c r="FD155" s="9"/>
      <c r="FE155" s="10" t="s">
        <v>45</v>
      </c>
      <c r="FF155" s="9"/>
      <c r="FG155" s="9"/>
      <c r="FH155" s="10" t="s">
        <v>45</v>
      </c>
      <c r="FI155" s="9"/>
      <c r="FJ155" s="9"/>
      <c r="FK155" s="10" t="s">
        <v>45</v>
      </c>
      <c r="FL155" s="9"/>
      <c r="FM155" s="9"/>
      <c r="FN155" s="10" t="s">
        <v>45</v>
      </c>
      <c r="FO155" s="9"/>
      <c r="FP155" s="9"/>
      <c r="FQ155" s="10" t="s">
        <v>45</v>
      </c>
      <c r="FR155" s="9"/>
      <c r="FS155" s="9"/>
      <c r="FT155" s="10" t="s">
        <v>45</v>
      </c>
      <c r="FU155" s="9"/>
      <c r="FV155" s="9"/>
      <c r="FW155" s="10" t="s">
        <v>45</v>
      </c>
      <c r="FX155" s="9">
        <v>150</v>
      </c>
      <c r="FY155" s="9">
        <v>700</v>
      </c>
      <c r="FZ155" s="10" t="s">
        <v>45</v>
      </c>
      <c r="GA155" s="9"/>
      <c r="GB155" s="9"/>
      <c r="GC155" s="10" t="s">
        <v>45</v>
      </c>
      <c r="GD155" s="9"/>
      <c r="GE155" s="9"/>
      <c r="GF155" s="10" t="s">
        <v>45</v>
      </c>
      <c r="GG155" s="9"/>
      <c r="GH155" s="9"/>
      <c r="GI155" s="10" t="s">
        <v>45</v>
      </c>
      <c r="GJ155" s="9">
        <v>48</v>
      </c>
      <c r="GK155" s="9">
        <v>305</v>
      </c>
      <c r="GL155" s="10" t="s">
        <v>45</v>
      </c>
      <c r="GM155" s="7"/>
      <c r="GN155" s="7"/>
      <c r="GO155" s="10" t="s">
        <v>45</v>
      </c>
      <c r="GP155" s="7"/>
      <c r="GQ155" s="7"/>
      <c r="GR155" s="10" t="s">
        <v>45</v>
      </c>
      <c r="GS155" s="7"/>
      <c r="GT155" s="7"/>
      <c r="GU155" s="6" t="s">
        <v>45</v>
      </c>
      <c r="GV155" s="9">
        <v>300</v>
      </c>
      <c r="GW155" s="9">
        <v>750</v>
      </c>
      <c r="GX155" s="10" t="s">
        <v>45</v>
      </c>
      <c r="GY155" s="7"/>
      <c r="GZ155" s="7"/>
      <c r="HA155" s="10" t="s">
        <v>45</v>
      </c>
      <c r="HB155" s="7"/>
      <c r="HC155" s="7"/>
      <c r="HD155" s="10" t="s">
        <v>45</v>
      </c>
      <c r="HE155" s="9"/>
      <c r="HF155" s="9"/>
      <c r="HG155" s="10" t="s">
        <v>45</v>
      </c>
      <c r="HH155" s="9">
        <v>250</v>
      </c>
      <c r="HI155" s="9">
        <v>700</v>
      </c>
      <c r="HJ155" s="10" t="s">
        <v>45</v>
      </c>
      <c r="HK155" s="7"/>
      <c r="HL155" s="7"/>
      <c r="HM155" s="10" t="s">
        <v>45</v>
      </c>
      <c r="HN155" s="7"/>
      <c r="HO155" s="7"/>
      <c r="HP155" s="10" t="s">
        <v>45</v>
      </c>
      <c r="HQ155" s="9"/>
      <c r="HR155" s="9"/>
      <c r="HS155" s="10" t="s">
        <v>45</v>
      </c>
      <c r="HT155" s="9">
        <v>290</v>
      </c>
      <c r="HU155" s="9">
        <v>750</v>
      </c>
      <c r="HV155" s="10" t="s">
        <v>45</v>
      </c>
      <c r="HW155" s="7"/>
      <c r="HX155" s="7"/>
      <c r="HY155" s="10" t="s">
        <v>45</v>
      </c>
      <c r="HZ155" s="7"/>
      <c r="IA155" s="7"/>
      <c r="IB155" s="10" t="s">
        <v>45</v>
      </c>
      <c r="IC155" s="9"/>
      <c r="ID155" s="9"/>
      <c r="IE155" s="6" t="s">
        <v>45</v>
      </c>
      <c r="IF155" s="9">
        <v>537</v>
      </c>
      <c r="IG155" s="9">
        <v>3570</v>
      </c>
      <c r="II155" s="9"/>
      <c r="IJ155" s="9"/>
      <c r="IK155" s="9"/>
      <c r="IL155" s="9"/>
      <c r="IM155" s="9"/>
      <c r="IN155" s="9"/>
      <c r="IP155" s="9"/>
      <c r="IQ155" s="9"/>
      <c r="IR155" s="9"/>
      <c r="IS155" s="9"/>
      <c r="IT155" s="9"/>
      <c r="IU155" s="9"/>
      <c r="IV155" s="9"/>
      <c r="IW155" s="7"/>
      <c r="IX155" s="9"/>
      <c r="IY155" s="9"/>
      <c r="IZ155" s="9"/>
      <c r="JA155" s="9"/>
      <c r="JB155" s="9"/>
      <c r="JC155" s="7"/>
      <c r="JE155" s="7"/>
      <c r="JF155" s="7"/>
      <c r="JH155" s="7"/>
      <c r="JI155" s="7"/>
      <c r="JJ155" s="7"/>
      <c r="JK155" s="7"/>
      <c r="JL155" s="7"/>
      <c r="JM155" s="7"/>
      <c r="JO155" s="7"/>
      <c r="JP155" s="7"/>
      <c r="JQ155" s="7"/>
      <c r="JR155" s="7"/>
      <c r="JT155" s="7"/>
      <c r="JU155" s="7"/>
      <c r="JV155" s="7"/>
      <c r="JW155" s="7"/>
      <c r="JX155" s="7"/>
    </row>
    <row r="156" spans="1:284" x14ac:dyDescent="0.3">
      <c r="A156" t="s">
        <v>319</v>
      </c>
      <c r="B156" s="10" t="s">
        <v>40</v>
      </c>
      <c r="C156" s="9"/>
      <c r="D156" s="9"/>
      <c r="E156" s="10" t="s">
        <v>40</v>
      </c>
      <c r="F156" s="9"/>
      <c r="G156" s="9"/>
      <c r="H156" s="10" t="s">
        <v>40</v>
      </c>
      <c r="I156" s="7"/>
      <c r="J156" s="7"/>
      <c r="K156" s="10" t="s">
        <v>40</v>
      </c>
      <c r="L156" s="9"/>
      <c r="M156" s="9"/>
      <c r="N156" s="10" t="s">
        <v>40</v>
      </c>
      <c r="O156" s="9"/>
      <c r="P156" s="9"/>
      <c r="Q156" s="10" t="s">
        <v>40</v>
      </c>
      <c r="R156" s="9"/>
      <c r="S156" s="9"/>
      <c r="T156" s="10" t="s">
        <v>40</v>
      </c>
      <c r="U156" s="7"/>
      <c r="V156" s="7"/>
      <c r="W156" s="10" t="s">
        <v>40</v>
      </c>
      <c r="X156" s="9"/>
      <c r="Y156" s="9"/>
      <c r="Z156" s="10" t="s">
        <v>40</v>
      </c>
      <c r="AA156" s="9"/>
      <c r="AB156" s="9"/>
      <c r="AC156" s="10" t="s">
        <v>40</v>
      </c>
      <c r="AD156" s="9"/>
      <c r="AE156" s="9"/>
      <c r="AF156" s="10" t="s">
        <v>40</v>
      </c>
      <c r="AG156" s="7"/>
      <c r="AH156" s="7"/>
      <c r="AI156" s="10" t="s">
        <v>40</v>
      </c>
      <c r="AJ156" s="9"/>
      <c r="AK156" s="9"/>
      <c r="AL156" s="10" t="s">
        <v>40</v>
      </c>
      <c r="AM156" s="9"/>
      <c r="AN156" s="9"/>
      <c r="AO156" s="10" t="s">
        <v>40</v>
      </c>
      <c r="AP156" s="9"/>
      <c r="AQ156" s="9"/>
      <c r="AR156" s="10" t="s">
        <v>40</v>
      </c>
      <c r="AS156" s="7"/>
      <c r="AT156" s="7"/>
      <c r="AU156" s="10" t="s">
        <v>40</v>
      </c>
      <c r="AV156" s="9"/>
      <c r="AW156" s="9"/>
      <c r="AX156" s="10" t="s">
        <v>40</v>
      </c>
      <c r="AY156" s="9"/>
      <c r="AZ156" s="9"/>
      <c r="BA156" s="10" t="s">
        <v>40</v>
      </c>
      <c r="BB156" s="9"/>
      <c r="BC156" s="9"/>
      <c r="BD156" s="10" t="s">
        <v>40</v>
      </c>
      <c r="BE156" s="7"/>
      <c r="BF156" s="7"/>
      <c r="BG156" s="10" t="s">
        <v>40</v>
      </c>
      <c r="BH156" s="9"/>
      <c r="BI156" s="9"/>
      <c r="BJ156" s="10" t="s">
        <v>40</v>
      </c>
      <c r="BK156" s="9"/>
      <c r="BL156" s="9"/>
      <c r="BM156" s="10" t="s">
        <v>40</v>
      </c>
      <c r="BN156" s="9"/>
      <c r="BO156" s="9"/>
      <c r="BP156" s="10" t="s">
        <v>40</v>
      </c>
      <c r="BQ156" s="7"/>
      <c r="BR156" s="7"/>
      <c r="BS156" s="10" t="s">
        <v>40</v>
      </c>
      <c r="BT156" s="9"/>
      <c r="BU156" s="9"/>
      <c r="BV156" s="10" t="s">
        <v>40</v>
      </c>
      <c r="BW156" s="9"/>
      <c r="BX156" s="9"/>
      <c r="BY156" s="10" t="s">
        <v>40</v>
      </c>
      <c r="BZ156" s="9"/>
      <c r="CA156" s="9"/>
      <c r="CB156" s="10" t="s">
        <v>40</v>
      </c>
      <c r="CC156" s="7"/>
      <c r="CD156" s="7"/>
      <c r="CE156" s="10" t="s">
        <v>40</v>
      </c>
      <c r="CF156" s="9"/>
      <c r="CG156" s="9"/>
      <c r="CH156" s="10" t="s">
        <v>40</v>
      </c>
      <c r="CI156" s="9"/>
      <c r="CJ156" s="9"/>
      <c r="CK156" s="10" t="s">
        <v>40</v>
      </c>
      <c r="CL156" s="9"/>
      <c r="CM156" s="9"/>
      <c r="CN156" s="10" t="s">
        <v>40</v>
      </c>
      <c r="CO156" s="7"/>
      <c r="CP156" s="7"/>
      <c r="CQ156" s="10" t="s">
        <v>40</v>
      </c>
      <c r="CR156" s="9"/>
      <c r="CS156" s="9"/>
      <c r="CT156" s="10" t="s">
        <v>40</v>
      </c>
      <c r="CU156" s="9"/>
      <c r="CV156" s="9"/>
      <c r="CW156" s="10" t="s">
        <v>40</v>
      </c>
      <c r="CX156" s="9"/>
      <c r="CY156" s="9"/>
      <c r="CZ156" s="10" t="s">
        <v>40</v>
      </c>
      <c r="DA156" s="7"/>
      <c r="DB156" s="7"/>
      <c r="DC156" s="10" t="s">
        <v>40</v>
      </c>
      <c r="DD156" s="9"/>
      <c r="DE156" s="9"/>
      <c r="DF156" s="10" t="s">
        <v>40</v>
      </c>
      <c r="DG156" s="9"/>
      <c r="DH156" s="9"/>
      <c r="DI156" s="10" t="s">
        <v>40</v>
      </c>
      <c r="DJ156" s="9"/>
      <c r="DK156" s="9"/>
      <c r="DL156" s="10" t="s">
        <v>40</v>
      </c>
      <c r="DM156" s="9"/>
      <c r="DN156" s="9"/>
      <c r="DO156" s="10" t="s">
        <v>40</v>
      </c>
      <c r="DP156" s="9"/>
      <c r="DQ156" s="9"/>
      <c r="DR156" s="10" t="s">
        <v>40</v>
      </c>
      <c r="DS156" s="9"/>
      <c r="DT156" s="9"/>
      <c r="DU156" s="10" t="s">
        <v>40</v>
      </c>
      <c r="DV156" s="9"/>
      <c r="DW156" s="9"/>
      <c r="DX156" s="10" t="s">
        <v>40</v>
      </c>
      <c r="DY156" s="9"/>
      <c r="DZ156" s="9"/>
      <c r="EA156" s="10" t="s">
        <v>40</v>
      </c>
      <c r="EB156" s="9"/>
      <c r="EC156" s="9"/>
      <c r="ED156" s="10" t="s">
        <v>40</v>
      </c>
      <c r="EE156" s="9"/>
      <c r="EF156" s="9"/>
      <c r="EG156" s="10" t="s">
        <v>40</v>
      </c>
      <c r="EH156" s="9"/>
      <c r="EI156" s="9"/>
      <c r="EJ156" s="10" t="s">
        <v>40</v>
      </c>
      <c r="EK156" s="9"/>
      <c r="EL156" s="9"/>
      <c r="EM156" s="10" t="s">
        <v>40</v>
      </c>
      <c r="EN156" s="9"/>
      <c r="EO156" s="9"/>
      <c r="EP156" s="10" t="s">
        <v>40</v>
      </c>
      <c r="EQ156" s="9"/>
      <c r="ER156" s="9"/>
      <c r="ES156" s="10" t="s">
        <v>40</v>
      </c>
      <c r="ET156" s="9"/>
      <c r="EU156" s="9"/>
      <c r="EV156" s="10" t="s">
        <v>40</v>
      </c>
      <c r="EW156" s="9"/>
      <c r="EX156" s="9"/>
      <c r="EY156" s="10" t="s">
        <v>40</v>
      </c>
      <c r="EZ156" s="9"/>
      <c r="FA156" s="9"/>
      <c r="FB156" s="10" t="s">
        <v>40</v>
      </c>
      <c r="FC156" s="9"/>
      <c r="FD156" s="9"/>
      <c r="FE156" s="10" t="s">
        <v>40</v>
      </c>
      <c r="FF156" s="9"/>
      <c r="FG156" s="9"/>
      <c r="FH156" s="10" t="s">
        <v>40</v>
      </c>
      <c r="FI156" s="9"/>
      <c r="FJ156" s="9"/>
      <c r="FK156" s="10" t="s">
        <v>40</v>
      </c>
      <c r="FL156" s="9"/>
      <c r="FM156" s="9"/>
      <c r="FN156" s="10" t="s">
        <v>40</v>
      </c>
      <c r="FO156" s="9"/>
      <c r="FP156" s="9"/>
      <c r="FQ156" s="10" t="s">
        <v>40</v>
      </c>
      <c r="FR156" s="9"/>
      <c r="FS156" s="9"/>
      <c r="FT156" s="10" t="s">
        <v>40</v>
      </c>
      <c r="FU156" s="9"/>
      <c r="FV156" s="9"/>
      <c r="FW156" s="10" t="s">
        <v>40</v>
      </c>
      <c r="FX156" s="9">
        <v>4</v>
      </c>
      <c r="FY156" s="9">
        <v>600</v>
      </c>
      <c r="FZ156" s="10" t="s">
        <v>40</v>
      </c>
      <c r="GA156" s="9"/>
      <c r="GB156" s="9"/>
      <c r="GC156" s="10" t="s">
        <v>40</v>
      </c>
      <c r="GD156" s="9"/>
      <c r="GE156" s="9"/>
      <c r="GF156" s="10" t="s">
        <v>40</v>
      </c>
      <c r="GG156" s="9"/>
      <c r="GH156" s="9"/>
      <c r="GI156" s="10" t="s">
        <v>40</v>
      </c>
      <c r="GJ156" s="9">
        <v>7</v>
      </c>
      <c r="GK156" s="9">
        <v>873</v>
      </c>
      <c r="GL156" s="10" t="s">
        <v>40</v>
      </c>
      <c r="GM156" s="7"/>
      <c r="GN156" s="7"/>
      <c r="GO156" s="10" t="s">
        <v>40</v>
      </c>
      <c r="GP156" s="7"/>
      <c r="GQ156" s="7"/>
      <c r="GR156" s="10" t="s">
        <v>40</v>
      </c>
      <c r="GS156" s="7"/>
      <c r="GT156" s="7"/>
      <c r="GU156" s="6" t="s">
        <v>40</v>
      </c>
      <c r="GV156" s="9">
        <v>3</v>
      </c>
      <c r="GW156" s="9">
        <v>550</v>
      </c>
      <c r="GX156" s="10" t="s">
        <v>40</v>
      </c>
      <c r="GY156" s="7"/>
      <c r="GZ156" s="7"/>
      <c r="HA156" s="10" t="s">
        <v>40</v>
      </c>
      <c r="HB156" s="7"/>
      <c r="HC156" s="7"/>
      <c r="HD156" s="10" t="s">
        <v>40</v>
      </c>
      <c r="HE156" s="9"/>
      <c r="HF156" s="9"/>
      <c r="HG156" s="10" t="s">
        <v>40</v>
      </c>
      <c r="HH156" s="9">
        <v>3</v>
      </c>
      <c r="HI156" s="9">
        <v>600</v>
      </c>
      <c r="HJ156" s="10" t="s">
        <v>40</v>
      </c>
      <c r="HK156" s="7"/>
      <c r="HL156" s="7"/>
      <c r="HM156" s="10" t="s">
        <v>40</v>
      </c>
      <c r="HN156" s="7"/>
      <c r="HO156" s="7"/>
      <c r="HP156" s="10" t="s">
        <v>40</v>
      </c>
      <c r="HQ156" s="9"/>
      <c r="HR156" s="9"/>
      <c r="HS156" s="10" t="s">
        <v>40</v>
      </c>
      <c r="HT156" s="9">
        <v>5</v>
      </c>
      <c r="HU156" s="9">
        <v>700</v>
      </c>
      <c r="HV156" s="10" t="s">
        <v>40</v>
      </c>
      <c r="HW156" s="7"/>
      <c r="HX156" s="7"/>
      <c r="HY156" s="10" t="s">
        <v>40</v>
      </c>
      <c r="HZ156" s="7"/>
      <c r="IA156" s="7"/>
      <c r="IB156" s="10" t="s">
        <v>40</v>
      </c>
      <c r="IC156" s="9"/>
      <c r="ID156" s="9"/>
      <c r="IE156" s="6" t="s">
        <v>40</v>
      </c>
      <c r="IF156" s="9">
        <v>1</v>
      </c>
      <c r="IG156" s="9">
        <v>75</v>
      </c>
      <c r="II156" s="9"/>
      <c r="IJ156" s="9"/>
      <c r="IK156" s="9"/>
      <c r="IL156" s="9"/>
      <c r="IM156" s="9"/>
      <c r="IN156" s="9"/>
      <c r="IP156" s="9"/>
      <c r="IQ156" s="9"/>
      <c r="IR156" s="9"/>
      <c r="IS156" s="9"/>
      <c r="IT156" s="9"/>
      <c r="IU156" s="9"/>
      <c r="IV156" s="9"/>
      <c r="IW156" s="7"/>
      <c r="IX156" s="9"/>
      <c r="IY156" s="9"/>
      <c r="IZ156" s="9"/>
      <c r="JA156" s="9"/>
      <c r="JB156" s="9"/>
      <c r="JC156" s="7"/>
      <c r="JE156" s="7"/>
      <c r="JF156" s="7"/>
      <c r="JH156" s="7"/>
      <c r="JI156" s="7"/>
      <c r="JJ156" s="7"/>
      <c r="JK156" s="7"/>
      <c r="JL156" s="7"/>
      <c r="JM156" s="7"/>
      <c r="JO156" s="7"/>
      <c r="JP156" s="7"/>
      <c r="JQ156" s="7"/>
      <c r="JR156" s="7"/>
      <c r="JT156" s="7"/>
      <c r="JU156" s="7"/>
      <c r="JV156" s="7"/>
      <c r="JW156" s="7"/>
      <c r="JX156" s="7"/>
    </row>
    <row r="157" spans="1:284" x14ac:dyDescent="0.3">
      <c r="A157" s="19" t="s">
        <v>320</v>
      </c>
      <c r="B157" s="10" t="s">
        <v>44</v>
      </c>
      <c r="C157" s="9"/>
      <c r="D157" s="9"/>
      <c r="E157" s="10" t="s">
        <v>44</v>
      </c>
      <c r="F157" s="9"/>
      <c r="G157" s="9"/>
      <c r="H157" s="10" t="s">
        <v>44</v>
      </c>
      <c r="I157" s="7"/>
      <c r="J157" s="7"/>
      <c r="K157" s="10" t="s">
        <v>44</v>
      </c>
      <c r="L157" s="9"/>
      <c r="M157" s="9"/>
      <c r="N157" s="10" t="s">
        <v>44</v>
      </c>
      <c r="O157" s="9"/>
      <c r="P157" s="9"/>
      <c r="Q157" s="10" t="s">
        <v>44</v>
      </c>
      <c r="R157" s="9"/>
      <c r="S157" s="9"/>
      <c r="T157" s="10" t="s">
        <v>44</v>
      </c>
      <c r="U157" s="7"/>
      <c r="V157" s="7"/>
      <c r="W157" s="10" t="s">
        <v>44</v>
      </c>
      <c r="X157" s="9"/>
      <c r="Y157" s="9"/>
      <c r="Z157" s="10" t="s">
        <v>44</v>
      </c>
      <c r="AA157" s="9"/>
      <c r="AB157" s="9"/>
      <c r="AC157" s="10" t="s">
        <v>44</v>
      </c>
      <c r="AD157" s="9"/>
      <c r="AE157" s="9"/>
      <c r="AF157" s="10" t="s">
        <v>44</v>
      </c>
      <c r="AG157" s="7"/>
      <c r="AH157" s="7"/>
      <c r="AI157" s="10" t="s">
        <v>44</v>
      </c>
      <c r="AJ157" s="9"/>
      <c r="AK157" s="9"/>
      <c r="AL157" s="10" t="s">
        <v>44</v>
      </c>
      <c r="AM157" s="9"/>
      <c r="AN157" s="9"/>
      <c r="AO157" s="10" t="s">
        <v>44</v>
      </c>
      <c r="AP157" s="9"/>
      <c r="AQ157" s="9"/>
      <c r="AR157" s="10" t="s">
        <v>44</v>
      </c>
      <c r="AS157" s="7"/>
      <c r="AT157" s="7"/>
      <c r="AU157" s="10" t="s">
        <v>44</v>
      </c>
      <c r="AV157" s="9"/>
      <c r="AW157" s="9"/>
      <c r="AX157" s="10" t="s">
        <v>44</v>
      </c>
      <c r="AY157" s="9"/>
      <c r="AZ157" s="9"/>
      <c r="BA157" s="10" t="s">
        <v>44</v>
      </c>
      <c r="BB157" s="9"/>
      <c r="BC157" s="9"/>
      <c r="BD157" s="10" t="s">
        <v>44</v>
      </c>
      <c r="BE157" s="7"/>
      <c r="BF157" s="7"/>
      <c r="BG157" s="10" t="s">
        <v>44</v>
      </c>
      <c r="BH157" s="9"/>
      <c r="BI157" s="9"/>
      <c r="BJ157" s="10" t="s">
        <v>44</v>
      </c>
      <c r="BK157" s="9"/>
      <c r="BL157" s="9"/>
      <c r="BM157" s="10" t="s">
        <v>44</v>
      </c>
      <c r="BN157" s="9"/>
      <c r="BO157" s="9"/>
      <c r="BP157" s="10" t="s">
        <v>44</v>
      </c>
      <c r="BQ157" s="7"/>
      <c r="BR157" s="7"/>
      <c r="BS157" s="10" t="s">
        <v>44</v>
      </c>
      <c r="BT157" s="9"/>
      <c r="BU157" s="9"/>
      <c r="BV157" s="10" t="s">
        <v>44</v>
      </c>
      <c r="BW157" s="9"/>
      <c r="BX157" s="9"/>
      <c r="BY157" s="10" t="s">
        <v>44</v>
      </c>
      <c r="BZ157" s="9"/>
      <c r="CA157" s="9"/>
      <c r="CB157" s="10" t="s">
        <v>44</v>
      </c>
      <c r="CC157" s="7"/>
      <c r="CD157" s="7"/>
      <c r="CE157" s="10" t="s">
        <v>44</v>
      </c>
      <c r="CF157" s="9"/>
      <c r="CG157" s="9"/>
      <c r="CH157" s="10" t="s">
        <v>44</v>
      </c>
      <c r="CI157" s="9"/>
      <c r="CJ157" s="9"/>
      <c r="CK157" s="10" t="s">
        <v>44</v>
      </c>
      <c r="CL157" s="9"/>
      <c r="CM157" s="9"/>
      <c r="CN157" s="10" t="s">
        <v>44</v>
      </c>
      <c r="CO157" s="7"/>
      <c r="CP157" s="7"/>
      <c r="CQ157" s="10" t="s">
        <v>44</v>
      </c>
      <c r="CR157" s="9"/>
      <c r="CS157" s="9"/>
      <c r="CT157" s="10" t="s">
        <v>44</v>
      </c>
      <c r="CU157" s="9"/>
      <c r="CV157" s="9"/>
      <c r="CW157" s="10" t="s">
        <v>44</v>
      </c>
      <c r="CX157" s="9"/>
      <c r="CY157" s="9"/>
      <c r="CZ157" s="10" t="s">
        <v>44</v>
      </c>
      <c r="DA157" s="7"/>
      <c r="DB157" s="7"/>
      <c r="DC157" s="10" t="s">
        <v>44</v>
      </c>
      <c r="DD157" s="9"/>
      <c r="DE157" s="9"/>
      <c r="DF157" s="10" t="s">
        <v>44</v>
      </c>
      <c r="DG157" s="9"/>
      <c r="DH157" s="9"/>
      <c r="DI157" s="10" t="s">
        <v>44</v>
      </c>
      <c r="DJ157" s="9"/>
      <c r="DK157" s="9"/>
      <c r="DL157" s="10" t="s">
        <v>44</v>
      </c>
      <c r="DM157" s="9"/>
      <c r="DN157" s="9"/>
      <c r="DO157" s="10" t="s">
        <v>44</v>
      </c>
      <c r="DP157" s="9"/>
      <c r="DQ157" s="9"/>
      <c r="DR157" s="10" t="s">
        <v>44</v>
      </c>
      <c r="DS157" s="9"/>
      <c r="DT157" s="9"/>
      <c r="DU157" s="10" t="s">
        <v>44</v>
      </c>
      <c r="DV157" s="9"/>
      <c r="DW157" s="9"/>
      <c r="DX157" s="10" t="s">
        <v>44</v>
      </c>
      <c r="DY157" s="9"/>
      <c r="DZ157" s="9"/>
      <c r="EA157" s="10" t="s">
        <v>44</v>
      </c>
      <c r="EB157" s="9"/>
      <c r="EC157" s="9"/>
      <c r="ED157" s="10" t="s">
        <v>44</v>
      </c>
      <c r="EE157" s="9"/>
      <c r="EF157" s="9"/>
      <c r="EG157" s="10" t="s">
        <v>44</v>
      </c>
      <c r="EH157" s="9"/>
      <c r="EI157" s="9"/>
      <c r="EJ157" s="10" t="s">
        <v>44</v>
      </c>
      <c r="EK157" s="9"/>
      <c r="EL157" s="9"/>
      <c r="EM157" s="10" t="s">
        <v>44</v>
      </c>
      <c r="EN157" s="9"/>
      <c r="EO157" s="9"/>
      <c r="EP157" s="10" t="s">
        <v>44</v>
      </c>
      <c r="EQ157" s="9"/>
      <c r="ER157" s="9"/>
      <c r="ES157" s="10" t="s">
        <v>44</v>
      </c>
      <c r="ET157" s="9"/>
      <c r="EU157" s="9"/>
      <c r="EV157" s="10" t="s">
        <v>44</v>
      </c>
      <c r="EW157" s="9"/>
      <c r="EX157" s="9"/>
      <c r="EY157" s="10" t="s">
        <v>44</v>
      </c>
      <c r="EZ157" s="9"/>
      <c r="FA157" s="9"/>
      <c r="FB157" s="10" t="s">
        <v>44</v>
      </c>
      <c r="FC157" s="9"/>
      <c r="FD157" s="9"/>
      <c r="FE157" s="10" t="s">
        <v>44</v>
      </c>
      <c r="FF157" s="9"/>
      <c r="FG157" s="9"/>
      <c r="FH157" s="10" t="s">
        <v>44</v>
      </c>
      <c r="FI157" s="9"/>
      <c r="FJ157" s="9"/>
      <c r="FK157" s="10" t="s">
        <v>44</v>
      </c>
      <c r="FL157" s="9"/>
      <c r="FM157" s="9"/>
      <c r="FN157" s="10" t="s">
        <v>44</v>
      </c>
      <c r="FO157" s="9"/>
      <c r="FP157" s="9"/>
      <c r="FQ157" s="10" t="s">
        <v>44</v>
      </c>
      <c r="FR157" s="9"/>
      <c r="FS157" s="9"/>
      <c r="FT157" s="10" t="s">
        <v>44</v>
      </c>
      <c r="FU157" s="9"/>
      <c r="FV157" s="9"/>
      <c r="FW157" s="10" t="s">
        <v>44</v>
      </c>
      <c r="FX157" s="9">
        <v>60</v>
      </c>
      <c r="FY157" s="9">
        <v>17000</v>
      </c>
      <c r="FZ157" s="10" t="s">
        <v>44</v>
      </c>
      <c r="GA157" s="9"/>
      <c r="GB157" s="9"/>
      <c r="GC157" s="10" t="s">
        <v>44</v>
      </c>
      <c r="GD157" s="9"/>
      <c r="GE157" s="9"/>
      <c r="GF157" s="10" t="s">
        <v>44</v>
      </c>
      <c r="GG157" s="9"/>
      <c r="GH157" s="9"/>
      <c r="GI157" s="10" t="s">
        <v>44</v>
      </c>
      <c r="GJ157" s="9">
        <v>77</v>
      </c>
      <c r="GK157" s="9">
        <v>20337</v>
      </c>
      <c r="GL157" s="10" t="s">
        <v>44</v>
      </c>
      <c r="GM157" s="7"/>
      <c r="GN157" s="7"/>
      <c r="GO157" s="10" t="s">
        <v>44</v>
      </c>
      <c r="GP157" s="7"/>
      <c r="GQ157" s="7"/>
      <c r="GR157" s="10" t="s">
        <v>44</v>
      </c>
      <c r="GS157" s="7"/>
      <c r="GT157" s="7"/>
      <c r="GU157" s="6" t="s">
        <v>44</v>
      </c>
      <c r="GV157" s="9">
        <v>70</v>
      </c>
      <c r="GW157" s="9">
        <v>35500</v>
      </c>
      <c r="GX157" s="10" t="s">
        <v>44</v>
      </c>
      <c r="GY157" s="7"/>
      <c r="GZ157" s="7"/>
      <c r="HA157" s="10" t="s">
        <v>44</v>
      </c>
      <c r="HB157" s="7"/>
      <c r="HC157" s="7"/>
      <c r="HD157" s="10" t="s">
        <v>44</v>
      </c>
      <c r="HE157" s="9"/>
      <c r="HF157" s="9"/>
      <c r="HG157" s="10" t="s">
        <v>44</v>
      </c>
      <c r="HH157" s="9">
        <v>80</v>
      </c>
      <c r="HI157" s="9">
        <v>36000</v>
      </c>
      <c r="HJ157" s="10" t="s">
        <v>44</v>
      </c>
      <c r="HK157" s="7"/>
      <c r="HL157" s="7"/>
      <c r="HM157" s="10" t="s">
        <v>44</v>
      </c>
      <c r="HN157" s="7"/>
      <c r="HO157" s="7"/>
      <c r="HP157" s="10" t="s">
        <v>44</v>
      </c>
      <c r="HQ157" s="9"/>
      <c r="HR157" s="9"/>
      <c r="HS157" s="10" t="s">
        <v>44</v>
      </c>
      <c r="HT157" s="9">
        <v>85</v>
      </c>
      <c r="HU157" s="9">
        <v>38000</v>
      </c>
      <c r="HV157" s="10" t="s">
        <v>44</v>
      </c>
      <c r="HW157" s="7"/>
      <c r="HX157" s="7"/>
      <c r="HY157" s="10" t="s">
        <v>44</v>
      </c>
      <c r="HZ157" s="7"/>
      <c r="IA157" s="7"/>
      <c r="IB157" s="10" t="s">
        <v>44</v>
      </c>
      <c r="IC157" s="9"/>
      <c r="ID157" s="9"/>
      <c r="IE157" s="6" t="s">
        <v>44</v>
      </c>
      <c r="IF157" s="9">
        <v>79</v>
      </c>
      <c r="IG157" s="9">
        <v>36045</v>
      </c>
      <c r="II157" s="9"/>
      <c r="IJ157" s="9"/>
      <c r="IK157" s="9"/>
      <c r="IL157" s="9"/>
      <c r="IM157" s="9"/>
      <c r="IN157" s="9"/>
      <c r="IP157" s="9"/>
      <c r="IQ157" s="9"/>
      <c r="IR157" s="9"/>
      <c r="IS157" s="9"/>
      <c r="IT157" s="9"/>
      <c r="IU157" s="9"/>
      <c r="IV157" s="9"/>
      <c r="IW157" s="7"/>
      <c r="IX157" s="9"/>
      <c r="IY157" s="9"/>
      <c r="IZ157" s="9"/>
      <c r="JA157" s="9"/>
      <c r="JB157" s="9"/>
      <c r="JC157" s="7"/>
      <c r="JE157" s="7"/>
      <c r="JF157" s="7"/>
      <c r="JH157" s="7"/>
      <c r="JI157" s="7"/>
      <c r="JJ157" s="7"/>
      <c r="JK157" s="7"/>
      <c r="JL157" s="7"/>
      <c r="JM157" s="7"/>
      <c r="JO157" s="7"/>
      <c r="JP157" s="7"/>
      <c r="JQ157" s="7"/>
      <c r="JR157" s="7"/>
      <c r="JT157" s="7"/>
      <c r="JU157" s="7"/>
      <c r="JV157" s="7"/>
      <c r="JW157" s="7"/>
      <c r="JX157" s="7"/>
    </row>
    <row r="158" spans="1:284" x14ac:dyDescent="0.3">
      <c r="A158" s="19" t="s">
        <v>363</v>
      </c>
      <c r="B158" s="10" t="s">
        <v>40</v>
      </c>
      <c r="C158" s="9"/>
      <c r="D158" s="9"/>
      <c r="E158" s="10" t="s">
        <v>40</v>
      </c>
      <c r="F158" s="9"/>
      <c r="G158" s="9"/>
      <c r="H158" s="10" t="s">
        <v>40</v>
      </c>
      <c r="I158" s="7"/>
      <c r="J158" s="7"/>
      <c r="K158" s="10" t="s">
        <v>40</v>
      </c>
      <c r="L158" s="9"/>
      <c r="M158" s="9"/>
      <c r="N158" s="10" t="s">
        <v>40</v>
      </c>
      <c r="O158" s="9"/>
      <c r="P158" s="9"/>
      <c r="Q158" s="10" t="s">
        <v>40</v>
      </c>
      <c r="R158" s="9"/>
      <c r="S158" s="9"/>
      <c r="T158" s="10" t="s">
        <v>40</v>
      </c>
      <c r="U158" s="7"/>
      <c r="V158" s="7"/>
      <c r="W158" s="10" t="s">
        <v>40</v>
      </c>
      <c r="X158" s="9"/>
      <c r="Y158" s="9"/>
      <c r="Z158" s="10" t="s">
        <v>40</v>
      </c>
      <c r="AA158" s="9"/>
      <c r="AB158" s="9"/>
      <c r="AC158" s="10" t="s">
        <v>40</v>
      </c>
      <c r="AD158" s="9"/>
      <c r="AE158" s="9"/>
      <c r="AF158" s="10" t="s">
        <v>40</v>
      </c>
      <c r="AG158" s="7"/>
      <c r="AH158" s="7"/>
      <c r="AI158" s="10" t="s">
        <v>40</v>
      </c>
      <c r="AJ158" s="9"/>
      <c r="AK158" s="9"/>
      <c r="AL158" s="10" t="s">
        <v>40</v>
      </c>
      <c r="AM158" s="9"/>
      <c r="AN158" s="9"/>
      <c r="AO158" s="10" t="s">
        <v>40</v>
      </c>
      <c r="AP158" s="9"/>
      <c r="AQ158" s="9"/>
      <c r="AR158" s="10" t="s">
        <v>40</v>
      </c>
      <c r="AS158" s="7"/>
      <c r="AT158" s="7"/>
      <c r="AU158" s="10" t="s">
        <v>40</v>
      </c>
      <c r="AV158" s="9"/>
      <c r="AW158" s="9"/>
      <c r="AX158" s="10" t="s">
        <v>40</v>
      </c>
      <c r="AY158" s="9"/>
      <c r="AZ158" s="9"/>
      <c r="BA158" s="10" t="s">
        <v>40</v>
      </c>
      <c r="BB158" s="9"/>
      <c r="BC158" s="9"/>
      <c r="BD158" s="10" t="s">
        <v>40</v>
      </c>
      <c r="BE158" s="7"/>
      <c r="BF158" s="7"/>
      <c r="BG158" s="10" t="s">
        <v>40</v>
      </c>
      <c r="BH158" s="9"/>
      <c r="BI158" s="9"/>
      <c r="BJ158" s="10" t="s">
        <v>40</v>
      </c>
      <c r="BK158" s="9"/>
      <c r="BL158" s="9"/>
      <c r="BM158" s="10" t="s">
        <v>40</v>
      </c>
      <c r="BN158" s="9"/>
      <c r="BO158" s="9"/>
      <c r="BP158" s="10" t="s">
        <v>40</v>
      </c>
      <c r="BQ158" s="7"/>
      <c r="BR158" s="7"/>
      <c r="BS158" s="10" t="s">
        <v>40</v>
      </c>
      <c r="BT158" s="9"/>
      <c r="BU158" s="9"/>
      <c r="BV158" s="10" t="s">
        <v>40</v>
      </c>
      <c r="BW158" s="9"/>
      <c r="BX158" s="9"/>
      <c r="BY158" s="10" t="s">
        <v>40</v>
      </c>
      <c r="BZ158" s="9"/>
      <c r="CA158" s="9"/>
      <c r="CB158" s="10" t="s">
        <v>40</v>
      </c>
      <c r="CC158" s="7"/>
      <c r="CD158" s="7"/>
      <c r="CE158" s="10" t="s">
        <v>40</v>
      </c>
      <c r="CF158" s="9"/>
      <c r="CG158" s="9"/>
      <c r="CH158" s="10" t="s">
        <v>40</v>
      </c>
      <c r="CI158" s="9"/>
      <c r="CJ158" s="9"/>
      <c r="CK158" s="10" t="s">
        <v>40</v>
      </c>
      <c r="CL158" s="9"/>
      <c r="CM158" s="9"/>
      <c r="CN158" s="10" t="s">
        <v>40</v>
      </c>
      <c r="CO158" s="7"/>
      <c r="CP158" s="7"/>
      <c r="CQ158" s="10" t="s">
        <v>40</v>
      </c>
      <c r="CR158" s="9"/>
      <c r="CS158" s="9"/>
      <c r="CT158" s="10" t="s">
        <v>40</v>
      </c>
      <c r="CU158" s="9"/>
      <c r="CV158" s="9"/>
      <c r="CW158" s="10" t="s">
        <v>40</v>
      </c>
      <c r="CX158" s="9"/>
      <c r="CY158" s="9"/>
      <c r="CZ158" s="10" t="s">
        <v>40</v>
      </c>
      <c r="DA158" s="7"/>
      <c r="DB158" s="7"/>
      <c r="DC158" s="10" t="s">
        <v>40</v>
      </c>
      <c r="DD158" s="9"/>
      <c r="DE158" s="9"/>
      <c r="DF158" s="10" t="s">
        <v>40</v>
      </c>
      <c r="DG158" s="9"/>
      <c r="DH158" s="9"/>
      <c r="DI158" s="10" t="s">
        <v>40</v>
      </c>
      <c r="DJ158" s="9"/>
      <c r="DK158" s="9"/>
      <c r="DL158" s="10" t="s">
        <v>40</v>
      </c>
      <c r="DM158" s="9"/>
      <c r="DN158" s="9"/>
      <c r="DO158" s="10" t="s">
        <v>40</v>
      </c>
      <c r="DP158" s="9"/>
      <c r="DQ158" s="9"/>
      <c r="DR158" s="10" t="s">
        <v>40</v>
      </c>
      <c r="DS158" s="9"/>
      <c r="DT158" s="9"/>
      <c r="DU158" s="10" t="s">
        <v>40</v>
      </c>
      <c r="DV158" s="9"/>
      <c r="DW158" s="9"/>
      <c r="DX158" s="10" t="s">
        <v>40</v>
      </c>
      <c r="DY158" s="9"/>
      <c r="DZ158" s="9"/>
      <c r="EA158" s="10" t="s">
        <v>40</v>
      </c>
      <c r="EB158" s="9"/>
      <c r="EC158" s="9"/>
      <c r="ED158" s="10" t="s">
        <v>40</v>
      </c>
      <c r="EE158" s="9"/>
      <c r="EF158" s="9"/>
      <c r="EG158" s="10" t="s">
        <v>40</v>
      </c>
      <c r="EH158" s="9"/>
      <c r="EI158" s="9"/>
      <c r="EJ158" s="10" t="s">
        <v>40</v>
      </c>
      <c r="EK158" s="9"/>
      <c r="EL158" s="9"/>
      <c r="EM158" s="10" t="s">
        <v>40</v>
      </c>
      <c r="EN158" s="9"/>
      <c r="EO158" s="9"/>
      <c r="EP158" s="10" t="s">
        <v>40</v>
      </c>
      <c r="EQ158" s="9"/>
      <c r="ER158" s="9"/>
      <c r="ES158" s="10" t="s">
        <v>40</v>
      </c>
      <c r="ET158" s="9"/>
      <c r="EU158" s="9"/>
      <c r="EV158" s="10" t="s">
        <v>40</v>
      </c>
      <c r="EW158" s="9"/>
      <c r="EX158" s="9"/>
      <c r="EY158" s="10" t="s">
        <v>40</v>
      </c>
      <c r="EZ158" s="9"/>
      <c r="FA158" s="9"/>
      <c r="FB158" s="10" t="s">
        <v>40</v>
      </c>
      <c r="FC158" s="9"/>
      <c r="FD158" s="9"/>
      <c r="FE158" s="10" t="s">
        <v>40</v>
      </c>
      <c r="FF158" s="9"/>
      <c r="FG158" s="9"/>
      <c r="FH158" s="10" t="s">
        <v>40</v>
      </c>
      <c r="FI158" s="9"/>
      <c r="FJ158" s="9"/>
      <c r="FK158" s="10" t="s">
        <v>40</v>
      </c>
      <c r="FL158" s="9"/>
      <c r="FM158" s="9"/>
      <c r="FN158" s="10" t="s">
        <v>40</v>
      </c>
      <c r="FO158" s="9"/>
      <c r="FP158" s="9"/>
      <c r="FQ158" s="10" t="s">
        <v>40</v>
      </c>
      <c r="FR158" s="9"/>
      <c r="FS158" s="9"/>
      <c r="FT158" s="10" t="s">
        <v>40</v>
      </c>
      <c r="FU158" s="9"/>
      <c r="FV158" s="9"/>
      <c r="FW158" s="10" t="s">
        <v>40</v>
      </c>
      <c r="FX158" s="9">
        <v>12</v>
      </c>
      <c r="FY158" s="9">
        <v>4000</v>
      </c>
      <c r="FZ158" s="10" t="s">
        <v>40</v>
      </c>
      <c r="GA158" s="9"/>
      <c r="GB158" s="9"/>
      <c r="GC158" s="10" t="s">
        <v>40</v>
      </c>
      <c r="GD158" s="9"/>
      <c r="GE158" s="9"/>
      <c r="GF158" s="10" t="s">
        <v>40</v>
      </c>
      <c r="GG158" s="9"/>
      <c r="GH158" s="9"/>
      <c r="GI158" s="10" t="s">
        <v>40</v>
      </c>
      <c r="GJ158" s="9">
        <v>47</v>
      </c>
      <c r="GK158" s="9">
        <v>7899</v>
      </c>
      <c r="GL158" s="10" t="s">
        <v>40</v>
      </c>
      <c r="GM158" s="7"/>
      <c r="GN158" s="7"/>
      <c r="GO158" s="10" t="s">
        <v>40</v>
      </c>
      <c r="GP158" s="7"/>
      <c r="GQ158" s="7"/>
      <c r="GR158" s="10" t="s">
        <v>40</v>
      </c>
      <c r="GS158" s="7"/>
      <c r="GT158" s="7"/>
      <c r="GU158" s="6" t="s">
        <v>40</v>
      </c>
      <c r="GV158" s="9">
        <v>50</v>
      </c>
      <c r="GW158" s="9">
        <v>6800</v>
      </c>
      <c r="GX158" s="10" t="s">
        <v>40</v>
      </c>
      <c r="GY158" s="7"/>
      <c r="GZ158" s="7"/>
      <c r="HA158" s="10" t="s">
        <v>40</v>
      </c>
      <c r="HB158" s="7"/>
      <c r="HC158" s="7"/>
      <c r="HD158" s="10" t="s">
        <v>40</v>
      </c>
      <c r="HE158" s="9"/>
      <c r="HF158" s="9"/>
      <c r="HG158" s="10" t="s">
        <v>40</v>
      </c>
      <c r="HH158" s="9">
        <v>40</v>
      </c>
      <c r="HI158" s="9">
        <v>6000</v>
      </c>
      <c r="HJ158" s="10" t="s">
        <v>40</v>
      </c>
      <c r="HK158" s="7"/>
      <c r="HL158" s="7"/>
      <c r="HM158" s="10" t="s">
        <v>40</v>
      </c>
      <c r="HN158" s="7"/>
      <c r="HO158" s="7"/>
      <c r="HP158" s="10" t="s">
        <v>40</v>
      </c>
      <c r="HQ158" s="9"/>
      <c r="HR158" s="9"/>
      <c r="HS158" s="10" t="s">
        <v>40</v>
      </c>
      <c r="HT158" s="9">
        <v>50</v>
      </c>
      <c r="HU158" s="9">
        <v>8000</v>
      </c>
      <c r="HV158" s="10" t="s">
        <v>40</v>
      </c>
      <c r="HW158" s="7"/>
      <c r="HX158" s="7"/>
      <c r="HY158" s="10" t="s">
        <v>40</v>
      </c>
      <c r="HZ158" s="7"/>
      <c r="IA158" s="7"/>
      <c r="IB158" s="10" t="s">
        <v>40</v>
      </c>
      <c r="IC158" s="9"/>
      <c r="ID158" s="9"/>
      <c r="IE158" s="6" t="s">
        <v>40</v>
      </c>
      <c r="IF158" s="9">
        <v>37</v>
      </c>
      <c r="IG158" s="9">
        <v>4100</v>
      </c>
      <c r="II158" s="9"/>
      <c r="IJ158" s="9"/>
      <c r="IK158" s="9"/>
      <c r="IL158" s="9"/>
      <c r="IM158" s="9"/>
      <c r="IN158" s="9"/>
      <c r="IP158" s="9"/>
      <c r="IQ158" s="9"/>
      <c r="IR158" s="9"/>
      <c r="IS158" s="9"/>
      <c r="IT158" s="9"/>
      <c r="IU158" s="9"/>
      <c r="IV158" s="9"/>
      <c r="IW158" s="7"/>
      <c r="IX158" s="9"/>
      <c r="IY158" s="9"/>
      <c r="IZ158" s="9"/>
      <c r="JA158" s="9"/>
      <c r="JB158" s="9"/>
      <c r="JC158" s="7"/>
      <c r="JE158" s="7"/>
      <c r="JF158" s="7"/>
      <c r="JH158" s="7"/>
      <c r="JI158" s="7"/>
      <c r="JJ158" s="7"/>
      <c r="JK158" s="7"/>
      <c r="JL158" s="7"/>
      <c r="JM158" s="7"/>
      <c r="JO158" s="7"/>
      <c r="JP158" s="7"/>
      <c r="JQ158" s="7"/>
      <c r="JR158" s="7"/>
      <c r="JT158" s="7"/>
      <c r="JU158" s="7"/>
      <c r="JV158" s="7"/>
      <c r="JW158" s="7"/>
      <c r="JX158" s="7"/>
    </row>
    <row r="159" spans="1:284" x14ac:dyDescent="0.3">
      <c r="A159" s="19" t="s">
        <v>321</v>
      </c>
      <c r="B159" s="10" t="s">
        <v>45</v>
      </c>
      <c r="C159" s="9"/>
      <c r="D159" s="9"/>
      <c r="E159" s="10" t="s">
        <v>45</v>
      </c>
      <c r="F159" s="9"/>
      <c r="G159" s="9"/>
      <c r="H159" s="6" t="s">
        <v>44</v>
      </c>
      <c r="I159" s="7">
        <v>104</v>
      </c>
      <c r="J159" s="7">
        <v>35000</v>
      </c>
      <c r="K159" s="6" t="s">
        <v>44</v>
      </c>
      <c r="L159" s="9">
        <v>75</v>
      </c>
      <c r="M159" s="9">
        <v>37500</v>
      </c>
      <c r="N159" s="10" t="s">
        <v>45</v>
      </c>
      <c r="O159" s="9"/>
      <c r="P159" s="9"/>
      <c r="Q159" s="10" t="s">
        <v>45</v>
      </c>
      <c r="R159" s="9"/>
      <c r="S159" s="9"/>
      <c r="T159" s="6" t="s">
        <v>44</v>
      </c>
      <c r="U159" s="7">
        <v>40</v>
      </c>
      <c r="V159" s="7">
        <v>8000</v>
      </c>
      <c r="W159" s="6" t="s">
        <v>44</v>
      </c>
      <c r="X159" s="9">
        <v>75</v>
      </c>
      <c r="Y159" s="9">
        <v>37500</v>
      </c>
      <c r="Z159" s="10" t="s">
        <v>45</v>
      </c>
      <c r="AA159" s="9"/>
      <c r="AB159" s="9"/>
      <c r="AC159" s="10" t="s">
        <v>45</v>
      </c>
      <c r="AD159" s="9"/>
      <c r="AE159" s="9"/>
      <c r="AF159" s="6" t="s">
        <v>44</v>
      </c>
      <c r="AG159" s="7">
        <v>60</v>
      </c>
      <c r="AH159" s="7">
        <v>30000</v>
      </c>
      <c r="AI159" s="6" t="s">
        <v>44</v>
      </c>
      <c r="AJ159" s="9">
        <v>75</v>
      </c>
      <c r="AK159" s="9">
        <v>37500</v>
      </c>
      <c r="AL159" s="10" t="s">
        <v>45</v>
      </c>
      <c r="AM159" s="9"/>
      <c r="AN159" s="9"/>
      <c r="AO159" s="10" t="s">
        <v>45</v>
      </c>
      <c r="AP159" s="9"/>
      <c r="AQ159" s="9"/>
      <c r="AR159" s="6" t="s">
        <v>44</v>
      </c>
      <c r="AS159" s="7">
        <v>70</v>
      </c>
      <c r="AT159" s="7">
        <v>30000</v>
      </c>
      <c r="AU159" s="6" t="s">
        <v>44</v>
      </c>
      <c r="AV159" s="9">
        <v>70</v>
      </c>
      <c r="AW159" s="9">
        <v>30000</v>
      </c>
      <c r="AX159" s="10" t="s">
        <v>45</v>
      </c>
      <c r="AY159" s="9"/>
      <c r="AZ159" s="9"/>
      <c r="BA159" s="10" t="s">
        <v>45</v>
      </c>
      <c r="BB159" s="9"/>
      <c r="BC159" s="9"/>
      <c r="BD159" s="6" t="s">
        <v>44</v>
      </c>
      <c r="BE159" s="7">
        <v>60</v>
      </c>
      <c r="BF159" s="7">
        <v>20000</v>
      </c>
      <c r="BG159" s="6" t="s">
        <v>44</v>
      </c>
      <c r="BH159" s="9">
        <v>80</v>
      </c>
      <c r="BI159" s="9">
        <v>25000</v>
      </c>
      <c r="BJ159" s="10" t="s">
        <v>45</v>
      </c>
      <c r="BK159" s="9"/>
      <c r="BL159" s="9"/>
      <c r="BM159" s="10" t="s">
        <v>45</v>
      </c>
      <c r="BN159" s="9"/>
      <c r="BO159" s="9"/>
      <c r="BP159" s="6" t="s">
        <v>44</v>
      </c>
      <c r="BQ159" s="7">
        <v>60</v>
      </c>
      <c r="BR159" s="7">
        <v>22000</v>
      </c>
      <c r="BS159" s="6" t="s">
        <v>44</v>
      </c>
      <c r="BT159" s="9">
        <v>30</v>
      </c>
      <c r="BU159" s="9">
        <v>12000</v>
      </c>
      <c r="BV159" s="10" t="s">
        <v>45</v>
      </c>
      <c r="BW159" s="9"/>
      <c r="BX159" s="9"/>
      <c r="BY159" s="10" t="s">
        <v>45</v>
      </c>
      <c r="BZ159" s="9"/>
      <c r="CA159" s="9"/>
      <c r="CB159" s="6" t="s">
        <v>44</v>
      </c>
      <c r="CC159" s="7">
        <v>25</v>
      </c>
      <c r="CD159" s="7">
        <v>6000</v>
      </c>
      <c r="CE159" s="6" t="s">
        <v>44</v>
      </c>
      <c r="CF159" s="9">
        <v>24</v>
      </c>
      <c r="CG159" s="9">
        <v>9600</v>
      </c>
      <c r="CH159" s="10" t="s">
        <v>45</v>
      </c>
      <c r="CI159" s="9"/>
      <c r="CJ159" s="9"/>
      <c r="CK159" s="10" t="s">
        <v>45</v>
      </c>
      <c r="CL159" s="9"/>
      <c r="CM159" s="9"/>
      <c r="CN159" s="6" t="s">
        <v>44</v>
      </c>
      <c r="CO159" s="7">
        <v>60</v>
      </c>
      <c r="CP159" s="7">
        <v>15000</v>
      </c>
      <c r="CQ159" s="6" t="s">
        <v>44</v>
      </c>
      <c r="CR159" s="9">
        <v>100</v>
      </c>
      <c r="CS159" s="9">
        <v>25000</v>
      </c>
      <c r="CT159" s="10" t="s">
        <v>45</v>
      </c>
      <c r="CU159" s="9"/>
      <c r="CV159" s="9"/>
      <c r="CW159" s="10" t="s">
        <v>45</v>
      </c>
      <c r="CX159" s="9"/>
      <c r="CY159" s="9"/>
      <c r="CZ159" s="6" t="s">
        <v>44</v>
      </c>
      <c r="DA159" s="7">
        <v>96</v>
      </c>
      <c r="DB159" s="7">
        <v>31900</v>
      </c>
      <c r="DC159" s="6" t="s">
        <v>44</v>
      </c>
      <c r="DD159" s="9">
        <v>93</v>
      </c>
      <c r="DE159" s="9">
        <v>34350</v>
      </c>
      <c r="DF159" s="10" t="s">
        <v>45</v>
      </c>
      <c r="DG159" s="9"/>
      <c r="DH159" s="9"/>
      <c r="DI159" s="10" t="s">
        <v>45</v>
      </c>
      <c r="DJ159" s="9"/>
      <c r="DK159" s="9"/>
      <c r="DL159" s="10" t="s">
        <v>45</v>
      </c>
      <c r="DM159" s="9">
        <v>21</v>
      </c>
      <c r="DN159" s="9">
        <v>7975</v>
      </c>
      <c r="DO159" s="6" t="s">
        <v>44</v>
      </c>
      <c r="DP159">
        <v>22</v>
      </c>
      <c r="DQ159">
        <v>30465</v>
      </c>
      <c r="DR159" s="10" t="s">
        <v>45</v>
      </c>
      <c r="DS159" s="9"/>
      <c r="DT159" s="9"/>
      <c r="DU159" s="10" t="s">
        <v>45</v>
      </c>
      <c r="DV159" s="9"/>
      <c r="DW159" s="9"/>
      <c r="DX159" s="10" t="s">
        <v>45</v>
      </c>
      <c r="DY159" s="9">
        <v>25</v>
      </c>
      <c r="DZ159" s="9">
        <v>7000</v>
      </c>
      <c r="EA159" s="6" t="s">
        <v>44</v>
      </c>
      <c r="EB159">
        <v>20</v>
      </c>
      <c r="EC159">
        <v>28000</v>
      </c>
      <c r="ED159" s="10" t="s">
        <v>45</v>
      </c>
      <c r="EE159" s="9"/>
      <c r="EF159" s="9"/>
      <c r="EG159" s="10" t="s">
        <v>45</v>
      </c>
      <c r="EH159" s="9"/>
      <c r="EI159" s="9"/>
      <c r="EJ159" s="10" t="s">
        <v>45</v>
      </c>
      <c r="EK159" s="9">
        <v>24</v>
      </c>
      <c r="EL159" s="9">
        <v>5500</v>
      </c>
      <c r="EM159" s="6" t="s">
        <v>44</v>
      </c>
      <c r="EN159" s="9">
        <v>20</v>
      </c>
      <c r="EO159" s="9">
        <v>10000</v>
      </c>
      <c r="EP159" s="10" t="s">
        <v>45</v>
      </c>
      <c r="EQ159" s="9"/>
      <c r="ER159" s="9"/>
      <c r="ES159" s="10" t="s">
        <v>45</v>
      </c>
      <c r="ET159" s="9"/>
      <c r="EU159" s="9"/>
      <c r="EV159" s="10" t="s">
        <v>45</v>
      </c>
      <c r="EW159" s="9">
        <v>25</v>
      </c>
      <c r="EX159" s="9">
        <v>6000</v>
      </c>
      <c r="EY159" s="6" t="s">
        <v>44</v>
      </c>
      <c r="EZ159" s="9">
        <v>40</v>
      </c>
      <c r="FA159" s="9">
        <v>12000</v>
      </c>
      <c r="FB159" s="10" t="s">
        <v>45</v>
      </c>
      <c r="FC159" s="9"/>
      <c r="FD159" s="9"/>
      <c r="FE159" s="10" t="s">
        <v>45</v>
      </c>
      <c r="FF159" s="9"/>
      <c r="FG159" s="9"/>
      <c r="FH159" s="10" t="s">
        <v>45</v>
      </c>
      <c r="FI159" s="9">
        <v>30</v>
      </c>
      <c r="FJ159" s="9">
        <v>7000</v>
      </c>
      <c r="FK159" s="6" t="s">
        <v>44</v>
      </c>
      <c r="FL159" s="9">
        <v>50</v>
      </c>
      <c r="FM159" s="9">
        <v>15000</v>
      </c>
      <c r="FN159" s="10" t="s">
        <v>45</v>
      </c>
      <c r="FO159" s="9"/>
      <c r="FP159" s="9"/>
      <c r="FQ159" s="10" t="s">
        <v>45</v>
      </c>
      <c r="FR159" s="9"/>
      <c r="FS159" s="9"/>
      <c r="FT159" s="10" t="s">
        <v>45</v>
      </c>
      <c r="FU159" s="9">
        <v>40</v>
      </c>
      <c r="FV159" s="9">
        <v>9000</v>
      </c>
      <c r="FW159" s="10" t="s">
        <v>45</v>
      </c>
      <c r="FX159" s="9"/>
      <c r="FY159" s="9"/>
      <c r="FZ159" s="10" t="s">
        <v>45</v>
      </c>
      <c r="GA159" s="9"/>
      <c r="GB159" s="9"/>
      <c r="GC159" s="10" t="s">
        <v>45</v>
      </c>
      <c r="GD159" s="9"/>
      <c r="GE159" s="9"/>
      <c r="GF159" s="10" t="s">
        <v>45</v>
      </c>
      <c r="GG159" s="9">
        <v>10</v>
      </c>
      <c r="GH159" s="9">
        <v>5000</v>
      </c>
      <c r="GI159" s="10" t="s">
        <v>45</v>
      </c>
      <c r="GJ159" s="9"/>
      <c r="GK159" s="9"/>
      <c r="GL159" s="10" t="s">
        <v>45</v>
      </c>
      <c r="GM159" s="7"/>
      <c r="GN159" s="7"/>
      <c r="GO159" s="6" t="s">
        <v>45</v>
      </c>
      <c r="GP159" s="7"/>
      <c r="GQ159" s="7"/>
      <c r="GR159" s="6" t="s">
        <v>45</v>
      </c>
      <c r="GS159" s="7">
        <v>6</v>
      </c>
      <c r="GT159" s="7">
        <v>4000</v>
      </c>
      <c r="GU159" s="7"/>
      <c r="GV159" s="9"/>
      <c r="GW159" s="9"/>
      <c r="GX159" s="10" t="s">
        <v>45</v>
      </c>
      <c r="GY159" s="7"/>
      <c r="GZ159" s="7"/>
      <c r="HA159" s="10" t="s">
        <v>45</v>
      </c>
      <c r="HB159" s="7"/>
      <c r="HC159" s="7"/>
      <c r="HD159" s="10" t="s">
        <v>45</v>
      </c>
      <c r="HE159" s="9">
        <v>8</v>
      </c>
      <c r="HF159" s="9">
        <v>4000</v>
      </c>
      <c r="HG159" s="10" t="s">
        <v>45</v>
      </c>
      <c r="HH159" s="9"/>
      <c r="HI159" s="9"/>
      <c r="HJ159" s="10" t="s">
        <v>45</v>
      </c>
      <c r="HK159" s="7"/>
      <c r="HL159" s="7"/>
      <c r="HM159" s="10" t="s">
        <v>45</v>
      </c>
      <c r="HN159" s="7"/>
      <c r="HO159" s="7"/>
      <c r="HP159" s="10" t="s">
        <v>45</v>
      </c>
      <c r="HQ159" s="9">
        <v>5</v>
      </c>
      <c r="HR159" s="9">
        <v>2500</v>
      </c>
      <c r="HS159" s="10" t="s">
        <v>45</v>
      </c>
      <c r="HT159" s="9"/>
      <c r="HU159" s="9"/>
      <c r="HV159" s="10" t="s">
        <v>45</v>
      </c>
      <c r="HW159" s="7"/>
      <c r="HX159" s="7"/>
      <c r="HY159" s="6" t="s">
        <v>45</v>
      </c>
      <c r="HZ159" s="7"/>
      <c r="IA159" s="7"/>
      <c r="IB159" s="6" t="s">
        <v>45</v>
      </c>
      <c r="IC159" s="9">
        <v>1</v>
      </c>
      <c r="ID159" s="9">
        <v>450</v>
      </c>
      <c r="IE159" s="7"/>
      <c r="IF159" s="9"/>
      <c r="IG159" s="9"/>
      <c r="II159" s="9"/>
      <c r="IJ159" s="9"/>
      <c r="IK159" s="9"/>
      <c r="IL159" s="9"/>
      <c r="IM159" s="9"/>
      <c r="IN159" s="9"/>
      <c r="IP159" s="9"/>
      <c r="IQ159" s="9"/>
      <c r="IR159" s="9"/>
      <c r="IS159" s="9"/>
      <c r="IT159" s="9"/>
      <c r="IU159" s="9"/>
      <c r="IV159" s="9"/>
      <c r="IW159" s="7"/>
      <c r="IX159" s="9"/>
      <c r="IY159" s="9"/>
      <c r="IZ159" s="9"/>
      <c r="JA159" s="9"/>
      <c r="JB159" s="9"/>
      <c r="JC159" s="7"/>
      <c r="JE159" s="7"/>
      <c r="JF159" s="7"/>
      <c r="JH159" s="7"/>
      <c r="JI159" s="7"/>
      <c r="JJ159" s="7"/>
      <c r="JK159" s="7"/>
      <c r="JL159" s="7"/>
      <c r="JM159" s="7"/>
      <c r="JO159" s="7"/>
      <c r="JP159" s="7"/>
      <c r="JQ159" s="7"/>
      <c r="JR159" s="7"/>
      <c r="JT159" s="7"/>
      <c r="JU159" s="7"/>
      <c r="JV159" s="7"/>
      <c r="JW159" s="7"/>
      <c r="JX159" s="7"/>
    </row>
    <row r="160" spans="1:284" x14ac:dyDescent="0.3">
      <c r="A160" s="19" t="s">
        <v>363</v>
      </c>
      <c r="B160" s="10" t="s">
        <v>40</v>
      </c>
      <c r="C160" s="9"/>
      <c r="D160" s="9"/>
      <c r="E160" s="10" t="s">
        <v>40</v>
      </c>
      <c r="F160" s="9"/>
      <c r="G160" s="9"/>
      <c r="H160" s="6" t="s">
        <v>44</v>
      </c>
      <c r="I160" s="7">
        <v>37</v>
      </c>
      <c r="J160" s="7">
        <v>7000</v>
      </c>
      <c r="K160" s="6" t="s">
        <v>44</v>
      </c>
      <c r="L160" s="9">
        <v>97</v>
      </c>
      <c r="M160" s="9">
        <v>20000</v>
      </c>
      <c r="N160" s="10" t="s">
        <v>40</v>
      </c>
      <c r="O160" s="9"/>
      <c r="P160" s="9"/>
      <c r="Q160" s="10" t="s">
        <v>40</v>
      </c>
      <c r="R160" s="9"/>
      <c r="S160" s="9"/>
      <c r="T160" s="6" t="s">
        <v>44</v>
      </c>
      <c r="U160" s="7">
        <v>45</v>
      </c>
      <c r="V160" s="7">
        <v>9000</v>
      </c>
      <c r="W160" s="6" t="s">
        <v>44</v>
      </c>
      <c r="X160" s="9">
        <v>100</v>
      </c>
      <c r="Y160" s="9">
        <v>25000</v>
      </c>
      <c r="Z160" s="10" t="s">
        <v>40</v>
      </c>
      <c r="AA160" s="9"/>
      <c r="AB160" s="9"/>
      <c r="AC160" s="10" t="s">
        <v>40</v>
      </c>
      <c r="AD160" s="9"/>
      <c r="AE160" s="9"/>
      <c r="AF160" s="6" t="s">
        <v>44</v>
      </c>
      <c r="AG160" s="7">
        <v>45</v>
      </c>
      <c r="AH160" s="7">
        <v>9000</v>
      </c>
      <c r="AI160" s="6" t="s">
        <v>44</v>
      </c>
      <c r="AJ160" s="9"/>
      <c r="AK160" s="9"/>
      <c r="AL160" s="10" t="s">
        <v>40</v>
      </c>
      <c r="AM160" s="9"/>
      <c r="AN160" s="9"/>
      <c r="AO160" s="10" t="s">
        <v>40</v>
      </c>
      <c r="AP160" s="9"/>
      <c r="AQ160" s="9"/>
      <c r="AR160" s="6" t="s">
        <v>44</v>
      </c>
      <c r="AS160" s="7">
        <v>60</v>
      </c>
      <c r="AT160" s="7">
        <v>12000</v>
      </c>
      <c r="AU160" s="6" t="s">
        <v>44</v>
      </c>
      <c r="AV160" s="9">
        <v>25</v>
      </c>
      <c r="AW160" s="9">
        <v>12000</v>
      </c>
      <c r="AX160" s="10" t="s">
        <v>40</v>
      </c>
      <c r="AY160" s="9"/>
      <c r="AZ160" s="9"/>
      <c r="BA160" s="10" t="s">
        <v>40</v>
      </c>
      <c r="BB160" s="9"/>
      <c r="BC160" s="9"/>
      <c r="BD160" s="6" t="s">
        <v>44</v>
      </c>
      <c r="BE160" s="7">
        <v>20</v>
      </c>
      <c r="BF160" s="7">
        <v>7000</v>
      </c>
      <c r="BG160" s="6" t="s">
        <v>40</v>
      </c>
      <c r="BH160" s="9">
        <v>90</v>
      </c>
      <c r="BI160" s="9">
        <v>13000</v>
      </c>
      <c r="BJ160" s="10" t="s">
        <v>40</v>
      </c>
      <c r="BK160" s="9"/>
      <c r="BL160" s="9"/>
      <c r="BM160" s="10" t="s">
        <v>40</v>
      </c>
      <c r="BN160" s="9"/>
      <c r="BO160" s="9"/>
      <c r="BP160" s="6" t="s">
        <v>44</v>
      </c>
      <c r="BQ160" s="7">
        <v>50</v>
      </c>
      <c r="BR160" s="7">
        <v>15000</v>
      </c>
      <c r="BS160" s="6" t="s">
        <v>40</v>
      </c>
      <c r="BT160" s="9">
        <v>75</v>
      </c>
      <c r="BU160" s="9">
        <v>12000</v>
      </c>
      <c r="BV160" s="10" t="s">
        <v>40</v>
      </c>
      <c r="BW160" s="9"/>
      <c r="BX160" s="9"/>
      <c r="BY160" s="10" t="s">
        <v>40</v>
      </c>
      <c r="BZ160" s="9"/>
      <c r="CA160" s="9"/>
      <c r="CB160" s="6" t="s">
        <v>44</v>
      </c>
      <c r="CC160" s="7">
        <v>25</v>
      </c>
      <c r="CD160" s="7">
        <v>5000</v>
      </c>
      <c r="CE160" s="6" t="s">
        <v>40</v>
      </c>
      <c r="CF160" s="9">
        <v>45</v>
      </c>
      <c r="CG160" s="9">
        <v>9500</v>
      </c>
      <c r="CH160" s="10" t="s">
        <v>40</v>
      </c>
      <c r="CI160" s="9"/>
      <c r="CJ160" s="9"/>
      <c r="CK160" s="10" t="s">
        <v>40</v>
      </c>
      <c r="CL160" s="9"/>
      <c r="CM160" s="9"/>
      <c r="CN160" s="6" t="s">
        <v>44</v>
      </c>
      <c r="CO160" s="7">
        <v>25</v>
      </c>
      <c r="CP160" s="7">
        <v>10000</v>
      </c>
      <c r="CQ160" s="6" t="s">
        <v>40</v>
      </c>
      <c r="CR160" s="9">
        <v>125</v>
      </c>
      <c r="CS160" s="9">
        <v>30000</v>
      </c>
      <c r="CT160" s="10" t="s">
        <v>40</v>
      </c>
      <c r="CU160" s="9"/>
      <c r="CV160" s="9"/>
      <c r="CW160" s="10" t="s">
        <v>40</v>
      </c>
      <c r="CX160" s="9"/>
      <c r="CY160" s="9"/>
      <c r="CZ160" s="6" t="s">
        <v>44</v>
      </c>
      <c r="DA160" s="7">
        <v>39</v>
      </c>
      <c r="DB160" s="7">
        <v>15140</v>
      </c>
      <c r="DC160" s="6" t="s">
        <v>40</v>
      </c>
      <c r="DD160" s="9">
        <v>104</v>
      </c>
      <c r="DE160" s="9">
        <v>19300</v>
      </c>
      <c r="DF160" s="10" t="s">
        <v>40</v>
      </c>
      <c r="DG160" s="9"/>
      <c r="DH160" s="9"/>
      <c r="DI160" s="10" t="s">
        <v>40</v>
      </c>
      <c r="DJ160" s="9"/>
      <c r="DK160" s="9"/>
      <c r="DL160" s="10" t="s">
        <v>40</v>
      </c>
      <c r="DM160" s="9">
        <v>72</v>
      </c>
      <c r="DN160" s="9">
        <v>15360</v>
      </c>
      <c r="DO160" s="6" t="s">
        <v>40</v>
      </c>
      <c r="DP160">
        <v>41</v>
      </c>
      <c r="DQ160">
        <v>9880</v>
      </c>
      <c r="DR160" s="10" t="s">
        <v>40</v>
      </c>
      <c r="DS160" s="9"/>
      <c r="DT160" s="9"/>
      <c r="DU160" s="10" t="s">
        <v>40</v>
      </c>
      <c r="DV160" s="9"/>
      <c r="DW160" s="9"/>
      <c r="DX160" s="10" t="s">
        <v>40</v>
      </c>
      <c r="DY160" s="9">
        <v>80</v>
      </c>
      <c r="DZ160" s="9">
        <v>16000</v>
      </c>
      <c r="EA160" s="6" t="s">
        <v>40</v>
      </c>
      <c r="EB160">
        <v>25</v>
      </c>
      <c r="EC160">
        <v>6000</v>
      </c>
      <c r="ED160" s="10" t="s">
        <v>40</v>
      </c>
      <c r="EE160" s="9"/>
      <c r="EF160" s="9"/>
      <c r="EG160" s="10" t="s">
        <v>40</v>
      </c>
      <c r="EH160" s="9"/>
      <c r="EI160" s="9"/>
      <c r="EJ160" s="10" t="s">
        <v>40</v>
      </c>
      <c r="EK160" s="9">
        <v>30</v>
      </c>
      <c r="EL160" s="9">
        <v>7000</v>
      </c>
      <c r="EM160" s="6" t="s">
        <v>40</v>
      </c>
      <c r="EN160" s="9">
        <v>25</v>
      </c>
      <c r="EO160" s="9">
        <v>5800</v>
      </c>
      <c r="EP160" s="10" t="s">
        <v>40</v>
      </c>
      <c r="EQ160" s="9"/>
      <c r="ER160" s="9"/>
      <c r="ES160" s="10" t="s">
        <v>40</v>
      </c>
      <c r="ET160" s="9"/>
      <c r="EU160" s="9"/>
      <c r="EV160" s="10" t="s">
        <v>40</v>
      </c>
      <c r="EW160" s="9">
        <v>24</v>
      </c>
      <c r="EX160" s="9">
        <v>5500</v>
      </c>
      <c r="EY160" s="6" t="s">
        <v>40</v>
      </c>
      <c r="EZ160" s="9">
        <v>17</v>
      </c>
      <c r="FA160" s="9">
        <v>4600</v>
      </c>
      <c r="FB160" s="10" t="s">
        <v>40</v>
      </c>
      <c r="FC160" s="9"/>
      <c r="FD160" s="9"/>
      <c r="FE160" s="10" t="s">
        <v>40</v>
      </c>
      <c r="FF160" s="9"/>
      <c r="FG160" s="9"/>
      <c r="FH160" s="10" t="s">
        <v>40</v>
      </c>
      <c r="FI160" s="9">
        <v>25</v>
      </c>
      <c r="FJ160" s="9">
        <v>6000</v>
      </c>
      <c r="FK160" s="6" t="s">
        <v>40</v>
      </c>
      <c r="FL160" s="9">
        <v>15</v>
      </c>
      <c r="FM160" s="9">
        <v>4500</v>
      </c>
      <c r="FN160" s="10" t="s">
        <v>40</v>
      </c>
      <c r="FO160" s="9"/>
      <c r="FP160" s="9"/>
      <c r="FQ160" s="10" t="s">
        <v>40</v>
      </c>
      <c r="FR160" s="9"/>
      <c r="FS160" s="9"/>
      <c r="FT160" s="6" t="s">
        <v>40</v>
      </c>
      <c r="FU160" s="9">
        <v>30</v>
      </c>
      <c r="FV160" s="9">
        <v>7000</v>
      </c>
      <c r="FW160" s="10" t="s">
        <v>45</v>
      </c>
      <c r="FX160" s="9"/>
      <c r="FY160" s="9"/>
      <c r="FZ160" s="10" t="s">
        <v>45</v>
      </c>
      <c r="GA160" s="9"/>
      <c r="GB160" s="9"/>
      <c r="GC160" s="10" t="s">
        <v>45</v>
      </c>
      <c r="GD160" s="9"/>
      <c r="GE160" s="9"/>
      <c r="GF160" s="10" t="s">
        <v>45</v>
      </c>
      <c r="GG160" s="9">
        <v>2</v>
      </c>
      <c r="GH160" s="9">
        <v>800</v>
      </c>
      <c r="GI160" s="10" t="s">
        <v>45</v>
      </c>
      <c r="GJ160" s="9"/>
      <c r="GK160" s="9"/>
      <c r="GL160" s="10" t="s">
        <v>45</v>
      </c>
      <c r="GM160" s="7"/>
      <c r="GN160" s="7"/>
      <c r="GO160" s="6" t="s">
        <v>45</v>
      </c>
      <c r="GP160" s="7"/>
      <c r="GQ160" s="7"/>
      <c r="GR160" s="6" t="s">
        <v>45</v>
      </c>
      <c r="GS160" s="7">
        <v>25</v>
      </c>
      <c r="GT160" s="7">
        <v>11300</v>
      </c>
      <c r="GU160" s="7"/>
      <c r="GV160" s="9"/>
      <c r="GW160" s="9"/>
      <c r="GX160" s="10" t="s">
        <v>45</v>
      </c>
      <c r="GY160" s="7"/>
      <c r="GZ160" s="7"/>
      <c r="HA160" s="10" t="s">
        <v>45</v>
      </c>
      <c r="HB160" s="7"/>
      <c r="HC160" s="7"/>
      <c r="HD160" s="10" t="s">
        <v>45</v>
      </c>
      <c r="HE160" s="9">
        <v>20</v>
      </c>
      <c r="HF160" s="9">
        <v>9000</v>
      </c>
      <c r="HG160" s="10" t="s">
        <v>45</v>
      </c>
      <c r="HH160" s="9"/>
      <c r="HI160" s="9"/>
      <c r="HJ160" s="10" t="s">
        <v>45</v>
      </c>
      <c r="HK160" s="7"/>
      <c r="HL160" s="7"/>
      <c r="HM160" s="10" t="s">
        <v>45</v>
      </c>
      <c r="HN160" s="7"/>
      <c r="HO160" s="7"/>
      <c r="HP160" s="10" t="s">
        <v>45</v>
      </c>
      <c r="HQ160" s="9">
        <v>24</v>
      </c>
      <c r="HR160" s="9">
        <v>11000</v>
      </c>
      <c r="HS160" s="10" t="s">
        <v>45</v>
      </c>
      <c r="HT160" s="9"/>
      <c r="HU160" s="9"/>
      <c r="HV160" s="10" t="s">
        <v>45</v>
      </c>
      <c r="HW160" s="7"/>
      <c r="HX160" s="7"/>
      <c r="HY160" s="6" t="s">
        <v>45</v>
      </c>
      <c r="HZ160" s="7"/>
      <c r="IA160" s="7"/>
      <c r="IB160" s="6" t="s">
        <v>45</v>
      </c>
      <c r="IC160" s="9">
        <v>38</v>
      </c>
      <c r="ID160" s="9">
        <v>13800</v>
      </c>
      <c r="IE160" s="7"/>
      <c r="IF160" s="9"/>
      <c r="IG160" s="9"/>
      <c r="II160" s="9"/>
      <c r="IJ160" s="9"/>
      <c r="IK160" s="9"/>
      <c r="IL160" s="9"/>
      <c r="IM160" s="9"/>
      <c r="IN160" s="9"/>
      <c r="IP160" s="9"/>
      <c r="IQ160" s="9"/>
      <c r="IR160" s="9"/>
      <c r="IS160" s="9"/>
      <c r="IT160" s="9"/>
      <c r="IU160" s="9"/>
      <c r="IV160" s="9"/>
      <c r="IW160" s="7"/>
      <c r="IX160" s="9"/>
      <c r="IY160" s="9"/>
      <c r="IZ160" s="9"/>
      <c r="JA160" s="9"/>
      <c r="JB160" s="9"/>
      <c r="JC160" s="7"/>
      <c r="JE160" s="7"/>
      <c r="JF160" s="7"/>
      <c r="JH160" s="7"/>
      <c r="JI160" s="7"/>
      <c r="JJ160" s="7"/>
      <c r="JK160" s="7"/>
      <c r="JL160" s="7"/>
      <c r="JM160" s="7"/>
      <c r="JO160" s="7"/>
      <c r="JP160" s="7"/>
      <c r="JQ160" s="7"/>
      <c r="JR160" s="7"/>
      <c r="JT160" s="7"/>
      <c r="JU160" s="7"/>
      <c r="JV160" s="7"/>
      <c r="JW160" s="7"/>
      <c r="JX160" s="7"/>
    </row>
    <row r="161" spans="1:284" x14ac:dyDescent="0.3">
      <c r="A161" s="19" t="s">
        <v>362</v>
      </c>
      <c r="B161" s="10" t="s">
        <v>7</v>
      </c>
      <c r="C161" s="7"/>
      <c r="D161" s="7"/>
      <c r="E161" s="10" t="s">
        <v>7</v>
      </c>
      <c r="F161" s="7"/>
      <c r="G161" s="7"/>
      <c r="H161" s="10" t="s">
        <v>7</v>
      </c>
      <c r="I161" s="7"/>
      <c r="J161" s="7"/>
      <c r="K161" s="10" t="s">
        <v>7</v>
      </c>
      <c r="L161" s="7"/>
      <c r="M161" s="7"/>
      <c r="N161" s="10" t="s">
        <v>7</v>
      </c>
      <c r="O161" s="7"/>
      <c r="P161" s="7"/>
      <c r="Q161" s="10" t="s">
        <v>7</v>
      </c>
      <c r="R161" s="7"/>
      <c r="S161" s="7"/>
      <c r="T161" s="10" t="s">
        <v>7</v>
      </c>
      <c r="U161" s="7"/>
      <c r="V161" s="7"/>
      <c r="W161" s="10" t="s">
        <v>7</v>
      </c>
      <c r="X161" s="7"/>
      <c r="Y161" s="7"/>
      <c r="Z161" s="10" t="s">
        <v>7</v>
      </c>
      <c r="AA161" s="7"/>
      <c r="AB161" s="7"/>
      <c r="AC161" s="10" t="s">
        <v>7</v>
      </c>
      <c r="AD161" s="7"/>
      <c r="AE161" s="7"/>
      <c r="AF161" s="10" t="s">
        <v>7</v>
      </c>
      <c r="AG161" s="7"/>
      <c r="AH161" s="7"/>
      <c r="AI161" s="10" t="s">
        <v>7</v>
      </c>
      <c r="AJ161" s="7"/>
      <c r="AK161" s="7"/>
      <c r="AL161" s="10" t="s">
        <v>7</v>
      </c>
      <c r="AM161" s="7"/>
      <c r="AN161" s="7"/>
      <c r="AO161" s="10" t="s">
        <v>7</v>
      </c>
      <c r="AP161" s="7"/>
      <c r="AQ161" s="7"/>
      <c r="AR161" s="10" t="s">
        <v>7</v>
      </c>
      <c r="AS161" s="7"/>
      <c r="AT161" s="7"/>
      <c r="AU161" s="10" t="s">
        <v>7</v>
      </c>
      <c r="AV161" s="7"/>
      <c r="AW161" s="7"/>
      <c r="AX161" s="10" t="s">
        <v>7</v>
      </c>
      <c r="AY161" s="7"/>
      <c r="AZ161" s="7"/>
      <c r="BA161" s="10" t="s">
        <v>7</v>
      </c>
      <c r="BB161" s="7"/>
      <c r="BC161" s="7"/>
      <c r="BD161" s="10" t="s">
        <v>7</v>
      </c>
      <c r="BE161" s="7"/>
      <c r="BF161" s="7"/>
      <c r="BG161" s="10" t="s">
        <v>7</v>
      </c>
      <c r="BH161" s="7"/>
      <c r="BI161" s="7"/>
      <c r="BJ161" s="10" t="s">
        <v>7</v>
      </c>
      <c r="BK161" s="7"/>
      <c r="BL161" s="7"/>
      <c r="BM161" s="10" t="s">
        <v>7</v>
      </c>
      <c r="BN161" s="7"/>
      <c r="BO161" s="7"/>
      <c r="BP161" s="10" t="s">
        <v>7</v>
      </c>
      <c r="BQ161" s="7"/>
      <c r="BR161" s="7"/>
      <c r="BS161" s="10" t="s">
        <v>7</v>
      </c>
      <c r="BT161" s="7"/>
      <c r="BU161" s="7"/>
      <c r="BV161" s="10" t="s">
        <v>7</v>
      </c>
      <c r="BW161" s="7"/>
      <c r="BX161" s="7"/>
      <c r="BY161" s="10" t="s">
        <v>7</v>
      </c>
      <c r="BZ161" s="7"/>
      <c r="CA161" s="7"/>
      <c r="CB161" s="10" t="s">
        <v>7</v>
      </c>
      <c r="CC161" s="7"/>
      <c r="CD161" s="7"/>
      <c r="CE161" s="10" t="s">
        <v>7</v>
      </c>
      <c r="CF161" s="7"/>
      <c r="CG161" s="7"/>
      <c r="CH161" s="10" t="s">
        <v>7</v>
      </c>
      <c r="CI161" s="7"/>
      <c r="CJ161" s="7"/>
      <c r="CK161" s="10" t="s">
        <v>7</v>
      </c>
      <c r="CL161" s="7"/>
      <c r="CM161" s="7"/>
      <c r="CN161" s="10" t="s">
        <v>7</v>
      </c>
      <c r="CO161" s="7"/>
      <c r="CP161" s="7"/>
      <c r="CQ161" s="10" t="s">
        <v>7</v>
      </c>
      <c r="CR161" s="7"/>
      <c r="CS161" s="7"/>
      <c r="CT161" s="10" t="s">
        <v>7</v>
      </c>
      <c r="CU161" s="7"/>
      <c r="CV161" s="7"/>
      <c r="CW161" s="10" t="s">
        <v>7</v>
      </c>
      <c r="CX161" s="7"/>
      <c r="CY161" s="7"/>
      <c r="CZ161" s="10" t="s">
        <v>7</v>
      </c>
      <c r="DA161" s="7"/>
      <c r="DB161" s="7"/>
      <c r="DC161" s="10" t="s">
        <v>7</v>
      </c>
      <c r="DD161" s="7"/>
      <c r="DE161" s="7"/>
      <c r="DF161" s="10" t="s">
        <v>7</v>
      </c>
      <c r="DG161" s="7"/>
      <c r="DH161" s="7"/>
      <c r="DI161" s="10" t="s">
        <v>7</v>
      </c>
      <c r="DJ161" s="7"/>
      <c r="DK161" s="7"/>
      <c r="DL161" s="10" t="s">
        <v>7</v>
      </c>
      <c r="DM161" s="9"/>
      <c r="DN161" s="9"/>
      <c r="DO161" s="10" t="s">
        <v>7</v>
      </c>
      <c r="DP161" s="7"/>
      <c r="DQ161" s="7"/>
      <c r="DR161" s="10" t="s">
        <v>7</v>
      </c>
      <c r="DS161" s="7"/>
      <c r="DT161" s="7"/>
      <c r="DU161" s="10" t="s">
        <v>7</v>
      </c>
      <c r="DV161" s="7"/>
      <c r="DW161" s="7"/>
      <c r="DX161" s="10" t="s">
        <v>7</v>
      </c>
      <c r="DY161" s="9"/>
      <c r="DZ161" s="9"/>
      <c r="EA161" s="10" t="s">
        <v>7</v>
      </c>
      <c r="EB161" s="7"/>
      <c r="EC161" s="7"/>
      <c r="ED161" s="10" t="s">
        <v>7</v>
      </c>
      <c r="EE161" s="7"/>
      <c r="EF161" s="7"/>
      <c r="EG161" s="10" t="s">
        <v>7</v>
      </c>
      <c r="EH161" s="7"/>
      <c r="EI161" s="7"/>
      <c r="EJ161" s="10" t="s">
        <v>7</v>
      </c>
      <c r="EK161" s="9"/>
      <c r="EL161" s="9"/>
      <c r="EM161" s="10" t="s">
        <v>7</v>
      </c>
      <c r="EN161" s="7"/>
      <c r="EO161" s="7"/>
      <c r="EP161" s="10" t="s">
        <v>7</v>
      </c>
      <c r="EQ161" s="7"/>
      <c r="ER161" s="7"/>
      <c r="ES161" s="10" t="s">
        <v>7</v>
      </c>
      <c r="ET161" s="7"/>
      <c r="EU161" s="7"/>
      <c r="EV161" s="10" t="s">
        <v>7</v>
      </c>
      <c r="EW161" s="9"/>
      <c r="EX161" s="9"/>
      <c r="EY161" s="10" t="s">
        <v>7</v>
      </c>
      <c r="EZ161" s="7"/>
      <c r="FA161" s="7"/>
      <c r="FB161" s="10" t="s">
        <v>7</v>
      </c>
      <c r="FC161" s="7"/>
      <c r="FD161" s="7"/>
      <c r="FE161" s="10" t="s">
        <v>7</v>
      </c>
      <c r="FF161" s="7"/>
      <c r="FG161" s="7"/>
      <c r="FH161" s="10" t="s">
        <v>7</v>
      </c>
      <c r="FI161" s="9"/>
      <c r="FJ161" s="9"/>
      <c r="FK161" s="10" t="s">
        <v>7</v>
      </c>
      <c r="FL161" s="7"/>
      <c r="FM161" s="7"/>
      <c r="FN161" s="10" t="s">
        <v>7</v>
      </c>
      <c r="FO161" s="7"/>
      <c r="FP161" s="7"/>
      <c r="FQ161" s="10" t="s">
        <v>7</v>
      </c>
      <c r="FR161" s="7"/>
      <c r="FS161" s="7"/>
      <c r="FT161" s="10" t="s">
        <v>7</v>
      </c>
      <c r="FU161" s="9"/>
      <c r="FV161" s="9"/>
      <c r="FW161" s="10" t="s">
        <v>7</v>
      </c>
      <c r="FX161" s="7"/>
      <c r="FY161" s="7"/>
      <c r="FZ161" s="10" t="s">
        <v>7</v>
      </c>
      <c r="GA161" s="7"/>
      <c r="GB161" s="7"/>
      <c r="GC161" s="10" t="s">
        <v>7</v>
      </c>
      <c r="GD161" s="7"/>
      <c r="GE161" s="7"/>
      <c r="GF161" s="10" t="s">
        <v>7</v>
      </c>
      <c r="GG161" s="7"/>
      <c r="GH161" s="7"/>
      <c r="GI161" s="10" t="s">
        <v>7</v>
      </c>
      <c r="GJ161" s="7"/>
      <c r="GK161" s="7"/>
      <c r="GL161" s="10" t="s">
        <v>7</v>
      </c>
      <c r="GM161" s="7"/>
      <c r="GN161" s="7"/>
      <c r="GO161" s="10" t="s">
        <v>7</v>
      </c>
      <c r="GP161" s="7"/>
      <c r="GQ161" s="7"/>
      <c r="GR161" s="10" t="s">
        <v>7</v>
      </c>
      <c r="GS161" s="7"/>
      <c r="GT161" s="7"/>
      <c r="GU161" t="s">
        <v>7</v>
      </c>
      <c r="GV161" s="7"/>
      <c r="GW161" s="7"/>
      <c r="GX161" s="10" t="s">
        <v>7</v>
      </c>
      <c r="GY161" s="7"/>
      <c r="GZ161" s="7"/>
      <c r="HA161" s="10" t="s">
        <v>7</v>
      </c>
      <c r="HB161" s="7"/>
      <c r="HC161" s="7"/>
      <c r="HD161" s="10" t="s">
        <v>7</v>
      </c>
      <c r="HE161" s="7"/>
      <c r="HF161" s="7"/>
      <c r="HG161" s="10" t="s">
        <v>7</v>
      </c>
      <c r="HH161" s="7"/>
      <c r="HI161" s="7"/>
      <c r="HJ161" s="10" t="s">
        <v>7</v>
      </c>
      <c r="HK161" s="7"/>
      <c r="HL161" s="7"/>
      <c r="HM161" s="10" t="s">
        <v>7</v>
      </c>
      <c r="HN161" s="7"/>
      <c r="HO161" s="7"/>
      <c r="HP161" s="10" t="s">
        <v>7</v>
      </c>
      <c r="HQ161" s="7"/>
      <c r="HR161" s="7"/>
      <c r="HS161" s="10" t="s">
        <v>7</v>
      </c>
      <c r="HT161" s="7"/>
      <c r="HU161" s="7"/>
      <c r="HV161" s="10" t="s">
        <v>7</v>
      </c>
      <c r="HW161" s="7"/>
      <c r="HX161" s="7"/>
      <c r="HY161" s="10" t="s">
        <v>7</v>
      </c>
      <c r="HZ161" s="7"/>
      <c r="IA161" s="7"/>
      <c r="IB161" s="10" t="s">
        <v>7</v>
      </c>
      <c r="IC161" s="7"/>
      <c r="ID161" s="7"/>
      <c r="IE161" t="s">
        <v>7</v>
      </c>
      <c r="IF161" s="7"/>
      <c r="IG161" s="7"/>
      <c r="IH161" t="s">
        <v>7</v>
      </c>
      <c r="II161" s="7"/>
      <c r="IJ161" s="7">
        <f>38800+15200</f>
        <v>54000</v>
      </c>
      <c r="IK161" s="7"/>
      <c r="IL161" s="7">
        <f>42000+16500</f>
        <v>58500</v>
      </c>
      <c r="IM161" s="7"/>
      <c r="IN161" s="7">
        <f>50000+17000</f>
        <v>67000</v>
      </c>
      <c r="IO161" t="s">
        <v>7</v>
      </c>
      <c r="IP161" s="7"/>
      <c r="IQ161" s="7">
        <f>60000+15000</f>
        <v>75000</v>
      </c>
      <c r="IR161" s="7"/>
      <c r="IS161" s="7">
        <f>45000+12000</f>
        <v>57000</v>
      </c>
      <c r="IT161" s="7"/>
      <c r="IU161" s="7">
        <f>40000+10000</f>
        <v>50000</v>
      </c>
      <c r="IV161" s="7"/>
      <c r="IW161" s="7">
        <f>88172+1600</f>
        <v>89772</v>
      </c>
      <c r="IX161" s="7">
        <f>130+66</f>
        <v>196</v>
      </c>
      <c r="IY161" s="7">
        <f>28210+17858</f>
        <v>46068</v>
      </c>
      <c r="IZ161" s="7">
        <f>140+70</f>
        <v>210</v>
      </c>
      <c r="JA161" s="7">
        <f>30900+19400</f>
        <v>50300</v>
      </c>
      <c r="JB161" s="7">
        <f>135+80</f>
        <v>215</v>
      </c>
      <c r="JC161" s="7">
        <f>30200+22600</f>
        <v>52800</v>
      </c>
      <c r="JD161" s="10" t="s">
        <v>7</v>
      </c>
      <c r="JE161" s="7">
        <v>162</v>
      </c>
      <c r="JF161" s="7">
        <f>44900+2000</f>
        <v>46900</v>
      </c>
      <c r="JG161" t="s">
        <v>7</v>
      </c>
      <c r="JH161" s="7">
        <v>270</v>
      </c>
      <c r="JI161" s="7">
        <v>28500</v>
      </c>
      <c r="JJ161" s="7">
        <v>160</v>
      </c>
      <c r="JK161" s="7">
        <v>14333</v>
      </c>
      <c r="JL161" s="7">
        <v>160</v>
      </c>
      <c r="JM161" s="7">
        <v>14267</v>
      </c>
      <c r="JN161" t="s">
        <v>7</v>
      </c>
      <c r="JO161" s="7">
        <v>185</v>
      </c>
      <c r="JP161" s="7">
        <v>16886</v>
      </c>
      <c r="JQ161" s="7">
        <v>175</v>
      </c>
      <c r="JR161" s="7">
        <v>15963</v>
      </c>
      <c r="JS161" t="s">
        <v>7</v>
      </c>
      <c r="JT161" s="7"/>
      <c r="JU161" s="7"/>
      <c r="JV161" s="7">
        <v>60</v>
      </c>
      <c r="JW161" s="7">
        <v>2603</v>
      </c>
      <c r="JX161" s="7"/>
    </row>
    <row r="162" spans="1:284" x14ac:dyDescent="0.3">
      <c r="A162" s="19" t="s">
        <v>107</v>
      </c>
      <c r="B162" s="10" t="s">
        <v>44</v>
      </c>
      <c r="C162" s="7"/>
      <c r="D162" s="7"/>
      <c r="E162" s="10" t="s">
        <v>44</v>
      </c>
      <c r="F162" s="7"/>
      <c r="G162" s="7"/>
      <c r="H162" s="10" t="s">
        <v>44</v>
      </c>
      <c r="I162" s="7"/>
      <c r="J162" s="7"/>
      <c r="K162" s="10" t="s">
        <v>44</v>
      </c>
      <c r="L162" s="16">
        <v>631</v>
      </c>
      <c r="M162" s="7">
        <v>50000</v>
      </c>
      <c r="N162" s="10" t="s">
        <v>44</v>
      </c>
      <c r="O162" s="7"/>
      <c r="P162" s="7"/>
      <c r="Q162" s="10" t="s">
        <v>44</v>
      </c>
      <c r="R162" s="7"/>
      <c r="S162" s="7"/>
      <c r="T162" s="10" t="s">
        <v>44</v>
      </c>
      <c r="U162" s="7">
        <v>232</v>
      </c>
      <c r="V162" s="7">
        <v>3000</v>
      </c>
      <c r="W162" s="10" t="s">
        <v>44</v>
      </c>
      <c r="X162" s="16">
        <v>600</v>
      </c>
      <c r="Y162" s="7">
        <v>45000</v>
      </c>
      <c r="Z162" s="10" t="s">
        <v>44</v>
      </c>
      <c r="AA162" s="7"/>
      <c r="AB162" s="7"/>
      <c r="AC162" s="10" t="s">
        <v>44</v>
      </c>
      <c r="AD162" s="7"/>
      <c r="AE162" s="7"/>
      <c r="AF162" s="10" t="s">
        <v>44</v>
      </c>
      <c r="AG162" s="7">
        <v>232</v>
      </c>
      <c r="AH162" s="7">
        <v>3000</v>
      </c>
      <c r="AI162" s="10" t="s">
        <v>44</v>
      </c>
      <c r="AJ162" s="16">
        <f>745+8</f>
        <v>753</v>
      </c>
      <c r="AK162" s="7">
        <f>56000+40</f>
        <v>56040</v>
      </c>
      <c r="AL162" s="10" t="s">
        <v>44</v>
      </c>
      <c r="AM162" s="7"/>
      <c r="AN162" s="7"/>
      <c r="AO162" s="10" t="s">
        <v>44</v>
      </c>
      <c r="AP162" s="7">
        <v>34</v>
      </c>
      <c r="AQ162" s="7">
        <v>2000</v>
      </c>
      <c r="AR162" s="10" t="s">
        <v>44</v>
      </c>
      <c r="AS162" s="7">
        <v>232</v>
      </c>
      <c r="AT162" s="7">
        <v>3000</v>
      </c>
      <c r="AU162" s="10" t="s">
        <v>44</v>
      </c>
      <c r="AV162" s="16">
        <v>800</v>
      </c>
      <c r="AW162" s="7">
        <v>60000</v>
      </c>
      <c r="AX162" s="10" t="s">
        <v>44</v>
      </c>
      <c r="AY162" s="7"/>
      <c r="AZ162" s="7"/>
      <c r="BA162" s="10" t="s">
        <v>44</v>
      </c>
      <c r="BB162" s="7"/>
      <c r="BC162" s="7"/>
      <c r="BD162" s="10" t="s">
        <v>44</v>
      </c>
      <c r="BE162" s="7">
        <v>232</v>
      </c>
      <c r="BF162" s="7">
        <v>3000</v>
      </c>
      <c r="BG162" s="10" t="s">
        <v>44</v>
      </c>
      <c r="BH162" s="16">
        <v>700</v>
      </c>
      <c r="BI162" s="7">
        <v>55000</v>
      </c>
      <c r="BJ162" s="10" t="s">
        <v>44</v>
      </c>
      <c r="BK162" s="7"/>
      <c r="BL162" s="7"/>
      <c r="BM162" s="10" t="s">
        <v>44</v>
      </c>
      <c r="BN162" s="7"/>
      <c r="BO162" s="7"/>
      <c r="BP162" s="10" t="s">
        <v>44</v>
      </c>
      <c r="BQ162" s="7">
        <v>232</v>
      </c>
      <c r="BR162" s="7">
        <v>3000</v>
      </c>
      <c r="BS162" s="10" t="s">
        <v>44</v>
      </c>
      <c r="BT162" s="16">
        <f>700</f>
        <v>700</v>
      </c>
      <c r="BU162" s="7">
        <v>56000</v>
      </c>
      <c r="BV162" s="10" t="s">
        <v>44</v>
      </c>
      <c r="BW162" s="7"/>
      <c r="BX162" s="7"/>
      <c r="BY162" s="10" t="s">
        <v>44</v>
      </c>
      <c r="BZ162" s="7"/>
      <c r="CA162" s="7"/>
      <c r="CB162" s="10" t="s">
        <v>44</v>
      </c>
      <c r="CC162" s="7">
        <v>232</v>
      </c>
      <c r="CD162" s="7">
        <v>3000</v>
      </c>
      <c r="CE162" s="10" t="s">
        <v>44</v>
      </c>
      <c r="CF162" s="16">
        <f>953</f>
        <v>953</v>
      </c>
      <c r="CG162" s="7">
        <v>76240</v>
      </c>
      <c r="CH162" s="10" t="s">
        <v>44</v>
      </c>
      <c r="CI162" s="7"/>
      <c r="CJ162" s="7"/>
      <c r="CK162" s="10" t="s">
        <v>44</v>
      </c>
      <c r="CL162" s="7"/>
      <c r="CM162" s="7"/>
      <c r="CN162" s="10" t="s">
        <v>44</v>
      </c>
      <c r="CO162" s="7">
        <v>200</v>
      </c>
      <c r="CP162" s="7">
        <v>700</v>
      </c>
      <c r="CQ162" s="10" t="s">
        <v>44</v>
      </c>
      <c r="CR162" s="16">
        <v>1000</v>
      </c>
      <c r="CS162" s="7">
        <v>75000</v>
      </c>
      <c r="CT162" s="10" t="s">
        <v>44</v>
      </c>
      <c r="CU162" s="7"/>
      <c r="CV162" s="7"/>
      <c r="CW162" s="10" t="s">
        <v>44</v>
      </c>
      <c r="CX162" s="7"/>
      <c r="CY162" s="7"/>
      <c r="CZ162" s="10" t="s">
        <v>44</v>
      </c>
      <c r="DA162" s="7">
        <v>102</v>
      </c>
      <c r="DB162" s="7">
        <v>2000</v>
      </c>
      <c r="DC162" s="10" t="s">
        <v>44</v>
      </c>
      <c r="DD162" s="16">
        <f>(428+4)*3</f>
        <v>1296</v>
      </c>
      <c r="DE162" s="7">
        <f>32110+30225</f>
        <v>62335</v>
      </c>
      <c r="DF162" s="10" t="s">
        <v>44</v>
      </c>
      <c r="DG162" s="7"/>
      <c r="DH162" s="7"/>
      <c r="DI162" s="10" t="s">
        <v>44</v>
      </c>
      <c r="DJ162" s="7"/>
      <c r="DK162" s="7"/>
      <c r="DL162" s="10" t="s">
        <v>44</v>
      </c>
      <c r="DM162" s="16">
        <v>62</v>
      </c>
      <c r="DN162" s="9">
        <v>1135</v>
      </c>
      <c r="DO162" s="10" t="s">
        <v>44</v>
      </c>
      <c r="DP162" s="16">
        <f>(428+4)*3</f>
        <v>1296</v>
      </c>
      <c r="DQ162" s="7">
        <f>32110+30225</f>
        <v>62335</v>
      </c>
      <c r="DR162" s="10" t="s">
        <v>44</v>
      </c>
      <c r="DS162" s="7"/>
      <c r="DT162" s="7"/>
      <c r="DU162" s="10" t="s">
        <v>44</v>
      </c>
      <c r="DV162" s="7"/>
      <c r="DW162" s="7"/>
      <c r="DX162" s="10" t="s">
        <v>44</v>
      </c>
      <c r="DY162" s="16">
        <v>75</v>
      </c>
      <c r="DZ162" s="9">
        <v>1500</v>
      </c>
      <c r="EA162" s="10" t="s">
        <v>44</v>
      </c>
      <c r="EB162" s="16">
        <f>(440+8)*3</f>
        <v>1344</v>
      </c>
      <c r="EC162" s="7">
        <f>34000+60400</f>
        <v>94400</v>
      </c>
      <c r="ED162" s="10" t="s">
        <v>44</v>
      </c>
      <c r="EE162" s="7"/>
      <c r="EF162" s="7"/>
      <c r="EG162" s="10" t="s">
        <v>44</v>
      </c>
      <c r="EH162" s="7"/>
      <c r="EI162" s="7"/>
      <c r="EJ162" s="10" t="s">
        <v>44</v>
      </c>
      <c r="EK162" s="16">
        <v>30</v>
      </c>
      <c r="EL162" s="9">
        <v>500</v>
      </c>
      <c r="EM162" s="10" t="s">
        <v>44</v>
      </c>
      <c r="EN162" s="16">
        <f>(420+8)*3</f>
        <v>1284</v>
      </c>
      <c r="EO162" s="7">
        <f>31000+30000</f>
        <v>61000</v>
      </c>
      <c r="EP162" s="10" t="s">
        <v>44</v>
      </c>
      <c r="EQ162" s="7"/>
      <c r="ER162" s="7"/>
      <c r="ES162" s="10" t="s">
        <v>44</v>
      </c>
      <c r="ET162" s="7"/>
      <c r="EU162" s="7"/>
      <c r="EV162" s="10" t="s">
        <v>44</v>
      </c>
      <c r="EW162" s="16">
        <v>30</v>
      </c>
      <c r="EX162" s="9">
        <v>400</v>
      </c>
      <c r="EY162" s="10" t="s">
        <v>44</v>
      </c>
      <c r="EZ162" s="16">
        <f>(320+10)*3</f>
        <v>990</v>
      </c>
      <c r="FA162" s="7">
        <f>15000+25000</f>
        <v>40000</v>
      </c>
      <c r="FB162" s="10" t="s">
        <v>44</v>
      </c>
      <c r="FC162" s="7"/>
      <c r="FD162" s="7"/>
      <c r="FE162" s="10" t="s">
        <v>44</v>
      </c>
      <c r="FF162" s="7"/>
      <c r="FG162" s="7"/>
      <c r="FH162" s="10" t="s">
        <v>44</v>
      </c>
      <c r="FI162" s="16">
        <v>50</v>
      </c>
      <c r="FJ162" s="9">
        <v>800</v>
      </c>
      <c r="FK162" s="10" t="s">
        <v>44</v>
      </c>
      <c r="FL162" s="16">
        <f>(400+15)*3</f>
        <v>1245</v>
      </c>
      <c r="FM162" s="7">
        <f>18000+20000</f>
        <v>38000</v>
      </c>
      <c r="FN162" s="10" t="s">
        <v>44</v>
      </c>
      <c r="FO162" s="7"/>
      <c r="FP162" s="7"/>
      <c r="FQ162" s="10" t="s">
        <v>44</v>
      </c>
      <c r="FR162" s="7"/>
      <c r="FS162" s="7"/>
      <c r="FT162" s="10" t="s">
        <v>44</v>
      </c>
      <c r="FU162" s="16">
        <v>60</v>
      </c>
      <c r="FV162" s="9">
        <v>900</v>
      </c>
      <c r="FW162" s="10" t="s">
        <v>44</v>
      </c>
      <c r="FX162" s="16">
        <f>(450+355)*3</f>
        <v>2415</v>
      </c>
      <c r="FY162" s="7">
        <f>19000+15000</f>
        <v>34000</v>
      </c>
      <c r="FZ162" s="10" t="s">
        <v>44</v>
      </c>
      <c r="GA162" s="7"/>
      <c r="GB162" s="7"/>
      <c r="GC162" s="10" t="s">
        <v>44</v>
      </c>
      <c r="GD162" s="7"/>
      <c r="GE162" s="7"/>
      <c r="GF162" s="10" t="s">
        <v>44</v>
      </c>
      <c r="GG162" s="7">
        <v>100</v>
      </c>
      <c r="GH162" s="7">
        <v>1100</v>
      </c>
      <c r="GI162" s="10" t="s">
        <v>44</v>
      </c>
      <c r="GJ162" s="7">
        <f>659+15</f>
        <v>674</v>
      </c>
      <c r="GK162" s="7">
        <f>66930+1500</f>
        <v>68430</v>
      </c>
      <c r="GL162" s="10" t="s">
        <v>44</v>
      </c>
      <c r="GM162" s="7"/>
      <c r="GN162" s="7"/>
      <c r="GO162" s="10" t="s">
        <v>44</v>
      </c>
      <c r="GP162" s="7"/>
      <c r="GQ162" s="7"/>
      <c r="GR162" s="10" t="s">
        <v>44</v>
      </c>
      <c r="GS162" s="7">
        <v>78</v>
      </c>
      <c r="GT162" s="7">
        <v>3100</v>
      </c>
      <c r="GU162" s="6" t="s">
        <v>44</v>
      </c>
      <c r="GV162" s="7">
        <f>500+165</f>
        <v>665</v>
      </c>
      <c r="GW162" s="7">
        <f>50000+1600</f>
        <v>51600</v>
      </c>
      <c r="GX162" s="10" t="s">
        <v>44</v>
      </c>
      <c r="GY162" s="7"/>
      <c r="GZ162" s="7"/>
      <c r="HA162" s="10" t="s">
        <v>44</v>
      </c>
      <c r="HB162" s="7"/>
      <c r="HC162" s="7"/>
      <c r="HD162" s="10" t="s">
        <v>44</v>
      </c>
      <c r="HE162" s="7">
        <f>80</f>
        <v>80</v>
      </c>
      <c r="HF162" s="7">
        <v>3000</v>
      </c>
      <c r="HG162" s="10" t="s">
        <v>44</v>
      </c>
      <c r="HH162" s="7">
        <f>600+15</f>
        <v>615</v>
      </c>
      <c r="HI162" s="7">
        <f>45000+1400</f>
        <v>46400</v>
      </c>
      <c r="HJ162" s="10" t="s">
        <v>44</v>
      </c>
      <c r="HK162" s="7"/>
      <c r="HL162" s="7"/>
      <c r="HM162" s="10" t="s">
        <v>44</v>
      </c>
      <c r="HN162" s="7"/>
      <c r="HO162" s="7"/>
      <c r="HP162" s="10" t="s">
        <v>44</v>
      </c>
      <c r="HQ162" s="7">
        <v>85</v>
      </c>
      <c r="HR162" s="7">
        <v>3100</v>
      </c>
      <c r="HS162" s="10" t="s">
        <v>44</v>
      </c>
      <c r="HT162" s="7">
        <f>550+16</f>
        <v>566</v>
      </c>
      <c r="HU162" s="7">
        <f>41000+1500</f>
        <v>42500</v>
      </c>
      <c r="HV162" s="10" t="s">
        <v>44</v>
      </c>
      <c r="HW162" s="7"/>
      <c r="HX162" s="7"/>
      <c r="HY162" s="10" t="s">
        <v>44</v>
      </c>
      <c r="HZ162" s="7"/>
      <c r="IA162" s="7"/>
      <c r="IB162" s="10" t="s">
        <v>44</v>
      </c>
      <c r="IC162" s="7">
        <v>85</v>
      </c>
      <c r="ID162" s="7">
        <v>1140</v>
      </c>
      <c r="IE162" s="6" t="s">
        <v>44</v>
      </c>
      <c r="IF162" s="7">
        <f>1185+15</f>
        <v>1200</v>
      </c>
      <c r="IG162" s="7">
        <f>76160+1000</f>
        <v>77160</v>
      </c>
      <c r="IH162" t="s">
        <v>7</v>
      </c>
      <c r="II162" s="7">
        <f>1/10*(24300+390)</f>
        <v>2469</v>
      </c>
      <c r="IJ162" s="7">
        <f>81000+1300</f>
        <v>82300</v>
      </c>
      <c r="IK162" s="7">
        <f>1/10*(27300+360)</f>
        <v>2766</v>
      </c>
      <c r="IL162" s="7">
        <f>91000+1200</f>
        <v>92200</v>
      </c>
      <c r="IM162" s="7">
        <f>1/10*48000</f>
        <v>4800</v>
      </c>
      <c r="IN162" s="7">
        <v>160000</v>
      </c>
      <c r="IO162" t="s">
        <v>7</v>
      </c>
      <c r="IP162" s="7" t="s">
        <v>429</v>
      </c>
      <c r="IQ162" s="7">
        <v>165000</v>
      </c>
      <c r="IR162" s="7">
        <f>1/10*60000</f>
        <v>6000</v>
      </c>
      <c r="IS162" s="7">
        <v>175000</v>
      </c>
      <c r="IT162" s="7">
        <f>1/10*(50000+680)</f>
        <v>5068</v>
      </c>
      <c r="IU162" s="7">
        <f>150000+9000</f>
        <v>159000</v>
      </c>
      <c r="IV162" s="9">
        <f>4715</f>
        <v>4715</v>
      </c>
      <c r="IW162" s="7">
        <v>216357</v>
      </c>
      <c r="IX162" s="7">
        <f>3633+6</f>
        <v>3639</v>
      </c>
      <c r="IY162" s="7">
        <f>93598+160</f>
        <v>93758</v>
      </c>
      <c r="IZ162" s="7">
        <v>3750</v>
      </c>
      <c r="JA162" s="7">
        <v>97400</v>
      </c>
      <c r="JB162" s="7">
        <v>3800</v>
      </c>
      <c r="JC162" s="7">
        <v>98500</v>
      </c>
      <c r="JD162" s="10" t="s">
        <v>7</v>
      </c>
      <c r="JE162" s="9">
        <v>2700</v>
      </c>
      <c r="JF162" s="7">
        <v>90000</v>
      </c>
      <c r="JG162" t="s">
        <v>7</v>
      </c>
      <c r="JH162" s="7">
        <v>3000</v>
      </c>
      <c r="JI162" s="7">
        <v>15000</v>
      </c>
      <c r="JJ162" s="7">
        <v>3325</v>
      </c>
      <c r="JK162" s="7">
        <v>16067</v>
      </c>
      <c r="JL162" s="7">
        <v>4100</v>
      </c>
      <c r="JM162" s="7">
        <v>18314</v>
      </c>
      <c r="JN162" t="s">
        <v>7</v>
      </c>
      <c r="JO162" s="7">
        <v>4495</v>
      </c>
      <c r="JP162" s="7">
        <v>20923</v>
      </c>
      <c r="JQ162" s="7">
        <v>4412</v>
      </c>
      <c r="JR162" s="7">
        <v>21131</v>
      </c>
      <c r="JS162" t="s">
        <v>7</v>
      </c>
      <c r="JT162" s="7">
        <v>2402</v>
      </c>
      <c r="JU162" s="7">
        <v>11648</v>
      </c>
      <c r="JV162" s="7">
        <v>2334</v>
      </c>
      <c r="JW162" s="7">
        <v>13425</v>
      </c>
      <c r="JX162" s="7"/>
    </row>
    <row r="163" spans="1:284" x14ac:dyDescent="0.3">
      <c r="A163" t="s">
        <v>322</v>
      </c>
      <c r="B163" s="10" t="s">
        <v>45</v>
      </c>
      <c r="C163" s="7"/>
      <c r="D163" s="7"/>
      <c r="E163" s="10" t="s">
        <v>45</v>
      </c>
      <c r="F163" s="7"/>
      <c r="G163" s="7"/>
      <c r="H163" s="10" t="s">
        <v>45</v>
      </c>
      <c r="I163" s="7"/>
      <c r="J163" s="7"/>
      <c r="K163" s="10" t="s">
        <v>45</v>
      </c>
      <c r="L163" s="7"/>
      <c r="M163" s="7"/>
      <c r="N163" s="10" t="s">
        <v>45</v>
      </c>
      <c r="O163" s="7"/>
      <c r="P163" s="7"/>
      <c r="Q163" s="10" t="s">
        <v>45</v>
      </c>
      <c r="R163" s="7"/>
      <c r="S163" s="7"/>
      <c r="T163" s="10" t="s">
        <v>45</v>
      </c>
      <c r="U163" s="7"/>
      <c r="V163" s="7"/>
      <c r="W163" s="10" t="s">
        <v>45</v>
      </c>
      <c r="X163" s="7"/>
      <c r="Y163" s="7"/>
      <c r="Z163" s="10" t="s">
        <v>45</v>
      </c>
      <c r="AA163" s="7"/>
      <c r="AB163" s="7"/>
      <c r="AC163" s="10" t="s">
        <v>45</v>
      </c>
      <c r="AD163" s="7"/>
      <c r="AE163" s="7"/>
      <c r="AF163" s="10" t="s">
        <v>45</v>
      </c>
      <c r="AG163" s="7"/>
      <c r="AH163" s="7"/>
      <c r="AI163" s="10" t="s">
        <v>45</v>
      </c>
      <c r="AJ163" s="7"/>
      <c r="AK163" s="7"/>
      <c r="AL163" s="10" t="s">
        <v>45</v>
      </c>
      <c r="AM163" s="7"/>
      <c r="AN163" s="7"/>
      <c r="AO163" s="10" t="s">
        <v>45</v>
      </c>
      <c r="AP163" s="7"/>
      <c r="AQ163" s="7"/>
      <c r="AR163" s="10" t="s">
        <v>45</v>
      </c>
      <c r="AS163" s="7"/>
      <c r="AT163" s="7"/>
      <c r="AU163" s="10" t="s">
        <v>45</v>
      </c>
      <c r="AV163" s="7"/>
      <c r="AW163" s="7"/>
      <c r="AX163" s="10" t="s">
        <v>45</v>
      </c>
      <c r="AY163" s="7"/>
      <c r="AZ163" s="7"/>
      <c r="BA163" s="10" t="s">
        <v>45</v>
      </c>
      <c r="BB163" s="7"/>
      <c r="BC163" s="7"/>
      <c r="BD163" s="10" t="s">
        <v>45</v>
      </c>
      <c r="BE163" s="7"/>
      <c r="BF163" s="7"/>
      <c r="BG163" s="10" t="s">
        <v>45</v>
      </c>
      <c r="BH163" s="7"/>
      <c r="BI163" s="7"/>
      <c r="BJ163" s="10" t="s">
        <v>45</v>
      </c>
      <c r="BK163" s="7"/>
      <c r="BL163" s="7"/>
      <c r="BM163" s="10" t="s">
        <v>45</v>
      </c>
      <c r="BN163" s="7"/>
      <c r="BO163" s="7"/>
      <c r="BP163" s="10" t="s">
        <v>45</v>
      </c>
      <c r="BQ163" s="7"/>
      <c r="BR163" s="7"/>
      <c r="BS163" s="10" t="s">
        <v>45</v>
      </c>
      <c r="BT163" s="7"/>
      <c r="BU163" s="7"/>
      <c r="BV163" s="10" t="s">
        <v>45</v>
      </c>
      <c r="BW163" s="7"/>
      <c r="BX163" s="7"/>
      <c r="BY163" s="10" t="s">
        <v>45</v>
      </c>
      <c r="BZ163" s="7"/>
      <c r="CA163" s="7"/>
      <c r="CB163" s="10" t="s">
        <v>45</v>
      </c>
      <c r="CC163" s="7"/>
      <c r="CD163" s="7"/>
      <c r="CE163" s="10" t="s">
        <v>45</v>
      </c>
      <c r="CF163" s="7"/>
      <c r="CG163" s="7"/>
      <c r="CH163" s="10" t="s">
        <v>45</v>
      </c>
      <c r="CI163" s="7"/>
      <c r="CJ163" s="7"/>
      <c r="CK163" s="10" t="s">
        <v>45</v>
      </c>
      <c r="CL163" s="7"/>
      <c r="CM163" s="7"/>
      <c r="CN163" s="10" t="s">
        <v>45</v>
      </c>
      <c r="CO163" s="7"/>
      <c r="CP163" s="7"/>
      <c r="CQ163" s="10" t="s">
        <v>45</v>
      </c>
      <c r="CR163" s="7"/>
      <c r="CS163" s="7"/>
      <c r="CT163" s="10" t="s">
        <v>45</v>
      </c>
      <c r="CU163" s="7"/>
      <c r="CV163" s="7"/>
      <c r="CW163" s="10" t="s">
        <v>45</v>
      </c>
      <c r="CX163" s="7"/>
      <c r="CY163" s="7"/>
      <c r="CZ163" s="10" t="s">
        <v>45</v>
      </c>
      <c r="DA163" s="7"/>
      <c r="DB163" s="7"/>
      <c r="DC163" s="10" t="s">
        <v>45</v>
      </c>
      <c r="DD163" s="7"/>
      <c r="DE163" s="7"/>
      <c r="DF163" s="10" t="s">
        <v>45</v>
      </c>
      <c r="DG163" s="7"/>
      <c r="DH163" s="7"/>
      <c r="DI163" s="10" t="s">
        <v>45</v>
      </c>
      <c r="DJ163" s="7"/>
      <c r="DK163" s="7"/>
      <c r="DL163" s="10" t="s">
        <v>45</v>
      </c>
      <c r="DM163" s="9"/>
      <c r="DN163" s="9"/>
      <c r="DO163" s="10" t="s">
        <v>45</v>
      </c>
      <c r="DP163" s="7"/>
      <c r="DQ163" s="7"/>
      <c r="DR163" s="10" t="s">
        <v>45</v>
      </c>
      <c r="DS163" s="7"/>
      <c r="DT163" s="7"/>
      <c r="DU163" s="10" t="s">
        <v>45</v>
      </c>
      <c r="DV163" s="7"/>
      <c r="DW163" s="7"/>
      <c r="DX163" s="10" t="s">
        <v>45</v>
      </c>
      <c r="DY163" s="9"/>
      <c r="DZ163" s="9"/>
      <c r="EA163" s="10" t="s">
        <v>45</v>
      </c>
      <c r="EB163" s="7"/>
      <c r="EC163" s="7"/>
      <c r="ED163" s="10" t="s">
        <v>45</v>
      </c>
      <c r="EE163" s="7"/>
      <c r="EF163" s="7"/>
      <c r="EG163" s="10" t="s">
        <v>45</v>
      </c>
      <c r="EH163" s="7"/>
      <c r="EI163" s="7"/>
      <c r="EJ163" s="10" t="s">
        <v>45</v>
      </c>
      <c r="EK163" s="9"/>
      <c r="EL163" s="9"/>
      <c r="EM163" s="10" t="s">
        <v>45</v>
      </c>
      <c r="EN163" s="7"/>
      <c r="EO163" s="7"/>
      <c r="EP163" s="10" t="s">
        <v>45</v>
      </c>
      <c r="EQ163" s="7"/>
      <c r="ER163" s="7"/>
      <c r="ES163" s="10" t="s">
        <v>45</v>
      </c>
      <c r="ET163" s="7"/>
      <c r="EU163" s="7"/>
      <c r="EV163" s="10" t="s">
        <v>45</v>
      </c>
      <c r="EW163" s="9"/>
      <c r="EX163" s="9"/>
      <c r="EY163" s="10" t="s">
        <v>45</v>
      </c>
      <c r="EZ163" s="7"/>
      <c r="FA163" s="7"/>
      <c r="FB163" s="10" t="s">
        <v>45</v>
      </c>
      <c r="FC163" s="7"/>
      <c r="FD163" s="7"/>
      <c r="FE163" s="10" t="s">
        <v>45</v>
      </c>
      <c r="FF163" s="7"/>
      <c r="FG163" s="7"/>
      <c r="FH163" s="10" t="s">
        <v>45</v>
      </c>
      <c r="FI163" s="9"/>
      <c r="FJ163" s="9"/>
      <c r="FK163" s="10" t="s">
        <v>45</v>
      </c>
      <c r="FL163" s="7"/>
      <c r="FM163" s="7"/>
      <c r="FN163" s="10" t="s">
        <v>45</v>
      </c>
      <c r="FO163" s="7"/>
      <c r="FP163" s="7"/>
      <c r="FQ163" s="10" t="s">
        <v>45</v>
      </c>
      <c r="FR163" s="7"/>
      <c r="FS163" s="7"/>
      <c r="FT163" s="10" t="s">
        <v>45</v>
      </c>
      <c r="FU163" s="9"/>
      <c r="FV163" s="9"/>
      <c r="FW163" s="10" t="s">
        <v>45</v>
      </c>
      <c r="FX163" s="7">
        <v>15</v>
      </c>
      <c r="FY163" s="7">
        <v>200</v>
      </c>
      <c r="FZ163" s="10" t="s">
        <v>45</v>
      </c>
      <c r="GA163" s="7"/>
      <c r="GB163" s="7"/>
      <c r="GC163" s="10" t="s">
        <v>45</v>
      </c>
      <c r="GD163" s="7"/>
      <c r="GE163" s="7"/>
      <c r="GF163" s="10" t="s">
        <v>45</v>
      </c>
      <c r="GG163" s="7"/>
      <c r="GH163" s="7"/>
      <c r="GI163" s="10" t="s">
        <v>45</v>
      </c>
      <c r="GJ163" s="7">
        <v>8</v>
      </c>
      <c r="GK163" s="7">
        <v>100</v>
      </c>
      <c r="GL163" s="10" t="s">
        <v>45</v>
      </c>
      <c r="GM163" s="7"/>
      <c r="GN163" s="7"/>
      <c r="GO163" s="10" t="s">
        <v>45</v>
      </c>
      <c r="GP163" s="7"/>
      <c r="GQ163" s="7"/>
      <c r="GR163" s="10" t="s">
        <v>45</v>
      </c>
      <c r="GS163" s="7"/>
      <c r="GT163" s="7"/>
      <c r="GU163" s="6" t="s">
        <v>45</v>
      </c>
      <c r="GV163" s="7">
        <v>17</v>
      </c>
      <c r="GW163" s="7">
        <v>150</v>
      </c>
      <c r="GX163" s="10" t="s">
        <v>45</v>
      </c>
      <c r="GY163" s="7"/>
      <c r="GZ163" s="7"/>
      <c r="HA163" s="10" t="s">
        <v>45</v>
      </c>
      <c r="HB163" s="7"/>
      <c r="HC163" s="7"/>
      <c r="HD163" s="10" t="s">
        <v>45</v>
      </c>
      <c r="HE163" s="7"/>
      <c r="HF163" s="7"/>
      <c r="HG163" s="10" t="s">
        <v>45</v>
      </c>
      <c r="HH163" s="7">
        <v>20</v>
      </c>
      <c r="HI163" s="7">
        <v>200</v>
      </c>
      <c r="HJ163" s="10" t="s">
        <v>45</v>
      </c>
      <c r="HK163" s="7"/>
      <c r="HL163" s="7"/>
      <c r="HM163" s="10" t="s">
        <v>45</v>
      </c>
      <c r="HN163" s="7"/>
      <c r="HO163" s="7"/>
      <c r="HP163" s="10" t="s">
        <v>45</v>
      </c>
      <c r="HQ163" s="7"/>
      <c r="HR163" s="7"/>
      <c r="HS163" s="10" t="s">
        <v>45</v>
      </c>
      <c r="HT163" s="7">
        <v>21</v>
      </c>
      <c r="HU163" s="7">
        <v>200</v>
      </c>
      <c r="HV163" s="10" t="s">
        <v>45</v>
      </c>
      <c r="HW163" s="7"/>
      <c r="HX163" s="7"/>
      <c r="HY163" s="10" t="s">
        <v>45</v>
      </c>
      <c r="HZ163" s="7"/>
      <c r="IA163" s="7"/>
      <c r="IB163" s="10" t="s">
        <v>45</v>
      </c>
      <c r="IC163" s="7"/>
      <c r="ID163" s="7"/>
      <c r="IE163" s="6" t="s">
        <v>45</v>
      </c>
      <c r="IF163" s="7">
        <v>9</v>
      </c>
      <c r="IG163" s="7">
        <v>155</v>
      </c>
      <c r="II163" s="7"/>
      <c r="IJ163" s="7"/>
      <c r="IK163" s="7"/>
      <c r="IL163" s="7"/>
      <c r="IM163" s="7"/>
      <c r="IN163" s="7"/>
      <c r="IP163" s="7"/>
      <c r="IQ163" s="7"/>
      <c r="IR163" s="7"/>
      <c r="IS163" s="7"/>
      <c r="IT163" s="7"/>
      <c r="IU163" s="7"/>
      <c r="IV163" s="7"/>
      <c r="IW163" s="7"/>
      <c r="IX163" s="7"/>
      <c r="IY163" s="7"/>
      <c r="IZ163" s="7"/>
      <c r="JA163" s="7"/>
      <c r="JB163" s="7"/>
      <c r="JC163" s="7"/>
      <c r="JE163" s="9"/>
      <c r="JF163" s="7"/>
      <c r="JH163" s="7"/>
      <c r="JI163" s="7"/>
      <c r="JJ163" s="7"/>
      <c r="JK163" s="7"/>
      <c r="JL163" s="7"/>
      <c r="JM163" s="7"/>
      <c r="JO163" s="7"/>
      <c r="JP163" s="7"/>
      <c r="JQ163" s="7"/>
      <c r="JR163" s="7"/>
      <c r="JT163" s="7"/>
      <c r="JU163" s="7"/>
      <c r="JV163" s="7"/>
      <c r="JW163" s="7"/>
      <c r="JX163" s="7"/>
    </row>
    <row r="164" spans="1:284" x14ac:dyDescent="0.3">
      <c r="A164" t="s">
        <v>323</v>
      </c>
      <c r="B164" s="10" t="s">
        <v>45</v>
      </c>
      <c r="C164" s="7"/>
      <c r="D164" s="7"/>
      <c r="E164" s="10" t="s">
        <v>45</v>
      </c>
      <c r="F164" s="7"/>
      <c r="G164" s="7"/>
      <c r="H164" s="10" t="s">
        <v>45</v>
      </c>
      <c r="I164" s="7"/>
      <c r="J164" s="7"/>
      <c r="K164" s="10" t="s">
        <v>45</v>
      </c>
      <c r="L164" s="7"/>
      <c r="M164" s="7"/>
      <c r="N164" s="10" t="s">
        <v>45</v>
      </c>
      <c r="O164" s="7"/>
      <c r="P164" s="7"/>
      <c r="Q164" s="10" t="s">
        <v>45</v>
      </c>
      <c r="R164" s="7"/>
      <c r="S164" s="7"/>
      <c r="T164" s="10" t="s">
        <v>45</v>
      </c>
      <c r="U164" s="7"/>
      <c r="V164" s="7"/>
      <c r="W164" s="10" t="s">
        <v>45</v>
      </c>
      <c r="X164" s="7"/>
      <c r="Y164" s="7"/>
      <c r="Z164" s="10" t="s">
        <v>45</v>
      </c>
      <c r="AA164" s="7"/>
      <c r="AB164" s="7"/>
      <c r="AC164" s="10" t="s">
        <v>45</v>
      </c>
      <c r="AD164" s="7"/>
      <c r="AE164" s="7"/>
      <c r="AF164" s="10" t="s">
        <v>45</v>
      </c>
      <c r="AG164" s="7"/>
      <c r="AH164" s="7"/>
      <c r="AI164" s="10" t="s">
        <v>45</v>
      </c>
      <c r="AJ164" s="7"/>
      <c r="AK164" s="7"/>
      <c r="AL164" s="10" t="s">
        <v>45</v>
      </c>
      <c r="AM164" s="7"/>
      <c r="AN164" s="7"/>
      <c r="AO164" s="10" t="s">
        <v>45</v>
      </c>
      <c r="AP164" s="7"/>
      <c r="AQ164" s="7"/>
      <c r="AR164" s="10" t="s">
        <v>45</v>
      </c>
      <c r="AS164" s="7"/>
      <c r="AT164" s="7"/>
      <c r="AU164" s="10" t="s">
        <v>45</v>
      </c>
      <c r="AV164" s="7"/>
      <c r="AW164" s="7"/>
      <c r="AX164" s="10" t="s">
        <v>45</v>
      </c>
      <c r="AY164" s="7"/>
      <c r="AZ164" s="7"/>
      <c r="BA164" s="10" t="s">
        <v>45</v>
      </c>
      <c r="BB164" s="7"/>
      <c r="BC164" s="7"/>
      <c r="BD164" s="10" t="s">
        <v>45</v>
      </c>
      <c r="BE164" s="7"/>
      <c r="BF164" s="7"/>
      <c r="BG164" s="10" t="s">
        <v>45</v>
      </c>
      <c r="BH164" s="7"/>
      <c r="BI164" s="7"/>
      <c r="BJ164" s="10" t="s">
        <v>45</v>
      </c>
      <c r="BK164" s="7"/>
      <c r="BL164" s="7"/>
      <c r="BM164" s="10" t="s">
        <v>45</v>
      </c>
      <c r="BN164" s="7"/>
      <c r="BO164" s="7"/>
      <c r="BP164" s="10" t="s">
        <v>45</v>
      </c>
      <c r="BQ164" s="7"/>
      <c r="BR164" s="7"/>
      <c r="BS164" s="10" t="s">
        <v>45</v>
      </c>
      <c r="BT164" s="7"/>
      <c r="BU164" s="7"/>
      <c r="BV164" s="10" t="s">
        <v>45</v>
      </c>
      <c r="BW164" s="7"/>
      <c r="BX164" s="7"/>
      <c r="BY164" s="10" t="s">
        <v>45</v>
      </c>
      <c r="BZ164" s="7"/>
      <c r="CA164" s="7"/>
      <c r="CB164" s="10" t="s">
        <v>45</v>
      </c>
      <c r="CC164" s="7"/>
      <c r="CD164" s="7"/>
      <c r="CE164" s="10" t="s">
        <v>45</v>
      </c>
      <c r="CF164" s="7"/>
      <c r="CG164" s="7"/>
      <c r="CH164" s="10" t="s">
        <v>45</v>
      </c>
      <c r="CI164" s="7"/>
      <c r="CJ164" s="7"/>
      <c r="CK164" s="10" t="s">
        <v>45</v>
      </c>
      <c r="CL164" s="7"/>
      <c r="CM164" s="7"/>
      <c r="CN164" s="10" t="s">
        <v>45</v>
      </c>
      <c r="CO164" s="7"/>
      <c r="CP164" s="7"/>
      <c r="CQ164" s="10" t="s">
        <v>45</v>
      </c>
      <c r="CR164" s="7"/>
      <c r="CS164" s="7"/>
      <c r="CT164" s="10" t="s">
        <v>45</v>
      </c>
      <c r="CU164" s="7"/>
      <c r="CV164" s="7"/>
      <c r="CW164" s="10" t="s">
        <v>45</v>
      </c>
      <c r="CX164" s="7"/>
      <c r="CY164" s="7"/>
      <c r="CZ164" s="10" t="s">
        <v>45</v>
      </c>
      <c r="DA164" s="7"/>
      <c r="DB164" s="7"/>
      <c r="DC164" s="10" t="s">
        <v>45</v>
      </c>
      <c r="DD164" s="7"/>
      <c r="DE164" s="7"/>
      <c r="DF164" s="10" t="s">
        <v>45</v>
      </c>
      <c r="DG164" s="7"/>
      <c r="DH164" s="7"/>
      <c r="DI164" s="10" t="s">
        <v>45</v>
      </c>
      <c r="DJ164" s="7"/>
      <c r="DK164" s="7"/>
      <c r="DL164" s="10" t="s">
        <v>45</v>
      </c>
      <c r="DM164" s="9"/>
      <c r="DN164" s="9"/>
      <c r="DO164" s="10" t="s">
        <v>45</v>
      </c>
      <c r="DP164" s="7"/>
      <c r="DQ164" s="7"/>
      <c r="DR164" s="10" t="s">
        <v>45</v>
      </c>
      <c r="DS164" s="7"/>
      <c r="DT164" s="7"/>
      <c r="DU164" s="10" t="s">
        <v>45</v>
      </c>
      <c r="DV164" s="7"/>
      <c r="DW164" s="7"/>
      <c r="DX164" s="10" t="s">
        <v>45</v>
      </c>
      <c r="DY164" s="9"/>
      <c r="DZ164" s="9"/>
      <c r="EA164" s="10" t="s">
        <v>45</v>
      </c>
      <c r="EB164" s="7"/>
      <c r="EC164" s="7"/>
      <c r="ED164" s="10" t="s">
        <v>45</v>
      </c>
      <c r="EE164" s="7"/>
      <c r="EF164" s="7"/>
      <c r="EG164" s="10" t="s">
        <v>45</v>
      </c>
      <c r="EH164" s="7"/>
      <c r="EI164" s="7"/>
      <c r="EJ164" s="10" t="s">
        <v>45</v>
      </c>
      <c r="EK164" s="9"/>
      <c r="EL164" s="9"/>
      <c r="EM164" s="10" t="s">
        <v>45</v>
      </c>
      <c r="EN164" s="7"/>
      <c r="EO164" s="7"/>
      <c r="EP164" s="10" t="s">
        <v>45</v>
      </c>
      <c r="EQ164" s="7"/>
      <c r="ER164" s="7"/>
      <c r="ES164" s="10" t="s">
        <v>45</v>
      </c>
      <c r="ET164" s="7"/>
      <c r="EU164" s="7"/>
      <c r="EV164" s="10" t="s">
        <v>45</v>
      </c>
      <c r="EW164" s="9"/>
      <c r="EX164" s="9"/>
      <c r="EY164" s="10" t="s">
        <v>45</v>
      </c>
      <c r="EZ164" s="7"/>
      <c r="FA164" s="7"/>
      <c r="FB164" s="10" t="s">
        <v>45</v>
      </c>
      <c r="FC164" s="7"/>
      <c r="FD164" s="7"/>
      <c r="FE164" s="10" t="s">
        <v>45</v>
      </c>
      <c r="FF164" s="7"/>
      <c r="FG164" s="7"/>
      <c r="FH164" s="10" t="s">
        <v>45</v>
      </c>
      <c r="FI164" s="9"/>
      <c r="FJ164" s="9"/>
      <c r="FK164" s="10" t="s">
        <v>45</v>
      </c>
      <c r="FL164" s="7"/>
      <c r="FM164" s="7"/>
      <c r="FN164" s="10" t="s">
        <v>45</v>
      </c>
      <c r="FO164" s="7"/>
      <c r="FP164" s="7"/>
      <c r="FQ164" s="10" t="s">
        <v>45</v>
      </c>
      <c r="FR164" s="7"/>
      <c r="FS164" s="7"/>
      <c r="FT164" s="10" t="s">
        <v>45</v>
      </c>
      <c r="FU164" s="9">
        <v>12</v>
      </c>
      <c r="FV164" s="9">
        <v>2000</v>
      </c>
      <c r="FW164" s="10" t="s">
        <v>45</v>
      </c>
      <c r="FX164" s="7"/>
      <c r="FY164" s="7"/>
      <c r="FZ164" s="10" t="s">
        <v>45</v>
      </c>
      <c r="GA164" s="7"/>
      <c r="GB164" s="7"/>
      <c r="GC164" s="10" t="s">
        <v>45</v>
      </c>
      <c r="GD164" s="7"/>
      <c r="GE164" s="7"/>
      <c r="GF164" s="10" t="s">
        <v>45</v>
      </c>
      <c r="GG164" s="7">
        <v>13</v>
      </c>
      <c r="GH164" s="7">
        <v>1225</v>
      </c>
      <c r="GI164" s="10" t="s">
        <v>45</v>
      </c>
      <c r="GJ164" s="7"/>
      <c r="GK164" s="7"/>
      <c r="GL164" s="10" t="s">
        <v>45</v>
      </c>
      <c r="GM164" s="7"/>
      <c r="GN164" s="7"/>
      <c r="GO164" s="6" t="s">
        <v>45</v>
      </c>
      <c r="GP164" s="7"/>
      <c r="GQ164" s="7"/>
      <c r="GR164" s="6" t="s">
        <v>45</v>
      </c>
      <c r="GS164" s="7">
        <v>30</v>
      </c>
      <c r="GT164" s="7">
        <v>4000</v>
      </c>
      <c r="GU164" s="10"/>
      <c r="GV164" s="7"/>
      <c r="GW164" s="7"/>
      <c r="GX164" s="10" t="s">
        <v>45</v>
      </c>
      <c r="GY164" s="7"/>
      <c r="GZ164" s="7"/>
      <c r="HA164" s="10" t="s">
        <v>45</v>
      </c>
      <c r="HB164" s="7"/>
      <c r="HC164" s="7"/>
      <c r="HD164" s="10" t="s">
        <v>45</v>
      </c>
      <c r="HE164" s="7"/>
      <c r="HF164" s="7"/>
      <c r="HG164" s="10" t="s">
        <v>45</v>
      </c>
      <c r="HH164" s="7"/>
      <c r="HI164" s="7"/>
      <c r="HJ164" s="10" t="s">
        <v>45</v>
      </c>
      <c r="HK164" s="7"/>
      <c r="HL164" s="7"/>
      <c r="HM164" s="10" t="s">
        <v>45</v>
      </c>
      <c r="HN164" s="7"/>
      <c r="HO164" s="7"/>
      <c r="HP164" s="10" t="s">
        <v>45</v>
      </c>
      <c r="HQ164" s="7">
        <v>20</v>
      </c>
      <c r="HR164" s="7">
        <v>2000</v>
      </c>
      <c r="HS164" s="10" t="s">
        <v>45</v>
      </c>
      <c r="HT164" s="7"/>
      <c r="HU164" s="7"/>
      <c r="HV164" s="10" t="s">
        <v>45</v>
      </c>
      <c r="HW164" s="7"/>
      <c r="HX164" s="7"/>
      <c r="HY164" s="6" t="s">
        <v>45</v>
      </c>
      <c r="HZ164" s="7"/>
      <c r="IA164" s="7"/>
      <c r="IB164" s="6" t="s">
        <v>45</v>
      </c>
      <c r="IC164" s="7">
        <v>7</v>
      </c>
      <c r="ID164" s="7">
        <v>950</v>
      </c>
      <c r="IE164" s="10"/>
      <c r="IF164" s="7"/>
      <c r="IG164" s="7"/>
      <c r="II164" s="7"/>
      <c r="IJ164" s="7"/>
      <c r="IK164" s="7"/>
      <c r="IL164" s="7"/>
      <c r="IM164" s="7"/>
      <c r="IN164" s="7"/>
      <c r="IP164" s="7"/>
      <c r="IQ164" s="7"/>
      <c r="IR164" s="7"/>
      <c r="IS164" s="7"/>
      <c r="IT164" s="7"/>
      <c r="IU164" s="7"/>
      <c r="IV164" s="7"/>
      <c r="IW164" s="7"/>
      <c r="IX164" s="7"/>
      <c r="IY164" s="7"/>
      <c r="IZ164" s="7"/>
      <c r="JA164" s="7"/>
      <c r="JB164" s="7"/>
      <c r="JC164" s="7"/>
      <c r="JE164" s="9"/>
      <c r="JF164" s="7"/>
      <c r="JH164" s="7"/>
      <c r="JI164" s="7"/>
      <c r="JJ164" s="7"/>
      <c r="JK164" s="7"/>
      <c r="JL164" s="7"/>
      <c r="JM164" s="7"/>
      <c r="JO164" s="7"/>
      <c r="JP164" s="7"/>
      <c r="JQ164" s="7"/>
      <c r="JR164" s="7"/>
      <c r="JT164" s="7"/>
      <c r="JU164" s="7"/>
      <c r="JV164" s="7"/>
      <c r="JW164" s="7"/>
      <c r="JX164" s="7"/>
    </row>
    <row r="165" spans="1:284" x14ac:dyDescent="0.3">
      <c r="A165" t="s">
        <v>324</v>
      </c>
      <c r="B165" s="10" t="s">
        <v>38</v>
      </c>
      <c r="C165" s="7"/>
      <c r="D165" s="7"/>
      <c r="E165" s="10" t="s">
        <v>38</v>
      </c>
      <c r="F165" s="7"/>
      <c r="G165" s="7"/>
      <c r="H165" s="10" t="s">
        <v>38</v>
      </c>
      <c r="I165" s="7"/>
      <c r="J165" s="7"/>
      <c r="K165" s="10" t="s">
        <v>38</v>
      </c>
      <c r="L165" s="7"/>
      <c r="M165" s="7"/>
      <c r="N165" s="10" t="s">
        <v>38</v>
      </c>
      <c r="O165" s="7"/>
      <c r="P165" s="7"/>
      <c r="Q165" s="10" t="s">
        <v>38</v>
      </c>
      <c r="R165" s="7"/>
      <c r="S165" s="7"/>
      <c r="T165" s="10" t="s">
        <v>38</v>
      </c>
      <c r="U165" s="7"/>
      <c r="V165" s="7"/>
      <c r="W165" s="10" t="s">
        <v>38</v>
      </c>
      <c r="X165" s="7"/>
      <c r="Y165" s="7"/>
      <c r="Z165" s="10" t="s">
        <v>38</v>
      </c>
      <c r="AA165" s="7"/>
      <c r="AB165" s="7"/>
      <c r="AC165" s="10" t="s">
        <v>38</v>
      </c>
      <c r="AD165" s="7"/>
      <c r="AE165" s="7"/>
      <c r="AF165" s="10" t="s">
        <v>38</v>
      </c>
      <c r="AG165" s="7"/>
      <c r="AH165" s="7"/>
      <c r="AI165" s="10" t="s">
        <v>38</v>
      </c>
      <c r="AJ165" s="7"/>
      <c r="AK165" s="7"/>
      <c r="AL165" s="10" t="s">
        <v>38</v>
      </c>
      <c r="AM165" s="7"/>
      <c r="AN165" s="7"/>
      <c r="AO165" s="10" t="s">
        <v>38</v>
      </c>
      <c r="AP165" s="7"/>
      <c r="AQ165" s="7"/>
      <c r="AR165" s="10" t="s">
        <v>38</v>
      </c>
      <c r="AS165" s="7"/>
      <c r="AT165" s="7"/>
      <c r="AU165" s="10" t="s">
        <v>38</v>
      </c>
      <c r="AV165" s="7"/>
      <c r="AW165" s="7"/>
      <c r="AX165" s="10" t="s">
        <v>38</v>
      </c>
      <c r="AY165" s="7"/>
      <c r="AZ165" s="7"/>
      <c r="BA165" s="10" t="s">
        <v>38</v>
      </c>
      <c r="BB165" s="7"/>
      <c r="BC165" s="7"/>
      <c r="BD165" s="10" t="s">
        <v>38</v>
      </c>
      <c r="BE165" s="7"/>
      <c r="BF165" s="7"/>
      <c r="BG165" s="10" t="s">
        <v>38</v>
      </c>
      <c r="BH165" s="7"/>
      <c r="BI165" s="7"/>
      <c r="BJ165" s="10" t="s">
        <v>38</v>
      </c>
      <c r="BK165" s="7"/>
      <c r="BL165" s="7"/>
      <c r="BM165" s="10" t="s">
        <v>38</v>
      </c>
      <c r="BN165" s="7"/>
      <c r="BO165" s="7"/>
      <c r="BP165" s="10" t="s">
        <v>38</v>
      </c>
      <c r="BQ165" s="7"/>
      <c r="BR165" s="7"/>
      <c r="BS165" s="10" t="s">
        <v>38</v>
      </c>
      <c r="BT165" s="7"/>
      <c r="BU165" s="7"/>
      <c r="BV165" s="10" t="s">
        <v>38</v>
      </c>
      <c r="BW165" s="7"/>
      <c r="BX165" s="7"/>
      <c r="BY165" s="10" t="s">
        <v>38</v>
      </c>
      <c r="BZ165" s="7"/>
      <c r="CA165" s="7"/>
      <c r="CB165" s="10" t="s">
        <v>38</v>
      </c>
      <c r="CC165" s="7"/>
      <c r="CD165" s="7"/>
      <c r="CE165" s="10" t="s">
        <v>38</v>
      </c>
      <c r="CF165" s="7"/>
      <c r="CG165" s="7"/>
      <c r="CH165" s="10" t="s">
        <v>38</v>
      </c>
      <c r="CI165" s="7"/>
      <c r="CJ165" s="7"/>
      <c r="CK165" s="10" t="s">
        <v>38</v>
      </c>
      <c r="CL165" s="7"/>
      <c r="CM165" s="7"/>
      <c r="CN165" s="10" t="s">
        <v>38</v>
      </c>
      <c r="CO165" s="7"/>
      <c r="CP165" s="7"/>
      <c r="CQ165" s="10" t="s">
        <v>38</v>
      </c>
      <c r="CR165" s="7"/>
      <c r="CS165" s="7"/>
      <c r="CT165" s="10" t="s">
        <v>38</v>
      </c>
      <c r="CU165" s="7"/>
      <c r="CV165" s="7"/>
      <c r="CW165" s="10" t="s">
        <v>38</v>
      </c>
      <c r="CX165" s="7"/>
      <c r="CY165" s="7"/>
      <c r="CZ165" s="10" t="s">
        <v>38</v>
      </c>
      <c r="DA165" s="7"/>
      <c r="DB165" s="7"/>
      <c r="DC165" s="10" t="s">
        <v>38</v>
      </c>
      <c r="DD165" s="7"/>
      <c r="DE165" s="7"/>
      <c r="DF165" s="10" t="s">
        <v>38</v>
      </c>
      <c r="DG165" s="7"/>
      <c r="DH165" s="7"/>
      <c r="DI165" s="10" t="s">
        <v>38</v>
      </c>
      <c r="DJ165" s="7"/>
      <c r="DK165" s="7"/>
      <c r="DL165" s="10" t="s">
        <v>38</v>
      </c>
      <c r="DM165" s="9"/>
      <c r="DN165" s="9"/>
      <c r="DO165" s="10" t="s">
        <v>38</v>
      </c>
      <c r="DP165" s="7"/>
      <c r="DQ165" s="7"/>
      <c r="DR165" s="10" t="s">
        <v>38</v>
      </c>
      <c r="DS165" s="7"/>
      <c r="DT165" s="7"/>
      <c r="DU165" s="10" t="s">
        <v>38</v>
      </c>
      <c r="DV165" s="7"/>
      <c r="DW165" s="7"/>
      <c r="DX165" s="10" t="s">
        <v>38</v>
      </c>
      <c r="DY165" s="9"/>
      <c r="DZ165" s="9"/>
      <c r="EA165" s="10" t="s">
        <v>38</v>
      </c>
      <c r="EB165" s="7"/>
      <c r="EC165" s="7"/>
      <c r="ED165" s="10" t="s">
        <v>38</v>
      </c>
      <c r="EE165" s="7"/>
      <c r="EF165" s="7"/>
      <c r="EG165" s="10" t="s">
        <v>38</v>
      </c>
      <c r="EH165" s="7"/>
      <c r="EI165" s="7"/>
      <c r="EJ165" s="10" t="s">
        <v>38</v>
      </c>
      <c r="EK165" s="9"/>
      <c r="EL165" s="9"/>
      <c r="EM165" s="10" t="s">
        <v>38</v>
      </c>
      <c r="EN165" s="7"/>
      <c r="EO165" s="7"/>
      <c r="EP165" s="10" t="s">
        <v>38</v>
      </c>
      <c r="EQ165" s="7"/>
      <c r="ER165" s="7"/>
      <c r="ES165" s="10" t="s">
        <v>38</v>
      </c>
      <c r="ET165" s="7"/>
      <c r="EU165" s="7"/>
      <c r="EV165" s="10" t="s">
        <v>38</v>
      </c>
      <c r="EW165" s="9"/>
      <c r="EX165" s="9"/>
      <c r="EY165" s="10" t="s">
        <v>38</v>
      </c>
      <c r="EZ165" s="7"/>
      <c r="FA165" s="7"/>
      <c r="FB165" s="10" t="s">
        <v>38</v>
      </c>
      <c r="FC165" s="7"/>
      <c r="FD165" s="7"/>
      <c r="FE165" s="10" t="s">
        <v>38</v>
      </c>
      <c r="FF165" s="7"/>
      <c r="FG165" s="7"/>
      <c r="FH165" s="10" t="s">
        <v>38</v>
      </c>
      <c r="FI165" s="9"/>
      <c r="FJ165" s="9"/>
      <c r="FK165" s="10" t="s">
        <v>38</v>
      </c>
      <c r="FL165" s="7"/>
      <c r="FM165" s="7"/>
      <c r="FN165" s="10" t="s">
        <v>38</v>
      </c>
      <c r="FO165" s="7"/>
      <c r="FP165" s="7"/>
      <c r="FQ165" s="10" t="s">
        <v>38</v>
      </c>
      <c r="FR165" s="7"/>
      <c r="FS165" s="7"/>
      <c r="FT165" s="10" t="s">
        <v>38</v>
      </c>
      <c r="FU165" s="9">
        <v>150</v>
      </c>
      <c r="FV165" s="9">
        <v>900</v>
      </c>
      <c r="FW165" s="10" t="s">
        <v>38</v>
      </c>
      <c r="FX165" s="7"/>
      <c r="FY165" s="7"/>
      <c r="FZ165" s="10" t="s">
        <v>38</v>
      </c>
      <c r="GA165" s="7"/>
      <c r="GB165" s="7"/>
      <c r="GC165" s="10" t="s">
        <v>38</v>
      </c>
      <c r="GD165" s="7"/>
      <c r="GE165" s="7"/>
      <c r="GF165" s="10" t="s">
        <v>38</v>
      </c>
      <c r="GG165" s="7">
        <v>147</v>
      </c>
      <c r="GH165" s="7">
        <v>1062</v>
      </c>
      <c r="GI165" s="10" t="s">
        <v>38</v>
      </c>
      <c r="GJ165" s="7"/>
      <c r="GK165" s="7"/>
      <c r="GL165" s="10" t="s">
        <v>38</v>
      </c>
      <c r="GM165" s="7"/>
      <c r="GN165" s="7"/>
      <c r="GO165" s="6" t="s">
        <v>38</v>
      </c>
      <c r="GP165" s="7"/>
      <c r="GQ165" s="7"/>
      <c r="GR165" s="6" t="s">
        <v>38</v>
      </c>
      <c r="GS165" s="7">
        <v>115</v>
      </c>
      <c r="GT165" s="7">
        <v>250</v>
      </c>
      <c r="GU165" s="10"/>
      <c r="GV165" s="7"/>
      <c r="GW165" s="7"/>
      <c r="GX165" s="10" t="s">
        <v>38</v>
      </c>
      <c r="GY165" s="7"/>
      <c r="GZ165" s="7"/>
      <c r="HA165" s="10" t="s">
        <v>38</v>
      </c>
      <c r="HB165" s="7"/>
      <c r="HC165" s="7"/>
      <c r="HD165" s="10" t="s">
        <v>38</v>
      </c>
      <c r="HE165" s="7">
        <v>200</v>
      </c>
      <c r="HF165" s="7">
        <v>1000</v>
      </c>
      <c r="HG165" s="10" t="s">
        <v>38</v>
      </c>
      <c r="HH165" s="7"/>
      <c r="HI165" s="7"/>
      <c r="HJ165" s="10" t="s">
        <v>38</v>
      </c>
      <c r="HK165" s="7"/>
      <c r="HL165" s="7"/>
      <c r="HM165" s="10" t="s">
        <v>38</v>
      </c>
      <c r="HN165" s="7"/>
      <c r="HO165" s="7"/>
      <c r="HP165" s="10" t="s">
        <v>38</v>
      </c>
      <c r="HQ165" s="7">
        <v>125</v>
      </c>
      <c r="HR165" s="7">
        <v>500</v>
      </c>
      <c r="HS165" s="10" t="s">
        <v>38</v>
      </c>
      <c r="HT165" s="7"/>
      <c r="HU165" s="7"/>
      <c r="HV165" s="10" t="s">
        <v>38</v>
      </c>
      <c r="HW165" s="7"/>
      <c r="HX165" s="7"/>
      <c r="HY165" s="6" t="s">
        <v>38</v>
      </c>
      <c r="HZ165" s="7"/>
      <c r="IA165" s="7"/>
      <c r="IB165" s="6" t="s">
        <v>38</v>
      </c>
      <c r="IC165" s="7">
        <v>45</v>
      </c>
      <c r="ID165" s="7">
        <v>240</v>
      </c>
      <c r="IE165" s="10"/>
      <c r="IF165" s="7"/>
      <c r="IG165" s="7"/>
      <c r="II165" s="7"/>
      <c r="IJ165" s="7"/>
      <c r="IK165" s="7"/>
      <c r="IL165" s="7"/>
      <c r="IM165" s="7"/>
      <c r="IN165" s="7"/>
      <c r="IP165" s="7"/>
      <c r="IQ165" s="7"/>
      <c r="IR165" s="7"/>
      <c r="IS165" s="7"/>
      <c r="IT165" s="7"/>
      <c r="IU165" s="7"/>
      <c r="IV165" s="7"/>
      <c r="IW165" s="7"/>
      <c r="IX165" s="7"/>
      <c r="IY165" s="7"/>
      <c r="IZ165" s="7"/>
      <c r="JA165" s="7"/>
      <c r="JB165" s="7"/>
      <c r="JC165" s="7"/>
      <c r="JE165" s="9"/>
      <c r="JF165" s="7"/>
      <c r="JH165" s="7"/>
      <c r="JI165" s="7"/>
      <c r="JJ165" s="7"/>
      <c r="JK165" s="7"/>
      <c r="JL165" s="7"/>
      <c r="JM165" s="7"/>
      <c r="JO165" s="7"/>
      <c r="JP165" s="7"/>
      <c r="JQ165" s="7"/>
      <c r="JR165" s="7"/>
      <c r="JT165" s="7"/>
      <c r="JU165" s="7"/>
      <c r="JV165" s="7"/>
      <c r="JW165" s="7"/>
      <c r="JX165" s="7"/>
    </row>
    <row r="166" spans="1:284" x14ac:dyDescent="0.3">
      <c r="A166" s="19" t="s">
        <v>325</v>
      </c>
      <c r="B166" s="10" t="s">
        <v>44</v>
      </c>
      <c r="C166" s="7"/>
      <c r="D166" s="7"/>
      <c r="E166" s="10" t="s">
        <v>44</v>
      </c>
      <c r="F166" s="7"/>
      <c r="G166" s="7"/>
      <c r="H166" s="6" t="s">
        <v>38</v>
      </c>
      <c r="I166" s="7"/>
      <c r="J166" s="7"/>
      <c r="K166" s="10" t="s">
        <v>44</v>
      </c>
      <c r="L166" s="7"/>
      <c r="M166" s="7"/>
      <c r="N166" s="10" t="s">
        <v>44</v>
      </c>
      <c r="O166" s="7"/>
      <c r="P166" s="7"/>
      <c r="Q166" s="10" t="s">
        <v>44</v>
      </c>
      <c r="R166" s="7"/>
      <c r="S166" s="7"/>
      <c r="T166" s="6" t="s">
        <v>38</v>
      </c>
      <c r="U166" s="7"/>
      <c r="V166" s="7"/>
      <c r="W166" s="10" t="s">
        <v>44</v>
      </c>
      <c r="X166" s="7"/>
      <c r="Y166" s="7"/>
      <c r="Z166" s="10" t="s">
        <v>44</v>
      </c>
      <c r="AA166" s="7"/>
      <c r="AB166" s="7"/>
      <c r="AC166" s="10" t="s">
        <v>44</v>
      </c>
      <c r="AD166" s="7"/>
      <c r="AE166" s="7"/>
      <c r="AF166" s="6" t="s">
        <v>38</v>
      </c>
      <c r="AG166" s="7"/>
      <c r="AH166" s="7"/>
      <c r="AI166" s="10" t="s">
        <v>44</v>
      </c>
      <c r="AJ166" s="7"/>
      <c r="AK166" s="7"/>
      <c r="AL166" s="10" t="s">
        <v>44</v>
      </c>
      <c r="AM166" s="7"/>
      <c r="AN166" s="7"/>
      <c r="AO166" s="10" t="s">
        <v>44</v>
      </c>
      <c r="AP166" s="7"/>
      <c r="AQ166" s="7"/>
      <c r="AR166" s="6" t="s">
        <v>38</v>
      </c>
      <c r="AS166" s="7"/>
      <c r="AT166" s="7"/>
      <c r="AU166" s="10" t="s">
        <v>44</v>
      </c>
      <c r="AV166" s="7"/>
      <c r="AW166" s="7"/>
      <c r="AX166" s="10" t="s">
        <v>44</v>
      </c>
      <c r="AY166" s="7"/>
      <c r="AZ166" s="7"/>
      <c r="BA166" s="10" t="s">
        <v>44</v>
      </c>
      <c r="BB166" s="7"/>
      <c r="BC166" s="7"/>
      <c r="BD166" s="6" t="s">
        <v>38</v>
      </c>
      <c r="BE166" s="7"/>
      <c r="BF166" s="7"/>
      <c r="BG166" s="10" t="s">
        <v>44</v>
      </c>
      <c r="BH166" s="7"/>
      <c r="BI166" s="7"/>
      <c r="BJ166" s="10" t="s">
        <v>44</v>
      </c>
      <c r="BK166" s="7"/>
      <c r="BL166" s="7"/>
      <c r="BM166" s="10" t="s">
        <v>44</v>
      </c>
      <c r="BN166" s="7"/>
      <c r="BO166" s="7"/>
      <c r="BP166" s="10" t="s">
        <v>38</v>
      </c>
      <c r="BQ166" s="7"/>
      <c r="BR166" s="7"/>
      <c r="BS166" s="10" t="s">
        <v>44</v>
      </c>
      <c r="BT166" s="7"/>
      <c r="BU166" s="7"/>
      <c r="BV166" s="10" t="s">
        <v>44</v>
      </c>
      <c r="BW166" s="7"/>
      <c r="BX166" s="7"/>
      <c r="BY166" s="10" t="s">
        <v>44</v>
      </c>
      <c r="BZ166" s="7"/>
      <c r="CA166" s="7"/>
      <c r="CB166" s="6" t="s">
        <v>38</v>
      </c>
      <c r="CC166" s="7">
        <v>331</v>
      </c>
      <c r="CD166" s="7">
        <v>4500</v>
      </c>
      <c r="CE166" s="10" t="s">
        <v>44</v>
      </c>
      <c r="CF166" s="7"/>
      <c r="CG166" s="7"/>
      <c r="CH166" s="10" t="s">
        <v>44</v>
      </c>
      <c r="CI166" s="7"/>
      <c r="CJ166" s="7"/>
      <c r="CK166" s="10" t="s">
        <v>44</v>
      </c>
      <c r="CL166" s="7"/>
      <c r="CM166" s="7"/>
      <c r="CN166" s="10" t="s">
        <v>44</v>
      </c>
      <c r="CO166" s="7">
        <v>265</v>
      </c>
      <c r="CP166" s="7">
        <v>2220</v>
      </c>
      <c r="CQ166" s="10" t="s">
        <v>44</v>
      </c>
      <c r="CR166" s="7"/>
      <c r="CS166" s="7"/>
      <c r="CT166" s="10" t="s">
        <v>44</v>
      </c>
      <c r="CU166" s="7"/>
      <c r="CV166" s="7"/>
      <c r="CW166" s="10" t="s">
        <v>44</v>
      </c>
      <c r="CX166" s="7"/>
      <c r="CY166" s="7"/>
      <c r="CZ166" s="10" t="s">
        <v>44</v>
      </c>
      <c r="DA166" s="7">
        <v>265</v>
      </c>
      <c r="DB166" s="7">
        <v>2220</v>
      </c>
      <c r="DC166" s="10" t="s">
        <v>44</v>
      </c>
      <c r="DD166" s="7"/>
      <c r="DE166" s="7"/>
      <c r="DF166" s="10" t="s">
        <v>44</v>
      </c>
      <c r="DG166" s="7"/>
      <c r="DH166" s="7"/>
      <c r="DI166" s="10" t="s">
        <v>44</v>
      </c>
      <c r="DJ166" s="7"/>
      <c r="DK166" s="7"/>
      <c r="DL166" s="10" t="s">
        <v>44</v>
      </c>
      <c r="DM166" s="9">
        <v>219</v>
      </c>
      <c r="DN166" s="9">
        <v>1955</v>
      </c>
      <c r="DO166" s="10" t="s">
        <v>44</v>
      </c>
      <c r="DP166" s="7"/>
      <c r="DQ166" s="7"/>
      <c r="DR166" s="10" t="s">
        <v>44</v>
      </c>
      <c r="DS166" s="7"/>
      <c r="DT166" s="7"/>
      <c r="DU166" s="10" t="s">
        <v>44</v>
      </c>
      <c r="DV166" s="7"/>
      <c r="DW166" s="7"/>
      <c r="DX166" s="10" t="s">
        <v>44</v>
      </c>
      <c r="DY166" s="9">
        <v>250</v>
      </c>
      <c r="DZ166" s="9">
        <v>2200</v>
      </c>
      <c r="EA166" s="10" t="s">
        <v>44</v>
      </c>
      <c r="EB166" s="7"/>
      <c r="EC166" s="7"/>
      <c r="ED166" s="10" t="s">
        <v>44</v>
      </c>
      <c r="EE166" s="7"/>
      <c r="EF166" s="7"/>
      <c r="EG166" s="10" t="s">
        <v>44</v>
      </c>
      <c r="EH166" s="7"/>
      <c r="EI166" s="7"/>
      <c r="EJ166" s="10" t="s">
        <v>44</v>
      </c>
      <c r="EK166" s="9">
        <v>150</v>
      </c>
      <c r="EL166" s="9">
        <v>1200</v>
      </c>
      <c r="EM166" s="10" t="s">
        <v>44</v>
      </c>
      <c r="EN166" s="7"/>
      <c r="EO166" s="7"/>
      <c r="EP166" s="10" t="s">
        <v>44</v>
      </c>
      <c r="EQ166" s="7"/>
      <c r="ER166" s="7"/>
      <c r="ES166" s="10" t="s">
        <v>44</v>
      </c>
      <c r="ET166" s="7"/>
      <c r="EU166" s="7"/>
      <c r="EV166" s="10" t="s">
        <v>44</v>
      </c>
      <c r="EW166" s="9">
        <v>100</v>
      </c>
      <c r="EX166" s="9">
        <v>1000</v>
      </c>
      <c r="EY166" s="10" t="s">
        <v>44</v>
      </c>
      <c r="EZ166" s="7"/>
      <c r="FA166" s="7"/>
      <c r="FB166" s="10" t="s">
        <v>44</v>
      </c>
      <c r="FC166" s="7"/>
      <c r="FD166" s="7"/>
      <c r="FE166" s="10" t="s">
        <v>44</v>
      </c>
      <c r="FF166" s="7"/>
      <c r="FG166" s="7"/>
      <c r="FH166" s="10" t="s">
        <v>44</v>
      </c>
      <c r="FI166" s="9">
        <v>150</v>
      </c>
      <c r="FJ166" s="9">
        <v>1500</v>
      </c>
      <c r="FK166" s="10" t="s">
        <v>44</v>
      </c>
      <c r="FL166" s="7"/>
      <c r="FM166" s="7"/>
      <c r="FN166" s="10" t="s">
        <v>44</v>
      </c>
      <c r="FO166" s="7"/>
      <c r="FP166" s="7"/>
      <c r="FQ166" s="10" t="s">
        <v>44</v>
      </c>
      <c r="FR166" s="7"/>
      <c r="FS166" s="7"/>
      <c r="FT166" s="10" t="s">
        <v>44</v>
      </c>
      <c r="FU166" s="9">
        <v>200</v>
      </c>
      <c r="FV166" s="9">
        <v>2000</v>
      </c>
      <c r="FW166" s="10" t="s">
        <v>44</v>
      </c>
      <c r="FX166" s="7"/>
      <c r="FY166" s="7"/>
      <c r="FZ166" s="10" t="s">
        <v>44</v>
      </c>
      <c r="GA166" s="7"/>
      <c r="GB166" s="7"/>
      <c r="GC166" s="10" t="s">
        <v>44</v>
      </c>
      <c r="GD166" s="7"/>
      <c r="GE166" s="7"/>
      <c r="GF166" s="10" t="s">
        <v>44</v>
      </c>
      <c r="GG166" s="7">
        <v>289</v>
      </c>
      <c r="GH166" s="7">
        <v>4050</v>
      </c>
      <c r="GI166" s="10" t="s">
        <v>44</v>
      </c>
      <c r="GJ166" s="7"/>
      <c r="GK166" s="7"/>
      <c r="GL166" s="10" t="s">
        <v>44</v>
      </c>
      <c r="GM166" s="7"/>
      <c r="GN166" s="7"/>
      <c r="GO166" s="6" t="s">
        <v>44</v>
      </c>
      <c r="GP166" s="7"/>
      <c r="GQ166" s="7"/>
      <c r="GR166" s="6" t="s">
        <v>44</v>
      </c>
      <c r="GS166" s="7">
        <v>240</v>
      </c>
      <c r="GT166" s="7">
        <v>2700</v>
      </c>
      <c r="GU166" s="10"/>
      <c r="GV166" s="7"/>
      <c r="GW166" s="7"/>
      <c r="GX166" s="10" t="s">
        <v>44</v>
      </c>
      <c r="GY166" s="7"/>
      <c r="GZ166" s="7"/>
      <c r="HA166" s="10" t="s">
        <v>44</v>
      </c>
      <c r="HB166" s="7"/>
      <c r="HC166" s="7"/>
      <c r="HD166" s="10" t="s">
        <v>44</v>
      </c>
      <c r="HE166" s="7">
        <v>200</v>
      </c>
      <c r="HF166" s="7">
        <v>2000</v>
      </c>
      <c r="HG166" s="10" t="s">
        <v>44</v>
      </c>
      <c r="HH166" s="7"/>
      <c r="HI166" s="7"/>
      <c r="HJ166" s="10" t="s">
        <v>44</v>
      </c>
      <c r="HK166" s="7"/>
      <c r="HL166" s="7"/>
      <c r="HM166" s="10" t="s">
        <v>44</v>
      </c>
      <c r="HN166" s="7"/>
      <c r="HO166" s="7"/>
      <c r="HP166" s="10" t="s">
        <v>44</v>
      </c>
      <c r="HQ166" s="7">
        <v>225</v>
      </c>
      <c r="HR166" s="7">
        <v>2400</v>
      </c>
      <c r="HS166" s="10" t="s">
        <v>44</v>
      </c>
      <c r="HT166" s="7"/>
      <c r="HU166" s="7"/>
      <c r="HV166" s="10" t="s">
        <v>44</v>
      </c>
      <c r="HW166" s="7"/>
      <c r="HX166" s="7"/>
      <c r="HY166" s="6" t="s">
        <v>44</v>
      </c>
      <c r="HZ166" s="7"/>
      <c r="IA166" s="7"/>
      <c r="IB166" s="6" t="s">
        <v>44</v>
      </c>
      <c r="IC166" s="7">
        <v>154</v>
      </c>
      <c r="ID166" s="7">
        <v>2100</v>
      </c>
      <c r="IE166" s="10"/>
      <c r="IF166" s="7"/>
      <c r="IG166" s="7"/>
      <c r="IH166" t="s">
        <v>44</v>
      </c>
      <c r="II166" s="7">
        <v>200</v>
      </c>
      <c r="IJ166" s="7">
        <v>2500</v>
      </c>
      <c r="IK166" s="7"/>
      <c r="IL166" s="7"/>
      <c r="IM166" s="7"/>
      <c r="IN166" s="7"/>
      <c r="IP166" s="7"/>
      <c r="IQ166" s="7"/>
      <c r="IR166" s="7"/>
      <c r="IS166" s="7"/>
      <c r="IT166" s="7"/>
      <c r="IU166" s="7"/>
      <c r="IV166" s="7"/>
      <c r="IW166" s="7"/>
      <c r="IX166" s="7"/>
      <c r="IY166" s="7"/>
      <c r="IZ166" s="7"/>
      <c r="JA166" s="7"/>
      <c r="JB166" s="7"/>
      <c r="JC166" s="7"/>
      <c r="JE166" s="9"/>
      <c r="JF166" s="7"/>
      <c r="JH166" s="7"/>
      <c r="JI166" s="7"/>
      <c r="JJ166" s="7"/>
      <c r="JK166" s="7"/>
      <c r="JL166" s="7"/>
      <c r="JM166" s="7"/>
      <c r="JO166" s="7"/>
      <c r="JP166" s="7"/>
      <c r="JQ166" s="7"/>
      <c r="JR166" s="7"/>
      <c r="JT166" s="7"/>
      <c r="JU166" s="7"/>
      <c r="JV166" s="7"/>
      <c r="JW166" s="7"/>
      <c r="JX166" s="7"/>
    </row>
    <row r="167" spans="1:284" x14ac:dyDescent="0.3">
      <c r="A167" t="s">
        <v>326</v>
      </c>
      <c r="B167" s="10" t="s">
        <v>57</v>
      </c>
      <c r="C167" s="7"/>
      <c r="D167" s="7"/>
      <c r="E167" s="10" t="s">
        <v>57</v>
      </c>
      <c r="F167" s="7"/>
      <c r="G167" s="7"/>
      <c r="H167" s="10" t="s">
        <v>45</v>
      </c>
      <c r="I167" s="7"/>
      <c r="J167" s="7"/>
      <c r="K167" s="10" t="s">
        <v>45</v>
      </c>
      <c r="L167" s="7"/>
      <c r="M167" s="7"/>
      <c r="N167" s="10" t="s">
        <v>57</v>
      </c>
      <c r="O167" s="7"/>
      <c r="P167" s="7"/>
      <c r="Q167" s="10" t="s">
        <v>57</v>
      </c>
      <c r="R167" s="7"/>
      <c r="S167" s="7"/>
      <c r="T167" s="10" t="s">
        <v>45</v>
      </c>
      <c r="U167" s="7"/>
      <c r="V167" s="7"/>
      <c r="W167" s="10" t="s">
        <v>45</v>
      </c>
      <c r="X167" s="7"/>
      <c r="Y167" s="7"/>
      <c r="Z167" s="10" t="s">
        <v>57</v>
      </c>
      <c r="AA167" s="7"/>
      <c r="AB167" s="7"/>
      <c r="AC167" s="10" t="s">
        <v>57</v>
      </c>
      <c r="AD167" s="7"/>
      <c r="AE167" s="7"/>
      <c r="AF167" s="10" t="s">
        <v>45</v>
      </c>
      <c r="AG167" s="7"/>
      <c r="AH167" s="7"/>
      <c r="AI167" s="10" t="s">
        <v>45</v>
      </c>
      <c r="AJ167" s="7"/>
      <c r="AK167" s="7"/>
      <c r="AL167" s="10" t="s">
        <v>57</v>
      </c>
      <c r="AM167" s="7"/>
      <c r="AN167" s="7"/>
      <c r="AO167" s="10" t="s">
        <v>57</v>
      </c>
      <c r="AP167" s="7"/>
      <c r="AQ167" s="7"/>
      <c r="AR167" s="10" t="s">
        <v>45</v>
      </c>
      <c r="AS167" s="7"/>
      <c r="AT167" s="7"/>
      <c r="AU167" s="10" t="s">
        <v>45</v>
      </c>
      <c r="AV167" s="7"/>
      <c r="AW167" s="7"/>
      <c r="AX167" s="10" t="s">
        <v>57</v>
      </c>
      <c r="AY167" s="7"/>
      <c r="AZ167" s="7"/>
      <c r="BA167" s="10" t="s">
        <v>57</v>
      </c>
      <c r="BB167" s="7"/>
      <c r="BC167" s="7"/>
      <c r="BD167" s="10" t="s">
        <v>45</v>
      </c>
      <c r="BE167" s="7"/>
      <c r="BF167" s="7"/>
      <c r="BG167" s="10" t="s">
        <v>45</v>
      </c>
      <c r="BH167" s="7"/>
      <c r="BI167" s="7"/>
      <c r="BJ167" s="10" t="s">
        <v>57</v>
      </c>
      <c r="BK167" s="7"/>
      <c r="BL167" s="7"/>
      <c r="BM167" s="10" t="s">
        <v>57</v>
      </c>
      <c r="BN167" s="7"/>
      <c r="BO167" s="7"/>
      <c r="BP167" s="10" t="s">
        <v>45</v>
      </c>
      <c r="BQ167" s="7"/>
      <c r="BR167" s="7"/>
      <c r="BS167" s="10" t="s">
        <v>45</v>
      </c>
      <c r="BT167" s="7"/>
      <c r="BU167" s="7"/>
      <c r="BV167" s="10" t="s">
        <v>57</v>
      </c>
      <c r="BW167" s="7"/>
      <c r="BX167" s="7"/>
      <c r="BY167" s="10" t="s">
        <v>57</v>
      </c>
      <c r="BZ167" s="7"/>
      <c r="CA167" s="7"/>
      <c r="CB167" s="10" t="s">
        <v>45</v>
      </c>
      <c r="CC167" s="7"/>
      <c r="CD167" s="7"/>
      <c r="CE167" s="10" t="s">
        <v>45</v>
      </c>
      <c r="CF167" s="7"/>
      <c r="CG167" s="7"/>
      <c r="CH167" s="10" t="s">
        <v>57</v>
      </c>
      <c r="CI167" s="7"/>
      <c r="CJ167" s="7"/>
      <c r="CK167" s="10" t="s">
        <v>57</v>
      </c>
      <c r="CL167" s="7"/>
      <c r="CM167" s="7"/>
      <c r="CN167" s="10" t="s">
        <v>45</v>
      </c>
      <c r="CO167" s="7"/>
      <c r="CP167" s="7"/>
      <c r="CQ167" s="10" t="s">
        <v>45</v>
      </c>
      <c r="CR167" s="7"/>
      <c r="CS167" s="7"/>
      <c r="CT167" s="10" t="s">
        <v>57</v>
      </c>
      <c r="CU167" s="7"/>
      <c r="CV167" s="7"/>
      <c r="CW167" s="10" t="s">
        <v>57</v>
      </c>
      <c r="CX167" s="7"/>
      <c r="CY167" s="7"/>
      <c r="CZ167" s="10" t="s">
        <v>45</v>
      </c>
      <c r="DA167" s="7"/>
      <c r="DB167" s="7"/>
      <c r="DC167" s="10" t="s">
        <v>45</v>
      </c>
      <c r="DD167" s="7"/>
      <c r="DE167" s="7"/>
      <c r="DF167" s="10" t="s">
        <v>57</v>
      </c>
      <c r="DG167" s="7"/>
      <c r="DH167" s="7"/>
      <c r="DI167" s="10" t="s">
        <v>57</v>
      </c>
      <c r="DJ167" s="7"/>
      <c r="DK167" s="7"/>
      <c r="DL167" s="10" t="s">
        <v>45</v>
      </c>
      <c r="DM167" s="9"/>
      <c r="DN167" s="9"/>
      <c r="DO167" s="10" t="s">
        <v>45</v>
      </c>
      <c r="DP167" s="7"/>
      <c r="DQ167" s="7"/>
      <c r="DR167" s="10" t="s">
        <v>57</v>
      </c>
      <c r="DS167" s="7"/>
      <c r="DT167" s="7"/>
      <c r="DU167" s="10" t="s">
        <v>57</v>
      </c>
      <c r="DV167" s="7"/>
      <c r="DW167" s="7"/>
      <c r="DX167" s="10" t="s">
        <v>45</v>
      </c>
      <c r="DY167" s="9"/>
      <c r="DZ167" s="9"/>
      <c r="EA167" s="10" t="s">
        <v>45</v>
      </c>
      <c r="EB167" s="7"/>
      <c r="EC167" s="7"/>
      <c r="ED167" s="10" t="s">
        <v>57</v>
      </c>
      <c r="EE167" s="7"/>
      <c r="EF167" s="7"/>
      <c r="EG167" s="10" t="s">
        <v>57</v>
      </c>
      <c r="EH167" s="7"/>
      <c r="EI167" s="7"/>
      <c r="EJ167" s="10" t="s">
        <v>45</v>
      </c>
      <c r="EK167" s="9"/>
      <c r="EL167" s="9"/>
      <c r="EM167" s="10" t="s">
        <v>45</v>
      </c>
      <c r="EN167" s="7"/>
      <c r="EO167" s="7"/>
      <c r="EP167" s="10" t="s">
        <v>57</v>
      </c>
      <c r="EQ167" s="7"/>
      <c r="ER167" s="7"/>
      <c r="ES167" s="10" t="s">
        <v>57</v>
      </c>
      <c r="ET167" s="7"/>
      <c r="EU167" s="7"/>
      <c r="EV167" s="10" t="s">
        <v>45</v>
      </c>
      <c r="EW167" s="9"/>
      <c r="EX167" s="9"/>
      <c r="EY167" s="10" t="s">
        <v>45</v>
      </c>
      <c r="EZ167" s="7"/>
      <c r="FA167" s="7"/>
      <c r="FB167" s="10" t="s">
        <v>57</v>
      </c>
      <c r="FC167" s="7"/>
      <c r="FD167" s="7"/>
      <c r="FE167" s="10" t="s">
        <v>57</v>
      </c>
      <c r="FF167" s="7"/>
      <c r="FG167" s="7"/>
      <c r="FH167" s="10" t="s">
        <v>45</v>
      </c>
      <c r="FI167" s="9"/>
      <c r="FJ167" s="9"/>
      <c r="FK167" s="10" t="s">
        <v>45</v>
      </c>
      <c r="FL167" s="7"/>
      <c r="FM167" s="7"/>
      <c r="FN167" s="10" t="s">
        <v>57</v>
      </c>
      <c r="FO167" s="7"/>
      <c r="FP167" s="7"/>
      <c r="FQ167" s="6" t="s">
        <v>57</v>
      </c>
      <c r="FR167" s="7">
        <v>50</v>
      </c>
      <c r="FS167" s="7">
        <v>800</v>
      </c>
      <c r="FT167" s="10" t="s">
        <v>45</v>
      </c>
      <c r="FU167" s="9"/>
      <c r="FV167" s="9"/>
      <c r="FW167" s="10" t="s">
        <v>45</v>
      </c>
      <c r="FX167" s="7">
        <v>100</v>
      </c>
      <c r="FY167" s="7">
        <v>2500</v>
      </c>
      <c r="FZ167" s="10" t="s">
        <v>45</v>
      </c>
      <c r="GA167" s="7"/>
      <c r="GB167" s="7"/>
      <c r="GC167" s="10" t="s">
        <v>45</v>
      </c>
      <c r="GD167" s="7">
        <v>15</v>
      </c>
      <c r="GE167" s="7">
        <v>150</v>
      </c>
      <c r="GF167" s="10" t="s">
        <v>45</v>
      </c>
      <c r="GG167" s="7"/>
      <c r="GH167" s="7"/>
      <c r="GI167" s="10" t="s">
        <v>45</v>
      </c>
      <c r="GJ167" s="7">
        <v>187</v>
      </c>
      <c r="GK167" s="7">
        <v>1195</v>
      </c>
      <c r="GL167" s="10" t="s">
        <v>45</v>
      </c>
      <c r="GM167" s="7"/>
      <c r="GN167" s="7"/>
      <c r="GO167" s="10" t="s">
        <v>45</v>
      </c>
      <c r="GP167" s="7">
        <v>10</v>
      </c>
      <c r="GQ167" s="7">
        <v>100</v>
      </c>
      <c r="GR167" s="10" t="s">
        <v>45</v>
      </c>
      <c r="GS167" s="7">
        <v>12</v>
      </c>
      <c r="GT167" s="7">
        <v>200</v>
      </c>
      <c r="GU167" s="6" t="s">
        <v>45</v>
      </c>
      <c r="GV167" s="7">
        <v>125</v>
      </c>
      <c r="GW167" s="7">
        <v>1700</v>
      </c>
      <c r="GX167" s="10" t="s">
        <v>45</v>
      </c>
      <c r="GY167" s="7"/>
      <c r="GZ167" s="7"/>
      <c r="HA167" s="10" t="s">
        <v>45</v>
      </c>
      <c r="HB167" s="7">
        <v>2</v>
      </c>
      <c r="HC167" s="7">
        <v>150</v>
      </c>
      <c r="HD167" s="10" t="s">
        <v>45</v>
      </c>
      <c r="HE167" s="7">
        <v>15</v>
      </c>
      <c r="HF167" s="7">
        <v>250</v>
      </c>
      <c r="HG167" s="10" t="s">
        <v>45</v>
      </c>
      <c r="HH167" s="7"/>
      <c r="HI167" s="7"/>
      <c r="HJ167" s="10" t="s">
        <v>45</v>
      </c>
      <c r="HK167" s="7"/>
      <c r="HL167" s="7"/>
      <c r="HM167" s="10" t="s">
        <v>45</v>
      </c>
      <c r="HN167" s="7">
        <v>20</v>
      </c>
      <c r="HO167" s="7">
        <v>200</v>
      </c>
      <c r="HP167" s="10" t="s">
        <v>45</v>
      </c>
      <c r="HQ167" s="7">
        <v>17</v>
      </c>
      <c r="HR167" s="7">
        <v>270</v>
      </c>
      <c r="HS167" s="10" t="s">
        <v>45</v>
      </c>
      <c r="HT167" s="7">
        <v>160</v>
      </c>
      <c r="HU167" s="7">
        <v>2700</v>
      </c>
      <c r="HV167" s="10" t="s">
        <v>45</v>
      </c>
      <c r="HW167" s="7"/>
      <c r="HX167" s="7"/>
      <c r="HY167" s="10" t="s">
        <v>45</v>
      </c>
      <c r="HZ167" s="7">
        <v>30</v>
      </c>
      <c r="IA167" s="7">
        <v>300</v>
      </c>
      <c r="IB167" s="10" t="s">
        <v>45</v>
      </c>
      <c r="IC167" s="7">
        <v>6</v>
      </c>
      <c r="ID167" s="7">
        <v>400</v>
      </c>
      <c r="IE167" s="6" t="s">
        <v>45</v>
      </c>
      <c r="IF167" s="7">
        <v>172</v>
      </c>
      <c r="IG167" s="7">
        <v>1940</v>
      </c>
    </row>
    <row r="168" spans="1:284" x14ac:dyDescent="0.3">
      <c r="A168" t="s">
        <v>328</v>
      </c>
      <c r="B168" s="10" t="s">
        <v>60</v>
      </c>
      <c r="C168" s="7"/>
      <c r="D168" s="7"/>
      <c r="E168" s="10" t="s">
        <v>60</v>
      </c>
      <c r="F168" s="7"/>
      <c r="G168" s="7"/>
      <c r="H168" s="10" t="s">
        <v>60</v>
      </c>
      <c r="I168" s="7"/>
      <c r="J168" s="7"/>
      <c r="K168" s="10" t="s">
        <v>60</v>
      </c>
      <c r="L168" s="7"/>
      <c r="M168" s="7"/>
      <c r="N168" s="10" t="s">
        <v>60</v>
      </c>
      <c r="O168" s="7"/>
      <c r="P168" s="7"/>
      <c r="Q168" s="10" t="s">
        <v>60</v>
      </c>
      <c r="R168" s="7"/>
      <c r="S168" s="7"/>
      <c r="T168" s="10" t="s">
        <v>60</v>
      </c>
      <c r="U168" s="7"/>
      <c r="V168" s="7"/>
      <c r="W168" s="10" t="s">
        <v>60</v>
      </c>
      <c r="X168" s="7"/>
      <c r="Y168" s="7"/>
      <c r="Z168" s="10" t="s">
        <v>60</v>
      </c>
      <c r="AA168" s="7"/>
      <c r="AB168" s="7"/>
      <c r="AC168" s="10" t="s">
        <v>60</v>
      </c>
      <c r="AD168" s="7"/>
      <c r="AE168" s="7"/>
      <c r="AF168" s="10" t="s">
        <v>60</v>
      </c>
      <c r="AG168" s="7"/>
      <c r="AH168" s="7"/>
      <c r="AI168" s="10" t="s">
        <v>60</v>
      </c>
      <c r="AJ168" s="7"/>
      <c r="AK168" s="7"/>
      <c r="AL168" s="10" t="s">
        <v>60</v>
      </c>
      <c r="AM168" s="7"/>
      <c r="AN168" s="7"/>
      <c r="AO168" s="10" t="s">
        <v>60</v>
      </c>
      <c r="AP168" s="7"/>
      <c r="AQ168" s="7"/>
      <c r="AR168" s="10" t="s">
        <v>60</v>
      </c>
      <c r="AS168" s="7"/>
      <c r="AT168" s="7"/>
      <c r="AU168" s="10" t="s">
        <v>60</v>
      </c>
      <c r="AV168" s="7"/>
      <c r="AW168" s="7"/>
      <c r="AX168" s="10" t="s">
        <v>60</v>
      </c>
      <c r="AY168" s="7"/>
      <c r="AZ168" s="7"/>
      <c r="BA168" s="10" t="s">
        <v>60</v>
      </c>
      <c r="BB168" s="7"/>
      <c r="BC168" s="7"/>
      <c r="BD168" s="10" t="s">
        <v>60</v>
      </c>
      <c r="BE168" s="7"/>
      <c r="BF168" s="7"/>
      <c r="BG168" s="10" t="s">
        <v>60</v>
      </c>
      <c r="BH168" s="7"/>
      <c r="BI168" s="7"/>
      <c r="BJ168" s="10" t="s">
        <v>60</v>
      </c>
      <c r="BK168" s="7"/>
      <c r="BL168" s="7"/>
      <c r="BM168" s="10" t="s">
        <v>60</v>
      </c>
      <c r="BN168" s="7"/>
      <c r="BO168" s="7"/>
      <c r="BP168" s="10" t="s">
        <v>60</v>
      </c>
      <c r="BQ168" s="7"/>
      <c r="BR168" s="7"/>
      <c r="BS168" s="10" t="s">
        <v>60</v>
      </c>
      <c r="BT168" s="7"/>
      <c r="BU168" s="7"/>
      <c r="BV168" s="10" t="s">
        <v>60</v>
      </c>
      <c r="BW168" s="7"/>
      <c r="BX168" s="7"/>
      <c r="BY168" s="10" t="s">
        <v>60</v>
      </c>
      <c r="BZ168" s="7"/>
      <c r="CA168" s="7"/>
      <c r="CB168" s="10" t="s">
        <v>60</v>
      </c>
      <c r="CC168" s="7"/>
      <c r="CD168" s="7"/>
      <c r="CE168" s="10" t="s">
        <v>60</v>
      </c>
      <c r="CF168" s="7"/>
      <c r="CG168" s="7"/>
      <c r="CH168" s="10" t="s">
        <v>60</v>
      </c>
      <c r="CI168" s="7"/>
      <c r="CJ168" s="7"/>
      <c r="CK168" s="10" t="s">
        <v>60</v>
      </c>
      <c r="CL168" s="7"/>
      <c r="CM168" s="7"/>
      <c r="CN168" s="10" t="s">
        <v>60</v>
      </c>
      <c r="CO168" s="7"/>
      <c r="CP168" s="7"/>
      <c r="CQ168" s="10" t="s">
        <v>60</v>
      </c>
      <c r="CR168" s="7"/>
      <c r="CS168" s="7"/>
      <c r="CT168" s="10" t="s">
        <v>60</v>
      </c>
      <c r="CU168" s="7"/>
      <c r="CV168" s="7"/>
      <c r="CW168" s="10" t="s">
        <v>60</v>
      </c>
      <c r="CX168" s="7"/>
      <c r="CY168" s="7"/>
      <c r="CZ168" s="10" t="s">
        <v>60</v>
      </c>
      <c r="DA168" s="7"/>
      <c r="DB168" s="7"/>
      <c r="DC168" s="10" t="s">
        <v>60</v>
      </c>
      <c r="DD168" s="7"/>
      <c r="DE168" s="7"/>
      <c r="DF168" s="10" t="s">
        <v>60</v>
      </c>
      <c r="DG168" s="7"/>
      <c r="DH168" s="7"/>
      <c r="DI168" s="10" t="s">
        <v>60</v>
      </c>
      <c r="DJ168" s="7"/>
      <c r="DK168" s="7"/>
      <c r="DL168" s="10" t="s">
        <v>60</v>
      </c>
      <c r="DM168" s="9"/>
      <c r="DN168" s="9"/>
      <c r="DO168" s="10" t="s">
        <v>60</v>
      </c>
      <c r="DP168" s="7"/>
      <c r="DQ168" s="7"/>
      <c r="DR168" s="10" t="s">
        <v>60</v>
      </c>
      <c r="DS168" s="7"/>
      <c r="DT168" s="7"/>
      <c r="DU168" s="10" t="s">
        <v>60</v>
      </c>
      <c r="DV168" s="7"/>
      <c r="DW168" s="7"/>
      <c r="DX168" s="10" t="s">
        <v>60</v>
      </c>
      <c r="DY168" s="9"/>
      <c r="DZ168" s="9"/>
      <c r="EA168" s="10" t="s">
        <v>60</v>
      </c>
      <c r="EB168" s="7"/>
      <c r="EC168" s="7"/>
      <c r="ED168" s="10" t="s">
        <v>60</v>
      </c>
      <c r="EE168" s="7"/>
      <c r="EF168" s="7"/>
      <c r="EG168" s="10" t="s">
        <v>60</v>
      </c>
      <c r="EH168" s="7"/>
      <c r="EI168" s="7"/>
      <c r="EJ168" s="10" t="s">
        <v>60</v>
      </c>
      <c r="EK168" s="9"/>
      <c r="EL168" s="9"/>
      <c r="EM168" s="10" t="s">
        <v>60</v>
      </c>
      <c r="EN168" s="7"/>
      <c r="EO168" s="7"/>
      <c r="EP168" s="10" t="s">
        <v>60</v>
      </c>
      <c r="EQ168" s="7"/>
      <c r="ER168" s="7"/>
      <c r="ES168" s="10" t="s">
        <v>60</v>
      </c>
      <c r="ET168" s="7"/>
      <c r="EU168" s="7"/>
      <c r="EV168" s="10" t="s">
        <v>60</v>
      </c>
      <c r="EW168" s="9"/>
      <c r="EX168" s="9"/>
      <c r="EY168" s="10" t="s">
        <v>60</v>
      </c>
      <c r="EZ168" s="7"/>
      <c r="FA168" s="7"/>
      <c r="FB168" s="10" t="s">
        <v>60</v>
      </c>
      <c r="FC168" s="7"/>
      <c r="FD168" s="7"/>
      <c r="FE168" s="10" t="s">
        <v>60</v>
      </c>
      <c r="FF168" s="7"/>
      <c r="FG168" s="7"/>
      <c r="FH168" s="10" t="s">
        <v>60</v>
      </c>
      <c r="FI168" s="9"/>
      <c r="FJ168" s="9"/>
      <c r="FK168" s="10" t="s">
        <v>60</v>
      </c>
      <c r="FL168" s="7"/>
      <c r="FM168" s="7"/>
      <c r="FN168" s="10" t="s">
        <v>60</v>
      </c>
      <c r="FO168" s="7"/>
      <c r="FP168" s="7"/>
      <c r="FQ168" s="10" t="s">
        <v>60</v>
      </c>
      <c r="FR168" s="7">
        <v>250</v>
      </c>
      <c r="FS168" s="7">
        <v>20000</v>
      </c>
      <c r="FT168" s="10" t="s">
        <v>60</v>
      </c>
      <c r="FU168" s="9">
        <v>200</v>
      </c>
      <c r="FV168" s="9">
        <v>17000</v>
      </c>
      <c r="FW168" s="10" t="s">
        <v>60</v>
      </c>
      <c r="FX168" s="7"/>
      <c r="FY168" s="7"/>
      <c r="FZ168" s="10" t="s">
        <v>60</v>
      </c>
      <c r="GA168" s="7"/>
      <c r="GB168" s="7"/>
      <c r="GC168" s="10" t="s">
        <v>60</v>
      </c>
      <c r="GD168" s="7">
        <v>200</v>
      </c>
      <c r="GE168" s="7">
        <v>16000</v>
      </c>
      <c r="GF168" s="10" t="s">
        <v>60</v>
      </c>
      <c r="GG168" s="7">
        <v>162</v>
      </c>
      <c r="GH168" s="7">
        <v>15725</v>
      </c>
      <c r="GI168" s="10" t="s">
        <v>60</v>
      </c>
      <c r="GJ168" s="7"/>
      <c r="GK168" s="7"/>
      <c r="GL168" s="10" t="s">
        <v>60</v>
      </c>
      <c r="GM168" s="7"/>
      <c r="GN168" s="7"/>
      <c r="GO168" s="6" t="s">
        <v>60</v>
      </c>
      <c r="GP168" s="7">
        <v>48</v>
      </c>
      <c r="GQ168" s="7">
        <v>4300</v>
      </c>
      <c r="GR168" s="10"/>
      <c r="GS168" s="7"/>
      <c r="GT168" s="7"/>
      <c r="GU168" s="10"/>
      <c r="GV168" s="7"/>
      <c r="GW168" s="7"/>
      <c r="GX168" s="10" t="s">
        <v>60</v>
      </c>
      <c r="GY168" s="7"/>
      <c r="GZ168" s="7"/>
      <c r="HA168" s="10" t="s">
        <v>60</v>
      </c>
      <c r="HB168" s="7">
        <v>100</v>
      </c>
      <c r="HC168" s="7">
        <v>9000</v>
      </c>
      <c r="HD168" s="10" t="s">
        <v>60</v>
      </c>
      <c r="HE168" s="7">
        <v>220</v>
      </c>
      <c r="HF168" s="7">
        <v>20000</v>
      </c>
      <c r="HG168" s="10" t="s">
        <v>60</v>
      </c>
      <c r="HH168" s="7"/>
      <c r="HI168" s="7"/>
      <c r="HJ168" s="10" t="s">
        <v>60</v>
      </c>
      <c r="HK168" s="7"/>
      <c r="HL168" s="7"/>
      <c r="HM168" s="10" t="s">
        <v>60</v>
      </c>
      <c r="HN168" s="7">
        <v>110</v>
      </c>
      <c r="HO168" s="7">
        <v>11000</v>
      </c>
      <c r="HP168" s="10" t="s">
        <v>60</v>
      </c>
      <c r="HQ168" s="7">
        <v>250</v>
      </c>
      <c r="HR168" s="7">
        <v>50000</v>
      </c>
      <c r="HS168" s="10" t="s">
        <v>60</v>
      </c>
      <c r="HT168" s="7"/>
      <c r="HU168" s="7"/>
      <c r="HV168" s="10" t="s">
        <v>60</v>
      </c>
      <c r="HW168" s="7"/>
      <c r="HX168" s="7"/>
      <c r="HY168" s="6" t="s">
        <v>60</v>
      </c>
      <c r="HZ168" s="7">
        <v>300</v>
      </c>
      <c r="IA168" s="7">
        <v>33000</v>
      </c>
      <c r="IC168" s="7"/>
      <c r="ID168" s="7"/>
      <c r="IE168" s="10"/>
      <c r="IF168" s="7"/>
      <c r="IG168" s="7"/>
      <c r="II168" s="7"/>
      <c r="IJ168" s="7"/>
      <c r="IK168" s="7"/>
      <c r="IL168" s="7"/>
      <c r="IM168" s="7"/>
      <c r="IN168" s="7"/>
      <c r="IP168" s="7"/>
      <c r="IQ168" s="7"/>
      <c r="IR168" s="7"/>
      <c r="IS168" s="7"/>
      <c r="IT168" s="7"/>
      <c r="IU168" s="7"/>
      <c r="IV168" s="7"/>
      <c r="IW168" s="7"/>
      <c r="IX168" s="7"/>
      <c r="IY168" s="7"/>
      <c r="IZ168" s="7"/>
      <c r="JA168" s="7"/>
      <c r="JB168" s="7"/>
      <c r="JC168" s="7"/>
      <c r="JE168" s="7"/>
      <c r="JF168" s="7"/>
      <c r="JH168" s="7"/>
      <c r="JI168" s="7"/>
      <c r="JJ168" s="7"/>
      <c r="JK168" s="7"/>
      <c r="JL168" s="7"/>
      <c r="JM168" s="7"/>
      <c r="JO168" s="7"/>
      <c r="JP168" s="7"/>
      <c r="JQ168" s="7"/>
      <c r="JR168" s="7"/>
      <c r="JT168" s="7"/>
      <c r="JU168" s="7"/>
      <c r="JV168" s="7"/>
      <c r="JW168" s="7"/>
      <c r="JX168" s="7"/>
    </row>
    <row r="169" spans="1:284" x14ac:dyDescent="0.3">
      <c r="A169" t="s">
        <v>328</v>
      </c>
      <c r="B169" s="10" t="s">
        <v>38</v>
      </c>
      <c r="C169" s="7"/>
      <c r="D169" s="7"/>
      <c r="E169" s="10" t="s">
        <v>38</v>
      </c>
      <c r="F169" s="7"/>
      <c r="G169" s="7"/>
      <c r="H169" s="10" t="s">
        <v>38</v>
      </c>
      <c r="I169" s="7"/>
      <c r="J169" s="7"/>
      <c r="K169" s="10" t="s">
        <v>38</v>
      </c>
      <c r="L169" s="7"/>
      <c r="M169" s="7"/>
      <c r="N169" s="10" t="s">
        <v>38</v>
      </c>
      <c r="O169" s="7"/>
      <c r="P169" s="7"/>
      <c r="Q169" s="10" t="s">
        <v>38</v>
      </c>
      <c r="R169" s="7"/>
      <c r="S169" s="7"/>
      <c r="T169" s="10" t="s">
        <v>38</v>
      </c>
      <c r="U169" s="7"/>
      <c r="V169" s="7"/>
      <c r="W169" s="10" t="s">
        <v>38</v>
      </c>
      <c r="X169" s="7"/>
      <c r="Y169" s="7"/>
      <c r="Z169" s="10" t="s">
        <v>38</v>
      </c>
      <c r="AA169" s="7"/>
      <c r="AB169" s="7"/>
      <c r="AC169" s="10" t="s">
        <v>38</v>
      </c>
      <c r="AD169" s="7"/>
      <c r="AE169" s="7"/>
      <c r="AF169" s="10" t="s">
        <v>38</v>
      </c>
      <c r="AG169" s="7"/>
      <c r="AH169" s="7"/>
      <c r="AI169" s="10" t="s">
        <v>38</v>
      </c>
      <c r="AJ169" s="7"/>
      <c r="AK169" s="7"/>
      <c r="AL169" s="10" t="s">
        <v>38</v>
      </c>
      <c r="AM169" s="7"/>
      <c r="AN169" s="7"/>
      <c r="AO169" s="10" t="s">
        <v>38</v>
      </c>
      <c r="AP169" s="7"/>
      <c r="AQ169" s="7"/>
      <c r="AR169" s="10" t="s">
        <v>38</v>
      </c>
      <c r="AS169" s="7"/>
      <c r="AT169" s="7"/>
      <c r="AU169" s="10" t="s">
        <v>38</v>
      </c>
      <c r="AV169" s="7"/>
      <c r="AW169" s="7"/>
      <c r="AX169" s="10" t="s">
        <v>38</v>
      </c>
      <c r="AY169" s="7"/>
      <c r="AZ169" s="7"/>
      <c r="BA169" s="10" t="s">
        <v>38</v>
      </c>
      <c r="BB169" s="7"/>
      <c r="BC169" s="7"/>
      <c r="BD169" s="10" t="s">
        <v>38</v>
      </c>
      <c r="BE169" s="7"/>
      <c r="BF169" s="7"/>
      <c r="BG169" s="10" t="s">
        <v>38</v>
      </c>
      <c r="BH169" s="7"/>
      <c r="BI169" s="7"/>
      <c r="BJ169" s="10" t="s">
        <v>38</v>
      </c>
      <c r="BK169" s="7"/>
      <c r="BL169" s="7"/>
      <c r="BM169" s="10" t="s">
        <v>38</v>
      </c>
      <c r="BN169" s="7"/>
      <c r="BO169" s="7"/>
      <c r="BP169" s="10" t="s">
        <v>38</v>
      </c>
      <c r="BQ169" s="7"/>
      <c r="BR169" s="7"/>
      <c r="BS169" s="10" t="s">
        <v>38</v>
      </c>
      <c r="BT169" s="7"/>
      <c r="BU169" s="7"/>
      <c r="BV169" s="10" t="s">
        <v>38</v>
      </c>
      <c r="BW169" s="7"/>
      <c r="BX169" s="7"/>
      <c r="BY169" s="10" t="s">
        <v>38</v>
      </c>
      <c r="BZ169" s="7"/>
      <c r="CA169" s="7"/>
      <c r="CB169" s="10" t="s">
        <v>38</v>
      </c>
      <c r="CC169" s="7"/>
      <c r="CD169" s="7"/>
      <c r="CE169" s="10" t="s">
        <v>38</v>
      </c>
      <c r="CF169" s="7"/>
      <c r="CG169" s="7"/>
      <c r="CH169" s="10" t="s">
        <v>38</v>
      </c>
      <c r="CI169" s="7"/>
      <c r="CJ169" s="7"/>
      <c r="CK169" s="10" t="s">
        <v>38</v>
      </c>
      <c r="CL169" s="7"/>
      <c r="CM169" s="7"/>
      <c r="CN169" s="10" t="s">
        <v>38</v>
      </c>
      <c r="CO169" s="7"/>
      <c r="CP169" s="7"/>
      <c r="CQ169" s="10" t="s">
        <v>38</v>
      </c>
      <c r="CR169" s="7"/>
      <c r="CS169" s="7"/>
      <c r="CT169" s="10" t="s">
        <v>38</v>
      </c>
      <c r="CU169" s="7"/>
      <c r="CV169" s="7"/>
      <c r="CW169" s="10" t="s">
        <v>38</v>
      </c>
      <c r="CX169" s="7"/>
      <c r="CY169" s="7"/>
      <c r="CZ169" s="10" t="s">
        <v>38</v>
      </c>
      <c r="DA169" s="7"/>
      <c r="DB169" s="7"/>
      <c r="DC169" s="10" t="s">
        <v>38</v>
      </c>
      <c r="DD169" s="7"/>
      <c r="DE169" s="7"/>
      <c r="DF169" s="10" t="s">
        <v>38</v>
      </c>
      <c r="DG169" s="7"/>
      <c r="DH169" s="7"/>
      <c r="DI169" s="10" t="s">
        <v>38</v>
      </c>
      <c r="DJ169" s="7"/>
      <c r="DK169" s="7"/>
      <c r="DL169" s="10" t="s">
        <v>38</v>
      </c>
      <c r="DM169" s="9"/>
      <c r="DN169" s="9"/>
      <c r="DO169" s="10" t="s">
        <v>38</v>
      </c>
      <c r="DP169" s="7"/>
      <c r="DQ169" s="7"/>
      <c r="DR169" s="10" t="s">
        <v>38</v>
      </c>
      <c r="DS169" s="7"/>
      <c r="DT169" s="7"/>
      <c r="DU169" s="10" t="s">
        <v>38</v>
      </c>
      <c r="DV169" s="7"/>
      <c r="DW169" s="7"/>
      <c r="DX169" s="10" t="s">
        <v>38</v>
      </c>
      <c r="DY169" s="9"/>
      <c r="DZ169" s="9"/>
      <c r="EA169" s="10" t="s">
        <v>38</v>
      </c>
      <c r="EB169" s="7"/>
      <c r="EC169" s="7"/>
      <c r="ED169" s="10" t="s">
        <v>38</v>
      </c>
      <c r="EE169" s="7"/>
      <c r="EF169" s="7"/>
      <c r="EG169" s="10" t="s">
        <v>38</v>
      </c>
      <c r="EH169" s="7"/>
      <c r="EI169" s="7"/>
      <c r="EJ169" s="10" t="s">
        <v>38</v>
      </c>
      <c r="EK169" s="9"/>
      <c r="EL169" s="9"/>
      <c r="EM169" s="10" t="s">
        <v>38</v>
      </c>
      <c r="EN169" s="7"/>
      <c r="EO169" s="7"/>
      <c r="EP169" s="10" t="s">
        <v>38</v>
      </c>
      <c r="EQ169" s="7"/>
      <c r="ER169" s="7"/>
      <c r="ES169" s="10" t="s">
        <v>38</v>
      </c>
      <c r="ET169" s="7"/>
      <c r="EU169" s="7"/>
      <c r="EV169" s="10" t="s">
        <v>38</v>
      </c>
      <c r="EW169" s="9"/>
      <c r="EX169" s="9"/>
      <c r="EY169" s="10" t="s">
        <v>38</v>
      </c>
      <c r="EZ169" s="7"/>
      <c r="FA169" s="7"/>
      <c r="FB169" s="10" t="s">
        <v>38</v>
      </c>
      <c r="FC169" s="7"/>
      <c r="FD169" s="7"/>
      <c r="FE169" s="10" t="s">
        <v>38</v>
      </c>
      <c r="FF169" s="7"/>
      <c r="FG169" s="7"/>
      <c r="FH169" s="10" t="s">
        <v>38</v>
      </c>
      <c r="FI169" s="9"/>
      <c r="FJ169" s="9"/>
      <c r="FK169" s="10" t="s">
        <v>38</v>
      </c>
      <c r="FL169" s="7"/>
      <c r="FM169" s="7"/>
      <c r="FN169" s="10" t="s">
        <v>38</v>
      </c>
      <c r="FO169" s="7"/>
      <c r="FP169" s="7"/>
      <c r="FQ169" s="10" t="s">
        <v>38</v>
      </c>
      <c r="FR169" s="7"/>
      <c r="FS169" s="7"/>
      <c r="FT169" s="10" t="s">
        <v>38</v>
      </c>
      <c r="FU169" s="9"/>
      <c r="FV169" s="9"/>
      <c r="FW169" s="10" t="s">
        <v>38</v>
      </c>
      <c r="FX169" s="7"/>
      <c r="FY169" s="7"/>
      <c r="FZ169" s="10" t="s">
        <v>38</v>
      </c>
      <c r="GA169" s="7"/>
      <c r="GB169" s="7"/>
      <c r="GC169" s="10" t="s">
        <v>38</v>
      </c>
      <c r="GD169" s="7"/>
      <c r="GE169" s="7"/>
      <c r="GF169" s="10" t="s">
        <v>38</v>
      </c>
      <c r="GG169" s="7"/>
      <c r="GH169" s="7"/>
      <c r="GI169" s="10" t="s">
        <v>38</v>
      </c>
      <c r="GJ169" s="7"/>
      <c r="GK169" s="7"/>
      <c r="GL169" s="10" t="s">
        <v>38</v>
      </c>
      <c r="GM169" s="7"/>
      <c r="GN169" s="7"/>
      <c r="GO169" s="10" t="s">
        <v>38</v>
      </c>
      <c r="GP169" s="7"/>
      <c r="GQ169" s="7"/>
      <c r="GR169" s="10" t="s">
        <v>38</v>
      </c>
      <c r="GS169" s="7">
        <v>275</v>
      </c>
      <c r="GT169" s="7">
        <v>11000</v>
      </c>
      <c r="GU169" s="10"/>
      <c r="GV169" s="7"/>
      <c r="GW169" s="7"/>
      <c r="GX169" s="10" t="s">
        <v>38</v>
      </c>
      <c r="GY169" s="7"/>
      <c r="GZ169" s="7"/>
      <c r="HA169" s="10" t="s">
        <v>38</v>
      </c>
      <c r="HB169" s="7"/>
      <c r="HC169" s="7"/>
      <c r="HD169" s="10" t="s">
        <v>38</v>
      </c>
      <c r="HE169" s="7"/>
      <c r="HF169" s="7"/>
      <c r="HG169" s="10" t="s">
        <v>38</v>
      </c>
      <c r="HH169" s="7"/>
      <c r="HI169" s="7"/>
      <c r="HJ169" s="10" t="s">
        <v>38</v>
      </c>
      <c r="HK169" s="7"/>
      <c r="HL169" s="7"/>
      <c r="HM169" s="10" t="s">
        <v>38</v>
      </c>
      <c r="HN169" s="7"/>
      <c r="HO169" s="7"/>
      <c r="HP169" s="10" t="s">
        <v>38</v>
      </c>
      <c r="HQ169" s="7"/>
      <c r="HR169" s="7"/>
      <c r="HS169" s="10" t="s">
        <v>38</v>
      </c>
      <c r="HT169" s="7"/>
      <c r="HU169" s="7"/>
      <c r="HV169" s="10" t="s">
        <v>38</v>
      </c>
      <c r="HW169" s="7"/>
      <c r="HX169" s="7"/>
      <c r="HY169" s="10" t="s">
        <v>38</v>
      </c>
      <c r="HZ169" s="7"/>
      <c r="IA169" s="7"/>
      <c r="IB169" s="10" t="s">
        <v>38</v>
      </c>
      <c r="IC169" s="7"/>
      <c r="ID169" s="7"/>
      <c r="IE169" s="10"/>
      <c r="IF169" s="7"/>
      <c r="IG169" s="7"/>
      <c r="II169" s="7"/>
      <c r="IJ169" s="7"/>
      <c r="IK169" s="7"/>
      <c r="IL169" s="7"/>
      <c r="IM169" s="7"/>
      <c r="IN169" s="7"/>
      <c r="IP169" s="7"/>
      <c r="IQ169" s="7"/>
      <c r="IR169" s="7"/>
      <c r="IS169" s="7"/>
      <c r="IT169" s="7"/>
      <c r="IU169" s="7"/>
      <c r="IV169" s="7"/>
      <c r="IW169" s="7"/>
      <c r="IX169" s="7"/>
      <c r="IY169" s="7"/>
      <c r="IZ169" s="7"/>
      <c r="JA169" s="7"/>
      <c r="JB169" s="7"/>
      <c r="JC169" s="7"/>
      <c r="JE169" s="7"/>
      <c r="JF169" s="7"/>
      <c r="JH169" s="7"/>
      <c r="JI169" s="7"/>
      <c r="JJ169" s="7"/>
      <c r="JK169" s="7"/>
      <c r="JL169" s="7"/>
      <c r="JM169" s="7"/>
      <c r="JO169" s="7"/>
      <c r="JP169" s="7"/>
      <c r="JQ169" s="7"/>
      <c r="JR169" s="7"/>
      <c r="JT169" s="7"/>
      <c r="JU169" s="7"/>
      <c r="JV169" s="7"/>
      <c r="JW169" s="7"/>
      <c r="JX169" s="7"/>
    </row>
    <row r="170" spans="1:284" x14ac:dyDescent="0.3">
      <c r="A170" t="s">
        <v>329</v>
      </c>
      <c r="C170" s="7"/>
      <c r="D170" s="7"/>
      <c r="F170" s="7"/>
      <c r="G170" s="7"/>
      <c r="I170" s="7"/>
      <c r="J170" s="7"/>
      <c r="L170" s="7"/>
      <c r="M170" s="7"/>
      <c r="O170" s="7"/>
      <c r="P170" s="7"/>
      <c r="R170" s="7"/>
      <c r="S170" s="7"/>
      <c r="U170" s="7"/>
      <c r="V170" s="7"/>
      <c r="X170" s="7"/>
      <c r="Y170" s="7"/>
      <c r="AA170" s="7"/>
      <c r="AB170" s="7"/>
      <c r="AD170" s="7"/>
      <c r="AE170" s="7"/>
      <c r="AG170" s="7"/>
      <c r="AH170" s="7"/>
      <c r="AJ170" s="7"/>
      <c r="AK170" s="7"/>
      <c r="AM170" s="7"/>
      <c r="AN170" s="7"/>
      <c r="AP170" s="7"/>
      <c r="AQ170" s="7"/>
      <c r="AS170" s="7"/>
      <c r="AT170" s="7"/>
      <c r="AV170" s="7"/>
      <c r="AW170" s="7"/>
      <c r="AY170" s="7"/>
      <c r="AZ170" s="7"/>
      <c r="BB170" s="7"/>
      <c r="BC170" s="7"/>
      <c r="BE170" s="7"/>
      <c r="BF170" s="7"/>
      <c r="BH170" s="7"/>
      <c r="BI170" s="7"/>
      <c r="BK170" s="7"/>
      <c r="BL170" s="7"/>
      <c r="BN170" s="7"/>
      <c r="BO170" s="7"/>
      <c r="BQ170" s="7"/>
      <c r="BR170" s="7"/>
      <c r="BT170" s="7"/>
      <c r="BU170" s="7"/>
      <c r="BW170" s="7"/>
      <c r="BX170" s="7"/>
      <c r="BZ170" s="7"/>
      <c r="CA170" s="7"/>
      <c r="CC170" s="7"/>
      <c r="CD170" s="7"/>
      <c r="CF170" s="7"/>
      <c r="CG170" s="7"/>
      <c r="CI170" s="7"/>
      <c r="CJ170" s="7"/>
      <c r="CL170" s="7"/>
      <c r="CM170" s="7"/>
      <c r="CO170" s="7"/>
      <c r="CP170" s="7"/>
      <c r="CR170" s="7"/>
      <c r="CS170" s="7"/>
      <c r="CU170" s="7"/>
      <c r="CV170" s="7"/>
      <c r="CX170" s="7"/>
      <c r="CY170" s="7"/>
      <c r="DA170" s="7"/>
      <c r="DB170" s="7"/>
      <c r="DD170" s="7"/>
      <c r="DE170" s="7"/>
      <c r="DG170" s="7"/>
      <c r="DH170" s="7"/>
      <c r="DJ170" s="7"/>
      <c r="DK170" s="7"/>
      <c r="DM170" s="9"/>
      <c r="DN170" s="9"/>
      <c r="DP170" s="7"/>
      <c r="DQ170" s="7"/>
      <c r="DS170" s="7"/>
      <c r="DT170" s="7"/>
      <c r="DV170" s="7"/>
      <c r="DW170" s="7"/>
      <c r="DY170" s="9"/>
      <c r="DZ170" s="9"/>
      <c r="EB170" s="7"/>
      <c r="EC170" s="7"/>
      <c r="EE170" s="7"/>
      <c r="EF170" s="7"/>
      <c r="EH170" s="7"/>
      <c r="EI170" s="7"/>
      <c r="EK170" s="9"/>
      <c r="EL170" s="9"/>
      <c r="EN170" s="7"/>
      <c r="EO170" s="7"/>
      <c r="EQ170" s="7"/>
      <c r="ER170" s="7"/>
      <c r="ET170" s="7"/>
      <c r="EU170" s="7"/>
      <c r="EW170" s="9"/>
      <c r="EX170" s="9"/>
      <c r="EZ170" s="7"/>
      <c r="FA170" s="7"/>
      <c r="FC170" s="7"/>
      <c r="FD170" s="7"/>
      <c r="FF170" s="7"/>
      <c r="FG170" s="7"/>
      <c r="FI170" s="9"/>
      <c r="FJ170" s="9"/>
      <c r="FL170" s="7"/>
      <c r="FM170" s="7"/>
      <c r="FO170" s="7"/>
      <c r="FP170" s="7"/>
      <c r="FR170" s="7"/>
      <c r="FS170" s="7">
        <v>10000</v>
      </c>
      <c r="FU170" s="9"/>
      <c r="FV170" s="9">
        <v>100000</v>
      </c>
      <c r="FX170" s="7"/>
      <c r="FY170" s="7"/>
      <c r="GA170" s="7"/>
      <c r="GB170" s="7"/>
      <c r="GD170" s="7"/>
      <c r="GE170" s="7">
        <v>50000</v>
      </c>
      <c r="GG170" s="7"/>
      <c r="GH170" s="7">
        <v>90000</v>
      </c>
      <c r="GJ170" s="7"/>
      <c r="GK170" s="7"/>
      <c r="GM170" s="7"/>
      <c r="GN170" s="7"/>
      <c r="GO170" s="10"/>
      <c r="GP170" s="7"/>
      <c r="GQ170" s="7">
        <v>40000</v>
      </c>
      <c r="GR170" s="10"/>
      <c r="GS170" s="7"/>
      <c r="GT170" s="7">
        <v>70000</v>
      </c>
      <c r="GU170" s="10"/>
      <c r="GV170" s="7"/>
      <c r="GW170" s="7"/>
      <c r="GY170" s="7"/>
      <c r="GZ170" s="7"/>
      <c r="HB170" s="7"/>
      <c r="HC170" s="7">
        <v>35000</v>
      </c>
      <c r="HE170" s="7"/>
      <c r="HF170" s="7">
        <v>60000</v>
      </c>
      <c r="HH170" s="7"/>
      <c r="HI170" s="7"/>
      <c r="HK170" s="7"/>
      <c r="HL170" s="7"/>
      <c r="HN170" s="7"/>
      <c r="HO170" s="7">
        <v>30000</v>
      </c>
      <c r="HQ170" s="7"/>
      <c r="HR170" s="7">
        <v>50000</v>
      </c>
      <c r="HT170" s="7"/>
      <c r="HU170" s="7"/>
      <c r="HW170" s="7"/>
      <c r="HX170" s="7"/>
      <c r="HY170" s="10"/>
      <c r="HZ170" s="7"/>
      <c r="IA170" s="7">
        <v>60000</v>
      </c>
      <c r="IC170" s="7"/>
      <c r="ID170" s="7">
        <v>45000</v>
      </c>
      <c r="IE170" s="10"/>
      <c r="IF170" s="7"/>
      <c r="IG170" s="7"/>
      <c r="II170" s="7"/>
      <c r="IJ170" s="7"/>
      <c r="IK170" s="7"/>
      <c r="IL170" s="7"/>
      <c r="IM170" s="7"/>
      <c r="IN170" s="7"/>
      <c r="IP170" s="7"/>
      <c r="IQ170" s="7"/>
      <c r="IR170" s="7"/>
      <c r="IS170" s="7"/>
      <c r="IT170" s="7"/>
      <c r="IU170" s="7"/>
      <c r="IV170" s="7"/>
      <c r="IW170" s="7"/>
      <c r="IX170" s="7"/>
      <c r="IY170" s="7"/>
      <c r="IZ170" s="7"/>
      <c r="JA170" s="7"/>
      <c r="JB170" s="7"/>
      <c r="JC170" s="7"/>
      <c r="JE170" s="7"/>
      <c r="JF170" s="7"/>
      <c r="JH170" s="7"/>
      <c r="JI170" s="7"/>
      <c r="JJ170" s="7"/>
      <c r="JK170" s="7"/>
      <c r="JL170" s="7"/>
      <c r="JM170" s="7"/>
      <c r="JO170" s="7"/>
      <c r="JP170" s="7"/>
      <c r="JQ170" s="7"/>
      <c r="JR170" s="7"/>
      <c r="JT170" s="7"/>
      <c r="JU170" s="7"/>
      <c r="JV170" s="7"/>
      <c r="JW170" s="7"/>
      <c r="JX170" s="7"/>
    </row>
    <row r="171" spans="1:284" x14ac:dyDescent="0.3">
      <c r="A171" t="s">
        <v>330</v>
      </c>
      <c r="B171" s="10" t="s">
        <v>40</v>
      </c>
      <c r="C171" s="7"/>
      <c r="D171" s="7"/>
      <c r="E171" s="10" t="s">
        <v>40</v>
      </c>
      <c r="F171" s="7"/>
      <c r="G171" s="7"/>
      <c r="H171" s="10" t="s">
        <v>40</v>
      </c>
      <c r="I171" s="7"/>
      <c r="J171" s="7"/>
      <c r="K171" s="10" t="s">
        <v>40</v>
      </c>
      <c r="L171" s="7"/>
      <c r="M171" s="7"/>
      <c r="N171" s="10" t="s">
        <v>40</v>
      </c>
      <c r="O171" s="7"/>
      <c r="P171" s="7"/>
      <c r="Q171" s="10" t="s">
        <v>40</v>
      </c>
      <c r="R171" s="7"/>
      <c r="S171" s="7"/>
      <c r="T171" s="10" t="s">
        <v>40</v>
      </c>
      <c r="U171" s="7"/>
      <c r="V171" s="7"/>
      <c r="W171" s="10" t="s">
        <v>40</v>
      </c>
      <c r="X171" s="7"/>
      <c r="Y171" s="7"/>
      <c r="Z171" s="10" t="s">
        <v>40</v>
      </c>
      <c r="AA171" s="7"/>
      <c r="AB171" s="7"/>
      <c r="AC171" s="10" t="s">
        <v>40</v>
      </c>
      <c r="AD171" s="7"/>
      <c r="AE171" s="7"/>
      <c r="AF171" s="10" t="s">
        <v>40</v>
      </c>
      <c r="AG171" s="7"/>
      <c r="AH171" s="7"/>
      <c r="AI171" s="10" t="s">
        <v>40</v>
      </c>
      <c r="AJ171" s="7"/>
      <c r="AK171" s="7"/>
      <c r="AL171" s="10" t="s">
        <v>40</v>
      </c>
      <c r="AM171" s="7"/>
      <c r="AN171" s="7"/>
      <c r="AO171" s="10" t="s">
        <v>40</v>
      </c>
      <c r="AP171" s="7"/>
      <c r="AQ171" s="7"/>
      <c r="AR171" s="10" t="s">
        <v>40</v>
      </c>
      <c r="AS171" s="7"/>
      <c r="AT171" s="7"/>
      <c r="AU171" s="10" t="s">
        <v>40</v>
      </c>
      <c r="AV171" s="7"/>
      <c r="AW171" s="7"/>
      <c r="AX171" s="10" t="s">
        <v>40</v>
      </c>
      <c r="AY171" s="7"/>
      <c r="AZ171" s="7"/>
      <c r="BA171" s="10" t="s">
        <v>40</v>
      </c>
      <c r="BB171" s="7"/>
      <c r="BC171" s="7"/>
      <c r="BD171" s="10" t="s">
        <v>40</v>
      </c>
      <c r="BE171" s="7"/>
      <c r="BF171" s="7"/>
      <c r="BG171" s="10" t="s">
        <v>40</v>
      </c>
      <c r="BH171" s="7"/>
      <c r="BI171" s="7"/>
      <c r="BJ171" s="10" t="s">
        <v>40</v>
      </c>
      <c r="BK171" s="7"/>
      <c r="BL171" s="7"/>
      <c r="BM171" s="10" t="s">
        <v>40</v>
      </c>
      <c r="BN171" s="7"/>
      <c r="BO171" s="7"/>
      <c r="BP171" s="10" t="s">
        <v>40</v>
      </c>
      <c r="BQ171" s="7"/>
      <c r="BR171" s="7"/>
      <c r="BS171" s="10" t="s">
        <v>40</v>
      </c>
      <c r="BT171" s="7"/>
      <c r="BU171" s="7"/>
      <c r="BV171" s="10" t="s">
        <v>40</v>
      </c>
      <c r="BW171" s="7"/>
      <c r="BX171" s="7"/>
      <c r="BY171" s="10" t="s">
        <v>40</v>
      </c>
      <c r="BZ171" s="7"/>
      <c r="CA171" s="7"/>
      <c r="CB171" s="10" t="s">
        <v>40</v>
      </c>
      <c r="CC171" s="7"/>
      <c r="CD171" s="7"/>
      <c r="CE171" s="10" t="s">
        <v>40</v>
      </c>
      <c r="CF171" s="7"/>
      <c r="CG171" s="7"/>
      <c r="CH171" s="10" t="s">
        <v>40</v>
      </c>
      <c r="CI171" s="7"/>
      <c r="CJ171" s="7"/>
      <c r="CK171" s="10" t="s">
        <v>40</v>
      </c>
      <c r="CL171" s="7"/>
      <c r="CM171" s="7"/>
      <c r="CN171" s="10" t="s">
        <v>40</v>
      </c>
      <c r="CO171" s="7"/>
      <c r="CP171" s="7"/>
      <c r="CQ171" s="10" t="s">
        <v>40</v>
      </c>
      <c r="CR171" s="7"/>
      <c r="CS171" s="7"/>
      <c r="CT171" s="10" t="s">
        <v>40</v>
      </c>
      <c r="CU171" s="7"/>
      <c r="CV171" s="7"/>
      <c r="CW171" s="10" t="s">
        <v>40</v>
      </c>
      <c r="CX171" s="7"/>
      <c r="CY171" s="7"/>
      <c r="CZ171" s="10" t="s">
        <v>40</v>
      </c>
      <c r="DA171" s="7"/>
      <c r="DB171" s="7"/>
      <c r="DC171" s="10" t="s">
        <v>40</v>
      </c>
      <c r="DD171" s="7"/>
      <c r="DE171" s="7"/>
      <c r="DF171" s="10" t="s">
        <v>40</v>
      </c>
      <c r="DG171" s="7"/>
      <c r="DH171" s="7"/>
      <c r="DI171" s="10" t="s">
        <v>40</v>
      </c>
      <c r="DJ171" s="7"/>
      <c r="DK171" s="7"/>
      <c r="DL171" s="10" t="s">
        <v>40</v>
      </c>
      <c r="DM171" s="9"/>
      <c r="DN171" s="9"/>
      <c r="DO171" s="10" t="s">
        <v>40</v>
      </c>
      <c r="DP171" s="7"/>
      <c r="DQ171" s="7"/>
      <c r="DR171" s="10" t="s">
        <v>40</v>
      </c>
      <c r="DS171" s="7"/>
      <c r="DT171" s="7"/>
      <c r="DU171" s="10" t="s">
        <v>40</v>
      </c>
      <c r="DV171" s="7"/>
      <c r="DW171" s="7"/>
      <c r="DX171" s="10" t="s">
        <v>40</v>
      </c>
      <c r="DY171" s="9"/>
      <c r="DZ171" s="9"/>
      <c r="EA171" s="10" t="s">
        <v>40</v>
      </c>
      <c r="EB171" s="7"/>
      <c r="EC171" s="7"/>
      <c r="ED171" s="10" t="s">
        <v>40</v>
      </c>
      <c r="EE171" s="7"/>
      <c r="EF171" s="7"/>
      <c r="EG171" s="10" t="s">
        <v>40</v>
      </c>
      <c r="EH171" s="7"/>
      <c r="EI171" s="7"/>
      <c r="EJ171" s="10" t="s">
        <v>40</v>
      </c>
      <c r="EK171" s="9"/>
      <c r="EL171" s="9"/>
      <c r="EM171" s="10" t="s">
        <v>40</v>
      </c>
      <c r="EN171" s="7"/>
      <c r="EO171" s="7"/>
      <c r="EP171" s="10" t="s">
        <v>40</v>
      </c>
      <c r="EQ171" s="7"/>
      <c r="ER171" s="7"/>
      <c r="ES171" s="10" t="s">
        <v>40</v>
      </c>
      <c r="ET171" s="7"/>
      <c r="EU171" s="7"/>
      <c r="EV171" s="10" t="s">
        <v>40</v>
      </c>
      <c r="EW171" s="9"/>
      <c r="EX171" s="9"/>
      <c r="EY171" s="10" t="s">
        <v>40</v>
      </c>
      <c r="EZ171" s="7"/>
      <c r="FA171" s="7"/>
      <c r="FB171" s="10" t="s">
        <v>40</v>
      </c>
      <c r="FC171" s="7"/>
      <c r="FD171" s="7"/>
      <c r="FE171" s="10" t="s">
        <v>40</v>
      </c>
      <c r="FF171" s="7"/>
      <c r="FG171" s="7"/>
      <c r="FH171" s="10" t="s">
        <v>40</v>
      </c>
      <c r="FI171" s="9"/>
      <c r="FJ171" s="9"/>
      <c r="FK171" s="10" t="s">
        <v>40</v>
      </c>
      <c r="FL171" s="7"/>
      <c r="FM171" s="7"/>
      <c r="FN171" s="10" t="s">
        <v>40</v>
      </c>
      <c r="FO171" s="7"/>
      <c r="FP171" s="7"/>
      <c r="FQ171" s="10" t="s">
        <v>40</v>
      </c>
      <c r="FR171" s="7">
        <v>12</v>
      </c>
      <c r="FS171" s="7">
        <v>700</v>
      </c>
      <c r="FT171" s="10" t="s">
        <v>40</v>
      </c>
      <c r="FU171" s="9"/>
      <c r="FV171" s="9"/>
      <c r="FW171" s="10" t="s">
        <v>40</v>
      </c>
      <c r="FX171" s="7"/>
      <c r="FY171" s="7"/>
      <c r="FZ171" s="10" t="s">
        <v>40</v>
      </c>
      <c r="GA171" s="7"/>
      <c r="GB171" s="7"/>
      <c r="GC171" s="10" t="s">
        <v>40</v>
      </c>
      <c r="GD171" s="7">
        <v>8</v>
      </c>
      <c r="GE171" s="7">
        <v>1453</v>
      </c>
      <c r="GF171" s="10" t="s">
        <v>40</v>
      </c>
      <c r="GG171" s="7"/>
      <c r="GH171" s="7"/>
      <c r="GI171" s="10" t="s">
        <v>40</v>
      </c>
      <c r="GJ171" s="7"/>
      <c r="GK171" s="7"/>
      <c r="GL171" s="10" t="s">
        <v>40</v>
      </c>
      <c r="GM171" s="7"/>
      <c r="GN171" s="7"/>
      <c r="GO171" s="6" t="s">
        <v>40</v>
      </c>
      <c r="GP171" s="7">
        <v>8</v>
      </c>
      <c r="GQ171" s="7">
        <v>200</v>
      </c>
      <c r="GR171" s="10"/>
      <c r="GS171" s="7"/>
      <c r="GT171" s="7"/>
      <c r="GU171" s="10"/>
      <c r="GV171" s="7"/>
      <c r="GW171" s="7"/>
      <c r="GX171" s="10" t="s">
        <v>40</v>
      </c>
      <c r="GY171" s="7"/>
      <c r="GZ171" s="7"/>
      <c r="HA171" s="10" t="s">
        <v>40</v>
      </c>
      <c r="HB171" s="7">
        <v>12</v>
      </c>
      <c r="HC171" s="7">
        <v>600</v>
      </c>
      <c r="HD171" s="10" t="s">
        <v>40</v>
      </c>
      <c r="HE171" s="7"/>
      <c r="HF171" s="7"/>
      <c r="HG171" s="10" t="s">
        <v>40</v>
      </c>
      <c r="HH171" s="7"/>
      <c r="HI171" s="7"/>
      <c r="HJ171" s="10" t="s">
        <v>40</v>
      </c>
      <c r="HK171" s="7"/>
      <c r="HL171" s="7"/>
      <c r="HM171" s="10" t="s">
        <v>40</v>
      </c>
      <c r="HN171" s="7">
        <v>20</v>
      </c>
      <c r="HO171" s="7">
        <v>1000</v>
      </c>
      <c r="HP171" s="10" t="s">
        <v>40</v>
      </c>
      <c r="HQ171" s="7"/>
      <c r="HR171" s="7"/>
      <c r="HS171" s="10" t="s">
        <v>40</v>
      </c>
      <c r="HT171" s="7"/>
      <c r="HU171" s="7"/>
      <c r="HV171" s="10" t="s">
        <v>40</v>
      </c>
      <c r="HW171" s="7"/>
      <c r="HX171" s="7"/>
      <c r="HY171" s="6" t="s">
        <v>40</v>
      </c>
      <c r="HZ171" s="7">
        <v>7</v>
      </c>
      <c r="IA171" s="7">
        <v>600</v>
      </c>
      <c r="IC171" s="7"/>
      <c r="ID171" s="7"/>
      <c r="IE171" s="10"/>
      <c r="IF171" s="7"/>
      <c r="IG171" s="7"/>
      <c r="II171" s="7"/>
      <c r="IJ171" s="7"/>
      <c r="IK171" s="7"/>
      <c r="IL171" s="7"/>
      <c r="IM171" s="7"/>
      <c r="IN171" s="7"/>
      <c r="IP171" s="7"/>
      <c r="IQ171" s="7"/>
      <c r="IR171" s="7"/>
      <c r="IS171" s="7"/>
      <c r="IT171" s="7"/>
      <c r="IU171" s="7"/>
      <c r="IV171" s="7"/>
      <c r="IW171" s="7"/>
      <c r="IX171" s="7"/>
      <c r="IY171" s="7"/>
      <c r="IZ171" s="7"/>
      <c r="JA171" s="7"/>
      <c r="JB171" s="7"/>
      <c r="JC171" s="7"/>
      <c r="JE171" s="7"/>
      <c r="JF171" s="7"/>
      <c r="JH171" s="7"/>
      <c r="JI171" s="7"/>
      <c r="JJ171" s="7"/>
      <c r="JK171" s="7"/>
      <c r="JL171" s="7"/>
      <c r="JM171" s="7"/>
      <c r="JO171" s="7"/>
      <c r="JP171" s="7"/>
      <c r="JQ171" s="7"/>
      <c r="JR171" s="7"/>
      <c r="JT171" s="7"/>
      <c r="JU171" s="7"/>
      <c r="JV171" s="7"/>
      <c r="JW171" s="7"/>
      <c r="JX171" s="7"/>
    </row>
    <row r="172" spans="1:284" x14ac:dyDescent="0.3">
      <c r="A172" t="s">
        <v>331</v>
      </c>
      <c r="B172" s="10" t="s">
        <v>42</v>
      </c>
      <c r="C172" s="7"/>
      <c r="D172" s="7"/>
      <c r="E172" s="10" t="s">
        <v>42</v>
      </c>
      <c r="F172" s="7"/>
      <c r="G172" s="7"/>
      <c r="I172" s="7"/>
      <c r="J172" s="7"/>
      <c r="L172" s="7"/>
      <c r="M172" s="7"/>
      <c r="N172" s="10" t="s">
        <v>42</v>
      </c>
      <c r="O172" s="7"/>
      <c r="P172" s="7"/>
      <c r="Q172" s="10" t="s">
        <v>42</v>
      </c>
      <c r="R172" s="7"/>
      <c r="S172" s="7"/>
      <c r="U172" s="7"/>
      <c r="V172" s="7"/>
      <c r="X172" s="7"/>
      <c r="Y172" s="7"/>
      <c r="Z172" s="10" t="s">
        <v>42</v>
      </c>
      <c r="AA172" s="7"/>
      <c r="AB172" s="7"/>
      <c r="AC172" s="10" t="s">
        <v>42</v>
      </c>
      <c r="AD172" s="7"/>
      <c r="AE172" s="7"/>
      <c r="AG172" s="7"/>
      <c r="AH172" s="7"/>
      <c r="AJ172" s="7"/>
      <c r="AK172" s="7"/>
      <c r="AL172" s="10" t="s">
        <v>42</v>
      </c>
      <c r="AM172" s="7"/>
      <c r="AN172" s="7"/>
      <c r="AO172" s="10" t="s">
        <v>42</v>
      </c>
      <c r="AP172" s="7"/>
      <c r="AQ172" s="7"/>
      <c r="AS172" s="7"/>
      <c r="AT172" s="7"/>
      <c r="AV172" s="7"/>
      <c r="AW172" s="7"/>
      <c r="AX172" s="10" t="s">
        <v>42</v>
      </c>
      <c r="AY172" s="7"/>
      <c r="AZ172" s="7"/>
      <c r="BA172" s="10" t="s">
        <v>42</v>
      </c>
      <c r="BB172" s="7"/>
      <c r="BC172" s="7"/>
      <c r="BE172" s="7"/>
      <c r="BF172" s="7"/>
      <c r="BH172" s="7"/>
      <c r="BI172" s="7"/>
      <c r="BJ172" s="10" t="s">
        <v>42</v>
      </c>
      <c r="BK172" s="7"/>
      <c r="BL172" s="7"/>
      <c r="BM172" s="10" t="s">
        <v>42</v>
      </c>
      <c r="BN172" s="7"/>
      <c r="BO172" s="7"/>
      <c r="BQ172" s="7"/>
      <c r="BR172" s="7"/>
      <c r="BT172" s="7"/>
      <c r="BU172" s="7"/>
      <c r="BV172" s="10" t="s">
        <v>42</v>
      </c>
      <c r="BW172" s="7"/>
      <c r="BX172" s="7"/>
      <c r="BY172" s="10" t="s">
        <v>42</v>
      </c>
      <c r="BZ172" s="7"/>
      <c r="CA172" s="7"/>
      <c r="CC172" s="7"/>
      <c r="CD172" s="7"/>
      <c r="CF172" s="7"/>
      <c r="CG172" s="7"/>
      <c r="CH172" s="10" t="s">
        <v>42</v>
      </c>
      <c r="CI172" s="7"/>
      <c r="CJ172" s="7"/>
      <c r="CK172" s="10" t="s">
        <v>42</v>
      </c>
      <c r="CL172" s="7"/>
      <c r="CM172" s="7"/>
      <c r="CO172" s="7"/>
      <c r="CP172" s="7"/>
      <c r="CR172" s="7"/>
      <c r="CS172" s="7"/>
      <c r="CT172" s="10" t="s">
        <v>42</v>
      </c>
      <c r="CU172" s="7"/>
      <c r="CV172" s="7"/>
      <c r="CW172" s="10" t="s">
        <v>42</v>
      </c>
      <c r="CX172" s="7"/>
      <c r="CY172" s="7"/>
      <c r="DA172" s="7"/>
      <c r="DB172" s="7"/>
      <c r="DD172" s="7"/>
      <c r="DE172" s="7"/>
      <c r="DF172" s="10" t="s">
        <v>42</v>
      </c>
      <c r="DG172" s="7"/>
      <c r="DH172" s="7"/>
      <c r="DI172" s="10" t="s">
        <v>42</v>
      </c>
      <c r="DJ172" s="7"/>
      <c r="DK172" s="7"/>
      <c r="DM172" s="9"/>
      <c r="DN172" s="9"/>
      <c r="DP172" s="7"/>
      <c r="DQ172" s="7"/>
      <c r="DR172" s="10" t="s">
        <v>42</v>
      </c>
      <c r="DS172" s="7"/>
      <c r="DT172" s="7"/>
      <c r="DU172" s="10" t="s">
        <v>42</v>
      </c>
      <c r="DV172" s="7"/>
      <c r="DW172" s="7"/>
      <c r="DY172" s="9"/>
      <c r="DZ172" s="9"/>
      <c r="EB172" s="7"/>
      <c r="EC172" s="7"/>
      <c r="ED172" s="10" t="s">
        <v>42</v>
      </c>
      <c r="EE172" s="7"/>
      <c r="EF172" s="7"/>
      <c r="EG172" s="10" t="s">
        <v>42</v>
      </c>
      <c r="EH172" s="7"/>
      <c r="EI172" s="7"/>
      <c r="EK172" s="9"/>
      <c r="EL172" s="9"/>
      <c r="EN172" s="7"/>
      <c r="EO172" s="7"/>
      <c r="EP172" s="10" t="s">
        <v>42</v>
      </c>
      <c r="EQ172" s="7"/>
      <c r="ER172" s="7"/>
      <c r="ES172" s="10" t="s">
        <v>42</v>
      </c>
      <c r="ET172" s="7"/>
      <c r="EU172" s="7"/>
      <c r="EW172" s="9"/>
      <c r="EX172" s="9"/>
      <c r="EZ172" s="7"/>
      <c r="FA172" s="7"/>
      <c r="FB172" s="10" t="s">
        <v>42</v>
      </c>
      <c r="FC172" s="7"/>
      <c r="FD172" s="7"/>
      <c r="FE172" s="10" t="s">
        <v>42</v>
      </c>
      <c r="FF172" s="7"/>
      <c r="FG172" s="7"/>
      <c r="FI172" s="9"/>
      <c r="FJ172" s="9"/>
      <c r="FL172" s="7"/>
      <c r="FM172" s="7"/>
      <c r="FN172" s="10" t="s">
        <v>42</v>
      </c>
      <c r="FO172" s="7"/>
      <c r="FP172" s="7"/>
      <c r="FQ172" s="6" t="s">
        <v>42</v>
      </c>
      <c r="FR172" s="7">
        <v>10</v>
      </c>
      <c r="FS172" s="7">
        <v>80</v>
      </c>
      <c r="FU172" s="9"/>
      <c r="FV172" s="9"/>
      <c r="FX172" s="7"/>
      <c r="FY172" s="7"/>
      <c r="GA172" s="7"/>
      <c r="GB172" s="7"/>
      <c r="GD172" s="7"/>
      <c r="GE172" s="7"/>
      <c r="GG172" s="7"/>
      <c r="GH172" s="7"/>
      <c r="GJ172" s="7"/>
      <c r="GK172" s="7"/>
      <c r="GM172" s="7"/>
      <c r="GN172" s="7"/>
      <c r="GO172" s="6"/>
      <c r="GP172" s="7"/>
      <c r="GQ172" s="7"/>
      <c r="GR172" s="10"/>
      <c r="GS172" s="7"/>
      <c r="GT172" s="7"/>
      <c r="GU172" s="10"/>
      <c r="GV172" s="7"/>
      <c r="GW172" s="7"/>
      <c r="GX172" s="10" t="s">
        <v>92</v>
      </c>
      <c r="GY172" s="7"/>
      <c r="GZ172" s="7"/>
      <c r="HA172" s="10" t="s">
        <v>92</v>
      </c>
      <c r="HB172" s="7"/>
      <c r="HC172" s="7"/>
      <c r="HD172" s="10" t="s">
        <v>92</v>
      </c>
      <c r="HE172" s="7"/>
      <c r="HG172" s="10" t="s">
        <v>92</v>
      </c>
      <c r="HH172" s="7"/>
      <c r="HI172" s="7"/>
      <c r="HJ172" s="10" t="s">
        <v>92</v>
      </c>
      <c r="HK172" s="7"/>
      <c r="HL172" s="7"/>
      <c r="HM172" s="10" t="s">
        <v>92</v>
      </c>
      <c r="HN172" s="7"/>
      <c r="HO172" s="7"/>
      <c r="HP172" s="10" t="s">
        <v>92</v>
      </c>
      <c r="HQ172" s="7"/>
      <c r="HR172" s="7"/>
      <c r="HS172" s="10" t="s">
        <v>92</v>
      </c>
      <c r="HT172" s="7"/>
      <c r="HU172" s="7"/>
      <c r="HV172" s="10" t="s">
        <v>92</v>
      </c>
      <c r="HW172" s="7"/>
      <c r="HX172" s="7"/>
      <c r="HY172" s="6" t="s">
        <v>92</v>
      </c>
      <c r="HZ172" s="7">
        <v>2</v>
      </c>
      <c r="IA172" s="7">
        <v>50</v>
      </c>
      <c r="IC172" s="7"/>
      <c r="ID172" s="7"/>
      <c r="IE172" s="10"/>
      <c r="IF172" s="7"/>
      <c r="IG172" s="7"/>
      <c r="II172" s="7"/>
      <c r="IJ172" s="7"/>
      <c r="IK172" s="7"/>
      <c r="IL172" s="7"/>
      <c r="IM172" s="7"/>
      <c r="IN172" s="7"/>
      <c r="IP172" s="7"/>
      <c r="IQ172" s="7"/>
      <c r="IR172" s="7"/>
      <c r="IS172" s="7"/>
      <c r="IT172" s="7"/>
      <c r="IU172" s="7"/>
      <c r="IV172" s="7"/>
      <c r="IW172" s="7"/>
      <c r="IX172" s="7"/>
      <c r="IY172" s="7"/>
      <c r="IZ172" s="7"/>
      <c r="JA172" s="7"/>
      <c r="JB172" s="7"/>
      <c r="JC172" s="7"/>
      <c r="JE172" s="7"/>
      <c r="JF172" s="7"/>
      <c r="JH172" s="7"/>
      <c r="JI172" s="7"/>
      <c r="JJ172" s="7"/>
      <c r="JK172" s="7"/>
      <c r="JL172" s="7"/>
      <c r="JM172" s="7"/>
      <c r="JO172" s="7"/>
      <c r="JP172" s="7"/>
      <c r="JQ172" s="7"/>
      <c r="JR172" s="7"/>
      <c r="JT172" s="7"/>
      <c r="JU172" s="7"/>
      <c r="JV172" s="7"/>
      <c r="JW172" s="7"/>
      <c r="JX172" s="7"/>
    </row>
    <row r="173" spans="1:284" x14ac:dyDescent="0.3">
      <c r="A173" s="15" t="s">
        <v>61</v>
      </c>
      <c r="C173" s="7"/>
      <c r="D173" s="7">
        <v>24200</v>
      </c>
      <c r="F173" s="7"/>
      <c r="G173" s="7">
        <v>48800</v>
      </c>
      <c r="I173" s="7"/>
      <c r="J173" s="7">
        <v>451320</v>
      </c>
      <c r="L173" s="7"/>
      <c r="M173" s="7">
        <v>936195</v>
      </c>
      <c r="O173" s="7"/>
      <c r="P173" s="7">
        <f>7300+4140</f>
        <v>11440</v>
      </c>
      <c r="R173" s="7"/>
      <c r="S173" s="7">
        <v>61700</v>
      </c>
      <c r="U173" s="7"/>
      <c r="V173" s="7">
        <v>478750</v>
      </c>
      <c r="X173" s="7"/>
      <c r="Y173" s="7">
        <v>1124390</v>
      </c>
      <c r="AA173" s="7"/>
      <c r="AB173" s="7">
        <f>14000+1890</f>
        <v>15890</v>
      </c>
      <c r="AD173" s="7"/>
      <c r="AE173" s="7">
        <v>107340</v>
      </c>
      <c r="AG173" s="7"/>
      <c r="AH173" s="7">
        <v>325950</v>
      </c>
      <c r="AJ173" s="7"/>
      <c r="AK173" s="7">
        <v>864630</v>
      </c>
      <c r="AM173" s="7"/>
      <c r="AN173" s="7"/>
      <c r="AP173" s="7"/>
      <c r="AQ173" s="7">
        <v>152050</v>
      </c>
      <c r="AS173" s="7"/>
      <c r="AT173" s="7">
        <v>505650</v>
      </c>
      <c r="AV173" s="7"/>
      <c r="AW173" s="7">
        <v>1030800</v>
      </c>
      <c r="AY173" s="7"/>
      <c r="AZ173" s="7">
        <f>5000+8450</f>
        <v>13450</v>
      </c>
      <c r="BB173" s="7"/>
      <c r="BC173" s="7">
        <v>104240</v>
      </c>
      <c r="BE173" s="7"/>
      <c r="BF173" s="7">
        <v>189070</v>
      </c>
      <c r="BH173" s="7"/>
      <c r="BI173" s="7">
        <v>914575</v>
      </c>
      <c r="BK173" s="7"/>
      <c r="BL173" s="7">
        <f>18100+8350</f>
        <v>26450</v>
      </c>
      <c r="BN173" s="7"/>
      <c r="BO173" s="7">
        <v>148640</v>
      </c>
      <c r="BQ173" s="7"/>
      <c r="BR173" s="7">
        <v>301610</v>
      </c>
      <c r="BT173" s="7"/>
      <c r="BU173" s="7">
        <v>1222940</v>
      </c>
      <c r="BW173" s="7"/>
      <c r="BX173" s="7">
        <v>9850</v>
      </c>
      <c r="BZ173" s="7"/>
      <c r="CA173" s="7">
        <v>148640</v>
      </c>
      <c r="CC173" s="7"/>
      <c r="CD173" s="7">
        <v>208645</v>
      </c>
      <c r="CF173" s="7"/>
      <c r="CG173" s="7">
        <v>1285237</v>
      </c>
      <c r="CI173" s="7"/>
      <c r="CJ173" s="7">
        <v>13150</v>
      </c>
      <c r="CL173" s="7"/>
      <c r="CM173" s="7">
        <v>144920</v>
      </c>
      <c r="CO173" s="7"/>
      <c r="CP173" s="7">
        <v>350845</v>
      </c>
      <c r="CR173" s="7"/>
      <c r="CS173" s="7">
        <v>1175090</v>
      </c>
      <c r="CU173" s="7"/>
      <c r="CV173" s="7">
        <v>23215</v>
      </c>
      <c r="CX173" s="7"/>
      <c r="CY173" s="7">
        <v>210025</v>
      </c>
      <c r="DA173" s="7"/>
      <c r="DB173" s="7">
        <v>401305</v>
      </c>
      <c r="DD173" s="7"/>
      <c r="DE173" s="7">
        <v>1262728</v>
      </c>
      <c r="DG173" s="7"/>
      <c r="DH173" s="7">
        <v>74735</v>
      </c>
      <c r="DJ173" s="7"/>
      <c r="DK173" s="7">
        <v>153285</v>
      </c>
      <c r="DM173" s="9"/>
      <c r="DN173" s="9">
        <v>413393</v>
      </c>
      <c r="DP173" s="7"/>
      <c r="DQ173" s="7">
        <v>1341568</v>
      </c>
      <c r="DS173" s="7"/>
      <c r="DT173" s="7">
        <v>77200</v>
      </c>
      <c r="DV173" s="7"/>
      <c r="DW173" s="7">
        <v>145990</v>
      </c>
      <c r="DY173" s="9"/>
      <c r="DZ173" s="9">
        <v>433880</v>
      </c>
      <c r="EB173" s="7"/>
      <c r="EC173" s="7">
        <v>1320955</v>
      </c>
      <c r="EE173" s="7"/>
      <c r="EF173" s="7">
        <v>126400</v>
      </c>
      <c r="EH173" s="7"/>
      <c r="EI173" s="7">
        <v>187350</v>
      </c>
      <c r="EK173" s="9"/>
      <c r="EL173" s="9">
        <v>391690</v>
      </c>
      <c r="EN173" s="7"/>
      <c r="EO173" s="7">
        <v>991857</v>
      </c>
      <c r="EQ173" s="7"/>
      <c r="ER173" s="7">
        <v>92100</v>
      </c>
      <c r="ET173" s="7"/>
      <c r="EU173" s="7">
        <v>180885</v>
      </c>
      <c r="EW173" s="9"/>
      <c r="EX173" s="9">
        <v>367475</v>
      </c>
      <c r="EZ173" s="7"/>
      <c r="FA173" s="7">
        <v>1137350</v>
      </c>
      <c r="FC173" s="7"/>
      <c r="FD173" s="7">
        <v>61200</v>
      </c>
      <c r="FF173" s="7"/>
      <c r="FG173" s="7">
        <v>208525</v>
      </c>
      <c r="FI173" s="9"/>
      <c r="FJ173" s="9">
        <v>416840</v>
      </c>
      <c r="FL173" s="7"/>
      <c r="FM173" s="7">
        <v>1175830</v>
      </c>
      <c r="FO173" s="7"/>
      <c r="FP173" s="7">
        <v>52600</v>
      </c>
      <c r="FR173" s="7"/>
      <c r="FS173" s="7">
        <v>210030</v>
      </c>
      <c r="FU173" s="9"/>
      <c r="FV173" s="9">
        <v>401560</v>
      </c>
      <c r="FX173" s="7"/>
      <c r="FY173" s="7">
        <v>1193080</v>
      </c>
      <c r="GA173" s="7"/>
      <c r="GB173" s="7">
        <v>41925</v>
      </c>
      <c r="GD173" s="7"/>
      <c r="GE173" s="7">
        <v>194394</v>
      </c>
      <c r="GG173" s="7"/>
      <c r="GH173" s="7">
        <v>373004</v>
      </c>
      <c r="GJ173" s="7"/>
      <c r="GK173" s="7">
        <v>1388403</v>
      </c>
      <c r="GM173" s="7"/>
      <c r="GN173" s="7">
        <v>40850</v>
      </c>
      <c r="GP173" s="7"/>
      <c r="GQ173" s="7">
        <v>162340</v>
      </c>
      <c r="GS173" s="7"/>
      <c r="GT173" s="7">
        <v>341470</v>
      </c>
      <c r="GV173" s="7"/>
      <c r="GW173" s="7">
        <v>1438610</v>
      </c>
      <c r="GY173" s="7"/>
      <c r="GZ173" s="7">
        <v>31550</v>
      </c>
      <c r="HB173" s="7"/>
      <c r="HC173" s="7">
        <v>189120</v>
      </c>
      <c r="HE173" s="7"/>
      <c r="HF173" s="7">
        <v>326980</v>
      </c>
      <c r="HH173" s="7"/>
      <c r="HI173" s="7">
        <v>1318582</v>
      </c>
      <c r="HK173" s="7"/>
      <c r="HL173" s="7">
        <v>13150</v>
      </c>
      <c r="HN173" s="7"/>
      <c r="HO173" s="7">
        <v>184710</v>
      </c>
      <c r="HQ173" s="7"/>
      <c r="HR173" s="7">
        <v>345640</v>
      </c>
      <c r="HT173" s="7"/>
      <c r="HU173" s="7">
        <v>1438340</v>
      </c>
      <c r="HW173" s="7"/>
      <c r="HX173" s="7">
        <v>15780</v>
      </c>
      <c r="HZ173" s="7"/>
      <c r="IA173" s="7">
        <v>227180</v>
      </c>
      <c r="IC173" s="7"/>
      <c r="ID173" s="7">
        <v>313141</v>
      </c>
      <c r="IF173" s="7"/>
      <c r="IG173" s="7">
        <v>1498905</v>
      </c>
      <c r="IH173" s="15"/>
      <c r="II173" s="7"/>
      <c r="IJ173" s="7">
        <v>2079600</v>
      </c>
      <c r="IK173" s="7"/>
      <c r="IL173" s="7">
        <v>2288760</v>
      </c>
      <c r="IM173" s="7"/>
      <c r="IN173" s="7">
        <v>2879500</v>
      </c>
      <c r="IP173" s="7"/>
      <c r="IQ173" s="7">
        <v>3537500</v>
      </c>
      <c r="IR173" s="7"/>
      <c r="IS173" s="7">
        <v>2592200</v>
      </c>
      <c r="IT173" s="7"/>
      <c r="IU173" s="7">
        <v>2600720</v>
      </c>
      <c r="IV173" s="7"/>
      <c r="IW173" s="7">
        <v>3365883</v>
      </c>
      <c r="IX173" s="7"/>
      <c r="IY173" s="7">
        <v>2996688</v>
      </c>
      <c r="IZ173" s="7"/>
      <c r="JA173" s="7">
        <v>3205435</v>
      </c>
      <c r="JB173" s="7"/>
      <c r="JC173" s="7">
        <v>3880580</v>
      </c>
      <c r="JE173" s="7"/>
      <c r="JF173" s="7">
        <v>4044549</v>
      </c>
      <c r="JH173" s="7"/>
      <c r="JI173" s="7">
        <v>371945</v>
      </c>
      <c r="JJ173" s="7"/>
      <c r="JK173" s="7">
        <v>461425</v>
      </c>
      <c r="JL173" s="7"/>
      <c r="JM173" s="7">
        <v>656438</v>
      </c>
      <c r="JO173" s="7"/>
      <c r="JP173" s="7">
        <v>683821</v>
      </c>
      <c r="JQ173" s="7"/>
      <c r="JR173" s="7">
        <v>553724</v>
      </c>
      <c r="JT173" s="7"/>
      <c r="JU173" s="7">
        <v>394483</v>
      </c>
      <c r="JV173" s="7"/>
      <c r="JW173" s="7">
        <v>401320</v>
      </c>
      <c r="JX173" s="7"/>
    </row>
    <row r="174" spans="1:284" x14ac:dyDescent="0.3">
      <c r="C174" s="7"/>
      <c r="D174" s="7"/>
      <c r="F174" s="7"/>
      <c r="G174" s="7"/>
      <c r="I174" s="7"/>
      <c r="J174" s="7"/>
      <c r="L174" s="7"/>
      <c r="M174" s="7"/>
      <c r="O174" s="7"/>
      <c r="P174" s="7"/>
      <c r="R174" s="7"/>
      <c r="S174" s="7"/>
      <c r="U174" s="7"/>
      <c r="V174" s="7"/>
      <c r="X174" s="7"/>
      <c r="Y174" s="7"/>
      <c r="AA174" s="7"/>
      <c r="AB174" s="7"/>
      <c r="AD174" s="7"/>
      <c r="AE174" s="7"/>
      <c r="AG174" s="7"/>
      <c r="AH174" s="7"/>
      <c r="AJ174" s="7"/>
      <c r="AK174" s="7"/>
      <c r="AM174" s="7"/>
      <c r="AN174" s="7"/>
      <c r="AP174" s="7"/>
      <c r="AQ174" s="7"/>
      <c r="AS174" s="7"/>
      <c r="AT174" s="7"/>
      <c r="AV174" s="7"/>
      <c r="AW174" s="7"/>
      <c r="AY174" s="7"/>
      <c r="AZ174" s="7"/>
      <c r="BB174" s="7"/>
      <c r="BC174" s="7"/>
      <c r="BE174" s="7"/>
      <c r="BF174" s="7"/>
      <c r="BH174" s="7"/>
      <c r="BI174" s="7"/>
      <c r="BK174" s="7"/>
      <c r="BL174" s="7"/>
      <c r="BN174" s="7"/>
      <c r="BO174" s="7"/>
      <c r="BQ174" s="7"/>
      <c r="BR174" s="7"/>
      <c r="BT174" s="7"/>
      <c r="BU174" s="7"/>
      <c r="BW174" s="7"/>
      <c r="BX174" s="7"/>
      <c r="BZ174" s="7"/>
      <c r="CA174" s="7"/>
      <c r="CC174" s="7"/>
      <c r="CD174" s="7"/>
      <c r="CF174" s="7"/>
      <c r="CG174" s="7"/>
      <c r="CI174" s="7"/>
      <c r="CJ174" s="7"/>
      <c r="CL174" s="7"/>
      <c r="CM174" s="7"/>
      <c r="CO174" s="7"/>
      <c r="CP174" s="7"/>
      <c r="CR174" s="7"/>
      <c r="CS174" s="7"/>
      <c r="CU174" s="7"/>
      <c r="CV174" s="7"/>
      <c r="CX174" s="7"/>
      <c r="CY174" s="7"/>
      <c r="DA174" s="7"/>
      <c r="DB174" s="7"/>
      <c r="DD174" s="7"/>
      <c r="DE174" s="7"/>
      <c r="DG174" s="7"/>
      <c r="DH174" s="7"/>
      <c r="DJ174" s="7"/>
      <c r="DK174" s="7"/>
      <c r="DM174" s="7"/>
      <c r="DN174" s="7"/>
      <c r="DP174" s="7"/>
      <c r="DQ174" s="7"/>
      <c r="DS174" s="7"/>
      <c r="DT174" s="7"/>
      <c r="DV174" s="7"/>
      <c r="DW174" s="7"/>
      <c r="DY174" s="7"/>
      <c r="DZ174" s="7"/>
      <c r="EB174" s="7"/>
      <c r="EC174" s="7"/>
      <c r="EE174" s="7"/>
      <c r="EF174" s="7"/>
      <c r="EH174" s="7"/>
      <c r="EI174" s="7"/>
      <c r="EK174" s="7"/>
      <c r="EL174" s="7"/>
      <c r="EN174" s="7"/>
      <c r="EO174" s="7"/>
      <c r="EQ174" s="7"/>
      <c r="ER174" s="7"/>
      <c r="ET174" s="7"/>
      <c r="EU174" s="7"/>
      <c r="EW174" s="7"/>
      <c r="EX174" s="7"/>
      <c r="EZ174" s="7"/>
      <c r="FA174" s="7"/>
      <c r="FC174" s="7"/>
      <c r="FD174" s="7"/>
      <c r="FF174" s="7"/>
      <c r="FG174" s="7"/>
      <c r="FI174" s="7"/>
      <c r="FJ174" s="7"/>
      <c r="FL174" s="7"/>
      <c r="FM174" s="7"/>
      <c r="FO174" s="7"/>
      <c r="FP174" s="7"/>
      <c r="FR174" s="7"/>
      <c r="FS174" s="7"/>
      <c r="FU174" s="7"/>
      <c r="FV174" s="7"/>
      <c r="FX174" s="7"/>
      <c r="FY174" s="7"/>
      <c r="GA174" s="7"/>
      <c r="GB174" s="7"/>
      <c r="GD174" s="7"/>
      <c r="GE174" s="7"/>
      <c r="GG174" s="7"/>
      <c r="GH174" s="7"/>
      <c r="GJ174" s="7"/>
      <c r="GK174" s="7"/>
      <c r="GV174" s="7"/>
      <c r="GW174" s="7"/>
      <c r="HE174" s="7"/>
      <c r="HF174" s="7"/>
      <c r="HH174" s="7"/>
      <c r="HI174" s="7"/>
      <c r="HQ174" s="7"/>
      <c r="HR174" s="7"/>
      <c r="HT174" s="7"/>
      <c r="HU174" s="7"/>
      <c r="IC174" s="7"/>
      <c r="ID174" s="7"/>
      <c r="IF174" s="7"/>
      <c r="IG174" s="7"/>
      <c r="II174" s="7"/>
      <c r="IJ174" s="7"/>
      <c r="IK174" s="7"/>
      <c r="IL174" s="7"/>
      <c r="IM174" s="7"/>
      <c r="IN174" s="7"/>
      <c r="IP174" s="7"/>
      <c r="IQ174" s="7"/>
      <c r="IR174" s="7"/>
      <c r="IS174" s="7"/>
      <c r="IT174" s="7"/>
      <c r="IU174" s="7"/>
      <c r="IV174" s="7"/>
      <c r="IW174" s="7"/>
      <c r="IX174" s="7"/>
      <c r="IY174" s="7"/>
      <c r="IZ174" s="7"/>
      <c r="JA174" s="7"/>
      <c r="JB174" s="7"/>
      <c r="JC174" s="7"/>
      <c r="JE174" s="7"/>
      <c r="JF174" s="7"/>
      <c r="JH174" s="7"/>
      <c r="JI174" s="7"/>
      <c r="JJ174" s="7"/>
      <c r="JK174" s="7"/>
      <c r="JL174" s="7"/>
      <c r="JM174" s="7"/>
      <c r="JO174" s="7"/>
      <c r="JP174" s="7"/>
      <c r="JQ174" s="7"/>
      <c r="JR174" s="7"/>
      <c r="JT174" s="7"/>
      <c r="JU174" s="7"/>
      <c r="JV174" s="7"/>
      <c r="JW174" s="7"/>
      <c r="JX174" s="7"/>
    </row>
    <row r="175" spans="1:284" x14ac:dyDescent="0.3">
      <c r="C175" s="7"/>
      <c r="D175" s="7"/>
      <c r="F175" s="7"/>
      <c r="G175" s="7"/>
      <c r="I175" s="7"/>
      <c r="J175" s="7"/>
      <c r="L175" s="7"/>
      <c r="M175" s="7"/>
      <c r="O175" s="7"/>
      <c r="P175" s="7"/>
      <c r="R175" s="7"/>
      <c r="S175" s="7"/>
      <c r="U175" s="7"/>
      <c r="V175" s="7"/>
      <c r="X175" s="7"/>
      <c r="Y175" s="7"/>
      <c r="AA175" s="7"/>
      <c r="AB175" s="7"/>
      <c r="AD175" s="7"/>
      <c r="AE175" s="7"/>
      <c r="AG175" s="7"/>
      <c r="AH175" s="7"/>
      <c r="AJ175" s="7"/>
      <c r="AK175" s="7"/>
      <c r="AM175" s="7"/>
      <c r="AN175" s="7"/>
      <c r="AP175" s="7"/>
      <c r="AQ175" s="7"/>
      <c r="AS175" s="7"/>
      <c r="AT175" s="7"/>
      <c r="AV175" s="7"/>
      <c r="AW175" s="7"/>
      <c r="AY175" s="7"/>
      <c r="AZ175" s="7"/>
      <c r="BB175" s="7"/>
      <c r="BC175" s="7"/>
      <c r="BE175" s="7"/>
      <c r="BF175" s="7"/>
      <c r="BH175" s="7"/>
      <c r="BI175" s="7"/>
      <c r="BK175" s="7"/>
      <c r="BL175" s="7"/>
      <c r="BN175" s="7"/>
      <c r="BO175" s="7"/>
      <c r="BQ175" s="7"/>
      <c r="BR175" s="7"/>
      <c r="BT175" s="7"/>
      <c r="BU175" s="7"/>
      <c r="BW175" s="7"/>
      <c r="BX175" s="7"/>
      <c r="BZ175" s="7"/>
      <c r="CA175" s="7"/>
      <c r="CC175" s="7"/>
      <c r="CD175" s="7"/>
      <c r="CF175" s="7"/>
      <c r="CG175" s="7"/>
      <c r="CI175" s="7"/>
      <c r="CJ175" s="7"/>
      <c r="CL175" s="7"/>
      <c r="CM175" s="7"/>
      <c r="CO175" s="7"/>
      <c r="CP175" s="7"/>
      <c r="CR175" s="7"/>
      <c r="CS175" s="7"/>
      <c r="CU175" s="7"/>
      <c r="CV175" s="7"/>
      <c r="CX175" s="7"/>
      <c r="CY175" s="7"/>
      <c r="DA175" s="7"/>
      <c r="DB175" s="7"/>
      <c r="DD175" s="7"/>
      <c r="DE175" s="7"/>
      <c r="DG175" s="7"/>
      <c r="DH175" s="7"/>
      <c r="DJ175" s="7"/>
      <c r="DK175" s="7"/>
      <c r="DM175" s="7"/>
      <c r="DN175" s="7"/>
      <c r="DP175" s="7"/>
      <c r="DQ175" s="7"/>
      <c r="DS175" s="7"/>
      <c r="DT175" s="7"/>
      <c r="DV175" s="7"/>
      <c r="DW175" s="7"/>
      <c r="DY175" s="7"/>
      <c r="DZ175" s="7"/>
      <c r="EB175" s="7"/>
      <c r="EC175" s="7"/>
      <c r="EE175" s="7"/>
      <c r="EF175" s="7"/>
      <c r="EH175" s="7"/>
      <c r="EI175" s="7"/>
      <c r="EK175" s="7"/>
      <c r="EL175" s="7"/>
      <c r="EN175" s="7"/>
      <c r="EO175" s="7"/>
      <c r="EQ175" s="7"/>
      <c r="ER175" s="7"/>
      <c r="ET175" s="7"/>
      <c r="EU175" s="7"/>
      <c r="EW175" s="7"/>
      <c r="EX175" s="7"/>
      <c r="EZ175" s="7"/>
      <c r="FA175" s="7"/>
      <c r="FC175" s="7"/>
      <c r="FD175" s="7"/>
      <c r="FF175" s="7"/>
      <c r="FG175" s="7"/>
      <c r="FI175" s="7"/>
      <c r="FJ175" s="7"/>
      <c r="FL175" s="7"/>
      <c r="FM175" s="7"/>
      <c r="FO175" s="7"/>
      <c r="FP175" s="7"/>
      <c r="FR175" s="7"/>
      <c r="FS175" s="7"/>
      <c r="FU175" s="7"/>
      <c r="FV175" s="7"/>
      <c r="FX175" s="7"/>
      <c r="FY175" s="7"/>
      <c r="GA175" s="7"/>
      <c r="GB175" s="7"/>
      <c r="GD175" s="7"/>
      <c r="GE175" s="7"/>
      <c r="GG175" s="7"/>
      <c r="GH175" s="7"/>
      <c r="GJ175" s="7"/>
      <c r="GK175" s="7"/>
      <c r="GV175" s="7"/>
      <c r="GW175" s="7"/>
      <c r="HE175" s="7"/>
      <c r="HF175" s="7"/>
      <c r="HH175" s="7"/>
      <c r="HI175" s="7"/>
      <c r="HQ175" s="7"/>
      <c r="HR175" s="7"/>
      <c r="HT175" s="7"/>
      <c r="HU175" s="7"/>
      <c r="IC175" s="7"/>
      <c r="ID175" s="7"/>
      <c r="IF175" s="7"/>
      <c r="IG175" s="7"/>
      <c r="II175" s="7"/>
      <c r="IJ175" s="7"/>
      <c r="IK175" s="7"/>
      <c r="IL175" s="7"/>
      <c r="IM175" s="7"/>
      <c r="IN175" s="7"/>
      <c r="IP175" s="7"/>
      <c r="IQ175" s="7"/>
      <c r="IR175" s="7"/>
      <c r="IS175" s="7"/>
      <c r="IT175" s="7"/>
      <c r="IU175" s="7"/>
      <c r="IV175" s="7"/>
      <c r="IW175" s="7"/>
      <c r="IX175" s="7"/>
      <c r="IY175" s="7"/>
      <c r="IZ175" s="7"/>
      <c r="JA175" s="7"/>
      <c r="JB175" s="7"/>
      <c r="JC175" s="7"/>
      <c r="JE175" s="7"/>
      <c r="JF175" s="7"/>
      <c r="JH175" s="7"/>
      <c r="JI175" s="7"/>
      <c r="JJ175" s="7"/>
      <c r="JK175" s="7"/>
      <c r="JL175" s="7"/>
      <c r="JM175" s="7"/>
      <c r="JO175" s="7"/>
      <c r="JP175" s="7"/>
      <c r="JQ175" s="7"/>
      <c r="JR175" s="7"/>
      <c r="JT175" s="7"/>
      <c r="JU175" s="7"/>
      <c r="JV175" s="7"/>
      <c r="JW175" s="7"/>
      <c r="JX175" s="7"/>
    </row>
    <row r="176" spans="1:284" x14ac:dyDescent="0.3">
      <c r="C176" s="7"/>
      <c r="D176" s="7"/>
      <c r="F176" s="7"/>
      <c r="G176" s="7"/>
      <c r="I176" s="7"/>
      <c r="J176" s="7"/>
      <c r="L176" s="7"/>
      <c r="M176" s="7"/>
      <c r="O176" s="7"/>
      <c r="P176" s="7"/>
      <c r="R176" s="7"/>
      <c r="S176" s="7"/>
      <c r="U176" s="7"/>
      <c r="V176" s="7"/>
      <c r="X176" s="7"/>
      <c r="Y176" s="7"/>
      <c r="AA176" s="7"/>
      <c r="AB176" s="7"/>
      <c r="AD176" s="7"/>
      <c r="AE176" s="7"/>
      <c r="AG176" s="7"/>
      <c r="AH176" s="7"/>
      <c r="AJ176" s="7"/>
      <c r="AK176" s="7"/>
      <c r="AM176" s="7"/>
      <c r="AN176" s="7"/>
      <c r="AP176" s="7"/>
      <c r="AQ176" s="7"/>
      <c r="AS176" s="7"/>
      <c r="AT176" s="7"/>
      <c r="AV176" s="7"/>
      <c r="AW176" s="7"/>
      <c r="AY176" s="7"/>
      <c r="AZ176" s="7"/>
      <c r="BB176" s="7"/>
      <c r="BC176" s="7"/>
      <c r="BE176" s="7"/>
      <c r="BF176" s="7"/>
      <c r="BH176" s="7"/>
      <c r="BI176" s="7"/>
      <c r="BK176" s="7"/>
      <c r="BL176" s="7"/>
      <c r="BN176" s="7"/>
      <c r="BO176" s="7"/>
      <c r="BQ176" s="7"/>
      <c r="BR176" s="7"/>
      <c r="BT176" s="7"/>
      <c r="BU176" s="7"/>
      <c r="BW176" s="7"/>
      <c r="BX176" s="7"/>
      <c r="BZ176" s="7"/>
      <c r="CA176" s="7"/>
      <c r="CC176" s="7"/>
      <c r="CD176" s="7"/>
      <c r="CF176" s="7"/>
      <c r="CG176" s="7"/>
      <c r="CI176" s="7"/>
      <c r="CJ176" s="7"/>
      <c r="CL176" s="7"/>
      <c r="CM176" s="7"/>
      <c r="CO176" s="7"/>
      <c r="CP176" s="7"/>
      <c r="CR176" s="7"/>
      <c r="CS176" s="7"/>
      <c r="CU176" s="7"/>
      <c r="CV176" s="7"/>
      <c r="CX176" s="7"/>
      <c r="CY176" s="7"/>
      <c r="DA176" s="7"/>
      <c r="DB176" s="7"/>
      <c r="DD176" s="7"/>
      <c r="DE176" s="7"/>
      <c r="DG176" s="7"/>
      <c r="DH176" s="7"/>
      <c r="DJ176" s="7"/>
      <c r="DK176" s="7"/>
      <c r="DM176" s="7"/>
      <c r="DN176" s="7"/>
      <c r="DP176" s="7"/>
      <c r="DQ176" s="7"/>
      <c r="DS176" s="7"/>
      <c r="DT176" s="7"/>
      <c r="DV176" s="7"/>
      <c r="DW176" s="7"/>
      <c r="DY176" s="7"/>
      <c r="DZ176" s="7"/>
      <c r="EB176" s="7"/>
      <c r="EC176" s="7"/>
      <c r="EE176" s="7"/>
      <c r="EF176" s="7"/>
      <c r="EH176" s="7"/>
      <c r="EI176" s="7"/>
      <c r="EK176" s="7"/>
      <c r="EL176" s="7"/>
      <c r="EN176" s="7"/>
      <c r="EO176" s="7"/>
      <c r="EQ176" s="7"/>
      <c r="ER176" s="7"/>
      <c r="ET176" s="7"/>
      <c r="EU176" s="7"/>
      <c r="EW176" s="7"/>
      <c r="EX176" s="7"/>
      <c r="EZ176" s="7"/>
      <c r="FA176" s="7"/>
      <c r="FC176" s="7"/>
      <c r="FD176" s="7"/>
      <c r="FF176" s="7"/>
      <c r="FG176" s="7"/>
      <c r="FI176" s="7"/>
      <c r="FJ176" s="7"/>
      <c r="FL176" s="7"/>
      <c r="FM176" s="7"/>
      <c r="FO176" s="7"/>
      <c r="FP176" s="7"/>
      <c r="FR176" s="7"/>
      <c r="FS176" s="7"/>
      <c r="FU176" s="7"/>
      <c r="FV176" s="7"/>
      <c r="FX176" s="7"/>
      <c r="FY176" s="7"/>
      <c r="GA176" s="7"/>
      <c r="GB176" s="7"/>
      <c r="GD176" s="7"/>
      <c r="GE176" s="7"/>
      <c r="GG176" s="7"/>
      <c r="GH176" s="7"/>
      <c r="GJ176" s="7"/>
      <c r="GK176" s="7"/>
      <c r="GV176" s="7"/>
      <c r="GW176" s="7"/>
      <c r="HE176" s="7"/>
      <c r="HF176" s="7"/>
      <c r="HH176" s="7"/>
      <c r="HI176" s="7"/>
      <c r="HQ176" s="7"/>
      <c r="HR176" s="7"/>
      <c r="HT176" s="7"/>
      <c r="HU176" s="7"/>
      <c r="IC176" s="7"/>
      <c r="ID176" s="7"/>
      <c r="IF176" s="7"/>
      <c r="IG176" s="7"/>
      <c r="II176" s="7"/>
      <c r="IJ176" s="7"/>
      <c r="IK176" s="7"/>
      <c r="IL176" s="7"/>
      <c r="IM176" s="7"/>
      <c r="IN176" s="7"/>
      <c r="IP176" s="7"/>
      <c r="IQ176" s="7"/>
      <c r="IR176" s="7"/>
      <c r="IS176" s="7"/>
      <c r="IT176" s="7"/>
      <c r="IU176" s="7"/>
      <c r="IV176" s="7"/>
      <c r="IW176" s="7"/>
      <c r="IX176" s="7"/>
      <c r="IY176" s="7"/>
      <c r="IZ176" s="7"/>
      <c r="JA176" s="7"/>
      <c r="JB176" s="7"/>
      <c r="JC176" s="7"/>
      <c r="JE176" s="7"/>
      <c r="JF176" s="7"/>
      <c r="JH176" s="7"/>
      <c r="JI176" s="7"/>
      <c r="JJ176" s="7"/>
      <c r="JK176" s="7"/>
      <c r="JL176" s="7"/>
      <c r="JM176" s="7"/>
      <c r="JO176" s="7"/>
      <c r="JP176" s="7"/>
      <c r="JQ176" s="7"/>
      <c r="JR176" s="7"/>
      <c r="JT176" s="7"/>
      <c r="JU176" s="7"/>
      <c r="JV176" s="7"/>
      <c r="JW176" s="7"/>
      <c r="JX176" s="7"/>
    </row>
    <row r="177" spans="3:284" x14ac:dyDescent="0.3">
      <c r="C177" s="7"/>
      <c r="D177" s="7"/>
      <c r="F177" s="7"/>
      <c r="G177" s="7"/>
      <c r="I177" s="7"/>
      <c r="J177" s="7"/>
      <c r="L177" s="7"/>
      <c r="M177" s="7"/>
      <c r="O177" s="7"/>
      <c r="P177" s="7"/>
      <c r="R177" s="7"/>
      <c r="S177" s="7"/>
      <c r="U177" s="7"/>
      <c r="V177" s="7"/>
      <c r="X177" s="7"/>
      <c r="Y177" s="7"/>
      <c r="AA177" s="7"/>
      <c r="AB177" s="7"/>
      <c r="AD177" s="7"/>
      <c r="AE177" s="7"/>
      <c r="AG177" s="7"/>
      <c r="AH177" s="7"/>
      <c r="AJ177" s="7"/>
      <c r="AK177" s="7"/>
      <c r="AM177" s="7"/>
      <c r="AN177" s="7"/>
      <c r="AP177" s="7"/>
      <c r="AQ177" s="7"/>
      <c r="AS177" s="7"/>
      <c r="AT177" s="7"/>
      <c r="AV177" s="7"/>
      <c r="AW177" s="7"/>
      <c r="AY177" s="7"/>
      <c r="AZ177" s="7"/>
      <c r="BB177" s="7"/>
      <c r="BC177" s="7"/>
      <c r="BE177" s="7"/>
      <c r="BF177" s="7"/>
      <c r="BH177" s="7"/>
      <c r="BI177" s="7"/>
      <c r="BK177" s="7"/>
      <c r="BL177" s="7"/>
      <c r="BN177" s="7"/>
      <c r="BO177" s="7"/>
      <c r="BQ177" s="7"/>
      <c r="BR177" s="7"/>
      <c r="BT177" s="7"/>
      <c r="BU177" s="7"/>
      <c r="BW177" s="7"/>
      <c r="BX177" s="7"/>
      <c r="BZ177" s="7"/>
      <c r="CA177" s="7"/>
      <c r="CC177" s="7"/>
      <c r="CD177" s="7"/>
      <c r="CF177" s="7"/>
      <c r="CG177" s="7"/>
      <c r="CI177" s="7"/>
      <c r="CJ177" s="7"/>
      <c r="CL177" s="7"/>
      <c r="CM177" s="7"/>
      <c r="CO177" s="7"/>
      <c r="CP177" s="7"/>
      <c r="CR177" s="7"/>
      <c r="CS177" s="7"/>
      <c r="CU177" s="7"/>
      <c r="CV177" s="7"/>
      <c r="CX177" s="7"/>
      <c r="CY177" s="7"/>
      <c r="DA177" s="7"/>
      <c r="DB177" s="7"/>
      <c r="DD177" s="7"/>
      <c r="DE177" s="7"/>
      <c r="DG177" s="7"/>
      <c r="DH177" s="7"/>
      <c r="DJ177" s="7"/>
      <c r="DK177" s="7"/>
      <c r="DM177" s="7"/>
      <c r="DN177" s="7"/>
      <c r="DP177" s="7"/>
      <c r="DQ177" s="7"/>
      <c r="DS177" s="7"/>
      <c r="DT177" s="7"/>
      <c r="DV177" s="7"/>
      <c r="DW177" s="7"/>
      <c r="DY177" s="7"/>
      <c r="DZ177" s="7"/>
      <c r="EB177" s="7"/>
      <c r="EC177" s="7"/>
      <c r="EE177" s="7"/>
      <c r="EF177" s="7"/>
      <c r="EH177" s="7"/>
      <c r="EI177" s="7"/>
      <c r="EK177" s="7"/>
      <c r="EL177" s="7"/>
      <c r="EN177" s="7"/>
      <c r="EO177" s="7"/>
      <c r="EQ177" s="7"/>
      <c r="ER177" s="7"/>
      <c r="ET177" s="7"/>
      <c r="EU177" s="7"/>
      <c r="EW177" s="7"/>
      <c r="EX177" s="7"/>
      <c r="EZ177" s="7"/>
      <c r="FA177" s="7"/>
      <c r="FC177" s="7"/>
      <c r="FD177" s="7"/>
      <c r="FF177" s="7"/>
      <c r="FG177" s="7"/>
      <c r="FI177" s="7"/>
      <c r="FJ177" s="7"/>
      <c r="FL177" s="7"/>
      <c r="FM177" s="7"/>
      <c r="FO177" s="7"/>
      <c r="FP177" s="7"/>
      <c r="FR177" s="7"/>
      <c r="FS177" s="7"/>
      <c r="FU177" s="7"/>
      <c r="FV177" s="7"/>
      <c r="FX177" s="7"/>
      <c r="FY177" s="7"/>
      <c r="GA177" s="7"/>
      <c r="GB177" s="7"/>
      <c r="GD177" s="7"/>
      <c r="GE177" s="7"/>
      <c r="GG177" s="7"/>
      <c r="GH177" s="7"/>
      <c r="GJ177" s="7"/>
      <c r="GK177" s="7"/>
      <c r="GV177" s="7"/>
      <c r="GW177" s="7"/>
      <c r="HE177" s="7"/>
      <c r="HF177" s="7"/>
      <c r="HH177" s="7"/>
      <c r="HI177" s="7"/>
      <c r="HQ177" s="7"/>
      <c r="HR177" s="7"/>
      <c r="HT177" s="7"/>
      <c r="HU177" s="7"/>
      <c r="IC177" s="7"/>
      <c r="ID177" s="7"/>
      <c r="IF177" s="7"/>
      <c r="IG177" s="7"/>
      <c r="II177" s="7"/>
      <c r="IJ177" s="7"/>
      <c r="IK177" s="7"/>
      <c r="IL177" s="7"/>
      <c r="IM177" s="7"/>
      <c r="IN177" s="7"/>
      <c r="IP177" s="7"/>
      <c r="IQ177" s="7"/>
      <c r="IR177" s="7"/>
      <c r="IS177" s="7"/>
      <c r="IT177" s="7"/>
      <c r="IU177" s="7"/>
      <c r="IV177" s="7"/>
      <c r="IW177" s="7"/>
      <c r="IX177" s="7"/>
      <c r="IY177" s="7"/>
      <c r="IZ177" s="7"/>
      <c r="JA177" s="7"/>
      <c r="JB177" s="7"/>
      <c r="JC177" s="7"/>
      <c r="JE177" s="7"/>
      <c r="JF177" s="7"/>
      <c r="JH177" s="7"/>
      <c r="JI177" s="7"/>
      <c r="JJ177" s="7"/>
      <c r="JK177" s="7"/>
      <c r="JL177" s="7"/>
      <c r="JM177" s="7"/>
      <c r="JO177" s="7"/>
      <c r="JP177" s="7"/>
      <c r="JQ177" s="7"/>
      <c r="JR177" s="7"/>
      <c r="JT177" s="7"/>
      <c r="JU177" s="7"/>
      <c r="JV177" s="7"/>
      <c r="JW177" s="7"/>
      <c r="JX177" s="7"/>
    </row>
    <row r="178" spans="3:284" x14ac:dyDescent="0.3">
      <c r="C178" s="7"/>
      <c r="D178" s="7"/>
      <c r="F178" s="7"/>
      <c r="G178" s="7"/>
      <c r="I178" s="7"/>
      <c r="J178" s="7"/>
      <c r="L178" s="7"/>
      <c r="M178" s="7"/>
      <c r="O178" s="7"/>
      <c r="P178" s="7"/>
      <c r="R178" s="7"/>
      <c r="S178" s="7"/>
      <c r="U178" s="7"/>
      <c r="V178" s="7"/>
      <c r="X178" s="7"/>
      <c r="Y178" s="7"/>
      <c r="AA178" s="7"/>
      <c r="AB178" s="7"/>
      <c r="AD178" s="7"/>
      <c r="AE178" s="7"/>
      <c r="AG178" s="7"/>
      <c r="AH178" s="7"/>
      <c r="AJ178" s="7"/>
      <c r="AK178" s="7"/>
      <c r="AM178" s="7"/>
      <c r="AN178" s="7"/>
      <c r="AP178" s="7"/>
      <c r="AQ178" s="7"/>
      <c r="AS178" s="7"/>
      <c r="AT178" s="7"/>
      <c r="AV178" s="7"/>
      <c r="AW178" s="7"/>
      <c r="AY178" s="7"/>
      <c r="AZ178" s="7"/>
      <c r="BB178" s="7"/>
      <c r="BC178" s="7"/>
      <c r="BE178" s="7"/>
      <c r="BF178" s="7"/>
      <c r="BH178" s="7"/>
      <c r="BI178" s="7"/>
      <c r="BK178" s="7"/>
      <c r="BL178" s="7"/>
      <c r="BN178" s="7"/>
      <c r="BO178" s="7"/>
      <c r="BQ178" s="7"/>
      <c r="BR178" s="7"/>
      <c r="BT178" s="7"/>
      <c r="BU178" s="7"/>
      <c r="BW178" s="7"/>
      <c r="BX178" s="7"/>
      <c r="BZ178" s="7"/>
      <c r="CA178" s="7"/>
      <c r="CC178" s="7"/>
      <c r="CD178" s="7"/>
      <c r="CF178" s="7"/>
      <c r="CG178" s="7"/>
      <c r="CI178" s="7"/>
      <c r="CJ178" s="7"/>
      <c r="CL178" s="7"/>
      <c r="CM178" s="7"/>
      <c r="CO178" s="7"/>
      <c r="CP178" s="7"/>
      <c r="CR178" s="7"/>
      <c r="CS178" s="7"/>
      <c r="CU178" s="7"/>
      <c r="CV178" s="7"/>
      <c r="CX178" s="7"/>
      <c r="CY178" s="7"/>
      <c r="DA178" s="7"/>
      <c r="DB178" s="7"/>
      <c r="DD178" s="7"/>
      <c r="DE178" s="7"/>
      <c r="DG178" s="7"/>
      <c r="DH178" s="7"/>
      <c r="DJ178" s="7"/>
      <c r="DK178" s="7"/>
      <c r="DM178" s="7"/>
      <c r="DN178" s="7"/>
      <c r="DP178" s="7"/>
      <c r="DQ178" s="7"/>
      <c r="DS178" s="7"/>
      <c r="DT178" s="7"/>
      <c r="DV178" s="7"/>
      <c r="DW178" s="7"/>
      <c r="DY178" s="7"/>
      <c r="DZ178" s="7"/>
      <c r="EB178" s="7"/>
      <c r="EC178" s="7"/>
      <c r="EE178" s="7"/>
      <c r="EF178" s="7"/>
      <c r="EH178" s="7"/>
      <c r="EI178" s="7"/>
      <c r="EK178" s="7"/>
      <c r="EL178" s="7"/>
      <c r="EN178" s="7"/>
      <c r="EO178" s="7"/>
      <c r="EQ178" s="7"/>
      <c r="ER178" s="7"/>
      <c r="ET178" s="7"/>
      <c r="EU178" s="7"/>
      <c r="EW178" s="7"/>
      <c r="EX178" s="7"/>
      <c r="EZ178" s="7"/>
      <c r="FA178" s="7"/>
      <c r="FC178" s="7"/>
      <c r="FD178" s="7"/>
      <c r="FF178" s="7"/>
      <c r="FG178" s="7"/>
      <c r="FI178" s="7"/>
      <c r="FJ178" s="7"/>
      <c r="FL178" s="7"/>
      <c r="FM178" s="7"/>
      <c r="FO178" s="7"/>
      <c r="FP178" s="7"/>
      <c r="FR178" s="7"/>
      <c r="FS178" s="7"/>
      <c r="FU178" s="7"/>
      <c r="FV178" s="7"/>
      <c r="FX178" s="7"/>
      <c r="FY178" s="7"/>
      <c r="GA178" s="7"/>
      <c r="GB178" s="7"/>
      <c r="GD178" s="7"/>
      <c r="GE178" s="7"/>
      <c r="GG178" s="7"/>
      <c r="GH178" s="7"/>
      <c r="GJ178" s="7"/>
      <c r="GK178" s="7"/>
      <c r="GV178" s="7"/>
      <c r="GW178" s="7"/>
      <c r="HE178" s="7"/>
      <c r="HF178" s="7"/>
      <c r="HH178" s="7"/>
      <c r="HI178" s="7"/>
      <c r="HQ178" s="7"/>
      <c r="HR178" s="7"/>
      <c r="HT178" s="7"/>
      <c r="HU178" s="7"/>
      <c r="IC178" s="7"/>
      <c r="ID178" s="7"/>
      <c r="IF178" s="7"/>
      <c r="IG178" s="7"/>
      <c r="II178" s="7"/>
      <c r="IJ178" s="7"/>
      <c r="IK178" s="7"/>
      <c r="IL178" s="7"/>
      <c r="IM178" s="7"/>
      <c r="IN178" s="7"/>
      <c r="IP178" s="7"/>
      <c r="IQ178" s="7"/>
      <c r="IR178" s="7"/>
      <c r="IS178" s="7"/>
      <c r="IT178" s="7"/>
      <c r="IU178" s="7"/>
      <c r="IV178" s="7"/>
      <c r="IW178" s="7"/>
      <c r="IX178" s="7"/>
      <c r="IY178" s="7"/>
      <c r="IZ178" s="7"/>
      <c r="JA178" s="7"/>
      <c r="JB178" s="7"/>
      <c r="JC178" s="7"/>
      <c r="JE178" s="7"/>
      <c r="JF178" s="7"/>
      <c r="JH178" s="7"/>
      <c r="JI178" s="7"/>
      <c r="JJ178" s="7"/>
      <c r="JK178" s="7"/>
      <c r="JL178" s="7"/>
      <c r="JM178" s="7"/>
      <c r="JO178" s="7"/>
      <c r="JP178" s="7"/>
      <c r="JQ178" s="7"/>
      <c r="JR178" s="7"/>
      <c r="JT178" s="7"/>
      <c r="JU178" s="7"/>
      <c r="JV178" s="7"/>
      <c r="JW178" s="7"/>
      <c r="JX178" s="7"/>
    </row>
    <row r="179" spans="3:284" x14ac:dyDescent="0.3">
      <c r="C179" s="7"/>
      <c r="D179" s="7"/>
      <c r="F179" s="7"/>
      <c r="G179" s="7"/>
      <c r="I179" s="7"/>
      <c r="J179" s="7"/>
      <c r="L179" s="7"/>
      <c r="M179" s="7"/>
      <c r="O179" s="7"/>
      <c r="P179" s="7"/>
      <c r="R179" s="7"/>
      <c r="S179" s="7"/>
      <c r="U179" s="7"/>
      <c r="V179" s="7"/>
      <c r="X179" s="7"/>
      <c r="Y179" s="7"/>
      <c r="AA179" s="7"/>
      <c r="AB179" s="7"/>
      <c r="AD179" s="7"/>
      <c r="AE179" s="7"/>
      <c r="AG179" s="7"/>
      <c r="AH179" s="7"/>
      <c r="AJ179" s="7"/>
      <c r="AK179" s="7"/>
      <c r="AM179" s="7"/>
      <c r="AN179" s="7"/>
      <c r="AP179" s="7"/>
      <c r="AQ179" s="7"/>
      <c r="AS179" s="7"/>
      <c r="AT179" s="7"/>
      <c r="AV179" s="7"/>
      <c r="AW179" s="7"/>
      <c r="AY179" s="7"/>
      <c r="AZ179" s="7"/>
      <c r="BB179" s="7"/>
      <c r="BC179" s="7"/>
      <c r="BE179" s="7"/>
      <c r="BF179" s="7"/>
      <c r="BH179" s="7"/>
      <c r="BI179" s="7"/>
      <c r="BK179" s="7"/>
      <c r="BL179" s="7"/>
      <c r="BN179" s="7"/>
      <c r="BO179" s="7"/>
      <c r="BQ179" s="7"/>
      <c r="BR179" s="7"/>
      <c r="BT179" s="7"/>
      <c r="BU179" s="7"/>
      <c r="BW179" s="7"/>
      <c r="BX179" s="7"/>
      <c r="BZ179" s="7"/>
      <c r="CA179" s="7"/>
      <c r="CC179" s="7"/>
      <c r="CD179" s="7"/>
      <c r="CF179" s="7"/>
      <c r="CG179" s="7"/>
      <c r="CI179" s="7"/>
      <c r="CJ179" s="7"/>
      <c r="CL179" s="7"/>
      <c r="CM179" s="7"/>
      <c r="CO179" s="7"/>
      <c r="CP179" s="7"/>
      <c r="CR179" s="7"/>
      <c r="CS179" s="7"/>
      <c r="CU179" s="7"/>
      <c r="CV179" s="7"/>
      <c r="CX179" s="7"/>
      <c r="CY179" s="7"/>
      <c r="DA179" s="7"/>
      <c r="DB179" s="7"/>
      <c r="DD179" s="7"/>
      <c r="DE179" s="7"/>
      <c r="DG179" s="7"/>
      <c r="DH179" s="7"/>
      <c r="DJ179" s="7"/>
      <c r="DK179" s="7"/>
      <c r="DM179" s="7"/>
      <c r="DN179" s="7"/>
      <c r="DP179" s="7"/>
      <c r="DQ179" s="7"/>
      <c r="DS179" s="7"/>
      <c r="DT179" s="7"/>
      <c r="DV179" s="7"/>
      <c r="DW179" s="7"/>
      <c r="DY179" s="7"/>
      <c r="DZ179" s="7"/>
      <c r="EB179" s="7"/>
      <c r="EC179" s="7"/>
      <c r="EE179" s="7"/>
      <c r="EF179" s="7"/>
      <c r="EH179" s="7"/>
      <c r="EI179" s="7"/>
      <c r="EK179" s="7"/>
      <c r="EL179" s="7"/>
      <c r="EN179" s="7"/>
      <c r="EO179" s="7"/>
      <c r="EQ179" s="7"/>
      <c r="ER179" s="7"/>
      <c r="ET179" s="7"/>
      <c r="EU179" s="7"/>
      <c r="EW179" s="7"/>
      <c r="EX179" s="7"/>
      <c r="EZ179" s="7"/>
      <c r="FA179" s="7"/>
      <c r="FC179" s="7"/>
      <c r="FD179" s="7"/>
      <c r="FF179" s="7"/>
      <c r="FG179" s="7"/>
      <c r="FI179" s="7"/>
      <c r="FJ179" s="7"/>
      <c r="FL179" s="7"/>
      <c r="FM179" s="7"/>
      <c r="FO179" s="7"/>
      <c r="FP179" s="7"/>
      <c r="FR179" s="7"/>
      <c r="FS179" s="7"/>
      <c r="FU179" s="7"/>
      <c r="FV179" s="7"/>
      <c r="FX179" s="7"/>
      <c r="FY179" s="7"/>
      <c r="GA179" s="7"/>
      <c r="GB179" s="7"/>
      <c r="GD179" s="7"/>
      <c r="GE179" s="7"/>
      <c r="GG179" s="7"/>
      <c r="GH179" s="7"/>
      <c r="GJ179" s="7"/>
      <c r="GK179" s="7"/>
      <c r="GV179" s="7"/>
      <c r="GW179" s="7"/>
      <c r="HE179" s="7"/>
      <c r="HF179" s="7"/>
      <c r="HH179" s="7"/>
      <c r="HI179" s="7"/>
      <c r="HQ179" s="7"/>
      <c r="HR179" s="7"/>
      <c r="HT179" s="7"/>
      <c r="HU179" s="7"/>
      <c r="IC179" s="7"/>
      <c r="ID179" s="7"/>
      <c r="IF179" s="7"/>
      <c r="IG179" s="7"/>
      <c r="II179" s="7"/>
      <c r="IJ179" s="7"/>
      <c r="IK179" s="7"/>
      <c r="IL179" s="7"/>
      <c r="IM179" s="7"/>
      <c r="IN179" s="7"/>
      <c r="IP179" s="7"/>
      <c r="IQ179" s="7"/>
      <c r="IR179" s="7"/>
      <c r="IS179" s="7"/>
      <c r="IT179" s="7"/>
      <c r="IU179" s="7"/>
      <c r="IV179" s="7"/>
      <c r="IW179" s="7"/>
      <c r="IX179" s="7"/>
      <c r="IY179" s="7"/>
      <c r="IZ179" s="7"/>
      <c r="JA179" s="7"/>
      <c r="JB179" s="7"/>
      <c r="JC179" s="7"/>
      <c r="JE179" s="7"/>
      <c r="JF179" s="7"/>
      <c r="JH179" s="7"/>
      <c r="JI179" s="7"/>
      <c r="JJ179" s="7"/>
      <c r="JK179" s="7"/>
      <c r="JL179" s="7"/>
      <c r="JM179" s="7"/>
      <c r="JO179" s="7"/>
      <c r="JP179" s="7"/>
      <c r="JQ179" s="7"/>
      <c r="JR179" s="7"/>
      <c r="JT179" s="7"/>
      <c r="JU179" s="7"/>
      <c r="JV179" s="7"/>
      <c r="JW179" s="7"/>
      <c r="JX179" s="7"/>
    </row>
    <row r="180" spans="3:284" x14ac:dyDescent="0.3">
      <c r="C180" s="7"/>
      <c r="D180" s="7"/>
      <c r="F180" s="7"/>
      <c r="G180" s="7"/>
      <c r="I180" s="7"/>
      <c r="J180" s="7"/>
      <c r="L180" s="7"/>
      <c r="M180" s="7"/>
      <c r="O180" s="7"/>
      <c r="P180" s="7"/>
      <c r="R180" s="7"/>
      <c r="S180" s="7"/>
      <c r="U180" s="7"/>
      <c r="V180" s="7"/>
      <c r="X180" s="7"/>
      <c r="Y180" s="7"/>
      <c r="AA180" s="7"/>
      <c r="AB180" s="7"/>
      <c r="AD180" s="7"/>
      <c r="AE180" s="7"/>
      <c r="AG180" s="7"/>
      <c r="AH180" s="7"/>
      <c r="AJ180" s="7"/>
      <c r="AK180" s="7"/>
      <c r="AM180" s="7"/>
      <c r="AN180" s="7"/>
      <c r="AP180" s="7"/>
      <c r="AQ180" s="7"/>
      <c r="AS180" s="7"/>
      <c r="AT180" s="7"/>
      <c r="AV180" s="7"/>
      <c r="AW180" s="7"/>
      <c r="AY180" s="7"/>
      <c r="AZ180" s="7"/>
      <c r="BB180" s="7"/>
      <c r="BC180" s="7"/>
      <c r="BE180" s="7"/>
      <c r="BF180" s="7"/>
      <c r="BH180" s="7"/>
      <c r="BI180" s="7"/>
      <c r="BK180" s="7"/>
      <c r="BL180" s="7"/>
      <c r="BN180" s="7"/>
      <c r="BO180" s="7"/>
      <c r="BQ180" s="7"/>
      <c r="BR180" s="7"/>
      <c r="BT180" s="7"/>
      <c r="BU180" s="7"/>
      <c r="BW180" s="7"/>
      <c r="BX180" s="7"/>
      <c r="BZ180" s="7"/>
      <c r="CA180" s="7"/>
      <c r="CC180" s="7"/>
      <c r="CD180" s="7"/>
      <c r="CF180" s="7"/>
      <c r="CG180" s="7"/>
      <c r="CI180" s="7"/>
      <c r="CJ180" s="7"/>
      <c r="CL180" s="7"/>
      <c r="CM180" s="7"/>
      <c r="CO180" s="7"/>
      <c r="CP180" s="7"/>
      <c r="CR180" s="7"/>
      <c r="CS180" s="7"/>
      <c r="CU180" s="7"/>
      <c r="CV180" s="7"/>
      <c r="CX180" s="7"/>
      <c r="CY180" s="7"/>
      <c r="DA180" s="7"/>
      <c r="DB180" s="7"/>
      <c r="DD180" s="7"/>
      <c r="DE180" s="7"/>
      <c r="DG180" s="7"/>
      <c r="DH180" s="7"/>
      <c r="DJ180" s="7"/>
      <c r="DK180" s="7"/>
      <c r="DM180" s="7"/>
      <c r="DN180" s="7"/>
      <c r="DP180" s="7"/>
      <c r="DQ180" s="7"/>
      <c r="DS180" s="7"/>
      <c r="DT180" s="7"/>
      <c r="DV180" s="7"/>
      <c r="DW180" s="7"/>
      <c r="DY180" s="7"/>
      <c r="DZ180" s="7"/>
      <c r="EB180" s="7"/>
      <c r="EC180" s="7"/>
      <c r="EE180" s="7"/>
      <c r="EF180" s="7"/>
      <c r="EH180" s="7"/>
      <c r="EI180" s="7"/>
      <c r="EK180" s="7"/>
      <c r="EL180" s="7"/>
      <c r="EN180" s="7"/>
      <c r="EO180" s="7"/>
      <c r="EQ180" s="7"/>
      <c r="ER180" s="7"/>
      <c r="ET180" s="7"/>
      <c r="EU180" s="7"/>
      <c r="EW180" s="7"/>
      <c r="EX180" s="7"/>
      <c r="EZ180" s="7"/>
      <c r="FA180" s="7"/>
      <c r="FC180" s="7"/>
      <c r="FD180" s="7"/>
      <c r="FF180" s="7"/>
      <c r="FG180" s="7"/>
      <c r="FI180" s="7"/>
      <c r="FJ180" s="7"/>
      <c r="FL180" s="7"/>
      <c r="FM180" s="7"/>
      <c r="FO180" s="7"/>
      <c r="FP180" s="7"/>
      <c r="FR180" s="7"/>
      <c r="FS180" s="7"/>
      <c r="FU180" s="7"/>
      <c r="FV180" s="7"/>
      <c r="FX180" s="7"/>
      <c r="FY180" s="7"/>
      <c r="GA180" s="7"/>
      <c r="GB180" s="7"/>
      <c r="GD180" s="7"/>
      <c r="GE180" s="7"/>
      <c r="GG180" s="7"/>
      <c r="GH180" s="7"/>
      <c r="GJ180" s="7"/>
      <c r="GK180" s="7"/>
      <c r="GV180" s="7"/>
      <c r="GW180" s="7"/>
      <c r="HE180" s="7"/>
      <c r="HF180" s="7"/>
      <c r="HH180" s="7"/>
      <c r="HI180" s="7"/>
      <c r="HQ180" s="7"/>
      <c r="HR180" s="7"/>
      <c r="HT180" s="7"/>
      <c r="HU180" s="7"/>
      <c r="IC180" s="7"/>
      <c r="ID180" s="7"/>
      <c r="IF180" s="7"/>
      <c r="IG180" s="7"/>
      <c r="II180" s="7"/>
      <c r="IJ180" s="7"/>
      <c r="IK180" s="7"/>
      <c r="IL180" s="7"/>
      <c r="IM180" s="7"/>
      <c r="IN180" s="7"/>
      <c r="IP180" s="7"/>
      <c r="IQ180" s="7"/>
      <c r="IR180" s="7"/>
      <c r="IS180" s="7"/>
      <c r="IT180" s="7"/>
      <c r="IU180" s="7"/>
      <c r="IV180" s="7"/>
      <c r="IW180" s="7"/>
      <c r="IX180" s="7"/>
      <c r="IY180" s="7"/>
      <c r="IZ180" s="7"/>
      <c r="JA180" s="7"/>
      <c r="JB180" s="7"/>
      <c r="JC180" s="7"/>
      <c r="JE180" s="7"/>
      <c r="JF180" s="7"/>
      <c r="JH180" s="7"/>
      <c r="JI180" s="7"/>
      <c r="JJ180" s="7"/>
      <c r="JK180" s="7"/>
      <c r="JL180" s="7"/>
      <c r="JM180" s="7"/>
      <c r="JO180" s="7"/>
      <c r="JP180" s="7"/>
      <c r="JQ180" s="7"/>
      <c r="JR180" s="7"/>
      <c r="JT180" s="7"/>
      <c r="JU180" s="7"/>
      <c r="JV180" s="7"/>
      <c r="JW180" s="7"/>
      <c r="JX180" s="7"/>
    </row>
    <row r="181" spans="3:284" x14ac:dyDescent="0.3">
      <c r="C181" s="7"/>
      <c r="D181" s="7"/>
      <c r="F181" s="7"/>
      <c r="G181" s="7"/>
      <c r="I181" s="7"/>
      <c r="J181" s="7"/>
      <c r="L181" s="7"/>
      <c r="M181" s="7"/>
      <c r="O181" s="7"/>
      <c r="P181" s="7"/>
      <c r="R181" s="7"/>
      <c r="S181" s="7"/>
      <c r="U181" s="7"/>
      <c r="V181" s="7"/>
      <c r="X181" s="7"/>
      <c r="Y181" s="7"/>
      <c r="AA181" s="7"/>
      <c r="AB181" s="7"/>
      <c r="AD181" s="7"/>
      <c r="AE181" s="7"/>
      <c r="AG181" s="7"/>
      <c r="AH181" s="7"/>
      <c r="AJ181" s="7"/>
      <c r="AK181" s="7"/>
      <c r="AM181" s="7"/>
      <c r="AN181" s="7"/>
      <c r="AP181" s="7"/>
      <c r="AQ181" s="7"/>
      <c r="AS181" s="7"/>
      <c r="AT181" s="7"/>
      <c r="AV181" s="7"/>
      <c r="AW181" s="7"/>
      <c r="AY181" s="7"/>
      <c r="AZ181" s="7"/>
      <c r="BB181" s="7"/>
      <c r="BC181" s="7"/>
      <c r="BE181" s="7"/>
      <c r="BF181" s="7"/>
      <c r="BH181" s="7"/>
      <c r="BI181" s="7"/>
      <c r="BK181" s="7"/>
      <c r="BL181" s="7"/>
      <c r="BN181" s="7"/>
      <c r="BO181" s="7"/>
      <c r="BQ181" s="7"/>
      <c r="BR181" s="7"/>
      <c r="BT181" s="7"/>
      <c r="BU181" s="7"/>
      <c r="BW181" s="7"/>
      <c r="BX181" s="7"/>
      <c r="BZ181" s="7"/>
      <c r="CA181" s="7"/>
      <c r="CC181" s="7"/>
      <c r="CD181" s="7"/>
      <c r="CF181" s="7"/>
      <c r="CG181" s="7"/>
      <c r="CI181" s="7"/>
      <c r="CJ181" s="7"/>
      <c r="CL181" s="7"/>
      <c r="CM181" s="7"/>
      <c r="CO181" s="7"/>
      <c r="CP181" s="7"/>
      <c r="CR181" s="7"/>
      <c r="CS181" s="7"/>
      <c r="CU181" s="7"/>
      <c r="CV181" s="7"/>
      <c r="CX181" s="7"/>
      <c r="CY181" s="7"/>
      <c r="DA181" s="7"/>
      <c r="DB181" s="7"/>
      <c r="DD181" s="7"/>
      <c r="DE181" s="7"/>
      <c r="DG181" s="7"/>
      <c r="DH181" s="7"/>
      <c r="DJ181" s="7"/>
      <c r="DK181" s="7"/>
      <c r="DM181" s="7"/>
      <c r="DN181" s="7"/>
      <c r="DP181" s="7"/>
      <c r="DQ181" s="7"/>
      <c r="DS181" s="7"/>
      <c r="DT181" s="7"/>
      <c r="DV181" s="7"/>
      <c r="DW181" s="7"/>
      <c r="DY181" s="7"/>
      <c r="DZ181" s="7"/>
      <c r="EB181" s="7"/>
      <c r="EC181" s="7"/>
      <c r="EE181" s="7"/>
      <c r="EF181" s="7"/>
      <c r="EH181" s="7"/>
      <c r="EI181" s="7"/>
      <c r="EK181" s="7"/>
      <c r="EL181" s="7"/>
      <c r="EN181" s="7"/>
      <c r="EO181" s="7"/>
      <c r="EQ181" s="7"/>
      <c r="ER181" s="7"/>
      <c r="ET181" s="7"/>
      <c r="EU181" s="7"/>
      <c r="EW181" s="7"/>
      <c r="EX181" s="7"/>
      <c r="EZ181" s="7"/>
      <c r="FA181" s="7"/>
      <c r="FC181" s="7"/>
      <c r="FD181" s="7"/>
      <c r="FF181" s="7"/>
      <c r="FG181" s="7"/>
      <c r="FI181" s="7"/>
      <c r="FJ181" s="7"/>
      <c r="FL181" s="7"/>
      <c r="FM181" s="7"/>
      <c r="FO181" s="7"/>
      <c r="FP181" s="7"/>
      <c r="FR181" s="7"/>
      <c r="FS181" s="7"/>
      <c r="FU181" s="7"/>
      <c r="FV181" s="7"/>
      <c r="FX181" s="7"/>
      <c r="FY181" s="7"/>
      <c r="GA181" s="7"/>
      <c r="GB181" s="7"/>
      <c r="GD181" s="7"/>
      <c r="GE181" s="7"/>
      <c r="GG181" s="7"/>
      <c r="GH181" s="7"/>
      <c r="GJ181" s="7"/>
      <c r="GK181" s="7"/>
      <c r="GV181" s="7"/>
      <c r="GW181" s="7"/>
      <c r="HE181" s="7"/>
      <c r="HF181" s="7"/>
      <c r="HH181" s="7"/>
      <c r="HI181" s="7"/>
      <c r="HQ181" s="7"/>
      <c r="HR181" s="7"/>
      <c r="HT181" s="7"/>
      <c r="HU181" s="7"/>
      <c r="IC181" s="7"/>
      <c r="ID181" s="7"/>
      <c r="IF181" s="7"/>
      <c r="IG181" s="7"/>
      <c r="II181" s="7"/>
      <c r="IJ181" s="7"/>
      <c r="IK181" s="7"/>
      <c r="IL181" s="7"/>
      <c r="IM181" s="7"/>
      <c r="IN181" s="7"/>
      <c r="IP181" s="7"/>
      <c r="IQ181" s="7"/>
      <c r="IR181" s="7"/>
      <c r="IS181" s="7"/>
      <c r="IT181" s="7"/>
      <c r="IU181" s="7"/>
      <c r="IV181" s="7"/>
      <c r="IW181" s="7"/>
      <c r="IX181" s="7"/>
      <c r="IY181" s="7"/>
      <c r="IZ181" s="7"/>
      <c r="JA181" s="7"/>
      <c r="JB181" s="7"/>
      <c r="JC181" s="7"/>
      <c r="JE181" s="7"/>
      <c r="JF181" s="7"/>
      <c r="JH181" s="7"/>
      <c r="JI181" s="7"/>
      <c r="JJ181" s="7"/>
      <c r="JK181" s="7"/>
      <c r="JL181" s="7"/>
      <c r="JM181" s="7"/>
      <c r="JO181" s="7"/>
      <c r="JP181" s="7"/>
      <c r="JQ181" s="7"/>
      <c r="JR181" s="7"/>
      <c r="JT181" s="7"/>
      <c r="JU181" s="7"/>
      <c r="JV181" s="7"/>
      <c r="JW181" s="7"/>
      <c r="JX181" s="7"/>
    </row>
    <row r="182" spans="3:284" x14ac:dyDescent="0.3">
      <c r="C182" s="7"/>
      <c r="D182" s="7"/>
      <c r="F182" s="7"/>
      <c r="G182" s="7"/>
      <c r="I182" s="7"/>
      <c r="J182" s="7"/>
      <c r="L182" s="7"/>
      <c r="M182" s="7"/>
      <c r="O182" s="7"/>
      <c r="P182" s="7"/>
      <c r="R182" s="7"/>
      <c r="S182" s="7"/>
      <c r="U182" s="7"/>
      <c r="V182" s="7"/>
      <c r="X182" s="7"/>
      <c r="Y182" s="7"/>
      <c r="AA182" s="7"/>
      <c r="AB182" s="7"/>
      <c r="AD182" s="7"/>
      <c r="AE182" s="7"/>
      <c r="AG182" s="7"/>
      <c r="AH182" s="7"/>
      <c r="AJ182" s="7"/>
      <c r="AK182" s="7"/>
      <c r="AM182" s="7"/>
      <c r="AN182" s="7"/>
      <c r="AP182" s="7"/>
      <c r="AQ182" s="7"/>
      <c r="AS182" s="7"/>
      <c r="AT182" s="7"/>
      <c r="AV182" s="7"/>
      <c r="AW182" s="7"/>
      <c r="AY182" s="7"/>
      <c r="AZ182" s="7"/>
      <c r="BB182" s="7"/>
      <c r="BC182" s="7"/>
      <c r="BE182" s="7"/>
      <c r="BF182" s="7"/>
      <c r="BH182" s="7"/>
      <c r="BI182" s="7"/>
      <c r="BK182" s="7"/>
      <c r="BL182" s="7"/>
      <c r="BN182" s="7"/>
      <c r="BO182" s="7"/>
      <c r="BQ182" s="7"/>
      <c r="BR182" s="7"/>
      <c r="BT182" s="7"/>
      <c r="BU182" s="7"/>
      <c r="BW182" s="7"/>
      <c r="BX182" s="7"/>
      <c r="BZ182" s="7"/>
      <c r="CA182" s="7"/>
      <c r="CC182" s="7"/>
      <c r="CD182" s="7"/>
      <c r="CF182" s="7"/>
      <c r="CG182" s="7"/>
      <c r="CI182" s="7"/>
      <c r="CJ182" s="7"/>
      <c r="CL182" s="7"/>
      <c r="CM182" s="7"/>
      <c r="CO182" s="7"/>
      <c r="CP182" s="7"/>
      <c r="CR182" s="7"/>
      <c r="CS182" s="7"/>
      <c r="CU182" s="7"/>
      <c r="CV182" s="7"/>
      <c r="CX182" s="7"/>
      <c r="CY182" s="7"/>
      <c r="DA182" s="7"/>
      <c r="DB182" s="7"/>
      <c r="DD182" s="7"/>
      <c r="DE182" s="7"/>
      <c r="DG182" s="7"/>
      <c r="DH182" s="7"/>
      <c r="DJ182" s="7"/>
      <c r="DK182" s="7"/>
      <c r="DM182" s="7"/>
      <c r="DN182" s="7"/>
      <c r="DP182" s="7"/>
      <c r="DQ182" s="7"/>
      <c r="DS182" s="7"/>
      <c r="DT182" s="7"/>
      <c r="DV182" s="7"/>
      <c r="DW182" s="7"/>
      <c r="DY182" s="7"/>
      <c r="DZ182" s="7"/>
      <c r="EB182" s="7"/>
      <c r="EC182" s="7"/>
      <c r="EE182" s="7"/>
      <c r="EF182" s="7"/>
      <c r="EH182" s="7"/>
      <c r="EI182" s="7"/>
      <c r="EK182" s="7"/>
      <c r="EL182" s="7"/>
      <c r="EN182" s="7"/>
      <c r="EO182" s="7"/>
      <c r="EQ182" s="7"/>
      <c r="ER182" s="7"/>
      <c r="ET182" s="7"/>
      <c r="EU182" s="7"/>
      <c r="EW182" s="7"/>
      <c r="EX182" s="7"/>
      <c r="EZ182" s="7"/>
      <c r="FA182" s="7"/>
      <c r="FC182" s="7"/>
      <c r="FD182" s="7"/>
      <c r="FF182" s="7"/>
      <c r="FG182" s="7"/>
      <c r="FI182" s="7"/>
      <c r="FJ182" s="7"/>
      <c r="FL182" s="7"/>
      <c r="FM182" s="7"/>
      <c r="FO182" s="7"/>
      <c r="FP182" s="7"/>
      <c r="FR182" s="7"/>
      <c r="FS182" s="7"/>
      <c r="FU182" s="7"/>
      <c r="FV182" s="7"/>
      <c r="FX182" s="7"/>
      <c r="FY182" s="7"/>
      <c r="GA182" s="7"/>
      <c r="GB182" s="7"/>
      <c r="GD182" s="7"/>
      <c r="GE182" s="7"/>
      <c r="GG182" s="7"/>
      <c r="GH182" s="7"/>
      <c r="GJ182" s="7"/>
      <c r="GK182" s="7"/>
      <c r="GV182" s="7"/>
      <c r="GW182" s="7"/>
      <c r="HE182" s="7"/>
      <c r="HF182" s="7"/>
      <c r="HH182" s="7"/>
      <c r="HI182" s="7"/>
      <c r="HQ182" s="7"/>
      <c r="HR182" s="7"/>
      <c r="HT182" s="7"/>
      <c r="HU182" s="7"/>
      <c r="IC182" s="7"/>
      <c r="ID182" s="7"/>
      <c r="IF182" s="7"/>
      <c r="IG182" s="7"/>
      <c r="II182" s="7"/>
      <c r="IJ182" s="7"/>
      <c r="IK182" s="7"/>
      <c r="IL182" s="7"/>
      <c r="IM182" s="7"/>
      <c r="IN182" s="7"/>
      <c r="IP182" s="7"/>
      <c r="IQ182" s="7"/>
      <c r="IR182" s="7"/>
      <c r="IS182" s="7"/>
      <c r="IT182" s="7"/>
      <c r="IU182" s="7"/>
      <c r="IV182" s="7"/>
      <c r="IW182" s="7"/>
      <c r="IX182" s="7"/>
      <c r="IY182" s="7"/>
      <c r="IZ182" s="7"/>
      <c r="JA182" s="7"/>
      <c r="JB182" s="7"/>
      <c r="JC182" s="7"/>
      <c r="JE182" s="7"/>
      <c r="JF182" s="7"/>
      <c r="JH182" s="7"/>
      <c r="JI182" s="7"/>
      <c r="JJ182" s="7"/>
      <c r="JK182" s="7"/>
      <c r="JL182" s="7"/>
      <c r="JM182" s="7"/>
      <c r="JO182" s="7"/>
      <c r="JP182" s="7"/>
      <c r="JQ182" s="7"/>
      <c r="JR182" s="7"/>
      <c r="JT182" s="7"/>
      <c r="JU182" s="7"/>
      <c r="JV182" s="7"/>
      <c r="JW182" s="7"/>
      <c r="JX182" s="7"/>
    </row>
    <row r="183" spans="3:284" x14ac:dyDescent="0.3">
      <c r="C183" s="7"/>
      <c r="D183" s="7"/>
      <c r="F183" s="7"/>
      <c r="G183" s="7"/>
      <c r="I183" s="7"/>
      <c r="J183" s="7"/>
      <c r="L183" s="7"/>
      <c r="M183" s="7"/>
      <c r="O183" s="7"/>
      <c r="P183" s="7"/>
      <c r="R183" s="7"/>
      <c r="S183" s="7"/>
      <c r="U183" s="7"/>
      <c r="V183" s="7"/>
      <c r="X183" s="7"/>
      <c r="Y183" s="7"/>
      <c r="AA183" s="7"/>
      <c r="AB183" s="7"/>
      <c r="AD183" s="7"/>
      <c r="AE183" s="7"/>
      <c r="AG183" s="7"/>
      <c r="AH183" s="7"/>
      <c r="AJ183" s="7"/>
      <c r="AK183" s="7"/>
      <c r="AM183" s="7"/>
      <c r="AN183" s="7"/>
      <c r="AP183" s="7"/>
      <c r="AQ183" s="7"/>
      <c r="AS183" s="7"/>
      <c r="AT183" s="7"/>
      <c r="AV183" s="7"/>
      <c r="AW183" s="7"/>
      <c r="AY183" s="7"/>
      <c r="AZ183" s="7"/>
      <c r="BB183" s="7"/>
      <c r="BC183" s="7"/>
      <c r="BE183" s="7"/>
      <c r="BF183" s="7"/>
      <c r="BH183" s="7"/>
      <c r="BI183" s="7"/>
      <c r="BK183" s="7"/>
      <c r="BL183" s="7"/>
      <c r="BN183" s="7"/>
      <c r="BO183" s="7"/>
      <c r="BQ183" s="7"/>
      <c r="BR183" s="7"/>
      <c r="BT183" s="7"/>
      <c r="BU183" s="7"/>
      <c r="BW183" s="7"/>
      <c r="BX183" s="7"/>
      <c r="BZ183" s="7"/>
      <c r="CA183" s="7"/>
      <c r="CC183" s="7"/>
      <c r="CD183" s="7"/>
      <c r="CF183" s="7"/>
      <c r="CG183" s="7"/>
      <c r="CI183" s="7"/>
      <c r="CJ183" s="7"/>
      <c r="CL183" s="7"/>
      <c r="CM183" s="7"/>
      <c r="CO183" s="7"/>
      <c r="CP183" s="7"/>
      <c r="CR183" s="7"/>
      <c r="CS183" s="7"/>
      <c r="CU183" s="7"/>
      <c r="CV183" s="7"/>
      <c r="CX183" s="7"/>
      <c r="CY183" s="7"/>
      <c r="DA183" s="7"/>
      <c r="DB183" s="7"/>
      <c r="DD183" s="7"/>
      <c r="DE183" s="7"/>
      <c r="DG183" s="7"/>
      <c r="DH183" s="7"/>
      <c r="DJ183" s="7"/>
      <c r="DK183" s="7"/>
      <c r="DM183" s="7"/>
      <c r="DN183" s="7"/>
      <c r="DP183" s="7"/>
      <c r="DQ183" s="7"/>
      <c r="DS183" s="7"/>
      <c r="DT183" s="7"/>
      <c r="DV183" s="7"/>
      <c r="DW183" s="7"/>
      <c r="DY183" s="7"/>
      <c r="DZ183" s="7"/>
      <c r="EB183" s="7"/>
      <c r="EC183" s="7"/>
      <c r="EE183" s="7"/>
      <c r="EF183" s="7"/>
      <c r="EH183" s="7"/>
      <c r="EI183" s="7"/>
      <c r="EK183" s="7"/>
      <c r="EL183" s="7"/>
      <c r="EN183" s="7"/>
      <c r="EO183" s="7"/>
      <c r="EQ183" s="7"/>
      <c r="ER183" s="7"/>
      <c r="ET183" s="7"/>
      <c r="EU183" s="7"/>
      <c r="EW183" s="7"/>
      <c r="EX183" s="7"/>
      <c r="EZ183" s="7"/>
      <c r="FA183" s="7"/>
      <c r="FC183" s="7"/>
      <c r="FD183" s="7"/>
      <c r="FF183" s="7"/>
      <c r="FG183" s="7"/>
      <c r="FI183" s="7"/>
      <c r="FJ183" s="7"/>
      <c r="FL183" s="7"/>
      <c r="FM183" s="7"/>
      <c r="FO183" s="7"/>
      <c r="FP183" s="7"/>
      <c r="FR183" s="7"/>
      <c r="FS183" s="7"/>
      <c r="FU183" s="7"/>
      <c r="FV183" s="7"/>
      <c r="FX183" s="7"/>
      <c r="FY183" s="7"/>
      <c r="GA183" s="7"/>
      <c r="GB183" s="7"/>
      <c r="GD183" s="7"/>
      <c r="GE183" s="7"/>
      <c r="GG183" s="7"/>
      <c r="GH183" s="7"/>
      <c r="GJ183" s="7"/>
      <c r="GK183" s="7"/>
      <c r="GV183" s="7"/>
      <c r="GW183" s="7"/>
      <c r="HE183" s="7"/>
      <c r="HF183" s="7"/>
      <c r="HH183" s="7"/>
      <c r="HI183" s="7"/>
      <c r="HQ183" s="7"/>
      <c r="HR183" s="7"/>
      <c r="HT183" s="7"/>
      <c r="HU183" s="7"/>
      <c r="IC183" s="7"/>
      <c r="ID183" s="7"/>
      <c r="IF183" s="7"/>
      <c r="IG183" s="7"/>
      <c r="II183" s="7"/>
      <c r="IJ183" s="7"/>
      <c r="IK183" s="7"/>
      <c r="IL183" s="7"/>
      <c r="IM183" s="7"/>
      <c r="IN183" s="7"/>
      <c r="IP183" s="7"/>
      <c r="IQ183" s="7"/>
      <c r="IR183" s="7"/>
      <c r="IS183" s="7"/>
      <c r="IT183" s="7"/>
      <c r="IU183" s="7"/>
      <c r="IV183" s="7"/>
      <c r="IW183" s="7"/>
      <c r="IX183" s="7"/>
      <c r="IY183" s="7"/>
      <c r="IZ183" s="7"/>
      <c r="JA183" s="7"/>
      <c r="JB183" s="7"/>
      <c r="JC183" s="7"/>
      <c r="JE183" s="7"/>
      <c r="JF183" s="7"/>
      <c r="JH183" s="7"/>
      <c r="JI183" s="7"/>
      <c r="JJ183" s="7"/>
      <c r="JK183" s="7"/>
      <c r="JL183" s="7"/>
      <c r="JM183" s="7"/>
      <c r="JO183" s="7"/>
      <c r="JP183" s="7"/>
      <c r="JQ183" s="7"/>
      <c r="JR183" s="7"/>
      <c r="JT183" s="7"/>
      <c r="JU183" s="7"/>
      <c r="JV183" s="7"/>
      <c r="JW183" s="7"/>
      <c r="JX183" s="7"/>
    </row>
    <row r="184" spans="3:284" x14ac:dyDescent="0.3">
      <c r="C184" s="7"/>
      <c r="D184" s="7"/>
      <c r="F184" s="7"/>
      <c r="G184" s="7"/>
      <c r="I184" s="7"/>
      <c r="J184" s="7"/>
      <c r="L184" s="7"/>
      <c r="M184" s="7"/>
      <c r="O184" s="7"/>
      <c r="P184" s="7"/>
      <c r="R184" s="7"/>
      <c r="S184" s="7"/>
      <c r="U184" s="7"/>
      <c r="V184" s="7"/>
      <c r="X184" s="7"/>
      <c r="Y184" s="7"/>
      <c r="AA184" s="7"/>
      <c r="AB184" s="7"/>
      <c r="AD184" s="7"/>
      <c r="AE184" s="7"/>
      <c r="AG184" s="7"/>
      <c r="AH184" s="7"/>
      <c r="AJ184" s="7"/>
      <c r="AK184" s="7"/>
      <c r="AM184" s="7"/>
      <c r="AN184" s="7"/>
      <c r="AP184" s="7"/>
      <c r="AQ184" s="7"/>
      <c r="AS184" s="7"/>
      <c r="AT184" s="7"/>
      <c r="AV184" s="7"/>
      <c r="AW184" s="7"/>
      <c r="AY184" s="7"/>
      <c r="AZ184" s="7"/>
      <c r="BB184" s="7"/>
      <c r="BC184" s="7"/>
      <c r="BE184" s="7"/>
      <c r="BF184" s="7"/>
      <c r="BH184" s="7"/>
      <c r="BI184" s="7"/>
      <c r="BK184" s="7"/>
      <c r="BL184" s="7"/>
      <c r="BN184" s="7"/>
      <c r="BO184" s="7"/>
      <c r="BQ184" s="7"/>
      <c r="BR184" s="7"/>
      <c r="BT184" s="7"/>
      <c r="BU184" s="7"/>
      <c r="BW184" s="7"/>
      <c r="BX184" s="7"/>
      <c r="BZ184" s="7"/>
      <c r="CA184" s="7"/>
      <c r="CC184" s="7"/>
      <c r="CD184" s="7"/>
      <c r="CF184" s="7"/>
      <c r="CG184" s="7"/>
      <c r="CI184" s="7"/>
      <c r="CJ184" s="7"/>
      <c r="CL184" s="7"/>
      <c r="CM184" s="7"/>
      <c r="CO184" s="7"/>
      <c r="CP184" s="7"/>
      <c r="CR184" s="7"/>
      <c r="CS184" s="7"/>
      <c r="CU184" s="7"/>
      <c r="CV184" s="7"/>
      <c r="CX184" s="7"/>
      <c r="CY184" s="7"/>
      <c r="DA184" s="7"/>
      <c r="DB184" s="7"/>
      <c r="DD184" s="7"/>
      <c r="DE184" s="7"/>
      <c r="DG184" s="7"/>
      <c r="DH184" s="7"/>
      <c r="DJ184" s="7"/>
      <c r="DK184" s="7"/>
      <c r="DM184" s="7"/>
      <c r="DN184" s="7"/>
      <c r="DP184" s="7"/>
      <c r="DQ184" s="7"/>
      <c r="DS184" s="7"/>
      <c r="DT184" s="7"/>
      <c r="DV184" s="7"/>
      <c r="DW184" s="7"/>
      <c r="DY184" s="7"/>
      <c r="DZ184" s="7"/>
      <c r="EB184" s="7"/>
      <c r="EC184" s="7"/>
      <c r="EE184" s="7"/>
      <c r="EF184" s="7"/>
      <c r="EH184" s="7"/>
      <c r="EI184" s="7"/>
      <c r="EK184" s="7"/>
      <c r="EL184" s="7"/>
      <c r="EN184" s="7"/>
      <c r="EO184" s="7"/>
      <c r="EQ184" s="7"/>
      <c r="ER184" s="7"/>
      <c r="ET184" s="7"/>
      <c r="EU184" s="7"/>
      <c r="EW184" s="7"/>
      <c r="EX184" s="7"/>
      <c r="EZ184" s="7"/>
      <c r="FA184" s="7"/>
      <c r="FC184" s="7"/>
      <c r="FD184" s="7"/>
      <c r="FF184" s="7"/>
      <c r="FG184" s="7"/>
      <c r="FI184" s="7"/>
      <c r="FJ184" s="7"/>
      <c r="FL184" s="7"/>
      <c r="FM184" s="7"/>
      <c r="FO184" s="7"/>
      <c r="FP184" s="7"/>
      <c r="FR184" s="7"/>
      <c r="FS184" s="7"/>
      <c r="FU184" s="7"/>
      <c r="FV184" s="7"/>
      <c r="FX184" s="7"/>
      <c r="FY184" s="7"/>
      <c r="GA184" s="7"/>
      <c r="GB184" s="7"/>
      <c r="GD184" s="7"/>
      <c r="GE184" s="7"/>
      <c r="GG184" s="7"/>
      <c r="GH184" s="7"/>
      <c r="GJ184" s="7"/>
      <c r="GK184" s="7"/>
      <c r="GV184" s="7"/>
      <c r="GW184" s="7"/>
      <c r="HE184" s="7"/>
      <c r="HF184" s="7"/>
      <c r="HH184" s="7"/>
      <c r="HI184" s="7"/>
      <c r="HQ184" s="7"/>
      <c r="HR184" s="7"/>
      <c r="HT184" s="7"/>
      <c r="HU184" s="7"/>
      <c r="IC184" s="7"/>
      <c r="ID184" s="7"/>
      <c r="IF184" s="7"/>
      <c r="IG184" s="7"/>
      <c r="II184" s="7"/>
      <c r="IJ184" s="7"/>
      <c r="IK184" s="7"/>
      <c r="IL184" s="7"/>
      <c r="IM184" s="7"/>
      <c r="IN184" s="7"/>
      <c r="IP184" s="7"/>
      <c r="IQ184" s="7"/>
      <c r="IR184" s="7"/>
      <c r="IS184" s="7"/>
      <c r="IT184" s="7"/>
      <c r="IU184" s="7"/>
      <c r="IV184" s="7"/>
      <c r="IW184" s="7"/>
      <c r="IX184" s="7"/>
      <c r="IY184" s="7"/>
      <c r="IZ184" s="7"/>
      <c r="JA184" s="7"/>
      <c r="JB184" s="7"/>
      <c r="JC184" s="7"/>
      <c r="JE184" s="7"/>
      <c r="JF184" s="7"/>
      <c r="JH184" s="7"/>
      <c r="JI184" s="7"/>
      <c r="JJ184" s="7"/>
      <c r="JK184" s="7"/>
      <c r="JL184" s="7"/>
      <c r="JM184" s="7"/>
      <c r="JO184" s="7"/>
      <c r="JP184" s="7"/>
      <c r="JQ184" s="7"/>
      <c r="JR184" s="7"/>
      <c r="JT184" s="7"/>
      <c r="JU184" s="7"/>
      <c r="JV184" s="7"/>
      <c r="JW184" s="7"/>
      <c r="JX184" s="7"/>
    </row>
    <row r="185" spans="3:284" x14ac:dyDescent="0.3">
      <c r="C185" s="7"/>
      <c r="D185" s="7"/>
      <c r="F185" s="7"/>
      <c r="G185" s="7"/>
      <c r="I185" s="7"/>
      <c r="J185" s="7"/>
      <c r="L185" s="7"/>
      <c r="M185" s="7"/>
      <c r="O185" s="7"/>
      <c r="P185" s="7"/>
      <c r="R185" s="7"/>
      <c r="S185" s="7"/>
      <c r="U185" s="7"/>
      <c r="V185" s="7"/>
      <c r="X185" s="7"/>
      <c r="Y185" s="7"/>
      <c r="AA185" s="7"/>
      <c r="AB185" s="7"/>
      <c r="AD185" s="7"/>
      <c r="AE185" s="7"/>
      <c r="AG185" s="7"/>
      <c r="AH185" s="7"/>
      <c r="AJ185" s="7"/>
      <c r="AK185" s="7"/>
      <c r="AM185" s="7"/>
      <c r="AN185" s="7"/>
      <c r="AP185" s="7"/>
      <c r="AQ185" s="7"/>
      <c r="AS185" s="7"/>
      <c r="AT185" s="7"/>
      <c r="AV185" s="7"/>
      <c r="AW185" s="7"/>
      <c r="AY185" s="7"/>
      <c r="AZ185" s="7"/>
      <c r="BB185" s="7"/>
      <c r="BC185" s="7"/>
      <c r="BE185" s="7"/>
      <c r="BF185" s="7"/>
      <c r="BH185" s="7"/>
      <c r="BI185" s="7"/>
      <c r="BK185" s="7"/>
      <c r="BL185" s="7"/>
      <c r="BN185" s="7"/>
      <c r="BO185" s="7"/>
      <c r="BQ185" s="7"/>
      <c r="BR185" s="7"/>
      <c r="BT185" s="7"/>
      <c r="BU185" s="7"/>
      <c r="BW185" s="7"/>
      <c r="BX185" s="7"/>
      <c r="BZ185" s="7"/>
      <c r="CA185" s="7"/>
      <c r="CC185" s="7"/>
      <c r="CD185" s="7"/>
      <c r="CF185" s="7"/>
      <c r="CG185" s="7"/>
      <c r="CI185" s="7"/>
      <c r="CJ185" s="7"/>
      <c r="CL185" s="7"/>
      <c r="CM185" s="7"/>
      <c r="CO185" s="7"/>
      <c r="CP185" s="7"/>
      <c r="CR185" s="7"/>
      <c r="CS185" s="7"/>
      <c r="CU185" s="7"/>
      <c r="CV185" s="7"/>
      <c r="CX185" s="7"/>
      <c r="CY185" s="7"/>
      <c r="DA185" s="7"/>
      <c r="DB185" s="7"/>
      <c r="DD185" s="7"/>
      <c r="DE185" s="7"/>
      <c r="DG185" s="7"/>
      <c r="DH185" s="7"/>
      <c r="DJ185" s="7"/>
      <c r="DK185" s="7"/>
      <c r="DM185" s="7"/>
      <c r="DN185" s="7"/>
      <c r="DP185" s="7"/>
      <c r="DQ185" s="7"/>
      <c r="DS185" s="7"/>
      <c r="DT185" s="7"/>
      <c r="DV185" s="7"/>
      <c r="DW185" s="7"/>
      <c r="DY185" s="7"/>
      <c r="DZ185" s="7"/>
      <c r="EB185" s="7"/>
      <c r="EC185" s="7"/>
      <c r="EE185" s="7"/>
      <c r="EF185" s="7"/>
      <c r="EH185" s="7"/>
      <c r="EI185" s="7"/>
      <c r="EK185" s="7"/>
      <c r="EL185" s="7"/>
      <c r="EN185" s="7"/>
      <c r="EO185" s="7"/>
      <c r="EQ185" s="7"/>
      <c r="ER185" s="7"/>
      <c r="ET185" s="7"/>
      <c r="EU185" s="7"/>
      <c r="EW185" s="7"/>
      <c r="EX185" s="7"/>
      <c r="EZ185" s="7"/>
      <c r="FA185" s="7"/>
      <c r="FC185" s="7"/>
      <c r="FD185" s="7"/>
      <c r="FF185" s="7"/>
      <c r="FG185" s="7"/>
      <c r="FI185" s="7"/>
      <c r="FJ185" s="7"/>
      <c r="FL185" s="7"/>
      <c r="FM185" s="7"/>
      <c r="FO185" s="7"/>
      <c r="FP185" s="7"/>
      <c r="FR185" s="7"/>
      <c r="FS185" s="7"/>
      <c r="FU185" s="7"/>
      <c r="FV185" s="7"/>
      <c r="FX185" s="7"/>
      <c r="FY185" s="7"/>
      <c r="GA185" s="7"/>
      <c r="GB185" s="7"/>
      <c r="GD185" s="7"/>
      <c r="GE185" s="7"/>
      <c r="GG185" s="7"/>
      <c r="GH185" s="7"/>
      <c r="GJ185" s="7"/>
      <c r="GK185" s="7"/>
      <c r="GV185" s="7"/>
      <c r="GW185" s="7"/>
      <c r="HE185" s="7"/>
      <c r="HF185" s="7"/>
      <c r="HH185" s="7"/>
      <c r="HI185" s="7"/>
      <c r="HQ185" s="7"/>
      <c r="HR185" s="7"/>
      <c r="HT185" s="7"/>
      <c r="HU185" s="7"/>
      <c r="IC185" s="7"/>
      <c r="ID185" s="7"/>
      <c r="IF185" s="7"/>
      <c r="IG185" s="7"/>
      <c r="II185" s="7"/>
      <c r="IJ185" s="7"/>
      <c r="IK185" s="7"/>
      <c r="IL185" s="7"/>
      <c r="IM185" s="7"/>
      <c r="IN185" s="7"/>
      <c r="IP185" s="7"/>
      <c r="IQ185" s="7"/>
      <c r="IR185" s="7"/>
      <c r="IS185" s="7"/>
      <c r="IT185" s="7"/>
      <c r="IU185" s="7"/>
      <c r="IV185" s="7"/>
      <c r="IW185" s="7"/>
      <c r="IX185" s="7"/>
      <c r="IY185" s="7"/>
      <c r="IZ185" s="7"/>
      <c r="JA185" s="7"/>
      <c r="JB185" s="7"/>
      <c r="JC185" s="7"/>
      <c r="JE185" s="7"/>
      <c r="JF185" s="7"/>
      <c r="JH185" s="7"/>
      <c r="JI185" s="7"/>
      <c r="JJ185" s="7"/>
      <c r="JK185" s="7"/>
      <c r="JL185" s="7"/>
      <c r="JM185" s="7"/>
      <c r="JO185" s="7"/>
      <c r="JP185" s="7"/>
      <c r="JQ185" s="7"/>
      <c r="JR185" s="7"/>
      <c r="JT185" s="7"/>
      <c r="JU185" s="7"/>
      <c r="JV185" s="7"/>
      <c r="JW185" s="7"/>
      <c r="JX185" s="7"/>
    </row>
    <row r="186" spans="3:284" x14ac:dyDescent="0.3">
      <c r="C186" s="7"/>
      <c r="D186" s="7"/>
      <c r="F186" s="7"/>
      <c r="G186" s="7"/>
      <c r="I186" s="7"/>
      <c r="J186" s="7"/>
      <c r="L186" s="7"/>
      <c r="M186" s="7"/>
      <c r="O186" s="7"/>
      <c r="P186" s="7"/>
      <c r="R186" s="7"/>
      <c r="S186" s="7"/>
      <c r="U186" s="7"/>
      <c r="V186" s="7"/>
      <c r="X186" s="7"/>
      <c r="Y186" s="7"/>
      <c r="AA186" s="7"/>
      <c r="AB186" s="7"/>
      <c r="AD186" s="7"/>
      <c r="AE186" s="7"/>
      <c r="AG186" s="7"/>
      <c r="AH186" s="7"/>
      <c r="AJ186" s="7"/>
      <c r="AK186" s="7"/>
      <c r="AM186" s="7"/>
      <c r="AN186" s="7"/>
      <c r="AP186" s="7"/>
      <c r="AQ186" s="7"/>
      <c r="AS186" s="7"/>
      <c r="AT186" s="7"/>
      <c r="AV186" s="7"/>
      <c r="AW186" s="7"/>
      <c r="AY186" s="7"/>
      <c r="AZ186" s="7"/>
      <c r="BB186" s="7"/>
      <c r="BC186" s="7"/>
      <c r="BE186" s="7"/>
      <c r="BF186" s="7"/>
      <c r="BH186" s="7"/>
      <c r="BI186" s="7"/>
      <c r="BK186" s="7"/>
      <c r="BL186" s="7"/>
      <c r="BN186" s="7"/>
      <c r="BO186" s="7"/>
      <c r="BQ186" s="7"/>
      <c r="BR186" s="7"/>
      <c r="BT186" s="7"/>
      <c r="BU186" s="7"/>
      <c r="BW186" s="7"/>
      <c r="BX186" s="7"/>
      <c r="BZ186" s="7"/>
      <c r="CA186" s="7"/>
      <c r="CC186" s="7"/>
      <c r="CD186" s="7"/>
      <c r="CF186" s="7"/>
      <c r="CG186" s="7"/>
      <c r="CI186" s="7"/>
      <c r="CJ186" s="7"/>
      <c r="CL186" s="7"/>
      <c r="CM186" s="7"/>
      <c r="CO186" s="7"/>
      <c r="CP186" s="7"/>
      <c r="CR186" s="7"/>
      <c r="CS186" s="7"/>
      <c r="CU186" s="7"/>
      <c r="CV186" s="7"/>
      <c r="CX186" s="7"/>
      <c r="CY186" s="7"/>
      <c r="DA186" s="7"/>
      <c r="DB186" s="7"/>
      <c r="DD186" s="7"/>
      <c r="DE186" s="7"/>
      <c r="DG186" s="7"/>
      <c r="DH186" s="7"/>
      <c r="DJ186" s="7"/>
      <c r="DK186" s="7"/>
      <c r="DM186" s="7"/>
      <c r="DN186" s="7"/>
      <c r="DP186" s="7"/>
      <c r="DQ186" s="7"/>
      <c r="DS186" s="7"/>
      <c r="DT186" s="7"/>
      <c r="DV186" s="7"/>
      <c r="DW186" s="7"/>
      <c r="DY186" s="7"/>
      <c r="DZ186" s="7"/>
      <c r="EB186" s="7"/>
      <c r="EC186" s="7"/>
      <c r="EE186" s="7"/>
      <c r="EF186" s="7"/>
      <c r="EH186" s="7"/>
      <c r="EI186" s="7"/>
      <c r="EK186" s="7"/>
      <c r="EL186" s="7"/>
      <c r="EN186" s="7"/>
      <c r="EO186" s="7"/>
      <c r="EQ186" s="7"/>
      <c r="ER186" s="7"/>
      <c r="ET186" s="7"/>
      <c r="EU186" s="7"/>
      <c r="EW186" s="7"/>
      <c r="EX186" s="7"/>
      <c r="EZ186" s="7"/>
      <c r="FA186" s="7"/>
      <c r="FC186" s="7"/>
      <c r="FD186" s="7"/>
      <c r="FF186" s="7"/>
      <c r="FG186" s="7"/>
      <c r="FI186" s="7"/>
      <c r="FJ186" s="7"/>
      <c r="FL186" s="7"/>
      <c r="FM186" s="7"/>
      <c r="FO186" s="7"/>
      <c r="FP186" s="7"/>
      <c r="FR186" s="7"/>
      <c r="FS186" s="7"/>
      <c r="FU186" s="7"/>
      <c r="FV186" s="7"/>
      <c r="FX186" s="7"/>
      <c r="FY186" s="7"/>
      <c r="GA186" s="7"/>
      <c r="GB186" s="7"/>
      <c r="GD186" s="7"/>
      <c r="GE186" s="7"/>
      <c r="GG186" s="7"/>
      <c r="GH186" s="7"/>
      <c r="GJ186" s="7"/>
      <c r="GK186" s="7"/>
      <c r="GV186" s="7"/>
      <c r="GW186" s="7"/>
      <c r="HE186" s="7"/>
      <c r="HF186" s="7"/>
      <c r="HH186" s="7"/>
      <c r="HI186" s="7"/>
      <c r="HQ186" s="7"/>
      <c r="HR186" s="7"/>
      <c r="HT186" s="7"/>
      <c r="HU186" s="7"/>
      <c r="IC186" s="7"/>
      <c r="ID186" s="7"/>
      <c r="IF186" s="7"/>
      <c r="IG186" s="7"/>
      <c r="II186" s="7"/>
      <c r="IJ186" s="7"/>
      <c r="IK186" s="7"/>
      <c r="IL186" s="7"/>
      <c r="IM186" s="7"/>
      <c r="IN186" s="7"/>
      <c r="IP186" s="7"/>
      <c r="IQ186" s="7"/>
      <c r="IR186" s="7"/>
      <c r="IS186" s="7"/>
      <c r="IT186" s="7"/>
      <c r="IU186" s="7"/>
      <c r="IV186" s="7"/>
      <c r="IW186" s="7"/>
      <c r="IX186" s="7"/>
      <c r="IY186" s="7"/>
      <c r="IZ186" s="7"/>
      <c r="JA186" s="7"/>
      <c r="JB186" s="7"/>
      <c r="JC186" s="7"/>
      <c r="JE186" s="7"/>
      <c r="JF186" s="7"/>
      <c r="JH186" s="7"/>
      <c r="JI186" s="7"/>
      <c r="JJ186" s="7"/>
      <c r="JK186" s="7"/>
      <c r="JL186" s="7"/>
      <c r="JM186" s="7"/>
      <c r="JO186" s="7"/>
      <c r="JP186" s="7"/>
      <c r="JQ186" s="7"/>
      <c r="JR186" s="7"/>
      <c r="JT186" s="7"/>
      <c r="JU186" s="7"/>
      <c r="JV186" s="7"/>
      <c r="JW186" s="7"/>
      <c r="JX186" s="7"/>
    </row>
    <row r="187" spans="3:284" x14ac:dyDescent="0.3">
      <c r="C187" s="7"/>
      <c r="D187" s="7"/>
      <c r="F187" s="7"/>
      <c r="G187" s="7"/>
      <c r="I187" s="7"/>
      <c r="J187" s="7"/>
      <c r="L187" s="7"/>
      <c r="M187" s="7"/>
      <c r="O187" s="7"/>
      <c r="P187" s="7"/>
      <c r="R187" s="7"/>
      <c r="S187" s="7"/>
      <c r="U187" s="7"/>
      <c r="V187" s="7"/>
      <c r="X187" s="7"/>
      <c r="Y187" s="7"/>
      <c r="AA187" s="7"/>
      <c r="AB187" s="7"/>
      <c r="AD187" s="7"/>
      <c r="AE187" s="7"/>
      <c r="AG187" s="7"/>
      <c r="AH187" s="7"/>
      <c r="AJ187" s="7"/>
      <c r="AK187" s="7"/>
      <c r="AM187" s="7"/>
      <c r="AN187" s="7"/>
      <c r="AP187" s="7"/>
      <c r="AQ187" s="7"/>
      <c r="AS187" s="7"/>
      <c r="AT187" s="7"/>
      <c r="AV187" s="7"/>
      <c r="AW187" s="7"/>
      <c r="AY187" s="7"/>
      <c r="AZ187" s="7"/>
      <c r="BB187" s="7"/>
      <c r="BC187" s="7"/>
      <c r="BE187" s="7"/>
      <c r="BF187" s="7"/>
      <c r="BH187" s="7"/>
      <c r="BI187" s="7"/>
      <c r="BK187" s="7"/>
      <c r="BL187" s="7"/>
      <c r="BN187" s="7"/>
      <c r="BO187" s="7"/>
      <c r="BQ187" s="7"/>
      <c r="BR187" s="7"/>
      <c r="BT187" s="7"/>
      <c r="BU187" s="7"/>
      <c r="BW187" s="7"/>
      <c r="BX187" s="7"/>
      <c r="BZ187" s="7"/>
      <c r="CA187" s="7"/>
      <c r="CC187" s="7"/>
      <c r="CD187" s="7"/>
      <c r="CF187" s="7"/>
      <c r="CG187" s="7"/>
      <c r="CI187" s="7"/>
      <c r="CJ187" s="7"/>
      <c r="CL187" s="7"/>
      <c r="CM187" s="7"/>
      <c r="CO187" s="7"/>
      <c r="CP187" s="7"/>
      <c r="CR187" s="7"/>
      <c r="CS187" s="7"/>
      <c r="CU187" s="7"/>
      <c r="CV187" s="7"/>
      <c r="CX187" s="7"/>
      <c r="CY187" s="7"/>
      <c r="DA187" s="7"/>
      <c r="DB187" s="7"/>
      <c r="DD187" s="7"/>
      <c r="DE187" s="7"/>
      <c r="DG187" s="7"/>
      <c r="DH187" s="7"/>
      <c r="DJ187" s="7"/>
      <c r="DK187" s="7"/>
      <c r="DM187" s="7"/>
      <c r="DN187" s="7"/>
      <c r="DP187" s="7"/>
      <c r="DQ187" s="7"/>
      <c r="DS187" s="7"/>
      <c r="DT187" s="7"/>
      <c r="DV187" s="7"/>
      <c r="DW187" s="7"/>
      <c r="DY187" s="7"/>
      <c r="DZ187" s="7"/>
      <c r="EB187" s="7"/>
      <c r="EC187" s="7"/>
      <c r="EE187" s="7"/>
      <c r="EF187" s="7"/>
      <c r="EH187" s="7"/>
      <c r="EI187" s="7"/>
      <c r="EK187" s="7"/>
      <c r="EL187" s="7"/>
      <c r="EN187" s="7"/>
      <c r="EO187" s="7"/>
      <c r="EQ187" s="7"/>
      <c r="ER187" s="7"/>
      <c r="ET187" s="7"/>
      <c r="EU187" s="7"/>
      <c r="EW187" s="7"/>
      <c r="EX187" s="7"/>
      <c r="EZ187" s="7"/>
      <c r="FA187" s="7"/>
      <c r="FC187" s="7"/>
      <c r="FD187" s="7"/>
      <c r="FF187" s="7"/>
      <c r="FG187" s="7"/>
      <c r="FI187" s="7"/>
      <c r="FJ187" s="7"/>
      <c r="FL187" s="7"/>
      <c r="FM187" s="7"/>
      <c r="FO187" s="7"/>
      <c r="FP187" s="7"/>
      <c r="FR187" s="7"/>
      <c r="FS187" s="7"/>
      <c r="FU187" s="7"/>
      <c r="FV187" s="7"/>
      <c r="FX187" s="7"/>
      <c r="FY187" s="7"/>
      <c r="GA187" s="7"/>
      <c r="GB187" s="7"/>
      <c r="GD187" s="7"/>
      <c r="GE187" s="7"/>
      <c r="GG187" s="7"/>
      <c r="GH187" s="7"/>
      <c r="GJ187" s="7"/>
      <c r="GK187" s="7"/>
      <c r="GV187" s="7"/>
      <c r="GW187" s="7"/>
      <c r="HE187" s="7"/>
      <c r="HF187" s="7"/>
      <c r="HH187" s="7"/>
      <c r="HI187" s="7"/>
      <c r="HQ187" s="7"/>
      <c r="HR187" s="7"/>
      <c r="HT187" s="7"/>
      <c r="HU187" s="7"/>
      <c r="IC187" s="7"/>
      <c r="ID187" s="7"/>
      <c r="IF187" s="7"/>
      <c r="IG187" s="7"/>
      <c r="II187" s="7"/>
      <c r="IJ187" s="7"/>
      <c r="IK187" s="7"/>
      <c r="IL187" s="7"/>
      <c r="IM187" s="7"/>
      <c r="IN187" s="7"/>
      <c r="IP187" s="7"/>
      <c r="IQ187" s="7"/>
      <c r="IR187" s="7"/>
      <c r="IS187" s="7"/>
      <c r="IT187" s="7"/>
      <c r="IU187" s="7"/>
      <c r="IV187" s="7"/>
      <c r="IW187" s="7"/>
      <c r="IX187" s="7"/>
      <c r="IY187" s="7"/>
      <c r="IZ187" s="7"/>
      <c r="JA187" s="7"/>
      <c r="JB187" s="7"/>
      <c r="JC187" s="7"/>
      <c r="JE187" s="7"/>
      <c r="JF187" s="7"/>
      <c r="JH187" s="7"/>
      <c r="JI187" s="7"/>
      <c r="JJ187" s="7"/>
      <c r="JK187" s="7"/>
      <c r="JL187" s="7"/>
      <c r="JM187" s="7"/>
      <c r="JO187" s="7"/>
      <c r="JP187" s="7"/>
      <c r="JQ187" s="7"/>
      <c r="JR187" s="7"/>
      <c r="JT187" s="7"/>
      <c r="JU187" s="7"/>
      <c r="JV187" s="7"/>
      <c r="JW187" s="7"/>
      <c r="JX187" s="7"/>
    </row>
    <row r="188" spans="3:284" x14ac:dyDescent="0.3">
      <c r="C188" s="7"/>
      <c r="D188" s="7"/>
      <c r="F188" s="7"/>
      <c r="G188" s="7"/>
      <c r="I188" s="7"/>
      <c r="J188" s="7"/>
      <c r="L188" s="7"/>
      <c r="M188" s="7"/>
      <c r="O188" s="7"/>
      <c r="P188" s="7"/>
      <c r="R188" s="7"/>
      <c r="S188" s="7"/>
      <c r="U188" s="7"/>
      <c r="V188" s="7"/>
      <c r="X188" s="7"/>
      <c r="Y188" s="7"/>
      <c r="AA188" s="7"/>
      <c r="AB188" s="7"/>
      <c r="AD188" s="7"/>
      <c r="AE188" s="7"/>
      <c r="AG188" s="7"/>
      <c r="AH188" s="7"/>
      <c r="AJ188" s="7"/>
      <c r="AK188" s="7"/>
      <c r="AM188" s="7"/>
      <c r="AN188" s="7"/>
      <c r="AP188" s="7"/>
      <c r="AQ188" s="7"/>
      <c r="AS188" s="7"/>
      <c r="AT188" s="7"/>
      <c r="AV188" s="7"/>
      <c r="AW188" s="7"/>
      <c r="AY188" s="7"/>
      <c r="AZ188" s="7"/>
      <c r="BB188" s="7"/>
      <c r="BC188" s="7"/>
      <c r="BE188" s="7"/>
      <c r="BF188" s="7"/>
      <c r="BH188" s="7"/>
      <c r="BI188" s="7"/>
      <c r="BK188" s="7"/>
      <c r="BL188" s="7"/>
      <c r="BN188" s="7"/>
      <c r="BO188" s="7"/>
      <c r="BQ188" s="7"/>
      <c r="BR188" s="7"/>
      <c r="BT188" s="7"/>
      <c r="BU188" s="7"/>
      <c r="BW188" s="7"/>
      <c r="BX188" s="7"/>
      <c r="BZ188" s="7"/>
      <c r="CA188" s="7"/>
      <c r="CC188" s="7"/>
      <c r="CD188" s="7"/>
      <c r="CF188" s="7"/>
      <c r="CG188" s="7"/>
      <c r="CI188" s="7"/>
      <c r="CJ188" s="7"/>
      <c r="CL188" s="7"/>
      <c r="CM188" s="7"/>
      <c r="CO188" s="7"/>
      <c r="CP188" s="7"/>
      <c r="CR188" s="7"/>
      <c r="CS188" s="7"/>
      <c r="CU188" s="7"/>
      <c r="CV188" s="7"/>
      <c r="CX188" s="7"/>
      <c r="CY188" s="7"/>
      <c r="DA188" s="7"/>
      <c r="DB188" s="7"/>
      <c r="DD188" s="7"/>
      <c r="DE188" s="7"/>
      <c r="DG188" s="7"/>
      <c r="DH188" s="7"/>
      <c r="DJ188" s="7"/>
      <c r="DK188" s="7"/>
      <c r="DM188" s="7"/>
      <c r="DN188" s="7"/>
      <c r="DP188" s="7"/>
      <c r="DQ188" s="7"/>
      <c r="DS188" s="7"/>
      <c r="DT188" s="7"/>
      <c r="DV188" s="7"/>
      <c r="DW188" s="7"/>
      <c r="DY188" s="7"/>
      <c r="DZ188" s="7"/>
      <c r="EB188" s="7"/>
      <c r="EC188" s="7"/>
      <c r="EE188" s="7"/>
      <c r="EF188" s="7"/>
      <c r="EH188" s="7"/>
      <c r="EI188" s="7"/>
      <c r="EK188" s="7"/>
      <c r="EL188" s="7"/>
      <c r="EN188" s="7"/>
      <c r="EO188" s="7"/>
      <c r="EQ188" s="7"/>
      <c r="ER188" s="7"/>
      <c r="ET188" s="7"/>
      <c r="EU188" s="7"/>
      <c r="EW188" s="7"/>
      <c r="EX188" s="7"/>
      <c r="EZ188" s="7"/>
      <c r="FA188" s="7"/>
      <c r="FC188" s="7"/>
      <c r="FD188" s="7"/>
      <c r="FF188" s="7"/>
      <c r="FG188" s="7"/>
      <c r="FI188" s="7"/>
      <c r="FJ188" s="7"/>
      <c r="FL188" s="7"/>
      <c r="FM188" s="7"/>
      <c r="FO188" s="7"/>
      <c r="FP188" s="7"/>
      <c r="FR188" s="7"/>
      <c r="FS188" s="7"/>
      <c r="FU188" s="7"/>
      <c r="FV188" s="7"/>
      <c r="FX188" s="7"/>
      <c r="FY188" s="7"/>
      <c r="GA188" s="7"/>
      <c r="GB188" s="7"/>
      <c r="GD188" s="7"/>
      <c r="GE188" s="7"/>
      <c r="GG188" s="7"/>
      <c r="GH188" s="7"/>
      <c r="GJ188" s="7"/>
      <c r="GK188" s="7"/>
      <c r="GV188" s="7"/>
      <c r="GW188" s="7"/>
      <c r="HE188" s="7"/>
      <c r="HF188" s="7"/>
      <c r="HH188" s="7"/>
      <c r="HI188" s="7"/>
      <c r="HQ188" s="7"/>
      <c r="HR188" s="7"/>
      <c r="HT188" s="7"/>
      <c r="HU188" s="7"/>
      <c r="IC188" s="7"/>
      <c r="ID188" s="7"/>
      <c r="IF188" s="7"/>
      <c r="IG188" s="7"/>
      <c r="II188" s="7"/>
      <c r="IJ188" s="7"/>
      <c r="IK188" s="7"/>
      <c r="IL188" s="7"/>
      <c r="IM188" s="7"/>
      <c r="IN188" s="7"/>
      <c r="IP188" s="7"/>
      <c r="IQ188" s="7"/>
      <c r="IR188" s="7"/>
      <c r="IS188" s="7"/>
      <c r="IT188" s="7"/>
      <c r="IU188" s="7"/>
      <c r="IV188" s="7"/>
      <c r="IW188" s="7"/>
      <c r="IX188" s="7"/>
      <c r="IY188" s="7"/>
      <c r="IZ188" s="7"/>
      <c r="JA188" s="7"/>
      <c r="JB188" s="7"/>
      <c r="JC188" s="7"/>
      <c r="JE188" s="7"/>
      <c r="JF188" s="7"/>
      <c r="JH188" s="7"/>
      <c r="JI188" s="7"/>
      <c r="JJ188" s="7"/>
      <c r="JK188" s="7"/>
      <c r="JL188" s="7"/>
      <c r="JM188" s="7"/>
      <c r="JO188" s="7"/>
      <c r="JP188" s="7"/>
      <c r="JQ188" s="7"/>
      <c r="JR188" s="7"/>
      <c r="JT188" s="7"/>
      <c r="JU188" s="7"/>
      <c r="JV188" s="7"/>
      <c r="JW188" s="7"/>
      <c r="JX188" s="7"/>
    </row>
    <row r="189" spans="3:284" x14ac:dyDescent="0.3">
      <c r="C189" s="7"/>
      <c r="D189" s="7"/>
      <c r="F189" s="7"/>
      <c r="G189" s="7"/>
      <c r="I189" s="7"/>
      <c r="J189" s="7"/>
      <c r="L189" s="7"/>
      <c r="M189" s="7"/>
      <c r="O189" s="7"/>
      <c r="P189" s="7"/>
      <c r="R189" s="7"/>
      <c r="S189" s="7"/>
      <c r="U189" s="7"/>
      <c r="V189" s="7"/>
      <c r="X189" s="7"/>
      <c r="Y189" s="7"/>
      <c r="AA189" s="7"/>
      <c r="AB189" s="7"/>
      <c r="AD189" s="7"/>
      <c r="AE189" s="7"/>
      <c r="AG189" s="7"/>
      <c r="AH189" s="7"/>
      <c r="AJ189" s="7"/>
      <c r="AK189" s="7"/>
      <c r="AM189" s="7"/>
      <c r="AN189" s="7"/>
      <c r="AP189" s="7"/>
      <c r="AQ189" s="7"/>
      <c r="AS189" s="7"/>
      <c r="AT189" s="7"/>
      <c r="AV189" s="7"/>
      <c r="AW189" s="7"/>
      <c r="AY189" s="7"/>
      <c r="AZ189" s="7"/>
      <c r="BB189" s="7"/>
      <c r="BC189" s="7"/>
      <c r="BE189" s="7"/>
      <c r="BF189" s="7"/>
      <c r="BH189" s="7"/>
      <c r="BI189" s="7"/>
      <c r="BK189" s="7"/>
      <c r="BL189" s="7"/>
      <c r="BN189" s="7"/>
      <c r="BO189" s="7"/>
      <c r="BQ189" s="7"/>
      <c r="BR189" s="7"/>
      <c r="BT189" s="7"/>
      <c r="BU189" s="7"/>
      <c r="BW189" s="7"/>
      <c r="BX189" s="7"/>
      <c r="BZ189" s="7"/>
      <c r="CA189" s="7"/>
      <c r="CC189" s="7"/>
      <c r="CD189" s="7"/>
      <c r="CF189" s="7"/>
      <c r="CG189" s="7"/>
      <c r="CI189" s="7"/>
      <c r="CJ189" s="7"/>
      <c r="CL189" s="7"/>
      <c r="CM189" s="7"/>
      <c r="CO189" s="7"/>
      <c r="CP189" s="7"/>
      <c r="CR189" s="7"/>
      <c r="CS189" s="7"/>
      <c r="CU189" s="7"/>
      <c r="CV189" s="7"/>
      <c r="CX189" s="7"/>
      <c r="CY189" s="7"/>
      <c r="DA189" s="7"/>
      <c r="DB189" s="7"/>
      <c r="DD189" s="7"/>
      <c r="DE189" s="7"/>
      <c r="DG189" s="7"/>
      <c r="DH189" s="7"/>
      <c r="DJ189" s="7"/>
      <c r="DK189" s="7"/>
      <c r="DM189" s="7"/>
      <c r="DN189" s="7"/>
      <c r="DP189" s="7"/>
      <c r="DQ189" s="7"/>
      <c r="DS189" s="7"/>
      <c r="DT189" s="7"/>
      <c r="DV189" s="7"/>
      <c r="DW189" s="7"/>
      <c r="DY189" s="7"/>
      <c r="DZ189" s="7"/>
      <c r="EB189" s="7"/>
      <c r="EC189" s="7"/>
      <c r="EE189" s="7"/>
      <c r="EF189" s="7"/>
      <c r="EH189" s="7"/>
      <c r="EI189" s="7"/>
      <c r="EK189" s="7"/>
      <c r="EL189" s="7"/>
      <c r="EN189" s="7"/>
      <c r="EO189" s="7"/>
      <c r="EQ189" s="7"/>
      <c r="ER189" s="7"/>
      <c r="ET189" s="7"/>
      <c r="EU189" s="7"/>
      <c r="EW189" s="7"/>
      <c r="EX189" s="7"/>
      <c r="EZ189" s="7"/>
      <c r="FA189" s="7"/>
      <c r="FC189" s="7"/>
      <c r="FD189" s="7"/>
      <c r="FF189" s="7"/>
      <c r="FG189" s="7"/>
      <c r="FI189" s="7"/>
      <c r="FJ189" s="7"/>
      <c r="FL189" s="7"/>
      <c r="FM189" s="7"/>
      <c r="FO189" s="7"/>
      <c r="FP189" s="7"/>
      <c r="FR189" s="7"/>
      <c r="FS189" s="7"/>
      <c r="FU189" s="7"/>
      <c r="FV189" s="7"/>
      <c r="FX189" s="7"/>
      <c r="FY189" s="7"/>
      <c r="GA189" s="7"/>
      <c r="GB189" s="7"/>
      <c r="GD189" s="7"/>
      <c r="GE189" s="7"/>
      <c r="GG189" s="7"/>
      <c r="GH189" s="7"/>
      <c r="GJ189" s="7"/>
      <c r="GK189" s="7"/>
      <c r="GV189" s="7"/>
      <c r="GW189" s="7"/>
      <c r="HE189" s="7"/>
      <c r="HF189" s="7"/>
      <c r="HH189" s="7"/>
      <c r="HI189" s="7"/>
      <c r="HQ189" s="7"/>
      <c r="HR189" s="7"/>
      <c r="HT189" s="7"/>
      <c r="HU189" s="7"/>
      <c r="IC189" s="7"/>
      <c r="ID189" s="7"/>
      <c r="IF189" s="7"/>
      <c r="IG189" s="7"/>
      <c r="II189" s="7"/>
      <c r="IJ189" s="7"/>
      <c r="IK189" s="7"/>
      <c r="IL189" s="7"/>
      <c r="IM189" s="7"/>
      <c r="IN189" s="7"/>
      <c r="IP189" s="7"/>
      <c r="IQ189" s="7"/>
      <c r="IR189" s="7"/>
      <c r="IS189" s="7"/>
      <c r="IT189" s="7"/>
      <c r="IU189" s="7"/>
      <c r="IV189" s="7"/>
      <c r="IW189" s="7"/>
      <c r="IX189" s="7"/>
      <c r="IY189" s="7"/>
      <c r="IZ189" s="7"/>
      <c r="JA189" s="7"/>
      <c r="JB189" s="7"/>
      <c r="JC189" s="7"/>
      <c r="JE189" s="7"/>
      <c r="JF189" s="7"/>
      <c r="JH189" s="7"/>
      <c r="JI189" s="7"/>
      <c r="JJ189" s="7"/>
      <c r="JK189" s="7"/>
      <c r="JL189" s="7"/>
      <c r="JM189" s="7"/>
      <c r="JO189" s="7"/>
      <c r="JP189" s="7"/>
      <c r="JQ189" s="7"/>
      <c r="JR189" s="7"/>
      <c r="JT189" s="7"/>
      <c r="JU189" s="7"/>
      <c r="JV189" s="7"/>
      <c r="JW189" s="7"/>
      <c r="JX189" s="7"/>
    </row>
    <row r="190" spans="3:284" x14ac:dyDescent="0.3">
      <c r="C190" s="7"/>
      <c r="D190" s="7"/>
      <c r="F190" s="7"/>
      <c r="G190" s="7"/>
      <c r="I190" s="7"/>
      <c r="J190" s="7"/>
      <c r="L190" s="7"/>
      <c r="M190" s="7"/>
      <c r="O190" s="7"/>
      <c r="P190" s="7"/>
      <c r="R190" s="7"/>
      <c r="S190" s="7"/>
      <c r="U190" s="7"/>
      <c r="V190" s="7"/>
      <c r="X190" s="7"/>
      <c r="Y190" s="7"/>
      <c r="AA190" s="7"/>
      <c r="AB190" s="7"/>
      <c r="AD190" s="7"/>
      <c r="AE190" s="7"/>
      <c r="AG190" s="7"/>
      <c r="AH190" s="7"/>
      <c r="AJ190" s="7"/>
      <c r="AK190" s="7"/>
      <c r="AM190" s="7"/>
      <c r="AN190" s="7"/>
      <c r="AP190" s="7"/>
      <c r="AQ190" s="7"/>
      <c r="AS190" s="7"/>
      <c r="AT190" s="7"/>
      <c r="AV190" s="7"/>
      <c r="AW190" s="7"/>
      <c r="AY190" s="7"/>
      <c r="AZ190" s="7"/>
      <c r="BB190" s="7"/>
      <c r="BC190" s="7"/>
      <c r="BE190" s="7"/>
      <c r="BF190" s="7"/>
      <c r="BH190" s="7"/>
      <c r="BI190" s="7"/>
      <c r="BK190" s="7"/>
      <c r="BL190" s="7"/>
      <c r="BN190" s="7"/>
      <c r="BO190" s="7"/>
      <c r="BQ190" s="7"/>
      <c r="BR190" s="7"/>
      <c r="BT190" s="7"/>
      <c r="BU190" s="7"/>
      <c r="BW190" s="7"/>
      <c r="BX190" s="7"/>
      <c r="BZ190" s="7"/>
      <c r="CA190" s="7"/>
      <c r="CC190" s="7"/>
      <c r="CD190" s="7"/>
      <c r="CF190" s="7"/>
      <c r="CG190" s="7"/>
      <c r="CI190" s="7"/>
      <c r="CJ190" s="7"/>
      <c r="CL190" s="7"/>
      <c r="CM190" s="7"/>
      <c r="CO190" s="7"/>
      <c r="CP190" s="7"/>
      <c r="CR190" s="7"/>
      <c r="CS190" s="7"/>
      <c r="CU190" s="7"/>
      <c r="CV190" s="7"/>
      <c r="CX190" s="7"/>
      <c r="CY190" s="7"/>
      <c r="DA190" s="7"/>
      <c r="DB190" s="7"/>
      <c r="DD190" s="7"/>
      <c r="DE190" s="7"/>
      <c r="DG190" s="7"/>
      <c r="DH190" s="7"/>
      <c r="DJ190" s="7"/>
      <c r="DK190" s="7"/>
      <c r="DM190" s="7"/>
      <c r="DN190" s="7"/>
      <c r="DP190" s="7"/>
      <c r="DQ190" s="7"/>
      <c r="DS190" s="7"/>
      <c r="DT190" s="7"/>
      <c r="DV190" s="7"/>
      <c r="DW190" s="7"/>
      <c r="DY190" s="7"/>
      <c r="DZ190" s="7"/>
      <c r="EB190" s="7"/>
      <c r="EC190" s="7"/>
      <c r="EE190" s="7"/>
      <c r="EF190" s="7"/>
      <c r="EH190" s="7"/>
      <c r="EI190" s="7"/>
      <c r="EK190" s="7"/>
      <c r="EL190" s="7"/>
      <c r="EN190" s="7"/>
      <c r="EO190" s="7"/>
      <c r="EQ190" s="7"/>
      <c r="ER190" s="7"/>
      <c r="ET190" s="7"/>
      <c r="EU190" s="7"/>
      <c r="EW190" s="7"/>
      <c r="EX190" s="7"/>
      <c r="EZ190" s="7"/>
      <c r="FA190" s="7"/>
      <c r="FC190" s="7"/>
      <c r="FD190" s="7"/>
      <c r="FF190" s="7"/>
      <c r="FG190" s="7"/>
      <c r="FI190" s="7"/>
      <c r="FJ190" s="7"/>
      <c r="FL190" s="7"/>
      <c r="FM190" s="7"/>
      <c r="FO190" s="7"/>
      <c r="FP190" s="7"/>
      <c r="FR190" s="7"/>
      <c r="FS190" s="7"/>
      <c r="FU190" s="7"/>
      <c r="FV190" s="7"/>
      <c r="FX190" s="7"/>
      <c r="FY190" s="7"/>
      <c r="GA190" s="7"/>
      <c r="GB190" s="7"/>
      <c r="GD190" s="7"/>
      <c r="GE190" s="7"/>
      <c r="GG190" s="7"/>
      <c r="GH190" s="7"/>
      <c r="GJ190" s="7"/>
      <c r="GK190" s="7"/>
      <c r="GV190" s="7"/>
      <c r="GW190" s="7"/>
      <c r="HE190" s="7"/>
      <c r="HF190" s="7"/>
      <c r="HH190" s="7"/>
      <c r="HI190" s="7"/>
      <c r="HQ190" s="7"/>
      <c r="HR190" s="7"/>
      <c r="HT190" s="7"/>
      <c r="HU190" s="7"/>
      <c r="IC190" s="7"/>
      <c r="ID190" s="7"/>
      <c r="IF190" s="7"/>
      <c r="IG190" s="7"/>
      <c r="II190" s="7"/>
      <c r="IJ190" s="7"/>
      <c r="IK190" s="7"/>
      <c r="IL190" s="7"/>
      <c r="IM190" s="7"/>
      <c r="IN190" s="7"/>
      <c r="IP190" s="7"/>
      <c r="IQ190" s="7"/>
      <c r="IR190" s="7"/>
      <c r="IS190" s="7"/>
      <c r="IT190" s="7"/>
      <c r="IU190" s="7"/>
      <c r="IV190" s="7"/>
      <c r="IW190" s="7"/>
      <c r="IX190" s="7"/>
      <c r="IY190" s="7"/>
      <c r="IZ190" s="7"/>
      <c r="JA190" s="7"/>
      <c r="JB190" s="7"/>
      <c r="JC190" s="7"/>
      <c r="JE190" s="7"/>
      <c r="JF190" s="7"/>
      <c r="JH190" s="7"/>
      <c r="JI190" s="7"/>
      <c r="JJ190" s="7"/>
      <c r="JK190" s="7"/>
      <c r="JL190" s="7"/>
      <c r="JM190" s="7"/>
      <c r="JO190" s="7"/>
      <c r="JP190" s="7"/>
      <c r="JQ190" s="7"/>
      <c r="JR190" s="7"/>
      <c r="JT190" s="7"/>
      <c r="JU190" s="7"/>
      <c r="JV190" s="7"/>
      <c r="JW190" s="7"/>
      <c r="JX190" s="7"/>
    </row>
    <row r="191" spans="3:284" x14ac:dyDescent="0.3">
      <c r="C191" s="7"/>
      <c r="D191" s="7"/>
      <c r="F191" s="7"/>
      <c r="G191" s="7"/>
      <c r="I191" s="7"/>
      <c r="J191" s="7"/>
      <c r="L191" s="7"/>
      <c r="M191" s="7"/>
      <c r="O191" s="7"/>
      <c r="P191" s="7"/>
      <c r="R191" s="7"/>
      <c r="S191" s="7"/>
      <c r="U191" s="7"/>
      <c r="V191" s="7"/>
      <c r="X191" s="7"/>
      <c r="Y191" s="7"/>
      <c r="AA191" s="7"/>
      <c r="AB191" s="7"/>
      <c r="AD191" s="7"/>
      <c r="AE191" s="7"/>
      <c r="AG191" s="7"/>
      <c r="AH191" s="7"/>
      <c r="AJ191" s="7"/>
      <c r="AK191" s="7"/>
      <c r="AM191" s="7"/>
      <c r="AN191" s="7"/>
      <c r="AP191" s="7"/>
      <c r="AQ191" s="7"/>
      <c r="AS191" s="7"/>
      <c r="AT191" s="7"/>
      <c r="AV191" s="7"/>
      <c r="AW191" s="7"/>
      <c r="AY191" s="7"/>
      <c r="AZ191" s="7"/>
      <c r="BB191" s="7"/>
      <c r="BC191" s="7"/>
      <c r="BE191" s="7"/>
      <c r="BF191" s="7"/>
      <c r="BH191" s="7"/>
      <c r="BI191" s="7"/>
      <c r="BK191" s="7"/>
      <c r="BL191" s="7"/>
      <c r="BN191" s="7"/>
      <c r="BO191" s="7"/>
      <c r="BQ191" s="7"/>
      <c r="BR191" s="7"/>
      <c r="BT191" s="7"/>
      <c r="BU191" s="7"/>
      <c r="BW191" s="7"/>
      <c r="BX191" s="7"/>
      <c r="BZ191" s="7"/>
      <c r="CA191" s="7"/>
      <c r="CC191" s="7"/>
      <c r="CD191" s="7"/>
      <c r="CF191" s="7"/>
      <c r="CG191" s="7"/>
      <c r="CI191" s="7"/>
      <c r="CJ191" s="7"/>
      <c r="CL191" s="7"/>
      <c r="CM191" s="7"/>
      <c r="CO191" s="7"/>
      <c r="CP191" s="7"/>
      <c r="CR191" s="7"/>
      <c r="CS191" s="7"/>
      <c r="CU191" s="7"/>
      <c r="CV191" s="7"/>
      <c r="CX191" s="7"/>
      <c r="CY191" s="7"/>
      <c r="DA191" s="7"/>
      <c r="DB191" s="7"/>
      <c r="DD191" s="7"/>
      <c r="DE191" s="7"/>
      <c r="DG191" s="7"/>
      <c r="DH191" s="7"/>
      <c r="DJ191" s="7"/>
      <c r="DK191" s="7"/>
      <c r="DM191" s="7"/>
      <c r="DN191" s="7"/>
      <c r="DP191" s="7"/>
      <c r="DQ191" s="7"/>
      <c r="DS191" s="7"/>
      <c r="DT191" s="7"/>
      <c r="DV191" s="7"/>
      <c r="DW191" s="7"/>
      <c r="DY191" s="7"/>
      <c r="DZ191" s="7"/>
      <c r="EB191" s="7"/>
      <c r="EC191" s="7"/>
      <c r="EE191" s="7"/>
      <c r="EF191" s="7"/>
      <c r="EH191" s="7"/>
      <c r="EI191" s="7"/>
      <c r="EK191" s="7"/>
      <c r="EL191" s="7"/>
      <c r="EN191" s="7"/>
      <c r="EO191" s="7"/>
      <c r="EQ191" s="7"/>
      <c r="ER191" s="7"/>
      <c r="ET191" s="7"/>
      <c r="EU191" s="7"/>
      <c r="EW191" s="7"/>
      <c r="EX191" s="7"/>
      <c r="EZ191" s="7"/>
      <c r="FA191" s="7"/>
      <c r="FC191" s="7"/>
      <c r="FD191" s="7"/>
      <c r="FF191" s="7"/>
      <c r="FG191" s="7"/>
      <c r="FI191" s="7"/>
      <c r="FJ191" s="7"/>
      <c r="FL191" s="7"/>
      <c r="FM191" s="7"/>
      <c r="FO191" s="7"/>
      <c r="FP191" s="7"/>
      <c r="FR191" s="7"/>
      <c r="FS191" s="7"/>
      <c r="FU191" s="7"/>
      <c r="FV191" s="7"/>
      <c r="FX191" s="7"/>
      <c r="FY191" s="7"/>
      <c r="GA191" s="7"/>
      <c r="GB191" s="7"/>
      <c r="GD191" s="7"/>
      <c r="GE191" s="7"/>
      <c r="GG191" s="7"/>
      <c r="GH191" s="7"/>
      <c r="GJ191" s="7"/>
      <c r="GK191" s="7"/>
      <c r="GV191" s="7"/>
      <c r="GW191" s="7"/>
      <c r="HE191" s="7"/>
      <c r="HF191" s="7"/>
      <c r="HH191" s="7"/>
      <c r="HI191" s="7"/>
      <c r="HQ191" s="7"/>
      <c r="HR191" s="7"/>
      <c r="HT191" s="7"/>
      <c r="HU191" s="7"/>
      <c r="IC191" s="7"/>
      <c r="ID191" s="7"/>
      <c r="IF191" s="7"/>
      <c r="IG191" s="7"/>
      <c r="II191" s="7"/>
      <c r="IJ191" s="7"/>
      <c r="IK191" s="7"/>
      <c r="IL191" s="7"/>
      <c r="IM191" s="7"/>
      <c r="IN191" s="7"/>
      <c r="IP191" s="7"/>
      <c r="IQ191" s="7"/>
      <c r="IR191" s="7"/>
      <c r="IS191" s="7"/>
      <c r="IT191" s="7"/>
      <c r="IU191" s="7"/>
      <c r="IV191" s="7"/>
      <c r="IW191" s="7"/>
      <c r="IX191" s="7"/>
      <c r="IY191" s="7"/>
      <c r="IZ191" s="7"/>
      <c r="JA191" s="7"/>
      <c r="JB191" s="7"/>
      <c r="JC191" s="7"/>
      <c r="JE191" s="7"/>
      <c r="JF191" s="7"/>
      <c r="JH191" s="7"/>
      <c r="JI191" s="7"/>
      <c r="JJ191" s="7"/>
      <c r="JK191" s="7"/>
      <c r="JL191" s="7"/>
      <c r="JM191" s="7"/>
      <c r="JO191" s="7"/>
      <c r="JP191" s="7"/>
      <c r="JQ191" s="7"/>
      <c r="JR191" s="7"/>
      <c r="JT191" s="7"/>
      <c r="JU191" s="7"/>
      <c r="JV191" s="7"/>
      <c r="JW191" s="7"/>
      <c r="JX191" s="7"/>
    </row>
    <row r="192" spans="3:284" x14ac:dyDescent="0.3">
      <c r="C192" s="7"/>
      <c r="D192" s="7"/>
      <c r="F192" s="7"/>
      <c r="G192" s="7"/>
      <c r="I192" s="7"/>
      <c r="J192" s="7"/>
      <c r="L192" s="7"/>
      <c r="M192" s="7"/>
      <c r="O192" s="7"/>
      <c r="P192" s="7"/>
      <c r="R192" s="7"/>
      <c r="S192" s="7"/>
      <c r="U192" s="7"/>
      <c r="V192" s="7"/>
      <c r="X192" s="7"/>
      <c r="Y192" s="7"/>
      <c r="AA192" s="7"/>
      <c r="AB192" s="7"/>
      <c r="AD192" s="7"/>
      <c r="AE192" s="7"/>
      <c r="AG192" s="7"/>
      <c r="AH192" s="7"/>
      <c r="AJ192" s="7"/>
      <c r="AK192" s="7"/>
      <c r="AM192" s="7"/>
      <c r="AN192" s="7"/>
      <c r="AP192" s="7"/>
      <c r="AQ192" s="7"/>
      <c r="AS192" s="7"/>
      <c r="AT192" s="7"/>
      <c r="AV192" s="7"/>
      <c r="AW192" s="7"/>
      <c r="AY192" s="7"/>
      <c r="AZ192" s="7"/>
      <c r="BB192" s="7"/>
      <c r="BC192" s="7"/>
      <c r="BE192" s="7"/>
      <c r="BF192" s="7"/>
      <c r="BH192" s="7"/>
      <c r="BI192" s="7"/>
      <c r="BK192" s="7"/>
      <c r="BL192" s="7"/>
      <c r="BN192" s="7"/>
      <c r="BO192" s="7"/>
      <c r="BQ192" s="7"/>
      <c r="BR192" s="7"/>
      <c r="BT192" s="7"/>
      <c r="BU192" s="7"/>
      <c r="BW192" s="7"/>
      <c r="BX192" s="7"/>
      <c r="BZ192" s="7"/>
      <c r="CA192" s="7"/>
      <c r="CC192" s="7"/>
      <c r="CD192" s="7"/>
      <c r="CF192" s="7"/>
      <c r="CG192" s="7"/>
      <c r="CI192" s="7"/>
      <c r="CJ192" s="7"/>
      <c r="CL192" s="7"/>
      <c r="CM192" s="7"/>
      <c r="CO192" s="7"/>
      <c r="CP192" s="7"/>
      <c r="CR192" s="7"/>
      <c r="CS192" s="7"/>
      <c r="CU192" s="7"/>
      <c r="CV192" s="7"/>
      <c r="CX192" s="7"/>
      <c r="CY192" s="7"/>
      <c r="DA192" s="7"/>
      <c r="DB192" s="7"/>
      <c r="DD192" s="7"/>
      <c r="DE192" s="7"/>
      <c r="DG192" s="7"/>
      <c r="DH192" s="7"/>
      <c r="DJ192" s="7"/>
      <c r="DK192" s="7"/>
      <c r="DM192" s="7"/>
      <c r="DN192" s="7"/>
      <c r="DP192" s="7"/>
      <c r="DQ192" s="7"/>
      <c r="DS192" s="7"/>
      <c r="DT192" s="7"/>
      <c r="DV192" s="7"/>
      <c r="DW192" s="7"/>
      <c r="DY192" s="7"/>
      <c r="DZ192" s="7"/>
      <c r="EB192" s="7"/>
      <c r="EC192" s="7"/>
      <c r="EE192" s="7"/>
      <c r="EF192" s="7"/>
      <c r="EH192" s="7"/>
      <c r="EI192" s="7"/>
      <c r="EK192" s="7"/>
      <c r="EL192" s="7"/>
      <c r="EN192" s="7"/>
      <c r="EO192" s="7"/>
      <c r="EQ192" s="7"/>
      <c r="ER192" s="7"/>
      <c r="ET192" s="7"/>
      <c r="EU192" s="7"/>
      <c r="EW192" s="7"/>
      <c r="EX192" s="7"/>
      <c r="EZ192" s="7"/>
      <c r="FA192" s="7"/>
      <c r="FC192" s="7"/>
      <c r="FD192" s="7"/>
      <c r="FF192" s="7"/>
      <c r="FG192" s="7"/>
      <c r="FI192" s="7"/>
      <c r="FJ192" s="7"/>
      <c r="FL192" s="7"/>
      <c r="FM192" s="7"/>
      <c r="FO192" s="7"/>
      <c r="FP192" s="7"/>
      <c r="FR192" s="7"/>
      <c r="FS192" s="7"/>
      <c r="FU192" s="7"/>
      <c r="FV192" s="7"/>
      <c r="FX192" s="7"/>
      <c r="FY192" s="7"/>
      <c r="GA192" s="7"/>
      <c r="GB192" s="7"/>
      <c r="GD192" s="7"/>
      <c r="GE192" s="7"/>
      <c r="GG192" s="7"/>
      <c r="GH192" s="7"/>
      <c r="GJ192" s="7"/>
      <c r="GK192" s="7"/>
      <c r="GV192" s="7"/>
      <c r="GW192" s="7"/>
      <c r="HE192" s="7"/>
      <c r="HF192" s="7"/>
      <c r="HH192" s="7"/>
      <c r="HI192" s="7"/>
      <c r="HQ192" s="7"/>
      <c r="HR192" s="7"/>
      <c r="HT192" s="7"/>
      <c r="HU192" s="7"/>
      <c r="IC192" s="7"/>
      <c r="ID192" s="7"/>
      <c r="IF192" s="7"/>
      <c r="IG192" s="7"/>
      <c r="II192" s="7"/>
      <c r="IJ192" s="7"/>
      <c r="IK192" s="7"/>
      <c r="IL192" s="7"/>
      <c r="IM192" s="7"/>
      <c r="IN192" s="7"/>
      <c r="IP192" s="7"/>
      <c r="IQ192" s="7"/>
      <c r="IR192" s="7"/>
      <c r="IS192" s="7"/>
      <c r="IT192" s="7"/>
      <c r="IU192" s="7"/>
      <c r="IV192" s="7"/>
      <c r="IW192" s="7"/>
      <c r="IX192" s="7"/>
      <c r="IY192" s="7"/>
      <c r="IZ192" s="7"/>
      <c r="JA192" s="7"/>
      <c r="JB192" s="7"/>
      <c r="JC192" s="7"/>
      <c r="JE192" s="7"/>
      <c r="JF192" s="7"/>
      <c r="JH192" s="7"/>
      <c r="JI192" s="7"/>
      <c r="JJ192" s="7"/>
      <c r="JK192" s="7"/>
      <c r="JL192" s="7"/>
      <c r="JM192" s="7"/>
      <c r="JO192" s="7"/>
      <c r="JP192" s="7"/>
      <c r="JQ192" s="7"/>
      <c r="JR192" s="7"/>
      <c r="JT192" s="7"/>
      <c r="JU192" s="7"/>
      <c r="JV192" s="7"/>
      <c r="JW192" s="7"/>
      <c r="JX192" s="7"/>
    </row>
    <row r="193" spans="3:284" x14ac:dyDescent="0.3">
      <c r="C193" s="7"/>
      <c r="D193" s="7"/>
      <c r="F193" s="7"/>
      <c r="G193" s="7"/>
      <c r="I193" s="7"/>
      <c r="J193" s="7"/>
      <c r="L193" s="7"/>
      <c r="M193" s="7"/>
      <c r="O193" s="7"/>
      <c r="P193" s="7"/>
      <c r="R193" s="7"/>
      <c r="S193" s="7"/>
      <c r="U193" s="7"/>
      <c r="V193" s="7"/>
      <c r="X193" s="7"/>
      <c r="Y193" s="7"/>
      <c r="AA193" s="7"/>
      <c r="AB193" s="7"/>
      <c r="AD193" s="7"/>
      <c r="AE193" s="7"/>
      <c r="AG193" s="7"/>
      <c r="AH193" s="7"/>
      <c r="AJ193" s="7"/>
      <c r="AK193" s="7"/>
      <c r="AM193" s="7"/>
      <c r="AN193" s="7"/>
      <c r="AP193" s="7"/>
      <c r="AQ193" s="7"/>
      <c r="AS193" s="7"/>
      <c r="AT193" s="7"/>
      <c r="AV193" s="7"/>
      <c r="AW193" s="7"/>
      <c r="AY193" s="7"/>
      <c r="AZ193" s="7"/>
      <c r="BB193" s="7"/>
      <c r="BC193" s="7"/>
      <c r="BE193" s="7"/>
      <c r="BF193" s="7"/>
      <c r="BH193" s="7"/>
      <c r="BI193" s="7"/>
      <c r="BK193" s="7"/>
      <c r="BL193" s="7"/>
      <c r="BN193" s="7"/>
      <c r="BO193" s="7"/>
      <c r="BQ193" s="7"/>
      <c r="BR193" s="7"/>
      <c r="BT193" s="7"/>
      <c r="BU193" s="7"/>
      <c r="BW193" s="7"/>
      <c r="BX193" s="7"/>
      <c r="BZ193" s="7"/>
      <c r="CA193" s="7"/>
      <c r="CC193" s="7"/>
      <c r="CD193" s="7"/>
      <c r="CF193" s="7"/>
      <c r="CG193" s="7"/>
      <c r="CI193" s="7"/>
      <c r="CJ193" s="7"/>
      <c r="CL193" s="7"/>
      <c r="CM193" s="7"/>
      <c r="CO193" s="7"/>
      <c r="CP193" s="7"/>
      <c r="CR193" s="7"/>
      <c r="CS193" s="7"/>
      <c r="CU193" s="7"/>
      <c r="CV193" s="7"/>
      <c r="CX193" s="7"/>
      <c r="CY193" s="7"/>
      <c r="DA193" s="7"/>
      <c r="DB193" s="7"/>
      <c r="DD193" s="7"/>
      <c r="DE193" s="7"/>
      <c r="DG193" s="7"/>
      <c r="DH193" s="7"/>
      <c r="DJ193" s="7"/>
      <c r="DK193" s="7"/>
      <c r="DM193" s="7"/>
      <c r="DN193" s="7"/>
      <c r="DP193" s="7"/>
      <c r="DQ193" s="7"/>
      <c r="DS193" s="7"/>
      <c r="DT193" s="7"/>
      <c r="DV193" s="7"/>
      <c r="DW193" s="7"/>
      <c r="DY193" s="7"/>
      <c r="DZ193" s="7"/>
      <c r="EB193" s="7"/>
      <c r="EC193" s="7"/>
      <c r="EE193" s="7"/>
      <c r="EF193" s="7"/>
      <c r="EH193" s="7"/>
      <c r="EI193" s="7"/>
      <c r="EK193" s="7"/>
      <c r="EL193" s="7"/>
      <c r="EN193" s="7"/>
      <c r="EO193" s="7"/>
      <c r="EQ193" s="7"/>
      <c r="ER193" s="7"/>
      <c r="ET193" s="7"/>
      <c r="EU193" s="7"/>
      <c r="EW193" s="7"/>
      <c r="EX193" s="7"/>
      <c r="EZ193" s="7"/>
      <c r="FA193" s="7"/>
      <c r="FC193" s="7"/>
      <c r="FD193" s="7"/>
      <c r="FF193" s="7"/>
      <c r="FG193" s="7"/>
      <c r="FI193" s="7"/>
      <c r="FJ193" s="7"/>
      <c r="FL193" s="7"/>
      <c r="FM193" s="7"/>
      <c r="FO193" s="7"/>
      <c r="FP193" s="7"/>
      <c r="FR193" s="7"/>
      <c r="FS193" s="7"/>
      <c r="FU193" s="7"/>
      <c r="FV193" s="7"/>
      <c r="FX193" s="7"/>
      <c r="FY193" s="7"/>
      <c r="GA193" s="7"/>
      <c r="GB193" s="7"/>
      <c r="GD193" s="7"/>
      <c r="GE193" s="7"/>
      <c r="GG193" s="7"/>
      <c r="GH193" s="7"/>
      <c r="GJ193" s="7"/>
      <c r="GK193" s="7"/>
      <c r="GV193" s="7"/>
      <c r="GW193" s="7"/>
      <c r="HE193" s="7"/>
      <c r="HF193" s="7"/>
      <c r="HH193" s="7"/>
      <c r="HI193" s="7"/>
      <c r="HQ193" s="7"/>
      <c r="HR193" s="7"/>
      <c r="HT193" s="7"/>
      <c r="HU193" s="7"/>
      <c r="IC193" s="7"/>
      <c r="ID193" s="7"/>
      <c r="IF193" s="7"/>
      <c r="IG193" s="7"/>
      <c r="II193" s="7"/>
      <c r="IJ193" s="7"/>
      <c r="IK193" s="7"/>
      <c r="IL193" s="7"/>
      <c r="IM193" s="7"/>
      <c r="IN193" s="7"/>
      <c r="IP193" s="7"/>
      <c r="IQ193" s="7"/>
      <c r="IR193" s="7"/>
      <c r="IS193" s="7"/>
      <c r="IT193" s="7"/>
      <c r="IU193" s="7"/>
      <c r="IV193" s="7"/>
      <c r="IW193" s="7"/>
      <c r="IX193" s="7"/>
      <c r="IY193" s="7"/>
      <c r="IZ193" s="7"/>
      <c r="JA193" s="7"/>
      <c r="JB193" s="7"/>
      <c r="JC193" s="7"/>
      <c r="JE193" s="7"/>
      <c r="JF193" s="7"/>
      <c r="JH193" s="7"/>
      <c r="JI193" s="7"/>
      <c r="JJ193" s="7"/>
      <c r="JK193" s="7"/>
      <c r="JL193" s="7"/>
      <c r="JM193" s="7"/>
      <c r="JO193" s="7"/>
      <c r="JP193" s="7"/>
      <c r="JQ193" s="7"/>
      <c r="JR193" s="7"/>
      <c r="JT193" s="7"/>
      <c r="JU193" s="7"/>
      <c r="JV193" s="7"/>
      <c r="JW193" s="7"/>
      <c r="JX193" s="7"/>
    </row>
    <row r="194" spans="3:284" x14ac:dyDescent="0.3">
      <c r="C194" s="7"/>
      <c r="D194" s="7"/>
      <c r="F194" s="7"/>
      <c r="G194" s="7"/>
      <c r="I194" s="7"/>
      <c r="J194" s="7"/>
      <c r="L194" s="7"/>
      <c r="M194" s="7"/>
      <c r="O194" s="7"/>
      <c r="P194" s="7"/>
      <c r="R194" s="7"/>
      <c r="S194" s="7"/>
      <c r="U194" s="7"/>
      <c r="V194" s="7"/>
      <c r="X194" s="7"/>
      <c r="Y194" s="7"/>
      <c r="AA194" s="7"/>
      <c r="AB194" s="7"/>
      <c r="AD194" s="7"/>
      <c r="AE194" s="7"/>
      <c r="AG194" s="7"/>
      <c r="AH194" s="7"/>
      <c r="AJ194" s="7"/>
      <c r="AK194" s="7"/>
      <c r="AM194" s="7"/>
      <c r="AN194" s="7"/>
      <c r="AP194" s="7"/>
      <c r="AQ194" s="7"/>
      <c r="AS194" s="7"/>
      <c r="AT194" s="7"/>
      <c r="AV194" s="7"/>
      <c r="AW194" s="7"/>
      <c r="AY194" s="7"/>
      <c r="AZ194" s="7"/>
      <c r="BB194" s="7"/>
      <c r="BC194" s="7"/>
      <c r="BE194" s="7"/>
      <c r="BF194" s="7"/>
      <c r="BH194" s="7"/>
      <c r="BI194" s="7"/>
      <c r="BK194" s="7"/>
      <c r="BL194" s="7"/>
      <c r="BN194" s="7"/>
      <c r="BO194" s="7"/>
      <c r="BQ194" s="7"/>
      <c r="BR194" s="7"/>
      <c r="BT194" s="7"/>
      <c r="BU194" s="7"/>
      <c r="BW194" s="7"/>
      <c r="BX194" s="7"/>
      <c r="BZ194" s="7"/>
      <c r="CA194" s="7"/>
      <c r="CC194" s="7"/>
      <c r="CD194" s="7"/>
      <c r="CF194" s="7"/>
      <c r="CG194" s="7"/>
      <c r="CI194" s="7"/>
      <c r="CJ194" s="7"/>
      <c r="CL194" s="7"/>
      <c r="CM194" s="7"/>
      <c r="CO194" s="7"/>
      <c r="CP194" s="7"/>
      <c r="CR194" s="7"/>
      <c r="CS194" s="7"/>
      <c r="CU194" s="7"/>
      <c r="CV194" s="7"/>
      <c r="CX194" s="7"/>
      <c r="CY194" s="7"/>
      <c r="DA194" s="7"/>
      <c r="DB194" s="7"/>
      <c r="DD194" s="7"/>
      <c r="DE194" s="7"/>
      <c r="DG194" s="7"/>
      <c r="DH194" s="7"/>
      <c r="DJ194" s="7"/>
      <c r="DK194" s="7"/>
      <c r="DM194" s="7"/>
      <c r="DN194" s="7"/>
      <c r="DP194" s="7"/>
      <c r="DQ194" s="7"/>
      <c r="DS194" s="7"/>
      <c r="DT194" s="7"/>
      <c r="DV194" s="7"/>
      <c r="DW194" s="7"/>
      <c r="DY194" s="7"/>
      <c r="DZ194" s="7"/>
      <c r="EB194" s="7"/>
      <c r="EC194" s="7"/>
      <c r="EE194" s="7"/>
      <c r="EF194" s="7"/>
      <c r="EH194" s="7"/>
      <c r="EI194" s="7"/>
      <c r="EK194" s="7"/>
      <c r="EL194" s="7"/>
      <c r="EN194" s="7"/>
      <c r="EO194" s="7"/>
      <c r="EQ194" s="7"/>
      <c r="ER194" s="7"/>
      <c r="ET194" s="7"/>
      <c r="EU194" s="7"/>
      <c r="EW194" s="7"/>
      <c r="EX194" s="7"/>
      <c r="EZ194" s="7"/>
      <c r="FA194" s="7"/>
      <c r="FC194" s="7"/>
      <c r="FD194" s="7"/>
      <c r="FF194" s="7"/>
      <c r="FG194" s="7"/>
      <c r="FI194" s="7"/>
      <c r="FJ194" s="7"/>
      <c r="FL194" s="7"/>
      <c r="FM194" s="7"/>
      <c r="FO194" s="7"/>
      <c r="FP194" s="7"/>
      <c r="FR194" s="7"/>
      <c r="FS194" s="7"/>
      <c r="FU194" s="7"/>
      <c r="FV194" s="7"/>
      <c r="FX194" s="7"/>
      <c r="FY194" s="7"/>
      <c r="GA194" s="7"/>
      <c r="GB194" s="7"/>
      <c r="GD194" s="7"/>
      <c r="GE194" s="7"/>
      <c r="GG194" s="7"/>
      <c r="GH194" s="7"/>
      <c r="GJ194" s="7"/>
      <c r="GK194" s="7"/>
      <c r="GV194" s="7"/>
      <c r="GW194" s="7"/>
      <c r="HE194" s="7"/>
      <c r="HF194" s="7"/>
      <c r="HH194" s="7"/>
      <c r="HI194" s="7"/>
      <c r="HQ194" s="7"/>
      <c r="HR194" s="7"/>
      <c r="HT194" s="7"/>
      <c r="HU194" s="7"/>
      <c r="IC194" s="7"/>
      <c r="ID194" s="7"/>
      <c r="IF194" s="7"/>
      <c r="IG194" s="7"/>
      <c r="II194" s="7"/>
      <c r="IJ194" s="7"/>
      <c r="IK194" s="7"/>
      <c r="IL194" s="7"/>
      <c r="IM194" s="7"/>
      <c r="IN194" s="7"/>
      <c r="IP194" s="7"/>
      <c r="IQ194" s="7"/>
      <c r="IR194" s="7"/>
      <c r="IS194" s="7"/>
      <c r="IT194" s="7"/>
      <c r="IU194" s="7"/>
      <c r="IV194" s="7"/>
      <c r="IW194" s="7"/>
      <c r="IX194" s="7"/>
      <c r="IY194" s="7"/>
      <c r="IZ194" s="7"/>
      <c r="JA194" s="7"/>
      <c r="JB194" s="7"/>
      <c r="JC194" s="7"/>
      <c r="JE194" s="7"/>
      <c r="JF194" s="7"/>
      <c r="JH194" s="7"/>
      <c r="JI194" s="7"/>
      <c r="JJ194" s="7"/>
      <c r="JK194" s="7"/>
      <c r="JL194" s="7"/>
      <c r="JM194" s="7"/>
      <c r="JO194" s="7"/>
      <c r="JP194" s="7"/>
      <c r="JQ194" s="7"/>
      <c r="JR194" s="7"/>
      <c r="JT194" s="7"/>
      <c r="JU194" s="7"/>
      <c r="JV194" s="7"/>
      <c r="JW194" s="7"/>
      <c r="JX194" s="7"/>
    </row>
    <row r="195" spans="3:284" x14ac:dyDescent="0.3">
      <c r="C195" s="7"/>
      <c r="D195" s="7"/>
      <c r="F195" s="7"/>
      <c r="G195" s="7"/>
      <c r="I195" s="7"/>
      <c r="J195" s="7"/>
      <c r="L195" s="7"/>
      <c r="M195" s="7"/>
      <c r="O195" s="7"/>
      <c r="P195" s="7"/>
      <c r="R195" s="7"/>
      <c r="S195" s="7"/>
      <c r="U195" s="7"/>
      <c r="V195" s="7"/>
      <c r="X195" s="7"/>
      <c r="Y195" s="7"/>
      <c r="AA195" s="7"/>
      <c r="AB195" s="7"/>
      <c r="AD195" s="7"/>
      <c r="AE195" s="7"/>
      <c r="AG195" s="7"/>
      <c r="AH195" s="7"/>
      <c r="AJ195" s="7"/>
      <c r="AK195" s="7"/>
      <c r="AM195" s="7"/>
      <c r="AN195" s="7"/>
      <c r="AP195" s="7"/>
      <c r="AQ195" s="7"/>
      <c r="AS195" s="7"/>
      <c r="AT195" s="7"/>
      <c r="AV195" s="7"/>
      <c r="AW195" s="7"/>
      <c r="AY195" s="7"/>
      <c r="AZ195" s="7"/>
      <c r="BB195" s="7"/>
      <c r="BC195" s="7"/>
      <c r="BE195" s="7"/>
      <c r="BF195" s="7"/>
      <c r="BH195" s="7"/>
      <c r="BI195" s="7"/>
      <c r="BK195" s="7"/>
      <c r="BL195" s="7"/>
      <c r="BN195" s="7"/>
      <c r="BO195" s="7"/>
      <c r="BQ195" s="7"/>
      <c r="BR195" s="7"/>
      <c r="BT195" s="7"/>
      <c r="BU195" s="7"/>
      <c r="BW195" s="7"/>
      <c r="BX195" s="7"/>
      <c r="BZ195" s="7"/>
      <c r="CA195" s="7"/>
      <c r="CC195" s="7"/>
      <c r="CD195" s="7"/>
      <c r="CF195" s="7"/>
      <c r="CG195" s="7"/>
      <c r="CI195" s="7"/>
      <c r="CJ195" s="7"/>
      <c r="CL195" s="7"/>
      <c r="CM195" s="7"/>
      <c r="CO195" s="7"/>
      <c r="CP195" s="7"/>
      <c r="CR195" s="7"/>
      <c r="CS195" s="7"/>
      <c r="CU195" s="7"/>
      <c r="CV195" s="7"/>
      <c r="CX195" s="7"/>
      <c r="CY195" s="7"/>
      <c r="DA195" s="7"/>
      <c r="DB195" s="7"/>
      <c r="DD195" s="7"/>
      <c r="DE195" s="7"/>
      <c r="DG195" s="7"/>
      <c r="DH195" s="7"/>
      <c r="DJ195" s="7"/>
      <c r="DK195" s="7"/>
      <c r="DM195" s="7"/>
      <c r="DN195" s="7"/>
      <c r="DP195" s="7"/>
      <c r="DQ195" s="7"/>
      <c r="DS195" s="7"/>
      <c r="DT195" s="7"/>
      <c r="DV195" s="7"/>
      <c r="DW195" s="7"/>
      <c r="DY195" s="7"/>
      <c r="DZ195" s="7"/>
      <c r="EB195" s="7"/>
      <c r="EC195" s="7"/>
      <c r="EE195" s="7"/>
      <c r="EF195" s="7"/>
      <c r="EH195" s="7"/>
      <c r="EI195" s="7"/>
      <c r="EK195" s="7"/>
      <c r="EL195" s="7"/>
      <c r="EN195" s="7"/>
      <c r="EO195" s="7"/>
      <c r="EQ195" s="7"/>
      <c r="ER195" s="7"/>
      <c r="ET195" s="7"/>
      <c r="EU195" s="7"/>
      <c r="EW195" s="7"/>
      <c r="EX195" s="7"/>
      <c r="EZ195" s="7"/>
      <c r="FA195" s="7"/>
      <c r="FC195" s="7"/>
      <c r="FD195" s="7"/>
      <c r="FF195" s="7"/>
      <c r="FG195" s="7"/>
      <c r="FI195" s="7"/>
      <c r="FJ195" s="7"/>
      <c r="FL195" s="7"/>
      <c r="FM195" s="7"/>
      <c r="FO195" s="7"/>
      <c r="FP195" s="7"/>
      <c r="FR195" s="7"/>
      <c r="FS195" s="7"/>
      <c r="FU195" s="7"/>
      <c r="FV195" s="7"/>
      <c r="FX195" s="7"/>
      <c r="FY195" s="7"/>
      <c r="GA195" s="7"/>
      <c r="GB195" s="7"/>
      <c r="GD195" s="7"/>
      <c r="GE195" s="7"/>
      <c r="GG195" s="7"/>
      <c r="GH195" s="7"/>
      <c r="GJ195" s="7"/>
      <c r="GK195" s="7"/>
      <c r="GV195" s="7"/>
      <c r="GW195" s="7"/>
      <c r="HE195" s="7"/>
      <c r="HF195" s="7"/>
      <c r="HH195" s="7"/>
      <c r="HI195" s="7"/>
      <c r="HQ195" s="7"/>
      <c r="HR195" s="7"/>
      <c r="HT195" s="7"/>
      <c r="HU195" s="7"/>
      <c r="IC195" s="7"/>
      <c r="ID195" s="7"/>
      <c r="IF195" s="7"/>
      <c r="IG195" s="7"/>
      <c r="II195" s="7"/>
      <c r="IJ195" s="7"/>
      <c r="IK195" s="7"/>
      <c r="IL195" s="7"/>
      <c r="IM195" s="7"/>
      <c r="IN195" s="7"/>
      <c r="IP195" s="7"/>
      <c r="IQ195" s="7"/>
      <c r="IR195" s="7"/>
      <c r="IS195" s="7"/>
      <c r="IT195" s="7"/>
      <c r="IU195" s="7"/>
      <c r="IV195" s="7"/>
      <c r="IW195" s="7"/>
      <c r="IX195" s="7"/>
      <c r="IY195" s="7"/>
      <c r="IZ195" s="7"/>
      <c r="JA195" s="7"/>
      <c r="JB195" s="7"/>
      <c r="JC195" s="7"/>
      <c r="JE195" s="7"/>
      <c r="JF195" s="7"/>
      <c r="JH195" s="7"/>
      <c r="JI195" s="7"/>
      <c r="JJ195" s="7"/>
      <c r="JK195" s="7"/>
      <c r="JL195" s="7"/>
      <c r="JM195" s="7"/>
      <c r="JO195" s="7"/>
      <c r="JP195" s="7"/>
      <c r="JQ195" s="7"/>
      <c r="JR195" s="7"/>
      <c r="JT195" s="7"/>
      <c r="JU195" s="7"/>
      <c r="JV195" s="7"/>
      <c r="JW195" s="7"/>
      <c r="JX195" s="7"/>
    </row>
    <row r="196" spans="3:284" x14ac:dyDescent="0.3">
      <c r="C196" s="7"/>
      <c r="D196" s="7"/>
      <c r="F196" s="7"/>
      <c r="G196" s="7"/>
      <c r="I196" s="7"/>
      <c r="J196" s="7"/>
      <c r="L196" s="7"/>
      <c r="M196" s="7"/>
      <c r="O196" s="7"/>
      <c r="P196" s="7"/>
      <c r="R196" s="7"/>
      <c r="S196" s="7"/>
      <c r="U196" s="7"/>
      <c r="V196" s="7"/>
      <c r="X196" s="7"/>
      <c r="Y196" s="7"/>
      <c r="AA196" s="7"/>
      <c r="AB196" s="7"/>
      <c r="AD196" s="7"/>
      <c r="AE196" s="7"/>
      <c r="AG196" s="7"/>
      <c r="AH196" s="7"/>
      <c r="AJ196" s="7"/>
      <c r="AK196" s="7"/>
      <c r="AM196" s="7"/>
      <c r="AN196" s="7"/>
      <c r="AP196" s="7"/>
      <c r="AQ196" s="7"/>
      <c r="AS196" s="7"/>
      <c r="AT196" s="7"/>
      <c r="AV196" s="7"/>
      <c r="AW196" s="7"/>
      <c r="AY196" s="7"/>
      <c r="AZ196" s="7"/>
      <c r="BB196" s="7"/>
      <c r="BC196" s="7"/>
      <c r="BE196" s="7"/>
      <c r="BF196" s="7"/>
      <c r="BH196" s="7"/>
      <c r="BI196" s="7"/>
      <c r="BK196" s="7"/>
      <c r="BL196" s="7"/>
      <c r="BN196" s="7"/>
      <c r="BO196" s="7"/>
      <c r="BQ196" s="7"/>
      <c r="BR196" s="7"/>
      <c r="BT196" s="7"/>
      <c r="BU196" s="7"/>
      <c r="BW196" s="7"/>
      <c r="BX196" s="7"/>
      <c r="BZ196" s="7"/>
      <c r="CA196" s="7"/>
      <c r="CC196" s="7"/>
      <c r="CD196" s="7"/>
      <c r="CF196" s="7"/>
      <c r="CG196" s="7"/>
      <c r="CI196" s="7"/>
      <c r="CJ196" s="7"/>
      <c r="CL196" s="7"/>
      <c r="CM196" s="7"/>
      <c r="CO196" s="7"/>
      <c r="CP196" s="7"/>
      <c r="CR196" s="7"/>
      <c r="CS196" s="7"/>
      <c r="CU196" s="7"/>
      <c r="CV196" s="7"/>
      <c r="CX196" s="7"/>
      <c r="CY196" s="7"/>
      <c r="DA196" s="7"/>
      <c r="DB196" s="7"/>
      <c r="DD196" s="7"/>
      <c r="DE196" s="7"/>
      <c r="DG196" s="7"/>
      <c r="DH196" s="7"/>
      <c r="DJ196" s="7"/>
      <c r="DK196" s="7"/>
      <c r="DM196" s="7"/>
      <c r="DN196" s="7"/>
      <c r="DP196" s="7"/>
      <c r="DQ196" s="7"/>
      <c r="DS196" s="7"/>
      <c r="DT196" s="7"/>
      <c r="DV196" s="7"/>
      <c r="DW196" s="7"/>
      <c r="DY196" s="7"/>
      <c r="DZ196" s="7"/>
      <c r="EB196" s="7"/>
      <c r="EC196" s="7"/>
      <c r="EE196" s="7"/>
      <c r="EF196" s="7"/>
      <c r="EH196" s="7"/>
      <c r="EI196" s="7"/>
      <c r="EK196" s="7"/>
      <c r="EL196" s="7"/>
      <c r="EN196" s="7"/>
      <c r="EO196" s="7"/>
      <c r="EQ196" s="7"/>
      <c r="ER196" s="7"/>
      <c r="ET196" s="7"/>
      <c r="EU196" s="7"/>
      <c r="EW196" s="7"/>
      <c r="EX196" s="7"/>
      <c r="EZ196" s="7"/>
      <c r="FA196" s="7"/>
      <c r="FC196" s="7"/>
      <c r="FD196" s="7"/>
      <c r="FF196" s="7"/>
      <c r="FG196" s="7"/>
      <c r="FI196" s="7"/>
      <c r="FJ196" s="7"/>
      <c r="FL196" s="7"/>
      <c r="FM196" s="7"/>
      <c r="FO196" s="7"/>
      <c r="FP196" s="7"/>
      <c r="FR196" s="7"/>
      <c r="FS196" s="7"/>
      <c r="FU196" s="7"/>
      <c r="FV196" s="7"/>
      <c r="FX196" s="7"/>
      <c r="FY196" s="7"/>
      <c r="GA196" s="7"/>
      <c r="GB196" s="7"/>
      <c r="GD196" s="7"/>
      <c r="GE196" s="7"/>
      <c r="GG196" s="7"/>
      <c r="GH196" s="7"/>
      <c r="GJ196" s="7"/>
      <c r="GK196" s="7"/>
      <c r="GV196" s="7"/>
      <c r="GW196" s="7"/>
      <c r="HE196" s="7"/>
      <c r="HF196" s="7"/>
      <c r="HH196" s="7"/>
      <c r="HI196" s="7"/>
      <c r="HQ196" s="7"/>
      <c r="HR196" s="7"/>
      <c r="HT196" s="7"/>
      <c r="HU196" s="7"/>
      <c r="IC196" s="7"/>
      <c r="ID196" s="7"/>
      <c r="IF196" s="7"/>
      <c r="IG196" s="7"/>
      <c r="II196" s="7"/>
      <c r="IJ196" s="7"/>
      <c r="IK196" s="7"/>
      <c r="IL196" s="7"/>
      <c r="IM196" s="7"/>
      <c r="IN196" s="7"/>
      <c r="IP196" s="7"/>
      <c r="IQ196" s="7"/>
      <c r="IR196" s="7"/>
      <c r="IS196" s="7"/>
      <c r="IT196" s="7"/>
      <c r="IU196" s="7"/>
      <c r="IV196" s="7"/>
      <c r="IW196" s="7"/>
      <c r="IX196" s="7"/>
      <c r="IY196" s="7"/>
      <c r="IZ196" s="7"/>
      <c r="JA196" s="7"/>
      <c r="JB196" s="7"/>
      <c r="JC196" s="7"/>
      <c r="JE196" s="7"/>
      <c r="JF196" s="7"/>
      <c r="JH196" s="7"/>
      <c r="JI196" s="7"/>
      <c r="JJ196" s="7"/>
      <c r="JK196" s="7"/>
      <c r="JL196" s="7"/>
      <c r="JM196" s="7"/>
      <c r="JO196" s="7"/>
      <c r="JP196" s="7"/>
      <c r="JQ196" s="7"/>
      <c r="JR196" s="7"/>
      <c r="JT196" s="7"/>
      <c r="JU196" s="7"/>
      <c r="JV196" s="7"/>
      <c r="JW196" s="7"/>
      <c r="JX196" s="7"/>
    </row>
    <row r="197" spans="3:284" x14ac:dyDescent="0.3">
      <c r="C197" s="7"/>
      <c r="D197" s="7"/>
      <c r="F197" s="7"/>
      <c r="G197" s="7"/>
      <c r="I197" s="7"/>
      <c r="J197" s="7"/>
      <c r="L197" s="7"/>
      <c r="M197" s="7"/>
      <c r="O197" s="7"/>
      <c r="P197" s="7"/>
      <c r="R197" s="7"/>
      <c r="S197" s="7"/>
      <c r="U197" s="7"/>
      <c r="V197" s="7"/>
      <c r="X197" s="7"/>
      <c r="Y197" s="7"/>
      <c r="AA197" s="7"/>
      <c r="AB197" s="7"/>
      <c r="AD197" s="7"/>
      <c r="AE197" s="7"/>
      <c r="AG197" s="7"/>
      <c r="AH197" s="7"/>
      <c r="AJ197" s="7"/>
      <c r="AK197" s="7"/>
      <c r="AM197" s="7"/>
      <c r="AN197" s="7"/>
      <c r="AP197" s="7"/>
      <c r="AQ197" s="7"/>
      <c r="AS197" s="7"/>
      <c r="AT197" s="7"/>
      <c r="AV197" s="7"/>
      <c r="AW197" s="7"/>
      <c r="AY197" s="7"/>
      <c r="AZ197" s="7"/>
      <c r="BB197" s="7"/>
      <c r="BC197" s="7"/>
      <c r="BE197" s="7"/>
      <c r="BF197" s="7"/>
      <c r="BH197" s="7"/>
      <c r="BI197" s="7"/>
      <c r="BK197" s="7"/>
      <c r="BL197" s="7"/>
      <c r="BN197" s="7"/>
      <c r="BO197" s="7"/>
      <c r="BQ197" s="7"/>
      <c r="BR197" s="7"/>
      <c r="BT197" s="7"/>
      <c r="BU197" s="7"/>
      <c r="BW197" s="7"/>
      <c r="BX197" s="7"/>
      <c r="BZ197" s="7"/>
      <c r="CA197" s="7"/>
      <c r="CC197" s="7"/>
      <c r="CD197" s="7"/>
      <c r="CF197" s="7"/>
      <c r="CG197" s="7"/>
      <c r="CI197" s="7"/>
      <c r="CJ197" s="7"/>
      <c r="CL197" s="7"/>
      <c r="CM197" s="7"/>
      <c r="CO197" s="7"/>
      <c r="CP197" s="7"/>
      <c r="CR197" s="7"/>
      <c r="CS197" s="7"/>
      <c r="CU197" s="7"/>
      <c r="CV197" s="7"/>
      <c r="CX197" s="7"/>
      <c r="CY197" s="7"/>
      <c r="DA197" s="7"/>
      <c r="DB197" s="7"/>
      <c r="DD197" s="7"/>
      <c r="DE197" s="7"/>
      <c r="DG197" s="7"/>
      <c r="DH197" s="7"/>
      <c r="DJ197" s="7"/>
      <c r="DK197" s="7"/>
      <c r="DM197" s="7"/>
      <c r="DN197" s="7"/>
      <c r="DP197" s="7"/>
      <c r="DQ197" s="7"/>
      <c r="DS197" s="7"/>
      <c r="DT197" s="7"/>
      <c r="DV197" s="7"/>
      <c r="DW197" s="7"/>
      <c r="DY197" s="7"/>
      <c r="DZ197" s="7"/>
      <c r="EB197" s="7"/>
      <c r="EC197" s="7"/>
      <c r="EE197" s="7"/>
      <c r="EF197" s="7"/>
      <c r="EH197" s="7"/>
      <c r="EI197" s="7"/>
      <c r="EK197" s="7"/>
      <c r="EL197" s="7"/>
      <c r="EN197" s="7"/>
      <c r="EO197" s="7"/>
      <c r="EQ197" s="7"/>
      <c r="ER197" s="7"/>
      <c r="ET197" s="7"/>
      <c r="EU197" s="7"/>
      <c r="EW197" s="7"/>
      <c r="EX197" s="7"/>
      <c r="EZ197" s="7"/>
      <c r="FA197" s="7"/>
      <c r="FC197" s="7"/>
      <c r="FD197" s="7"/>
      <c r="FF197" s="7"/>
      <c r="FG197" s="7"/>
      <c r="FI197" s="7"/>
      <c r="FJ197" s="7"/>
      <c r="FL197" s="7"/>
      <c r="FM197" s="7"/>
      <c r="FO197" s="7"/>
      <c r="FP197" s="7"/>
      <c r="FR197" s="7"/>
      <c r="FS197" s="7"/>
      <c r="FU197" s="7"/>
      <c r="FV197" s="7"/>
      <c r="FX197" s="7"/>
      <c r="FY197" s="7"/>
      <c r="GA197" s="7"/>
      <c r="GB197" s="7"/>
      <c r="GD197" s="7"/>
      <c r="GE197" s="7"/>
      <c r="GG197" s="7"/>
      <c r="GH197" s="7"/>
      <c r="GJ197" s="7"/>
      <c r="GK197" s="7"/>
      <c r="GV197" s="7"/>
      <c r="GW197" s="7"/>
      <c r="HE197" s="7"/>
      <c r="HF197" s="7"/>
      <c r="HH197" s="7"/>
      <c r="HI197" s="7"/>
      <c r="HQ197" s="7"/>
      <c r="HR197" s="7"/>
      <c r="HT197" s="7"/>
      <c r="HU197" s="7"/>
      <c r="IC197" s="7"/>
      <c r="ID197" s="7"/>
      <c r="IF197" s="7"/>
      <c r="IG197" s="7"/>
      <c r="II197" s="7"/>
      <c r="IJ197" s="7"/>
      <c r="IK197" s="7"/>
      <c r="IL197" s="7"/>
      <c r="IM197" s="7"/>
      <c r="IN197" s="7"/>
      <c r="IP197" s="7"/>
      <c r="IQ197" s="7"/>
      <c r="IR197" s="7"/>
      <c r="IS197" s="7"/>
      <c r="IT197" s="7"/>
      <c r="IU197" s="7"/>
      <c r="IV197" s="7"/>
      <c r="IW197" s="7"/>
      <c r="IX197" s="7"/>
      <c r="IY197" s="7"/>
      <c r="IZ197" s="7"/>
      <c r="JA197" s="7"/>
      <c r="JB197" s="7"/>
      <c r="JC197" s="7"/>
      <c r="JE197" s="7"/>
      <c r="JF197" s="7"/>
      <c r="JH197" s="7"/>
      <c r="JI197" s="7"/>
      <c r="JJ197" s="7"/>
      <c r="JK197" s="7"/>
      <c r="JL197" s="7"/>
      <c r="JM197" s="7"/>
      <c r="JO197" s="7"/>
      <c r="JP197" s="7"/>
      <c r="JQ197" s="7"/>
      <c r="JR197" s="7"/>
      <c r="JT197" s="7"/>
      <c r="JU197" s="7"/>
      <c r="JV197" s="7"/>
      <c r="JW197" s="7"/>
      <c r="JX197" s="7"/>
    </row>
    <row r="198" spans="3:284" x14ac:dyDescent="0.3">
      <c r="C198" s="7"/>
      <c r="D198" s="7"/>
      <c r="F198" s="7"/>
      <c r="G198" s="7"/>
      <c r="I198" s="7"/>
      <c r="J198" s="7"/>
      <c r="L198" s="7"/>
      <c r="M198" s="7"/>
      <c r="O198" s="7"/>
      <c r="P198" s="7"/>
      <c r="R198" s="7"/>
      <c r="S198" s="7"/>
      <c r="U198" s="7"/>
      <c r="V198" s="7"/>
      <c r="X198" s="7"/>
      <c r="Y198" s="7"/>
      <c r="AA198" s="7"/>
      <c r="AB198" s="7"/>
      <c r="AD198" s="7"/>
      <c r="AE198" s="7"/>
      <c r="AG198" s="7"/>
      <c r="AH198" s="7"/>
      <c r="AJ198" s="7"/>
      <c r="AK198" s="7"/>
      <c r="AM198" s="7"/>
      <c r="AN198" s="7"/>
      <c r="AP198" s="7"/>
      <c r="AQ198" s="7"/>
      <c r="AS198" s="7"/>
      <c r="AT198" s="7"/>
      <c r="AV198" s="7"/>
      <c r="AW198" s="7"/>
      <c r="AY198" s="7"/>
      <c r="AZ198" s="7"/>
      <c r="BB198" s="7"/>
      <c r="BC198" s="7"/>
      <c r="BE198" s="7"/>
      <c r="BF198" s="7"/>
      <c r="BH198" s="7"/>
      <c r="BI198" s="7"/>
      <c r="BK198" s="7"/>
      <c r="BL198" s="7"/>
      <c r="BN198" s="7"/>
      <c r="BO198" s="7"/>
      <c r="BQ198" s="7"/>
      <c r="BR198" s="7"/>
      <c r="BT198" s="7"/>
      <c r="BU198" s="7"/>
      <c r="BW198" s="7"/>
      <c r="BX198" s="7"/>
      <c r="BZ198" s="7"/>
      <c r="CA198" s="7"/>
      <c r="CC198" s="7"/>
      <c r="CD198" s="7"/>
      <c r="CF198" s="7"/>
      <c r="CG198" s="7"/>
      <c r="CI198" s="7"/>
      <c r="CJ198" s="7"/>
      <c r="CL198" s="7"/>
      <c r="CM198" s="7"/>
      <c r="CO198" s="7"/>
      <c r="CP198" s="7"/>
      <c r="CR198" s="7"/>
      <c r="CS198" s="7"/>
      <c r="CU198" s="7"/>
      <c r="CV198" s="7"/>
      <c r="CX198" s="7"/>
      <c r="CY198" s="7"/>
      <c r="DA198" s="7"/>
      <c r="DB198" s="7"/>
      <c r="DD198" s="7"/>
      <c r="DE198" s="7"/>
      <c r="DG198" s="7"/>
      <c r="DH198" s="7"/>
      <c r="DJ198" s="7"/>
      <c r="DK198" s="7"/>
      <c r="DM198" s="7"/>
      <c r="DN198" s="7"/>
      <c r="DP198" s="7"/>
      <c r="DQ198" s="7"/>
      <c r="DS198" s="7"/>
      <c r="DT198" s="7"/>
      <c r="DV198" s="7"/>
      <c r="DW198" s="7"/>
      <c r="DY198" s="7"/>
      <c r="DZ198" s="7"/>
      <c r="EB198" s="7"/>
      <c r="EC198" s="7"/>
      <c r="EE198" s="7"/>
      <c r="EF198" s="7"/>
      <c r="EH198" s="7"/>
      <c r="EI198" s="7"/>
      <c r="EK198" s="7"/>
      <c r="EL198" s="7"/>
      <c r="EN198" s="7"/>
      <c r="EO198" s="7"/>
      <c r="EQ198" s="7"/>
      <c r="ER198" s="7"/>
      <c r="ET198" s="7"/>
      <c r="EU198" s="7"/>
      <c r="EW198" s="7"/>
      <c r="EX198" s="7"/>
      <c r="EZ198" s="7"/>
      <c r="FA198" s="7"/>
      <c r="FC198" s="7"/>
      <c r="FD198" s="7"/>
      <c r="FF198" s="7"/>
      <c r="FG198" s="7"/>
      <c r="FI198" s="7"/>
      <c r="FJ198" s="7"/>
      <c r="FL198" s="7"/>
      <c r="FM198" s="7"/>
      <c r="FO198" s="7"/>
      <c r="FP198" s="7"/>
      <c r="FR198" s="7"/>
      <c r="FS198" s="7"/>
      <c r="FU198" s="7"/>
      <c r="FV198" s="7"/>
      <c r="FX198" s="7"/>
      <c r="FY198" s="7"/>
      <c r="GA198" s="7"/>
      <c r="GB198" s="7"/>
      <c r="GD198" s="7"/>
      <c r="GE198" s="7"/>
      <c r="GG198" s="7"/>
      <c r="GH198" s="7"/>
      <c r="GJ198" s="7"/>
      <c r="GK198" s="7"/>
      <c r="GV198" s="7"/>
      <c r="GW198" s="7"/>
      <c r="HE198" s="7"/>
      <c r="HF198" s="7"/>
      <c r="HH198" s="7"/>
      <c r="HI198" s="7"/>
      <c r="HQ198" s="7"/>
      <c r="HR198" s="7"/>
      <c r="HT198" s="7"/>
      <c r="HU198" s="7"/>
      <c r="IC198" s="7"/>
      <c r="ID198" s="7"/>
      <c r="IF198" s="7"/>
      <c r="IG198" s="7"/>
      <c r="II198" s="7"/>
      <c r="IJ198" s="7"/>
      <c r="IK198" s="7"/>
      <c r="IL198" s="7"/>
      <c r="IM198" s="7"/>
      <c r="IN198" s="7"/>
      <c r="IP198" s="7"/>
      <c r="IQ198" s="7"/>
      <c r="IR198" s="7"/>
      <c r="IS198" s="7"/>
      <c r="IT198" s="7"/>
      <c r="IU198" s="7"/>
      <c r="IV198" s="7"/>
      <c r="IW198" s="7"/>
      <c r="IX198" s="7"/>
      <c r="IY198" s="7"/>
      <c r="IZ198" s="7"/>
      <c r="JA198" s="7"/>
      <c r="JB198" s="7"/>
      <c r="JC198" s="7"/>
      <c r="JE198" s="7"/>
      <c r="JF198" s="7"/>
      <c r="JH198" s="7"/>
      <c r="JI198" s="7"/>
      <c r="JJ198" s="7"/>
      <c r="JK198" s="7"/>
      <c r="JL198" s="7"/>
      <c r="JM198" s="7"/>
      <c r="JO198" s="7"/>
      <c r="JP198" s="7"/>
      <c r="JQ198" s="7"/>
      <c r="JR198" s="7"/>
      <c r="JT198" s="7"/>
      <c r="JU198" s="7"/>
      <c r="JV198" s="7"/>
      <c r="JW198" s="7"/>
      <c r="JX198" s="7"/>
    </row>
    <row r="199" spans="3:284" x14ac:dyDescent="0.3">
      <c r="C199" s="7"/>
      <c r="D199" s="7"/>
      <c r="F199" s="7"/>
      <c r="G199" s="7"/>
      <c r="I199" s="7"/>
      <c r="J199" s="7"/>
      <c r="L199" s="7"/>
      <c r="M199" s="7"/>
      <c r="O199" s="7"/>
      <c r="P199" s="7"/>
      <c r="R199" s="7"/>
      <c r="S199" s="7"/>
      <c r="U199" s="7"/>
      <c r="V199" s="7"/>
      <c r="X199" s="7"/>
      <c r="Y199" s="7"/>
      <c r="AA199" s="7"/>
      <c r="AB199" s="7"/>
      <c r="AD199" s="7"/>
      <c r="AE199" s="7"/>
      <c r="AG199" s="7"/>
      <c r="AH199" s="7"/>
      <c r="AJ199" s="7"/>
      <c r="AK199" s="7"/>
      <c r="AM199" s="7"/>
      <c r="AN199" s="7"/>
      <c r="AP199" s="7"/>
      <c r="AQ199" s="7"/>
      <c r="AS199" s="7"/>
      <c r="AT199" s="7"/>
      <c r="AV199" s="7"/>
      <c r="AW199" s="7"/>
      <c r="AY199" s="7"/>
      <c r="AZ199" s="7"/>
      <c r="BB199" s="7"/>
      <c r="BC199" s="7"/>
      <c r="BE199" s="7"/>
      <c r="BF199" s="7"/>
      <c r="BH199" s="7"/>
      <c r="BI199" s="7"/>
      <c r="BK199" s="7"/>
      <c r="BL199" s="7"/>
      <c r="BN199" s="7"/>
      <c r="BO199" s="7"/>
      <c r="BQ199" s="7"/>
      <c r="BR199" s="7"/>
      <c r="BT199" s="7"/>
      <c r="BU199" s="7"/>
      <c r="BW199" s="7"/>
      <c r="BX199" s="7"/>
      <c r="BZ199" s="7"/>
      <c r="CA199" s="7"/>
      <c r="CC199" s="7"/>
      <c r="CD199" s="7"/>
      <c r="CF199" s="7"/>
      <c r="CG199" s="7"/>
      <c r="CI199" s="7"/>
      <c r="CJ199" s="7"/>
      <c r="CL199" s="7"/>
      <c r="CM199" s="7"/>
      <c r="CO199" s="7"/>
      <c r="CP199" s="7"/>
      <c r="CR199" s="7"/>
      <c r="CS199" s="7"/>
      <c r="CU199" s="7"/>
      <c r="CV199" s="7"/>
      <c r="CX199" s="7"/>
      <c r="CY199" s="7"/>
      <c r="DA199" s="7"/>
      <c r="DB199" s="7"/>
      <c r="DD199" s="7"/>
      <c r="DE199" s="7"/>
      <c r="DG199" s="7"/>
      <c r="DH199" s="7"/>
      <c r="DJ199" s="7"/>
      <c r="DK199" s="7"/>
      <c r="DM199" s="7"/>
      <c r="DN199" s="7"/>
      <c r="DP199" s="7"/>
      <c r="DQ199" s="7"/>
      <c r="DS199" s="7"/>
      <c r="DT199" s="7"/>
      <c r="DV199" s="7"/>
      <c r="DW199" s="7"/>
      <c r="DY199" s="7"/>
      <c r="DZ199" s="7"/>
      <c r="EB199" s="7"/>
      <c r="EC199" s="7"/>
      <c r="EE199" s="7"/>
      <c r="EF199" s="7"/>
      <c r="EH199" s="7"/>
      <c r="EI199" s="7"/>
      <c r="EK199" s="7"/>
      <c r="EL199" s="7"/>
      <c r="EN199" s="7"/>
      <c r="EO199" s="7"/>
      <c r="EQ199" s="7"/>
      <c r="ER199" s="7"/>
      <c r="ET199" s="7"/>
      <c r="EU199" s="7"/>
      <c r="EW199" s="7"/>
      <c r="EX199" s="7"/>
      <c r="EZ199" s="7"/>
      <c r="FA199" s="7"/>
      <c r="FC199" s="7"/>
      <c r="FD199" s="7"/>
      <c r="FF199" s="7"/>
      <c r="FG199" s="7"/>
      <c r="FI199" s="7"/>
      <c r="FJ199" s="7"/>
      <c r="FL199" s="7"/>
      <c r="FM199" s="7"/>
      <c r="FO199" s="7"/>
      <c r="FP199" s="7"/>
      <c r="FR199" s="7"/>
      <c r="FS199" s="7"/>
      <c r="FU199" s="7"/>
      <c r="FV199" s="7"/>
      <c r="FX199" s="7"/>
      <c r="FY199" s="7"/>
      <c r="GA199" s="7"/>
      <c r="GB199" s="7"/>
      <c r="GD199" s="7"/>
      <c r="GE199" s="7"/>
      <c r="GG199" s="7"/>
      <c r="GH199" s="7"/>
      <c r="GJ199" s="7"/>
      <c r="GK199" s="7"/>
      <c r="GV199" s="7"/>
      <c r="GW199" s="7"/>
      <c r="HE199" s="7"/>
      <c r="HF199" s="7"/>
      <c r="HH199" s="7"/>
      <c r="HI199" s="7"/>
      <c r="HQ199" s="7"/>
      <c r="HR199" s="7"/>
      <c r="HT199" s="7"/>
      <c r="HU199" s="7"/>
      <c r="IC199" s="7"/>
      <c r="ID199" s="7"/>
      <c r="IF199" s="7"/>
      <c r="IG199" s="7"/>
      <c r="II199" s="7"/>
      <c r="IJ199" s="7"/>
      <c r="IK199" s="7"/>
      <c r="IL199" s="7"/>
      <c r="IM199" s="7"/>
      <c r="IN199" s="7"/>
      <c r="IP199" s="7"/>
      <c r="IQ199" s="7"/>
      <c r="IR199" s="7"/>
      <c r="IS199" s="7"/>
      <c r="IT199" s="7"/>
      <c r="IU199" s="7"/>
      <c r="IV199" s="7"/>
      <c r="IW199" s="7"/>
      <c r="IX199" s="7"/>
      <c r="IY199" s="7"/>
      <c r="IZ199" s="7"/>
      <c r="JA199" s="7"/>
      <c r="JB199" s="7"/>
      <c r="JC199" s="7"/>
      <c r="JE199" s="7"/>
      <c r="JF199" s="7"/>
      <c r="JH199" s="7"/>
      <c r="JI199" s="7"/>
      <c r="JJ199" s="7"/>
      <c r="JK199" s="7"/>
      <c r="JL199" s="7"/>
      <c r="JM199" s="7"/>
      <c r="JO199" s="7"/>
      <c r="JP199" s="7"/>
      <c r="JQ199" s="7"/>
      <c r="JR199" s="7"/>
      <c r="JT199" s="7"/>
      <c r="JU199" s="7"/>
      <c r="JV199" s="7"/>
      <c r="JW199" s="7"/>
      <c r="JX199" s="7"/>
    </row>
    <row r="200" spans="3:284" x14ac:dyDescent="0.3">
      <c r="C200" s="7"/>
      <c r="D200" s="7"/>
      <c r="F200" s="7"/>
      <c r="G200" s="7"/>
      <c r="I200" s="7"/>
      <c r="J200" s="7"/>
      <c r="L200" s="7"/>
      <c r="M200" s="7"/>
      <c r="O200" s="7"/>
      <c r="P200" s="7"/>
      <c r="R200" s="7"/>
      <c r="S200" s="7"/>
      <c r="U200" s="7"/>
      <c r="V200" s="7"/>
      <c r="X200" s="7"/>
      <c r="Y200" s="7"/>
      <c r="AA200" s="7"/>
      <c r="AB200" s="7"/>
      <c r="AD200" s="7"/>
      <c r="AE200" s="7"/>
      <c r="AG200" s="7"/>
      <c r="AH200" s="7"/>
      <c r="AJ200" s="7"/>
      <c r="AK200" s="7"/>
      <c r="AM200" s="7"/>
      <c r="AN200" s="7"/>
      <c r="AP200" s="7"/>
      <c r="AQ200" s="7"/>
      <c r="AS200" s="7"/>
      <c r="AT200" s="7"/>
      <c r="AV200" s="7"/>
      <c r="AW200" s="7"/>
      <c r="AY200" s="7"/>
      <c r="AZ200" s="7"/>
      <c r="BB200" s="7"/>
      <c r="BC200" s="7"/>
      <c r="BE200" s="7"/>
      <c r="BF200" s="7"/>
      <c r="BH200" s="7"/>
      <c r="BI200" s="7"/>
      <c r="BK200" s="7"/>
      <c r="BL200" s="7"/>
      <c r="BN200" s="7"/>
      <c r="BO200" s="7"/>
      <c r="BQ200" s="7"/>
      <c r="BR200" s="7"/>
      <c r="BT200" s="7"/>
      <c r="BU200" s="7"/>
      <c r="BW200" s="7"/>
      <c r="BX200" s="7"/>
      <c r="BZ200" s="7"/>
      <c r="CA200" s="7"/>
      <c r="CC200" s="7"/>
      <c r="CD200" s="7"/>
      <c r="CF200" s="7"/>
      <c r="CG200" s="7"/>
      <c r="CI200" s="7"/>
      <c r="CJ200" s="7"/>
      <c r="CL200" s="7"/>
      <c r="CM200" s="7"/>
      <c r="CO200" s="7"/>
      <c r="CP200" s="7"/>
      <c r="CR200" s="7"/>
      <c r="CS200" s="7"/>
      <c r="CU200" s="7"/>
      <c r="CV200" s="7"/>
      <c r="CX200" s="7"/>
      <c r="CY200" s="7"/>
      <c r="DA200" s="7"/>
      <c r="DB200" s="7"/>
      <c r="DD200" s="7"/>
      <c r="DE200" s="7"/>
      <c r="DG200" s="7"/>
      <c r="DH200" s="7"/>
      <c r="DJ200" s="7"/>
      <c r="DK200" s="7"/>
      <c r="DM200" s="7"/>
      <c r="DN200" s="7"/>
      <c r="DP200" s="7"/>
      <c r="DQ200" s="7"/>
      <c r="DS200" s="7"/>
      <c r="DT200" s="7"/>
      <c r="DV200" s="7"/>
      <c r="DW200" s="7"/>
      <c r="DY200" s="7"/>
      <c r="DZ200" s="7"/>
      <c r="EB200" s="7"/>
      <c r="EC200" s="7"/>
      <c r="EE200" s="7"/>
      <c r="EF200" s="7"/>
      <c r="EH200" s="7"/>
      <c r="EI200" s="7"/>
      <c r="EK200" s="7"/>
      <c r="EL200" s="7"/>
      <c r="EN200" s="7"/>
      <c r="EO200" s="7"/>
      <c r="EQ200" s="7"/>
      <c r="ER200" s="7"/>
      <c r="ET200" s="7"/>
      <c r="EU200" s="7"/>
      <c r="EW200" s="7"/>
      <c r="EX200" s="7"/>
      <c r="EZ200" s="7"/>
      <c r="FA200" s="7"/>
      <c r="FC200" s="7"/>
      <c r="FD200" s="7"/>
      <c r="FF200" s="7"/>
      <c r="FG200" s="7"/>
      <c r="FI200" s="7"/>
      <c r="FJ200" s="7"/>
      <c r="FL200" s="7"/>
      <c r="FM200" s="7"/>
      <c r="FO200" s="7"/>
      <c r="FP200" s="7"/>
      <c r="FR200" s="7"/>
      <c r="FS200" s="7"/>
      <c r="FU200" s="7"/>
      <c r="FV200" s="7"/>
      <c r="FX200" s="7"/>
      <c r="FY200" s="7"/>
      <c r="GA200" s="7"/>
      <c r="GB200" s="7"/>
      <c r="GD200" s="7"/>
      <c r="GE200" s="7"/>
      <c r="GG200" s="7"/>
      <c r="GH200" s="7"/>
      <c r="GJ200" s="7"/>
      <c r="GK200" s="7"/>
      <c r="GV200" s="7"/>
      <c r="GW200" s="7"/>
      <c r="HE200" s="7"/>
      <c r="HF200" s="7"/>
      <c r="HH200" s="7"/>
      <c r="HI200" s="7"/>
      <c r="HQ200" s="7"/>
      <c r="HR200" s="7"/>
      <c r="HT200" s="7"/>
      <c r="HU200" s="7"/>
      <c r="IC200" s="7"/>
      <c r="ID200" s="7"/>
      <c r="IF200" s="7"/>
      <c r="IG200" s="7"/>
      <c r="II200" s="7"/>
      <c r="IJ200" s="7"/>
      <c r="IK200" s="7"/>
      <c r="IL200" s="7"/>
      <c r="IM200" s="7"/>
      <c r="IN200" s="7"/>
      <c r="IP200" s="7"/>
      <c r="IQ200" s="7"/>
      <c r="IR200" s="7"/>
      <c r="IS200" s="7"/>
      <c r="IT200" s="7"/>
      <c r="IU200" s="7"/>
      <c r="IV200" s="7"/>
      <c r="IW200" s="7"/>
      <c r="IX200" s="7"/>
      <c r="IY200" s="7"/>
      <c r="IZ200" s="7"/>
      <c r="JA200" s="7"/>
      <c r="JB200" s="7"/>
      <c r="JC200" s="7"/>
      <c r="JE200" s="7"/>
      <c r="JF200" s="7"/>
      <c r="JH200" s="7"/>
      <c r="JI200" s="7"/>
      <c r="JJ200" s="7"/>
      <c r="JK200" s="7"/>
      <c r="JL200" s="7"/>
      <c r="JM200" s="7"/>
      <c r="JO200" s="7"/>
      <c r="JP200" s="7"/>
      <c r="JQ200" s="7"/>
      <c r="JR200" s="7"/>
      <c r="JT200" s="7"/>
      <c r="JU200" s="7"/>
      <c r="JV200" s="7"/>
      <c r="JW200" s="7"/>
      <c r="JX200" s="7"/>
    </row>
    <row r="201" spans="3:284" x14ac:dyDescent="0.3">
      <c r="C201" s="7"/>
      <c r="D201" s="7"/>
      <c r="F201" s="7"/>
      <c r="G201" s="7"/>
      <c r="I201" s="7"/>
      <c r="J201" s="7"/>
      <c r="L201" s="7"/>
      <c r="M201" s="7"/>
      <c r="O201" s="7"/>
      <c r="P201" s="7"/>
      <c r="R201" s="7"/>
      <c r="S201" s="7"/>
      <c r="U201" s="7"/>
      <c r="V201" s="7"/>
      <c r="X201" s="7"/>
      <c r="Y201" s="7"/>
      <c r="AA201" s="7"/>
      <c r="AB201" s="7"/>
      <c r="AD201" s="7"/>
      <c r="AE201" s="7"/>
      <c r="AG201" s="7"/>
      <c r="AH201" s="7"/>
      <c r="AJ201" s="7"/>
      <c r="AK201" s="7"/>
      <c r="AM201" s="7"/>
      <c r="AN201" s="7"/>
      <c r="AP201" s="7"/>
      <c r="AQ201" s="7"/>
      <c r="AS201" s="7"/>
      <c r="AT201" s="7"/>
      <c r="AV201" s="7"/>
      <c r="AW201" s="7"/>
      <c r="AY201" s="7"/>
      <c r="AZ201" s="7"/>
      <c r="BB201" s="7"/>
      <c r="BC201" s="7"/>
      <c r="BE201" s="7"/>
      <c r="BF201" s="7"/>
      <c r="BH201" s="7"/>
      <c r="BI201" s="7"/>
      <c r="BK201" s="7"/>
      <c r="BL201" s="7"/>
      <c r="BN201" s="7"/>
      <c r="BO201" s="7"/>
      <c r="BQ201" s="7"/>
      <c r="BR201" s="7"/>
      <c r="BT201" s="7"/>
      <c r="BU201" s="7"/>
      <c r="BW201" s="7"/>
      <c r="BX201" s="7"/>
      <c r="BZ201" s="7"/>
      <c r="CA201" s="7"/>
      <c r="CC201" s="7"/>
      <c r="CD201" s="7"/>
      <c r="CF201" s="7"/>
      <c r="CG201" s="7"/>
      <c r="CI201" s="7"/>
      <c r="CJ201" s="7"/>
      <c r="CL201" s="7"/>
      <c r="CM201" s="7"/>
      <c r="CO201" s="7"/>
      <c r="CP201" s="7"/>
      <c r="CR201" s="7"/>
      <c r="CS201" s="7"/>
      <c r="CU201" s="7"/>
      <c r="CV201" s="7"/>
      <c r="CX201" s="7"/>
      <c r="CY201" s="7"/>
      <c r="DA201" s="7"/>
      <c r="DB201" s="7"/>
      <c r="DD201" s="7"/>
      <c r="DE201" s="7"/>
      <c r="DG201" s="7"/>
      <c r="DH201" s="7"/>
      <c r="DJ201" s="7"/>
      <c r="DK201" s="7"/>
      <c r="DM201" s="7"/>
      <c r="DN201" s="7"/>
      <c r="DP201" s="7"/>
      <c r="DQ201" s="7"/>
      <c r="DS201" s="7"/>
      <c r="DT201" s="7"/>
      <c r="DV201" s="7"/>
      <c r="DW201" s="7"/>
      <c r="DY201" s="7"/>
      <c r="DZ201" s="7"/>
      <c r="EB201" s="7"/>
      <c r="EC201" s="7"/>
      <c r="EE201" s="7"/>
      <c r="EF201" s="7"/>
      <c r="EH201" s="7"/>
      <c r="EI201" s="7"/>
      <c r="EK201" s="7"/>
      <c r="EL201" s="7"/>
      <c r="EN201" s="7"/>
      <c r="EO201" s="7"/>
      <c r="EQ201" s="7"/>
      <c r="ER201" s="7"/>
      <c r="ET201" s="7"/>
      <c r="EU201" s="7"/>
      <c r="EW201" s="7"/>
      <c r="EX201" s="7"/>
      <c r="EZ201" s="7"/>
      <c r="FA201" s="7"/>
      <c r="FC201" s="7"/>
      <c r="FD201" s="7"/>
      <c r="FF201" s="7"/>
      <c r="FG201" s="7"/>
      <c r="FI201" s="7"/>
      <c r="FJ201" s="7"/>
      <c r="FL201" s="7"/>
      <c r="FM201" s="7"/>
      <c r="FO201" s="7"/>
      <c r="FP201" s="7"/>
      <c r="FR201" s="7"/>
      <c r="FS201" s="7"/>
      <c r="FU201" s="7"/>
      <c r="FV201" s="7"/>
      <c r="FX201" s="7"/>
      <c r="FY201" s="7"/>
      <c r="GA201" s="7"/>
      <c r="GB201" s="7"/>
      <c r="GD201" s="7"/>
      <c r="GE201" s="7"/>
      <c r="GG201" s="7"/>
      <c r="GH201" s="7"/>
      <c r="GJ201" s="7"/>
      <c r="GK201" s="7"/>
      <c r="GV201" s="7"/>
      <c r="GW201" s="7"/>
      <c r="HE201" s="7"/>
      <c r="HF201" s="7"/>
      <c r="HH201" s="7"/>
      <c r="HI201" s="7"/>
      <c r="HQ201" s="7"/>
      <c r="HR201" s="7"/>
      <c r="HT201" s="7"/>
      <c r="HU201" s="7"/>
      <c r="IC201" s="7"/>
      <c r="ID201" s="7"/>
      <c r="IF201" s="7"/>
      <c r="IG201" s="7"/>
      <c r="II201" s="7"/>
      <c r="IJ201" s="7"/>
      <c r="IK201" s="7"/>
      <c r="IL201" s="7"/>
      <c r="IM201" s="7"/>
      <c r="IN201" s="7"/>
      <c r="IP201" s="7"/>
      <c r="IQ201" s="7"/>
      <c r="IR201" s="7"/>
      <c r="IS201" s="7"/>
      <c r="IT201" s="7"/>
      <c r="IU201" s="7"/>
      <c r="IV201" s="7"/>
      <c r="IW201" s="7"/>
      <c r="IX201" s="7"/>
      <c r="IY201" s="7"/>
      <c r="IZ201" s="7"/>
      <c r="JA201" s="7"/>
      <c r="JB201" s="7"/>
      <c r="JC201" s="7"/>
      <c r="JE201" s="7"/>
      <c r="JF201" s="7"/>
      <c r="JH201" s="7"/>
      <c r="JI201" s="7"/>
      <c r="JJ201" s="7"/>
      <c r="JK201" s="7"/>
      <c r="JL201" s="7"/>
      <c r="JM201" s="7"/>
      <c r="JO201" s="7"/>
      <c r="JP201" s="7"/>
      <c r="JQ201" s="7"/>
      <c r="JR201" s="7"/>
      <c r="JT201" s="7"/>
      <c r="JU201" s="7"/>
      <c r="JV201" s="7"/>
      <c r="JW201" s="7"/>
      <c r="JX201" s="7"/>
    </row>
    <row r="202" spans="3:284" x14ac:dyDescent="0.3">
      <c r="C202" s="7"/>
      <c r="D202" s="7"/>
      <c r="F202" s="7"/>
      <c r="G202" s="7"/>
      <c r="I202" s="7"/>
      <c r="J202" s="7"/>
      <c r="L202" s="7"/>
      <c r="M202" s="7"/>
      <c r="O202" s="7"/>
      <c r="P202" s="7"/>
      <c r="R202" s="7"/>
      <c r="S202" s="7"/>
      <c r="U202" s="7"/>
      <c r="V202" s="7"/>
      <c r="X202" s="7"/>
      <c r="Y202" s="7"/>
      <c r="AA202" s="7"/>
      <c r="AB202" s="7"/>
      <c r="AD202" s="7"/>
      <c r="AE202" s="7"/>
      <c r="AG202" s="7"/>
      <c r="AH202" s="7"/>
      <c r="AJ202" s="7"/>
      <c r="AK202" s="7"/>
      <c r="AM202" s="7"/>
      <c r="AN202" s="7"/>
      <c r="AP202" s="7"/>
      <c r="AQ202" s="7"/>
      <c r="AS202" s="7"/>
      <c r="AT202" s="7"/>
      <c r="AV202" s="7"/>
      <c r="AW202" s="7"/>
      <c r="AY202" s="7"/>
      <c r="AZ202" s="7"/>
      <c r="BB202" s="7"/>
      <c r="BC202" s="7"/>
      <c r="BE202" s="7"/>
      <c r="BF202" s="7"/>
      <c r="BH202" s="7"/>
      <c r="BI202" s="7"/>
      <c r="BK202" s="7"/>
      <c r="BL202" s="7"/>
      <c r="BN202" s="7"/>
      <c r="BO202" s="7"/>
      <c r="BQ202" s="7"/>
      <c r="BR202" s="7"/>
      <c r="BT202" s="7"/>
      <c r="BU202" s="7"/>
      <c r="BW202" s="7"/>
      <c r="BX202" s="7"/>
      <c r="BZ202" s="7"/>
      <c r="CA202" s="7"/>
      <c r="CC202" s="7"/>
      <c r="CD202" s="7"/>
      <c r="CF202" s="7"/>
      <c r="CG202" s="7"/>
      <c r="CI202" s="7"/>
      <c r="CJ202" s="7"/>
      <c r="CL202" s="7"/>
      <c r="CM202" s="7"/>
      <c r="CO202" s="7"/>
      <c r="CP202" s="7"/>
      <c r="CR202" s="7"/>
      <c r="CS202" s="7"/>
      <c r="CU202" s="7"/>
      <c r="CV202" s="7"/>
      <c r="CX202" s="7"/>
      <c r="CY202" s="7"/>
      <c r="DA202" s="7"/>
      <c r="DB202" s="7"/>
      <c r="DD202" s="7"/>
      <c r="DE202" s="7"/>
      <c r="DG202" s="7"/>
      <c r="DH202" s="7"/>
      <c r="DJ202" s="7"/>
      <c r="DK202" s="7"/>
      <c r="DM202" s="7"/>
      <c r="DN202" s="7"/>
      <c r="DP202" s="7"/>
      <c r="DQ202" s="7"/>
      <c r="DS202" s="7"/>
      <c r="DT202" s="7"/>
      <c r="DV202" s="7"/>
      <c r="DW202" s="7"/>
      <c r="DY202" s="7"/>
      <c r="DZ202" s="7"/>
      <c r="EB202" s="7"/>
      <c r="EC202" s="7"/>
      <c r="EE202" s="7"/>
      <c r="EF202" s="7"/>
      <c r="EH202" s="7"/>
      <c r="EI202" s="7"/>
      <c r="EK202" s="7"/>
      <c r="EL202" s="7"/>
      <c r="EN202" s="7"/>
      <c r="EO202" s="7"/>
      <c r="EQ202" s="7"/>
      <c r="ER202" s="7"/>
      <c r="ET202" s="7"/>
      <c r="EU202" s="7"/>
      <c r="EW202" s="7"/>
      <c r="EX202" s="7"/>
      <c r="EZ202" s="7"/>
      <c r="FA202" s="7"/>
      <c r="FC202" s="7"/>
      <c r="FD202" s="7"/>
      <c r="FF202" s="7"/>
      <c r="FG202" s="7"/>
      <c r="FI202" s="7"/>
      <c r="FJ202" s="7"/>
      <c r="FL202" s="7"/>
      <c r="FM202" s="7"/>
      <c r="FO202" s="7"/>
      <c r="FP202" s="7"/>
      <c r="FR202" s="7"/>
      <c r="FS202" s="7"/>
      <c r="FU202" s="7"/>
      <c r="FV202" s="7"/>
      <c r="FX202" s="7"/>
      <c r="FY202" s="7"/>
      <c r="GA202" s="7"/>
      <c r="GB202" s="7"/>
      <c r="GD202" s="7"/>
      <c r="GE202" s="7"/>
      <c r="GG202" s="7"/>
      <c r="GH202" s="7"/>
      <c r="GJ202" s="7"/>
      <c r="GK202" s="7"/>
      <c r="GV202" s="7"/>
      <c r="GW202" s="7"/>
      <c r="HE202" s="7"/>
      <c r="HF202" s="7"/>
      <c r="HH202" s="7"/>
      <c r="HI202" s="7"/>
      <c r="HQ202" s="7"/>
      <c r="HR202" s="7"/>
      <c r="HT202" s="7"/>
      <c r="HU202" s="7"/>
      <c r="IC202" s="7"/>
      <c r="ID202" s="7"/>
      <c r="IF202" s="7"/>
      <c r="IG202" s="7"/>
      <c r="II202" s="7"/>
      <c r="IJ202" s="7"/>
      <c r="IK202" s="7"/>
      <c r="IL202" s="7"/>
      <c r="IM202" s="7"/>
      <c r="IN202" s="7"/>
      <c r="IP202" s="7"/>
      <c r="IQ202" s="7"/>
      <c r="IR202" s="7"/>
      <c r="IS202" s="7"/>
      <c r="IT202" s="7"/>
      <c r="IU202" s="7"/>
      <c r="IV202" s="7"/>
      <c r="IW202" s="7"/>
      <c r="IX202" s="7"/>
      <c r="IY202" s="7"/>
      <c r="IZ202" s="7"/>
      <c r="JA202" s="7"/>
      <c r="JB202" s="7"/>
      <c r="JC202" s="7"/>
      <c r="JE202" s="7"/>
      <c r="JF202" s="7"/>
      <c r="JH202" s="7"/>
      <c r="JI202" s="7"/>
      <c r="JJ202" s="7"/>
      <c r="JK202" s="7"/>
      <c r="JL202" s="7"/>
      <c r="JM202" s="7"/>
      <c r="JO202" s="7"/>
      <c r="JP202" s="7"/>
      <c r="JQ202" s="7"/>
      <c r="JR202" s="7"/>
      <c r="JT202" s="7"/>
      <c r="JU202" s="7"/>
      <c r="JV202" s="7"/>
      <c r="JW202" s="7"/>
      <c r="JX202" s="7"/>
    </row>
    <row r="203" spans="3:284" x14ac:dyDescent="0.3">
      <c r="C203" s="7"/>
      <c r="D203" s="7"/>
      <c r="F203" s="7"/>
      <c r="G203" s="7"/>
      <c r="I203" s="7"/>
      <c r="J203" s="7"/>
      <c r="L203" s="7"/>
      <c r="M203" s="7"/>
      <c r="O203" s="7"/>
      <c r="P203" s="7"/>
      <c r="R203" s="7"/>
      <c r="S203" s="7"/>
      <c r="U203" s="7"/>
      <c r="V203" s="7"/>
      <c r="X203" s="7"/>
      <c r="Y203" s="7"/>
      <c r="AA203" s="7"/>
      <c r="AB203" s="7"/>
      <c r="AD203" s="7"/>
      <c r="AE203" s="7"/>
      <c r="AG203" s="7"/>
      <c r="AH203" s="7"/>
      <c r="AJ203" s="7"/>
      <c r="AK203" s="7"/>
      <c r="AM203" s="7"/>
      <c r="AN203" s="7"/>
      <c r="AP203" s="7"/>
      <c r="AQ203" s="7"/>
      <c r="AS203" s="7"/>
      <c r="AT203" s="7"/>
      <c r="AV203" s="7"/>
      <c r="AW203" s="7"/>
      <c r="AY203" s="7"/>
      <c r="AZ203" s="7"/>
      <c r="BB203" s="7"/>
      <c r="BC203" s="7"/>
      <c r="BE203" s="7"/>
      <c r="BF203" s="7"/>
      <c r="BH203" s="7"/>
      <c r="BI203" s="7"/>
      <c r="BK203" s="7"/>
      <c r="BL203" s="7"/>
      <c r="BN203" s="7"/>
      <c r="BO203" s="7"/>
      <c r="BQ203" s="7"/>
      <c r="BR203" s="7"/>
      <c r="BT203" s="7"/>
      <c r="BU203" s="7"/>
      <c r="BW203" s="7"/>
      <c r="BX203" s="7"/>
      <c r="BZ203" s="7"/>
      <c r="CA203" s="7"/>
      <c r="CC203" s="7"/>
      <c r="CD203" s="7"/>
      <c r="CF203" s="7"/>
      <c r="CG203" s="7"/>
      <c r="CI203" s="7"/>
      <c r="CJ203" s="7"/>
      <c r="CL203" s="7"/>
      <c r="CM203" s="7"/>
      <c r="CO203" s="7"/>
      <c r="CP203" s="7"/>
      <c r="CR203" s="7"/>
      <c r="CS203" s="7"/>
      <c r="CU203" s="7"/>
      <c r="CV203" s="7"/>
      <c r="CX203" s="7"/>
      <c r="CY203" s="7"/>
      <c r="DA203" s="7"/>
      <c r="DB203" s="7"/>
      <c r="DD203" s="7"/>
      <c r="DE203" s="7"/>
      <c r="DG203" s="7"/>
      <c r="DH203" s="7"/>
      <c r="DJ203" s="7"/>
      <c r="DK203" s="7"/>
      <c r="DM203" s="7"/>
      <c r="DN203" s="7"/>
      <c r="DP203" s="7"/>
      <c r="DQ203" s="7"/>
      <c r="DS203" s="7"/>
      <c r="DT203" s="7"/>
      <c r="DV203" s="7"/>
      <c r="DW203" s="7"/>
      <c r="DY203" s="7"/>
      <c r="DZ203" s="7"/>
      <c r="EB203" s="7"/>
      <c r="EC203" s="7"/>
      <c r="EE203" s="7"/>
      <c r="EF203" s="7"/>
      <c r="EH203" s="7"/>
      <c r="EI203" s="7"/>
      <c r="EK203" s="7"/>
      <c r="EL203" s="7"/>
      <c r="EN203" s="7"/>
      <c r="EO203" s="7"/>
      <c r="EQ203" s="7"/>
      <c r="ER203" s="7"/>
      <c r="ET203" s="7"/>
      <c r="EU203" s="7"/>
      <c r="EW203" s="7"/>
      <c r="EX203" s="7"/>
      <c r="EZ203" s="7"/>
      <c r="FA203" s="7"/>
      <c r="FC203" s="7"/>
      <c r="FD203" s="7"/>
      <c r="FF203" s="7"/>
      <c r="FG203" s="7"/>
      <c r="FI203" s="7"/>
      <c r="FJ203" s="7"/>
      <c r="FL203" s="7"/>
      <c r="FM203" s="7"/>
      <c r="FO203" s="7"/>
      <c r="FP203" s="7"/>
      <c r="FR203" s="7"/>
      <c r="FS203" s="7"/>
      <c r="FU203" s="7"/>
      <c r="FV203" s="7"/>
      <c r="FX203" s="7"/>
      <c r="FY203" s="7"/>
      <c r="GA203" s="7"/>
      <c r="GB203" s="7"/>
      <c r="GD203" s="7"/>
      <c r="GE203" s="7"/>
      <c r="GG203" s="7"/>
      <c r="GH203" s="7"/>
      <c r="GJ203" s="7"/>
      <c r="GK203" s="7"/>
      <c r="GV203" s="7"/>
      <c r="GW203" s="7"/>
      <c r="HE203" s="7"/>
      <c r="HF203" s="7"/>
      <c r="HH203" s="7"/>
      <c r="HI203" s="7"/>
      <c r="HQ203" s="7"/>
      <c r="HR203" s="7"/>
      <c r="HT203" s="7"/>
      <c r="HU203" s="7"/>
      <c r="IC203" s="7"/>
      <c r="ID203" s="7"/>
      <c r="IF203" s="7"/>
      <c r="IG203" s="7"/>
      <c r="II203" s="7"/>
      <c r="IJ203" s="7"/>
      <c r="IK203" s="7"/>
      <c r="IL203" s="7"/>
      <c r="IM203" s="7"/>
      <c r="IN203" s="7"/>
      <c r="IP203" s="7"/>
      <c r="IQ203" s="7"/>
      <c r="IR203" s="7"/>
      <c r="IS203" s="7"/>
      <c r="IT203" s="7"/>
      <c r="IU203" s="7"/>
      <c r="IV203" s="7"/>
      <c r="IW203" s="7"/>
      <c r="IX203" s="7"/>
      <c r="IY203" s="7"/>
      <c r="IZ203" s="7"/>
      <c r="JA203" s="7"/>
      <c r="JB203" s="7"/>
      <c r="JC203" s="7"/>
      <c r="JE203" s="7"/>
      <c r="JF203" s="7"/>
      <c r="JH203" s="7"/>
      <c r="JI203" s="7"/>
      <c r="JJ203" s="7"/>
      <c r="JK203" s="7"/>
      <c r="JL203" s="7"/>
      <c r="JM203" s="7"/>
      <c r="JO203" s="7"/>
      <c r="JP203" s="7"/>
      <c r="JQ203" s="7"/>
      <c r="JR203" s="7"/>
      <c r="JT203" s="7"/>
      <c r="JU203" s="7"/>
      <c r="JV203" s="7"/>
      <c r="JW203" s="7"/>
      <c r="JX203" s="7"/>
    </row>
    <row r="204" spans="3:284" x14ac:dyDescent="0.3">
      <c r="C204" s="7"/>
      <c r="D204" s="7"/>
      <c r="F204" s="7"/>
      <c r="G204" s="7"/>
      <c r="I204" s="7"/>
      <c r="J204" s="7"/>
      <c r="L204" s="7"/>
      <c r="M204" s="7"/>
      <c r="O204" s="7"/>
      <c r="P204" s="7"/>
      <c r="R204" s="7"/>
      <c r="S204" s="7"/>
      <c r="U204" s="7"/>
      <c r="V204" s="7"/>
      <c r="X204" s="7"/>
      <c r="Y204" s="7"/>
      <c r="AA204" s="7"/>
      <c r="AB204" s="7"/>
      <c r="AD204" s="7"/>
      <c r="AE204" s="7"/>
      <c r="AG204" s="7"/>
      <c r="AH204" s="7"/>
      <c r="AJ204" s="7"/>
      <c r="AK204" s="7"/>
      <c r="AM204" s="7"/>
      <c r="AN204" s="7"/>
      <c r="AP204" s="7"/>
      <c r="AQ204" s="7"/>
      <c r="AS204" s="7"/>
      <c r="AT204" s="7"/>
      <c r="AV204" s="7"/>
      <c r="AW204" s="7"/>
      <c r="AY204" s="7"/>
      <c r="AZ204" s="7"/>
      <c r="BB204" s="7"/>
      <c r="BC204" s="7"/>
      <c r="BE204" s="7"/>
      <c r="BF204" s="7"/>
      <c r="BH204" s="7"/>
      <c r="BI204" s="7"/>
      <c r="BK204" s="7"/>
      <c r="BL204" s="7"/>
      <c r="BN204" s="7"/>
      <c r="BO204" s="7"/>
      <c r="BQ204" s="7"/>
      <c r="BR204" s="7"/>
      <c r="BT204" s="7"/>
      <c r="BU204" s="7"/>
      <c r="BW204" s="7"/>
      <c r="BX204" s="7"/>
      <c r="BZ204" s="7"/>
      <c r="CA204" s="7"/>
      <c r="CC204" s="7"/>
      <c r="CD204" s="7"/>
      <c r="CF204" s="7"/>
      <c r="CG204" s="7"/>
      <c r="CI204" s="7"/>
      <c r="CJ204" s="7"/>
      <c r="CL204" s="7"/>
      <c r="CM204" s="7"/>
      <c r="CO204" s="7"/>
      <c r="CP204" s="7"/>
      <c r="CR204" s="7"/>
      <c r="CS204" s="7"/>
      <c r="CU204" s="7"/>
      <c r="CV204" s="7"/>
      <c r="CX204" s="7"/>
      <c r="CY204" s="7"/>
      <c r="DA204" s="7"/>
      <c r="DB204" s="7"/>
      <c r="DD204" s="7"/>
      <c r="DE204" s="7"/>
      <c r="DG204" s="7"/>
      <c r="DH204" s="7"/>
      <c r="DJ204" s="7"/>
      <c r="DK204" s="7"/>
      <c r="DM204" s="7"/>
      <c r="DN204" s="7"/>
      <c r="DP204" s="7"/>
      <c r="DQ204" s="7"/>
      <c r="DS204" s="7"/>
      <c r="DT204" s="7"/>
      <c r="DV204" s="7"/>
      <c r="DW204" s="7"/>
      <c r="DY204" s="7"/>
      <c r="DZ204" s="7"/>
      <c r="EB204" s="7"/>
      <c r="EC204" s="7"/>
      <c r="EE204" s="7"/>
      <c r="EF204" s="7"/>
      <c r="EH204" s="7"/>
      <c r="EI204" s="7"/>
      <c r="EK204" s="7"/>
      <c r="EL204" s="7"/>
      <c r="EN204" s="7"/>
      <c r="EO204" s="7"/>
      <c r="EQ204" s="7"/>
      <c r="ER204" s="7"/>
      <c r="ET204" s="7"/>
      <c r="EU204" s="7"/>
      <c r="EW204" s="7"/>
      <c r="EX204" s="7"/>
      <c r="EZ204" s="7"/>
      <c r="FA204" s="7"/>
      <c r="FC204" s="7"/>
      <c r="FD204" s="7"/>
      <c r="FF204" s="7"/>
      <c r="FG204" s="7"/>
      <c r="FI204" s="7"/>
      <c r="FJ204" s="7"/>
      <c r="FL204" s="7"/>
      <c r="FM204" s="7"/>
      <c r="FO204" s="7"/>
      <c r="FP204" s="7"/>
      <c r="FR204" s="7"/>
      <c r="FS204" s="7"/>
      <c r="FU204" s="7"/>
      <c r="FV204" s="7"/>
      <c r="FX204" s="7"/>
      <c r="FY204" s="7"/>
      <c r="GA204" s="7"/>
      <c r="GB204" s="7"/>
      <c r="GD204" s="7"/>
      <c r="GE204" s="7"/>
      <c r="GG204" s="7"/>
      <c r="GH204" s="7"/>
      <c r="GJ204" s="7"/>
      <c r="GK204" s="7"/>
      <c r="GV204" s="7"/>
      <c r="GW204" s="7"/>
      <c r="HE204" s="7"/>
      <c r="HF204" s="7"/>
      <c r="HH204" s="7"/>
      <c r="HI204" s="7"/>
      <c r="HQ204" s="7"/>
      <c r="HR204" s="7"/>
      <c r="HT204" s="7"/>
      <c r="HU204" s="7"/>
      <c r="IC204" s="7"/>
      <c r="ID204" s="7"/>
      <c r="IF204" s="7"/>
      <c r="IG204" s="7"/>
      <c r="II204" s="7"/>
      <c r="IJ204" s="7"/>
      <c r="IK204" s="7"/>
      <c r="IL204" s="7"/>
      <c r="IM204" s="7"/>
      <c r="IN204" s="7"/>
      <c r="IP204" s="7"/>
      <c r="IQ204" s="7"/>
      <c r="IR204" s="7"/>
      <c r="IS204" s="7"/>
      <c r="IT204" s="7"/>
      <c r="IU204" s="7"/>
      <c r="IV204" s="7"/>
      <c r="IW204" s="7"/>
      <c r="IX204" s="7"/>
      <c r="IY204" s="7"/>
      <c r="IZ204" s="7"/>
      <c r="JA204" s="7"/>
      <c r="JB204" s="7"/>
      <c r="JC204" s="7"/>
      <c r="JE204" s="7"/>
      <c r="JF204" s="7"/>
      <c r="JH204" s="7"/>
      <c r="JI204" s="7"/>
      <c r="JJ204" s="7"/>
      <c r="JK204" s="7"/>
      <c r="JL204" s="7"/>
      <c r="JM204" s="7"/>
      <c r="JO204" s="7"/>
      <c r="JP204" s="7"/>
      <c r="JQ204" s="7"/>
      <c r="JR204" s="7"/>
      <c r="JT204" s="7"/>
      <c r="JU204" s="7"/>
      <c r="JV204" s="7"/>
      <c r="JW204" s="7"/>
      <c r="JX204" s="7"/>
    </row>
    <row r="205" spans="3:284" x14ac:dyDescent="0.3">
      <c r="C205" s="7"/>
      <c r="D205" s="7"/>
      <c r="F205" s="7"/>
      <c r="G205" s="7"/>
      <c r="I205" s="7"/>
      <c r="J205" s="7"/>
      <c r="L205" s="7"/>
      <c r="M205" s="7"/>
      <c r="O205" s="7"/>
      <c r="P205" s="7"/>
      <c r="R205" s="7"/>
      <c r="S205" s="7"/>
      <c r="U205" s="7"/>
      <c r="V205" s="7"/>
      <c r="X205" s="7"/>
      <c r="Y205" s="7"/>
      <c r="AA205" s="7"/>
      <c r="AB205" s="7"/>
      <c r="AD205" s="7"/>
      <c r="AE205" s="7"/>
      <c r="AG205" s="7"/>
      <c r="AH205" s="7"/>
      <c r="AJ205" s="7"/>
      <c r="AK205" s="7"/>
      <c r="AM205" s="7"/>
      <c r="AN205" s="7"/>
      <c r="AP205" s="7"/>
      <c r="AQ205" s="7"/>
      <c r="AS205" s="7"/>
      <c r="AT205" s="7"/>
      <c r="AV205" s="7"/>
      <c r="AW205" s="7"/>
      <c r="AY205" s="7"/>
      <c r="AZ205" s="7"/>
      <c r="BB205" s="7"/>
      <c r="BC205" s="7"/>
      <c r="BE205" s="7"/>
      <c r="BF205" s="7"/>
      <c r="BH205" s="7"/>
      <c r="BI205" s="7"/>
      <c r="BK205" s="7"/>
      <c r="BL205" s="7"/>
      <c r="BN205" s="7"/>
      <c r="BO205" s="7"/>
      <c r="BQ205" s="7"/>
      <c r="BR205" s="7"/>
      <c r="BT205" s="7"/>
      <c r="BU205" s="7"/>
      <c r="BW205" s="7"/>
      <c r="BX205" s="7"/>
      <c r="BZ205" s="7"/>
      <c r="CA205" s="7"/>
      <c r="CC205" s="7"/>
      <c r="CD205" s="7"/>
      <c r="CF205" s="7"/>
      <c r="CG205" s="7"/>
      <c r="CI205" s="7"/>
      <c r="CJ205" s="7"/>
      <c r="CL205" s="7"/>
      <c r="CM205" s="7"/>
      <c r="CO205" s="7"/>
      <c r="CP205" s="7"/>
      <c r="CR205" s="7"/>
      <c r="CS205" s="7"/>
      <c r="CU205" s="7"/>
      <c r="CV205" s="7"/>
      <c r="CX205" s="7"/>
      <c r="CY205" s="7"/>
      <c r="DA205" s="7"/>
      <c r="DB205" s="7"/>
      <c r="DD205" s="7"/>
      <c r="DE205" s="7"/>
      <c r="DG205" s="7"/>
      <c r="DH205" s="7"/>
      <c r="DJ205" s="7"/>
      <c r="DK205" s="7"/>
      <c r="DM205" s="7"/>
      <c r="DN205" s="7"/>
      <c r="DP205" s="7"/>
      <c r="DQ205" s="7"/>
      <c r="DS205" s="7"/>
      <c r="DT205" s="7"/>
      <c r="DV205" s="7"/>
      <c r="DW205" s="7"/>
      <c r="DY205" s="7"/>
      <c r="DZ205" s="7"/>
      <c r="EB205" s="7"/>
      <c r="EC205" s="7"/>
      <c r="EE205" s="7"/>
      <c r="EF205" s="7"/>
      <c r="EH205" s="7"/>
      <c r="EI205" s="7"/>
      <c r="EK205" s="7"/>
      <c r="EL205" s="7"/>
      <c r="EN205" s="7"/>
      <c r="EO205" s="7"/>
      <c r="EQ205" s="7"/>
      <c r="ER205" s="7"/>
      <c r="ET205" s="7"/>
      <c r="EU205" s="7"/>
      <c r="EW205" s="7"/>
      <c r="EX205" s="7"/>
      <c r="EZ205" s="7"/>
      <c r="FA205" s="7"/>
      <c r="FC205" s="7"/>
      <c r="FD205" s="7"/>
      <c r="FF205" s="7"/>
      <c r="FG205" s="7"/>
      <c r="FI205" s="7"/>
      <c r="FJ205" s="7"/>
      <c r="FL205" s="7"/>
      <c r="FM205" s="7"/>
      <c r="FO205" s="7"/>
      <c r="FP205" s="7"/>
      <c r="FR205" s="7"/>
      <c r="FS205" s="7"/>
      <c r="FU205" s="7"/>
      <c r="FV205" s="7"/>
      <c r="FX205" s="7"/>
      <c r="FY205" s="7"/>
      <c r="GA205" s="7"/>
      <c r="GB205" s="7"/>
      <c r="GD205" s="7"/>
      <c r="GE205" s="7"/>
      <c r="GG205" s="7"/>
      <c r="GH205" s="7"/>
      <c r="GJ205" s="7"/>
      <c r="GK205" s="7"/>
      <c r="GV205" s="7"/>
      <c r="GW205" s="7"/>
      <c r="HE205" s="7"/>
      <c r="HF205" s="7"/>
      <c r="HH205" s="7"/>
      <c r="HI205" s="7"/>
      <c r="HQ205" s="7"/>
      <c r="HR205" s="7"/>
      <c r="HT205" s="7"/>
      <c r="HU205" s="7"/>
      <c r="IC205" s="7"/>
      <c r="ID205" s="7"/>
      <c r="IF205" s="7"/>
      <c r="IG205" s="7"/>
      <c r="II205" s="7"/>
      <c r="IJ205" s="7"/>
      <c r="IK205" s="7"/>
      <c r="IL205" s="7"/>
      <c r="IM205" s="7"/>
      <c r="IN205" s="7"/>
      <c r="IP205" s="7"/>
      <c r="IQ205" s="7"/>
      <c r="IR205" s="7"/>
      <c r="IS205" s="7"/>
      <c r="IT205" s="7"/>
      <c r="IU205" s="7"/>
      <c r="IV205" s="7"/>
      <c r="IW205" s="7"/>
      <c r="IX205" s="7"/>
      <c r="IY205" s="7"/>
      <c r="IZ205" s="7"/>
      <c r="JA205" s="7"/>
      <c r="JB205" s="7"/>
      <c r="JC205" s="7"/>
      <c r="JE205" s="7"/>
      <c r="JF205" s="7"/>
      <c r="JH205" s="7"/>
      <c r="JI205" s="7"/>
      <c r="JJ205" s="7"/>
      <c r="JK205" s="7"/>
      <c r="JL205" s="7"/>
      <c r="JM205" s="7"/>
      <c r="JO205" s="7"/>
      <c r="JP205" s="7"/>
      <c r="JQ205" s="7"/>
      <c r="JR205" s="7"/>
      <c r="JT205" s="7"/>
      <c r="JU205" s="7"/>
      <c r="JV205" s="7"/>
      <c r="JW205" s="7"/>
      <c r="JX205" s="7"/>
    </row>
    <row r="206" spans="3:284" x14ac:dyDescent="0.3">
      <c r="C206" s="7"/>
      <c r="D206" s="7"/>
      <c r="F206" s="7"/>
      <c r="G206" s="7"/>
      <c r="I206" s="7"/>
      <c r="J206" s="7"/>
      <c r="L206" s="7"/>
      <c r="M206" s="7"/>
      <c r="O206" s="7"/>
      <c r="P206" s="7"/>
      <c r="R206" s="7"/>
      <c r="S206" s="7"/>
      <c r="U206" s="7"/>
      <c r="V206" s="7"/>
      <c r="X206" s="7"/>
      <c r="Y206" s="7"/>
      <c r="AA206" s="7"/>
      <c r="AB206" s="7"/>
      <c r="AD206" s="7"/>
      <c r="AE206" s="7"/>
      <c r="AG206" s="7"/>
      <c r="AH206" s="7"/>
      <c r="AJ206" s="7"/>
      <c r="AK206" s="7"/>
      <c r="AM206" s="7"/>
      <c r="AN206" s="7"/>
      <c r="AP206" s="7"/>
      <c r="AQ206" s="7"/>
      <c r="AS206" s="7"/>
      <c r="AT206" s="7"/>
      <c r="AV206" s="7"/>
      <c r="AW206" s="7"/>
      <c r="AY206" s="7"/>
      <c r="AZ206" s="7"/>
      <c r="BB206" s="7"/>
      <c r="BC206" s="7"/>
      <c r="BE206" s="7"/>
      <c r="BF206" s="7"/>
      <c r="BH206" s="7"/>
      <c r="BI206" s="7"/>
      <c r="BK206" s="7"/>
      <c r="BL206" s="7"/>
      <c r="BN206" s="7"/>
      <c r="BO206" s="7"/>
      <c r="BQ206" s="7"/>
      <c r="BR206" s="7"/>
      <c r="BT206" s="7"/>
      <c r="BU206" s="7"/>
      <c r="BW206" s="7"/>
      <c r="BX206" s="7"/>
      <c r="BZ206" s="7"/>
      <c r="CA206" s="7"/>
      <c r="CC206" s="7"/>
      <c r="CD206" s="7"/>
      <c r="CF206" s="7"/>
      <c r="CG206" s="7"/>
      <c r="CI206" s="7"/>
      <c r="CJ206" s="7"/>
      <c r="CL206" s="7"/>
      <c r="CM206" s="7"/>
      <c r="CO206" s="7"/>
      <c r="CP206" s="7"/>
      <c r="CR206" s="7"/>
      <c r="CS206" s="7"/>
      <c r="CU206" s="7"/>
      <c r="CV206" s="7"/>
      <c r="CX206" s="7"/>
      <c r="CY206" s="7"/>
      <c r="DA206" s="7"/>
      <c r="DB206" s="7"/>
      <c r="DD206" s="7"/>
      <c r="DE206" s="7"/>
      <c r="DG206" s="7"/>
      <c r="DH206" s="7"/>
      <c r="DJ206" s="7"/>
      <c r="DK206" s="7"/>
      <c r="DM206" s="7"/>
      <c r="DN206" s="7"/>
      <c r="DP206" s="7"/>
      <c r="DQ206" s="7"/>
      <c r="DS206" s="7"/>
      <c r="DT206" s="7"/>
      <c r="DV206" s="7"/>
      <c r="DW206" s="7"/>
      <c r="DY206" s="7"/>
      <c r="DZ206" s="7"/>
      <c r="EB206" s="7"/>
      <c r="EC206" s="7"/>
      <c r="EE206" s="7"/>
      <c r="EF206" s="7"/>
      <c r="EH206" s="7"/>
      <c r="EI206" s="7"/>
      <c r="EK206" s="7"/>
      <c r="EL206" s="7"/>
      <c r="EN206" s="7"/>
      <c r="EO206" s="7"/>
      <c r="EQ206" s="7"/>
      <c r="ER206" s="7"/>
      <c r="ET206" s="7"/>
      <c r="EU206" s="7"/>
      <c r="EW206" s="7"/>
      <c r="EX206" s="7"/>
      <c r="EZ206" s="7"/>
      <c r="FA206" s="7"/>
      <c r="FC206" s="7"/>
      <c r="FD206" s="7"/>
      <c r="FF206" s="7"/>
      <c r="FG206" s="7"/>
      <c r="FI206" s="7"/>
      <c r="FJ206" s="7"/>
      <c r="FL206" s="7"/>
      <c r="FM206" s="7"/>
      <c r="FO206" s="7"/>
      <c r="FP206" s="7"/>
      <c r="FR206" s="7"/>
      <c r="FS206" s="7"/>
      <c r="FU206" s="7"/>
      <c r="FV206" s="7"/>
      <c r="FX206" s="7"/>
      <c r="FY206" s="7"/>
      <c r="GA206" s="7"/>
      <c r="GB206" s="7"/>
      <c r="GD206" s="7"/>
      <c r="GE206" s="7"/>
      <c r="GG206" s="7"/>
      <c r="GH206" s="7"/>
      <c r="GJ206" s="7"/>
      <c r="GK206" s="7"/>
      <c r="GV206" s="7"/>
      <c r="GW206" s="7"/>
      <c r="HE206" s="7"/>
      <c r="HF206" s="7"/>
      <c r="HH206" s="7"/>
      <c r="HI206" s="7"/>
      <c r="HQ206" s="7"/>
      <c r="HR206" s="7"/>
      <c r="HT206" s="7"/>
      <c r="HU206" s="7"/>
      <c r="IC206" s="7"/>
      <c r="ID206" s="7"/>
      <c r="IF206" s="7"/>
      <c r="IG206" s="7"/>
      <c r="II206" s="7"/>
      <c r="IJ206" s="7"/>
      <c r="IK206" s="7"/>
      <c r="IL206" s="7"/>
      <c r="IM206" s="7"/>
      <c r="IN206" s="7"/>
      <c r="IP206" s="7"/>
      <c r="IQ206" s="7"/>
      <c r="IR206" s="7"/>
      <c r="IS206" s="7"/>
      <c r="IT206" s="7"/>
      <c r="IU206" s="7"/>
      <c r="IV206" s="7"/>
      <c r="IW206" s="7"/>
      <c r="IX206" s="7"/>
      <c r="IY206" s="7"/>
      <c r="IZ206" s="7"/>
      <c r="JA206" s="7"/>
      <c r="JB206" s="7"/>
      <c r="JC206" s="7"/>
      <c r="JE206" s="7"/>
      <c r="JF206" s="7"/>
      <c r="JH206" s="7"/>
      <c r="JI206" s="7"/>
      <c r="JJ206" s="7"/>
      <c r="JK206" s="7"/>
      <c r="JL206" s="7"/>
      <c r="JM206" s="7"/>
      <c r="JO206" s="7"/>
      <c r="JP206" s="7"/>
      <c r="JQ206" s="7"/>
      <c r="JR206" s="7"/>
      <c r="JT206" s="7"/>
      <c r="JU206" s="7"/>
      <c r="JV206" s="7"/>
      <c r="JW206" s="7"/>
      <c r="JX206" s="7"/>
    </row>
    <row r="207" spans="3:284" x14ac:dyDescent="0.3">
      <c r="C207" s="7"/>
      <c r="D207" s="7"/>
      <c r="F207" s="7"/>
      <c r="G207" s="7"/>
      <c r="I207" s="7"/>
      <c r="J207" s="7"/>
      <c r="L207" s="7"/>
      <c r="M207" s="7"/>
      <c r="O207" s="7"/>
      <c r="P207" s="7"/>
      <c r="R207" s="7"/>
      <c r="S207" s="7"/>
      <c r="U207" s="7"/>
      <c r="V207" s="7"/>
      <c r="X207" s="7"/>
      <c r="Y207" s="7"/>
      <c r="AA207" s="7"/>
      <c r="AB207" s="7"/>
      <c r="AD207" s="7"/>
      <c r="AE207" s="7"/>
      <c r="AG207" s="7"/>
      <c r="AH207" s="7"/>
      <c r="AJ207" s="7"/>
      <c r="AK207" s="7"/>
      <c r="AM207" s="7"/>
      <c r="AN207" s="7"/>
      <c r="AP207" s="7"/>
      <c r="AQ207" s="7"/>
      <c r="AS207" s="7"/>
      <c r="AT207" s="7"/>
      <c r="AV207" s="7"/>
      <c r="AW207" s="7"/>
      <c r="AY207" s="7"/>
      <c r="AZ207" s="7"/>
      <c r="BB207" s="7"/>
      <c r="BC207" s="7"/>
      <c r="BE207" s="7"/>
      <c r="BF207" s="7"/>
      <c r="BH207" s="7"/>
      <c r="BI207" s="7"/>
      <c r="BK207" s="7"/>
      <c r="BL207" s="7"/>
      <c r="BN207" s="7"/>
      <c r="BO207" s="7"/>
      <c r="BQ207" s="7"/>
      <c r="BR207" s="7"/>
      <c r="BT207" s="7"/>
      <c r="BU207" s="7"/>
      <c r="BW207" s="7"/>
      <c r="BX207" s="7"/>
      <c r="BZ207" s="7"/>
      <c r="CA207" s="7"/>
      <c r="CC207" s="7"/>
      <c r="CD207" s="7"/>
      <c r="CF207" s="7"/>
      <c r="CG207" s="7"/>
      <c r="CI207" s="7"/>
      <c r="CJ207" s="7"/>
      <c r="CL207" s="7"/>
      <c r="CM207" s="7"/>
      <c r="CO207" s="7"/>
      <c r="CP207" s="7"/>
      <c r="CR207" s="7"/>
      <c r="CS207" s="7"/>
      <c r="CU207" s="7"/>
      <c r="CV207" s="7"/>
      <c r="CX207" s="7"/>
      <c r="CY207" s="7"/>
      <c r="DA207" s="7"/>
      <c r="DB207" s="7"/>
      <c r="DD207" s="7"/>
      <c r="DE207" s="7"/>
      <c r="DG207" s="7"/>
      <c r="DH207" s="7"/>
      <c r="DJ207" s="7"/>
      <c r="DK207" s="7"/>
      <c r="DM207" s="7"/>
      <c r="DN207" s="7"/>
      <c r="DP207" s="7"/>
      <c r="DQ207" s="7"/>
      <c r="DS207" s="7"/>
      <c r="DT207" s="7"/>
      <c r="DV207" s="7"/>
      <c r="DW207" s="7"/>
      <c r="DY207" s="7"/>
      <c r="DZ207" s="7"/>
      <c r="EB207" s="7"/>
      <c r="EC207" s="7"/>
      <c r="EE207" s="7"/>
      <c r="EF207" s="7"/>
      <c r="EH207" s="7"/>
      <c r="EI207" s="7"/>
      <c r="EK207" s="7"/>
      <c r="EL207" s="7"/>
      <c r="EN207" s="7"/>
      <c r="EO207" s="7"/>
      <c r="EQ207" s="7"/>
      <c r="ER207" s="7"/>
      <c r="ET207" s="7"/>
      <c r="EU207" s="7"/>
      <c r="EW207" s="7"/>
      <c r="EX207" s="7"/>
      <c r="EZ207" s="7"/>
      <c r="FA207" s="7"/>
      <c r="FC207" s="7"/>
      <c r="FD207" s="7"/>
      <c r="FF207" s="7"/>
      <c r="FG207" s="7"/>
      <c r="FI207" s="7"/>
      <c r="FJ207" s="7"/>
      <c r="FL207" s="7"/>
      <c r="FM207" s="7"/>
      <c r="FO207" s="7"/>
      <c r="FP207" s="7"/>
      <c r="FR207" s="7"/>
      <c r="FS207" s="7"/>
      <c r="FU207" s="7"/>
      <c r="FV207" s="7"/>
      <c r="FX207" s="7"/>
      <c r="FY207" s="7"/>
      <c r="GA207" s="7"/>
      <c r="GB207" s="7"/>
      <c r="GD207" s="7"/>
      <c r="GE207" s="7"/>
      <c r="GG207" s="7"/>
      <c r="GH207" s="7"/>
      <c r="GJ207" s="7"/>
      <c r="GK207" s="7"/>
      <c r="GV207" s="7"/>
      <c r="GW207" s="7"/>
      <c r="HE207" s="7"/>
      <c r="HF207" s="7"/>
      <c r="HH207" s="7"/>
      <c r="HI207" s="7"/>
      <c r="HQ207" s="7"/>
      <c r="HR207" s="7"/>
      <c r="HT207" s="7"/>
      <c r="HU207" s="7"/>
      <c r="IC207" s="7"/>
      <c r="ID207" s="7"/>
      <c r="IF207" s="7"/>
      <c r="IG207" s="7"/>
      <c r="II207" s="7"/>
      <c r="IJ207" s="7"/>
      <c r="IK207" s="7"/>
      <c r="IL207" s="7"/>
      <c r="IM207" s="7"/>
      <c r="IN207" s="7"/>
      <c r="IP207" s="7"/>
      <c r="IQ207" s="7"/>
      <c r="IR207" s="7"/>
      <c r="IS207" s="7"/>
      <c r="IT207" s="7"/>
      <c r="IU207" s="7"/>
      <c r="IV207" s="7"/>
      <c r="IW207" s="7"/>
      <c r="IX207" s="7"/>
      <c r="IY207" s="7"/>
      <c r="IZ207" s="7"/>
      <c r="JA207" s="7"/>
      <c r="JB207" s="7"/>
      <c r="JC207" s="7"/>
      <c r="JE207" s="7"/>
      <c r="JF207" s="7"/>
      <c r="JH207" s="7"/>
      <c r="JI207" s="7"/>
      <c r="JJ207" s="7"/>
      <c r="JK207" s="7"/>
      <c r="JL207" s="7"/>
      <c r="JM207" s="7"/>
      <c r="JO207" s="7"/>
      <c r="JP207" s="7"/>
      <c r="JQ207" s="7"/>
      <c r="JR207" s="7"/>
      <c r="JT207" s="7"/>
      <c r="JU207" s="7"/>
      <c r="JV207" s="7"/>
      <c r="JW207" s="7"/>
      <c r="JX207" s="7"/>
    </row>
    <row r="208" spans="3:284" x14ac:dyDescent="0.3">
      <c r="C208" s="7"/>
      <c r="D208" s="7"/>
      <c r="F208" s="7"/>
      <c r="G208" s="7"/>
      <c r="I208" s="7"/>
      <c r="J208" s="7"/>
      <c r="L208" s="7"/>
      <c r="M208" s="7"/>
      <c r="O208" s="7"/>
      <c r="P208" s="7"/>
      <c r="R208" s="7"/>
      <c r="S208" s="7"/>
      <c r="U208" s="7"/>
      <c r="V208" s="7"/>
      <c r="X208" s="7"/>
      <c r="Y208" s="7"/>
      <c r="AA208" s="7"/>
      <c r="AB208" s="7"/>
      <c r="AD208" s="7"/>
      <c r="AE208" s="7"/>
      <c r="AG208" s="7"/>
      <c r="AH208" s="7"/>
      <c r="AJ208" s="7"/>
      <c r="AK208" s="7"/>
      <c r="AM208" s="7"/>
      <c r="AN208" s="7"/>
      <c r="AP208" s="7"/>
      <c r="AQ208" s="7"/>
      <c r="AS208" s="7"/>
      <c r="AT208" s="7"/>
      <c r="AV208" s="7"/>
      <c r="AW208" s="7"/>
      <c r="AY208" s="7"/>
      <c r="AZ208" s="7"/>
      <c r="BB208" s="7"/>
      <c r="BC208" s="7"/>
      <c r="BE208" s="7"/>
      <c r="BF208" s="7"/>
      <c r="BH208" s="7"/>
      <c r="BI208" s="7"/>
      <c r="BK208" s="7"/>
      <c r="BL208" s="7"/>
      <c r="BN208" s="7"/>
      <c r="BO208" s="7"/>
      <c r="BQ208" s="7"/>
      <c r="BR208" s="7"/>
      <c r="BT208" s="7"/>
      <c r="BU208" s="7"/>
      <c r="BW208" s="7"/>
      <c r="BX208" s="7"/>
      <c r="BZ208" s="7"/>
      <c r="CA208" s="7"/>
      <c r="CC208" s="7"/>
      <c r="CD208" s="7"/>
      <c r="CF208" s="7"/>
      <c r="CG208" s="7"/>
      <c r="CI208" s="7"/>
      <c r="CJ208" s="7"/>
      <c r="CL208" s="7"/>
      <c r="CM208" s="7"/>
      <c r="CO208" s="7"/>
      <c r="CP208" s="7"/>
      <c r="CR208" s="7"/>
      <c r="CS208" s="7"/>
      <c r="CU208" s="7"/>
      <c r="CV208" s="7"/>
      <c r="CX208" s="7"/>
      <c r="CY208" s="7"/>
      <c r="DA208" s="7"/>
      <c r="DB208" s="7"/>
      <c r="DD208" s="7"/>
      <c r="DE208" s="7"/>
      <c r="DG208" s="7"/>
      <c r="DH208" s="7"/>
      <c r="DJ208" s="7"/>
      <c r="DK208" s="7"/>
      <c r="DM208" s="7"/>
      <c r="DN208" s="7"/>
      <c r="DP208" s="7"/>
      <c r="DQ208" s="7"/>
      <c r="DS208" s="7"/>
      <c r="DT208" s="7"/>
      <c r="DV208" s="7"/>
      <c r="DW208" s="7"/>
      <c r="DY208" s="7"/>
      <c r="DZ208" s="7"/>
      <c r="EB208" s="7"/>
      <c r="EC208" s="7"/>
      <c r="EE208" s="7"/>
      <c r="EF208" s="7"/>
      <c r="EH208" s="7"/>
      <c r="EI208" s="7"/>
      <c r="EK208" s="7"/>
      <c r="EL208" s="7"/>
      <c r="EN208" s="7"/>
      <c r="EO208" s="7"/>
      <c r="EQ208" s="7"/>
      <c r="ER208" s="7"/>
      <c r="ET208" s="7"/>
      <c r="EU208" s="7"/>
      <c r="EW208" s="7"/>
      <c r="EX208" s="7"/>
      <c r="EZ208" s="7"/>
      <c r="FA208" s="7"/>
      <c r="FC208" s="7"/>
      <c r="FD208" s="7"/>
      <c r="FF208" s="7"/>
      <c r="FG208" s="7"/>
      <c r="FI208" s="7"/>
      <c r="FJ208" s="7"/>
      <c r="FL208" s="7"/>
      <c r="FM208" s="7"/>
      <c r="FO208" s="7"/>
      <c r="FP208" s="7"/>
      <c r="FR208" s="7"/>
      <c r="FS208" s="7"/>
      <c r="FU208" s="7"/>
      <c r="FV208" s="7"/>
      <c r="FX208" s="7"/>
      <c r="FY208" s="7"/>
      <c r="GA208" s="7"/>
      <c r="GB208" s="7"/>
      <c r="GD208" s="7"/>
      <c r="GE208" s="7"/>
      <c r="GG208" s="7"/>
      <c r="GH208" s="7"/>
      <c r="GJ208" s="7"/>
      <c r="GK208" s="7"/>
      <c r="GV208" s="7"/>
      <c r="GW208" s="7"/>
      <c r="HE208" s="7"/>
      <c r="HF208" s="7"/>
      <c r="HH208" s="7"/>
      <c r="HI208" s="7"/>
      <c r="HQ208" s="7"/>
      <c r="HR208" s="7"/>
      <c r="HT208" s="7"/>
      <c r="HU208" s="7"/>
      <c r="IC208" s="7"/>
      <c r="ID208" s="7"/>
      <c r="IF208" s="7"/>
      <c r="IG208" s="7"/>
      <c r="II208" s="7"/>
      <c r="IJ208" s="7"/>
      <c r="IK208" s="7"/>
      <c r="IL208" s="7"/>
      <c r="IM208" s="7"/>
      <c r="IN208" s="7"/>
      <c r="IP208" s="7"/>
      <c r="IQ208" s="7"/>
      <c r="IR208" s="7"/>
      <c r="IS208" s="7"/>
      <c r="IT208" s="7"/>
      <c r="IU208" s="7"/>
      <c r="IV208" s="7"/>
      <c r="IW208" s="7"/>
      <c r="IX208" s="7"/>
      <c r="IY208" s="7"/>
      <c r="IZ208" s="7"/>
      <c r="JA208" s="7"/>
      <c r="JB208" s="7"/>
      <c r="JC208" s="7"/>
      <c r="JE208" s="7"/>
      <c r="JF208" s="7"/>
      <c r="JH208" s="7"/>
      <c r="JI208" s="7"/>
      <c r="JJ208" s="7"/>
      <c r="JK208" s="7"/>
      <c r="JL208" s="7"/>
      <c r="JM208" s="7"/>
      <c r="JO208" s="7"/>
      <c r="JP208" s="7"/>
      <c r="JQ208" s="7"/>
      <c r="JR208" s="7"/>
      <c r="JT208" s="7"/>
      <c r="JU208" s="7"/>
      <c r="JV208" s="7"/>
      <c r="JW208" s="7"/>
      <c r="JX208" s="7"/>
    </row>
    <row r="209" spans="3:284" x14ac:dyDescent="0.3">
      <c r="C209" s="7"/>
      <c r="D209" s="7"/>
      <c r="F209" s="7"/>
      <c r="G209" s="7"/>
      <c r="I209" s="7"/>
      <c r="J209" s="7"/>
      <c r="L209" s="7"/>
      <c r="M209" s="7"/>
      <c r="O209" s="7"/>
      <c r="P209" s="7"/>
      <c r="R209" s="7"/>
      <c r="S209" s="7"/>
      <c r="U209" s="7"/>
      <c r="V209" s="7"/>
      <c r="X209" s="7"/>
      <c r="Y209" s="7"/>
      <c r="AA209" s="7"/>
      <c r="AB209" s="7"/>
      <c r="AD209" s="7"/>
      <c r="AE209" s="7"/>
      <c r="AG209" s="7"/>
      <c r="AH209" s="7"/>
      <c r="AJ209" s="7"/>
      <c r="AK209" s="7"/>
      <c r="AM209" s="7"/>
      <c r="AN209" s="7"/>
      <c r="AP209" s="7"/>
      <c r="AQ209" s="7"/>
      <c r="AS209" s="7"/>
      <c r="AT209" s="7"/>
      <c r="AV209" s="7"/>
      <c r="AW209" s="7"/>
      <c r="AY209" s="7"/>
      <c r="AZ209" s="7"/>
      <c r="BB209" s="7"/>
      <c r="BC209" s="7"/>
      <c r="BE209" s="7"/>
      <c r="BF209" s="7"/>
      <c r="BH209" s="7"/>
      <c r="BI209" s="7"/>
      <c r="BK209" s="7"/>
      <c r="BL209" s="7"/>
      <c r="BN209" s="7"/>
      <c r="BO209" s="7"/>
      <c r="BQ209" s="7"/>
      <c r="BR209" s="7"/>
      <c r="BT209" s="7"/>
      <c r="BU209" s="7"/>
      <c r="BW209" s="7"/>
      <c r="BX209" s="7"/>
      <c r="BZ209" s="7"/>
      <c r="CA209" s="7"/>
      <c r="CC209" s="7"/>
      <c r="CD209" s="7"/>
      <c r="CF209" s="7"/>
      <c r="CG209" s="7"/>
      <c r="CI209" s="7"/>
      <c r="CJ209" s="7"/>
      <c r="CL209" s="7"/>
      <c r="CM209" s="7"/>
      <c r="CO209" s="7"/>
      <c r="CP209" s="7"/>
      <c r="CR209" s="7"/>
      <c r="CS209" s="7"/>
      <c r="CU209" s="7"/>
      <c r="CV209" s="7"/>
      <c r="CX209" s="7"/>
      <c r="CY209" s="7"/>
      <c r="DA209" s="7"/>
      <c r="DB209" s="7"/>
      <c r="DD209" s="7"/>
      <c r="DE209" s="7"/>
      <c r="DG209" s="7"/>
      <c r="DH209" s="7"/>
      <c r="DJ209" s="7"/>
      <c r="DK209" s="7"/>
      <c r="DM209" s="7"/>
      <c r="DN209" s="7"/>
      <c r="DP209" s="7"/>
      <c r="DQ209" s="7"/>
      <c r="DS209" s="7"/>
      <c r="DT209" s="7"/>
      <c r="DV209" s="7"/>
      <c r="DW209" s="7"/>
      <c r="DY209" s="7"/>
      <c r="DZ209" s="7"/>
      <c r="EB209" s="7"/>
      <c r="EC209" s="7"/>
      <c r="EE209" s="7"/>
      <c r="EF209" s="7"/>
      <c r="EH209" s="7"/>
      <c r="EI209" s="7"/>
      <c r="EK209" s="7"/>
      <c r="EL209" s="7"/>
      <c r="EN209" s="7"/>
      <c r="EO209" s="7"/>
      <c r="EQ209" s="7"/>
      <c r="ER209" s="7"/>
      <c r="ET209" s="7"/>
      <c r="EU209" s="7"/>
      <c r="EW209" s="7"/>
      <c r="EX209" s="7"/>
      <c r="EZ209" s="7"/>
      <c r="FA209" s="7"/>
      <c r="FC209" s="7"/>
      <c r="FD209" s="7"/>
      <c r="FF209" s="7"/>
      <c r="FG209" s="7"/>
      <c r="FI209" s="7"/>
      <c r="FJ209" s="7"/>
      <c r="FL209" s="7"/>
      <c r="FM209" s="7"/>
      <c r="FO209" s="7"/>
      <c r="FP209" s="7"/>
      <c r="FR209" s="7"/>
      <c r="FS209" s="7"/>
      <c r="FU209" s="7"/>
      <c r="FV209" s="7"/>
      <c r="FX209" s="7"/>
      <c r="FY209" s="7"/>
      <c r="GA209" s="7"/>
      <c r="GB209" s="7"/>
      <c r="GD209" s="7"/>
      <c r="GE209" s="7"/>
      <c r="GG209" s="7"/>
      <c r="GH209" s="7"/>
      <c r="GJ209" s="7"/>
      <c r="GK209" s="7"/>
      <c r="GV209" s="7"/>
      <c r="GW209" s="7"/>
      <c r="HE209" s="7"/>
      <c r="HF209" s="7"/>
      <c r="HH209" s="7"/>
      <c r="HI209" s="7"/>
      <c r="HQ209" s="7"/>
      <c r="HR209" s="7"/>
      <c r="HT209" s="7"/>
      <c r="HU209" s="7"/>
      <c r="IC209" s="7"/>
      <c r="ID209" s="7"/>
      <c r="IF209" s="7"/>
      <c r="IG209" s="7"/>
      <c r="II209" s="7"/>
      <c r="IJ209" s="7"/>
      <c r="IK209" s="7"/>
      <c r="IL209" s="7"/>
      <c r="IM209" s="7"/>
      <c r="IN209" s="7"/>
      <c r="IP209" s="7"/>
      <c r="IQ209" s="7"/>
      <c r="IR209" s="7"/>
      <c r="IS209" s="7"/>
      <c r="IT209" s="7"/>
      <c r="IU209" s="7"/>
      <c r="IV209" s="7"/>
      <c r="IW209" s="7"/>
      <c r="IX209" s="7"/>
      <c r="IY209" s="7"/>
      <c r="IZ209" s="7"/>
      <c r="JA209" s="7"/>
      <c r="JB209" s="7"/>
      <c r="JC209" s="7"/>
      <c r="JE209" s="7"/>
      <c r="JF209" s="7"/>
      <c r="JH209" s="7"/>
      <c r="JI209" s="7"/>
      <c r="JJ209" s="7"/>
      <c r="JK209" s="7"/>
      <c r="JL209" s="7"/>
      <c r="JM209" s="7"/>
      <c r="JO209" s="7"/>
      <c r="JP209" s="7"/>
      <c r="JQ209" s="7"/>
      <c r="JR209" s="7"/>
      <c r="JT209" s="7"/>
      <c r="JU209" s="7"/>
      <c r="JV209" s="7"/>
      <c r="JW209" s="7"/>
      <c r="JX209" s="7"/>
    </row>
    <row r="210" spans="3:284" x14ac:dyDescent="0.3">
      <c r="C210" s="7"/>
      <c r="D210" s="7"/>
      <c r="F210" s="7"/>
      <c r="G210" s="7"/>
      <c r="I210" s="7"/>
      <c r="J210" s="7"/>
      <c r="L210" s="7"/>
      <c r="M210" s="7"/>
      <c r="O210" s="7"/>
      <c r="P210" s="7"/>
      <c r="R210" s="7"/>
      <c r="S210" s="7"/>
      <c r="U210" s="7"/>
      <c r="V210" s="7"/>
      <c r="X210" s="7"/>
      <c r="Y210" s="7"/>
      <c r="AA210" s="7"/>
      <c r="AB210" s="7"/>
      <c r="AD210" s="7"/>
      <c r="AE210" s="7"/>
      <c r="AG210" s="7"/>
      <c r="AH210" s="7"/>
      <c r="AJ210" s="7"/>
      <c r="AK210" s="7"/>
      <c r="AM210" s="7"/>
      <c r="AN210" s="7"/>
      <c r="AP210" s="7"/>
      <c r="AQ210" s="7"/>
      <c r="AS210" s="7"/>
      <c r="AT210" s="7"/>
      <c r="AV210" s="7"/>
      <c r="AW210" s="7"/>
      <c r="AY210" s="7"/>
      <c r="AZ210" s="7"/>
      <c r="BB210" s="7"/>
      <c r="BC210" s="7"/>
      <c r="BE210" s="7"/>
      <c r="BF210" s="7"/>
      <c r="BH210" s="7"/>
      <c r="BI210" s="7"/>
      <c r="BK210" s="7"/>
      <c r="BL210" s="7"/>
      <c r="BN210" s="7"/>
      <c r="BO210" s="7"/>
      <c r="BQ210" s="7"/>
      <c r="BR210" s="7"/>
      <c r="BT210" s="7"/>
      <c r="BU210" s="7"/>
      <c r="BW210" s="7"/>
      <c r="BX210" s="7"/>
      <c r="BZ210" s="7"/>
      <c r="CA210" s="7"/>
      <c r="CC210" s="7"/>
      <c r="CD210" s="7"/>
      <c r="CF210" s="7"/>
      <c r="CG210" s="7"/>
      <c r="CI210" s="7"/>
      <c r="CJ210" s="7"/>
      <c r="CL210" s="7"/>
      <c r="CM210" s="7"/>
      <c r="CO210" s="7"/>
      <c r="CP210" s="7"/>
      <c r="CR210" s="7"/>
      <c r="CS210" s="7"/>
      <c r="CU210" s="7"/>
      <c r="CV210" s="7"/>
      <c r="CX210" s="7"/>
      <c r="CY210" s="7"/>
      <c r="DA210" s="7"/>
      <c r="DB210" s="7"/>
      <c r="DD210" s="7"/>
      <c r="DE210" s="7"/>
      <c r="DG210" s="7"/>
      <c r="DH210" s="7"/>
      <c r="DJ210" s="7"/>
      <c r="DK210" s="7"/>
      <c r="DM210" s="7"/>
      <c r="DN210" s="7"/>
      <c r="DP210" s="7"/>
      <c r="DQ210" s="7"/>
      <c r="DS210" s="7"/>
      <c r="DT210" s="7"/>
      <c r="DV210" s="7"/>
      <c r="DW210" s="7"/>
      <c r="DY210" s="7"/>
      <c r="DZ210" s="7"/>
      <c r="EB210" s="7"/>
      <c r="EC210" s="7"/>
      <c r="EE210" s="7"/>
      <c r="EF210" s="7"/>
      <c r="EH210" s="7"/>
      <c r="EI210" s="7"/>
      <c r="EK210" s="7"/>
      <c r="EL210" s="7"/>
      <c r="EN210" s="7"/>
      <c r="EO210" s="7"/>
      <c r="EQ210" s="7"/>
      <c r="ER210" s="7"/>
      <c r="ET210" s="7"/>
      <c r="EU210" s="7"/>
      <c r="EW210" s="7"/>
      <c r="EX210" s="7"/>
      <c r="EZ210" s="7"/>
      <c r="FA210" s="7"/>
      <c r="FC210" s="7"/>
      <c r="FD210" s="7"/>
      <c r="FF210" s="7"/>
      <c r="FG210" s="7"/>
      <c r="FI210" s="7"/>
      <c r="FJ210" s="7"/>
      <c r="FL210" s="7"/>
      <c r="FM210" s="7"/>
      <c r="FO210" s="7"/>
      <c r="FP210" s="7"/>
      <c r="FR210" s="7"/>
      <c r="FS210" s="7"/>
      <c r="FU210" s="7"/>
      <c r="FV210" s="7"/>
      <c r="FX210" s="7"/>
      <c r="FY210" s="7"/>
      <c r="GA210" s="7"/>
      <c r="GB210" s="7"/>
      <c r="GD210" s="7"/>
      <c r="GE210" s="7"/>
      <c r="GG210" s="7"/>
      <c r="GH210" s="7"/>
      <c r="GJ210" s="7"/>
      <c r="GK210" s="7"/>
      <c r="GV210" s="7"/>
      <c r="GW210" s="7"/>
      <c r="HE210" s="7"/>
      <c r="HF210" s="7"/>
      <c r="HH210" s="7"/>
      <c r="HI210" s="7"/>
      <c r="HQ210" s="7"/>
      <c r="HR210" s="7"/>
      <c r="HT210" s="7"/>
      <c r="HU210" s="7"/>
      <c r="IC210" s="7"/>
      <c r="ID210" s="7"/>
      <c r="IF210" s="7"/>
      <c r="IG210" s="7"/>
      <c r="II210" s="7"/>
      <c r="IJ210" s="7"/>
      <c r="IK210" s="7"/>
      <c r="IL210" s="7"/>
      <c r="IM210" s="7"/>
      <c r="IN210" s="7"/>
      <c r="IP210" s="7"/>
      <c r="IQ210" s="7"/>
      <c r="IR210" s="7"/>
      <c r="IS210" s="7"/>
      <c r="IT210" s="7"/>
      <c r="IU210" s="7"/>
      <c r="IV210" s="7"/>
      <c r="IW210" s="7"/>
      <c r="IX210" s="7"/>
      <c r="IY210" s="7"/>
      <c r="IZ210" s="7"/>
      <c r="JA210" s="7"/>
      <c r="JB210" s="7"/>
      <c r="JC210" s="7"/>
      <c r="JE210" s="7"/>
      <c r="JF210" s="7"/>
      <c r="JH210" s="7"/>
      <c r="JI210" s="7"/>
      <c r="JJ210" s="7"/>
      <c r="JK210" s="7"/>
      <c r="JL210" s="7"/>
      <c r="JM210" s="7"/>
      <c r="JO210" s="7"/>
      <c r="JP210" s="7"/>
      <c r="JQ210" s="7"/>
      <c r="JR210" s="7"/>
      <c r="JT210" s="7"/>
      <c r="JU210" s="7"/>
      <c r="JV210" s="7"/>
      <c r="JW210" s="7"/>
      <c r="JX210" s="7"/>
    </row>
    <row r="211" spans="3:284" x14ac:dyDescent="0.3">
      <c r="C211" s="7"/>
      <c r="D211" s="7"/>
      <c r="F211" s="7"/>
      <c r="G211" s="7"/>
      <c r="I211" s="7"/>
      <c r="J211" s="7"/>
      <c r="L211" s="7"/>
      <c r="M211" s="7"/>
      <c r="O211" s="7"/>
      <c r="P211" s="7"/>
      <c r="R211" s="7"/>
      <c r="S211" s="7"/>
      <c r="U211" s="7"/>
      <c r="V211" s="7"/>
      <c r="X211" s="7"/>
      <c r="Y211" s="7"/>
      <c r="AA211" s="7"/>
      <c r="AB211" s="7"/>
      <c r="AD211" s="7"/>
      <c r="AE211" s="7"/>
      <c r="AG211" s="7"/>
      <c r="AH211" s="7"/>
      <c r="AJ211" s="7"/>
      <c r="AK211" s="7"/>
      <c r="AM211" s="7"/>
      <c r="AN211" s="7"/>
      <c r="AP211" s="7"/>
      <c r="AQ211" s="7"/>
      <c r="AS211" s="7"/>
      <c r="AT211" s="7"/>
      <c r="AV211" s="7"/>
      <c r="AW211" s="7"/>
      <c r="AY211" s="7"/>
      <c r="AZ211" s="7"/>
      <c r="BB211" s="7"/>
      <c r="BC211" s="7"/>
      <c r="BE211" s="7"/>
      <c r="BF211" s="7"/>
      <c r="BH211" s="7"/>
      <c r="BI211" s="7"/>
      <c r="BK211" s="7"/>
      <c r="BL211" s="7"/>
      <c r="BN211" s="7"/>
      <c r="BO211" s="7"/>
      <c r="BQ211" s="7"/>
      <c r="BR211" s="7"/>
      <c r="BT211" s="7"/>
      <c r="BU211" s="7"/>
      <c r="BW211" s="7"/>
      <c r="BX211" s="7"/>
      <c r="BZ211" s="7"/>
      <c r="CA211" s="7"/>
      <c r="CC211" s="7"/>
      <c r="CD211" s="7"/>
      <c r="CF211" s="7"/>
      <c r="CG211" s="7"/>
      <c r="CI211" s="7"/>
      <c r="CJ211" s="7"/>
      <c r="CL211" s="7"/>
      <c r="CM211" s="7"/>
      <c r="CO211" s="7"/>
      <c r="CP211" s="7"/>
      <c r="CR211" s="7"/>
      <c r="CS211" s="7"/>
      <c r="CU211" s="7"/>
      <c r="CV211" s="7"/>
      <c r="CX211" s="7"/>
      <c r="CY211" s="7"/>
      <c r="DA211" s="7"/>
      <c r="DB211" s="7"/>
      <c r="DD211" s="7"/>
      <c r="DE211" s="7"/>
      <c r="DG211" s="7"/>
      <c r="DH211" s="7"/>
      <c r="DJ211" s="7"/>
      <c r="DK211" s="7"/>
      <c r="DM211" s="7"/>
      <c r="DN211" s="7"/>
      <c r="DP211" s="7"/>
      <c r="DQ211" s="7"/>
      <c r="DS211" s="7"/>
      <c r="DT211" s="7"/>
      <c r="DV211" s="7"/>
      <c r="DW211" s="7"/>
      <c r="DY211" s="7"/>
      <c r="DZ211" s="7"/>
      <c r="EB211" s="7"/>
      <c r="EC211" s="7"/>
      <c r="EE211" s="7"/>
      <c r="EF211" s="7"/>
      <c r="EH211" s="7"/>
      <c r="EI211" s="7"/>
      <c r="EK211" s="7"/>
      <c r="EL211" s="7"/>
      <c r="EN211" s="7"/>
      <c r="EO211" s="7"/>
      <c r="EQ211" s="7"/>
      <c r="ER211" s="7"/>
      <c r="ET211" s="7"/>
      <c r="EU211" s="7"/>
      <c r="EW211" s="7"/>
      <c r="EX211" s="7"/>
      <c r="EZ211" s="7"/>
      <c r="FA211" s="7"/>
      <c r="FC211" s="7"/>
      <c r="FD211" s="7"/>
      <c r="FF211" s="7"/>
      <c r="FG211" s="7"/>
      <c r="FI211" s="7"/>
      <c r="FJ211" s="7"/>
      <c r="FL211" s="7"/>
      <c r="FM211" s="7"/>
      <c r="FO211" s="7"/>
      <c r="FP211" s="7"/>
      <c r="FR211" s="7"/>
      <c r="FS211" s="7"/>
      <c r="FU211" s="7"/>
      <c r="FV211" s="7"/>
      <c r="FX211" s="7"/>
      <c r="FY211" s="7"/>
      <c r="GA211" s="7"/>
      <c r="GB211" s="7"/>
      <c r="GD211" s="7"/>
      <c r="GE211" s="7"/>
      <c r="GG211" s="7"/>
      <c r="GH211" s="7"/>
      <c r="GJ211" s="7"/>
      <c r="GK211" s="7"/>
      <c r="GV211" s="7"/>
      <c r="GW211" s="7"/>
      <c r="HE211" s="7"/>
      <c r="HF211" s="7"/>
      <c r="HH211" s="7"/>
      <c r="HI211" s="7"/>
      <c r="HQ211" s="7"/>
      <c r="HR211" s="7"/>
      <c r="HT211" s="7"/>
      <c r="HU211" s="7"/>
      <c r="IC211" s="7"/>
      <c r="ID211" s="7"/>
      <c r="IF211" s="7"/>
      <c r="IG211" s="7"/>
      <c r="II211" s="7"/>
      <c r="IJ211" s="7"/>
      <c r="IK211" s="7"/>
      <c r="IL211" s="7"/>
      <c r="IM211" s="7"/>
      <c r="IN211" s="7"/>
      <c r="IP211" s="7"/>
      <c r="IQ211" s="7"/>
      <c r="IR211" s="7"/>
      <c r="IS211" s="7"/>
      <c r="IT211" s="7"/>
      <c r="IU211" s="7"/>
      <c r="IV211" s="7"/>
      <c r="IW211" s="7"/>
      <c r="IX211" s="7"/>
      <c r="IY211" s="7"/>
      <c r="IZ211" s="7"/>
      <c r="JA211" s="7"/>
      <c r="JB211" s="7"/>
      <c r="JC211" s="7"/>
      <c r="JE211" s="7"/>
      <c r="JF211" s="7"/>
      <c r="JH211" s="7"/>
      <c r="JI211" s="7"/>
      <c r="JJ211" s="7"/>
      <c r="JK211" s="7"/>
      <c r="JL211" s="7"/>
      <c r="JM211" s="7"/>
      <c r="JO211" s="7"/>
      <c r="JP211" s="7"/>
      <c r="JQ211" s="7"/>
      <c r="JR211" s="7"/>
      <c r="JT211" s="7"/>
      <c r="JU211" s="7"/>
      <c r="JV211" s="7"/>
      <c r="JW211" s="7"/>
      <c r="JX211" s="7"/>
    </row>
    <row r="212" spans="3:284" x14ac:dyDescent="0.3">
      <c r="C212" s="7"/>
      <c r="D212" s="7"/>
      <c r="F212" s="7"/>
      <c r="G212" s="7"/>
      <c r="I212" s="7"/>
      <c r="J212" s="7"/>
      <c r="L212" s="7"/>
      <c r="M212" s="7"/>
      <c r="O212" s="7"/>
      <c r="P212" s="7"/>
      <c r="R212" s="7"/>
      <c r="S212" s="7"/>
      <c r="U212" s="7"/>
      <c r="V212" s="7"/>
      <c r="X212" s="7"/>
      <c r="Y212" s="7"/>
      <c r="AA212" s="7"/>
      <c r="AB212" s="7"/>
      <c r="AD212" s="7"/>
      <c r="AE212" s="7"/>
      <c r="AG212" s="7"/>
      <c r="AH212" s="7"/>
      <c r="AJ212" s="7"/>
      <c r="AK212" s="7"/>
      <c r="AM212" s="7"/>
      <c r="AN212" s="7"/>
      <c r="AP212" s="7"/>
      <c r="AQ212" s="7"/>
      <c r="AS212" s="7"/>
      <c r="AT212" s="7"/>
      <c r="AV212" s="7"/>
      <c r="AW212" s="7"/>
      <c r="AY212" s="7"/>
      <c r="AZ212" s="7"/>
      <c r="BB212" s="7"/>
      <c r="BC212" s="7"/>
      <c r="BE212" s="7"/>
      <c r="BF212" s="7"/>
      <c r="BH212" s="7"/>
      <c r="BI212" s="7"/>
      <c r="BK212" s="7"/>
      <c r="BL212" s="7"/>
      <c r="BN212" s="7"/>
      <c r="BO212" s="7"/>
      <c r="BQ212" s="7"/>
      <c r="BR212" s="7"/>
      <c r="BT212" s="7"/>
      <c r="BU212" s="7"/>
      <c r="BW212" s="7"/>
      <c r="BX212" s="7"/>
      <c r="BZ212" s="7"/>
      <c r="CA212" s="7"/>
      <c r="CC212" s="7"/>
      <c r="CD212" s="7"/>
      <c r="CF212" s="7"/>
      <c r="CG212" s="7"/>
      <c r="CI212" s="7"/>
      <c r="CJ212" s="7"/>
      <c r="CL212" s="7"/>
      <c r="CM212" s="7"/>
      <c r="CO212" s="7"/>
      <c r="CP212" s="7"/>
      <c r="CR212" s="7"/>
      <c r="CS212" s="7"/>
      <c r="CU212" s="7"/>
      <c r="CV212" s="7"/>
      <c r="CX212" s="7"/>
      <c r="CY212" s="7"/>
      <c r="DA212" s="7"/>
      <c r="DB212" s="7"/>
      <c r="DD212" s="7"/>
      <c r="DE212" s="7"/>
      <c r="DG212" s="7"/>
      <c r="DH212" s="7"/>
      <c r="DJ212" s="7"/>
      <c r="DK212" s="7"/>
      <c r="DM212" s="7"/>
      <c r="DN212" s="7"/>
      <c r="DP212" s="7"/>
      <c r="DQ212" s="7"/>
      <c r="DS212" s="7"/>
      <c r="DT212" s="7"/>
      <c r="DV212" s="7"/>
      <c r="DW212" s="7"/>
      <c r="DY212" s="7"/>
      <c r="DZ212" s="7"/>
      <c r="EB212" s="7"/>
      <c r="EC212" s="7"/>
      <c r="EE212" s="7"/>
      <c r="EF212" s="7"/>
      <c r="EH212" s="7"/>
      <c r="EI212" s="7"/>
      <c r="EK212" s="7"/>
      <c r="EL212" s="7"/>
      <c r="EN212" s="7"/>
      <c r="EO212" s="7"/>
      <c r="EQ212" s="7"/>
      <c r="ER212" s="7"/>
      <c r="ET212" s="7"/>
      <c r="EU212" s="7"/>
      <c r="EW212" s="7"/>
      <c r="EX212" s="7"/>
      <c r="EZ212" s="7"/>
      <c r="FA212" s="7"/>
      <c r="FC212" s="7"/>
      <c r="FD212" s="7"/>
      <c r="FF212" s="7"/>
      <c r="FG212" s="7"/>
      <c r="FI212" s="7"/>
      <c r="FJ212" s="7"/>
      <c r="FL212" s="7"/>
      <c r="FM212" s="7"/>
      <c r="FO212" s="7"/>
      <c r="FP212" s="7"/>
      <c r="FR212" s="7"/>
      <c r="FS212" s="7"/>
      <c r="FU212" s="7"/>
      <c r="FV212" s="7"/>
      <c r="FX212" s="7"/>
      <c r="FY212" s="7"/>
      <c r="GA212" s="7"/>
      <c r="GB212" s="7"/>
      <c r="GD212" s="7"/>
      <c r="GE212" s="7"/>
      <c r="GG212" s="7"/>
      <c r="GH212" s="7"/>
      <c r="GJ212" s="7"/>
      <c r="GK212" s="7"/>
      <c r="GV212" s="7"/>
      <c r="GW212" s="7"/>
      <c r="HE212" s="7"/>
      <c r="HF212" s="7"/>
      <c r="HH212" s="7"/>
      <c r="HI212" s="7"/>
      <c r="HQ212" s="7"/>
      <c r="HR212" s="7"/>
      <c r="HT212" s="7"/>
      <c r="HU212" s="7"/>
      <c r="IC212" s="7"/>
      <c r="ID212" s="7"/>
      <c r="IF212" s="7"/>
      <c r="IG212" s="7"/>
      <c r="II212" s="7"/>
      <c r="IJ212" s="7"/>
      <c r="IK212" s="7"/>
      <c r="IL212" s="7"/>
      <c r="IM212" s="7"/>
      <c r="IN212" s="7"/>
      <c r="IP212" s="7"/>
      <c r="IQ212" s="7"/>
      <c r="IR212" s="7"/>
      <c r="IS212" s="7"/>
      <c r="IT212" s="7"/>
      <c r="IU212" s="7"/>
      <c r="IV212" s="7"/>
      <c r="IW212" s="7"/>
      <c r="IX212" s="7"/>
      <c r="IY212" s="7"/>
      <c r="IZ212" s="7"/>
      <c r="JA212" s="7"/>
      <c r="JB212" s="7"/>
      <c r="JC212" s="7"/>
      <c r="JE212" s="7"/>
      <c r="JF212" s="7"/>
      <c r="JH212" s="7"/>
      <c r="JI212" s="7"/>
      <c r="JJ212" s="7"/>
      <c r="JK212" s="7"/>
      <c r="JL212" s="7"/>
      <c r="JM212" s="7"/>
      <c r="JO212" s="7"/>
      <c r="JP212" s="7"/>
      <c r="JQ212" s="7"/>
      <c r="JR212" s="7"/>
      <c r="JT212" s="7"/>
      <c r="JU212" s="7"/>
      <c r="JV212" s="7"/>
      <c r="JW212" s="7"/>
      <c r="JX212" s="7"/>
    </row>
    <row r="213" spans="3:284" x14ac:dyDescent="0.3">
      <c r="C213" s="7"/>
      <c r="D213" s="7"/>
      <c r="F213" s="7"/>
      <c r="G213" s="7"/>
      <c r="I213" s="7"/>
      <c r="J213" s="7"/>
      <c r="L213" s="7"/>
      <c r="M213" s="7"/>
      <c r="O213" s="7"/>
      <c r="P213" s="7"/>
      <c r="R213" s="7"/>
      <c r="S213" s="7"/>
      <c r="U213" s="7"/>
      <c r="V213" s="7"/>
      <c r="X213" s="7"/>
      <c r="Y213" s="7"/>
      <c r="AA213" s="7"/>
      <c r="AB213" s="7"/>
      <c r="AD213" s="7"/>
      <c r="AE213" s="7"/>
      <c r="AG213" s="7"/>
      <c r="AH213" s="7"/>
      <c r="AJ213" s="7"/>
      <c r="AK213" s="7"/>
      <c r="AM213" s="7"/>
      <c r="AN213" s="7"/>
      <c r="AP213" s="7"/>
      <c r="AQ213" s="7"/>
      <c r="AS213" s="7"/>
      <c r="AT213" s="7"/>
      <c r="AV213" s="7"/>
      <c r="AW213" s="7"/>
      <c r="AY213" s="7"/>
      <c r="AZ213" s="7"/>
      <c r="BB213" s="7"/>
      <c r="BC213" s="7"/>
      <c r="BE213" s="7"/>
      <c r="BF213" s="7"/>
      <c r="BH213" s="7"/>
      <c r="BI213" s="7"/>
      <c r="BK213" s="7"/>
      <c r="BL213" s="7"/>
      <c r="BN213" s="7"/>
      <c r="BO213" s="7"/>
      <c r="BQ213" s="7"/>
      <c r="BR213" s="7"/>
      <c r="BT213" s="7"/>
      <c r="BU213" s="7"/>
      <c r="BW213" s="7"/>
      <c r="BX213" s="7"/>
      <c r="BZ213" s="7"/>
      <c r="CA213" s="7"/>
      <c r="CC213" s="7"/>
      <c r="CD213" s="7"/>
      <c r="CF213" s="7"/>
      <c r="CG213" s="7"/>
      <c r="CI213" s="7"/>
      <c r="CJ213" s="7"/>
      <c r="CL213" s="7"/>
      <c r="CM213" s="7"/>
      <c r="CO213" s="7"/>
      <c r="CP213" s="7"/>
      <c r="CR213" s="7"/>
      <c r="CS213" s="7"/>
      <c r="CU213" s="7"/>
      <c r="CV213" s="7"/>
      <c r="CX213" s="7"/>
      <c r="CY213" s="7"/>
      <c r="DA213" s="7"/>
      <c r="DB213" s="7"/>
      <c r="DD213" s="7"/>
      <c r="DE213" s="7"/>
      <c r="DG213" s="7"/>
      <c r="DH213" s="7"/>
      <c r="DJ213" s="7"/>
      <c r="DK213" s="7"/>
      <c r="DM213" s="7"/>
      <c r="DN213" s="7"/>
      <c r="DP213" s="7"/>
      <c r="DQ213" s="7"/>
      <c r="DS213" s="7"/>
      <c r="DT213" s="7"/>
      <c r="DV213" s="7"/>
      <c r="DW213" s="7"/>
      <c r="DY213" s="7"/>
      <c r="DZ213" s="7"/>
      <c r="EB213" s="7"/>
      <c r="EC213" s="7"/>
      <c r="EE213" s="7"/>
      <c r="EF213" s="7"/>
      <c r="EH213" s="7"/>
      <c r="EI213" s="7"/>
      <c r="EK213" s="7"/>
      <c r="EL213" s="7"/>
      <c r="EN213" s="7"/>
      <c r="EO213" s="7"/>
      <c r="EQ213" s="7"/>
      <c r="ER213" s="7"/>
      <c r="ET213" s="7"/>
      <c r="EU213" s="7"/>
      <c r="EW213" s="7"/>
      <c r="EX213" s="7"/>
      <c r="EZ213" s="7"/>
      <c r="FA213" s="7"/>
      <c r="FC213" s="7"/>
      <c r="FD213" s="7"/>
      <c r="FF213" s="7"/>
      <c r="FG213" s="7"/>
      <c r="FI213" s="7"/>
      <c r="FJ213" s="7"/>
      <c r="FL213" s="7"/>
      <c r="FM213" s="7"/>
      <c r="FO213" s="7"/>
      <c r="FP213" s="7"/>
      <c r="FR213" s="7"/>
      <c r="FS213" s="7"/>
      <c r="FU213" s="7"/>
      <c r="FV213" s="7"/>
      <c r="FX213" s="7"/>
      <c r="FY213" s="7"/>
      <c r="GA213" s="7"/>
      <c r="GB213" s="7"/>
      <c r="GD213" s="7"/>
      <c r="GE213" s="7"/>
      <c r="GG213" s="7"/>
      <c r="GH213" s="7"/>
      <c r="GJ213" s="7"/>
      <c r="GK213" s="7"/>
      <c r="GV213" s="7"/>
      <c r="GW213" s="7"/>
      <c r="HE213" s="7"/>
      <c r="HF213" s="7"/>
      <c r="HH213" s="7"/>
      <c r="HI213" s="7"/>
      <c r="HQ213" s="7"/>
      <c r="HR213" s="7"/>
      <c r="HT213" s="7"/>
      <c r="HU213" s="7"/>
      <c r="IC213" s="7"/>
      <c r="ID213" s="7"/>
      <c r="IF213" s="7"/>
      <c r="IG213" s="7"/>
      <c r="II213" s="7"/>
      <c r="IJ213" s="7"/>
      <c r="IK213" s="7"/>
      <c r="IL213" s="7"/>
      <c r="IM213" s="7"/>
      <c r="IN213" s="7"/>
      <c r="IP213" s="7"/>
      <c r="IQ213" s="7"/>
      <c r="IR213" s="7"/>
      <c r="IS213" s="7"/>
      <c r="IT213" s="7"/>
      <c r="IU213" s="7"/>
      <c r="IV213" s="7"/>
      <c r="IW213" s="7"/>
      <c r="IX213" s="7"/>
      <c r="IY213" s="7"/>
      <c r="IZ213" s="7"/>
      <c r="JA213" s="7"/>
      <c r="JB213" s="7"/>
      <c r="JC213" s="7"/>
      <c r="JE213" s="7"/>
      <c r="JF213" s="7"/>
      <c r="JH213" s="7"/>
      <c r="JI213" s="7"/>
      <c r="JJ213" s="7"/>
      <c r="JK213" s="7"/>
      <c r="JL213" s="7"/>
      <c r="JM213" s="7"/>
      <c r="JO213" s="7"/>
      <c r="JP213" s="7"/>
      <c r="JQ213" s="7"/>
      <c r="JR213" s="7"/>
      <c r="JT213" s="7"/>
      <c r="JU213" s="7"/>
      <c r="JV213" s="7"/>
      <c r="JW213" s="7"/>
      <c r="JX213" s="7"/>
    </row>
    <row r="214" spans="3:284" x14ac:dyDescent="0.3">
      <c r="C214" s="7"/>
      <c r="D214" s="7"/>
      <c r="F214" s="7"/>
      <c r="G214" s="7"/>
      <c r="I214" s="7"/>
      <c r="J214" s="7"/>
      <c r="L214" s="7"/>
      <c r="M214" s="7"/>
      <c r="O214" s="7"/>
      <c r="P214" s="7"/>
      <c r="R214" s="7"/>
      <c r="S214" s="7"/>
      <c r="U214" s="7"/>
      <c r="V214" s="7"/>
      <c r="X214" s="7"/>
      <c r="Y214" s="7"/>
      <c r="AA214" s="7"/>
      <c r="AB214" s="7"/>
      <c r="AD214" s="7"/>
      <c r="AE214" s="7"/>
      <c r="AG214" s="7"/>
      <c r="AH214" s="7"/>
      <c r="AJ214" s="7"/>
      <c r="AK214" s="7"/>
      <c r="AM214" s="7"/>
      <c r="AN214" s="7"/>
      <c r="AP214" s="7"/>
      <c r="AQ214" s="7"/>
      <c r="AS214" s="7"/>
      <c r="AT214" s="7"/>
      <c r="AV214" s="7"/>
      <c r="AW214" s="7"/>
      <c r="AY214" s="7"/>
      <c r="AZ214" s="7"/>
      <c r="BB214" s="7"/>
      <c r="BC214" s="7"/>
      <c r="BE214" s="7"/>
      <c r="BF214" s="7"/>
      <c r="BH214" s="7"/>
      <c r="BI214" s="7"/>
      <c r="BK214" s="7"/>
      <c r="BL214" s="7"/>
      <c r="BN214" s="7"/>
      <c r="BO214" s="7"/>
      <c r="BQ214" s="7"/>
      <c r="BR214" s="7"/>
      <c r="BT214" s="7"/>
      <c r="BU214" s="7"/>
      <c r="BW214" s="7"/>
      <c r="BX214" s="7"/>
      <c r="BZ214" s="7"/>
      <c r="CA214" s="7"/>
      <c r="CC214" s="7"/>
      <c r="CD214" s="7"/>
      <c r="CF214" s="7"/>
      <c r="CG214" s="7"/>
      <c r="CI214" s="7"/>
      <c r="CJ214" s="7"/>
      <c r="CL214" s="7"/>
      <c r="CM214" s="7"/>
      <c r="CO214" s="7"/>
      <c r="CP214" s="7"/>
      <c r="CR214" s="7"/>
      <c r="CS214" s="7"/>
      <c r="CU214" s="7"/>
      <c r="CV214" s="7"/>
      <c r="CX214" s="7"/>
      <c r="CY214" s="7"/>
      <c r="DA214" s="7"/>
      <c r="DB214" s="7"/>
      <c r="DD214" s="7"/>
      <c r="DE214" s="7"/>
      <c r="DG214" s="7"/>
      <c r="DH214" s="7"/>
      <c r="DJ214" s="7"/>
      <c r="DK214" s="7"/>
      <c r="DM214" s="7"/>
      <c r="DN214" s="7"/>
      <c r="DP214" s="7"/>
      <c r="DQ214" s="7"/>
      <c r="DS214" s="7"/>
      <c r="DT214" s="7"/>
      <c r="DV214" s="7"/>
      <c r="DW214" s="7"/>
      <c r="DY214" s="7"/>
      <c r="DZ214" s="7"/>
      <c r="EB214" s="7"/>
      <c r="EC214" s="7"/>
      <c r="EE214" s="7"/>
      <c r="EF214" s="7"/>
      <c r="EH214" s="7"/>
      <c r="EI214" s="7"/>
      <c r="EK214" s="7"/>
      <c r="EL214" s="7"/>
      <c r="EN214" s="7"/>
      <c r="EO214" s="7"/>
      <c r="EQ214" s="7"/>
      <c r="ER214" s="7"/>
      <c r="ET214" s="7"/>
      <c r="EU214" s="7"/>
      <c r="EW214" s="7"/>
      <c r="EX214" s="7"/>
      <c r="EZ214" s="7"/>
      <c r="FA214" s="7"/>
      <c r="FC214" s="7"/>
      <c r="FD214" s="7"/>
      <c r="FF214" s="7"/>
      <c r="FG214" s="7"/>
      <c r="FI214" s="7"/>
      <c r="FJ214" s="7"/>
      <c r="FL214" s="7"/>
      <c r="FM214" s="7"/>
      <c r="FO214" s="7"/>
      <c r="FP214" s="7"/>
      <c r="FR214" s="7"/>
      <c r="FS214" s="7"/>
      <c r="FU214" s="7"/>
      <c r="FV214" s="7"/>
      <c r="FX214" s="7"/>
      <c r="FY214" s="7"/>
      <c r="GA214" s="7"/>
      <c r="GB214" s="7"/>
      <c r="GD214" s="7"/>
      <c r="GE214" s="7"/>
      <c r="GG214" s="7"/>
      <c r="GH214" s="7"/>
      <c r="GJ214" s="7"/>
      <c r="GK214" s="7"/>
      <c r="GV214" s="7"/>
      <c r="GW214" s="7"/>
      <c r="HE214" s="7"/>
      <c r="HF214" s="7"/>
      <c r="HH214" s="7"/>
      <c r="HI214" s="7"/>
      <c r="HQ214" s="7"/>
      <c r="HR214" s="7"/>
      <c r="HT214" s="7"/>
      <c r="HU214" s="7"/>
      <c r="IC214" s="7"/>
      <c r="ID214" s="7"/>
      <c r="IF214" s="7"/>
      <c r="IG214" s="7"/>
      <c r="II214" s="7"/>
      <c r="IJ214" s="7"/>
      <c r="IK214" s="7"/>
      <c r="IL214" s="7"/>
      <c r="IM214" s="7"/>
      <c r="IN214" s="7"/>
      <c r="IP214" s="7"/>
      <c r="IQ214" s="7"/>
      <c r="IR214" s="7"/>
      <c r="IS214" s="7"/>
      <c r="IT214" s="7"/>
      <c r="IU214" s="7"/>
      <c r="IV214" s="7"/>
      <c r="IW214" s="7"/>
      <c r="IX214" s="7"/>
      <c r="IY214" s="7"/>
      <c r="IZ214" s="7"/>
      <c r="JA214" s="7"/>
      <c r="JB214" s="7"/>
      <c r="JC214" s="7"/>
      <c r="JE214" s="7"/>
      <c r="JF214" s="7"/>
      <c r="JH214" s="7"/>
      <c r="JI214" s="7"/>
      <c r="JJ214" s="7"/>
      <c r="JK214" s="7"/>
      <c r="JL214" s="7"/>
      <c r="JM214" s="7"/>
      <c r="JO214" s="7"/>
      <c r="JP214" s="7"/>
      <c r="JQ214" s="7"/>
      <c r="JR214" s="7"/>
      <c r="JT214" s="7"/>
      <c r="JU214" s="7"/>
      <c r="JV214" s="7"/>
      <c r="JW214" s="7"/>
      <c r="JX214" s="7"/>
    </row>
    <row r="215" spans="3:284" x14ac:dyDescent="0.3">
      <c r="C215" s="7"/>
      <c r="D215" s="7"/>
      <c r="F215" s="7"/>
      <c r="G215" s="7"/>
      <c r="I215" s="7"/>
      <c r="J215" s="7"/>
      <c r="L215" s="7"/>
      <c r="M215" s="7"/>
      <c r="O215" s="7"/>
      <c r="P215" s="7"/>
      <c r="R215" s="7"/>
      <c r="S215" s="7"/>
      <c r="U215" s="7"/>
      <c r="V215" s="7"/>
      <c r="X215" s="7"/>
      <c r="Y215" s="7"/>
      <c r="AA215" s="7"/>
      <c r="AB215" s="7"/>
      <c r="AD215" s="7"/>
      <c r="AE215" s="7"/>
      <c r="AG215" s="7"/>
      <c r="AH215" s="7"/>
      <c r="AJ215" s="7"/>
      <c r="AK215" s="7"/>
      <c r="AM215" s="7"/>
      <c r="AN215" s="7"/>
      <c r="AP215" s="7"/>
      <c r="AQ215" s="7"/>
      <c r="AS215" s="7"/>
      <c r="AT215" s="7"/>
      <c r="AV215" s="7"/>
      <c r="AW215" s="7"/>
      <c r="AY215" s="7"/>
      <c r="AZ215" s="7"/>
      <c r="BB215" s="7"/>
      <c r="BC215" s="7"/>
      <c r="BE215" s="7"/>
      <c r="BF215" s="7"/>
      <c r="BH215" s="7"/>
      <c r="BI215" s="7"/>
      <c r="BK215" s="7"/>
      <c r="BL215" s="7"/>
      <c r="BN215" s="7"/>
      <c r="BO215" s="7"/>
      <c r="BQ215" s="7"/>
      <c r="BR215" s="7"/>
      <c r="BT215" s="7"/>
      <c r="BU215" s="7"/>
      <c r="BW215" s="7"/>
      <c r="BX215" s="7"/>
      <c r="BZ215" s="7"/>
      <c r="CA215" s="7"/>
      <c r="CC215" s="7"/>
      <c r="CD215" s="7"/>
      <c r="CF215" s="7"/>
      <c r="CG215" s="7"/>
      <c r="CI215" s="7"/>
      <c r="CJ215" s="7"/>
      <c r="CL215" s="7"/>
      <c r="CM215" s="7"/>
      <c r="CO215" s="7"/>
      <c r="CP215" s="7"/>
      <c r="CR215" s="7"/>
      <c r="CS215" s="7"/>
      <c r="CU215" s="7"/>
      <c r="CV215" s="7"/>
      <c r="CX215" s="7"/>
      <c r="CY215" s="7"/>
      <c r="DA215" s="7"/>
      <c r="DB215" s="7"/>
      <c r="DD215" s="7"/>
      <c r="DE215" s="7"/>
      <c r="DG215" s="7"/>
      <c r="DH215" s="7"/>
      <c r="DJ215" s="7"/>
      <c r="DK215" s="7"/>
      <c r="DM215" s="7"/>
      <c r="DN215" s="7"/>
      <c r="DP215" s="7"/>
      <c r="DQ215" s="7"/>
      <c r="DS215" s="7"/>
      <c r="DT215" s="7"/>
      <c r="DV215" s="7"/>
      <c r="DW215" s="7"/>
      <c r="DY215" s="7"/>
      <c r="DZ215" s="7"/>
      <c r="EB215" s="7"/>
      <c r="EC215" s="7"/>
      <c r="EE215" s="7"/>
      <c r="EF215" s="7"/>
      <c r="EH215" s="7"/>
      <c r="EI215" s="7"/>
      <c r="EK215" s="7"/>
      <c r="EL215" s="7"/>
      <c r="EN215" s="7"/>
      <c r="EO215" s="7"/>
      <c r="EQ215" s="7"/>
      <c r="ER215" s="7"/>
      <c r="ET215" s="7"/>
      <c r="EU215" s="7"/>
      <c r="EW215" s="7"/>
      <c r="EX215" s="7"/>
      <c r="EZ215" s="7"/>
      <c r="FA215" s="7"/>
      <c r="FC215" s="7"/>
      <c r="FD215" s="7"/>
      <c r="FF215" s="7"/>
      <c r="FG215" s="7"/>
      <c r="FI215" s="7"/>
      <c r="FJ215" s="7"/>
      <c r="FL215" s="7"/>
      <c r="FM215" s="7"/>
      <c r="FO215" s="7"/>
      <c r="FP215" s="7"/>
      <c r="FR215" s="7"/>
      <c r="FS215" s="7"/>
      <c r="FU215" s="7"/>
      <c r="FV215" s="7"/>
      <c r="FX215" s="7"/>
      <c r="FY215" s="7"/>
      <c r="GA215" s="7"/>
      <c r="GB215" s="7"/>
      <c r="GD215" s="7"/>
      <c r="GE215" s="7"/>
      <c r="GG215" s="7"/>
      <c r="GH215" s="7"/>
      <c r="GJ215" s="7"/>
      <c r="GK215" s="7"/>
      <c r="GV215" s="7"/>
      <c r="GW215" s="7"/>
      <c r="HE215" s="7"/>
      <c r="HF215" s="7"/>
      <c r="HH215" s="7"/>
      <c r="HI215" s="7"/>
      <c r="HQ215" s="7"/>
      <c r="HR215" s="7"/>
      <c r="HT215" s="7"/>
      <c r="HU215" s="7"/>
      <c r="IC215" s="7"/>
      <c r="ID215" s="7"/>
      <c r="IF215" s="7"/>
      <c r="IG215" s="7"/>
      <c r="II215" s="7"/>
      <c r="IJ215" s="7"/>
      <c r="IK215" s="7"/>
      <c r="IL215" s="7"/>
      <c r="IM215" s="7"/>
      <c r="IN215" s="7"/>
      <c r="IP215" s="7"/>
      <c r="IQ215" s="7"/>
      <c r="IR215" s="7"/>
      <c r="IS215" s="7"/>
      <c r="IT215" s="7"/>
      <c r="IU215" s="7"/>
      <c r="IV215" s="7"/>
      <c r="IW215" s="7"/>
      <c r="IX215" s="7"/>
      <c r="IY215" s="7"/>
      <c r="IZ215" s="7"/>
      <c r="JA215" s="7"/>
      <c r="JB215" s="7"/>
      <c r="JC215" s="7"/>
      <c r="JE215" s="7"/>
      <c r="JF215" s="7"/>
      <c r="JH215" s="7"/>
      <c r="JI215" s="7"/>
      <c r="JJ215" s="7"/>
      <c r="JK215" s="7"/>
      <c r="JL215" s="7"/>
      <c r="JM215" s="7"/>
      <c r="JO215" s="7"/>
      <c r="JP215" s="7"/>
      <c r="JQ215" s="7"/>
      <c r="JR215" s="7"/>
      <c r="JT215" s="7"/>
      <c r="JU215" s="7"/>
      <c r="JV215" s="7"/>
      <c r="JW215" s="7"/>
      <c r="JX215" s="7"/>
    </row>
    <row r="216" spans="3:284" x14ac:dyDescent="0.3">
      <c r="C216" s="7"/>
      <c r="D216" s="7"/>
      <c r="F216" s="7"/>
      <c r="G216" s="7"/>
      <c r="I216" s="7"/>
      <c r="J216" s="7"/>
      <c r="L216" s="7"/>
      <c r="M216" s="7"/>
      <c r="O216" s="7"/>
      <c r="P216" s="7"/>
      <c r="R216" s="7"/>
      <c r="S216" s="7"/>
      <c r="U216" s="7"/>
      <c r="V216" s="7"/>
      <c r="X216" s="7"/>
      <c r="Y216" s="7"/>
      <c r="AA216" s="7"/>
      <c r="AB216" s="7"/>
      <c r="AD216" s="7"/>
      <c r="AE216" s="7"/>
      <c r="AG216" s="7"/>
      <c r="AH216" s="7"/>
      <c r="AJ216" s="7"/>
      <c r="AK216" s="7"/>
      <c r="AM216" s="7"/>
      <c r="AN216" s="7"/>
      <c r="AP216" s="7"/>
      <c r="AQ216" s="7"/>
      <c r="AS216" s="7"/>
      <c r="AT216" s="7"/>
      <c r="AV216" s="7"/>
      <c r="AW216" s="7"/>
      <c r="AY216" s="7"/>
      <c r="AZ216" s="7"/>
      <c r="BB216" s="7"/>
      <c r="BC216" s="7"/>
      <c r="BE216" s="7"/>
      <c r="BF216" s="7"/>
      <c r="BH216" s="7"/>
      <c r="BI216" s="7"/>
      <c r="BK216" s="7"/>
      <c r="BL216" s="7"/>
      <c r="BN216" s="7"/>
      <c r="BO216" s="7"/>
      <c r="BQ216" s="7"/>
      <c r="BR216" s="7"/>
      <c r="BT216" s="7"/>
      <c r="BU216" s="7"/>
      <c r="BW216" s="7"/>
      <c r="BX216" s="7"/>
      <c r="BZ216" s="7"/>
      <c r="CA216" s="7"/>
      <c r="CC216" s="7"/>
      <c r="CD216" s="7"/>
      <c r="CF216" s="7"/>
      <c r="CG216" s="7"/>
      <c r="CI216" s="7"/>
      <c r="CJ216" s="7"/>
      <c r="CL216" s="7"/>
      <c r="CM216" s="7"/>
      <c r="CO216" s="7"/>
      <c r="CP216" s="7"/>
      <c r="CR216" s="7"/>
      <c r="CS216" s="7"/>
      <c r="CU216" s="7"/>
      <c r="CV216" s="7"/>
      <c r="CX216" s="7"/>
      <c r="CY216" s="7"/>
      <c r="DA216" s="7"/>
      <c r="DB216" s="7"/>
      <c r="DD216" s="7"/>
      <c r="DE216" s="7"/>
      <c r="DG216" s="7"/>
      <c r="DH216" s="7"/>
      <c r="DJ216" s="7"/>
      <c r="DK216" s="7"/>
      <c r="DM216" s="7"/>
      <c r="DN216" s="7"/>
      <c r="DP216" s="7"/>
      <c r="DQ216" s="7"/>
      <c r="DS216" s="7"/>
      <c r="DT216" s="7"/>
      <c r="DV216" s="7"/>
      <c r="DW216" s="7"/>
      <c r="DY216" s="7"/>
      <c r="DZ216" s="7"/>
      <c r="EB216" s="7"/>
      <c r="EC216" s="7"/>
      <c r="EE216" s="7"/>
      <c r="EF216" s="7"/>
      <c r="EH216" s="7"/>
      <c r="EI216" s="7"/>
      <c r="EK216" s="7"/>
      <c r="EL216" s="7"/>
      <c r="EN216" s="7"/>
      <c r="EO216" s="7"/>
      <c r="EQ216" s="7"/>
      <c r="ER216" s="7"/>
      <c r="ET216" s="7"/>
      <c r="EU216" s="7"/>
      <c r="EW216" s="7"/>
      <c r="EX216" s="7"/>
      <c r="EZ216" s="7"/>
      <c r="FA216" s="7"/>
      <c r="FC216" s="7"/>
      <c r="FD216" s="7"/>
      <c r="FF216" s="7"/>
      <c r="FG216" s="7"/>
      <c r="FI216" s="7"/>
      <c r="FJ216" s="7"/>
      <c r="FL216" s="7"/>
      <c r="FM216" s="7"/>
      <c r="FO216" s="7"/>
      <c r="FP216" s="7"/>
      <c r="FR216" s="7"/>
      <c r="FS216" s="7"/>
      <c r="FU216" s="7"/>
      <c r="FV216" s="7"/>
      <c r="FX216" s="7"/>
      <c r="FY216" s="7"/>
      <c r="GA216" s="7"/>
      <c r="GB216" s="7"/>
      <c r="GD216" s="7"/>
      <c r="GE216" s="7"/>
      <c r="GG216" s="7"/>
      <c r="GH216" s="7"/>
      <c r="GJ216" s="7"/>
      <c r="GK216" s="7"/>
      <c r="GV216" s="7"/>
      <c r="GW216" s="7"/>
      <c r="HE216" s="7"/>
      <c r="HF216" s="7"/>
      <c r="HH216" s="7"/>
      <c r="HI216" s="7"/>
      <c r="HQ216" s="7"/>
      <c r="HR216" s="7"/>
      <c r="HT216" s="7"/>
      <c r="HU216" s="7"/>
      <c r="IC216" s="7"/>
      <c r="ID216" s="7"/>
      <c r="IF216" s="7"/>
      <c r="IG216" s="7"/>
      <c r="II216" s="7"/>
      <c r="IJ216" s="7"/>
      <c r="IK216" s="7"/>
      <c r="IL216" s="7"/>
      <c r="IM216" s="7"/>
      <c r="IN216" s="7"/>
      <c r="IP216" s="7"/>
      <c r="IQ216" s="7"/>
      <c r="IR216" s="7"/>
      <c r="IS216" s="7"/>
      <c r="IT216" s="7"/>
      <c r="IU216" s="7"/>
      <c r="IV216" s="7"/>
      <c r="IW216" s="7"/>
      <c r="IX216" s="7"/>
      <c r="IY216" s="7"/>
      <c r="IZ216" s="7"/>
      <c r="JA216" s="7"/>
      <c r="JB216" s="7"/>
      <c r="JC216" s="7"/>
      <c r="JE216" s="7"/>
      <c r="JF216" s="7"/>
      <c r="JH216" s="7"/>
      <c r="JI216" s="7"/>
      <c r="JJ216" s="7"/>
      <c r="JK216" s="7"/>
      <c r="JL216" s="7"/>
      <c r="JM216" s="7"/>
      <c r="JO216" s="7"/>
      <c r="JP216" s="7"/>
      <c r="JQ216" s="7"/>
      <c r="JR216" s="7"/>
      <c r="JT216" s="7"/>
      <c r="JU216" s="7"/>
      <c r="JV216" s="7"/>
      <c r="JW216" s="7"/>
      <c r="JX216" s="7"/>
    </row>
    <row r="217" spans="3:284" x14ac:dyDescent="0.3">
      <c r="C217" s="7"/>
      <c r="D217" s="7"/>
      <c r="F217" s="7"/>
      <c r="G217" s="7"/>
      <c r="I217" s="7"/>
      <c r="J217" s="7"/>
      <c r="L217" s="7"/>
      <c r="M217" s="7"/>
      <c r="O217" s="7"/>
      <c r="P217" s="7"/>
      <c r="R217" s="7"/>
      <c r="S217" s="7"/>
      <c r="U217" s="7"/>
      <c r="V217" s="7"/>
      <c r="X217" s="7"/>
      <c r="Y217" s="7"/>
      <c r="AA217" s="7"/>
      <c r="AB217" s="7"/>
      <c r="AD217" s="7"/>
      <c r="AE217" s="7"/>
      <c r="AG217" s="7"/>
      <c r="AH217" s="7"/>
      <c r="AJ217" s="7"/>
      <c r="AK217" s="7"/>
      <c r="AM217" s="7"/>
      <c r="AN217" s="7"/>
      <c r="AP217" s="7"/>
      <c r="AQ217" s="7"/>
      <c r="AS217" s="7"/>
      <c r="AT217" s="7"/>
      <c r="AV217" s="7"/>
      <c r="AW217" s="7"/>
      <c r="AY217" s="7"/>
      <c r="AZ217" s="7"/>
      <c r="BB217" s="7"/>
      <c r="BC217" s="7"/>
      <c r="BE217" s="7"/>
      <c r="BF217" s="7"/>
      <c r="BH217" s="7"/>
      <c r="BI217" s="7"/>
      <c r="BK217" s="7"/>
      <c r="BL217" s="7"/>
      <c r="BN217" s="7"/>
      <c r="BO217" s="7"/>
      <c r="BQ217" s="7"/>
      <c r="BR217" s="7"/>
      <c r="BT217" s="7"/>
      <c r="BU217" s="7"/>
      <c r="BW217" s="7"/>
      <c r="BX217" s="7"/>
      <c r="BZ217" s="7"/>
      <c r="CA217" s="7"/>
      <c r="CC217" s="7"/>
      <c r="CD217" s="7"/>
      <c r="CF217" s="7"/>
      <c r="CG217" s="7"/>
      <c r="CI217" s="7"/>
      <c r="CJ217" s="7"/>
      <c r="CL217" s="7"/>
      <c r="CM217" s="7"/>
      <c r="CO217" s="7"/>
      <c r="CP217" s="7"/>
      <c r="CR217" s="7"/>
      <c r="CS217" s="7"/>
      <c r="CU217" s="7"/>
      <c r="CV217" s="7"/>
      <c r="CX217" s="7"/>
      <c r="CY217" s="7"/>
      <c r="DA217" s="7"/>
      <c r="DB217" s="7"/>
      <c r="DD217" s="7"/>
      <c r="DE217" s="7"/>
      <c r="DG217" s="7"/>
      <c r="DH217" s="7"/>
      <c r="DJ217" s="7"/>
      <c r="DK217" s="7"/>
      <c r="DM217" s="7"/>
      <c r="DN217" s="7"/>
      <c r="DP217" s="7"/>
      <c r="DQ217" s="7"/>
      <c r="DS217" s="7"/>
      <c r="DT217" s="7"/>
      <c r="DV217" s="7"/>
      <c r="DW217" s="7"/>
      <c r="DY217" s="7"/>
      <c r="DZ217" s="7"/>
      <c r="EB217" s="7"/>
      <c r="EC217" s="7"/>
      <c r="EE217" s="7"/>
      <c r="EF217" s="7"/>
      <c r="EH217" s="7"/>
      <c r="EI217" s="7"/>
      <c r="EK217" s="7"/>
      <c r="EL217" s="7"/>
      <c r="EN217" s="7"/>
      <c r="EO217" s="7"/>
      <c r="EQ217" s="7"/>
      <c r="ER217" s="7"/>
      <c r="ET217" s="7"/>
      <c r="EU217" s="7"/>
      <c r="EW217" s="7"/>
      <c r="EX217" s="7"/>
      <c r="EZ217" s="7"/>
      <c r="FA217" s="7"/>
      <c r="FC217" s="7"/>
      <c r="FD217" s="7"/>
      <c r="FF217" s="7"/>
      <c r="FG217" s="7"/>
      <c r="FI217" s="7"/>
      <c r="FJ217" s="7"/>
      <c r="FL217" s="7"/>
      <c r="FM217" s="7"/>
      <c r="FO217" s="7"/>
      <c r="FP217" s="7"/>
      <c r="FR217" s="7"/>
      <c r="FS217" s="7"/>
      <c r="FU217" s="7"/>
      <c r="FV217" s="7"/>
      <c r="FX217" s="7"/>
      <c r="FY217" s="7"/>
      <c r="GA217" s="7"/>
      <c r="GB217" s="7"/>
      <c r="GD217" s="7"/>
      <c r="GE217" s="7"/>
      <c r="GG217" s="7"/>
      <c r="GH217" s="7"/>
      <c r="GJ217" s="7"/>
      <c r="GK217" s="7"/>
      <c r="GV217" s="7"/>
      <c r="GW217" s="7"/>
      <c r="HE217" s="7"/>
      <c r="HF217" s="7"/>
      <c r="HH217" s="7"/>
      <c r="HI217" s="7"/>
      <c r="HQ217" s="7"/>
      <c r="HR217" s="7"/>
      <c r="HT217" s="7"/>
      <c r="HU217" s="7"/>
      <c r="IC217" s="7"/>
      <c r="ID217" s="7"/>
      <c r="IF217" s="7"/>
      <c r="IG217" s="7"/>
      <c r="II217" s="7"/>
      <c r="IJ217" s="7"/>
      <c r="IK217" s="7"/>
      <c r="IL217" s="7"/>
      <c r="IM217" s="7"/>
      <c r="IN217" s="7"/>
      <c r="IP217" s="7"/>
      <c r="IQ217" s="7"/>
      <c r="IR217" s="7"/>
      <c r="IS217" s="7"/>
      <c r="IT217" s="7"/>
      <c r="IU217" s="7"/>
      <c r="IV217" s="7"/>
      <c r="IW217" s="7"/>
      <c r="IX217" s="7"/>
      <c r="IY217" s="7"/>
      <c r="IZ217" s="7"/>
      <c r="JA217" s="7"/>
      <c r="JB217" s="7"/>
      <c r="JC217" s="7"/>
      <c r="JE217" s="7"/>
      <c r="JF217" s="7"/>
      <c r="JH217" s="7"/>
      <c r="JI217" s="7"/>
      <c r="JJ217" s="7"/>
      <c r="JK217" s="7"/>
      <c r="JL217" s="7"/>
      <c r="JM217" s="7"/>
      <c r="JO217" s="7"/>
      <c r="JP217" s="7"/>
      <c r="JQ217" s="7"/>
      <c r="JR217" s="7"/>
      <c r="JT217" s="7"/>
      <c r="JU217" s="7"/>
      <c r="JV217" s="7"/>
      <c r="JW217" s="7"/>
      <c r="JX217" s="7"/>
    </row>
    <row r="218" spans="3:284" x14ac:dyDescent="0.3">
      <c r="C218" s="7"/>
      <c r="D218" s="7"/>
      <c r="F218" s="7"/>
      <c r="G218" s="7"/>
      <c r="I218" s="7"/>
      <c r="J218" s="7"/>
      <c r="L218" s="7"/>
      <c r="M218" s="7"/>
      <c r="O218" s="7"/>
      <c r="P218" s="7"/>
      <c r="R218" s="7"/>
      <c r="S218" s="7"/>
      <c r="U218" s="7"/>
      <c r="V218" s="7"/>
      <c r="X218" s="7"/>
      <c r="Y218" s="7"/>
      <c r="AA218" s="7"/>
      <c r="AB218" s="7"/>
      <c r="AD218" s="7"/>
      <c r="AE218" s="7"/>
      <c r="AG218" s="7"/>
      <c r="AH218" s="7"/>
      <c r="AJ218" s="7"/>
      <c r="AK218" s="7"/>
      <c r="AM218" s="7"/>
      <c r="AN218" s="7"/>
      <c r="AP218" s="7"/>
      <c r="AQ218" s="7"/>
      <c r="AS218" s="7"/>
      <c r="AT218" s="7"/>
      <c r="AV218" s="7"/>
      <c r="AW218" s="7"/>
      <c r="AY218" s="7"/>
      <c r="AZ218" s="7"/>
      <c r="BB218" s="7"/>
      <c r="BC218" s="7"/>
      <c r="BE218" s="7"/>
      <c r="BF218" s="7"/>
      <c r="BH218" s="7"/>
      <c r="BI218" s="7"/>
      <c r="BK218" s="7"/>
      <c r="BL218" s="7"/>
      <c r="BN218" s="7"/>
      <c r="BO218" s="7"/>
      <c r="BQ218" s="7"/>
      <c r="BR218" s="7"/>
      <c r="BT218" s="7"/>
      <c r="BU218" s="7"/>
      <c r="BW218" s="7"/>
      <c r="BX218" s="7"/>
      <c r="BZ218" s="7"/>
      <c r="CA218" s="7"/>
      <c r="CC218" s="7"/>
      <c r="CD218" s="7"/>
      <c r="CF218" s="7"/>
      <c r="CG218" s="7"/>
      <c r="CI218" s="7"/>
      <c r="CJ218" s="7"/>
      <c r="CL218" s="7"/>
      <c r="CM218" s="7"/>
      <c r="CO218" s="7"/>
      <c r="CP218" s="7"/>
      <c r="CR218" s="7"/>
      <c r="CS218" s="7"/>
      <c r="CU218" s="7"/>
      <c r="CV218" s="7"/>
      <c r="CX218" s="7"/>
      <c r="CY218" s="7"/>
      <c r="DA218" s="7"/>
      <c r="DB218" s="7"/>
      <c r="DD218" s="7"/>
      <c r="DE218" s="7"/>
      <c r="DG218" s="7"/>
      <c r="DH218" s="7"/>
      <c r="DJ218" s="7"/>
      <c r="DK218" s="7"/>
      <c r="DM218" s="7"/>
      <c r="DN218" s="7"/>
      <c r="DP218" s="7"/>
      <c r="DQ218" s="7"/>
      <c r="DS218" s="7"/>
      <c r="DT218" s="7"/>
      <c r="DV218" s="7"/>
      <c r="DW218" s="7"/>
      <c r="DY218" s="7"/>
      <c r="DZ218" s="7"/>
      <c r="EB218" s="7"/>
      <c r="EC218" s="7"/>
      <c r="EE218" s="7"/>
      <c r="EF218" s="7"/>
      <c r="EH218" s="7"/>
      <c r="EI218" s="7"/>
      <c r="EK218" s="7"/>
      <c r="EL218" s="7"/>
      <c r="EN218" s="7"/>
      <c r="EO218" s="7"/>
      <c r="EQ218" s="7"/>
      <c r="ER218" s="7"/>
      <c r="ET218" s="7"/>
      <c r="EU218" s="7"/>
      <c r="EW218" s="7"/>
      <c r="EX218" s="7"/>
      <c r="EZ218" s="7"/>
      <c r="FA218" s="7"/>
      <c r="FC218" s="7"/>
      <c r="FD218" s="7"/>
      <c r="FF218" s="7"/>
      <c r="FG218" s="7"/>
      <c r="FI218" s="7"/>
      <c r="FJ218" s="7"/>
      <c r="FL218" s="7"/>
      <c r="FM218" s="7"/>
      <c r="FO218" s="7"/>
      <c r="FP218" s="7"/>
      <c r="FR218" s="7"/>
      <c r="FS218" s="7"/>
      <c r="FU218" s="7"/>
      <c r="FV218" s="7"/>
      <c r="FX218" s="7"/>
      <c r="FY218" s="7"/>
      <c r="GA218" s="7"/>
      <c r="GB218" s="7"/>
      <c r="GD218" s="7"/>
      <c r="GE218" s="7"/>
      <c r="GG218" s="7"/>
      <c r="GH218" s="7"/>
      <c r="GJ218" s="7"/>
      <c r="GK218" s="7"/>
      <c r="GV218" s="7"/>
      <c r="GW218" s="7"/>
      <c r="HE218" s="7"/>
      <c r="HF218" s="7"/>
      <c r="HH218" s="7"/>
      <c r="HI218" s="7"/>
      <c r="HQ218" s="7"/>
      <c r="HR218" s="7"/>
      <c r="HT218" s="7"/>
      <c r="HU218" s="7"/>
      <c r="IC218" s="7"/>
      <c r="ID218" s="7"/>
      <c r="IF218" s="7"/>
      <c r="IG218" s="7"/>
      <c r="II218" s="7"/>
      <c r="IJ218" s="7"/>
      <c r="IK218" s="7"/>
      <c r="IL218" s="7"/>
      <c r="IM218" s="7"/>
      <c r="IN218" s="7"/>
      <c r="IP218" s="7"/>
      <c r="IQ218" s="7"/>
      <c r="IR218" s="7"/>
      <c r="IS218" s="7"/>
      <c r="IT218" s="7"/>
      <c r="IU218" s="7"/>
      <c r="IV218" s="7"/>
      <c r="IW218" s="7"/>
      <c r="IX218" s="7"/>
      <c r="IY218" s="7"/>
      <c r="IZ218" s="7"/>
      <c r="JA218" s="7"/>
      <c r="JB218" s="7"/>
      <c r="JC218" s="7"/>
      <c r="JE218" s="7"/>
      <c r="JF218" s="7"/>
      <c r="JH218" s="7"/>
      <c r="JI218" s="7"/>
      <c r="JJ218" s="7"/>
      <c r="JK218" s="7"/>
      <c r="JL218" s="7"/>
      <c r="JM218" s="7"/>
      <c r="JO218" s="7"/>
      <c r="JP218" s="7"/>
      <c r="JQ218" s="7"/>
      <c r="JR218" s="7"/>
      <c r="JT218" s="7"/>
      <c r="JU218" s="7"/>
      <c r="JV218" s="7"/>
      <c r="JW218" s="7"/>
      <c r="JX218" s="7"/>
    </row>
    <row r="219" spans="3:284" x14ac:dyDescent="0.3">
      <c r="C219" s="7"/>
      <c r="D219" s="7"/>
      <c r="F219" s="7"/>
      <c r="G219" s="7"/>
      <c r="I219" s="7"/>
      <c r="J219" s="7"/>
      <c r="L219" s="7"/>
      <c r="M219" s="7"/>
      <c r="O219" s="7"/>
      <c r="P219" s="7"/>
      <c r="R219" s="7"/>
      <c r="S219" s="7"/>
      <c r="U219" s="7"/>
      <c r="V219" s="7"/>
      <c r="X219" s="7"/>
      <c r="Y219" s="7"/>
      <c r="AA219" s="7"/>
      <c r="AB219" s="7"/>
      <c r="AD219" s="7"/>
      <c r="AE219" s="7"/>
      <c r="AG219" s="7"/>
      <c r="AH219" s="7"/>
      <c r="AJ219" s="7"/>
      <c r="AK219" s="7"/>
      <c r="AM219" s="7"/>
      <c r="AN219" s="7"/>
      <c r="AP219" s="7"/>
      <c r="AQ219" s="7"/>
      <c r="AS219" s="7"/>
      <c r="AT219" s="7"/>
      <c r="AV219" s="7"/>
      <c r="AW219" s="7"/>
      <c r="AY219" s="7"/>
      <c r="AZ219" s="7"/>
      <c r="BB219" s="7"/>
      <c r="BC219" s="7"/>
      <c r="BE219" s="7"/>
      <c r="BF219" s="7"/>
      <c r="BH219" s="7"/>
      <c r="BI219" s="7"/>
      <c r="BK219" s="7"/>
      <c r="BL219" s="7"/>
      <c r="BN219" s="7"/>
      <c r="BO219" s="7"/>
      <c r="BQ219" s="7"/>
      <c r="BR219" s="7"/>
      <c r="BT219" s="7"/>
      <c r="BU219" s="7"/>
      <c r="BW219" s="7"/>
      <c r="BX219" s="7"/>
      <c r="BZ219" s="7"/>
      <c r="CA219" s="7"/>
      <c r="CC219" s="7"/>
      <c r="CD219" s="7"/>
      <c r="CF219" s="7"/>
      <c r="CG219" s="7"/>
      <c r="CI219" s="7"/>
      <c r="CJ219" s="7"/>
      <c r="CL219" s="7"/>
      <c r="CM219" s="7"/>
      <c r="CO219" s="7"/>
      <c r="CP219" s="7"/>
      <c r="CR219" s="7"/>
      <c r="CS219" s="7"/>
      <c r="CU219" s="7"/>
      <c r="CV219" s="7"/>
      <c r="CX219" s="7"/>
      <c r="CY219" s="7"/>
      <c r="DA219" s="7"/>
      <c r="DB219" s="7"/>
      <c r="DD219" s="7"/>
      <c r="DE219" s="7"/>
      <c r="DG219" s="7"/>
      <c r="DH219" s="7"/>
      <c r="DJ219" s="7"/>
      <c r="DK219" s="7"/>
      <c r="DM219" s="7"/>
      <c r="DN219" s="7"/>
      <c r="DP219" s="7"/>
      <c r="DQ219" s="7"/>
      <c r="DS219" s="7"/>
      <c r="DT219" s="7"/>
      <c r="DV219" s="7"/>
      <c r="DW219" s="7"/>
      <c r="DY219" s="7"/>
      <c r="DZ219" s="7"/>
      <c r="EB219" s="7"/>
      <c r="EC219" s="7"/>
      <c r="EE219" s="7"/>
      <c r="EF219" s="7"/>
      <c r="EH219" s="7"/>
      <c r="EI219" s="7"/>
      <c r="EK219" s="7"/>
      <c r="EL219" s="7"/>
      <c r="EN219" s="7"/>
      <c r="EO219" s="7"/>
      <c r="EQ219" s="7"/>
      <c r="ER219" s="7"/>
      <c r="ET219" s="7"/>
      <c r="EU219" s="7"/>
      <c r="EW219" s="7"/>
      <c r="EX219" s="7"/>
      <c r="EZ219" s="7"/>
      <c r="FA219" s="7"/>
      <c r="FC219" s="7"/>
      <c r="FD219" s="7"/>
      <c r="FF219" s="7"/>
      <c r="FG219" s="7"/>
      <c r="FI219" s="7"/>
      <c r="FJ219" s="7"/>
      <c r="FL219" s="7"/>
      <c r="FM219" s="7"/>
      <c r="FO219" s="7"/>
      <c r="FP219" s="7"/>
      <c r="FR219" s="7"/>
      <c r="FS219" s="7"/>
      <c r="FU219" s="7"/>
      <c r="FV219" s="7"/>
      <c r="FX219" s="7"/>
      <c r="FY219" s="7"/>
      <c r="GA219" s="7"/>
      <c r="GB219" s="7"/>
      <c r="GD219" s="7"/>
      <c r="GE219" s="7"/>
      <c r="GG219" s="7"/>
      <c r="GH219" s="7"/>
      <c r="GJ219" s="7"/>
      <c r="GK219" s="7"/>
      <c r="GV219" s="7"/>
      <c r="GW219" s="7"/>
      <c r="HE219" s="7"/>
      <c r="HF219" s="7"/>
      <c r="HH219" s="7"/>
      <c r="HI219" s="7"/>
      <c r="HQ219" s="7"/>
      <c r="HR219" s="7"/>
      <c r="HT219" s="7"/>
      <c r="HU219" s="7"/>
      <c r="IC219" s="7"/>
      <c r="ID219" s="7"/>
      <c r="IF219" s="7"/>
      <c r="IG219" s="7"/>
      <c r="II219" s="7"/>
      <c r="IJ219" s="7"/>
      <c r="IK219" s="7"/>
      <c r="IL219" s="7"/>
      <c r="IM219" s="7"/>
      <c r="IN219" s="7"/>
      <c r="IP219" s="7"/>
      <c r="IQ219" s="7"/>
      <c r="IR219" s="7"/>
      <c r="IS219" s="7"/>
      <c r="IT219" s="7"/>
      <c r="IU219" s="7"/>
      <c r="IV219" s="7"/>
      <c r="IW219" s="7"/>
      <c r="IX219" s="7"/>
      <c r="IY219" s="7"/>
      <c r="IZ219" s="7"/>
      <c r="JA219" s="7"/>
      <c r="JB219" s="7"/>
      <c r="JC219" s="7"/>
      <c r="JE219" s="7"/>
      <c r="JF219" s="7"/>
      <c r="JH219" s="7"/>
      <c r="JI219" s="7"/>
      <c r="JJ219" s="7"/>
      <c r="JK219" s="7"/>
      <c r="JL219" s="7"/>
      <c r="JM219" s="7"/>
      <c r="JO219" s="7"/>
      <c r="JP219" s="7"/>
      <c r="JQ219" s="7"/>
      <c r="JR219" s="7"/>
      <c r="JT219" s="7"/>
      <c r="JU219" s="7"/>
      <c r="JV219" s="7"/>
      <c r="JW219" s="7"/>
      <c r="JX219" s="7"/>
    </row>
    <row r="220" spans="3:284" x14ac:dyDescent="0.3">
      <c r="C220" s="7"/>
      <c r="D220" s="7"/>
      <c r="F220" s="7"/>
      <c r="G220" s="7"/>
      <c r="I220" s="7"/>
      <c r="J220" s="7"/>
      <c r="L220" s="7"/>
      <c r="M220" s="7"/>
      <c r="O220" s="7"/>
      <c r="P220" s="7"/>
      <c r="R220" s="7"/>
      <c r="S220" s="7"/>
      <c r="U220" s="7"/>
      <c r="V220" s="7"/>
      <c r="X220" s="7"/>
      <c r="Y220" s="7"/>
      <c r="AA220" s="7"/>
      <c r="AB220" s="7"/>
      <c r="AD220" s="7"/>
      <c r="AE220" s="7"/>
      <c r="AG220" s="7"/>
      <c r="AH220" s="7"/>
      <c r="AJ220" s="7"/>
      <c r="AK220" s="7"/>
      <c r="AM220" s="7"/>
      <c r="AN220" s="7"/>
      <c r="AP220" s="7"/>
      <c r="AQ220" s="7"/>
      <c r="AS220" s="7"/>
      <c r="AT220" s="7"/>
      <c r="AV220" s="7"/>
      <c r="AW220" s="7"/>
      <c r="AY220" s="7"/>
      <c r="AZ220" s="7"/>
      <c r="BB220" s="7"/>
      <c r="BC220" s="7"/>
      <c r="BE220" s="7"/>
      <c r="BF220" s="7"/>
      <c r="BH220" s="7"/>
      <c r="BI220" s="7"/>
      <c r="BK220" s="7"/>
      <c r="BL220" s="7"/>
      <c r="BN220" s="7"/>
      <c r="BO220" s="7"/>
      <c r="BQ220" s="7"/>
      <c r="BR220" s="7"/>
      <c r="BT220" s="7"/>
      <c r="BU220" s="7"/>
      <c r="BW220" s="7"/>
      <c r="BX220" s="7"/>
      <c r="BZ220" s="7"/>
      <c r="CA220" s="7"/>
      <c r="CC220" s="7"/>
      <c r="CD220" s="7"/>
      <c r="CF220" s="7"/>
      <c r="CG220" s="7"/>
      <c r="CI220" s="7"/>
      <c r="CJ220" s="7"/>
      <c r="CL220" s="7"/>
      <c r="CM220" s="7"/>
      <c r="CO220" s="7"/>
      <c r="CP220" s="7"/>
      <c r="CR220" s="7"/>
      <c r="CS220" s="7"/>
      <c r="CU220" s="7"/>
      <c r="CV220" s="7"/>
      <c r="CX220" s="7"/>
      <c r="CY220" s="7"/>
      <c r="DA220" s="7"/>
      <c r="DB220" s="7"/>
      <c r="DD220" s="7"/>
      <c r="DE220" s="7"/>
      <c r="DG220" s="7"/>
      <c r="DH220" s="7"/>
      <c r="DJ220" s="7"/>
      <c r="DK220" s="7"/>
      <c r="DM220" s="7"/>
      <c r="DN220" s="7"/>
      <c r="DP220" s="7"/>
      <c r="DQ220" s="7"/>
      <c r="DS220" s="7"/>
      <c r="DT220" s="7"/>
      <c r="DV220" s="7"/>
      <c r="DW220" s="7"/>
      <c r="DY220" s="7"/>
      <c r="DZ220" s="7"/>
      <c r="EB220" s="7"/>
      <c r="EC220" s="7"/>
      <c r="EE220" s="7"/>
      <c r="EF220" s="7"/>
      <c r="EH220" s="7"/>
      <c r="EI220" s="7"/>
      <c r="EK220" s="7"/>
      <c r="EL220" s="7"/>
      <c r="EN220" s="7"/>
      <c r="EO220" s="7"/>
      <c r="EQ220" s="7"/>
      <c r="ER220" s="7"/>
      <c r="ET220" s="7"/>
      <c r="EU220" s="7"/>
      <c r="EW220" s="7"/>
      <c r="EX220" s="7"/>
      <c r="EZ220" s="7"/>
      <c r="FA220" s="7"/>
      <c r="FC220" s="7"/>
      <c r="FD220" s="7"/>
      <c r="FF220" s="7"/>
      <c r="FG220" s="7"/>
      <c r="FI220" s="7"/>
      <c r="FJ220" s="7"/>
      <c r="FL220" s="7"/>
      <c r="FM220" s="7"/>
      <c r="FO220" s="7"/>
      <c r="FP220" s="7"/>
      <c r="FR220" s="7"/>
      <c r="FS220" s="7"/>
      <c r="FU220" s="7"/>
      <c r="FV220" s="7"/>
      <c r="FX220" s="7"/>
      <c r="FY220" s="7"/>
      <c r="GA220" s="7"/>
      <c r="GB220" s="7"/>
      <c r="GD220" s="7"/>
      <c r="GE220" s="7"/>
      <c r="GG220" s="7"/>
      <c r="GH220" s="7"/>
      <c r="GJ220" s="7"/>
      <c r="GK220" s="7"/>
      <c r="GV220" s="7"/>
      <c r="GW220" s="7"/>
      <c r="HE220" s="7"/>
      <c r="HF220" s="7"/>
      <c r="HH220" s="7"/>
      <c r="HI220" s="7"/>
      <c r="HQ220" s="7"/>
      <c r="HR220" s="7"/>
      <c r="HT220" s="7"/>
      <c r="HU220" s="7"/>
      <c r="IC220" s="7"/>
      <c r="ID220" s="7"/>
      <c r="IF220" s="7"/>
      <c r="IG220" s="7"/>
      <c r="II220" s="7"/>
      <c r="IJ220" s="7"/>
      <c r="IK220" s="7"/>
      <c r="IL220" s="7"/>
      <c r="IM220" s="7"/>
      <c r="IN220" s="7"/>
      <c r="IP220" s="7"/>
      <c r="IQ220" s="7"/>
      <c r="IR220" s="7"/>
      <c r="IS220" s="7"/>
      <c r="IT220" s="7"/>
      <c r="IU220" s="7"/>
      <c r="IV220" s="7"/>
      <c r="IW220" s="7"/>
      <c r="IX220" s="7"/>
      <c r="IY220" s="7"/>
      <c r="IZ220" s="7"/>
      <c r="JA220" s="7"/>
      <c r="JB220" s="7"/>
      <c r="JC220" s="7"/>
      <c r="JE220" s="7"/>
      <c r="JF220" s="7"/>
      <c r="JH220" s="7"/>
      <c r="JI220" s="7"/>
      <c r="JJ220" s="7"/>
      <c r="JK220" s="7"/>
      <c r="JL220" s="7"/>
      <c r="JM220" s="7"/>
      <c r="JO220" s="7"/>
      <c r="JP220" s="7"/>
      <c r="JQ220" s="7"/>
      <c r="JR220" s="7"/>
      <c r="JT220" s="7"/>
      <c r="JU220" s="7"/>
      <c r="JV220" s="7"/>
      <c r="JW220" s="7"/>
      <c r="JX220" s="7"/>
    </row>
    <row r="221" spans="3:284" x14ac:dyDescent="0.3">
      <c r="C221" s="7"/>
      <c r="D221" s="7"/>
      <c r="F221" s="7"/>
      <c r="G221" s="7"/>
      <c r="I221" s="7"/>
      <c r="J221" s="7"/>
      <c r="L221" s="7"/>
      <c r="M221" s="7"/>
      <c r="O221" s="7"/>
      <c r="P221" s="7"/>
      <c r="R221" s="7"/>
      <c r="S221" s="7"/>
      <c r="U221" s="7"/>
      <c r="V221" s="7"/>
      <c r="X221" s="7"/>
      <c r="Y221" s="7"/>
      <c r="AA221" s="7"/>
      <c r="AB221" s="7"/>
      <c r="AD221" s="7"/>
      <c r="AE221" s="7"/>
      <c r="AG221" s="7"/>
      <c r="AH221" s="7"/>
      <c r="AJ221" s="7"/>
      <c r="AK221" s="7"/>
      <c r="AM221" s="7"/>
      <c r="AN221" s="7"/>
      <c r="AP221" s="7"/>
      <c r="AQ221" s="7"/>
      <c r="AS221" s="7"/>
      <c r="AT221" s="7"/>
      <c r="AV221" s="7"/>
      <c r="AW221" s="7"/>
      <c r="AY221" s="7"/>
      <c r="AZ221" s="7"/>
      <c r="BB221" s="7"/>
      <c r="BC221" s="7"/>
      <c r="BE221" s="7"/>
      <c r="BF221" s="7"/>
      <c r="BH221" s="7"/>
      <c r="BI221" s="7"/>
      <c r="BK221" s="7"/>
      <c r="BL221" s="7"/>
      <c r="BN221" s="7"/>
      <c r="BO221" s="7"/>
      <c r="BQ221" s="7"/>
      <c r="BR221" s="7"/>
      <c r="BT221" s="7"/>
      <c r="BU221" s="7"/>
      <c r="BW221" s="7"/>
      <c r="BX221" s="7"/>
      <c r="BZ221" s="7"/>
      <c r="CA221" s="7"/>
      <c r="CC221" s="7"/>
      <c r="CD221" s="7"/>
      <c r="CF221" s="7"/>
      <c r="CG221" s="7"/>
      <c r="CI221" s="7"/>
      <c r="CJ221" s="7"/>
      <c r="CL221" s="7"/>
      <c r="CM221" s="7"/>
      <c r="CO221" s="7"/>
      <c r="CP221" s="7"/>
      <c r="CR221" s="7"/>
      <c r="CS221" s="7"/>
      <c r="CU221" s="7"/>
      <c r="CV221" s="7"/>
      <c r="CX221" s="7"/>
      <c r="CY221" s="7"/>
      <c r="DA221" s="7"/>
      <c r="DB221" s="7"/>
      <c r="DD221" s="7"/>
      <c r="DE221" s="7"/>
      <c r="DG221" s="7"/>
      <c r="DH221" s="7"/>
      <c r="DJ221" s="7"/>
      <c r="DK221" s="7"/>
      <c r="DM221" s="7"/>
      <c r="DN221" s="7"/>
      <c r="DP221" s="7"/>
      <c r="DQ221" s="7"/>
      <c r="DS221" s="7"/>
      <c r="DT221" s="7"/>
      <c r="DV221" s="7"/>
      <c r="DW221" s="7"/>
      <c r="DY221" s="7"/>
      <c r="DZ221" s="7"/>
      <c r="EB221" s="7"/>
      <c r="EC221" s="7"/>
      <c r="EE221" s="7"/>
      <c r="EF221" s="7"/>
      <c r="EH221" s="7"/>
      <c r="EI221" s="7"/>
      <c r="EK221" s="7"/>
      <c r="EL221" s="7"/>
      <c r="EN221" s="7"/>
      <c r="EO221" s="7"/>
      <c r="EQ221" s="7"/>
      <c r="ER221" s="7"/>
      <c r="ET221" s="7"/>
      <c r="EU221" s="7"/>
      <c r="EW221" s="7"/>
      <c r="EX221" s="7"/>
      <c r="EZ221" s="7"/>
      <c r="FA221" s="7"/>
      <c r="FC221" s="7"/>
      <c r="FD221" s="7"/>
      <c r="FF221" s="7"/>
      <c r="FG221" s="7"/>
      <c r="FI221" s="7"/>
      <c r="FJ221" s="7"/>
      <c r="FL221" s="7"/>
      <c r="FM221" s="7"/>
      <c r="FO221" s="7"/>
      <c r="FP221" s="7"/>
      <c r="FR221" s="7"/>
      <c r="FS221" s="7"/>
      <c r="FU221" s="7"/>
      <c r="FV221" s="7"/>
      <c r="FX221" s="7"/>
      <c r="FY221" s="7"/>
      <c r="GA221" s="7"/>
      <c r="GB221" s="7"/>
      <c r="GD221" s="7"/>
      <c r="GE221" s="7"/>
      <c r="GG221" s="7"/>
      <c r="GH221" s="7"/>
      <c r="GJ221" s="7"/>
      <c r="GK221" s="7"/>
      <c r="GV221" s="7"/>
      <c r="GW221" s="7"/>
      <c r="HE221" s="7"/>
      <c r="HF221" s="7"/>
      <c r="HH221" s="7"/>
      <c r="HI221" s="7"/>
      <c r="HQ221" s="7"/>
      <c r="HR221" s="7"/>
      <c r="HT221" s="7"/>
      <c r="HU221" s="7"/>
      <c r="IC221" s="7"/>
      <c r="ID221" s="7"/>
      <c r="IF221" s="7"/>
      <c r="IG221" s="7"/>
      <c r="II221" s="7"/>
      <c r="IJ221" s="7"/>
      <c r="IK221" s="7"/>
      <c r="IL221" s="7"/>
      <c r="IM221" s="7"/>
      <c r="IN221" s="7"/>
      <c r="IP221" s="7"/>
      <c r="IQ221" s="7"/>
      <c r="IR221" s="7"/>
      <c r="IS221" s="7"/>
      <c r="IT221" s="7"/>
      <c r="IU221" s="7"/>
      <c r="IV221" s="7"/>
      <c r="IW221" s="7"/>
      <c r="IX221" s="7"/>
      <c r="IY221" s="7"/>
      <c r="IZ221" s="7"/>
      <c r="JA221" s="7"/>
      <c r="JB221" s="7"/>
      <c r="JC221" s="7"/>
      <c r="JE221" s="7"/>
      <c r="JF221" s="7"/>
      <c r="JH221" s="7"/>
      <c r="JI221" s="7"/>
      <c r="JJ221" s="7"/>
      <c r="JK221" s="7"/>
      <c r="JL221" s="7"/>
      <c r="JM221" s="7"/>
      <c r="JO221" s="7"/>
      <c r="JP221" s="7"/>
      <c r="JQ221" s="7"/>
      <c r="JR221" s="7"/>
      <c r="JT221" s="7"/>
      <c r="JU221" s="7"/>
      <c r="JV221" s="7"/>
      <c r="JW221" s="7"/>
      <c r="JX221" s="7"/>
    </row>
    <row r="222" spans="3:284" x14ac:dyDescent="0.3">
      <c r="C222" s="7"/>
      <c r="D222" s="7"/>
      <c r="F222" s="7"/>
      <c r="G222" s="7"/>
      <c r="I222" s="7"/>
      <c r="J222" s="7"/>
      <c r="L222" s="7"/>
      <c r="M222" s="7"/>
      <c r="O222" s="7"/>
      <c r="P222" s="7"/>
      <c r="R222" s="7"/>
      <c r="S222" s="7"/>
      <c r="U222" s="7"/>
      <c r="V222" s="7"/>
      <c r="X222" s="7"/>
      <c r="Y222" s="7"/>
      <c r="AA222" s="7"/>
      <c r="AB222" s="7"/>
      <c r="AD222" s="7"/>
      <c r="AE222" s="7"/>
      <c r="AG222" s="7"/>
      <c r="AH222" s="7"/>
      <c r="AJ222" s="7"/>
      <c r="AK222" s="7"/>
      <c r="AM222" s="7"/>
      <c r="AN222" s="7"/>
      <c r="AP222" s="7"/>
      <c r="AQ222" s="7"/>
      <c r="AS222" s="7"/>
      <c r="AT222" s="7"/>
      <c r="AV222" s="7"/>
      <c r="AW222" s="7"/>
      <c r="AY222" s="7"/>
      <c r="AZ222" s="7"/>
      <c r="BB222" s="7"/>
      <c r="BC222" s="7"/>
      <c r="BE222" s="7"/>
      <c r="BF222" s="7"/>
      <c r="BH222" s="7"/>
      <c r="BI222" s="7"/>
      <c r="BK222" s="7"/>
      <c r="BL222" s="7"/>
      <c r="BN222" s="7"/>
      <c r="BO222" s="7"/>
      <c r="BQ222" s="7"/>
      <c r="BR222" s="7"/>
      <c r="BT222" s="7"/>
      <c r="BU222" s="7"/>
      <c r="BW222" s="7"/>
      <c r="BX222" s="7"/>
      <c r="BZ222" s="7"/>
      <c r="CA222" s="7"/>
      <c r="CC222" s="7"/>
      <c r="CD222" s="7"/>
      <c r="CF222" s="7"/>
      <c r="CG222" s="7"/>
      <c r="CI222" s="7"/>
      <c r="CJ222" s="7"/>
      <c r="CL222" s="7"/>
      <c r="CM222" s="7"/>
      <c r="CO222" s="7"/>
      <c r="CP222" s="7"/>
      <c r="CR222" s="7"/>
      <c r="CS222" s="7"/>
      <c r="CU222" s="7"/>
      <c r="CV222" s="7"/>
      <c r="CX222" s="7"/>
      <c r="CY222" s="7"/>
      <c r="DA222" s="7"/>
      <c r="DB222" s="7"/>
      <c r="DD222" s="7"/>
      <c r="DE222" s="7"/>
      <c r="DG222" s="7"/>
      <c r="DH222" s="7"/>
      <c r="DJ222" s="7"/>
      <c r="DK222" s="7"/>
      <c r="DM222" s="7"/>
      <c r="DN222" s="7"/>
      <c r="DP222" s="7"/>
      <c r="DQ222" s="7"/>
      <c r="DS222" s="7"/>
      <c r="DT222" s="7"/>
      <c r="DV222" s="7"/>
      <c r="DW222" s="7"/>
      <c r="DY222" s="7"/>
      <c r="DZ222" s="7"/>
      <c r="EB222" s="7"/>
      <c r="EC222" s="7"/>
      <c r="EE222" s="7"/>
      <c r="EF222" s="7"/>
      <c r="EH222" s="7"/>
      <c r="EI222" s="7"/>
      <c r="EK222" s="7"/>
      <c r="EL222" s="7"/>
      <c r="EN222" s="7"/>
      <c r="EO222" s="7"/>
      <c r="EQ222" s="7"/>
      <c r="ER222" s="7"/>
      <c r="ET222" s="7"/>
      <c r="EU222" s="7"/>
      <c r="EW222" s="7"/>
      <c r="EX222" s="7"/>
      <c r="EZ222" s="7"/>
      <c r="FA222" s="7"/>
      <c r="FC222" s="7"/>
      <c r="FD222" s="7"/>
      <c r="FF222" s="7"/>
      <c r="FG222" s="7"/>
      <c r="FI222" s="7"/>
      <c r="FJ222" s="7"/>
      <c r="FL222" s="7"/>
      <c r="FM222" s="7"/>
      <c r="FO222" s="7"/>
      <c r="FP222" s="7"/>
      <c r="FR222" s="7"/>
      <c r="FS222" s="7"/>
      <c r="FU222" s="7"/>
      <c r="FV222" s="7"/>
      <c r="FX222" s="7"/>
      <c r="FY222" s="7"/>
      <c r="GA222" s="7"/>
      <c r="GB222" s="7"/>
      <c r="GD222" s="7"/>
      <c r="GE222" s="7"/>
      <c r="GG222" s="7"/>
      <c r="GH222" s="7"/>
      <c r="GJ222" s="7"/>
      <c r="GK222" s="7"/>
      <c r="GV222" s="7"/>
      <c r="GW222" s="7"/>
      <c r="HE222" s="7"/>
      <c r="HF222" s="7"/>
      <c r="HH222" s="7"/>
      <c r="HI222" s="7"/>
      <c r="HQ222" s="7"/>
      <c r="HR222" s="7"/>
      <c r="HT222" s="7"/>
      <c r="HU222" s="7"/>
      <c r="IC222" s="7"/>
      <c r="ID222" s="7"/>
      <c r="IF222" s="7"/>
      <c r="IG222" s="7"/>
      <c r="II222" s="7"/>
      <c r="IJ222" s="7"/>
      <c r="IK222" s="7"/>
      <c r="IL222" s="7"/>
      <c r="IM222" s="7"/>
      <c r="IN222" s="7"/>
      <c r="IP222" s="7"/>
      <c r="IQ222" s="7"/>
      <c r="IR222" s="7"/>
      <c r="IS222" s="7"/>
      <c r="IT222" s="7"/>
      <c r="IU222" s="7"/>
      <c r="IV222" s="7"/>
      <c r="IW222" s="7"/>
      <c r="IX222" s="7"/>
      <c r="IY222" s="7"/>
      <c r="IZ222" s="7"/>
      <c r="JA222" s="7"/>
      <c r="JB222" s="7"/>
      <c r="JC222" s="7"/>
      <c r="JE222" s="7"/>
      <c r="JF222" s="7"/>
      <c r="JH222" s="7"/>
      <c r="JI222" s="7"/>
      <c r="JJ222" s="7"/>
      <c r="JK222" s="7"/>
      <c r="JL222" s="7"/>
      <c r="JM222" s="7"/>
      <c r="JO222" s="7"/>
      <c r="JP222" s="7"/>
      <c r="JQ222" s="7"/>
      <c r="JR222" s="7"/>
      <c r="JT222" s="7"/>
      <c r="JU222" s="7"/>
      <c r="JV222" s="7"/>
      <c r="JW222" s="7"/>
      <c r="JX222" s="7"/>
    </row>
    <row r="223" spans="3:284" x14ac:dyDescent="0.3">
      <c r="C223" s="7"/>
      <c r="D223" s="7"/>
      <c r="F223" s="7"/>
      <c r="G223" s="7"/>
      <c r="I223" s="7"/>
      <c r="J223" s="7"/>
      <c r="L223" s="7"/>
      <c r="M223" s="7"/>
      <c r="O223" s="7"/>
      <c r="P223" s="7"/>
      <c r="R223" s="7"/>
      <c r="S223" s="7"/>
      <c r="U223" s="7"/>
      <c r="V223" s="7"/>
      <c r="X223" s="7"/>
      <c r="Y223" s="7"/>
      <c r="AA223" s="7"/>
      <c r="AB223" s="7"/>
      <c r="AD223" s="7"/>
      <c r="AE223" s="7"/>
      <c r="AG223" s="7"/>
      <c r="AH223" s="7"/>
      <c r="AJ223" s="7"/>
      <c r="AK223" s="7"/>
      <c r="AM223" s="7"/>
      <c r="AN223" s="7"/>
      <c r="AP223" s="7"/>
      <c r="AQ223" s="7"/>
      <c r="AS223" s="7"/>
      <c r="AT223" s="7"/>
      <c r="AV223" s="7"/>
      <c r="AW223" s="7"/>
      <c r="AY223" s="7"/>
      <c r="AZ223" s="7"/>
      <c r="BB223" s="7"/>
      <c r="BC223" s="7"/>
      <c r="BE223" s="7"/>
      <c r="BF223" s="7"/>
      <c r="BH223" s="7"/>
      <c r="BI223" s="7"/>
      <c r="BK223" s="7"/>
      <c r="BL223" s="7"/>
      <c r="BN223" s="7"/>
      <c r="BO223" s="7"/>
      <c r="BQ223" s="7"/>
      <c r="BR223" s="7"/>
      <c r="BT223" s="7"/>
      <c r="BU223" s="7"/>
      <c r="BW223" s="7"/>
      <c r="BX223" s="7"/>
      <c r="BZ223" s="7"/>
      <c r="CA223" s="7"/>
      <c r="CC223" s="7"/>
      <c r="CD223" s="7"/>
      <c r="CF223" s="7"/>
      <c r="CG223" s="7"/>
      <c r="CI223" s="7"/>
      <c r="CJ223" s="7"/>
      <c r="CL223" s="7"/>
      <c r="CM223" s="7"/>
      <c r="CO223" s="7"/>
      <c r="CP223" s="7"/>
      <c r="CR223" s="7"/>
      <c r="CS223" s="7"/>
      <c r="CU223" s="7"/>
      <c r="CV223" s="7"/>
      <c r="CX223" s="7"/>
      <c r="CY223" s="7"/>
      <c r="DA223" s="7"/>
      <c r="DB223" s="7"/>
      <c r="DD223" s="7"/>
      <c r="DE223" s="7"/>
      <c r="DG223" s="7"/>
      <c r="DH223" s="7"/>
      <c r="DJ223" s="7"/>
      <c r="DK223" s="7"/>
      <c r="DM223" s="7"/>
      <c r="DN223" s="7"/>
      <c r="DP223" s="7"/>
      <c r="DQ223" s="7"/>
      <c r="DS223" s="7"/>
      <c r="DT223" s="7"/>
      <c r="DV223" s="7"/>
      <c r="DW223" s="7"/>
      <c r="DY223" s="7"/>
      <c r="DZ223" s="7"/>
      <c r="EB223" s="7"/>
      <c r="EC223" s="7"/>
      <c r="EE223" s="7"/>
      <c r="EF223" s="7"/>
      <c r="EH223" s="7"/>
      <c r="EI223" s="7"/>
      <c r="EK223" s="7"/>
      <c r="EL223" s="7"/>
      <c r="EN223" s="7"/>
      <c r="EO223" s="7"/>
      <c r="EQ223" s="7"/>
      <c r="ER223" s="7"/>
      <c r="ET223" s="7"/>
      <c r="EU223" s="7"/>
      <c r="EW223" s="7"/>
      <c r="EX223" s="7"/>
      <c r="EZ223" s="7"/>
      <c r="FA223" s="7"/>
      <c r="FC223" s="7"/>
      <c r="FD223" s="7"/>
      <c r="FF223" s="7"/>
      <c r="FG223" s="7"/>
      <c r="FI223" s="7"/>
      <c r="FJ223" s="7"/>
      <c r="FL223" s="7"/>
      <c r="FM223" s="7"/>
      <c r="FO223" s="7"/>
      <c r="FP223" s="7"/>
      <c r="FR223" s="7"/>
      <c r="FS223" s="7"/>
      <c r="FU223" s="7"/>
      <c r="FV223" s="7"/>
      <c r="FX223" s="7"/>
      <c r="FY223" s="7"/>
      <c r="GA223" s="7"/>
      <c r="GB223" s="7"/>
      <c r="GD223" s="7"/>
      <c r="GE223" s="7"/>
      <c r="GG223" s="7"/>
      <c r="GH223" s="7"/>
      <c r="GJ223" s="7"/>
      <c r="GK223" s="7"/>
      <c r="GV223" s="7"/>
      <c r="GW223" s="7"/>
      <c r="HE223" s="7"/>
      <c r="HF223" s="7"/>
      <c r="HH223" s="7"/>
      <c r="HI223" s="7"/>
      <c r="HQ223" s="7"/>
      <c r="HR223" s="7"/>
      <c r="HT223" s="7"/>
      <c r="HU223" s="7"/>
      <c r="IC223" s="7"/>
      <c r="ID223" s="7"/>
      <c r="IF223" s="7"/>
      <c r="IG223" s="7"/>
      <c r="II223" s="7"/>
      <c r="IJ223" s="7"/>
      <c r="IK223" s="7"/>
      <c r="IL223" s="7"/>
      <c r="IM223" s="7"/>
      <c r="IN223" s="7"/>
      <c r="IP223" s="7"/>
      <c r="IQ223" s="7"/>
      <c r="IR223" s="7"/>
      <c r="IS223" s="7"/>
      <c r="IT223" s="7"/>
      <c r="IU223" s="7"/>
      <c r="IV223" s="7"/>
      <c r="IW223" s="7"/>
      <c r="IX223" s="7"/>
      <c r="IY223" s="7"/>
      <c r="IZ223" s="7"/>
      <c r="JA223" s="7"/>
      <c r="JB223" s="7"/>
      <c r="JC223" s="7"/>
      <c r="JE223" s="7"/>
      <c r="JF223" s="7"/>
      <c r="JH223" s="7"/>
      <c r="JI223" s="7"/>
      <c r="JJ223" s="7"/>
      <c r="JK223" s="7"/>
      <c r="JL223" s="7"/>
      <c r="JM223" s="7"/>
      <c r="JO223" s="7"/>
      <c r="JP223" s="7"/>
      <c r="JQ223" s="7"/>
      <c r="JR223" s="7"/>
      <c r="JT223" s="7"/>
      <c r="JU223" s="7"/>
      <c r="JV223" s="7"/>
      <c r="JW223" s="7"/>
      <c r="JX223" s="7"/>
    </row>
    <row r="224" spans="3:284" x14ac:dyDescent="0.3">
      <c r="C224" s="7"/>
      <c r="D224" s="7"/>
      <c r="F224" s="7"/>
      <c r="G224" s="7"/>
      <c r="I224" s="7"/>
      <c r="J224" s="7"/>
      <c r="L224" s="7"/>
      <c r="M224" s="7"/>
      <c r="O224" s="7"/>
      <c r="P224" s="7"/>
      <c r="R224" s="7"/>
      <c r="S224" s="7"/>
      <c r="U224" s="7"/>
      <c r="V224" s="7"/>
      <c r="X224" s="7"/>
      <c r="Y224" s="7"/>
      <c r="AA224" s="7"/>
      <c r="AB224" s="7"/>
      <c r="AD224" s="7"/>
      <c r="AE224" s="7"/>
      <c r="AG224" s="7"/>
      <c r="AH224" s="7"/>
      <c r="AJ224" s="7"/>
      <c r="AK224" s="7"/>
      <c r="AM224" s="7"/>
      <c r="AN224" s="7"/>
      <c r="AP224" s="7"/>
      <c r="AQ224" s="7"/>
      <c r="AS224" s="7"/>
      <c r="AT224" s="7"/>
      <c r="AV224" s="7"/>
      <c r="AW224" s="7"/>
      <c r="AY224" s="7"/>
      <c r="AZ224" s="7"/>
      <c r="BB224" s="7"/>
      <c r="BC224" s="7"/>
      <c r="BE224" s="7"/>
      <c r="BF224" s="7"/>
      <c r="BH224" s="7"/>
      <c r="BI224" s="7"/>
      <c r="BK224" s="7"/>
      <c r="BL224" s="7"/>
      <c r="BN224" s="7"/>
      <c r="BO224" s="7"/>
      <c r="BQ224" s="7"/>
      <c r="BR224" s="7"/>
      <c r="BT224" s="7"/>
      <c r="BU224" s="7"/>
      <c r="BW224" s="7"/>
      <c r="BX224" s="7"/>
      <c r="BZ224" s="7"/>
      <c r="CA224" s="7"/>
      <c r="CC224" s="7"/>
      <c r="CD224" s="7"/>
      <c r="CF224" s="7"/>
      <c r="CG224" s="7"/>
      <c r="CI224" s="7"/>
      <c r="CJ224" s="7"/>
      <c r="CL224" s="7"/>
      <c r="CM224" s="7"/>
      <c r="CO224" s="7"/>
      <c r="CP224" s="7"/>
      <c r="CR224" s="7"/>
      <c r="CS224" s="7"/>
      <c r="CU224" s="7"/>
      <c r="CV224" s="7"/>
      <c r="CX224" s="7"/>
      <c r="CY224" s="7"/>
      <c r="DA224" s="7"/>
      <c r="DB224" s="7"/>
      <c r="DD224" s="7"/>
      <c r="DE224" s="7"/>
      <c r="DG224" s="7"/>
      <c r="DH224" s="7"/>
      <c r="DJ224" s="7"/>
      <c r="DK224" s="7"/>
      <c r="DM224" s="7"/>
      <c r="DN224" s="7"/>
      <c r="DP224" s="7"/>
      <c r="DQ224" s="7"/>
      <c r="DS224" s="7"/>
      <c r="DT224" s="7"/>
      <c r="DV224" s="7"/>
      <c r="DW224" s="7"/>
      <c r="DY224" s="7"/>
      <c r="DZ224" s="7"/>
      <c r="EB224" s="7"/>
      <c r="EC224" s="7"/>
      <c r="EE224" s="7"/>
      <c r="EF224" s="7"/>
      <c r="EH224" s="7"/>
      <c r="EI224" s="7"/>
      <c r="EK224" s="7"/>
      <c r="EL224" s="7"/>
      <c r="EN224" s="7"/>
      <c r="EO224" s="7"/>
      <c r="EQ224" s="7"/>
      <c r="ER224" s="7"/>
      <c r="ET224" s="7"/>
      <c r="EU224" s="7"/>
      <c r="EW224" s="7"/>
      <c r="EX224" s="7"/>
      <c r="EZ224" s="7"/>
      <c r="FA224" s="7"/>
      <c r="FC224" s="7"/>
      <c r="FD224" s="7"/>
      <c r="FF224" s="7"/>
      <c r="FG224" s="7"/>
      <c r="FI224" s="7"/>
      <c r="FJ224" s="7"/>
      <c r="FL224" s="7"/>
      <c r="FM224" s="7"/>
      <c r="FO224" s="7"/>
      <c r="FP224" s="7"/>
      <c r="FR224" s="7"/>
      <c r="FS224" s="7"/>
      <c r="FU224" s="7"/>
      <c r="FV224" s="7"/>
      <c r="FX224" s="7"/>
      <c r="FY224" s="7"/>
      <c r="GA224" s="7"/>
      <c r="GB224" s="7"/>
      <c r="GD224" s="7"/>
      <c r="GE224" s="7"/>
      <c r="GG224" s="7"/>
      <c r="GH224" s="7"/>
      <c r="GJ224" s="7"/>
      <c r="GK224" s="7"/>
      <c r="GV224" s="7"/>
      <c r="GW224" s="7"/>
      <c r="HE224" s="7"/>
      <c r="HF224" s="7"/>
      <c r="HH224" s="7"/>
      <c r="HI224" s="7"/>
      <c r="HQ224" s="7"/>
      <c r="HR224" s="7"/>
      <c r="HT224" s="7"/>
      <c r="HU224" s="7"/>
      <c r="IC224" s="7"/>
      <c r="ID224" s="7"/>
      <c r="IF224" s="7"/>
      <c r="IG224" s="7"/>
      <c r="II224" s="7"/>
      <c r="IJ224" s="7"/>
      <c r="IK224" s="7"/>
      <c r="IL224" s="7"/>
      <c r="IM224" s="7"/>
      <c r="IN224" s="7"/>
      <c r="IP224" s="7"/>
      <c r="IQ224" s="7"/>
      <c r="IR224" s="7"/>
      <c r="IS224" s="7"/>
      <c r="IT224" s="7"/>
      <c r="IU224" s="7"/>
      <c r="IV224" s="7"/>
      <c r="IW224" s="7"/>
      <c r="IX224" s="7"/>
      <c r="IY224" s="7"/>
      <c r="IZ224" s="7"/>
      <c r="JA224" s="7"/>
      <c r="JB224" s="7"/>
      <c r="JC224" s="7"/>
      <c r="JE224" s="7"/>
      <c r="JF224" s="7"/>
      <c r="JH224" s="7"/>
      <c r="JI224" s="7"/>
      <c r="JJ224" s="7"/>
      <c r="JK224" s="7"/>
      <c r="JL224" s="7"/>
      <c r="JM224" s="7"/>
      <c r="JO224" s="7"/>
      <c r="JP224" s="7"/>
      <c r="JQ224" s="7"/>
      <c r="JR224" s="7"/>
      <c r="JT224" s="7"/>
      <c r="JU224" s="7"/>
      <c r="JV224" s="7"/>
      <c r="JW224" s="7"/>
      <c r="JX224" s="7"/>
    </row>
    <row r="225" spans="3:284" x14ac:dyDescent="0.3">
      <c r="C225" s="7"/>
      <c r="D225" s="7"/>
      <c r="F225" s="7"/>
      <c r="G225" s="7"/>
      <c r="I225" s="7"/>
      <c r="J225" s="7"/>
      <c r="L225" s="7"/>
      <c r="M225" s="7"/>
      <c r="O225" s="7"/>
      <c r="P225" s="7"/>
      <c r="R225" s="7"/>
      <c r="S225" s="7"/>
      <c r="U225" s="7"/>
      <c r="V225" s="7"/>
      <c r="X225" s="7"/>
      <c r="Y225" s="7"/>
      <c r="AA225" s="7"/>
      <c r="AB225" s="7"/>
      <c r="AD225" s="7"/>
      <c r="AE225" s="7"/>
      <c r="AG225" s="7"/>
      <c r="AH225" s="7"/>
      <c r="AJ225" s="7"/>
      <c r="AK225" s="7"/>
      <c r="AM225" s="7"/>
      <c r="AN225" s="7"/>
      <c r="AP225" s="7"/>
      <c r="AQ225" s="7"/>
      <c r="AS225" s="7"/>
      <c r="AT225" s="7"/>
      <c r="AV225" s="7"/>
      <c r="AW225" s="7"/>
      <c r="AY225" s="7"/>
      <c r="AZ225" s="7"/>
      <c r="BB225" s="7"/>
      <c r="BC225" s="7"/>
      <c r="BE225" s="7"/>
      <c r="BF225" s="7"/>
      <c r="BH225" s="7"/>
      <c r="BI225" s="7"/>
      <c r="BK225" s="7"/>
      <c r="BL225" s="7"/>
      <c r="BN225" s="7"/>
      <c r="BO225" s="7"/>
      <c r="BQ225" s="7"/>
      <c r="BR225" s="7"/>
      <c r="BT225" s="7"/>
      <c r="BU225" s="7"/>
      <c r="BW225" s="7"/>
      <c r="BX225" s="7"/>
      <c r="BZ225" s="7"/>
      <c r="CA225" s="7"/>
      <c r="CC225" s="7"/>
      <c r="CD225" s="7"/>
      <c r="CF225" s="7"/>
      <c r="CG225" s="7"/>
      <c r="CI225" s="7"/>
      <c r="CJ225" s="7"/>
      <c r="CL225" s="7"/>
      <c r="CM225" s="7"/>
      <c r="CO225" s="7"/>
      <c r="CP225" s="7"/>
      <c r="CR225" s="7"/>
      <c r="CS225" s="7"/>
      <c r="CU225" s="7"/>
      <c r="CV225" s="7"/>
      <c r="CX225" s="7"/>
      <c r="CY225" s="7"/>
      <c r="DA225" s="7"/>
      <c r="DB225" s="7"/>
      <c r="DD225" s="7"/>
      <c r="DE225" s="7"/>
      <c r="DG225" s="7"/>
      <c r="DH225" s="7"/>
      <c r="DJ225" s="7"/>
      <c r="DK225" s="7"/>
      <c r="DM225" s="7"/>
      <c r="DN225" s="7"/>
      <c r="DP225" s="7"/>
      <c r="DQ225" s="7"/>
      <c r="DS225" s="7"/>
      <c r="DT225" s="7"/>
      <c r="DV225" s="7"/>
      <c r="DW225" s="7"/>
      <c r="DY225" s="7"/>
      <c r="DZ225" s="7"/>
      <c r="EB225" s="7"/>
      <c r="EC225" s="7"/>
      <c r="EE225" s="7"/>
      <c r="EF225" s="7"/>
      <c r="EH225" s="7"/>
      <c r="EI225" s="7"/>
      <c r="EK225" s="7"/>
      <c r="EL225" s="7"/>
      <c r="EN225" s="7"/>
      <c r="EO225" s="7"/>
      <c r="EQ225" s="7"/>
      <c r="ER225" s="7"/>
      <c r="ET225" s="7"/>
      <c r="EU225" s="7"/>
      <c r="EW225" s="7"/>
      <c r="EX225" s="7"/>
      <c r="EZ225" s="7"/>
      <c r="FA225" s="7"/>
      <c r="FC225" s="7"/>
      <c r="FD225" s="7"/>
      <c r="FF225" s="7"/>
      <c r="FG225" s="7"/>
      <c r="FI225" s="7"/>
      <c r="FJ225" s="7"/>
      <c r="FL225" s="7"/>
      <c r="FM225" s="7"/>
      <c r="FO225" s="7"/>
      <c r="FP225" s="7"/>
      <c r="FR225" s="7"/>
      <c r="FS225" s="7"/>
      <c r="FU225" s="7"/>
      <c r="FV225" s="7"/>
      <c r="FX225" s="7"/>
      <c r="FY225" s="7"/>
      <c r="GA225" s="7"/>
      <c r="GB225" s="7"/>
      <c r="GD225" s="7"/>
      <c r="GE225" s="7"/>
      <c r="GG225" s="7"/>
      <c r="GH225" s="7"/>
      <c r="GJ225" s="7"/>
      <c r="GK225" s="7"/>
      <c r="GV225" s="7"/>
      <c r="GW225" s="7"/>
      <c r="HE225" s="7"/>
      <c r="HF225" s="7"/>
      <c r="HH225" s="7"/>
      <c r="HI225" s="7"/>
      <c r="HQ225" s="7"/>
      <c r="HR225" s="7"/>
      <c r="HT225" s="7"/>
      <c r="HU225" s="7"/>
      <c r="IC225" s="7"/>
      <c r="ID225" s="7"/>
      <c r="IF225" s="7"/>
      <c r="IG225" s="7"/>
      <c r="II225" s="7"/>
      <c r="IJ225" s="7"/>
      <c r="IK225" s="7"/>
      <c r="IL225" s="7"/>
      <c r="IM225" s="7"/>
      <c r="IN225" s="7"/>
      <c r="IP225" s="7"/>
      <c r="IQ225" s="7"/>
      <c r="IR225" s="7"/>
      <c r="IS225" s="7"/>
      <c r="IT225" s="7"/>
      <c r="IU225" s="7"/>
      <c r="IV225" s="7"/>
      <c r="IW225" s="7"/>
      <c r="IX225" s="7"/>
      <c r="IY225" s="7"/>
      <c r="IZ225" s="7"/>
      <c r="JA225" s="7"/>
      <c r="JB225" s="7"/>
      <c r="JC225" s="7"/>
      <c r="JE225" s="7"/>
      <c r="JF225" s="7"/>
      <c r="JH225" s="7"/>
      <c r="JI225" s="7"/>
      <c r="JJ225" s="7"/>
      <c r="JK225" s="7"/>
      <c r="JL225" s="7"/>
      <c r="JM225" s="7"/>
      <c r="JO225" s="7"/>
      <c r="JP225" s="7"/>
      <c r="JQ225" s="7"/>
      <c r="JR225" s="7"/>
      <c r="JT225" s="7"/>
      <c r="JU225" s="7"/>
      <c r="JV225" s="7"/>
      <c r="JW225" s="7"/>
      <c r="JX225" s="7"/>
    </row>
    <row r="226" spans="3:284" x14ac:dyDescent="0.3">
      <c r="C226" s="7"/>
      <c r="D226" s="7"/>
      <c r="F226" s="7"/>
      <c r="G226" s="7"/>
      <c r="I226" s="7"/>
      <c r="J226" s="7"/>
      <c r="L226" s="7"/>
      <c r="M226" s="7"/>
      <c r="O226" s="7"/>
      <c r="P226" s="7"/>
      <c r="R226" s="7"/>
      <c r="S226" s="7"/>
      <c r="U226" s="7"/>
      <c r="V226" s="7"/>
      <c r="X226" s="7"/>
      <c r="Y226" s="7"/>
      <c r="AA226" s="7"/>
      <c r="AB226" s="7"/>
      <c r="AD226" s="7"/>
      <c r="AE226" s="7"/>
      <c r="AG226" s="7"/>
      <c r="AH226" s="7"/>
      <c r="AJ226" s="7"/>
      <c r="AK226" s="7"/>
      <c r="AM226" s="7"/>
      <c r="AN226" s="7"/>
      <c r="AP226" s="7"/>
      <c r="AQ226" s="7"/>
      <c r="AS226" s="7"/>
      <c r="AT226" s="7"/>
      <c r="AV226" s="7"/>
      <c r="AW226" s="7"/>
      <c r="AY226" s="7"/>
      <c r="AZ226" s="7"/>
      <c r="BB226" s="7"/>
      <c r="BC226" s="7"/>
      <c r="BE226" s="7"/>
      <c r="BF226" s="7"/>
      <c r="BH226" s="7"/>
      <c r="BI226" s="7"/>
      <c r="BK226" s="7"/>
      <c r="BL226" s="7"/>
      <c r="BN226" s="7"/>
      <c r="BO226" s="7"/>
      <c r="BQ226" s="7"/>
      <c r="BR226" s="7"/>
      <c r="BT226" s="7"/>
      <c r="BU226" s="7"/>
      <c r="BW226" s="7"/>
      <c r="BX226" s="7"/>
      <c r="BZ226" s="7"/>
      <c r="CA226" s="7"/>
      <c r="CC226" s="7"/>
      <c r="CD226" s="7"/>
      <c r="CF226" s="7"/>
      <c r="CG226" s="7"/>
      <c r="CI226" s="7"/>
      <c r="CJ226" s="7"/>
      <c r="CL226" s="7"/>
      <c r="CM226" s="7"/>
      <c r="CO226" s="7"/>
      <c r="CP226" s="7"/>
      <c r="CR226" s="7"/>
      <c r="CS226" s="7"/>
      <c r="CU226" s="7"/>
      <c r="CV226" s="7"/>
      <c r="CX226" s="7"/>
      <c r="CY226" s="7"/>
      <c r="DA226" s="7"/>
      <c r="DB226" s="7"/>
      <c r="DD226" s="7"/>
      <c r="DE226" s="7"/>
      <c r="DG226" s="7"/>
      <c r="DH226" s="7"/>
      <c r="DJ226" s="7"/>
      <c r="DK226" s="7"/>
      <c r="DM226" s="7"/>
      <c r="DN226" s="7"/>
      <c r="DP226" s="7"/>
      <c r="DQ226" s="7"/>
      <c r="DS226" s="7"/>
      <c r="DT226" s="7"/>
      <c r="DV226" s="7"/>
      <c r="DW226" s="7"/>
      <c r="DY226" s="7"/>
      <c r="DZ226" s="7"/>
      <c r="EB226" s="7"/>
      <c r="EC226" s="7"/>
      <c r="EE226" s="7"/>
      <c r="EF226" s="7"/>
      <c r="EH226" s="7"/>
      <c r="EI226" s="7"/>
      <c r="EK226" s="7"/>
      <c r="EL226" s="7"/>
      <c r="EN226" s="7"/>
      <c r="EO226" s="7"/>
      <c r="EQ226" s="7"/>
      <c r="ER226" s="7"/>
      <c r="ET226" s="7"/>
      <c r="EU226" s="7"/>
      <c r="EW226" s="7"/>
      <c r="EX226" s="7"/>
      <c r="EZ226" s="7"/>
      <c r="FA226" s="7"/>
      <c r="FC226" s="7"/>
      <c r="FD226" s="7"/>
      <c r="FF226" s="7"/>
      <c r="FG226" s="7"/>
      <c r="FI226" s="7"/>
      <c r="FJ226" s="7"/>
      <c r="FL226" s="7"/>
      <c r="FM226" s="7"/>
      <c r="FO226" s="7"/>
      <c r="FP226" s="7"/>
      <c r="FR226" s="7"/>
      <c r="FS226" s="7"/>
      <c r="FU226" s="7"/>
      <c r="FV226" s="7"/>
      <c r="FX226" s="7"/>
      <c r="FY226" s="7"/>
      <c r="GA226" s="7"/>
      <c r="GB226" s="7"/>
      <c r="GD226" s="7"/>
      <c r="GE226" s="7"/>
      <c r="GG226" s="7"/>
      <c r="GH226" s="7"/>
      <c r="GJ226" s="7"/>
      <c r="GK226" s="7"/>
      <c r="GV226" s="7"/>
      <c r="GW226" s="7"/>
      <c r="HE226" s="7"/>
      <c r="HF226" s="7"/>
      <c r="HH226" s="7"/>
      <c r="HI226" s="7"/>
      <c r="HQ226" s="7"/>
      <c r="HR226" s="7"/>
      <c r="HT226" s="7"/>
      <c r="HU226" s="7"/>
      <c r="IC226" s="7"/>
      <c r="ID226" s="7"/>
      <c r="IF226" s="7"/>
      <c r="IG226" s="7"/>
      <c r="II226" s="7"/>
      <c r="IJ226" s="7"/>
      <c r="IK226" s="7"/>
      <c r="IL226" s="7"/>
      <c r="IM226" s="7"/>
      <c r="IN226" s="7"/>
      <c r="IP226" s="7"/>
      <c r="IQ226" s="7"/>
      <c r="IR226" s="7"/>
      <c r="IS226" s="7"/>
      <c r="IT226" s="7"/>
      <c r="IU226" s="7"/>
      <c r="IV226" s="7"/>
      <c r="IW226" s="7"/>
      <c r="IX226" s="7"/>
      <c r="IY226" s="7"/>
      <c r="IZ226" s="7"/>
      <c r="JA226" s="7"/>
      <c r="JB226" s="7"/>
      <c r="JC226" s="7"/>
      <c r="JE226" s="7"/>
      <c r="JF226" s="7"/>
      <c r="JH226" s="7"/>
      <c r="JI226" s="7"/>
      <c r="JJ226" s="7"/>
      <c r="JK226" s="7"/>
      <c r="JL226" s="7"/>
      <c r="JM226" s="7"/>
      <c r="JO226" s="7"/>
      <c r="JP226" s="7"/>
      <c r="JQ226" s="7"/>
      <c r="JR226" s="7"/>
      <c r="JT226" s="7"/>
      <c r="JU226" s="7"/>
      <c r="JV226" s="7"/>
      <c r="JW226" s="7"/>
      <c r="JX226" s="7"/>
    </row>
    <row r="227" spans="3:284" x14ac:dyDescent="0.3">
      <c r="C227" s="7"/>
      <c r="D227" s="7"/>
      <c r="F227" s="7"/>
      <c r="G227" s="7"/>
      <c r="I227" s="7"/>
      <c r="J227" s="7"/>
      <c r="L227" s="7"/>
      <c r="M227" s="7"/>
      <c r="O227" s="7"/>
      <c r="P227" s="7"/>
      <c r="R227" s="7"/>
      <c r="S227" s="7"/>
      <c r="U227" s="7"/>
      <c r="V227" s="7"/>
      <c r="X227" s="7"/>
      <c r="Y227" s="7"/>
      <c r="AA227" s="7"/>
      <c r="AB227" s="7"/>
      <c r="AD227" s="7"/>
      <c r="AE227" s="7"/>
      <c r="AG227" s="7"/>
      <c r="AH227" s="7"/>
      <c r="AJ227" s="7"/>
      <c r="AK227" s="7"/>
      <c r="AM227" s="7"/>
      <c r="AN227" s="7"/>
      <c r="AP227" s="7"/>
      <c r="AQ227" s="7"/>
      <c r="AS227" s="7"/>
      <c r="AT227" s="7"/>
      <c r="AV227" s="7"/>
      <c r="AW227" s="7"/>
      <c r="AY227" s="7"/>
      <c r="AZ227" s="7"/>
      <c r="BB227" s="7"/>
      <c r="BC227" s="7"/>
      <c r="BE227" s="7"/>
      <c r="BF227" s="7"/>
      <c r="BH227" s="7"/>
      <c r="BI227" s="7"/>
      <c r="BK227" s="7"/>
      <c r="BL227" s="7"/>
      <c r="BN227" s="7"/>
      <c r="BO227" s="7"/>
      <c r="BQ227" s="7"/>
      <c r="BR227" s="7"/>
      <c r="BT227" s="7"/>
      <c r="BU227" s="7"/>
      <c r="BW227" s="7"/>
      <c r="BX227" s="7"/>
      <c r="BZ227" s="7"/>
      <c r="CA227" s="7"/>
      <c r="CC227" s="7"/>
      <c r="CD227" s="7"/>
      <c r="CF227" s="7"/>
      <c r="CG227" s="7"/>
      <c r="CI227" s="7"/>
      <c r="CJ227" s="7"/>
      <c r="CL227" s="7"/>
      <c r="CM227" s="7"/>
      <c r="CO227" s="7"/>
      <c r="CP227" s="7"/>
      <c r="CR227" s="7"/>
      <c r="CS227" s="7"/>
      <c r="CU227" s="7"/>
      <c r="CV227" s="7"/>
      <c r="CX227" s="7"/>
      <c r="CY227" s="7"/>
      <c r="DA227" s="7"/>
      <c r="DB227" s="7"/>
      <c r="DD227" s="7"/>
      <c r="DE227" s="7"/>
      <c r="DG227" s="7"/>
      <c r="DH227" s="7"/>
      <c r="DJ227" s="7"/>
      <c r="DK227" s="7"/>
      <c r="DM227" s="7"/>
      <c r="DN227" s="7"/>
      <c r="DP227" s="7"/>
      <c r="DQ227" s="7"/>
      <c r="DS227" s="7"/>
      <c r="DT227" s="7"/>
      <c r="DV227" s="7"/>
      <c r="DW227" s="7"/>
      <c r="DY227" s="7"/>
      <c r="DZ227" s="7"/>
      <c r="EB227" s="7"/>
      <c r="EC227" s="7"/>
      <c r="EE227" s="7"/>
      <c r="EF227" s="7"/>
      <c r="EH227" s="7"/>
      <c r="EI227" s="7"/>
      <c r="EK227" s="7"/>
      <c r="EL227" s="7"/>
      <c r="EN227" s="7"/>
      <c r="EO227" s="7"/>
      <c r="EQ227" s="7"/>
      <c r="ER227" s="7"/>
      <c r="ET227" s="7"/>
      <c r="EU227" s="7"/>
      <c r="EW227" s="7"/>
      <c r="EX227" s="7"/>
      <c r="EZ227" s="7"/>
      <c r="FA227" s="7"/>
      <c r="FC227" s="7"/>
      <c r="FD227" s="7"/>
      <c r="FF227" s="7"/>
      <c r="FG227" s="7"/>
      <c r="FI227" s="7"/>
      <c r="FJ227" s="7"/>
      <c r="FL227" s="7"/>
      <c r="FM227" s="7"/>
      <c r="FO227" s="7"/>
      <c r="FP227" s="7"/>
      <c r="FR227" s="7"/>
      <c r="FS227" s="7"/>
      <c r="FU227" s="7"/>
      <c r="FV227" s="7"/>
      <c r="FX227" s="7"/>
      <c r="FY227" s="7"/>
      <c r="GA227" s="7"/>
      <c r="GB227" s="7"/>
      <c r="GD227" s="7"/>
      <c r="GE227" s="7"/>
      <c r="GG227" s="7"/>
      <c r="GH227" s="7"/>
      <c r="GJ227" s="7"/>
      <c r="GK227" s="7"/>
      <c r="GV227" s="7"/>
      <c r="GW227" s="7"/>
      <c r="HE227" s="7"/>
      <c r="HF227" s="7"/>
      <c r="HH227" s="7"/>
      <c r="HI227" s="7"/>
      <c r="HQ227" s="7"/>
      <c r="HR227" s="7"/>
      <c r="HT227" s="7"/>
      <c r="HU227" s="7"/>
      <c r="IC227" s="7"/>
      <c r="ID227" s="7"/>
      <c r="IF227" s="7"/>
      <c r="IG227" s="7"/>
      <c r="II227" s="7"/>
      <c r="IJ227" s="7"/>
      <c r="IK227" s="7"/>
      <c r="IL227" s="7"/>
      <c r="IM227" s="7"/>
      <c r="IN227" s="7"/>
      <c r="IP227" s="7"/>
      <c r="IQ227" s="7"/>
      <c r="IR227" s="7"/>
      <c r="IS227" s="7"/>
      <c r="IT227" s="7"/>
      <c r="IU227" s="7"/>
      <c r="IV227" s="7"/>
      <c r="IW227" s="7"/>
      <c r="IX227" s="7"/>
      <c r="IY227" s="7"/>
      <c r="IZ227" s="7"/>
      <c r="JA227" s="7"/>
      <c r="JB227" s="7"/>
      <c r="JC227" s="7"/>
      <c r="JE227" s="7"/>
      <c r="JF227" s="7"/>
      <c r="JH227" s="7"/>
      <c r="JI227" s="7"/>
      <c r="JJ227" s="7"/>
      <c r="JK227" s="7"/>
      <c r="JL227" s="7"/>
      <c r="JM227" s="7"/>
      <c r="JO227" s="7"/>
      <c r="JP227" s="7"/>
      <c r="JQ227" s="7"/>
      <c r="JR227" s="7"/>
      <c r="JT227" s="7"/>
      <c r="JU227" s="7"/>
      <c r="JV227" s="7"/>
      <c r="JW227" s="7"/>
      <c r="JX227" s="7"/>
    </row>
    <row r="228" spans="3:284" x14ac:dyDescent="0.3">
      <c r="C228" s="7"/>
      <c r="D228" s="7"/>
      <c r="F228" s="7"/>
      <c r="G228" s="7"/>
      <c r="I228" s="7"/>
      <c r="J228" s="7"/>
      <c r="L228" s="7"/>
      <c r="M228" s="7"/>
      <c r="O228" s="7"/>
      <c r="P228" s="7"/>
      <c r="R228" s="7"/>
      <c r="S228" s="7"/>
      <c r="U228" s="7"/>
      <c r="V228" s="7"/>
      <c r="X228" s="7"/>
      <c r="Y228" s="7"/>
      <c r="AA228" s="7"/>
      <c r="AB228" s="7"/>
      <c r="AD228" s="7"/>
      <c r="AE228" s="7"/>
      <c r="AG228" s="7"/>
      <c r="AH228" s="7"/>
      <c r="AJ228" s="7"/>
      <c r="AK228" s="7"/>
      <c r="AM228" s="7"/>
      <c r="AN228" s="7"/>
      <c r="AP228" s="7"/>
      <c r="AQ228" s="7"/>
      <c r="AS228" s="7"/>
      <c r="AT228" s="7"/>
      <c r="AV228" s="7"/>
      <c r="AW228" s="7"/>
      <c r="AY228" s="7"/>
      <c r="AZ228" s="7"/>
      <c r="BB228" s="7"/>
      <c r="BC228" s="7"/>
      <c r="BE228" s="7"/>
      <c r="BF228" s="7"/>
      <c r="BH228" s="7"/>
      <c r="BI228" s="7"/>
      <c r="BK228" s="7"/>
      <c r="BL228" s="7"/>
      <c r="BN228" s="7"/>
      <c r="BO228" s="7"/>
      <c r="BQ228" s="7"/>
      <c r="BR228" s="7"/>
      <c r="BT228" s="7"/>
      <c r="BU228" s="7"/>
      <c r="BW228" s="7"/>
      <c r="BX228" s="7"/>
      <c r="BZ228" s="7"/>
      <c r="CA228" s="7"/>
      <c r="CC228" s="7"/>
      <c r="CD228" s="7"/>
      <c r="CF228" s="7"/>
      <c r="CG228" s="7"/>
      <c r="CI228" s="7"/>
      <c r="CJ228" s="7"/>
      <c r="CL228" s="7"/>
      <c r="CM228" s="7"/>
      <c r="CO228" s="7"/>
      <c r="CP228" s="7"/>
      <c r="CR228" s="7"/>
      <c r="CS228" s="7"/>
      <c r="CU228" s="7"/>
      <c r="CV228" s="7"/>
      <c r="CX228" s="7"/>
      <c r="CY228" s="7"/>
      <c r="DA228" s="7"/>
      <c r="DB228" s="7"/>
      <c r="DD228" s="7"/>
      <c r="DE228" s="7"/>
      <c r="DG228" s="7"/>
      <c r="DH228" s="7"/>
      <c r="DJ228" s="7"/>
      <c r="DK228" s="7"/>
      <c r="DM228" s="7"/>
      <c r="DN228" s="7"/>
      <c r="DP228" s="7"/>
      <c r="DQ228" s="7"/>
      <c r="DS228" s="7"/>
      <c r="DT228" s="7"/>
      <c r="DV228" s="7"/>
      <c r="DW228" s="7"/>
      <c r="DY228" s="7"/>
      <c r="DZ228" s="7"/>
      <c r="EB228" s="7"/>
      <c r="EC228" s="7"/>
      <c r="EE228" s="7"/>
      <c r="EF228" s="7"/>
      <c r="EH228" s="7"/>
      <c r="EI228" s="7"/>
      <c r="EK228" s="7"/>
      <c r="EL228" s="7"/>
      <c r="EN228" s="7"/>
      <c r="EO228" s="7"/>
      <c r="EQ228" s="7"/>
      <c r="ER228" s="7"/>
      <c r="ET228" s="7"/>
      <c r="EU228" s="7"/>
      <c r="EW228" s="7"/>
      <c r="EX228" s="7"/>
      <c r="EZ228" s="7"/>
      <c r="FA228" s="7"/>
      <c r="FC228" s="7"/>
      <c r="FD228" s="7"/>
      <c r="FF228" s="7"/>
      <c r="FG228" s="7"/>
      <c r="FI228" s="7"/>
      <c r="FJ228" s="7"/>
      <c r="FL228" s="7"/>
      <c r="FM228" s="7"/>
      <c r="FO228" s="7"/>
      <c r="FP228" s="7"/>
      <c r="FR228" s="7"/>
      <c r="FS228" s="7"/>
      <c r="FU228" s="7"/>
      <c r="FV228" s="7"/>
      <c r="FX228" s="7"/>
      <c r="FY228" s="7"/>
      <c r="GA228" s="7"/>
      <c r="GB228" s="7"/>
      <c r="GD228" s="7"/>
      <c r="GE228" s="7"/>
      <c r="GG228" s="7"/>
      <c r="GH228" s="7"/>
      <c r="GJ228" s="7"/>
      <c r="GK228" s="7"/>
      <c r="GV228" s="7"/>
      <c r="GW228" s="7"/>
      <c r="HE228" s="7"/>
      <c r="HF228" s="7"/>
      <c r="HH228" s="7"/>
      <c r="HI228" s="7"/>
      <c r="HQ228" s="7"/>
      <c r="HR228" s="7"/>
      <c r="HT228" s="7"/>
      <c r="HU228" s="7"/>
      <c r="IC228" s="7"/>
      <c r="ID228" s="7"/>
      <c r="IF228" s="7"/>
      <c r="IG228" s="7"/>
      <c r="II228" s="7"/>
      <c r="IJ228" s="7"/>
      <c r="IK228" s="7"/>
      <c r="IL228" s="7"/>
      <c r="IM228" s="7"/>
      <c r="IN228" s="7"/>
      <c r="IP228" s="7"/>
      <c r="IQ228" s="7"/>
      <c r="IR228" s="7"/>
      <c r="IS228" s="7"/>
      <c r="IT228" s="7"/>
      <c r="IU228" s="7"/>
      <c r="IV228" s="7"/>
      <c r="IW228" s="7"/>
      <c r="IX228" s="7"/>
      <c r="IY228" s="7"/>
      <c r="IZ228" s="7"/>
      <c r="JA228" s="7"/>
      <c r="JB228" s="7"/>
      <c r="JC228" s="7"/>
      <c r="JE228" s="7"/>
      <c r="JF228" s="7"/>
      <c r="JH228" s="7"/>
      <c r="JI228" s="7"/>
      <c r="JJ228" s="7"/>
      <c r="JK228" s="7"/>
      <c r="JL228" s="7"/>
      <c r="JM228" s="7"/>
      <c r="JO228" s="7"/>
      <c r="JP228" s="7"/>
      <c r="JQ228" s="7"/>
      <c r="JR228" s="7"/>
      <c r="JT228" s="7"/>
      <c r="JU228" s="7"/>
      <c r="JV228" s="7"/>
      <c r="JW228" s="7"/>
      <c r="JX228" s="7"/>
    </row>
    <row r="229" spans="3:284" x14ac:dyDescent="0.3">
      <c r="C229" s="7"/>
      <c r="D229" s="7"/>
      <c r="F229" s="7"/>
      <c r="G229" s="7"/>
      <c r="I229" s="7"/>
      <c r="J229" s="7"/>
      <c r="L229" s="7"/>
      <c r="M229" s="7"/>
      <c r="O229" s="7"/>
      <c r="P229" s="7"/>
      <c r="R229" s="7"/>
      <c r="S229" s="7"/>
      <c r="U229" s="7"/>
      <c r="V229" s="7"/>
      <c r="X229" s="7"/>
      <c r="Y229" s="7"/>
      <c r="AA229" s="7"/>
      <c r="AB229" s="7"/>
      <c r="AD229" s="7"/>
      <c r="AE229" s="7"/>
      <c r="AG229" s="7"/>
      <c r="AH229" s="7"/>
      <c r="AJ229" s="7"/>
      <c r="AK229" s="7"/>
      <c r="AM229" s="7"/>
      <c r="AN229" s="7"/>
      <c r="AP229" s="7"/>
      <c r="AQ229" s="7"/>
      <c r="AS229" s="7"/>
      <c r="AT229" s="7"/>
      <c r="AV229" s="7"/>
      <c r="AW229" s="7"/>
      <c r="AY229" s="7"/>
      <c r="AZ229" s="7"/>
      <c r="BB229" s="7"/>
      <c r="BC229" s="7"/>
      <c r="BE229" s="7"/>
      <c r="BF229" s="7"/>
      <c r="BH229" s="7"/>
      <c r="BI229" s="7"/>
      <c r="BK229" s="7"/>
      <c r="BL229" s="7"/>
      <c r="BN229" s="7"/>
      <c r="BO229" s="7"/>
      <c r="BQ229" s="7"/>
      <c r="BR229" s="7"/>
      <c r="BT229" s="7"/>
      <c r="BU229" s="7"/>
      <c r="BW229" s="7"/>
      <c r="BX229" s="7"/>
      <c r="BZ229" s="7"/>
      <c r="CA229" s="7"/>
      <c r="CC229" s="7"/>
      <c r="CD229" s="7"/>
      <c r="CF229" s="7"/>
      <c r="CG229" s="7"/>
      <c r="CI229" s="7"/>
      <c r="CJ229" s="7"/>
      <c r="CL229" s="7"/>
      <c r="CM229" s="7"/>
      <c r="CO229" s="7"/>
      <c r="CP229" s="7"/>
      <c r="CR229" s="7"/>
      <c r="CS229" s="7"/>
      <c r="CU229" s="7"/>
      <c r="CV229" s="7"/>
      <c r="CX229" s="7"/>
      <c r="CY229" s="7"/>
      <c r="DA229" s="7"/>
      <c r="DB229" s="7"/>
      <c r="DD229" s="7"/>
      <c r="DE229" s="7"/>
      <c r="DG229" s="7"/>
      <c r="DH229" s="7"/>
      <c r="DJ229" s="7"/>
      <c r="DK229" s="7"/>
      <c r="DM229" s="7"/>
      <c r="DN229" s="7"/>
      <c r="DP229" s="7"/>
      <c r="DQ229" s="7"/>
      <c r="DS229" s="7"/>
      <c r="DT229" s="7"/>
      <c r="DV229" s="7"/>
      <c r="DW229" s="7"/>
      <c r="DY229" s="7"/>
      <c r="DZ229" s="7"/>
      <c r="EB229" s="7"/>
      <c r="EC229" s="7"/>
      <c r="EE229" s="7"/>
      <c r="EF229" s="7"/>
      <c r="EH229" s="7"/>
      <c r="EI229" s="7"/>
      <c r="EK229" s="7"/>
      <c r="EL229" s="7"/>
      <c r="EN229" s="7"/>
      <c r="EO229" s="7"/>
      <c r="EQ229" s="7"/>
      <c r="ER229" s="7"/>
      <c r="ET229" s="7"/>
      <c r="EU229" s="7"/>
      <c r="EW229" s="7"/>
      <c r="EX229" s="7"/>
      <c r="EZ229" s="7"/>
      <c r="FA229" s="7"/>
      <c r="FC229" s="7"/>
      <c r="FD229" s="7"/>
      <c r="FF229" s="7"/>
      <c r="FG229" s="7"/>
      <c r="FI229" s="7"/>
      <c r="FJ229" s="7"/>
      <c r="FL229" s="7"/>
      <c r="FM229" s="7"/>
      <c r="FO229" s="7"/>
      <c r="FP229" s="7"/>
      <c r="FR229" s="7"/>
      <c r="FS229" s="7"/>
      <c r="FU229" s="7"/>
      <c r="FV229" s="7"/>
      <c r="FX229" s="7"/>
      <c r="FY229" s="7"/>
      <c r="GA229" s="7"/>
      <c r="GB229" s="7"/>
      <c r="GD229" s="7"/>
      <c r="GE229" s="7"/>
      <c r="GG229" s="7"/>
      <c r="GH229" s="7"/>
      <c r="GJ229" s="7"/>
      <c r="GK229" s="7"/>
      <c r="GV229" s="7"/>
      <c r="GW229" s="7"/>
      <c r="HE229" s="7"/>
      <c r="HF229" s="7"/>
      <c r="HH229" s="7"/>
      <c r="HI229" s="7"/>
      <c r="HQ229" s="7"/>
      <c r="HR229" s="7"/>
      <c r="HT229" s="7"/>
      <c r="HU229" s="7"/>
      <c r="IC229" s="7"/>
      <c r="ID229" s="7"/>
      <c r="IF229" s="7"/>
      <c r="IG229" s="7"/>
      <c r="II229" s="7"/>
      <c r="IJ229" s="7"/>
      <c r="IK229" s="7"/>
      <c r="IL229" s="7"/>
      <c r="IM229" s="7"/>
      <c r="IN229" s="7"/>
      <c r="IP229" s="7"/>
      <c r="IQ229" s="7"/>
      <c r="IR229" s="7"/>
      <c r="IS229" s="7"/>
      <c r="IT229" s="7"/>
      <c r="IU229" s="7"/>
      <c r="IV229" s="7"/>
      <c r="IW229" s="7"/>
      <c r="IX229" s="7"/>
      <c r="IY229" s="7"/>
      <c r="IZ229" s="7"/>
      <c r="JA229" s="7"/>
      <c r="JB229" s="7"/>
      <c r="JC229" s="7"/>
      <c r="JE229" s="7"/>
      <c r="JF229" s="7"/>
      <c r="JH229" s="7"/>
      <c r="JI229" s="7"/>
      <c r="JJ229" s="7"/>
      <c r="JK229" s="7"/>
      <c r="JL229" s="7"/>
      <c r="JM229" s="7"/>
      <c r="JO229" s="7"/>
      <c r="JP229" s="7"/>
      <c r="JQ229" s="7"/>
      <c r="JR229" s="7"/>
      <c r="JT229" s="7"/>
      <c r="JU229" s="7"/>
      <c r="JV229" s="7"/>
      <c r="JW229" s="7"/>
      <c r="JX229" s="7"/>
    </row>
    <row r="230" spans="3:284" x14ac:dyDescent="0.3">
      <c r="C230" s="7"/>
      <c r="D230" s="7"/>
      <c r="F230" s="7"/>
      <c r="G230" s="7"/>
      <c r="I230" s="7"/>
      <c r="J230" s="7"/>
      <c r="L230" s="7"/>
      <c r="M230" s="7"/>
      <c r="O230" s="7"/>
      <c r="P230" s="7"/>
      <c r="R230" s="7"/>
      <c r="S230" s="7"/>
      <c r="U230" s="7"/>
      <c r="V230" s="7"/>
      <c r="X230" s="7"/>
      <c r="Y230" s="7"/>
      <c r="AA230" s="7"/>
      <c r="AB230" s="7"/>
      <c r="AD230" s="7"/>
      <c r="AE230" s="7"/>
      <c r="AG230" s="7"/>
      <c r="AH230" s="7"/>
      <c r="AJ230" s="7"/>
      <c r="AK230" s="7"/>
      <c r="AM230" s="7"/>
      <c r="AN230" s="7"/>
      <c r="AP230" s="7"/>
      <c r="AQ230" s="7"/>
      <c r="AS230" s="7"/>
      <c r="AT230" s="7"/>
      <c r="AV230" s="7"/>
      <c r="AW230" s="7"/>
      <c r="AY230" s="7"/>
      <c r="AZ230" s="7"/>
      <c r="BB230" s="7"/>
      <c r="BC230" s="7"/>
      <c r="BE230" s="7"/>
      <c r="BF230" s="7"/>
      <c r="BH230" s="7"/>
      <c r="BI230" s="7"/>
      <c r="BK230" s="7"/>
      <c r="BL230" s="7"/>
      <c r="BN230" s="7"/>
      <c r="BO230" s="7"/>
      <c r="BQ230" s="7"/>
      <c r="BR230" s="7"/>
      <c r="BT230" s="7"/>
      <c r="BU230" s="7"/>
      <c r="BW230" s="7"/>
      <c r="BX230" s="7"/>
      <c r="BZ230" s="7"/>
      <c r="CA230" s="7"/>
      <c r="CC230" s="7"/>
      <c r="CD230" s="7"/>
      <c r="CF230" s="7"/>
      <c r="CG230" s="7"/>
      <c r="CI230" s="7"/>
      <c r="CJ230" s="7"/>
      <c r="CL230" s="7"/>
      <c r="CM230" s="7"/>
      <c r="CO230" s="7"/>
      <c r="CP230" s="7"/>
      <c r="CR230" s="7"/>
      <c r="CS230" s="7"/>
      <c r="CU230" s="7"/>
      <c r="CV230" s="7"/>
      <c r="CX230" s="7"/>
      <c r="CY230" s="7"/>
      <c r="DA230" s="7"/>
      <c r="DB230" s="7"/>
      <c r="DD230" s="7"/>
      <c r="DE230" s="7"/>
      <c r="DG230" s="7"/>
      <c r="DH230" s="7"/>
      <c r="DJ230" s="7"/>
      <c r="DK230" s="7"/>
      <c r="DM230" s="7"/>
      <c r="DN230" s="7"/>
      <c r="DP230" s="7"/>
      <c r="DQ230" s="7"/>
      <c r="DS230" s="7"/>
      <c r="DT230" s="7"/>
      <c r="DV230" s="7"/>
      <c r="DW230" s="7"/>
      <c r="DY230" s="7"/>
      <c r="DZ230" s="7"/>
      <c r="EB230" s="7"/>
      <c r="EC230" s="7"/>
      <c r="EE230" s="7"/>
      <c r="EF230" s="7"/>
      <c r="EH230" s="7"/>
      <c r="EI230" s="7"/>
      <c r="EK230" s="7"/>
      <c r="EL230" s="7"/>
      <c r="EN230" s="7"/>
      <c r="EO230" s="7"/>
      <c r="EQ230" s="7"/>
      <c r="ER230" s="7"/>
      <c r="ET230" s="7"/>
      <c r="EU230" s="7"/>
      <c r="EW230" s="7"/>
      <c r="EX230" s="7"/>
      <c r="EZ230" s="7"/>
      <c r="FA230" s="7"/>
      <c r="FC230" s="7"/>
      <c r="FD230" s="7"/>
      <c r="FF230" s="7"/>
      <c r="FG230" s="7"/>
      <c r="FI230" s="7"/>
      <c r="FJ230" s="7"/>
      <c r="FL230" s="7"/>
      <c r="FM230" s="7"/>
      <c r="FO230" s="7"/>
      <c r="FP230" s="7"/>
      <c r="FR230" s="7"/>
      <c r="FS230" s="7"/>
      <c r="FU230" s="7"/>
      <c r="FV230" s="7"/>
      <c r="FX230" s="7"/>
      <c r="FY230" s="7"/>
      <c r="GA230" s="7"/>
      <c r="GB230" s="7"/>
      <c r="GD230" s="7"/>
      <c r="GE230" s="7"/>
      <c r="GG230" s="7"/>
      <c r="GH230" s="7"/>
      <c r="GJ230" s="7"/>
      <c r="GK230" s="7"/>
      <c r="GV230" s="7"/>
      <c r="GW230" s="7"/>
      <c r="HE230" s="7"/>
      <c r="HF230" s="7"/>
      <c r="HH230" s="7"/>
      <c r="HI230" s="7"/>
      <c r="HQ230" s="7"/>
      <c r="HR230" s="7"/>
      <c r="HT230" s="7"/>
      <c r="HU230" s="7"/>
      <c r="IC230" s="7"/>
      <c r="ID230" s="7"/>
      <c r="IF230" s="7"/>
      <c r="IG230" s="7"/>
      <c r="II230" s="7"/>
      <c r="IJ230" s="7"/>
      <c r="IK230" s="7"/>
      <c r="IL230" s="7"/>
      <c r="IM230" s="7"/>
      <c r="IN230" s="7"/>
      <c r="IP230" s="7"/>
      <c r="IQ230" s="7"/>
      <c r="IR230" s="7"/>
      <c r="IS230" s="7"/>
      <c r="IT230" s="7"/>
      <c r="IU230" s="7"/>
      <c r="IV230" s="7"/>
      <c r="IW230" s="7"/>
      <c r="IX230" s="7"/>
      <c r="IY230" s="7"/>
      <c r="IZ230" s="7"/>
      <c r="JA230" s="7"/>
      <c r="JB230" s="7"/>
      <c r="JC230" s="7"/>
      <c r="JE230" s="7"/>
      <c r="JF230" s="7"/>
      <c r="JH230" s="7"/>
      <c r="JI230" s="7"/>
      <c r="JJ230" s="7"/>
      <c r="JK230" s="7"/>
      <c r="JL230" s="7"/>
      <c r="JM230" s="7"/>
      <c r="JO230" s="7"/>
      <c r="JP230" s="7"/>
      <c r="JQ230" s="7"/>
      <c r="JR230" s="7"/>
      <c r="JT230" s="7"/>
      <c r="JU230" s="7"/>
      <c r="JV230" s="7"/>
      <c r="JW230" s="7"/>
      <c r="JX230" s="7"/>
    </row>
    <row r="231" spans="3:284" x14ac:dyDescent="0.3">
      <c r="C231" s="7"/>
      <c r="D231" s="7"/>
      <c r="F231" s="7"/>
      <c r="G231" s="7"/>
      <c r="I231" s="7"/>
      <c r="J231" s="7"/>
      <c r="L231" s="7"/>
      <c r="M231" s="7"/>
      <c r="O231" s="7"/>
      <c r="P231" s="7"/>
      <c r="R231" s="7"/>
      <c r="S231" s="7"/>
      <c r="U231" s="7"/>
      <c r="V231" s="7"/>
      <c r="X231" s="7"/>
      <c r="Y231" s="7"/>
      <c r="AA231" s="7"/>
      <c r="AB231" s="7"/>
      <c r="AD231" s="7"/>
      <c r="AE231" s="7"/>
      <c r="AG231" s="7"/>
      <c r="AH231" s="7"/>
      <c r="AJ231" s="7"/>
      <c r="AK231" s="7"/>
      <c r="AM231" s="7"/>
      <c r="AN231" s="7"/>
      <c r="AP231" s="7"/>
      <c r="AQ231" s="7"/>
      <c r="AS231" s="7"/>
      <c r="AT231" s="7"/>
      <c r="AV231" s="7"/>
      <c r="AW231" s="7"/>
      <c r="AY231" s="7"/>
      <c r="AZ231" s="7"/>
      <c r="BB231" s="7"/>
      <c r="BC231" s="7"/>
      <c r="BE231" s="7"/>
      <c r="BF231" s="7"/>
      <c r="BH231" s="7"/>
      <c r="BI231" s="7"/>
      <c r="BK231" s="7"/>
      <c r="BL231" s="7"/>
      <c r="BN231" s="7"/>
      <c r="BO231" s="7"/>
      <c r="BQ231" s="7"/>
      <c r="BR231" s="7"/>
      <c r="BT231" s="7"/>
      <c r="BU231" s="7"/>
      <c r="BW231" s="7"/>
      <c r="BX231" s="7"/>
      <c r="BZ231" s="7"/>
      <c r="CA231" s="7"/>
      <c r="CC231" s="7"/>
      <c r="CD231" s="7"/>
      <c r="CF231" s="7"/>
      <c r="CG231" s="7"/>
      <c r="CI231" s="7"/>
      <c r="CJ231" s="7"/>
      <c r="CL231" s="7"/>
      <c r="CM231" s="7"/>
      <c r="CO231" s="7"/>
      <c r="CP231" s="7"/>
      <c r="CR231" s="7"/>
      <c r="CS231" s="7"/>
      <c r="CU231" s="7"/>
      <c r="CV231" s="7"/>
      <c r="CX231" s="7"/>
      <c r="CY231" s="7"/>
      <c r="DA231" s="7"/>
      <c r="DB231" s="7"/>
      <c r="DD231" s="7"/>
      <c r="DE231" s="7"/>
      <c r="DG231" s="7"/>
      <c r="DH231" s="7"/>
      <c r="DJ231" s="7"/>
      <c r="DK231" s="7"/>
      <c r="DM231" s="7"/>
      <c r="DN231" s="7"/>
      <c r="DP231" s="7"/>
      <c r="DQ231" s="7"/>
      <c r="DS231" s="7"/>
      <c r="DT231" s="7"/>
      <c r="DV231" s="7"/>
      <c r="DW231" s="7"/>
      <c r="DY231" s="7"/>
      <c r="DZ231" s="7"/>
      <c r="EB231" s="7"/>
      <c r="EC231" s="7"/>
      <c r="EE231" s="7"/>
      <c r="EF231" s="7"/>
      <c r="EH231" s="7"/>
      <c r="EI231" s="7"/>
      <c r="EK231" s="7"/>
      <c r="EL231" s="7"/>
      <c r="EN231" s="7"/>
      <c r="EO231" s="7"/>
      <c r="EQ231" s="7"/>
      <c r="ER231" s="7"/>
      <c r="ET231" s="7"/>
      <c r="EU231" s="7"/>
      <c r="EW231" s="7"/>
      <c r="EX231" s="7"/>
      <c r="EZ231" s="7"/>
      <c r="FA231" s="7"/>
      <c r="FC231" s="7"/>
      <c r="FD231" s="7"/>
      <c r="FF231" s="7"/>
      <c r="FG231" s="7"/>
      <c r="FI231" s="7"/>
      <c r="FJ231" s="7"/>
      <c r="FL231" s="7"/>
      <c r="FM231" s="7"/>
      <c r="FO231" s="7"/>
      <c r="FP231" s="7"/>
      <c r="FR231" s="7"/>
      <c r="FS231" s="7"/>
      <c r="FU231" s="7"/>
      <c r="FV231" s="7"/>
      <c r="FX231" s="7"/>
      <c r="FY231" s="7"/>
      <c r="GA231" s="7"/>
      <c r="GB231" s="7"/>
      <c r="GD231" s="7"/>
      <c r="GE231" s="7"/>
      <c r="GG231" s="7"/>
      <c r="GH231" s="7"/>
      <c r="GJ231" s="7"/>
      <c r="GK231" s="7"/>
      <c r="GV231" s="7"/>
      <c r="GW231" s="7"/>
      <c r="HE231" s="7"/>
      <c r="HF231" s="7"/>
      <c r="HH231" s="7"/>
      <c r="HI231" s="7"/>
      <c r="HQ231" s="7"/>
      <c r="HR231" s="7"/>
      <c r="HT231" s="7"/>
      <c r="HU231" s="7"/>
      <c r="IC231" s="7"/>
      <c r="ID231" s="7"/>
      <c r="IF231" s="7"/>
      <c r="IG231" s="7"/>
      <c r="II231" s="7"/>
      <c r="IJ231" s="7"/>
      <c r="IK231" s="7"/>
      <c r="IL231" s="7"/>
      <c r="IM231" s="7"/>
      <c r="IN231" s="7"/>
      <c r="IP231" s="7"/>
      <c r="IQ231" s="7"/>
      <c r="IR231" s="7"/>
      <c r="IS231" s="7"/>
      <c r="IT231" s="7"/>
      <c r="IU231" s="7"/>
      <c r="IV231" s="7"/>
      <c r="IW231" s="7"/>
      <c r="IX231" s="7"/>
      <c r="IY231" s="7"/>
      <c r="IZ231" s="7"/>
      <c r="JA231" s="7"/>
      <c r="JB231" s="7"/>
      <c r="JC231" s="7"/>
      <c r="JE231" s="7"/>
      <c r="JF231" s="7"/>
      <c r="JH231" s="7"/>
      <c r="JI231" s="7"/>
      <c r="JJ231" s="7"/>
      <c r="JK231" s="7"/>
      <c r="JL231" s="7"/>
      <c r="JM231" s="7"/>
      <c r="JO231" s="7"/>
      <c r="JP231" s="7"/>
      <c r="JQ231" s="7"/>
      <c r="JR231" s="7"/>
      <c r="JT231" s="7"/>
      <c r="JU231" s="7"/>
      <c r="JV231" s="7"/>
      <c r="JW231" s="7"/>
      <c r="JX231" s="7"/>
    </row>
    <row r="232" spans="3:284" x14ac:dyDescent="0.3">
      <c r="C232" s="7"/>
      <c r="D232" s="7"/>
      <c r="F232" s="7"/>
      <c r="G232" s="7"/>
      <c r="I232" s="7"/>
      <c r="J232" s="7"/>
      <c r="L232" s="7"/>
      <c r="M232" s="7"/>
      <c r="O232" s="7"/>
      <c r="P232" s="7"/>
      <c r="R232" s="7"/>
      <c r="S232" s="7"/>
      <c r="U232" s="7"/>
      <c r="V232" s="7"/>
      <c r="X232" s="7"/>
      <c r="Y232" s="7"/>
      <c r="AA232" s="7"/>
      <c r="AB232" s="7"/>
      <c r="AD232" s="7"/>
      <c r="AE232" s="7"/>
      <c r="AG232" s="7"/>
      <c r="AH232" s="7"/>
      <c r="AJ232" s="7"/>
      <c r="AK232" s="7"/>
      <c r="AM232" s="7"/>
      <c r="AN232" s="7"/>
      <c r="AP232" s="7"/>
      <c r="AQ232" s="7"/>
      <c r="AS232" s="7"/>
      <c r="AT232" s="7"/>
      <c r="AV232" s="7"/>
      <c r="AW232" s="7"/>
      <c r="AY232" s="7"/>
      <c r="AZ232" s="7"/>
      <c r="BB232" s="7"/>
      <c r="BC232" s="7"/>
      <c r="BE232" s="7"/>
      <c r="BF232" s="7"/>
      <c r="BH232" s="7"/>
      <c r="BI232" s="7"/>
      <c r="BK232" s="7"/>
      <c r="BL232" s="7"/>
      <c r="BN232" s="7"/>
      <c r="BO232" s="7"/>
      <c r="BQ232" s="7"/>
      <c r="BR232" s="7"/>
      <c r="BT232" s="7"/>
      <c r="BU232" s="7"/>
      <c r="BW232" s="7"/>
      <c r="BX232" s="7"/>
      <c r="BZ232" s="7"/>
      <c r="CA232" s="7"/>
      <c r="CC232" s="7"/>
      <c r="CD232" s="7"/>
      <c r="CF232" s="7"/>
      <c r="CG232" s="7"/>
      <c r="CI232" s="7"/>
      <c r="CJ232" s="7"/>
      <c r="CL232" s="7"/>
      <c r="CM232" s="7"/>
      <c r="CO232" s="7"/>
      <c r="CP232" s="7"/>
      <c r="CR232" s="7"/>
      <c r="CS232" s="7"/>
      <c r="CU232" s="7"/>
      <c r="CV232" s="7"/>
      <c r="CX232" s="7"/>
      <c r="CY232" s="7"/>
      <c r="DA232" s="7"/>
      <c r="DB232" s="7"/>
      <c r="DD232" s="7"/>
      <c r="DE232" s="7"/>
      <c r="DG232" s="7"/>
      <c r="DH232" s="7"/>
      <c r="DJ232" s="7"/>
      <c r="DK232" s="7"/>
      <c r="DM232" s="7"/>
      <c r="DN232" s="7"/>
      <c r="DP232" s="7"/>
      <c r="DQ232" s="7"/>
      <c r="DS232" s="7"/>
      <c r="DT232" s="7"/>
      <c r="DV232" s="7"/>
      <c r="DW232" s="7"/>
      <c r="DY232" s="7"/>
      <c r="DZ232" s="7"/>
      <c r="EB232" s="7"/>
      <c r="EC232" s="7"/>
      <c r="EE232" s="7"/>
      <c r="EF232" s="7"/>
      <c r="EH232" s="7"/>
      <c r="EI232" s="7"/>
      <c r="EK232" s="7"/>
      <c r="EL232" s="7"/>
      <c r="EN232" s="7"/>
      <c r="EO232" s="7"/>
      <c r="EQ232" s="7"/>
      <c r="ER232" s="7"/>
      <c r="ET232" s="7"/>
      <c r="EU232" s="7"/>
      <c r="EW232" s="7"/>
      <c r="EX232" s="7"/>
      <c r="EZ232" s="7"/>
      <c r="FA232" s="7"/>
      <c r="FC232" s="7"/>
      <c r="FD232" s="7"/>
      <c r="FF232" s="7"/>
      <c r="FG232" s="7"/>
      <c r="FI232" s="7"/>
      <c r="FJ232" s="7"/>
      <c r="FL232" s="7"/>
      <c r="FM232" s="7"/>
      <c r="FO232" s="7"/>
      <c r="FP232" s="7"/>
      <c r="FR232" s="7"/>
      <c r="FS232" s="7"/>
      <c r="FU232" s="7"/>
      <c r="FV232" s="7"/>
      <c r="FX232" s="7"/>
      <c r="FY232" s="7"/>
      <c r="GA232" s="7"/>
      <c r="GB232" s="7"/>
      <c r="GD232" s="7"/>
      <c r="GE232" s="7"/>
      <c r="GG232" s="7"/>
      <c r="GH232" s="7"/>
      <c r="GJ232" s="7"/>
      <c r="GK232" s="7"/>
      <c r="GV232" s="7"/>
      <c r="GW232" s="7"/>
      <c r="HE232" s="7"/>
      <c r="HF232" s="7"/>
      <c r="HH232" s="7"/>
      <c r="HI232" s="7"/>
      <c r="HQ232" s="7"/>
      <c r="HR232" s="7"/>
      <c r="HT232" s="7"/>
      <c r="HU232" s="7"/>
      <c r="IC232" s="7"/>
      <c r="ID232" s="7"/>
      <c r="IF232" s="7"/>
      <c r="IG232" s="7"/>
      <c r="II232" s="7"/>
      <c r="IJ232" s="7"/>
      <c r="IK232" s="7"/>
      <c r="IL232" s="7"/>
      <c r="IM232" s="7"/>
      <c r="IN232" s="7"/>
      <c r="IP232" s="7"/>
      <c r="IQ232" s="7"/>
      <c r="IR232" s="7"/>
      <c r="IS232" s="7"/>
      <c r="IT232" s="7"/>
      <c r="IU232" s="7"/>
      <c r="IV232" s="7"/>
      <c r="IW232" s="7"/>
      <c r="IX232" s="7"/>
      <c r="IY232" s="7"/>
      <c r="IZ232" s="7"/>
      <c r="JA232" s="7"/>
      <c r="JB232" s="7"/>
      <c r="JC232" s="7"/>
      <c r="JE232" s="7"/>
      <c r="JF232" s="7"/>
      <c r="JH232" s="7"/>
      <c r="JI232" s="7"/>
      <c r="JJ232" s="7"/>
      <c r="JK232" s="7"/>
      <c r="JL232" s="7"/>
      <c r="JM232" s="7"/>
      <c r="JO232" s="7"/>
      <c r="JP232" s="7"/>
      <c r="JQ232" s="7"/>
      <c r="JR232" s="7"/>
      <c r="JT232" s="7"/>
      <c r="JU232" s="7"/>
      <c r="JV232" s="7"/>
      <c r="JW232" s="7"/>
      <c r="JX232" s="7"/>
    </row>
    <row r="233" spans="3:284" x14ac:dyDescent="0.3">
      <c r="C233" s="7"/>
      <c r="D233" s="7"/>
      <c r="F233" s="7"/>
      <c r="G233" s="7"/>
      <c r="I233" s="7"/>
      <c r="J233" s="7"/>
      <c r="L233" s="7"/>
      <c r="M233" s="7"/>
      <c r="O233" s="7"/>
      <c r="P233" s="7"/>
      <c r="R233" s="7"/>
      <c r="S233" s="7"/>
      <c r="U233" s="7"/>
      <c r="V233" s="7"/>
      <c r="X233" s="7"/>
      <c r="Y233" s="7"/>
      <c r="AA233" s="7"/>
      <c r="AB233" s="7"/>
      <c r="AD233" s="7"/>
      <c r="AE233" s="7"/>
      <c r="AG233" s="7"/>
      <c r="AH233" s="7"/>
      <c r="AJ233" s="7"/>
      <c r="AK233" s="7"/>
      <c r="AM233" s="7"/>
      <c r="AN233" s="7"/>
      <c r="AP233" s="7"/>
      <c r="AQ233" s="7"/>
      <c r="AS233" s="7"/>
      <c r="AT233" s="7"/>
      <c r="AV233" s="7"/>
      <c r="AW233" s="7"/>
      <c r="AY233" s="7"/>
      <c r="AZ233" s="7"/>
      <c r="BB233" s="7"/>
      <c r="BC233" s="7"/>
      <c r="BE233" s="7"/>
      <c r="BF233" s="7"/>
      <c r="BH233" s="7"/>
      <c r="BI233" s="7"/>
      <c r="BK233" s="7"/>
      <c r="BL233" s="7"/>
      <c r="BN233" s="7"/>
      <c r="BO233" s="7"/>
      <c r="BQ233" s="7"/>
      <c r="BR233" s="7"/>
      <c r="BT233" s="7"/>
      <c r="BU233" s="7"/>
      <c r="BW233" s="7"/>
      <c r="BX233" s="7"/>
      <c r="BZ233" s="7"/>
      <c r="CA233" s="7"/>
      <c r="CC233" s="7"/>
      <c r="CD233" s="7"/>
      <c r="CF233" s="7"/>
      <c r="CG233" s="7"/>
      <c r="CI233" s="7"/>
      <c r="CJ233" s="7"/>
      <c r="CL233" s="7"/>
      <c r="CM233" s="7"/>
      <c r="CO233" s="7"/>
      <c r="CP233" s="7"/>
      <c r="CR233" s="7"/>
      <c r="CS233" s="7"/>
      <c r="CU233" s="7"/>
      <c r="CV233" s="7"/>
      <c r="CX233" s="7"/>
      <c r="CY233" s="7"/>
      <c r="DA233" s="7"/>
      <c r="DB233" s="7"/>
      <c r="DD233" s="7"/>
      <c r="DE233" s="7"/>
      <c r="DG233" s="7"/>
      <c r="DH233" s="7"/>
      <c r="DJ233" s="7"/>
      <c r="DK233" s="7"/>
      <c r="DM233" s="7"/>
      <c r="DN233" s="7"/>
      <c r="DP233" s="7"/>
      <c r="DQ233" s="7"/>
      <c r="DS233" s="7"/>
      <c r="DT233" s="7"/>
      <c r="DV233" s="7"/>
      <c r="DW233" s="7"/>
      <c r="DY233" s="7"/>
      <c r="DZ233" s="7"/>
      <c r="EB233" s="7"/>
      <c r="EC233" s="7"/>
      <c r="EE233" s="7"/>
      <c r="EF233" s="7"/>
      <c r="EH233" s="7"/>
      <c r="EI233" s="7"/>
      <c r="EK233" s="7"/>
      <c r="EL233" s="7"/>
      <c r="EN233" s="7"/>
      <c r="EO233" s="7"/>
      <c r="EQ233" s="7"/>
      <c r="ER233" s="7"/>
      <c r="ET233" s="7"/>
      <c r="EU233" s="7"/>
      <c r="EW233" s="7"/>
      <c r="EX233" s="7"/>
      <c r="EZ233" s="7"/>
      <c r="FA233" s="7"/>
      <c r="FC233" s="7"/>
      <c r="FD233" s="7"/>
      <c r="FF233" s="7"/>
      <c r="FG233" s="7"/>
      <c r="FI233" s="7"/>
      <c r="FJ233" s="7"/>
      <c r="FL233" s="7"/>
      <c r="FM233" s="7"/>
      <c r="FO233" s="7"/>
      <c r="FP233" s="7"/>
      <c r="FR233" s="7"/>
      <c r="FS233" s="7"/>
      <c r="FU233" s="7"/>
      <c r="FV233" s="7"/>
      <c r="FX233" s="7"/>
      <c r="FY233" s="7"/>
      <c r="GA233" s="7"/>
      <c r="GB233" s="7"/>
      <c r="GD233" s="7"/>
      <c r="GE233" s="7"/>
      <c r="GG233" s="7"/>
      <c r="GH233" s="7"/>
      <c r="GJ233" s="7"/>
      <c r="GK233" s="7"/>
      <c r="GV233" s="7"/>
      <c r="GW233" s="7"/>
      <c r="HE233" s="7"/>
      <c r="HF233" s="7"/>
      <c r="HH233" s="7"/>
      <c r="HI233" s="7"/>
      <c r="HQ233" s="7"/>
      <c r="HR233" s="7"/>
      <c r="HT233" s="7"/>
      <c r="HU233" s="7"/>
      <c r="IC233" s="7"/>
      <c r="ID233" s="7"/>
      <c r="IF233" s="7"/>
      <c r="IG233" s="7"/>
      <c r="II233" s="7"/>
      <c r="IJ233" s="7"/>
      <c r="IK233" s="7"/>
      <c r="IL233" s="7"/>
      <c r="IM233" s="7"/>
      <c r="IN233" s="7"/>
      <c r="IP233" s="7"/>
      <c r="IQ233" s="7"/>
      <c r="IR233" s="7"/>
      <c r="IS233" s="7"/>
      <c r="IT233" s="7"/>
      <c r="IU233" s="7"/>
      <c r="IV233" s="7"/>
      <c r="IW233" s="7"/>
      <c r="IX233" s="7"/>
      <c r="IY233" s="7"/>
      <c r="IZ233" s="7"/>
      <c r="JA233" s="7"/>
      <c r="JB233" s="7"/>
      <c r="JC233" s="7"/>
      <c r="JE233" s="7"/>
      <c r="JF233" s="7"/>
      <c r="JH233" s="7"/>
      <c r="JI233" s="7"/>
      <c r="JJ233" s="7"/>
      <c r="JK233" s="7"/>
      <c r="JL233" s="7"/>
      <c r="JM233" s="7"/>
      <c r="JO233" s="7"/>
      <c r="JP233" s="7"/>
      <c r="JQ233" s="7"/>
      <c r="JR233" s="7"/>
      <c r="JT233" s="7"/>
      <c r="JU233" s="7"/>
      <c r="JV233" s="7"/>
      <c r="JW233" s="7"/>
      <c r="JX233" s="7"/>
    </row>
    <row r="234" spans="3:284" x14ac:dyDescent="0.3">
      <c r="C234" s="7"/>
      <c r="D234" s="7"/>
      <c r="F234" s="7"/>
      <c r="G234" s="7"/>
      <c r="I234" s="7"/>
      <c r="J234" s="7"/>
      <c r="L234" s="7"/>
      <c r="M234" s="7"/>
      <c r="O234" s="7"/>
      <c r="P234" s="7"/>
      <c r="R234" s="7"/>
      <c r="S234" s="7"/>
      <c r="U234" s="7"/>
      <c r="V234" s="7"/>
      <c r="X234" s="7"/>
      <c r="Y234" s="7"/>
      <c r="AA234" s="7"/>
      <c r="AB234" s="7"/>
      <c r="AD234" s="7"/>
      <c r="AE234" s="7"/>
      <c r="AG234" s="7"/>
      <c r="AH234" s="7"/>
      <c r="AJ234" s="7"/>
      <c r="AK234" s="7"/>
      <c r="AM234" s="7"/>
      <c r="AN234" s="7"/>
      <c r="AP234" s="7"/>
      <c r="AQ234" s="7"/>
      <c r="AS234" s="7"/>
      <c r="AT234" s="7"/>
      <c r="AV234" s="7"/>
      <c r="AW234" s="7"/>
      <c r="AY234" s="7"/>
      <c r="AZ234" s="7"/>
      <c r="BB234" s="7"/>
      <c r="BC234" s="7"/>
      <c r="BE234" s="7"/>
      <c r="BF234" s="7"/>
      <c r="BH234" s="7"/>
      <c r="BI234" s="7"/>
      <c r="BK234" s="7"/>
      <c r="BL234" s="7"/>
      <c r="BN234" s="7"/>
      <c r="BO234" s="7"/>
      <c r="BQ234" s="7"/>
      <c r="BR234" s="7"/>
      <c r="BT234" s="7"/>
      <c r="BU234" s="7"/>
      <c r="BW234" s="7"/>
      <c r="BX234" s="7"/>
      <c r="BZ234" s="7"/>
      <c r="CA234" s="7"/>
      <c r="CC234" s="7"/>
      <c r="CD234" s="7"/>
      <c r="CF234" s="7"/>
      <c r="CG234" s="7"/>
      <c r="CI234" s="7"/>
      <c r="CJ234" s="7"/>
      <c r="CL234" s="7"/>
      <c r="CM234" s="7"/>
      <c r="CO234" s="7"/>
      <c r="CP234" s="7"/>
      <c r="CR234" s="7"/>
      <c r="CS234" s="7"/>
      <c r="CU234" s="7"/>
      <c r="CV234" s="7"/>
      <c r="CX234" s="7"/>
      <c r="CY234" s="7"/>
      <c r="DA234" s="7"/>
      <c r="DB234" s="7"/>
      <c r="DD234" s="7"/>
      <c r="DE234" s="7"/>
      <c r="DG234" s="7"/>
      <c r="DH234" s="7"/>
      <c r="DJ234" s="7"/>
      <c r="DK234" s="7"/>
      <c r="DM234" s="7"/>
      <c r="DN234" s="7"/>
      <c r="DP234" s="7"/>
      <c r="DQ234" s="7"/>
      <c r="DS234" s="7"/>
      <c r="DT234" s="7"/>
      <c r="DV234" s="7"/>
      <c r="DW234" s="7"/>
      <c r="DY234" s="7"/>
      <c r="DZ234" s="7"/>
      <c r="EB234" s="7"/>
      <c r="EC234" s="7"/>
      <c r="EE234" s="7"/>
      <c r="EF234" s="7"/>
      <c r="EH234" s="7"/>
      <c r="EI234" s="7"/>
      <c r="EK234" s="7"/>
      <c r="EL234" s="7"/>
      <c r="EN234" s="7"/>
      <c r="EO234" s="7"/>
      <c r="EQ234" s="7"/>
      <c r="ER234" s="7"/>
      <c r="ET234" s="7"/>
      <c r="EU234" s="7"/>
      <c r="EW234" s="7"/>
      <c r="EX234" s="7"/>
      <c r="EZ234" s="7"/>
      <c r="FA234" s="7"/>
      <c r="FC234" s="7"/>
      <c r="FD234" s="7"/>
      <c r="FF234" s="7"/>
      <c r="FG234" s="7"/>
      <c r="FI234" s="7"/>
      <c r="FJ234" s="7"/>
      <c r="FL234" s="7"/>
      <c r="FM234" s="7"/>
      <c r="FO234" s="7"/>
      <c r="FP234" s="7"/>
      <c r="FR234" s="7"/>
      <c r="FS234" s="7"/>
      <c r="FU234" s="7"/>
      <c r="FV234" s="7"/>
      <c r="FX234" s="7"/>
      <c r="FY234" s="7"/>
      <c r="GA234" s="7"/>
      <c r="GB234" s="7"/>
      <c r="GD234" s="7"/>
      <c r="GE234" s="7"/>
      <c r="GG234" s="7"/>
      <c r="GH234" s="7"/>
      <c r="GJ234" s="7"/>
      <c r="GK234" s="7"/>
      <c r="GV234" s="7"/>
      <c r="GW234" s="7"/>
      <c r="HE234" s="7"/>
      <c r="HF234" s="7"/>
      <c r="HH234" s="7"/>
      <c r="HI234" s="7"/>
      <c r="HQ234" s="7"/>
      <c r="HR234" s="7"/>
      <c r="HT234" s="7"/>
      <c r="HU234" s="7"/>
      <c r="IC234" s="7"/>
      <c r="ID234" s="7"/>
      <c r="IF234" s="7"/>
      <c r="IG234" s="7"/>
      <c r="II234" s="7"/>
      <c r="IJ234" s="7"/>
      <c r="IK234" s="7"/>
      <c r="IL234" s="7"/>
      <c r="IM234" s="7"/>
      <c r="IN234" s="7"/>
      <c r="IP234" s="7"/>
      <c r="IQ234" s="7"/>
      <c r="IR234" s="7"/>
      <c r="IS234" s="7"/>
      <c r="IT234" s="7"/>
      <c r="IU234" s="7"/>
      <c r="IV234" s="7"/>
      <c r="IW234" s="7"/>
      <c r="IX234" s="7"/>
      <c r="IY234" s="7"/>
      <c r="IZ234" s="7"/>
      <c r="JA234" s="7"/>
      <c r="JB234" s="7"/>
      <c r="JC234" s="7"/>
      <c r="JE234" s="7"/>
      <c r="JF234" s="7"/>
      <c r="JH234" s="7"/>
      <c r="JI234" s="7"/>
      <c r="JJ234" s="7"/>
      <c r="JK234" s="7"/>
      <c r="JL234" s="7"/>
      <c r="JM234" s="7"/>
      <c r="JO234" s="7"/>
      <c r="JP234" s="7"/>
      <c r="JQ234" s="7"/>
      <c r="JR234" s="7"/>
      <c r="JT234" s="7"/>
      <c r="JU234" s="7"/>
      <c r="JV234" s="7"/>
      <c r="JW234" s="7"/>
      <c r="JX234" s="7"/>
    </row>
    <row r="235" spans="3:284" x14ac:dyDescent="0.3">
      <c r="C235" s="7"/>
      <c r="D235" s="7"/>
      <c r="F235" s="7"/>
      <c r="G235" s="7"/>
      <c r="I235" s="7"/>
      <c r="J235" s="7"/>
      <c r="L235" s="7"/>
      <c r="M235" s="7"/>
      <c r="O235" s="7"/>
      <c r="P235" s="7"/>
      <c r="R235" s="7"/>
      <c r="S235" s="7"/>
      <c r="U235" s="7"/>
      <c r="V235" s="7"/>
      <c r="X235" s="7"/>
      <c r="Y235" s="7"/>
      <c r="AA235" s="7"/>
      <c r="AB235" s="7"/>
      <c r="AD235" s="7"/>
      <c r="AE235" s="7"/>
      <c r="AG235" s="7"/>
      <c r="AH235" s="7"/>
      <c r="AJ235" s="7"/>
      <c r="AK235" s="7"/>
      <c r="AM235" s="7"/>
      <c r="AN235" s="7"/>
      <c r="AP235" s="7"/>
      <c r="AQ235" s="7"/>
      <c r="AS235" s="7"/>
      <c r="AT235" s="7"/>
      <c r="AV235" s="7"/>
      <c r="AW235" s="7"/>
      <c r="AY235" s="7"/>
      <c r="AZ235" s="7"/>
      <c r="BB235" s="7"/>
      <c r="BC235" s="7"/>
      <c r="BE235" s="7"/>
      <c r="BF235" s="7"/>
      <c r="BH235" s="7"/>
      <c r="BI235" s="7"/>
      <c r="BK235" s="7"/>
      <c r="BL235" s="7"/>
      <c r="BN235" s="7"/>
      <c r="BO235" s="7"/>
      <c r="BQ235" s="7"/>
      <c r="BR235" s="7"/>
      <c r="BT235" s="7"/>
      <c r="BU235" s="7"/>
      <c r="BW235" s="7"/>
      <c r="BX235" s="7"/>
      <c r="BZ235" s="7"/>
      <c r="CA235" s="7"/>
      <c r="CC235" s="7"/>
      <c r="CD235" s="7"/>
      <c r="CF235" s="7"/>
      <c r="CG235" s="7"/>
      <c r="CI235" s="7"/>
      <c r="CJ235" s="7"/>
      <c r="CL235" s="7"/>
      <c r="CM235" s="7"/>
      <c r="CO235" s="7"/>
      <c r="CP235" s="7"/>
      <c r="CR235" s="7"/>
      <c r="CS235" s="7"/>
      <c r="CU235" s="7"/>
      <c r="CV235" s="7"/>
      <c r="CX235" s="7"/>
      <c r="CY235" s="7"/>
      <c r="DA235" s="7"/>
      <c r="DB235" s="7"/>
      <c r="DD235" s="7"/>
      <c r="DE235" s="7"/>
      <c r="DG235" s="7"/>
      <c r="DH235" s="7"/>
      <c r="DJ235" s="7"/>
      <c r="DK235" s="7"/>
      <c r="DM235" s="7"/>
      <c r="DN235" s="7"/>
      <c r="DP235" s="7"/>
      <c r="DQ235" s="7"/>
      <c r="DS235" s="7"/>
      <c r="DT235" s="7"/>
      <c r="DV235" s="7"/>
      <c r="DW235" s="7"/>
      <c r="DY235" s="7"/>
      <c r="DZ235" s="7"/>
      <c r="EB235" s="7"/>
      <c r="EC235" s="7"/>
      <c r="EE235" s="7"/>
      <c r="EF235" s="7"/>
      <c r="EH235" s="7"/>
      <c r="EI235" s="7"/>
      <c r="EK235" s="7"/>
      <c r="EL235" s="7"/>
      <c r="EN235" s="7"/>
      <c r="EO235" s="7"/>
      <c r="EQ235" s="7"/>
      <c r="ER235" s="7"/>
      <c r="ET235" s="7"/>
      <c r="EU235" s="7"/>
      <c r="EW235" s="7"/>
      <c r="EX235" s="7"/>
      <c r="EZ235" s="7"/>
      <c r="FA235" s="7"/>
      <c r="FC235" s="7"/>
      <c r="FD235" s="7"/>
      <c r="FF235" s="7"/>
      <c r="FG235" s="7"/>
      <c r="FI235" s="7"/>
      <c r="FJ235" s="7"/>
      <c r="FL235" s="7"/>
      <c r="FM235" s="7"/>
      <c r="FO235" s="7"/>
      <c r="FP235" s="7"/>
      <c r="FR235" s="7"/>
      <c r="FS235" s="7"/>
      <c r="FU235" s="7"/>
      <c r="FV235" s="7"/>
      <c r="FX235" s="7"/>
      <c r="FY235" s="7"/>
      <c r="GA235" s="7"/>
      <c r="GB235" s="7"/>
      <c r="GD235" s="7"/>
      <c r="GE235" s="7"/>
      <c r="GG235" s="7"/>
      <c r="GH235" s="7"/>
      <c r="GJ235" s="7"/>
      <c r="GK235" s="7"/>
      <c r="GV235" s="7"/>
      <c r="GW235" s="7"/>
      <c r="HE235" s="7"/>
      <c r="HF235" s="7"/>
      <c r="HH235" s="7"/>
      <c r="HI235" s="7"/>
      <c r="HQ235" s="7"/>
      <c r="HR235" s="7"/>
      <c r="HT235" s="7"/>
      <c r="HU235" s="7"/>
      <c r="IC235" s="7"/>
      <c r="ID235" s="7"/>
      <c r="IF235" s="7"/>
      <c r="IG235" s="7"/>
      <c r="II235" s="7"/>
      <c r="IJ235" s="7"/>
      <c r="IK235" s="7"/>
      <c r="IL235" s="7"/>
      <c r="IM235" s="7"/>
      <c r="IN235" s="7"/>
      <c r="IP235" s="7"/>
      <c r="IQ235" s="7"/>
      <c r="IR235" s="7"/>
      <c r="IS235" s="7"/>
      <c r="IT235" s="7"/>
      <c r="IU235" s="7"/>
      <c r="IV235" s="7"/>
      <c r="IW235" s="7"/>
      <c r="IX235" s="7"/>
      <c r="IY235" s="7"/>
      <c r="IZ235" s="7"/>
      <c r="JA235" s="7"/>
      <c r="JB235" s="7"/>
      <c r="JC235" s="7"/>
      <c r="JE235" s="7"/>
      <c r="JF235" s="7"/>
      <c r="JH235" s="7"/>
      <c r="JI235" s="7"/>
      <c r="JJ235" s="7"/>
      <c r="JK235" s="7"/>
      <c r="JL235" s="7"/>
      <c r="JM235" s="7"/>
      <c r="JO235" s="7"/>
      <c r="JP235" s="7"/>
      <c r="JQ235" s="7"/>
      <c r="JR235" s="7"/>
      <c r="JT235" s="7"/>
      <c r="JU235" s="7"/>
      <c r="JV235" s="7"/>
      <c r="JW235" s="7"/>
      <c r="JX235" s="7"/>
    </row>
    <row r="236" spans="3:284" x14ac:dyDescent="0.3">
      <c r="C236" s="7"/>
      <c r="D236" s="7"/>
      <c r="F236" s="7"/>
      <c r="G236" s="7"/>
      <c r="I236" s="7"/>
      <c r="J236" s="7"/>
      <c r="L236" s="7"/>
      <c r="M236" s="7"/>
      <c r="O236" s="7"/>
      <c r="P236" s="7"/>
      <c r="R236" s="7"/>
      <c r="S236" s="7"/>
      <c r="U236" s="7"/>
      <c r="V236" s="7"/>
      <c r="X236" s="7"/>
      <c r="Y236" s="7"/>
      <c r="AA236" s="7"/>
      <c r="AB236" s="7"/>
      <c r="AD236" s="7"/>
      <c r="AE236" s="7"/>
      <c r="AG236" s="7"/>
      <c r="AH236" s="7"/>
      <c r="AJ236" s="7"/>
      <c r="AK236" s="7"/>
      <c r="AM236" s="7"/>
      <c r="AN236" s="7"/>
      <c r="AP236" s="7"/>
      <c r="AQ236" s="7"/>
      <c r="AS236" s="7"/>
      <c r="AT236" s="7"/>
      <c r="AV236" s="7"/>
      <c r="AW236" s="7"/>
      <c r="AY236" s="7"/>
      <c r="AZ236" s="7"/>
      <c r="BB236" s="7"/>
      <c r="BC236" s="7"/>
      <c r="BE236" s="7"/>
      <c r="BF236" s="7"/>
      <c r="BH236" s="7"/>
      <c r="BI236" s="7"/>
      <c r="BK236" s="7"/>
      <c r="BL236" s="7"/>
      <c r="BN236" s="7"/>
      <c r="BO236" s="7"/>
      <c r="BQ236" s="7"/>
      <c r="BR236" s="7"/>
      <c r="BT236" s="7"/>
      <c r="BU236" s="7"/>
      <c r="BW236" s="7"/>
      <c r="BX236" s="7"/>
      <c r="BZ236" s="7"/>
      <c r="CA236" s="7"/>
      <c r="CC236" s="7"/>
      <c r="CD236" s="7"/>
      <c r="CF236" s="7"/>
      <c r="CG236" s="7"/>
      <c r="CI236" s="7"/>
      <c r="CJ236" s="7"/>
      <c r="CL236" s="7"/>
      <c r="CM236" s="7"/>
      <c r="CO236" s="7"/>
      <c r="CP236" s="7"/>
      <c r="CR236" s="7"/>
      <c r="CS236" s="7"/>
      <c r="CU236" s="7"/>
      <c r="CV236" s="7"/>
      <c r="CX236" s="7"/>
      <c r="CY236" s="7"/>
      <c r="DA236" s="7"/>
      <c r="DB236" s="7"/>
      <c r="DD236" s="7"/>
      <c r="DE236" s="7"/>
      <c r="DG236" s="7"/>
      <c r="DH236" s="7"/>
      <c r="DJ236" s="7"/>
      <c r="DK236" s="7"/>
      <c r="DM236" s="7"/>
      <c r="DN236" s="7"/>
      <c r="DP236" s="7"/>
      <c r="DQ236" s="7"/>
      <c r="DS236" s="7"/>
      <c r="DT236" s="7"/>
      <c r="DV236" s="7"/>
      <c r="DW236" s="7"/>
      <c r="DY236" s="7"/>
      <c r="DZ236" s="7"/>
      <c r="EB236" s="7"/>
      <c r="EC236" s="7"/>
      <c r="EE236" s="7"/>
      <c r="EF236" s="7"/>
      <c r="EH236" s="7"/>
      <c r="EI236" s="7"/>
      <c r="EK236" s="7"/>
      <c r="EL236" s="7"/>
      <c r="EN236" s="7"/>
      <c r="EO236" s="7"/>
      <c r="EQ236" s="7"/>
      <c r="ER236" s="7"/>
      <c r="ET236" s="7"/>
      <c r="EU236" s="7"/>
      <c r="EW236" s="7"/>
      <c r="EX236" s="7"/>
      <c r="EZ236" s="7"/>
      <c r="FA236" s="7"/>
      <c r="FC236" s="7"/>
      <c r="FD236" s="7"/>
      <c r="FF236" s="7"/>
      <c r="FG236" s="7"/>
      <c r="FI236" s="7"/>
      <c r="FJ236" s="7"/>
      <c r="FL236" s="7"/>
      <c r="FM236" s="7"/>
      <c r="FO236" s="7"/>
      <c r="FP236" s="7"/>
      <c r="FR236" s="7"/>
      <c r="FS236" s="7"/>
      <c r="FU236" s="7"/>
      <c r="FV236" s="7"/>
      <c r="FX236" s="7"/>
      <c r="FY236" s="7"/>
      <c r="GA236" s="7"/>
      <c r="GB236" s="7"/>
      <c r="GD236" s="7"/>
      <c r="GE236" s="7"/>
      <c r="GG236" s="7"/>
      <c r="GH236" s="7"/>
      <c r="GJ236" s="7"/>
      <c r="GK236" s="7"/>
      <c r="GV236" s="7"/>
      <c r="GW236" s="7"/>
      <c r="HE236" s="7"/>
      <c r="HF236" s="7"/>
      <c r="HH236" s="7"/>
      <c r="HI236" s="7"/>
      <c r="HQ236" s="7"/>
      <c r="HR236" s="7"/>
      <c r="HT236" s="7"/>
      <c r="HU236" s="7"/>
      <c r="IC236" s="7"/>
      <c r="ID236" s="7"/>
      <c r="IF236" s="7"/>
      <c r="IG236" s="7"/>
      <c r="II236" s="7"/>
      <c r="IJ236" s="7"/>
      <c r="IK236" s="7"/>
      <c r="IL236" s="7"/>
      <c r="IM236" s="7"/>
      <c r="IN236" s="7"/>
      <c r="IP236" s="7"/>
      <c r="IQ236" s="7"/>
      <c r="IR236" s="7"/>
      <c r="IS236" s="7"/>
      <c r="IT236" s="7"/>
      <c r="IU236" s="7"/>
      <c r="IV236" s="7"/>
      <c r="IW236" s="7"/>
      <c r="IX236" s="7"/>
      <c r="IY236" s="7"/>
      <c r="IZ236" s="7"/>
      <c r="JA236" s="7"/>
      <c r="JB236" s="7"/>
      <c r="JC236" s="7"/>
      <c r="JE236" s="7"/>
      <c r="JF236" s="7"/>
      <c r="JH236" s="7"/>
      <c r="JI236" s="7"/>
      <c r="JJ236" s="7"/>
      <c r="JK236" s="7"/>
      <c r="JL236" s="7"/>
      <c r="JM236" s="7"/>
      <c r="JO236" s="7"/>
      <c r="JP236" s="7"/>
      <c r="JQ236" s="7"/>
      <c r="JR236" s="7"/>
      <c r="JT236" s="7"/>
      <c r="JU236" s="7"/>
      <c r="JV236" s="7"/>
      <c r="JW236" s="7"/>
      <c r="JX236" s="7"/>
    </row>
    <row r="237" spans="3:284" x14ac:dyDescent="0.3">
      <c r="C237" s="7"/>
      <c r="D237" s="7"/>
      <c r="F237" s="7"/>
      <c r="G237" s="7"/>
      <c r="I237" s="7"/>
      <c r="J237" s="7"/>
      <c r="L237" s="7"/>
      <c r="M237" s="7"/>
      <c r="O237" s="7"/>
      <c r="P237" s="7"/>
      <c r="R237" s="7"/>
      <c r="S237" s="7"/>
      <c r="U237" s="7"/>
      <c r="V237" s="7"/>
      <c r="X237" s="7"/>
      <c r="Y237" s="7"/>
      <c r="AA237" s="7"/>
      <c r="AB237" s="7"/>
      <c r="AD237" s="7"/>
      <c r="AE237" s="7"/>
      <c r="AG237" s="7"/>
      <c r="AH237" s="7"/>
      <c r="AJ237" s="7"/>
      <c r="AK237" s="7"/>
      <c r="AM237" s="7"/>
      <c r="AN237" s="7"/>
      <c r="AP237" s="7"/>
      <c r="AQ237" s="7"/>
      <c r="AS237" s="7"/>
      <c r="AT237" s="7"/>
      <c r="AV237" s="7"/>
      <c r="AW237" s="7"/>
      <c r="AY237" s="7"/>
      <c r="AZ237" s="7"/>
      <c r="BB237" s="7"/>
      <c r="BC237" s="7"/>
      <c r="BE237" s="7"/>
      <c r="BF237" s="7"/>
      <c r="BH237" s="7"/>
      <c r="BI237" s="7"/>
      <c r="BK237" s="7"/>
      <c r="BL237" s="7"/>
      <c r="BN237" s="7"/>
      <c r="BO237" s="7"/>
      <c r="BQ237" s="7"/>
      <c r="BR237" s="7"/>
      <c r="BT237" s="7"/>
      <c r="BU237" s="7"/>
      <c r="BW237" s="7"/>
      <c r="BX237" s="7"/>
      <c r="BZ237" s="7"/>
      <c r="CA237" s="7"/>
      <c r="CC237" s="7"/>
      <c r="CD237" s="7"/>
      <c r="CF237" s="7"/>
      <c r="CG237" s="7"/>
      <c r="CI237" s="7"/>
      <c r="CJ237" s="7"/>
      <c r="CL237" s="7"/>
      <c r="CM237" s="7"/>
      <c r="CO237" s="7"/>
      <c r="CP237" s="7"/>
      <c r="CR237" s="7"/>
      <c r="CS237" s="7"/>
      <c r="CU237" s="7"/>
      <c r="CV237" s="7"/>
      <c r="CX237" s="7"/>
      <c r="CY237" s="7"/>
      <c r="DA237" s="7"/>
      <c r="DB237" s="7"/>
      <c r="DD237" s="7"/>
      <c r="DE237" s="7"/>
      <c r="DG237" s="7"/>
      <c r="DH237" s="7"/>
      <c r="DJ237" s="7"/>
      <c r="DK237" s="7"/>
      <c r="DM237" s="7"/>
      <c r="DN237" s="7"/>
      <c r="DP237" s="7"/>
      <c r="DQ237" s="7"/>
      <c r="DS237" s="7"/>
      <c r="DT237" s="7"/>
      <c r="DV237" s="7"/>
      <c r="DW237" s="7"/>
      <c r="DY237" s="7"/>
      <c r="DZ237" s="7"/>
      <c r="EB237" s="7"/>
      <c r="EC237" s="7"/>
      <c r="EE237" s="7"/>
      <c r="EF237" s="7"/>
      <c r="EH237" s="7"/>
      <c r="EI237" s="7"/>
      <c r="EK237" s="7"/>
      <c r="EL237" s="7"/>
      <c r="EN237" s="7"/>
      <c r="EO237" s="7"/>
      <c r="EQ237" s="7"/>
      <c r="ER237" s="7"/>
      <c r="ET237" s="7"/>
      <c r="EU237" s="7"/>
      <c r="EW237" s="7"/>
      <c r="EX237" s="7"/>
      <c r="EZ237" s="7"/>
      <c r="FA237" s="7"/>
      <c r="FC237" s="7"/>
      <c r="FD237" s="7"/>
      <c r="FF237" s="7"/>
      <c r="FG237" s="7"/>
      <c r="FI237" s="7"/>
      <c r="FJ237" s="7"/>
      <c r="FL237" s="7"/>
      <c r="FM237" s="7"/>
      <c r="FO237" s="7"/>
      <c r="FP237" s="7"/>
      <c r="FR237" s="7"/>
      <c r="FS237" s="7"/>
      <c r="FU237" s="7"/>
      <c r="FV237" s="7"/>
      <c r="FX237" s="7"/>
      <c r="FY237" s="7"/>
      <c r="GA237" s="7"/>
      <c r="GB237" s="7"/>
      <c r="GD237" s="7"/>
      <c r="GE237" s="7"/>
      <c r="GG237" s="7"/>
      <c r="GH237" s="7"/>
      <c r="GJ237" s="7"/>
      <c r="GK237" s="7"/>
      <c r="GV237" s="7"/>
      <c r="GW237" s="7"/>
      <c r="HE237" s="7"/>
      <c r="HF237" s="7"/>
      <c r="HH237" s="7"/>
      <c r="HI237" s="7"/>
      <c r="HQ237" s="7"/>
      <c r="HR237" s="7"/>
      <c r="HT237" s="7"/>
      <c r="HU237" s="7"/>
      <c r="IC237" s="7"/>
      <c r="ID237" s="7"/>
      <c r="IF237" s="7"/>
      <c r="IG237" s="7"/>
      <c r="II237" s="7"/>
      <c r="IJ237" s="7"/>
      <c r="IK237" s="7"/>
      <c r="IL237" s="7"/>
      <c r="IM237" s="7"/>
      <c r="IN237" s="7"/>
      <c r="IP237" s="7"/>
      <c r="IQ237" s="7"/>
      <c r="IR237" s="7"/>
      <c r="IS237" s="7"/>
      <c r="IT237" s="7"/>
      <c r="IU237" s="7"/>
      <c r="IV237" s="7"/>
      <c r="IW237" s="7"/>
      <c r="IX237" s="7"/>
      <c r="IY237" s="7"/>
      <c r="IZ237" s="7"/>
      <c r="JA237" s="7"/>
      <c r="JB237" s="7"/>
      <c r="JC237" s="7"/>
      <c r="JE237" s="7"/>
      <c r="JF237" s="7"/>
      <c r="JH237" s="7"/>
      <c r="JI237" s="7"/>
      <c r="JJ237" s="7"/>
      <c r="JK237" s="7"/>
      <c r="JL237" s="7"/>
      <c r="JM237" s="7"/>
      <c r="JO237" s="7"/>
      <c r="JP237" s="7"/>
      <c r="JQ237" s="7"/>
      <c r="JR237" s="7"/>
      <c r="JT237" s="7"/>
      <c r="JU237" s="7"/>
      <c r="JV237" s="7"/>
      <c r="JW237" s="7"/>
      <c r="JX237" s="7"/>
    </row>
    <row r="238" spans="3:284" x14ac:dyDescent="0.3">
      <c r="C238" s="7"/>
      <c r="D238" s="7"/>
      <c r="F238" s="7"/>
      <c r="G238" s="7"/>
      <c r="I238" s="7"/>
      <c r="J238" s="7"/>
      <c r="L238" s="7"/>
      <c r="M238" s="7"/>
      <c r="O238" s="7"/>
      <c r="P238" s="7"/>
      <c r="R238" s="7"/>
      <c r="S238" s="7"/>
      <c r="U238" s="7"/>
      <c r="V238" s="7"/>
      <c r="X238" s="7"/>
      <c r="Y238" s="7"/>
      <c r="AA238" s="7"/>
      <c r="AB238" s="7"/>
      <c r="AD238" s="7"/>
      <c r="AE238" s="7"/>
      <c r="AG238" s="7"/>
      <c r="AH238" s="7"/>
      <c r="AJ238" s="7"/>
      <c r="AK238" s="7"/>
      <c r="AM238" s="7"/>
      <c r="AN238" s="7"/>
      <c r="AP238" s="7"/>
      <c r="AQ238" s="7"/>
      <c r="AS238" s="7"/>
      <c r="AT238" s="7"/>
      <c r="AV238" s="7"/>
      <c r="AW238" s="7"/>
      <c r="AY238" s="7"/>
      <c r="AZ238" s="7"/>
      <c r="BB238" s="7"/>
      <c r="BC238" s="7"/>
      <c r="BE238" s="7"/>
      <c r="BF238" s="7"/>
      <c r="BH238" s="7"/>
      <c r="BI238" s="7"/>
      <c r="BK238" s="7"/>
      <c r="BL238" s="7"/>
      <c r="BN238" s="7"/>
      <c r="BO238" s="7"/>
      <c r="BQ238" s="7"/>
      <c r="BR238" s="7"/>
      <c r="BT238" s="7"/>
      <c r="BU238" s="7"/>
      <c r="BW238" s="7"/>
      <c r="BX238" s="7"/>
      <c r="BZ238" s="7"/>
      <c r="CA238" s="7"/>
      <c r="CC238" s="7"/>
      <c r="CD238" s="7"/>
      <c r="CF238" s="7"/>
      <c r="CG238" s="7"/>
      <c r="CI238" s="7"/>
      <c r="CJ238" s="7"/>
      <c r="CL238" s="7"/>
      <c r="CM238" s="7"/>
      <c r="CO238" s="7"/>
      <c r="CP238" s="7"/>
      <c r="CR238" s="7"/>
      <c r="CS238" s="7"/>
      <c r="CU238" s="7"/>
      <c r="CV238" s="7"/>
      <c r="CX238" s="7"/>
      <c r="CY238" s="7"/>
      <c r="DA238" s="7"/>
      <c r="DB238" s="7"/>
      <c r="DD238" s="7"/>
      <c r="DE238" s="7"/>
      <c r="DG238" s="7"/>
      <c r="DH238" s="7"/>
      <c r="DJ238" s="7"/>
      <c r="DK238" s="7"/>
      <c r="DM238" s="7"/>
      <c r="DN238" s="7"/>
      <c r="DP238" s="7"/>
      <c r="DQ238" s="7"/>
      <c r="DS238" s="7"/>
      <c r="DT238" s="7"/>
      <c r="DV238" s="7"/>
      <c r="DW238" s="7"/>
      <c r="DY238" s="7"/>
      <c r="DZ238" s="7"/>
      <c r="EB238" s="7"/>
      <c r="EC238" s="7"/>
      <c r="EE238" s="7"/>
      <c r="EF238" s="7"/>
      <c r="EH238" s="7"/>
      <c r="EI238" s="7"/>
      <c r="EK238" s="7"/>
      <c r="EL238" s="7"/>
      <c r="EN238" s="7"/>
      <c r="EO238" s="7"/>
      <c r="EQ238" s="7"/>
      <c r="ER238" s="7"/>
      <c r="ET238" s="7"/>
      <c r="EU238" s="7"/>
      <c r="EW238" s="7"/>
      <c r="EX238" s="7"/>
      <c r="EZ238" s="7"/>
      <c r="FA238" s="7"/>
      <c r="FC238" s="7"/>
      <c r="FD238" s="7"/>
      <c r="FF238" s="7"/>
      <c r="FG238" s="7"/>
      <c r="FI238" s="7"/>
      <c r="FJ238" s="7"/>
      <c r="FL238" s="7"/>
      <c r="FM238" s="7"/>
      <c r="FO238" s="7"/>
      <c r="FP238" s="7"/>
      <c r="FR238" s="7"/>
      <c r="FS238" s="7"/>
      <c r="FU238" s="7"/>
      <c r="FV238" s="7"/>
      <c r="FX238" s="7"/>
      <c r="FY238" s="7"/>
      <c r="GA238" s="7"/>
      <c r="GB238" s="7"/>
      <c r="GD238" s="7"/>
      <c r="GE238" s="7"/>
      <c r="GG238" s="7"/>
      <c r="GH238" s="7"/>
      <c r="GJ238" s="7"/>
      <c r="GK238" s="7"/>
      <c r="GV238" s="7"/>
      <c r="GW238" s="7"/>
      <c r="HE238" s="7"/>
      <c r="HF238" s="7"/>
      <c r="HH238" s="7"/>
      <c r="HI238" s="7"/>
      <c r="HQ238" s="7"/>
      <c r="HR238" s="7"/>
      <c r="HT238" s="7"/>
      <c r="HU238" s="7"/>
      <c r="IC238" s="7"/>
      <c r="ID238" s="7"/>
      <c r="IF238" s="7"/>
      <c r="IG238" s="7"/>
      <c r="II238" s="7"/>
      <c r="IJ238" s="7"/>
      <c r="IK238" s="7"/>
      <c r="IL238" s="7"/>
      <c r="IM238" s="7"/>
      <c r="IN238" s="7"/>
      <c r="IP238" s="7"/>
      <c r="IQ238" s="7"/>
      <c r="IR238" s="7"/>
      <c r="IS238" s="7"/>
      <c r="IT238" s="7"/>
      <c r="IU238" s="7"/>
      <c r="IV238" s="7"/>
      <c r="IW238" s="7"/>
      <c r="IX238" s="7"/>
      <c r="IY238" s="7"/>
      <c r="IZ238" s="7"/>
      <c r="JA238" s="7"/>
      <c r="JB238" s="7"/>
      <c r="JC238" s="7"/>
      <c r="JE238" s="7"/>
      <c r="JF238" s="7"/>
      <c r="JH238" s="7"/>
      <c r="JI238" s="7"/>
      <c r="JJ238" s="7"/>
      <c r="JK238" s="7"/>
      <c r="JL238" s="7"/>
      <c r="JM238" s="7"/>
      <c r="JO238" s="7"/>
      <c r="JP238" s="7"/>
      <c r="JQ238" s="7"/>
      <c r="JR238" s="7"/>
      <c r="JT238" s="7"/>
      <c r="JU238" s="7"/>
      <c r="JV238" s="7"/>
      <c r="JW238" s="7"/>
      <c r="JX238" s="7"/>
    </row>
    <row r="239" spans="3:284" x14ac:dyDescent="0.3">
      <c r="C239" s="7"/>
      <c r="D239" s="7"/>
      <c r="F239" s="7"/>
      <c r="G239" s="7"/>
      <c r="I239" s="7"/>
      <c r="J239" s="7"/>
      <c r="L239" s="7"/>
      <c r="M239" s="7"/>
      <c r="O239" s="7"/>
      <c r="P239" s="7"/>
      <c r="R239" s="7"/>
      <c r="S239" s="7"/>
      <c r="U239" s="7"/>
      <c r="V239" s="7"/>
      <c r="X239" s="7"/>
      <c r="Y239" s="7"/>
      <c r="AA239" s="7"/>
      <c r="AB239" s="7"/>
      <c r="AD239" s="7"/>
      <c r="AE239" s="7"/>
      <c r="AG239" s="7"/>
      <c r="AH239" s="7"/>
      <c r="AJ239" s="7"/>
      <c r="AK239" s="7"/>
      <c r="AM239" s="7"/>
      <c r="AN239" s="7"/>
      <c r="AP239" s="7"/>
      <c r="AQ239" s="7"/>
      <c r="AS239" s="7"/>
      <c r="AT239" s="7"/>
      <c r="AV239" s="7"/>
      <c r="AW239" s="7"/>
      <c r="AY239" s="7"/>
      <c r="AZ239" s="7"/>
      <c r="BB239" s="7"/>
      <c r="BC239" s="7"/>
      <c r="BE239" s="7"/>
      <c r="BF239" s="7"/>
      <c r="BH239" s="7"/>
      <c r="BI239" s="7"/>
      <c r="BK239" s="7"/>
      <c r="BL239" s="7"/>
      <c r="BN239" s="7"/>
      <c r="BO239" s="7"/>
      <c r="BQ239" s="7"/>
      <c r="BR239" s="7"/>
      <c r="BT239" s="7"/>
      <c r="BU239" s="7"/>
      <c r="BW239" s="7"/>
      <c r="BX239" s="7"/>
      <c r="BZ239" s="7"/>
      <c r="CA239" s="7"/>
      <c r="CC239" s="7"/>
      <c r="CD239" s="7"/>
      <c r="CF239" s="7"/>
      <c r="CG239" s="7"/>
      <c r="CI239" s="7"/>
      <c r="CJ239" s="7"/>
      <c r="CL239" s="7"/>
      <c r="CM239" s="7"/>
      <c r="CO239" s="7"/>
      <c r="CP239" s="7"/>
      <c r="CR239" s="7"/>
      <c r="CS239" s="7"/>
      <c r="CU239" s="7"/>
      <c r="CV239" s="7"/>
      <c r="CX239" s="7"/>
      <c r="CY239" s="7"/>
      <c r="DA239" s="7"/>
      <c r="DB239" s="7"/>
      <c r="DD239" s="7"/>
      <c r="DE239" s="7"/>
      <c r="DG239" s="7"/>
      <c r="DH239" s="7"/>
      <c r="DJ239" s="7"/>
      <c r="DK239" s="7"/>
      <c r="DM239" s="7"/>
      <c r="DN239" s="7"/>
      <c r="DP239" s="7"/>
      <c r="DQ239" s="7"/>
      <c r="DS239" s="7"/>
      <c r="DT239" s="7"/>
      <c r="DV239" s="7"/>
      <c r="DW239" s="7"/>
      <c r="DY239" s="7"/>
      <c r="DZ239" s="7"/>
      <c r="EB239" s="7"/>
      <c r="EC239" s="7"/>
      <c r="EE239" s="7"/>
      <c r="EF239" s="7"/>
      <c r="EH239" s="7"/>
      <c r="EI239" s="7"/>
      <c r="EK239" s="7"/>
      <c r="EL239" s="7"/>
      <c r="EN239" s="7"/>
      <c r="EO239" s="7"/>
      <c r="EQ239" s="7"/>
      <c r="ER239" s="7"/>
      <c r="ET239" s="7"/>
      <c r="EU239" s="7"/>
      <c r="EW239" s="7"/>
      <c r="EX239" s="7"/>
      <c r="EZ239" s="7"/>
      <c r="FA239" s="7"/>
      <c r="FC239" s="7"/>
      <c r="FD239" s="7"/>
      <c r="FF239" s="7"/>
      <c r="FG239" s="7"/>
      <c r="FI239" s="7"/>
      <c r="FJ239" s="7"/>
      <c r="FL239" s="7"/>
      <c r="FM239" s="7"/>
      <c r="FO239" s="7"/>
      <c r="FP239" s="7"/>
      <c r="FR239" s="7"/>
      <c r="FS239" s="7"/>
      <c r="FU239" s="7"/>
      <c r="FV239" s="7"/>
      <c r="FX239" s="7"/>
      <c r="FY239" s="7"/>
      <c r="GA239" s="7"/>
      <c r="GB239" s="7"/>
      <c r="GD239" s="7"/>
      <c r="GE239" s="7"/>
      <c r="GG239" s="7"/>
      <c r="GH239" s="7"/>
      <c r="GJ239" s="7"/>
      <c r="GK239" s="7"/>
      <c r="GV239" s="7"/>
      <c r="GW239" s="7"/>
      <c r="HE239" s="7"/>
      <c r="HF239" s="7"/>
      <c r="HH239" s="7"/>
      <c r="HI239" s="7"/>
      <c r="HQ239" s="7"/>
      <c r="HR239" s="7"/>
      <c r="HT239" s="7"/>
      <c r="HU239" s="7"/>
      <c r="IC239" s="7"/>
      <c r="ID239" s="7"/>
      <c r="IF239" s="7"/>
      <c r="IG239" s="7"/>
      <c r="II239" s="7"/>
      <c r="IJ239" s="7"/>
      <c r="IK239" s="7"/>
      <c r="IL239" s="7"/>
      <c r="IM239" s="7"/>
      <c r="IN239" s="7"/>
      <c r="IP239" s="7"/>
      <c r="IQ239" s="7"/>
      <c r="IR239" s="7"/>
      <c r="IS239" s="7"/>
      <c r="IT239" s="7"/>
      <c r="IU239" s="7"/>
      <c r="IV239" s="7"/>
      <c r="IW239" s="7"/>
      <c r="IX239" s="7"/>
      <c r="IY239" s="7"/>
      <c r="IZ239" s="7"/>
      <c r="JA239" s="7"/>
      <c r="JB239" s="7"/>
      <c r="JC239" s="7"/>
      <c r="JE239" s="7"/>
      <c r="JF239" s="7"/>
      <c r="JH239" s="7"/>
      <c r="JI239" s="7"/>
      <c r="JJ239" s="7"/>
      <c r="JK239" s="7"/>
      <c r="JL239" s="7"/>
      <c r="JM239" s="7"/>
      <c r="JO239" s="7"/>
      <c r="JP239" s="7"/>
      <c r="JQ239" s="7"/>
      <c r="JR239" s="7"/>
      <c r="JT239" s="7"/>
      <c r="JU239" s="7"/>
      <c r="JV239" s="7"/>
      <c r="JW239" s="7"/>
      <c r="JX239" s="7"/>
    </row>
    <row r="240" spans="3:284" x14ac:dyDescent="0.3">
      <c r="C240" s="7"/>
      <c r="D240" s="7"/>
      <c r="F240" s="7"/>
      <c r="G240" s="7"/>
      <c r="I240" s="7"/>
      <c r="J240" s="7"/>
      <c r="L240" s="7"/>
      <c r="M240" s="7"/>
      <c r="O240" s="7"/>
      <c r="P240" s="7"/>
      <c r="R240" s="7"/>
      <c r="S240" s="7"/>
      <c r="U240" s="7"/>
      <c r="V240" s="7"/>
      <c r="X240" s="7"/>
      <c r="Y240" s="7"/>
      <c r="AA240" s="7"/>
      <c r="AB240" s="7"/>
      <c r="AD240" s="7"/>
      <c r="AE240" s="7"/>
      <c r="AG240" s="7"/>
      <c r="AH240" s="7"/>
      <c r="AJ240" s="7"/>
      <c r="AK240" s="7"/>
      <c r="AM240" s="7"/>
      <c r="AN240" s="7"/>
      <c r="AP240" s="7"/>
      <c r="AQ240" s="7"/>
      <c r="AS240" s="7"/>
      <c r="AT240" s="7"/>
      <c r="AV240" s="7"/>
      <c r="AW240" s="7"/>
      <c r="AY240" s="7"/>
      <c r="AZ240" s="7"/>
      <c r="BB240" s="7"/>
      <c r="BC240" s="7"/>
      <c r="BE240" s="7"/>
      <c r="BF240" s="7"/>
      <c r="BH240" s="7"/>
      <c r="BI240" s="7"/>
      <c r="BK240" s="7"/>
      <c r="BL240" s="7"/>
      <c r="BN240" s="7"/>
      <c r="BO240" s="7"/>
      <c r="BQ240" s="7"/>
      <c r="BR240" s="7"/>
      <c r="BT240" s="7"/>
      <c r="BU240" s="7"/>
      <c r="BW240" s="7"/>
      <c r="BX240" s="7"/>
      <c r="BZ240" s="7"/>
      <c r="CA240" s="7"/>
      <c r="CC240" s="7"/>
      <c r="CD240" s="7"/>
      <c r="CF240" s="7"/>
      <c r="CG240" s="7"/>
      <c r="CI240" s="7"/>
      <c r="CJ240" s="7"/>
      <c r="CL240" s="7"/>
      <c r="CM240" s="7"/>
      <c r="CO240" s="7"/>
      <c r="CP240" s="7"/>
      <c r="CR240" s="7"/>
      <c r="CS240" s="7"/>
      <c r="CU240" s="7"/>
      <c r="CV240" s="7"/>
      <c r="CX240" s="7"/>
      <c r="CY240" s="7"/>
      <c r="DA240" s="7"/>
      <c r="DB240" s="7"/>
      <c r="DD240" s="7"/>
      <c r="DE240" s="7"/>
      <c r="DG240" s="7"/>
      <c r="DH240" s="7"/>
      <c r="DJ240" s="7"/>
      <c r="DK240" s="7"/>
      <c r="DM240" s="7"/>
      <c r="DN240" s="7"/>
      <c r="DP240" s="7"/>
      <c r="DQ240" s="7"/>
      <c r="DS240" s="7"/>
      <c r="DT240" s="7"/>
      <c r="DV240" s="7"/>
      <c r="DW240" s="7"/>
      <c r="DY240" s="7"/>
      <c r="DZ240" s="7"/>
      <c r="EB240" s="7"/>
      <c r="EC240" s="7"/>
      <c r="EE240" s="7"/>
      <c r="EF240" s="7"/>
      <c r="EH240" s="7"/>
      <c r="EI240" s="7"/>
      <c r="EK240" s="7"/>
      <c r="EL240" s="7"/>
      <c r="EN240" s="7"/>
      <c r="EO240" s="7"/>
      <c r="EQ240" s="7"/>
      <c r="ER240" s="7"/>
      <c r="ET240" s="7"/>
      <c r="EU240" s="7"/>
      <c r="EW240" s="7"/>
      <c r="EX240" s="7"/>
      <c r="EZ240" s="7"/>
      <c r="FA240" s="7"/>
      <c r="FC240" s="7"/>
      <c r="FD240" s="7"/>
      <c r="FF240" s="7"/>
      <c r="FG240" s="7"/>
      <c r="FI240" s="7"/>
      <c r="FJ240" s="7"/>
      <c r="FL240" s="7"/>
      <c r="FM240" s="7"/>
      <c r="FO240" s="7"/>
      <c r="FP240" s="7"/>
      <c r="FR240" s="7"/>
      <c r="FS240" s="7"/>
      <c r="FU240" s="7"/>
      <c r="FV240" s="7"/>
      <c r="FX240" s="7"/>
      <c r="FY240" s="7"/>
      <c r="GA240" s="7"/>
      <c r="GB240" s="7"/>
      <c r="GD240" s="7"/>
      <c r="GE240" s="7"/>
      <c r="GG240" s="7"/>
      <c r="GH240" s="7"/>
      <c r="GJ240" s="7"/>
      <c r="GK240" s="7"/>
      <c r="GV240" s="7"/>
      <c r="GW240" s="7"/>
      <c r="HE240" s="7"/>
      <c r="HF240" s="7"/>
      <c r="HH240" s="7"/>
      <c r="HI240" s="7"/>
      <c r="HQ240" s="7"/>
      <c r="HR240" s="7"/>
      <c r="HT240" s="7"/>
      <c r="HU240" s="7"/>
      <c r="IC240" s="7"/>
      <c r="ID240" s="7"/>
      <c r="IF240" s="7"/>
      <c r="IG240" s="7"/>
      <c r="II240" s="7"/>
      <c r="IJ240" s="7"/>
      <c r="IK240" s="7"/>
      <c r="IL240" s="7"/>
      <c r="IM240" s="7"/>
      <c r="IN240" s="7"/>
      <c r="IP240" s="7"/>
      <c r="IQ240" s="7"/>
      <c r="IR240" s="7"/>
      <c r="IS240" s="7"/>
      <c r="IT240" s="7"/>
      <c r="IU240" s="7"/>
      <c r="IV240" s="7"/>
      <c r="IW240" s="7"/>
      <c r="IX240" s="7"/>
      <c r="IY240" s="7"/>
      <c r="IZ240" s="7"/>
      <c r="JA240" s="7"/>
      <c r="JB240" s="7"/>
      <c r="JC240" s="7"/>
      <c r="JE240" s="7"/>
      <c r="JF240" s="7"/>
      <c r="JH240" s="7"/>
      <c r="JI240" s="7"/>
      <c r="JJ240" s="7"/>
      <c r="JK240" s="7"/>
      <c r="JL240" s="7"/>
      <c r="JM240" s="7"/>
      <c r="JO240" s="7"/>
      <c r="JP240" s="7"/>
      <c r="JQ240" s="7"/>
      <c r="JR240" s="7"/>
      <c r="JT240" s="7"/>
      <c r="JU240" s="7"/>
      <c r="JV240" s="7"/>
      <c r="JW240" s="7"/>
      <c r="JX240" s="7"/>
    </row>
    <row r="241" spans="3:284" x14ac:dyDescent="0.3">
      <c r="C241" s="7"/>
      <c r="D241" s="7"/>
      <c r="F241" s="7"/>
      <c r="G241" s="7"/>
      <c r="I241" s="7"/>
      <c r="J241" s="7"/>
      <c r="L241" s="7"/>
      <c r="M241" s="7"/>
      <c r="O241" s="7"/>
      <c r="P241" s="7"/>
      <c r="R241" s="7"/>
      <c r="S241" s="7"/>
      <c r="U241" s="7"/>
      <c r="V241" s="7"/>
      <c r="X241" s="7"/>
      <c r="Y241" s="7"/>
      <c r="AA241" s="7"/>
      <c r="AB241" s="7"/>
      <c r="AD241" s="7"/>
      <c r="AE241" s="7"/>
      <c r="AG241" s="7"/>
      <c r="AH241" s="7"/>
      <c r="AJ241" s="7"/>
      <c r="AK241" s="7"/>
      <c r="AM241" s="7"/>
      <c r="AN241" s="7"/>
      <c r="AP241" s="7"/>
      <c r="AQ241" s="7"/>
      <c r="AS241" s="7"/>
      <c r="AT241" s="7"/>
      <c r="AV241" s="7"/>
      <c r="AW241" s="7"/>
      <c r="AY241" s="7"/>
      <c r="AZ241" s="7"/>
      <c r="BB241" s="7"/>
      <c r="BC241" s="7"/>
      <c r="BE241" s="7"/>
      <c r="BF241" s="7"/>
      <c r="BH241" s="7"/>
      <c r="BI241" s="7"/>
      <c r="BK241" s="7"/>
      <c r="BL241" s="7"/>
      <c r="BN241" s="7"/>
      <c r="BO241" s="7"/>
      <c r="BQ241" s="7"/>
      <c r="BR241" s="7"/>
      <c r="BT241" s="7"/>
      <c r="BU241" s="7"/>
      <c r="BW241" s="7"/>
      <c r="BX241" s="7"/>
      <c r="BZ241" s="7"/>
      <c r="CA241" s="7"/>
      <c r="CC241" s="7"/>
      <c r="CD241" s="7"/>
      <c r="CF241" s="7"/>
      <c r="CG241" s="7"/>
      <c r="CI241" s="7"/>
      <c r="CJ241" s="7"/>
      <c r="CL241" s="7"/>
      <c r="CM241" s="7"/>
      <c r="CO241" s="7"/>
      <c r="CP241" s="7"/>
      <c r="CR241" s="7"/>
      <c r="CS241" s="7"/>
      <c r="CU241" s="7"/>
      <c r="CV241" s="7"/>
      <c r="CX241" s="7"/>
      <c r="CY241" s="7"/>
      <c r="DA241" s="7"/>
      <c r="DB241" s="7"/>
      <c r="DD241" s="7"/>
      <c r="DE241" s="7"/>
      <c r="DG241" s="7"/>
      <c r="DH241" s="7"/>
      <c r="DJ241" s="7"/>
      <c r="DK241" s="7"/>
      <c r="DM241" s="7"/>
      <c r="DN241" s="7"/>
      <c r="DP241" s="7"/>
      <c r="DQ241" s="7"/>
      <c r="DS241" s="7"/>
      <c r="DT241" s="7"/>
      <c r="DV241" s="7"/>
      <c r="DW241" s="7"/>
      <c r="DY241" s="7"/>
      <c r="DZ241" s="7"/>
      <c r="EB241" s="7"/>
      <c r="EC241" s="7"/>
      <c r="EE241" s="7"/>
      <c r="EF241" s="7"/>
      <c r="EH241" s="7"/>
      <c r="EI241" s="7"/>
      <c r="EK241" s="7"/>
      <c r="EL241" s="7"/>
      <c r="EN241" s="7"/>
      <c r="EO241" s="7"/>
      <c r="EQ241" s="7"/>
      <c r="ER241" s="7"/>
      <c r="ET241" s="7"/>
      <c r="EU241" s="7"/>
      <c r="EW241" s="7"/>
      <c r="EX241" s="7"/>
      <c r="EZ241" s="7"/>
      <c r="FA241" s="7"/>
      <c r="FC241" s="7"/>
      <c r="FD241" s="7"/>
      <c r="FF241" s="7"/>
      <c r="FG241" s="7"/>
      <c r="FI241" s="7"/>
      <c r="FJ241" s="7"/>
      <c r="FL241" s="7"/>
      <c r="FM241" s="7"/>
      <c r="FO241" s="7"/>
      <c r="FP241" s="7"/>
      <c r="FR241" s="7"/>
      <c r="FS241" s="7"/>
      <c r="FU241" s="7"/>
      <c r="FV241" s="7"/>
      <c r="FX241" s="7"/>
      <c r="FY241" s="7"/>
      <c r="GA241" s="7"/>
      <c r="GB241" s="7"/>
      <c r="GD241" s="7"/>
      <c r="GE241" s="7"/>
      <c r="GG241" s="7"/>
      <c r="GH241" s="7"/>
      <c r="GJ241" s="7"/>
      <c r="GK241" s="7"/>
      <c r="GV241" s="7"/>
      <c r="GW241" s="7"/>
      <c r="HE241" s="7"/>
      <c r="HF241" s="7"/>
      <c r="HH241" s="7"/>
      <c r="HI241" s="7"/>
      <c r="HQ241" s="7"/>
      <c r="HR241" s="7"/>
      <c r="HT241" s="7"/>
      <c r="HU241" s="7"/>
      <c r="IC241" s="7"/>
      <c r="ID241" s="7"/>
      <c r="IF241" s="7"/>
      <c r="IG241" s="7"/>
      <c r="II241" s="7"/>
      <c r="IJ241" s="7"/>
      <c r="IK241" s="7"/>
      <c r="IL241" s="7"/>
      <c r="IM241" s="7"/>
      <c r="IN241" s="7"/>
      <c r="IP241" s="7"/>
      <c r="IQ241" s="7"/>
      <c r="IR241" s="7"/>
      <c r="IS241" s="7"/>
      <c r="IT241" s="7"/>
      <c r="IU241" s="7"/>
      <c r="IV241" s="7"/>
      <c r="IW241" s="7"/>
      <c r="IX241" s="7"/>
      <c r="IY241" s="7"/>
      <c r="IZ241" s="7"/>
      <c r="JA241" s="7"/>
      <c r="JB241" s="7"/>
      <c r="JC241" s="7"/>
      <c r="JE241" s="7"/>
      <c r="JF241" s="7"/>
      <c r="JH241" s="7"/>
      <c r="JI241" s="7"/>
      <c r="JJ241" s="7"/>
      <c r="JK241" s="7"/>
      <c r="JL241" s="7"/>
      <c r="JM241" s="7"/>
      <c r="JO241" s="7"/>
      <c r="JP241" s="7"/>
      <c r="JQ241" s="7"/>
      <c r="JR241" s="7"/>
      <c r="JT241" s="7"/>
      <c r="JU241" s="7"/>
      <c r="JV241" s="7"/>
      <c r="JW241" s="7"/>
      <c r="JX241" s="7"/>
    </row>
    <row r="242" spans="3:284" x14ac:dyDescent="0.3">
      <c r="C242" s="7"/>
      <c r="D242" s="7"/>
      <c r="F242" s="7"/>
      <c r="G242" s="7"/>
      <c r="I242" s="7"/>
      <c r="J242" s="7"/>
      <c r="L242" s="7"/>
      <c r="M242" s="7"/>
      <c r="O242" s="7"/>
      <c r="P242" s="7"/>
      <c r="R242" s="7"/>
      <c r="S242" s="7"/>
      <c r="U242" s="7"/>
      <c r="V242" s="7"/>
      <c r="X242" s="7"/>
      <c r="Y242" s="7"/>
      <c r="AA242" s="7"/>
      <c r="AB242" s="7"/>
      <c r="AD242" s="7"/>
      <c r="AE242" s="7"/>
      <c r="AG242" s="7"/>
      <c r="AH242" s="7"/>
      <c r="AJ242" s="7"/>
      <c r="AK242" s="7"/>
      <c r="AM242" s="7"/>
      <c r="AN242" s="7"/>
      <c r="AP242" s="7"/>
      <c r="AQ242" s="7"/>
      <c r="AS242" s="7"/>
      <c r="AT242" s="7"/>
      <c r="AV242" s="7"/>
      <c r="AW242" s="7"/>
      <c r="AY242" s="7"/>
      <c r="AZ242" s="7"/>
      <c r="BB242" s="7"/>
      <c r="BC242" s="7"/>
      <c r="BE242" s="7"/>
      <c r="BF242" s="7"/>
      <c r="BH242" s="7"/>
      <c r="BI242" s="7"/>
      <c r="BK242" s="7"/>
      <c r="BL242" s="7"/>
      <c r="BN242" s="7"/>
      <c r="BO242" s="7"/>
      <c r="BQ242" s="7"/>
      <c r="BR242" s="7"/>
      <c r="BT242" s="7"/>
      <c r="BU242" s="7"/>
      <c r="BW242" s="7"/>
      <c r="BX242" s="7"/>
      <c r="BZ242" s="7"/>
      <c r="CA242" s="7"/>
      <c r="CC242" s="7"/>
      <c r="CD242" s="7"/>
      <c r="CF242" s="7"/>
      <c r="CG242" s="7"/>
      <c r="CI242" s="7"/>
      <c r="CJ242" s="7"/>
      <c r="CL242" s="7"/>
      <c r="CM242" s="7"/>
      <c r="CO242" s="7"/>
      <c r="CP242" s="7"/>
      <c r="CR242" s="7"/>
      <c r="CS242" s="7"/>
      <c r="CU242" s="7"/>
      <c r="CV242" s="7"/>
      <c r="CX242" s="7"/>
      <c r="CY242" s="7"/>
      <c r="DA242" s="7"/>
      <c r="DB242" s="7"/>
      <c r="DD242" s="7"/>
      <c r="DE242" s="7"/>
      <c r="DG242" s="7"/>
      <c r="DH242" s="7"/>
      <c r="DJ242" s="7"/>
      <c r="DK242" s="7"/>
      <c r="DM242" s="7"/>
      <c r="DN242" s="7"/>
      <c r="DP242" s="7"/>
      <c r="DQ242" s="7"/>
      <c r="DS242" s="7"/>
      <c r="DT242" s="7"/>
      <c r="DV242" s="7"/>
      <c r="DW242" s="7"/>
      <c r="DY242" s="7"/>
      <c r="DZ242" s="7"/>
      <c r="EB242" s="7"/>
      <c r="EC242" s="7"/>
      <c r="EE242" s="7"/>
      <c r="EF242" s="7"/>
      <c r="EH242" s="7"/>
      <c r="EI242" s="7"/>
      <c r="EK242" s="7"/>
      <c r="EL242" s="7"/>
      <c r="EN242" s="7"/>
      <c r="EO242" s="7"/>
      <c r="EQ242" s="7"/>
      <c r="ER242" s="7"/>
      <c r="ET242" s="7"/>
      <c r="EU242" s="7"/>
      <c r="EW242" s="7"/>
      <c r="EX242" s="7"/>
      <c r="EZ242" s="7"/>
      <c r="FA242" s="7"/>
      <c r="FC242" s="7"/>
      <c r="FD242" s="7"/>
      <c r="FF242" s="7"/>
      <c r="FG242" s="7"/>
      <c r="FI242" s="7"/>
      <c r="FJ242" s="7"/>
      <c r="FL242" s="7"/>
      <c r="FM242" s="7"/>
      <c r="FO242" s="7"/>
      <c r="FP242" s="7"/>
      <c r="FR242" s="7"/>
      <c r="FS242" s="7"/>
      <c r="FU242" s="7"/>
      <c r="FV242" s="7"/>
      <c r="FX242" s="7"/>
      <c r="FY242" s="7"/>
      <c r="GA242" s="7"/>
      <c r="GB242" s="7"/>
      <c r="GD242" s="7"/>
      <c r="GE242" s="7"/>
      <c r="GG242" s="7"/>
      <c r="GH242" s="7"/>
      <c r="GJ242" s="7"/>
      <c r="GK242" s="7"/>
      <c r="GV242" s="7"/>
      <c r="GW242" s="7"/>
      <c r="HE242" s="7"/>
      <c r="HF242" s="7"/>
      <c r="HH242" s="7"/>
      <c r="HI242" s="7"/>
      <c r="HQ242" s="7"/>
      <c r="HR242" s="7"/>
      <c r="HT242" s="7"/>
      <c r="HU242" s="7"/>
      <c r="IC242" s="7"/>
      <c r="ID242" s="7"/>
      <c r="IF242" s="7"/>
      <c r="IG242" s="7"/>
      <c r="II242" s="7"/>
      <c r="IJ242" s="7"/>
      <c r="IK242" s="7"/>
      <c r="IL242" s="7"/>
      <c r="IM242" s="7"/>
      <c r="IN242" s="7"/>
      <c r="IP242" s="7"/>
      <c r="IQ242" s="7"/>
      <c r="IR242" s="7"/>
      <c r="IS242" s="7"/>
      <c r="IT242" s="7"/>
      <c r="IU242" s="7"/>
      <c r="IV242" s="7"/>
      <c r="IW242" s="7"/>
      <c r="IX242" s="7"/>
      <c r="IY242" s="7"/>
      <c r="IZ242" s="7"/>
      <c r="JA242" s="7"/>
      <c r="JB242" s="7"/>
      <c r="JC242" s="7"/>
      <c r="JE242" s="7"/>
      <c r="JF242" s="7"/>
      <c r="JH242" s="7"/>
      <c r="JI242" s="7"/>
      <c r="JJ242" s="7"/>
      <c r="JK242" s="7"/>
      <c r="JL242" s="7"/>
      <c r="JM242" s="7"/>
      <c r="JO242" s="7"/>
      <c r="JP242" s="7"/>
      <c r="JQ242" s="7"/>
      <c r="JR242" s="7"/>
      <c r="JT242" s="7"/>
      <c r="JU242" s="7"/>
      <c r="JV242" s="7"/>
      <c r="JW242" s="7"/>
      <c r="JX242" s="7"/>
    </row>
    <row r="243" spans="3:284" x14ac:dyDescent="0.3">
      <c r="C243" s="7"/>
      <c r="D243" s="7"/>
      <c r="F243" s="7"/>
      <c r="G243" s="7"/>
      <c r="I243" s="7"/>
      <c r="J243" s="7"/>
      <c r="L243" s="7"/>
      <c r="M243" s="7"/>
      <c r="O243" s="7"/>
      <c r="P243" s="7"/>
      <c r="R243" s="7"/>
      <c r="S243" s="7"/>
      <c r="U243" s="7"/>
      <c r="V243" s="7"/>
      <c r="X243" s="7"/>
      <c r="Y243" s="7"/>
      <c r="AA243" s="7"/>
      <c r="AB243" s="7"/>
      <c r="AD243" s="7"/>
      <c r="AE243" s="7"/>
      <c r="AG243" s="7"/>
      <c r="AH243" s="7"/>
      <c r="AJ243" s="7"/>
      <c r="AK243" s="7"/>
      <c r="AM243" s="7"/>
      <c r="AN243" s="7"/>
      <c r="AP243" s="7"/>
      <c r="AQ243" s="7"/>
      <c r="AS243" s="7"/>
      <c r="AT243" s="7"/>
      <c r="AV243" s="7"/>
      <c r="AW243" s="7"/>
      <c r="AY243" s="7"/>
      <c r="AZ243" s="7"/>
      <c r="BB243" s="7"/>
      <c r="BC243" s="7"/>
      <c r="BE243" s="7"/>
      <c r="BF243" s="7"/>
      <c r="BH243" s="7"/>
      <c r="BI243" s="7"/>
      <c r="BK243" s="7"/>
      <c r="BL243" s="7"/>
      <c r="BN243" s="7"/>
      <c r="BO243" s="7"/>
      <c r="BQ243" s="7"/>
      <c r="BR243" s="7"/>
      <c r="BT243" s="7"/>
      <c r="BU243" s="7"/>
      <c r="BW243" s="7"/>
      <c r="BX243" s="7"/>
      <c r="BZ243" s="7"/>
      <c r="CA243" s="7"/>
      <c r="CC243" s="7"/>
      <c r="CD243" s="7"/>
      <c r="CF243" s="7"/>
      <c r="CG243" s="7"/>
      <c r="CI243" s="7"/>
      <c r="CJ243" s="7"/>
      <c r="CL243" s="7"/>
      <c r="CM243" s="7"/>
      <c r="CO243" s="7"/>
      <c r="CP243" s="7"/>
      <c r="CR243" s="7"/>
      <c r="CS243" s="7"/>
      <c r="CU243" s="7"/>
      <c r="CV243" s="7"/>
      <c r="CX243" s="7"/>
      <c r="CY243" s="7"/>
      <c r="DA243" s="7"/>
      <c r="DB243" s="7"/>
      <c r="DD243" s="7"/>
      <c r="DE243" s="7"/>
      <c r="DG243" s="7"/>
      <c r="DH243" s="7"/>
      <c r="DJ243" s="7"/>
      <c r="DK243" s="7"/>
      <c r="DM243" s="7"/>
      <c r="DN243" s="7"/>
      <c r="DP243" s="7"/>
      <c r="DQ243" s="7"/>
      <c r="DS243" s="7"/>
      <c r="DT243" s="7"/>
      <c r="DV243" s="7"/>
      <c r="DW243" s="7"/>
      <c r="DY243" s="7"/>
      <c r="DZ243" s="7"/>
      <c r="EB243" s="7"/>
      <c r="EC243" s="7"/>
      <c r="EE243" s="7"/>
      <c r="EF243" s="7"/>
      <c r="EH243" s="7"/>
      <c r="EI243" s="7"/>
      <c r="EK243" s="7"/>
      <c r="EL243" s="7"/>
      <c r="EN243" s="7"/>
      <c r="EO243" s="7"/>
      <c r="EQ243" s="7"/>
      <c r="ER243" s="7"/>
      <c r="ET243" s="7"/>
      <c r="EU243" s="7"/>
      <c r="EW243" s="7"/>
      <c r="EX243" s="7"/>
      <c r="EZ243" s="7"/>
      <c r="FA243" s="7"/>
      <c r="FC243" s="7"/>
      <c r="FD243" s="7"/>
      <c r="FF243" s="7"/>
      <c r="FG243" s="7"/>
      <c r="FI243" s="7"/>
      <c r="FJ243" s="7"/>
      <c r="FL243" s="7"/>
      <c r="FM243" s="7"/>
      <c r="FO243" s="7"/>
      <c r="FP243" s="7"/>
      <c r="FR243" s="7"/>
      <c r="FS243" s="7"/>
      <c r="FU243" s="7"/>
      <c r="FV243" s="7"/>
      <c r="FX243" s="7"/>
      <c r="FY243" s="7"/>
      <c r="GA243" s="7"/>
      <c r="GB243" s="7"/>
      <c r="GD243" s="7"/>
      <c r="GE243" s="7"/>
      <c r="GG243" s="7"/>
      <c r="GH243" s="7"/>
      <c r="GJ243" s="7"/>
      <c r="GK243" s="7"/>
      <c r="GV243" s="7"/>
      <c r="GW243" s="7"/>
      <c r="HE243" s="7"/>
      <c r="HF243" s="7"/>
      <c r="HH243" s="7"/>
      <c r="HI243" s="7"/>
      <c r="HQ243" s="7"/>
      <c r="HR243" s="7"/>
      <c r="HT243" s="7"/>
      <c r="HU243" s="7"/>
      <c r="IC243" s="7"/>
      <c r="ID243" s="7"/>
      <c r="IF243" s="7"/>
      <c r="IG243" s="7"/>
      <c r="II243" s="7"/>
      <c r="IJ243" s="7"/>
      <c r="IK243" s="7"/>
      <c r="IL243" s="7"/>
      <c r="IM243" s="7"/>
      <c r="IN243" s="7"/>
      <c r="IP243" s="7"/>
      <c r="IQ243" s="7"/>
      <c r="IR243" s="7"/>
      <c r="IS243" s="7"/>
      <c r="IT243" s="7"/>
      <c r="IU243" s="7"/>
      <c r="IV243" s="7"/>
      <c r="IW243" s="7"/>
      <c r="IX243" s="7"/>
      <c r="IY243" s="7"/>
      <c r="IZ243" s="7"/>
      <c r="JA243" s="7"/>
      <c r="JB243" s="7"/>
      <c r="JC243" s="7"/>
      <c r="JE243" s="7"/>
      <c r="JF243" s="7"/>
      <c r="JH243" s="7"/>
      <c r="JI243" s="7"/>
      <c r="JJ243" s="7"/>
      <c r="JK243" s="7"/>
      <c r="JL243" s="7"/>
      <c r="JM243" s="7"/>
      <c r="JO243" s="7"/>
      <c r="JP243" s="7"/>
      <c r="JQ243" s="7"/>
      <c r="JR243" s="7"/>
      <c r="JT243" s="7"/>
      <c r="JU243" s="7"/>
      <c r="JV243" s="7"/>
      <c r="JW243" s="7"/>
      <c r="JX243" s="7"/>
    </row>
    <row r="244" spans="3:284" x14ac:dyDescent="0.3">
      <c r="C244" s="7"/>
      <c r="D244" s="7"/>
      <c r="F244" s="7"/>
      <c r="G244" s="7"/>
      <c r="I244" s="7"/>
      <c r="J244" s="7"/>
      <c r="L244" s="7"/>
      <c r="M244" s="7"/>
      <c r="O244" s="7"/>
      <c r="P244" s="7"/>
      <c r="R244" s="7"/>
      <c r="S244" s="7"/>
      <c r="U244" s="7"/>
      <c r="V244" s="7"/>
      <c r="X244" s="7"/>
      <c r="Y244" s="7"/>
      <c r="AA244" s="7"/>
      <c r="AB244" s="7"/>
      <c r="AD244" s="7"/>
      <c r="AE244" s="7"/>
      <c r="AG244" s="7"/>
      <c r="AH244" s="7"/>
      <c r="AJ244" s="7"/>
      <c r="AK244" s="7"/>
      <c r="AM244" s="7"/>
      <c r="AN244" s="7"/>
      <c r="AP244" s="7"/>
      <c r="AQ244" s="7"/>
      <c r="AS244" s="7"/>
      <c r="AT244" s="7"/>
      <c r="AV244" s="7"/>
      <c r="AW244" s="7"/>
      <c r="AY244" s="7"/>
      <c r="AZ244" s="7"/>
      <c r="BB244" s="7"/>
      <c r="BC244" s="7"/>
      <c r="BE244" s="7"/>
      <c r="BF244" s="7"/>
      <c r="BH244" s="7"/>
      <c r="BI244" s="7"/>
      <c r="BK244" s="7"/>
      <c r="BL244" s="7"/>
      <c r="BN244" s="7"/>
      <c r="BO244" s="7"/>
      <c r="BQ244" s="7"/>
      <c r="BR244" s="7"/>
      <c r="BT244" s="7"/>
      <c r="BU244" s="7"/>
      <c r="BW244" s="7"/>
      <c r="BX244" s="7"/>
      <c r="BZ244" s="7"/>
      <c r="CA244" s="7"/>
      <c r="CC244" s="7"/>
      <c r="CD244" s="7"/>
      <c r="CF244" s="7"/>
      <c r="CG244" s="7"/>
      <c r="CI244" s="7"/>
      <c r="CJ244" s="7"/>
      <c r="CL244" s="7"/>
      <c r="CM244" s="7"/>
      <c r="CO244" s="7"/>
      <c r="CP244" s="7"/>
      <c r="CR244" s="7"/>
      <c r="CS244" s="7"/>
      <c r="CU244" s="7"/>
      <c r="CV244" s="7"/>
      <c r="CX244" s="7"/>
      <c r="CY244" s="7"/>
      <c r="DA244" s="7"/>
      <c r="DB244" s="7"/>
      <c r="DD244" s="7"/>
      <c r="DE244" s="7"/>
      <c r="DG244" s="7"/>
      <c r="DH244" s="7"/>
      <c r="DJ244" s="7"/>
      <c r="DK244" s="7"/>
      <c r="DM244" s="7"/>
      <c r="DN244" s="7"/>
      <c r="DP244" s="7"/>
      <c r="DQ244" s="7"/>
      <c r="DS244" s="7"/>
      <c r="DT244" s="7"/>
      <c r="DV244" s="7"/>
      <c r="DW244" s="7"/>
      <c r="DY244" s="7"/>
      <c r="DZ244" s="7"/>
      <c r="EB244" s="7"/>
      <c r="EC244" s="7"/>
      <c r="EE244" s="7"/>
      <c r="EF244" s="7"/>
      <c r="EH244" s="7"/>
      <c r="EI244" s="7"/>
      <c r="EK244" s="7"/>
      <c r="EL244" s="7"/>
      <c r="EN244" s="7"/>
      <c r="EO244" s="7"/>
      <c r="EQ244" s="7"/>
      <c r="ER244" s="7"/>
      <c r="ET244" s="7"/>
      <c r="EU244" s="7"/>
      <c r="EW244" s="7"/>
      <c r="EX244" s="7"/>
      <c r="EZ244" s="7"/>
      <c r="FA244" s="7"/>
      <c r="FC244" s="7"/>
      <c r="FD244" s="7"/>
      <c r="FF244" s="7"/>
      <c r="FG244" s="7"/>
      <c r="FI244" s="7"/>
      <c r="FJ244" s="7"/>
      <c r="FL244" s="7"/>
      <c r="FM244" s="7"/>
      <c r="FO244" s="7"/>
      <c r="FP244" s="7"/>
      <c r="FR244" s="7"/>
      <c r="FS244" s="7"/>
      <c r="FU244" s="7"/>
      <c r="FV244" s="7"/>
      <c r="FX244" s="7"/>
      <c r="FY244" s="7"/>
      <c r="GA244" s="7"/>
      <c r="GB244" s="7"/>
      <c r="GD244" s="7"/>
      <c r="GE244" s="7"/>
      <c r="GG244" s="7"/>
      <c r="GH244" s="7"/>
      <c r="GJ244" s="7"/>
      <c r="GK244" s="7"/>
      <c r="GV244" s="7"/>
      <c r="GW244" s="7"/>
      <c r="HE244" s="7"/>
      <c r="HF244" s="7"/>
      <c r="HH244" s="7"/>
      <c r="HI244" s="7"/>
      <c r="HQ244" s="7"/>
      <c r="HR244" s="7"/>
      <c r="HT244" s="7"/>
      <c r="HU244" s="7"/>
      <c r="IC244" s="7"/>
      <c r="ID244" s="7"/>
      <c r="IF244" s="7"/>
      <c r="IG244" s="7"/>
      <c r="II244" s="7"/>
      <c r="IJ244" s="7"/>
      <c r="IK244" s="7"/>
      <c r="IL244" s="7"/>
      <c r="IM244" s="7"/>
      <c r="IN244" s="7"/>
      <c r="IP244" s="7"/>
      <c r="IQ244" s="7"/>
      <c r="IR244" s="7"/>
      <c r="IS244" s="7"/>
      <c r="IT244" s="7"/>
      <c r="IU244" s="7"/>
      <c r="IV244" s="7"/>
      <c r="IW244" s="7"/>
      <c r="IX244" s="7"/>
      <c r="IY244" s="7"/>
      <c r="IZ244" s="7"/>
      <c r="JA244" s="7"/>
      <c r="JB244" s="7"/>
      <c r="JC244" s="7"/>
      <c r="JE244" s="7"/>
      <c r="JF244" s="7"/>
      <c r="JH244" s="7"/>
      <c r="JI244" s="7"/>
      <c r="JJ244" s="7"/>
      <c r="JK244" s="7"/>
      <c r="JL244" s="7"/>
      <c r="JM244" s="7"/>
      <c r="JO244" s="7"/>
      <c r="JP244" s="7"/>
      <c r="JQ244" s="7"/>
      <c r="JR244" s="7"/>
      <c r="JT244" s="7"/>
      <c r="JU244" s="7"/>
      <c r="JV244" s="7"/>
      <c r="JW244" s="7"/>
      <c r="JX244" s="7"/>
    </row>
    <row r="245" spans="3:284" x14ac:dyDescent="0.3">
      <c r="C245" s="7"/>
      <c r="D245" s="7"/>
      <c r="F245" s="7"/>
      <c r="G245" s="7"/>
      <c r="I245" s="7"/>
      <c r="J245" s="7"/>
      <c r="L245" s="7"/>
      <c r="M245" s="7"/>
      <c r="O245" s="7"/>
      <c r="P245" s="7"/>
      <c r="R245" s="7"/>
      <c r="S245" s="7"/>
      <c r="U245" s="7"/>
      <c r="V245" s="7"/>
      <c r="X245" s="7"/>
      <c r="Y245" s="7"/>
      <c r="AA245" s="7"/>
      <c r="AB245" s="7"/>
      <c r="AD245" s="7"/>
      <c r="AE245" s="7"/>
      <c r="AG245" s="7"/>
      <c r="AH245" s="7"/>
      <c r="AJ245" s="7"/>
      <c r="AK245" s="7"/>
      <c r="AM245" s="7"/>
      <c r="AN245" s="7"/>
      <c r="AP245" s="7"/>
      <c r="AQ245" s="7"/>
      <c r="AS245" s="7"/>
      <c r="AT245" s="7"/>
      <c r="AV245" s="7"/>
      <c r="AW245" s="7"/>
      <c r="AY245" s="7"/>
      <c r="AZ245" s="7"/>
      <c r="BB245" s="7"/>
      <c r="BC245" s="7"/>
      <c r="BE245" s="7"/>
      <c r="BF245" s="7"/>
      <c r="BH245" s="7"/>
      <c r="BI245" s="7"/>
      <c r="BK245" s="7"/>
      <c r="BL245" s="7"/>
      <c r="BN245" s="7"/>
      <c r="BO245" s="7"/>
      <c r="BQ245" s="7"/>
      <c r="BR245" s="7"/>
      <c r="BT245" s="7"/>
      <c r="BU245" s="7"/>
      <c r="BW245" s="7"/>
      <c r="BX245" s="7"/>
      <c r="BZ245" s="7"/>
      <c r="CA245" s="7"/>
      <c r="CC245" s="7"/>
      <c r="CD245" s="7"/>
      <c r="CF245" s="7"/>
      <c r="CG245" s="7"/>
      <c r="CI245" s="7"/>
      <c r="CJ245" s="7"/>
      <c r="CL245" s="7"/>
      <c r="CM245" s="7"/>
      <c r="CO245" s="7"/>
      <c r="CP245" s="7"/>
      <c r="CR245" s="7"/>
      <c r="CS245" s="7"/>
      <c r="CU245" s="7"/>
      <c r="CV245" s="7"/>
      <c r="CX245" s="7"/>
      <c r="CY245" s="7"/>
      <c r="DA245" s="7"/>
      <c r="DB245" s="7"/>
      <c r="DD245" s="7"/>
      <c r="DE245" s="7"/>
      <c r="DG245" s="7"/>
      <c r="DH245" s="7"/>
      <c r="DJ245" s="7"/>
      <c r="DK245" s="7"/>
      <c r="DM245" s="7"/>
      <c r="DN245" s="7"/>
      <c r="DP245" s="7"/>
      <c r="DQ245" s="7"/>
      <c r="DS245" s="7"/>
      <c r="DT245" s="7"/>
      <c r="DV245" s="7"/>
      <c r="DW245" s="7"/>
      <c r="DY245" s="7"/>
      <c r="DZ245" s="7"/>
      <c r="EB245" s="7"/>
      <c r="EC245" s="7"/>
      <c r="EE245" s="7"/>
      <c r="EF245" s="7"/>
      <c r="EH245" s="7"/>
      <c r="EI245" s="7"/>
      <c r="EK245" s="7"/>
      <c r="EL245" s="7"/>
      <c r="EN245" s="7"/>
      <c r="EO245" s="7"/>
      <c r="EQ245" s="7"/>
      <c r="ER245" s="7"/>
      <c r="ET245" s="7"/>
      <c r="EU245" s="7"/>
      <c r="EW245" s="7"/>
      <c r="EX245" s="7"/>
      <c r="EZ245" s="7"/>
      <c r="FA245" s="7"/>
      <c r="FC245" s="7"/>
      <c r="FD245" s="7"/>
      <c r="FF245" s="7"/>
      <c r="FG245" s="7"/>
      <c r="FI245" s="7"/>
      <c r="FJ245" s="7"/>
      <c r="FL245" s="7"/>
      <c r="FM245" s="7"/>
      <c r="FO245" s="7"/>
      <c r="FP245" s="7"/>
      <c r="FR245" s="7"/>
      <c r="FS245" s="7"/>
      <c r="FU245" s="7"/>
      <c r="FV245" s="7"/>
      <c r="FX245" s="7"/>
      <c r="FY245" s="7"/>
      <c r="GA245" s="7"/>
      <c r="GB245" s="7"/>
      <c r="GD245" s="7"/>
      <c r="GE245" s="7"/>
      <c r="GG245" s="7"/>
      <c r="GH245" s="7"/>
      <c r="GJ245" s="7"/>
      <c r="GK245" s="7"/>
      <c r="GV245" s="7"/>
      <c r="GW245" s="7"/>
      <c r="HE245" s="7"/>
      <c r="HF245" s="7"/>
      <c r="HH245" s="7"/>
      <c r="HI245" s="7"/>
      <c r="HQ245" s="7"/>
      <c r="HR245" s="7"/>
      <c r="HT245" s="7"/>
      <c r="HU245" s="7"/>
      <c r="IC245" s="7"/>
      <c r="ID245" s="7"/>
      <c r="IF245" s="7"/>
      <c r="IG245" s="7"/>
      <c r="II245" s="7"/>
      <c r="IJ245" s="7"/>
      <c r="IK245" s="7"/>
      <c r="IL245" s="7"/>
      <c r="IM245" s="7"/>
      <c r="IN245" s="7"/>
      <c r="IP245" s="7"/>
      <c r="IQ245" s="7"/>
      <c r="IR245" s="7"/>
      <c r="IS245" s="7"/>
      <c r="IT245" s="7"/>
      <c r="IU245" s="7"/>
      <c r="IV245" s="7"/>
      <c r="IW245" s="7"/>
      <c r="IX245" s="7"/>
      <c r="IY245" s="7"/>
      <c r="IZ245" s="7"/>
      <c r="JA245" s="7"/>
      <c r="JB245" s="7"/>
      <c r="JC245" s="7"/>
      <c r="JE245" s="7"/>
      <c r="JF245" s="7"/>
      <c r="JH245" s="7"/>
      <c r="JI245" s="7"/>
      <c r="JJ245" s="7"/>
      <c r="JK245" s="7"/>
      <c r="JL245" s="7"/>
      <c r="JM245" s="7"/>
      <c r="JO245" s="7"/>
      <c r="JP245" s="7"/>
      <c r="JQ245" s="7"/>
      <c r="JR245" s="7"/>
      <c r="JT245" s="7"/>
      <c r="JU245" s="7"/>
      <c r="JV245" s="7"/>
      <c r="JW245" s="7"/>
      <c r="JX245" s="7"/>
    </row>
    <row r="246" spans="3:284" x14ac:dyDescent="0.3">
      <c r="C246" s="7"/>
      <c r="D246" s="7"/>
      <c r="F246" s="7"/>
      <c r="G246" s="7"/>
      <c r="I246" s="7"/>
      <c r="J246" s="7"/>
      <c r="L246" s="7"/>
      <c r="M246" s="7"/>
      <c r="O246" s="7"/>
      <c r="P246" s="7"/>
      <c r="R246" s="7"/>
      <c r="S246" s="7"/>
      <c r="U246" s="7"/>
      <c r="V246" s="7"/>
      <c r="X246" s="7"/>
      <c r="Y246" s="7"/>
      <c r="AA246" s="7"/>
      <c r="AB246" s="7"/>
      <c r="AD246" s="7"/>
      <c r="AE246" s="7"/>
      <c r="AG246" s="7"/>
      <c r="AH246" s="7"/>
      <c r="AJ246" s="7"/>
      <c r="AK246" s="7"/>
      <c r="AM246" s="7"/>
      <c r="AN246" s="7"/>
      <c r="AP246" s="7"/>
      <c r="AQ246" s="7"/>
      <c r="AS246" s="7"/>
      <c r="AT246" s="7"/>
      <c r="AV246" s="7"/>
      <c r="AW246" s="7"/>
      <c r="AY246" s="7"/>
      <c r="AZ246" s="7"/>
      <c r="BB246" s="7"/>
      <c r="BC246" s="7"/>
      <c r="BE246" s="7"/>
      <c r="BF246" s="7"/>
      <c r="BH246" s="7"/>
      <c r="BI246" s="7"/>
      <c r="BK246" s="7"/>
      <c r="BL246" s="7"/>
      <c r="BN246" s="7"/>
      <c r="BO246" s="7"/>
      <c r="BQ246" s="7"/>
      <c r="BR246" s="7"/>
      <c r="BT246" s="7"/>
      <c r="BU246" s="7"/>
      <c r="BW246" s="7"/>
      <c r="BX246" s="7"/>
      <c r="BZ246" s="7"/>
      <c r="CA246" s="7"/>
      <c r="CC246" s="7"/>
      <c r="CD246" s="7"/>
      <c r="CF246" s="7"/>
      <c r="CG246" s="7"/>
      <c r="CI246" s="7"/>
      <c r="CJ246" s="7"/>
      <c r="CL246" s="7"/>
      <c r="CM246" s="7"/>
      <c r="CO246" s="7"/>
      <c r="CP246" s="7"/>
      <c r="CR246" s="7"/>
      <c r="CS246" s="7"/>
      <c r="CU246" s="7"/>
      <c r="CV246" s="7"/>
      <c r="CX246" s="7"/>
      <c r="CY246" s="7"/>
      <c r="DA246" s="7"/>
      <c r="DB246" s="7"/>
      <c r="DD246" s="7"/>
      <c r="DE246" s="7"/>
      <c r="DG246" s="7"/>
      <c r="DH246" s="7"/>
      <c r="DJ246" s="7"/>
      <c r="DK246" s="7"/>
      <c r="DM246" s="7"/>
      <c r="DN246" s="7"/>
      <c r="DP246" s="7"/>
      <c r="DQ246" s="7"/>
      <c r="DS246" s="7"/>
      <c r="DT246" s="7"/>
      <c r="DV246" s="7"/>
      <c r="DW246" s="7"/>
      <c r="DY246" s="7"/>
      <c r="DZ246" s="7"/>
      <c r="EB246" s="7"/>
      <c r="EC246" s="7"/>
      <c r="EE246" s="7"/>
      <c r="EF246" s="7"/>
      <c r="EH246" s="7"/>
      <c r="EI246" s="7"/>
      <c r="EK246" s="7"/>
      <c r="EL246" s="7"/>
      <c r="EN246" s="7"/>
      <c r="EO246" s="7"/>
      <c r="EQ246" s="7"/>
      <c r="ER246" s="7"/>
      <c r="ET246" s="7"/>
      <c r="EU246" s="7"/>
      <c r="EW246" s="7"/>
      <c r="EX246" s="7"/>
      <c r="EZ246" s="7"/>
      <c r="FA246" s="7"/>
      <c r="FC246" s="7"/>
      <c r="FD246" s="7"/>
      <c r="FF246" s="7"/>
      <c r="FG246" s="7"/>
      <c r="FI246" s="7"/>
      <c r="FJ246" s="7"/>
      <c r="FL246" s="7"/>
      <c r="FM246" s="7"/>
      <c r="FO246" s="7"/>
      <c r="FP246" s="7"/>
      <c r="FR246" s="7"/>
      <c r="FS246" s="7"/>
      <c r="FU246" s="7"/>
      <c r="FV246" s="7"/>
      <c r="FX246" s="7"/>
      <c r="FY246" s="7"/>
      <c r="GA246" s="7"/>
      <c r="GB246" s="7"/>
      <c r="GD246" s="7"/>
      <c r="GE246" s="7"/>
      <c r="GG246" s="7"/>
      <c r="GH246" s="7"/>
      <c r="GJ246" s="7"/>
      <c r="GK246" s="7"/>
      <c r="GV246" s="7"/>
      <c r="GW246" s="7"/>
      <c r="HE246" s="7"/>
      <c r="HF246" s="7"/>
      <c r="HH246" s="7"/>
      <c r="HI246" s="7"/>
      <c r="HQ246" s="7"/>
      <c r="HR246" s="7"/>
      <c r="HT246" s="7"/>
      <c r="HU246" s="7"/>
      <c r="IC246" s="7"/>
      <c r="ID246" s="7"/>
      <c r="IF246" s="7"/>
      <c r="IG246" s="7"/>
      <c r="II246" s="7"/>
      <c r="IJ246" s="7"/>
      <c r="IK246" s="7"/>
      <c r="IL246" s="7"/>
      <c r="IM246" s="7"/>
      <c r="IN246" s="7"/>
      <c r="IP246" s="7"/>
      <c r="IQ246" s="7"/>
      <c r="IR246" s="7"/>
      <c r="IS246" s="7"/>
      <c r="IT246" s="7"/>
      <c r="IU246" s="7"/>
      <c r="IV246" s="7"/>
      <c r="IW246" s="7"/>
      <c r="IX246" s="7"/>
      <c r="IY246" s="7"/>
      <c r="IZ246" s="7"/>
      <c r="JA246" s="7"/>
      <c r="JB246" s="7"/>
      <c r="JC246" s="7"/>
      <c r="JE246" s="7"/>
      <c r="JF246" s="7"/>
      <c r="JH246" s="7"/>
      <c r="JI246" s="7"/>
      <c r="JJ246" s="7"/>
      <c r="JK246" s="7"/>
      <c r="JL246" s="7"/>
      <c r="JM246" s="7"/>
      <c r="JO246" s="7"/>
      <c r="JP246" s="7"/>
      <c r="JQ246" s="7"/>
      <c r="JR246" s="7"/>
      <c r="JT246" s="7"/>
      <c r="JU246" s="7"/>
      <c r="JV246" s="7"/>
      <c r="JW246" s="7"/>
      <c r="JX246" s="7"/>
    </row>
    <row r="247" spans="3:284" x14ac:dyDescent="0.3">
      <c r="C247" s="7"/>
      <c r="D247" s="7"/>
      <c r="F247" s="7"/>
      <c r="G247" s="7"/>
      <c r="I247" s="7"/>
      <c r="J247" s="7"/>
      <c r="L247" s="7"/>
      <c r="M247" s="7"/>
      <c r="O247" s="7"/>
      <c r="P247" s="7"/>
      <c r="R247" s="7"/>
      <c r="S247" s="7"/>
      <c r="U247" s="7"/>
      <c r="V247" s="7"/>
      <c r="X247" s="7"/>
      <c r="Y247" s="7"/>
      <c r="AA247" s="7"/>
      <c r="AB247" s="7"/>
      <c r="AD247" s="7"/>
      <c r="AE247" s="7"/>
      <c r="AG247" s="7"/>
      <c r="AH247" s="7"/>
      <c r="AJ247" s="7"/>
      <c r="AK247" s="7"/>
      <c r="AM247" s="7"/>
      <c r="AN247" s="7"/>
      <c r="AP247" s="7"/>
      <c r="AQ247" s="7"/>
      <c r="AS247" s="7"/>
      <c r="AT247" s="7"/>
      <c r="AV247" s="7"/>
      <c r="AW247" s="7"/>
      <c r="AY247" s="7"/>
      <c r="AZ247" s="7"/>
      <c r="BB247" s="7"/>
      <c r="BC247" s="7"/>
      <c r="BE247" s="7"/>
      <c r="BF247" s="7"/>
      <c r="BH247" s="7"/>
      <c r="BI247" s="7"/>
      <c r="BK247" s="7"/>
      <c r="BL247" s="7"/>
      <c r="BN247" s="7"/>
      <c r="BO247" s="7"/>
      <c r="BQ247" s="7"/>
      <c r="BR247" s="7"/>
      <c r="BT247" s="7"/>
      <c r="BU247" s="7"/>
      <c r="BW247" s="7"/>
      <c r="BX247" s="7"/>
      <c r="BZ247" s="7"/>
      <c r="CA247" s="7"/>
      <c r="CC247" s="7"/>
      <c r="CD247" s="7"/>
      <c r="CF247" s="7"/>
      <c r="CG247" s="7"/>
      <c r="CI247" s="7"/>
      <c r="CJ247" s="7"/>
      <c r="CL247" s="7"/>
      <c r="CM247" s="7"/>
      <c r="CO247" s="7"/>
      <c r="CP247" s="7"/>
      <c r="CR247" s="7"/>
      <c r="CS247" s="7"/>
      <c r="CU247" s="7"/>
      <c r="CV247" s="7"/>
      <c r="CX247" s="7"/>
      <c r="CY247" s="7"/>
      <c r="DA247" s="7"/>
      <c r="DB247" s="7"/>
      <c r="DD247" s="7"/>
      <c r="DE247" s="7"/>
      <c r="DG247" s="7"/>
      <c r="DH247" s="7"/>
      <c r="DJ247" s="7"/>
      <c r="DK247" s="7"/>
      <c r="DM247" s="7"/>
      <c r="DN247" s="7"/>
      <c r="DP247" s="7"/>
      <c r="DQ247" s="7"/>
      <c r="DS247" s="7"/>
      <c r="DT247" s="7"/>
      <c r="DV247" s="7"/>
      <c r="DW247" s="7"/>
      <c r="DY247" s="7"/>
      <c r="DZ247" s="7"/>
      <c r="EB247" s="7"/>
      <c r="EC247" s="7"/>
      <c r="EE247" s="7"/>
      <c r="EF247" s="7"/>
      <c r="EH247" s="7"/>
      <c r="EI247" s="7"/>
      <c r="EK247" s="7"/>
      <c r="EL247" s="7"/>
      <c r="EN247" s="7"/>
      <c r="EO247" s="7"/>
      <c r="EQ247" s="7"/>
      <c r="ER247" s="7"/>
      <c r="ET247" s="7"/>
      <c r="EU247" s="7"/>
      <c r="EW247" s="7"/>
      <c r="EX247" s="7"/>
      <c r="EZ247" s="7"/>
      <c r="FA247" s="7"/>
      <c r="FC247" s="7"/>
      <c r="FD247" s="7"/>
      <c r="FF247" s="7"/>
      <c r="FG247" s="7"/>
      <c r="FI247" s="7"/>
      <c r="FJ247" s="7"/>
      <c r="FL247" s="7"/>
      <c r="FM247" s="7"/>
      <c r="FO247" s="7"/>
      <c r="FP247" s="7"/>
      <c r="FR247" s="7"/>
      <c r="FS247" s="7"/>
      <c r="FU247" s="7"/>
      <c r="FV247" s="7"/>
      <c r="FX247" s="7"/>
      <c r="FY247" s="7"/>
      <c r="GA247" s="7"/>
      <c r="GB247" s="7"/>
      <c r="GD247" s="7"/>
      <c r="GE247" s="7"/>
      <c r="GG247" s="7"/>
      <c r="GH247" s="7"/>
      <c r="GJ247" s="7"/>
      <c r="GK247" s="7"/>
      <c r="GV247" s="7"/>
      <c r="GW247" s="7"/>
      <c r="HE247" s="7"/>
      <c r="HF247" s="7"/>
      <c r="HH247" s="7"/>
      <c r="HI247" s="7"/>
      <c r="HQ247" s="7"/>
      <c r="HR247" s="7"/>
      <c r="HT247" s="7"/>
      <c r="HU247" s="7"/>
      <c r="IC247" s="7"/>
      <c r="ID247" s="7"/>
      <c r="IF247" s="7"/>
      <c r="IG247" s="7"/>
      <c r="II247" s="7"/>
      <c r="IJ247" s="7"/>
      <c r="IK247" s="7"/>
      <c r="IL247" s="7"/>
      <c r="IM247" s="7"/>
      <c r="IN247" s="7"/>
      <c r="IP247" s="7"/>
      <c r="IQ247" s="7"/>
      <c r="IR247" s="7"/>
      <c r="IS247" s="7"/>
      <c r="IT247" s="7"/>
      <c r="IU247" s="7"/>
      <c r="IV247" s="7"/>
      <c r="IW247" s="7"/>
      <c r="IX247" s="7"/>
      <c r="IY247" s="7"/>
      <c r="IZ247" s="7"/>
      <c r="JA247" s="7"/>
      <c r="JB247" s="7"/>
      <c r="JC247" s="7"/>
      <c r="JE247" s="7"/>
      <c r="JF247" s="7"/>
      <c r="JH247" s="7"/>
      <c r="JI247" s="7"/>
      <c r="JJ247" s="7"/>
      <c r="JK247" s="7"/>
      <c r="JL247" s="7"/>
      <c r="JM247" s="7"/>
      <c r="JO247" s="7"/>
      <c r="JP247" s="7"/>
      <c r="JQ247" s="7"/>
      <c r="JR247" s="7"/>
      <c r="JT247" s="7"/>
      <c r="JU247" s="7"/>
      <c r="JV247" s="7"/>
      <c r="JW247" s="7"/>
      <c r="JX247" s="7"/>
    </row>
    <row r="248" spans="3:284" x14ac:dyDescent="0.3">
      <c r="C248" s="7"/>
      <c r="D248" s="7"/>
      <c r="F248" s="7"/>
      <c r="G248" s="7"/>
      <c r="I248" s="7"/>
      <c r="J248" s="7"/>
      <c r="L248" s="7"/>
      <c r="M248" s="7"/>
      <c r="O248" s="7"/>
      <c r="P248" s="7"/>
      <c r="R248" s="7"/>
      <c r="S248" s="7"/>
      <c r="U248" s="7"/>
      <c r="V248" s="7"/>
      <c r="X248" s="7"/>
      <c r="Y248" s="7"/>
      <c r="AA248" s="7"/>
      <c r="AB248" s="7"/>
      <c r="AD248" s="7"/>
      <c r="AE248" s="7"/>
      <c r="AG248" s="7"/>
      <c r="AH248" s="7"/>
      <c r="AJ248" s="7"/>
      <c r="AK248" s="7"/>
      <c r="AM248" s="7"/>
      <c r="AN248" s="7"/>
      <c r="AP248" s="7"/>
      <c r="AQ248" s="7"/>
      <c r="AS248" s="7"/>
      <c r="AT248" s="7"/>
      <c r="AV248" s="7"/>
      <c r="AW248" s="7"/>
      <c r="AY248" s="7"/>
      <c r="AZ248" s="7"/>
      <c r="BB248" s="7"/>
      <c r="BC248" s="7"/>
      <c r="BE248" s="7"/>
      <c r="BF248" s="7"/>
      <c r="BH248" s="7"/>
      <c r="BI248" s="7"/>
      <c r="BK248" s="7"/>
      <c r="BL248" s="7"/>
      <c r="BN248" s="7"/>
      <c r="BO248" s="7"/>
      <c r="BQ248" s="7"/>
      <c r="BR248" s="7"/>
      <c r="BT248" s="7"/>
      <c r="BU248" s="7"/>
      <c r="BW248" s="7"/>
      <c r="BX248" s="7"/>
      <c r="BZ248" s="7"/>
      <c r="CA248" s="7"/>
      <c r="CC248" s="7"/>
      <c r="CD248" s="7"/>
      <c r="CF248" s="7"/>
      <c r="CG248" s="7"/>
      <c r="CI248" s="7"/>
      <c r="CJ248" s="7"/>
      <c r="CL248" s="7"/>
      <c r="CM248" s="7"/>
      <c r="CO248" s="7"/>
      <c r="CP248" s="7"/>
      <c r="CR248" s="7"/>
      <c r="CS248" s="7"/>
      <c r="CU248" s="7"/>
      <c r="CV248" s="7"/>
      <c r="CX248" s="7"/>
      <c r="CY248" s="7"/>
      <c r="DA248" s="7"/>
      <c r="DB248" s="7"/>
      <c r="DD248" s="7"/>
      <c r="DE248" s="7"/>
      <c r="DG248" s="7"/>
      <c r="DH248" s="7"/>
      <c r="DJ248" s="7"/>
      <c r="DK248" s="7"/>
      <c r="DM248" s="7"/>
      <c r="DN248" s="7"/>
      <c r="DP248" s="7"/>
      <c r="DQ248" s="7"/>
      <c r="DS248" s="7"/>
      <c r="DT248" s="7"/>
      <c r="DV248" s="7"/>
      <c r="DW248" s="7"/>
      <c r="DY248" s="7"/>
      <c r="DZ248" s="7"/>
      <c r="EB248" s="7"/>
      <c r="EC248" s="7"/>
      <c r="EE248" s="7"/>
      <c r="EF248" s="7"/>
      <c r="EH248" s="7"/>
      <c r="EI248" s="7"/>
      <c r="EK248" s="7"/>
      <c r="EL248" s="7"/>
      <c r="EN248" s="7"/>
      <c r="EO248" s="7"/>
      <c r="EQ248" s="7"/>
      <c r="ER248" s="7"/>
      <c r="ET248" s="7"/>
      <c r="EU248" s="7"/>
      <c r="EW248" s="7"/>
      <c r="EX248" s="7"/>
      <c r="EZ248" s="7"/>
      <c r="FA248" s="7"/>
      <c r="FC248" s="7"/>
      <c r="FD248" s="7"/>
      <c r="FF248" s="7"/>
      <c r="FG248" s="7"/>
      <c r="FI248" s="7"/>
      <c r="FJ248" s="7"/>
      <c r="FL248" s="7"/>
      <c r="FM248" s="7"/>
      <c r="FO248" s="7"/>
      <c r="FP248" s="7"/>
      <c r="FR248" s="7"/>
      <c r="FS248" s="7"/>
      <c r="FU248" s="7"/>
      <c r="FV248" s="7"/>
      <c r="FX248" s="7"/>
      <c r="FY248" s="7"/>
      <c r="GA248" s="7"/>
      <c r="GB248" s="7"/>
      <c r="GD248" s="7"/>
      <c r="GE248" s="7"/>
      <c r="GG248" s="7"/>
      <c r="GH248" s="7"/>
      <c r="GJ248" s="7"/>
      <c r="GK248" s="7"/>
      <c r="GV248" s="7"/>
      <c r="GW248" s="7"/>
      <c r="HE248" s="7"/>
      <c r="HF248" s="7"/>
      <c r="HH248" s="7"/>
      <c r="HI248" s="7"/>
      <c r="HQ248" s="7"/>
      <c r="HR248" s="7"/>
      <c r="HT248" s="7"/>
      <c r="HU248" s="7"/>
      <c r="IC248" s="7"/>
      <c r="ID248" s="7"/>
      <c r="IF248" s="7"/>
      <c r="IG248" s="7"/>
      <c r="II248" s="7"/>
      <c r="IJ248" s="7"/>
      <c r="IK248" s="7"/>
      <c r="IL248" s="7"/>
      <c r="IM248" s="7"/>
      <c r="IN248" s="7"/>
      <c r="IP248" s="7"/>
      <c r="IQ248" s="7"/>
      <c r="IR248" s="7"/>
      <c r="IS248" s="7"/>
      <c r="IT248" s="7"/>
      <c r="IU248" s="7"/>
      <c r="IV248" s="7"/>
      <c r="IW248" s="7"/>
      <c r="IX248" s="7"/>
      <c r="IY248" s="7"/>
      <c r="IZ248" s="7"/>
      <c r="JA248" s="7"/>
      <c r="JB248" s="7"/>
      <c r="JC248" s="7"/>
      <c r="JE248" s="7"/>
      <c r="JF248" s="7"/>
      <c r="JH248" s="7"/>
      <c r="JI248" s="7"/>
      <c r="JJ248" s="7"/>
      <c r="JK248" s="7"/>
      <c r="JL248" s="7"/>
      <c r="JM248" s="7"/>
      <c r="JO248" s="7"/>
      <c r="JP248" s="7"/>
      <c r="JQ248" s="7"/>
      <c r="JR248" s="7"/>
      <c r="JT248" s="7"/>
      <c r="JU248" s="7"/>
      <c r="JV248" s="7"/>
      <c r="JW248" s="7"/>
      <c r="JX248" s="7"/>
    </row>
    <row r="249" spans="3:284" x14ac:dyDescent="0.3">
      <c r="C249" s="7"/>
      <c r="D249" s="7"/>
      <c r="F249" s="7"/>
      <c r="G249" s="7"/>
      <c r="I249" s="7"/>
      <c r="J249" s="7"/>
      <c r="L249" s="7"/>
      <c r="M249" s="7"/>
      <c r="O249" s="7"/>
      <c r="P249" s="7"/>
      <c r="R249" s="7"/>
      <c r="S249" s="7"/>
      <c r="U249" s="7"/>
      <c r="V249" s="7"/>
      <c r="X249" s="7"/>
      <c r="Y249" s="7"/>
      <c r="AA249" s="7"/>
      <c r="AB249" s="7"/>
      <c r="AD249" s="7"/>
      <c r="AE249" s="7"/>
      <c r="AG249" s="7"/>
      <c r="AH249" s="7"/>
      <c r="AJ249" s="7"/>
      <c r="AK249" s="7"/>
      <c r="AM249" s="7"/>
      <c r="AN249" s="7"/>
      <c r="AP249" s="7"/>
      <c r="AQ249" s="7"/>
      <c r="AS249" s="7"/>
      <c r="AT249" s="7"/>
      <c r="AV249" s="7"/>
      <c r="AW249" s="7"/>
      <c r="AY249" s="7"/>
      <c r="AZ249" s="7"/>
      <c r="BB249" s="7"/>
      <c r="BC249" s="7"/>
      <c r="BE249" s="7"/>
      <c r="BF249" s="7"/>
      <c r="BH249" s="7"/>
      <c r="BI249" s="7"/>
      <c r="BK249" s="7"/>
      <c r="BL249" s="7"/>
      <c r="BN249" s="7"/>
      <c r="BO249" s="7"/>
      <c r="BQ249" s="7"/>
      <c r="BR249" s="7"/>
      <c r="BT249" s="7"/>
      <c r="BU249" s="7"/>
      <c r="BW249" s="7"/>
      <c r="BX249" s="7"/>
      <c r="BZ249" s="7"/>
      <c r="CA249" s="7"/>
      <c r="CC249" s="7"/>
      <c r="CD249" s="7"/>
      <c r="CF249" s="7"/>
      <c r="CG249" s="7"/>
      <c r="CI249" s="7"/>
      <c r="CJ249" s="7"/>
      <c r="CL249" s="7"/>
      <c r="CM249" s="7"/>
      <c r="CO249" s="7"/>
      <c r="CP249" s="7"/>
      <c r="CR249" s="7"/>
      <c r="CS249" s="7"/>
      <c r="CU249" s="7"/>
      <c r="CV249" s="7"/>
      <c r="CX249" s="7"/>
      <c r="CY249" s="7"/>
      <c r="DA249" s="7"/>
      <c r="DB249" s="7"/>
      <c r="DD249" s="7"/>
      <c r="DE249" s="7"/>
      <c r="DG249" s="7"/>
      <c r="DH249" s="7"/>
      <c r="DJ249" s="7"/>
      <c r="DK249" s="7"/>
      <c r="DM249" s="7"/>
      <c r="DN249" s="7"/>
      <c r="DP249" s="7"/>
      <c r="DQ249" s="7"/>
      <c r="DS249" s="7"/>
      <c r="DT249" s="7"/>
      <c r="DV249" s="7"/>
      <c r="DW249" s="7"/>
      <c r="DY249" s="7"/>
      <c r="DZ249" s="7"/>
      <c r="EB249" s="7"/>
      <c r="EC249" s="7"/>
      <c r="EE249" s="7"/>
      <c r="EF249" s="7"/>
      <c r="EH249" s="7"/>
      <c r="EI249" s="7"/>
      <c r="EK249" s="7"/>
      <c r="EL249" s="7"/>
      <c r="EN249" s="7"/>
      <c r="EO249" s="7"/>
      <c r="EQ249" s="7"/>
      <c r="ER249" s="7"/>
      <c r="ET249" s="7"/>
      <c r="EU249" s="7"/>
      <c r="EW249" s="7"/>
      <c r="EX249" s="7"/>
      <c r="EZ249" s="7"/>
      <c r="FA249" s="7"/>
      <c r="FC249" s="7"/>
      <c r="FD249" s="7"/>
      <c r="FF249" s="7"/>
      <c r="FG249" s="7"/>
      <c r="FI249" s="7"/>
      <c r="FJ249" s="7"/>
      <c r="FL249" s="7"/>
      <c r="FM249" s="7"/>
      <c r="FO249" s="7"/>
      <c r="FP249" s="7"/>
      <c r="FR249" s="7"/>
      <c r="FS249" s="7"/>
      <c r="FU249" s="7"/>
      <c r="FV249" s="7"/>
      <c r="FX249" s="7"/>
      <c r="FY249" s="7"/>
      <c r="GA249" s="7"/>
      <c r="GB249" s="7"/>
      <c r="GD249" s="7"/>
      <c r="GE249" s="7"/>
      <c r="GG249" s="7"/>
      <c r="GH249" s="7"/>
      <c r="GJ249" s="7"/>
      <c r="GK249" s="7"/>
      <c r="GV249" s="7"/>
      <c r="GW249" s="7"/>
      <c r="HE249" s="7"/>
      <c r="HF249" s="7"/>
      <c r="HH249" s="7"/>
      <c r="HI249" s="7"/>
      <c r="HQ249" s="7"/>
      <c r="HR249" s="7"/>
      <c r="HT249" s="7"/>
      <c r="HU249" s="7"/>
      <c r="IC249" s="7"/>
      <c r="ID249" s="7"/>
      <c r="IF249" s="7"/>
      <c r="IG249" s="7"/>
      <c r="II249" s="7"/>
      <c r="IJ249" s="7"/>
      <c r="IK249" s="7"/>
      <c r="IL249" s="7"/>
      <c r="IM249" s="7"/>
      <c r="IN249" s="7"/>
      <c r="IP249" s="7"/>
      <c r="IQ249" s="7"/>
      <c r="IR249" s="7"/>
      <c r="IS249" s="7"/>
      <c r="IT249" s="7"/>
      <c r="IU249" s="7"/>
      <c r="IV249" s="7"/>
      <c r="IW249" s="7"/>
      <c r="IX249" s="7"/>
      <c r="IY249" s="7"/>
      <c r="IZ249" s="7"/>
      <c r="JA249" s="7"/>
      <c r="JB249" s="7"/>
      <c r="JC249" s="7"/>
      <c r="JE249" s="7"/>
      <c r="JF249" s="7"/>
      <c r="JH249" s="7"/>
      <c r="JI249" s="7"/>
      <c r="JJ249" s="7"/>
      <c r="JK249" s="7"/>
      <c r="JL249" s="7"/>
      <c r="JM249" s="7"/>
      <c r="JO249" s="7"/>
      <c r="JP249" s="7"/>
      <c r="JQ249" s="7"/>
      <c r="JR249" s="7"/>
      <c r="JT249" s="7"/>
      <c r="JU249" s="7"/>
      <c r="JV249" s="7"/>
      <c r="JW249" s="7"/>
      <c r="JX249" s="7"/>
    </row>
    <row r="250" spans="3:284" x14ac:dyDescent="0.3">
      <c r="C250" s="7"/>
      <c r="D250" s="7"/>
      <c r="F250" s="7"/>
      <c r="G250" s="7"/>
      <c r="I250" s="7"/>
      <c r="J250" s="7"/>
      <c r="L250" s="7"/>
      <c r="M250" s="7"/>
      <c r="O250" s="7"/>
      <c r="P250" s="7"/>
      <c r="R250" s="7"/>
      <c r="S250" s="7"/>
      <c r="U250" s="7"/>
      <c r="V250" s="7"/>
      <c r="X250" s="7"/>
      <c r="Y250" s="7"/>
      <c r="AA250" s="7"/>
      <c r="AB250" s="7"/>
      <c r="AD250" s="7"/>
      <c r="AE250" s="7"/>
      <c r="AG250" s="7"/>
      <c r="AH250" s="7"/>
      <c r="AJ250" s="7"/>
      <c r="AK250" s="7"/>
      <c r="AM250" s="7"/>
      <c r="AN250" s="7"/>
      <c r="AP250" s="7"/>
      <c r="AQ250" s="7"/>
      <c r="AS250" s="7"/>
      <c r="AT250" s="7"/>
      <c r="AV250" s="7"/>
      <c r="AW250" s="7"/>
      <c r="AY250" s="7"/>
      <c r="AZ250" s="7"/>
      <c r="BB250" s="7"/>
      <c r="BC250" s="7"/>
      <c r="BE250" s="7"/>
      <c r="BF250" s="7"/>
      <c r="BH250" s="7"/>
      <c r="BI250" s="7"/>
      <c r="BK250" s="7"/>
      <c r="BL250" s="7"/>
      <c r="BN250" s="7"/>
      <c r="BO250" s="7"/>
      <c r="BQ250" s="7"/>
      <c r="BR250" s="7"/>
      <c r="BT250" s="7"/>
      <c r="BU250" s="7"/>
      <c r="BW250" s="7"/>
      <c r="BX250" s="7"/>
      <c r="BZ250" s="7"/>
      <c r="CA250" s="7"/>
      <c r="CC250" s="7"/>
      <c r="CD250" s="7"/>
      <c r="CF250" s="7"/>
      <c r="CG250" s="7"/>
      <c r="CI250" s="7"/>
      <c r="CJ250" s="7"/>
      <c r="CL250" s="7"/>
      <c r="CM250" s="7"/>
      <c r="CO250" s="7"/>
      <c r="CP250" s="7"/>
      <c r="CR250" s="7"/>
      <c r="CS250" s="7"/>
      <c r="CU250" s="7"/>
      <c r="CV250" s="7"/>
      <c r="CX250" s="7"/>
      <c r="CY250" s="7"/>
      <c r="DA250" s="7"/>
      <c r="DB250" s="7"/>
      <c r="DD250" s="7"/>
      <c r="DE250" s="7"/>
      <c r="DG250" s="7"/>
      <c r="DH250" s="7"/>
      <c r="DJ250" s="7"/>
      <c r="DK250" s="7"/>
      <c r="DM250" s="7"/>
      <c r="DN250" s="7"/>
      <c r="DP250" s="7"/>
      <c r="DQ250" s="7"/>
      <c r="DS250" s="7"/>
      <c r="DT250" s="7"/>
      <c r="DV250" s="7"/>
      <c r="DW250" s="7"/>
      <c r="DY250" s="7"/>
      <c r="DZ250" s="7"/>
      <c r="EB250" s="7"/>
      <c r="EC250" s="7"/>
      <c r="EE250" s="7"/>
      <c r="EF250" s="7"/>
      <c r="EH250" s="7"/>
      <c r="EI250" s="7"/>
      <c r="EK250" s="7"/>
      <c r="EL250" s="7"/>
      <c r="EN250" s="7"/>
      <c r="EO250" s="7"/>
      <c r="EQ250" s="7"/>
      <c r="ER250" s="7"/>
      <c r="ET250" s="7"/>
      <c r="EU250" s="7"/>
      <c r="EW250" s="7"/>
      <c r="EX250" s="7"/>
      <c r="EZ250" s="7"/>
      <c r="FA250" s="7"/>
      <c r="FC250" s="7"/>
      <c r="FD250" s="7"/>
      <c r="FF250" s="7"/>
      <c r="FG250" s="7"/>
      <c r="FI250" s="7"/>
      <c r="FJ250" s="7"/>
      <c r="FL250" s="7"/>
      <c r="FM250" s="7"/>
      <c r="FO250" s="7"/>
      <c r="FP250" s="7"/>
      <c r="FR250" s="7"/>
      <c r="FS250" s="7"/>
      <c r="FU250" s="7"/>
      <c r="FV250" s="7"/>
      <c r="FX250" s="7"/>
      <c r="FY250" s="7"/>
      <c r="GA250" s="7"/>
      <c r="GB250" s="7"/>
      <c r="GD250" s="7"/>
      <c r="GE250" s="7"/>
      <c r="GG250" s="7"/>
      <c r="GH250" s="7"/>
      <c r="GJ250" s="7"/>
      <c r="GK250" s="7"/>
      <c r="GV250" s="7"/>
      <c r="GW250" s="7"/>
      <c r="HE250" s="7"/>
      <c r="HF250" s="7"/>
      <c r="HH250" s="7"/>
      <c r="HI250" s="7"/>
      <c r="HQ250" s="7"/>
      <c r="HR250" s="7"/>
      <c r="HT250" s="7"/>
      <c r="HU250" s="7"/>
      <c r="IC250" s="7"/>
      <c r="ID250" s="7"/>
      <c r="IF250" s="7"/>
      <c r="IG250" s="7"/>
      <c r="II250" s="7"/>
      <c r="IJ250" s="7"/>
      <c r="IK250" s="7"/>
      <c r="IL250" s="7"/>
      <c r="IM250" s="7"/>
      <c r="IN250" s="7"/>
      <c r="IP250" s="7"/>
      <c r="IQ250" s="7"/>
      <c r="IR250" s="7"/>
      <c r="IS250" s="7"/>
      <c r="IT250" s="7"/>
      <c r="IU250" s="7"/>
      <c r="IV250" s="7"/>
      <c r="IW250" s="7"/>
      <c r="IX250" s="7"/>
      <c r="IY250" s="7"/>
      <c r="IZ250" s="7"/>
      <c r="JA250" s="7"/>
      <c r="JB250" s="7"/>
      <c r="JC250" s="7"/>
      <c r="JE250" s="7"/>
      <c r="JF250" s="7"/>
      <c r="JH250" s="7"/>
      <c r="JI250" s="7"/>
      <c r="JJ250" s="7"/>
      <c r="JK250" s="7"/>
      <c r="JL250" s="7"/>
      <c r="JM250" s="7"/>
      <c r="JO250" s="7"/>
      <c r="JP250" s="7"/>
      <c r="JQ250" s="7"/>
      <c r="JR250" s="7"/>
      <c r="JT250" s="7"/>
      <c r="JU250" s="7"/>
      <c r="JV250" s="7"/>
      <c r="JW250" s="7"/>
      <c r="JX250" s="7"/>
    </row>
    <row r="251" spans="3:284" x14ac:dyDescent="0.3">
      <c r="C251" s="7"/>
      <c r="D251" s="7"/>
      <c r="F251" s="7"/>
      <c r="G251" s="7"/>
      <c r="I251" s="7"/>
      <c r="J251" s="7"/>
      <c r="L251" s="7"/>
      <c r="M251" s="7"/>
      <c r="O251" s="7"/>
      <c r="P251" s="7"/>
      <c r="R251" s="7"/>
      <c r="S251" s="7"/>
      <c r="U251" s="7"/>
      <c r="V251" s="7"/>
      <c r="X251" s="7"/>
      <c r="Y251" s="7"/>
      <c r="AA251" s="7"/>
      <c r="AB251" s="7"/>
      <c r="AD251" s="7"/>
      <c r="AE251" s="7"/>
      <c r="AG251" s="7"/>
      <c r="AH251" s="7"/>
      <c r="AJ251" s="7"/>
      <c r="AK251" s="7"/>
      <c r="AM251" s="7"/>
      <c r="AN251" s="7"/>
      <c r="AP251" s="7"/>
      <c r="AQ251" s="7"/>
      <c r="AS251" s="7"/>
      <c r="AT251" s="7"/>
      <c r="AV251" s="7"/>
      <c r="AW251" s="7"/>
      <c r="AY251" s="7"/>
      <c r="AZ251" s="7"/>
      <c r="BB251" s="7"/>
      <c r="BC251" s="7"/>
      <c r="BE251" s="7"/>
      <c r="BF251" s="7"/>
      <c r="BH251" s="7"/>
      <c r="BI251" s="7"/>
      <c r="BK251" s="7"/>
      <c r="BL251" s="7"/>
      <c r="BN251" s="7"/>
      <c r="BO251" s="7"/>
      <c r="BQ251" s="7"/>
      <c r="BR251" s="7"/>
      <c r="BT251" s="7"/>
      <c r="BU251" s="7"/>
      <c r="BW251" s="7"/>
      <c r="BX251" s="7"/>
      <c r="BZ251" s="7"/>
      <c r="CA251" s="7"/>
      <c r="CC251" s="7"/>
      <c r="CD251" s="7"/>
      <c r="CF251" s="7"/>
      <c r="CG251" s="7"/>
      <c r="CI251" s="7"/>
      <c r="CJ251" s="7"/>
      <c r="CL251" s="7"/>
      <c r="CM251" s="7"/>
      <c r="CO251" s="7"/>
      <c r="CP251" s="7"/>
      <c r="CR251" s="7"/>
      <c r="CS251" s="7"/>
      <c r="CU251" s="7"/>
      <c r="CV251" s="7"/>
      <c r="CX251" s="7"/>
      <c r="CY251" s="7"/>
      <c r="DA251" s="7"/>
      <c r="DB251" s="7"/>
      <c r="DD251" s="7"/>
      <c r="DE251" s="7"/>
      <c r="DG251" s="7"/>
      <c r="DH251" s="7"/>
      <c r="DJ251" s="7"/>
      <c r="DK251" s="7"/>
      <c r="DM251" s="7"/>
      <c r="DN251" s="7"/>
      <c r="DP251" s="7"/>
      <c r="DQ251" s="7"/>
      <c r="DS251" s="7"/>
      <c r="DT251" s="7"/>
      <c r="DV251" s="7"/>
      <c r="DW251" s="7"/>
      <c r="DY251" s="7"/>
      <c r="DZ251" s="7"/>
      <c r="EB251" s="7"/>
      <c r="EC251" s="7"/>
      <c r="EE251" s="7"/>
      <c r="EF251" s="7"/>
      <c r="EH251" s="7"/>
      <c r="EI251" s="7"/>
      <c r="EK251" s="7"/>
      <c r="EL251" s="7"/>
      <c r="EN251" s="7"/>
      <c r="EO251" s="7"/>
      <c r="EQ251" s="7"/>
      <c r="ER251" s="7"/>
      <c r="ET251" s="7"/>
      <c r="EU251" s="7"/>
      <c r="EW251" s="7"/>
      <c r="EX251" s="7"/>
      <c r="EZ251" s="7"/>
      <c r="FA251" s="7"/>
      <c r="FC251" s="7"/>
      <c r="FD251" s="7"/>
      <c r="FF251" s="7"/>
      <c r="FG251" s="7"/>
      <c r="FI251" s="7"/>
      <c r="FJ251" s="7"/>
      <c r="FL251" s="7"/>
      <c r="FM251" s="7"/>
      <c r="FO251" s="7"/>
      <c r="FP251" s="7"/>
      <c r="FR251" s="7"/>
      <c r="FS251" s="7"/>
      <c r="FU251" s="7"/>
      <c r="FV251" s="7"/>
      <c r="FX251" s="7"/>
      <c r="FY251" s="7"/>
      <c r="GA251" s="7"/>
      <c r="GB251" s="7"/>
      <c r="GD251" s="7"/>
      <c r="GE251" s="7"/>
      <c r="GG251" s="7"/>
      <c r="GH251" s="7"/>
      <c r="GJ251" s="7"/>
      <c r="GK251" s="7"/>
      <c r="GV251" s="7"/>
      <c r="GW251" s="7"/>
      <c r="HE251" s="7"/>
      <c r="HF251" s="7"/>
      <c r="HH251" s="7"/>
      <c r="HI251" s="7"/>
      <c r="HQ251" s="7"/>
      <c r="HR251" s="7"/>
      <c r="HT251" s="7"/>
      <c r="HU251" s="7"/>
      <c r="IC251" s="7"/>
      <c r="ID251" s="7"/>
      <c r="IF251" s="7"/>
      <c r="IG251" s="7"/>
      <c r="II251" s="7"/>
      <c r="IJ251" s="7"/>
      <c r="IK251" s="7"/>
      <c r="IL251" s="7"/>
      <c r="IM251" s="7"/>
      <c r="IN251" s="7"/>
      <c r="IP251" s="7"/>
      <c r="IQ251" s="7"/>
      <c r="IR251" s="7"/>
      <c r="IS251" s="7"/>
      <c r="IT251" s="7"/>
      <c r="IU251" s="7"/>
      <c r="IV251" s="7"/>
      <c r="IW251" s="7"/>
      <c r="IX251" s="7"/>
      <c r="IY251" s="7"/>
      <c r="IZ251" s="7"/>
      <c r="JA251" s="7"/>
      <c r="JB251" s="7"/>
      <c r="JC251" s="7"/>
      <c r="JE251" s="7"/>
      <c r="JF251" s="7"/>
      <c r="JH251" s="7"/>
      <c r="JI251" s="7"/>
      <c r="JJ251" s="7"/>
      <c r="JK251" s="7"/>
      <c r="JL251" s="7"/>
      <c r="JM251" s="7"/>
      <c r="JO251" s="7"/>
      <c r="JP251" s="7"/>
      <c r="JQ251" s="7"/>
      <c r="JR251" s="7"/>
      <c r="JT251" s="7"/>
      <c r="JU251" s="7"/>
      <c r="JV251" s="7"/>
      <c r="JW251" s="7"/>
      <c r="JX251" s="7"/>
    </row>
    <row r="252" spans="3:284" x14ac:dyDescent="0.3">
      <c r="C252" s="7"/>
      <c r="D252" s="7"/>
      <c r="F252" s="7"/>
      <c r="G252" s="7"/>
      <c r="I252" s="7"/>
      <c r="J252" s="7"/>
      <c r="L252" s="7"/>
      <c r="M252" s="7"/>
      <c r="O252" s="7"/>
      <c r="P252" s="7"/>
      <c r="R252" s="7"/>
      <c r="S252" s="7"/>
      <c r="U252" s="7"/>
      <c r="V252" s="7"/>
      <c r="X252" s="7"/>
      <c r="Y252" s="7"/>
      <c r="AA252" s="7"/>
      <c r="AB252" s="7"/>
      <c r="AD252" s="7"/>
      <c r="AE252" s="7"/>
      <c r="AG252" s="7"/>
      <c r="AH252" s="7"/>
      <c r="AJ252" s="7"/>
      <c r="AK252" s="7"/>
      <c r="AM252" s="7"/>
      <c r="AN252" s="7"/>
      <c r="AP252" s="7"/>
      <c r="AQ252" s="7"/>
      <c r="AS252" s="7"/>
      <c r="AT252" s="7"/>
      <c r="AV252" s="7"/>
      <c r="AW252" s="7"/>
      <c r="AY252" s="7"/>
      <c r="AZ252" s="7"/>
      <c r="BB252" s="7"/>
      <c r="BC252" s="7"/>
      <c r="BE252" s="7"/>
      <c r="BF252" s="7"/>
      <c r="BH252" s="7"/>
      <c r="BI252" s="7"/>
      <c r="BK252" s="7"/>
      <c r="BL252" s="7"/>
      <c r="BN252" s="7"/>
      <c r="BO252" s="7"/>
      <c r="BQ252" s="7"/>
      <c r="BR252" s="7"/>
      <c r="BT252" s="7"/>
      <c r="BU252" s="7"/>
      <c r="BW252" s="7"/>
      <c r="BX252" s="7"/>
      <c r="BZ252" s="7"/>
      <c r="CA252" s="7"/>
      <c r="CC252" s="7"/>
      <c r="CD252" s="7"/>
      <c r="CF252" s="7"/>
      <c r="CG252" s="7"/>
      <c r="CI252" s="7"/>
      <c r="CJ252" s="7"/>
      <c r="CL252" s="7"/>
      <c r="CM252" s="7"/>
      <c r="CO252" s="7"/>
      <c r="CP252" s="7"/>
      <c r="CR252" s="7"/>
      <c r="CS252" s="7"/>
      <c r="CU252" s="7"/>
      <c r="CV252" s="7"/>
      <c r="CX252" s="7"/>
      <c r="CY252" s="7"/>
      <c r="DA252" s="7"/>
      <c r="DB252" s="7"/>
      <c r="DD252" s="7"/>
      <c r="DE252" s="7"/>
      <c r="DG252" s="7"/>
      <c r="DH252" s="7"/>
      <c r="DJ252" s="7"/>
      <c r="DK252" s="7"/>
      <c r="DM252" s="7"/>
      <c r="DN252" s="7"/>
      <c r="DP252" s="7"/>
      <c r="DQ252" s="7"/>
      <c r="DS252" s="7"/>
      <c r="DT252" s="7"/>
      <c r="DV252" s="7"/>
      <c r="DW252" s="7"/>
      <c r="DY252" s="7"/>
      <c r="DZ252" s="7"/>
      <c r="EB252" s="7"/>
      <c r="EC252" s="7"/>
      <c r="EE252" s="7"/>
      <c r="EF252" s="7"/>
      <c r="EH252" s="7"/>
      <c r="EI252" s="7"/>
      <c r="EK252" s="7"/>
      <c r="EL252" s="7"/>
      <c r="EN252" s="7"/>
      <c r="EO252" s="7"/>
      <c r="EQ252" s="7"/>
      <c r="ER252" s="7"/>
      <c r="ET252" s="7"/>
      <c r="EU252" s="7"/>
      <c r="EW252" s="7"/>
      <c r="EX252" s="7"/>
      <c r="EZ252" s="7"/>
      <c r="FA252" s="7"/>
      <c r="FC252" s="7"/>
      <c r="FD252" s="7"/>
      <c r="FF252" s="7"/>
      <c r="FG252" s="7"/>
      <c r="FI252" s="7"/>
      <c r="FJ252" s="7"/>
      <c r="FL252" s="7"/>
      <c r="FM252" s="7"/>
      <c r="FO252" s="7"/>
      <c r="FP252" s="7"/>
      <c r="FR252" s="7"/>
      <c r="FS252" s="7"/>
      <c r="FU252" s="7"/>
      <c r="FV252" s="7"/>
      <c r="FX252" s="7"/>
      <c r="FY252" s="7"/>
      <c r="GA252" s="7"/>
      <c r="GB252" s="7"/>
      <c r="GD252" s="7"/>
      <c r="GE252" s="7"/>
      <c r="GG252" s="7"/>
      <c r="GH252" s="7"/>
      <c r="GJ252" s="7"/>
      <c r="GK252" s="7"/>
      <c r="GV252" s="7"/>
      <c r="GW252" s="7"/>
      <c r="HE252" s="7"/>
      <c r="HF252" s="7"/>
      <c r="HH252" s="7"/>
      <c r="HI252" s="7"/>
      <c r="HQ252" s="7"/>
      <c r="HR252" s="7"/>
      <c r="HT252" s="7"/>
      <c r="HU252" s="7"/>
      <c r="IC252" s="7"/>
      <c r="ID252" s="7"/>
      <c r="IF252" s="7"/>
      <c r="IG252" s="7"/>
      <c r="II252" s="7"/>
      <c r="IJ252" s="7"/>
      <c r="IK252" s="7"/>
      <c r="IL252" s="7"/>
      <c r="IM252" s="7"/>
      <c r="IN252" s="7"/>
      <c r="IP252" s="7"/>
      <c r="IQ252" s="7"/>
      <c r="IR252" s="7"/>
      <c r="IS252" s="7"/>
      <c r="IT252" s="7"/>
      <c r="IU252" s="7"/>
      <c r="IV252" s="7"/>
      <c r="IW252" s="7"/>
      <c r="IX252" s="7"/>
      <c r="IY252" s="7"/>
      <c r="IZ252" s="7"/>
      <c r="JA252" s="7"/>
      <c r="JB252" s="7"/>
      <c r="JC252" s="7"/>
      <c r="JE252" s="7"/>
      <c r="JF252" s="7"/>
      <c r="JH252" s="7"/>
      <c r="JI252" s="7"/>
      <c r="JJ252" s="7"/>
      <c r="JK252" s="7"/>
      <c r="JL252" s="7"/>
      <c r="JM252" s="7"/>
      <c r="JO252" s="7"/>
      <c r="JP252" s="7"/>
      <c r="JQ252" s="7"/>
      <c r="JR252" s="7"/>
      <c r="JT252" s="7"/>
      <c r="JU252" s="7"/>
      <c r="JV252" s="7"/>
      <c r="JW252" s="7"/>
      <c r="JX252" s="7"/>
    </row>
    <row r="253" spans="3:284" x14ac:dyDescent="0.3">
      <c r="C253" s="7"/>
      <c r="D253" s="7"/>
      <c r="F253" s="7"/>
      <c r="G253" s="7"/>
      <c r="I253" s="7"/>
      <c r="J253" s="7"/>
      <c r="L253" s="7"/>
      <c r="M253" s="7"/>
      <c r="O253" s="7"/>
      <c r="P253" s="7"/>
      <c r="R253" s="7"/>
      <c r="S253" s="7"/>
      <c r="U253" s="7"/>
      <c r="V253" s="7"/>
      <c r="X253" s="7"/>
      <c r="Y253" s="7"/>
      <c r="AA253" s="7"/>
      <c r="AB253" s="7"/>
      <c r="AD253" s="7"/>
      <c r="AE253" s="7"/>
      <c r="AG253" s="7"/>
      <c r="AH253" s="7"/>
      <c r="AJ253" s="7"/>
      <c r="AK253" s="7"/>
      <c r="AM253" s="7"/>
      <c r="AN253" s="7"/>
      <c r="AP253" s="7"/>
      <c r="AQ253" s="7"/>
      <c r="AS253" s="7"/>
      <c r="AT253" s="7"/>
      <c r="AV253" s="7"/>
      <c r="AW253" s="7"/>
      <c r="AY253" s="7"/>
      <c r="AZ253" s="7"/>
      <c r="BB253" s="7"/>
      <c r="BC253" s="7"/>
      <c r="BE253" s="7"/>
      <c r="BF253" s="7"/>
      <c r="BH253" s="7"/>
      <c r="BI253" s="7"/>
      <c r="BK253" s="7"/>
      <c r="BL253" s="7"/>
      <c r="BN253" s="7"/>
      <c r="BO253" s="7"/>
      <c r="BQ253" s="7"/>
      <c r="BR253" s="7"/>
      <c r="BT253" s="7"/>
      <c r="BU253" s="7"/>
      <c r="BW253" s="7"/>
      <c r="BX253" s="7"/>
      <c r="BZ253" s="7"/>
      <c r="CA253" s="7"/>
      <c r="CC253" s="7"/>
      <c r="CD253" s="7"/>
      <c r="CF253" s="7"/>
      <c r="CG253" s="7"/>
      <c r="CI253" s="7"/>
      <c r="CJ253" s="7"/>
      <c r="CL253" s="7"/>
      <c r="CM253" s="7"/>
      <c r="CO253" s="7"/>
      <c r="CP253" s="7"/>
      <c r="CR253" s="7"/>
      <c r="CS253" s="7"/>
      <c r="CU253" s="7"/>
      <c r="CV253" s="7"/>
      <c r="CX253" s="7"/>
      <c r="CY253" s="7"/>
      <c r="DA253" s="7"/>
      <c r="DB253" s="7"/>
      <c r="DD253" s="7"/>
      <c r="DE253" s="7"/>
      <c r="DG253" s="7"/>
      <c r="DH253" s="7"/>
      <c r="DJ253" s="7"/>
      <c r="DK253" s="7"/>
      <c r="DM253" s="7"/>
      <c r="DN253" s="7"/>
      <c r="DP253" s="7"/>
      <c r="DQ253" s="7"/>
      <c r="DS253" s="7"/>
      <c r="DT253" s="7"/>
      <c r="DV253" s="7"/>
      <c r="DW253" s="7"/>
      <c r="DY253" s="7"/>
      <c r="DZ253" s="7"/>
      <c r="EB253" s="7"/>
      <c r="EC253" s="7"/>
      <c r="EE253" s="7"/>
      <c r="EF253" s="7"/>
      <c r="EH253" s="7"/>
      <c r="EI253" s="7"/>
      <c r="EK253" s="7"/>
      <c r="EL253" s="7"/>
      <c r="EN253" s="7"/>
      <c r="EO253" s="7"/>
      <c r="EQ253" s="7"/>
      <c r="ER253" s="7"/>
      <c r="ET253" s="7"/>
      <c r="EU253" s="7"/>
      <c r="EW253" s="7"/>
      <c r="EX253" s="7"/>
      <c r="EZ253" s="7"/>
      <c r="FA253" s="7"/>
      <c r="FC253" s="7"/>
      <c r="FD253" s="7"/>
      <c r="FF253" s="7"/>
      <c r="FG253" s="7"/>
      <c r="FI253" s="7"/>
      <c r="FJ253" s="7"/>
      <c r="FL253" s="7"/>
      <c r="FM253" s="7"/>
      <c r="FO253" s="7"/>
      <c r="FP253" s="7"/>
      <c r="FR253" s="7"/>
      <c r="FS253" s="7"/>
      <c r="FU253" s="7"/>
      <c r="FV253" s="7"/>
      <c r="FX253" s="7"/>
      <c r="FY253" s="7"/>
      <c r="GA253" s="7"/>
      <c r="GB253" s="7"/>
      <c r="GD253" s="7"/>
      <c r="GE253" s="7"/>
      <c r="GG253" s="7"/>
      <c r="GH253" s="7"/>
      <c r="GJ253" s="7"/>
      <c r="GK253" s="7"/>
      <c r="GV253" s="7"/>
      <c r="GW253" s="7"/>
      <c r="HE253" s="7"/>
      <c r="HF253" s="7"/>
      <c r="HH253" s="7"/>
      <c r="HI253" s="7"/>
      <c r="HQ253" s="7"/>
      <c r="HR253" s="7"/>
      <c r="HT253" s="7"/>
      <c r="HU253" s="7"/>
      <c r="IC253" s="7"/>
      <c r="ID253" s="7"/>
      <c r="IF253" s="7"/>
      <c r="IG253" s="7"/>
      <c r="II253" s="7"/>
      <c r="IJ253" s="7"/>
      <c r="IK253" s="7"/>
      <c r="IL253" s="7"/>
      <c r="IM253" s="7"/>
      <c r="IN253" s="7"/>
      <c r="IP253" s="7"/>
      <c r="IQ253" s="7"/>
      <c r="IR253" s="7"/>
      <c r="IS253" s="7"/>
      <c r="IT253" s="7"/>
      <c r="IU253" s="7"/>
      <c r="IV253" s="7"/>
      <c r="IW253" s="7"/>
      <c r="IX253" s="7"/>
      <c r="IY253" s="7"/>
      <c r="IZ253" s="7"/>
      <c r="JA253" s="7"/>
      <c r="JB253" s="7"/>
      <c r="JC253" s="7"/>
      <c r="JE253" s="7"/>
      <c r="JF253" s="7"/>
      <c r="JH253" s="7"/>
      <c r="JI253" s="7"/>
      <c r="JJ253" s="7"/>
      <c r="JK253" s="7"/>
      <c r="JL253" s="7"/>
      <c r="JM253" s="7"/>
      <c r="JO253" s="7"/>
      <c r="JP253" s="7"/>
      <c r="JQ253" s="7"/>
      <c r="JR253" s="7"/>
      <c r="JT253" s="7"/>
      <c r="JU253" s="7"/>
      <c r="JV253" s="7"/>
      <c r="JW253" s="7"/>
      <c r="JX253" s="7"/>
    </row>
    <row r="254" spans="3:284" x14ac:dyDescent="0.3">
      <c r="C254" s="7"/>
      <c r="D254" s="7"/>
      <c r="F254" s="7"/>
      <c r="G254" s="7"/>
      <c r="I254" s="7"/>
      <c r="J254" s="7"/>
      <c r="L254" s="7"/>
      <c r="M254" s="7"/>
      <c r="O254" s="7"/>
      <c r="P254" s="7"/>
      <c r="R254" s="7"/>
      <c r="S254" s="7"/>
      <c r="U254" s="7"/>
      <c r="V254" s="7"/>
      <c r="X254" s="7"/>
      <c r="Y254" s="7"/>
      <c r="AA254" s="7"/>
      <c r="AB254" s="7"/>
      <c r="AD254" s="7"/>
      <c r="AE254" s="7"/>
      <c r="AG254" s="7"/>
      <c r="AH254" s="7"/>
      <c r="AJ254" s="7"/>
      <c r="AK254" s="7"/>
      <c r="AM254" s="7"/>
      <c r="AN254" s="7"/>
      <c r="AP254" s="7"/>
      <c r="AQ254" s="7"/>
      <c r="AS254" s="7"/>
      <c r="AT254" s="7"/>
      <c r="AV254" s="7"/>
      <c r="AW254" s="7"/>
      <c r="AY254" s="7"/>
      <c r="AZ254" s="7"/>
      <c r="BB254" s="7"/>
      <c r="BC254" s="7"/>
      <c r="BE254" s="7"/>
      <c r="BF254" s="7"/>
      <c r="BH254" s="7"/>
      <c r="BI254" s="7"/>
      <c r="BK254" s="7"/>
      <c r="BL254" s="7"/>
      <c r="BN254" s="7"/>
      <c r="BO254" s="7"/>
      <c r="BQ254" s="7"/>
      <c r="BR254" s="7"/>
      <c r="BT254" s="7"/>
      <c r="BU254" s="7"/>
      <c r="BW254" s="7"/>
      <c r="BX254" s="7"/>
      <c r="BZ254" s="7"/>
      <c r="CA254" s="7"/>
      <c r="CC254" s="7"/>
      <c r="CD254" s="7"/>
      <c r="CF254" s="7"/>
      <c r="CG254" s="7"/>
      <c r="CI254" s="7"/>
      <c r="CJ254" s="7"/>
      <c r="CL254" s="7"/>
      <c r="CM254" s="7"/>
      <c r="CO254" s="7"/>
      <c r="CP254" s="7"/>
      <c r="CR254" s="7"/>
      <c r="CS254" s="7"/>
      <c r="CU254" s="7"/>
      <c r="CV254" s="7"/>
      <c r="CX254" s="7"/>
      <c r="CY254" s="7"/>
      <c r="DA254" s="7"/>
      <c r="DB254" s="7"/>
      <c r="DD254" s="7"/>
      <c r="DE254" s="7"/>
      <c r="DG254" s="7"/>
      <c r="DH254" s="7"/>
      <c r="DJ254" s="7"/>
      <c r="DK254" s="7"/>
      <c r="DM254" s="7"/>
      <c r="DN254" s="7"/>
      <c r="DP254" s="7"/>
      <c r="DQ254" s="7"/>
      <c r="DS254" s="7"/>
      <c r="DT254" s="7"/>
      <c r="DV254" s="7"/>
      <c r="DW254" s="7"/>
      <c r="DY254" s="7"/>
      <c r="DZ254" s="7"/>
      <c r="EB254" s="7"/>
      <c r="EC254" s="7"/>
      <c r="EE254" s="7"/>
      <c r="EF254" s="7"/>
      <c r="EH254" s="7"/>
      <c r="EI254" s="7"/>
      <c r="EK254" s="7"/>
      <c r="EL254" s="7"/>
      <c r="EN254" s="7"/>
      <c r="EO254" s="7"/>
      <c r="EQ254" s="7"/>
      <c r="ER254" s="7"/>
      <c r="ET254" s="7"/>
      <c r="EU254" s="7"/>
      <c r="EW254" s="7"/>
      <c r="EX254" s="7"/>
      <c r="EZ254" s="7"/>
      <c r="FA254" s="7"/>
      <c r="FC254" s="7"/>
      <c r="FD254" s="7"/>
      <c r="FF254" s="7"/>
      <c r="FG254" s="7"/>
      <c r="FI254" s="7"/>
      <c r="FJ254" s="7"/>
      <c r="FL254" s="7"/>
      <c r="FM254" s="7"/>
      <c r="FO254" s="7"/>
      <c r="FP254" s="7"/>
      <c r="FR254" s="7"/>
      <c r="FS254" s="7"/>
      <c r="FU254" s="7"/>
      <c r="FV254" s="7"/>
      <c r="FX254" s="7"/>
      <c r="FY254" s="7"/>
      <c r="GA254" s="7"/>
      <c r="GB254" s="7"/>
      <c r="GD254" s="7"/>
      <c r="GE254" s="7"/>
      <c r="GG254" s="7"/>
      <c r="GH254" s="7"/>
      <c r="GJ254" s="7"/>
      <c r="GK254" s="7"/>
      <c r="GV254" s="7"/>
      <c r="GW254" s="7"/>
      <c r="HE254" s="7"/>
      <c r="HF254" s="7"/>
      <c r="HH254" s="7"/>
      <c r="HI254" s="7"/>
      <c r="HQ254" s="7"/>
      <c r="HR254" s="7"/>
      <c r="HT254" s="7"/>
      <c r="HU254" s="7"/>
      <c r="IC254" s="7"/>
      <c r="ID254" s="7"/>
      <c r="IF254" s="7"/>
      <c r="IG254" s="7"/>
      <c r="II254" s="7"/>
      <c r="IJ254" s="7"/>
      <c r="IK254" s="7"/>
      <c r="IL254" s="7"/>
      <c r="IM254" s="7"/>
      <c r="IN254" s="7"/>
      <c r="IP254" s="7"/>
      <c r="IQ254" s="7"/>
      <c r="IR254" s="7"/>
      <c r="IS254" s="7"/>
      <c r="IT254" s="7"/>
      <c r="IU254" s="7"/>
      <c r="IV254" s="7"/>
      <c r="IW254" s="7"/>
      <c r="IX254" s="7"/>
      <c r="IY254" s="7"/>
      <c r="IZ254" s="7"/>
      <c r="JA254" s="7"/>
      <c r="JB254" s="7"/>
      <c r="JC254" s="7"/>
      <c r="JE254" s="7"/>
      <c r="JF254" s="7"/>
      <c r="JH254" s="7"/>
      <c r="JI254" s="7"/>
      <c r="JJ254" s="7"/>
      <c r="JK254" s="7"/>
      <c r="JL254" s="7"/>
      <c r="JM254" s="7"/>
      <c r="JO254" s="7"/>
      <c r="JP254" s="7"/>
      <c r="JQ254" s="7"/>
      <c r="JR254" s="7"/>
      <c r="JT254" s="7"/>
      <c r="JU254" s="7"/>
      <c r="JV254" s="7"/>
      <c r="JW254" s="7"/>
      <c r="JX254" s="7"/>
    </row>
    <row r="255" spans="3:284" x14ac:dyDescent="0.3">
      <c r="C255" s="7"/>
      <c r="D255" s="7"/>
      <c r="F255" s="7"/>
      <c r="G255" s="7"/>
      <c r="I255" s="7"/>
      <c r="J255" s="7"/>
      <c r="L255" s="7"/>
      <c r="M255" s="7"/>
      <c r="O255" s="7"/>
      <c r="P255" s="7"/>
      <c r="R255" s="7"/>
      <c r="S255" s="7"/>
      <c r="U255" s="7"/>
      <c r="V255" s="7"/>
      <c r="X255" s="7"/>
      <c r="Y255" s="7"/>
      <c r="AA255" s="7"/>
      <c r="AB255" s="7"/>
      <c r="AD255" s="7"/>
      <c r="AE255" s="7"/>
      <c r="AG255" s="7"/>
      <c r="AH255" s="7"/>
      <c r="AJ255" s="7"/>
      <c r="AK255" s="7"/>
      <c r="AM255" s="7"/>
      <c r="AN255" s="7"/>
      <c r="AP255" s="7"/>
      <c r="AQ255" s="7"/>
      <c r="AS255" s="7"/>
      <c r="AT255" s="7"/>
      <c r="AV255" s="7"/>
      <c r="AW255" s="7"/>
      <c r="AY255" s="7"/>
      <c r="AZ255" s="7"/>
      <c r="BB255" s="7"/>
      <c r="BC255" s="7"/>
      <c r="BE255" s="7"/>
      <c r="BF255" s="7"/>
      <c r="BH255" s="7"/>
      <c r="BI255" s="7"/>
      <c r="BK255" s="7"/>
      <c r="BL255" s="7"/>
      <c r="BN255" s="7"/>
      <c r="BO255" s="7"/>
      <c r="BQ255" s="7"/>
      <c r="BR255" s="7"/>
      <c r="BT255" s="7"/>
      <c r="BU255" s="7"/>
      <c r="BW255" s="7"/>
      <c r="BX255" s="7"/>
      <c r="BZ255" s="7"/>
      <c r="CA255" s="7"/>
      <c r="CC255" s="7"/>
      <c r="CD255" s="7"/>
      <c r="CF255" s="7"/>
      <c r="CG255" s="7"/>
      <c r="CI255" s="7"/>
      <c r="CJ255" s="7"/>
      <c r="CL255" s="7"/>
      <c r="CM255" s="7"/>
      <c r="CO255" s="7"/>
      <c r="CP255" s="7"/>
      <c r="CR255" s="7"/>
      <c r="CS255" s="7"/>
      <c r="CU255" s="7"/>
      <c r="CV255" s="7"/>
      <c r="CX255" s="7"/>
      <c r="CY255" s="7"/>
      <c r="DA255" s="7"/>
      <c r="DB255" s="7"/>
      <c r="DD255" s="7"/>
      <c r="DE255" s="7"/>
      <c r="DG255" s="7"/>
      <c r="DH255" s="7"/>
      <c r="DJ255" s="7"/>
      <c r="DK255" s="7"/>
      <c r="DM255" s="7"/>
      <c r="DN255" s="7"/>
      <c r="DP255" s="7"/>
      <c r="DQ255" s="7"/>
      <c r="DS255" s="7"/>
      <c r="DT255" s="7"/>
      <c r="DV255" s="7"/>
      <c r="DW255" s="7"/>
      <c r="DY255" s="7"/>
      <c r="DZ255" s="7"/>
      <c r="EB255" s="7"/>
      <c r="EC255" s="7"/>
      <c r="EE255" s="7"/>
      <c r="EF255" s="7"/>
      <c r="EH255" s="7"/>
      <c r="EI255" s="7"/>
      <c r="EK255" s="7"/>
      <c r="EL255" s="7"/>
      <c r="EN255" s="7"/>
      <c r="EO255" s="7"/>
      <c r="EQ255" s="7"/>
      <c r="ER255" s="7"/>
      <c r="ET255" s="7"/>
      <c r="EU255" s="7"/>
      <c r="EW255" s="7"/>
      <c r="EX255" s="7"/>
      <c r="EZ255" s="7"/>
      <c r="FA255" s="7"/>
      <c r="FC255" s="7"/>
      <c r="FD255" s="7"/>
      <c r="FF255" s="7"/>
      <c r="FG255" s="7"/>
      <c r="FI255" s="7"/>
      <c r="FJ255" s="7"/>
      <c r="FL255" s="7"/>
      <c r="FM255" s="7"/>
      <c r="FO255" s="7"/>
      <c r="FP255" s="7"/>
      <c r="FR255" s="7"/>
      <c r="FS255" s="7"/>
      <c r="FU255" s="7"/>
      <c r="FV255" s="7"/>
      <c r="FX255" s="7"/>
      <c r="FY255" s="7"/>
      <c r="GA255" s="7"/>
      <c r="GB255" s="7"/>
      <c r="GD255" s="7"/>
      <c r="GE255" s="7"/>
      <c r="GG255" s="7"/>
      <c r="GH255" s="7"/>
      <c r="GJ255" s="7"/>
      <c r="GK255" s="7"/>
      <c r="GV255" s="7"/>
      <c r="GW255" s="7"/>
      <c r="HE255" s="7"/>
      <c r="HF255" s="7"/>
      <c r="HH255" s="7"/>
      <c r="HI255" s="7"/>
      <c r="HQ255" s="7"/>
      <c r="HR255" s="7"/>
      <c r="HT255" s="7"/>
      <c r="HU255" s="7"/>
      <c r="IC255" s="7"/>
      <c r="ID255" s="7"/>
      <c r="IF255" s="7"/>
      <c r="IG255" s="7"/>
      <c r="II255" s="7"/>
      <c r="IJ255" s="7"/>
      <c r="IK255" s="7"/>
      <c r="IL255" s="7"/>
      <c r="IM255" s="7"/>
      <c r="IN255" s="7"/>
      <c r="IP255" s="7"/>
      <c r="IQ255" s="7"/>
      <c r="IR255" s="7"/>
      <c r="IS255" s="7"/>
      <c r="IT255" s="7"/>
      <c r="IU255" s="7"/>
      <c r="IV255" s="7"/>
      <c r="IW255" s="7"/>
      <c r="IX255" s="7"/>
      <c r="IY255" s="7"/>
      <c r="IZ255" s="7"/>
      <c r="JA255" s="7"/>
      <c r="JB255" s="7"/>
      <c r="JC255" s="7"/>
      <c r="JE255" s="7"/>
      <c r="JF255" s="7"/>
      <c r="JH255" s="7"/>
      <c r="JI255" s="7"/>
      <c r="JJ255" s="7"/>
      <c r="JK255" s="7"/>
      <c r="JL255" s="7"/>
      <c r="JM255" s="7"/>
      <c r="JO255" s="7"/>
      <c r="JP255" s="7"/>
      <c r="JQ255" s="7"/>
      <c r="JR255" s="7"/>
      <c r="JT255" s="7"/>
      <c r="JU255" s="7"/>
      <c r="JV255" s="7"/>
      <c r="JW255" s="7"/>
      <c r="JX255" s="7"/>
    </row>
    <row r="256" spans="3:284" x14ac:dyDescent="0.3">
      <c r="C256" s="7"/>
      <c r="D256" s="7"/>
      <c r="F256" s="7"/>
      <c r="G256" s="7"/>
      <c r="I256" s="7"/>
      <c r="J256" s="7"/>
      <c r="L256" s="7"/>
      <c r="M256" s="7"/>
      <c r="O256" s="7"/>
      <c r="P256" s="7"/>
      <c r="R256" s="7"/>
      <c r="S256" s="7"/>
      <c r="U256" s="7"/>
      <c r="V256" s="7"/>
      <c r="X256" s="7"/>
      <c r="Y256" s="7"/>
      <c r="AA256" s="7"/>
      <c r="AB256" s="7"/>
      <c r="AD256" s="7"/>
      <c r="AE256" s="7"/>
      <c r="AG256" s="7"/>
      <c r="AH256" s="7"/>
      <c r="AJ256" s="7"/>
      <c r="AK256" s="7"/>
      <c r="AM256" s="7"/>
      <c r="AN256" s="7"/>
      <c r="AP256" s="7"/>
      <c r="AQ256" s="7"/>
      <c r="AS256" s="7"/>
      <c r="AT256" s="7"/>
      <c r="AV256" s="7"/>
      <c r="AW256" s="7"/>
      <c r="AY256" s="7"/>
      <c r="AZ256" s="7"/>
      <c r="BB256" s="7"/>
      <c r="BC256" s="7"/>
      <c r="BE256" s="7"/>
      <c r="BF256" s="7"/>
      <c r="BH256" s="7"/>
      <c r="BI256" s="7"/>
      <c r="BK256" s="7"/>
      <c r="BL256" s="7"/>
      <c r="BN256" s="7"/>
      <c r="BO256" s="7"/>
      <c r="BQ256" s="7"/>
      <c r="BR256" s="7"/>
      <c r="BT256" s="7"/>
      <c r="BU256" s="7"/>
      <c r="BW256" s="7"/>
      <c r="BX256" s="7"/>
      <c r="BZ256" s="7"/>
      <c r="CA256" s="7"/>
      <c r="CC256" s="7"/>
      <c r="CD256" s="7"/>
      <c r="CF256" s="7"/>
      <c r="CG256" s="7"/>
      <c r="CI256" s="7"/>
      <c r="CJ256" s="7"/>
      <c r="CL256" s="7"/>
      <c r="CM256" s="7"/>
      <c r="CO256" s="7"/>
      <c r="CP256" s="7"/>
      <c r="CR256" s="7"/>
      <c r="CS256" s="7"/>
      <c r="CU256" s="7"/>
      <c r="CV256" s="7"/>
      <c r="CX256" s="7"/>
      <c r="CY256" s="7"/>
      <c r="DA256" s="7"/>
      <c r="DB256" s="7"/>
      <c r="DD256" s="7"/>
      <c r="DE256" s="7"/>
      <c r="DG256" s="7"/>
      <c r="DH256" s="7"/>
      <c r="DJ256" s="7"/>
      <c r="DK256" s="7"/>
      <c r="DM256" s="7"/>
      <c r="DN256" s="7"/>
      <c r="DP256" s="7"/>
      <c r="DQ256" s="7"/>
      <c r="DS256" s="7"/>
      <c r="DT256" s="7"/>
      <c r="DV256" s="7"/>
      <c r="DW256" s="7"/>
      <c r="DY256" s="7"/>
      <c r="DZ256" s="7"/>
      <c r="EB256" s="7"/>
      <c r="EC256" s="7"/>
      <c r="EE256" s="7"/>
      <c r="EF256" s="7"/>
      <c r="EH256" s="7"/>
      <c r="EI256" s="7"/>
      <c r="EK256" s="7"/>
      <c r="EL256" s="7"/>
      <c r="EN256" s="7"/>
      <c r="EO256" s="7"/>
      <c r="EQ256" s="7"/>
      <c r="ER256" s="7"/>
      <c r="ET256" s="7"/>
      <c r="EU256" s="7"/>
      <c r="EW256" s="7"/>
      <c r="EX256" s="7"/>
      <c r="EZ256" s="7"/>
      <c r="FA256" s="7"/>
      <c r="FC256" s="7"/>
      <c r="FD256" s="7"/>
      <c r="FF256" s="7"/>
      <c r="FG256" s="7"/>
      <c r="FI256" s="7"/>
      <c r="FJ256" s="7"/>
      <c r="FL256" s="7"/>
      <c r="FM256" s="7"/>
      <c r="FO256" s="7"/>
      <c r="FP256" s="7"/>
      <c r="FR256" s="7"/>
      <c r="FS256" s="7"/>
      <c r="FU256" s="7"/>
      <c r="FV256" s="7"/>
      <c r="FX256" s="7"/>
      <c r="FY256" s="7"/>
      <c r="GA256" s="7"/>
      <c r="GB256" s="7"/>
      <c r="GD256" s="7"/>
      <c r="GE256" s="7"/>
      <c r="GG256" s="7"/>
      <c r="GH256" s="7"/>
      <c r="GJ256" s="7"/>
      <c r="GK256" s="7"/>
      <c r="GV256" s="7"/>
      <c r="GW256" s="7"/>
      <c r="HE256" s="7"/>
      <c r="HF256" s="7"/>
      <c r="HH256" s="7"/>
      <c r="HI256" s="7"/>
      <c r="HQ256" s="7"/>
      <c r="HR256" s="7"/>
      <c r="HT256" s="7"/>
      <c r="HU256" s="7"/>
      <c r="IC256" s="7"/>
      <c r="ID256" s="7"/>
      <c r="IF256" s="7"/>
      <c r="IG256" s="7"/>
      <c r="II256" s="7"/>
      <c r="IJ256" s="7"/>
      <c r="IK256" s="7"/>
      <c r="IL256" s="7"/>
      <c r="IM256" s="7"/>
      <c r="IN256" s="7"/>
      <c r="IP256" s="7"/>
      <c r="IQ256" s="7"/>
      <c r="IR256" s="7"/>
      <c r="IS256" s="7"/>
      <c r="IT256" s="7"/>
      <c r="IU256" s="7"/>
      <c r="IV256" s="7"/>
      <c r="IW256" s="7"/>
      <c r="IX256" s="7"/>
      <c r="IY256" s="7"/>
      <c r="IZ256" s="7"/>
      <c r="JA256" s="7"/>
      <c r="JB256" s="7"/>
      <c r="JC256" s="7"/>
      <c r="JE256" s="7"/>
      <c r="JF256" s="7"/>
      <c r="JH256" s="7"/>
      <c r="JI256" s="7"/>
      <c r="JJ256" s="7"/>
      <c r="JK256" s="7"/>
      <c r="JL256" s="7"/>
      <c r="JM256" s="7"/>
      <c r="JO256" s="7"/>
      <c r="JP256" s="7"/>
      <c r="JQ256" s="7"/>
      <c r="JR256" s="7"/>
      <c r="JT256" s="7"/>
      <c r="JU256" s="7"/>
      <c r="JV256" s="7"/>
      <c r="JW256" s="7"/>
      <c r="JX256" s="7"/>
    </row>
    <row r="257" spans="3:284" x14ac:dyDescent="0.3">
      <c r="C257" s="7"/>
      <c r="D257" s="7"/>
      <c r="F257" s="7"/>
      <c r="G257" s="7"/>
      <c r="I257" s="7"/>
      <c r="J257" s="7"/>
      <c r="L257" s="7"/>
      <c r="M257" s="7"/>
      <c r="O257" s="7"/>
      <c r="P257" s="7"/>
      <c r="R257" s="7"/>
      <c r="S257" s="7"/>
      <c r="U257" s="7"/>
      <c r="V257" s="7"/>
      <c r="X257" s="7"/>
      <c r="Y257" s="7"/>
      <c r="AA257" s="7"/>
      <c r="AB257" s="7"/>
      <c r="AD257" s="7"/>
      <c r="AE257" s="7"/>
      <c r="AG257" s="7"/>
      <c r="AH257" s="7"/>
      <c r="AJ257" s="7"/>
      <c r="AK257" s="7"/>
      <c r="AM257" s="7"/>
      <c r="AN257" s="7"/>
      <c r="AP257" s="7"/>
      <c r="AQ257" s="7"/>
      <c r="AS257" s="7"/>
      <c r="AT257" s="7"/>
      <c r="AV257" s="7"/>
      <c r="AW257" s="7"/>
      <c r="AY257" s="7"/>
      <c r="AZ257" s="7"/>
      <c r="BB257" s="7"/>
      <c r="BC257" s="7"/>
      <c r="BE257" s="7"/>
      <c r="BF257" s="7"/>
      <c r="BH257" s="7"/>
      <c r="BI257" s="7"/>
      <c r="BK257" s="7"/>
      <c r="BL257" s="7"/>
      <c r="BN257" s="7"/>
      <c r="BO257" s="7"/>
      <c r="BQ257" s="7"/>
      <c r="BR257" s="7"/>
      <c r="BT257" s="7"/>
      <c r="BU257" s="7"/>
      <c r="BW257" s="7"/>
      <c r="BX257" s="7"/>
      <c r="BZ257" s="7"/>
      <c r="CA257" s="7"/>
      <c r="CC257" s="7"/>
      <c r="CD257" s="7"/>
      <c r="CF257" s="7"/>
      <c r="CG257" s="7"/>
      <c r="CI257" s="7"/>
      <c r="CJ257" s="7"/>
      <c r="CL257" s="7"/>
      <c r="CM257" s="7"/>
      <c r="CO257" s="7"/>
      <c r="CP257" s="7"/>
      <c r="CR257" s="7"/>
      <c r="CS257" s="7"/>
      <c r="CU257" s="7"/>
      <c r="CV257" s="7"/>
      <c r="CX257" s="7"/>
      <c r="CY257" s="7"/>
      <c r="DA257" s="7"/>
      <c r="DB257" s="7"/>
      <c r="DD257" s="7"/>
      <c r="DE257" s="7"/>
      <c r="DG257" s="7"/>
      <c r="DH257" s="7"/>
      <c r="DJ257" s="7"/>
      <c r="DK257" s="7"/>
      <c r="DM257" s="7"/>
      <c r="DN257" s="7"/>
      <c r="DP257" s="7"/>
      <c r="DQ257" s="7"/>
      <c r="DS257" s="7"/>
      <c r="DT257" s="7"/>
      <c r="DV257" s="7"/>
      <c r="DW257" s="7"/>
      <c r="DY257" s="7"/>
      <c r="DZ257" s="7"/>
      <c r="EB257" s="7"/>
      <c r="EC257" s="7"/>
      <c r="EE257" s="7"/>
      <c r="EF257" s="7"/>
      <c r="EH257" s="7"/>
      <c r="EI257" s="7"/>
      <c r="EK257" s="7"/>
      <c r="EL257" s="7"/>
      <c r="EN257" s="7"/>
      <c r="EO257" s="7"/>
      <c r="EQ257" s="7"/>
      <c r="ER257" s="7"/>
      <c r="ET257" s="7"/>
      <c r="EU257" s="7"/>
      <c r="EW257" s="7"/>
      <c r="EX257" s="7"/>
      <c r="EZ257" s="7"/>
      <c r="FA257" s="7"/>
      <c r="FC257" s="7"/>
      <c r="FD257" s="7"/>
      <c r="FF257" s="7"/>
      <c r="FG257" s="7"/>
      <c r="FI257" s="7"/>
      <c r="FJ257" s="7"/>
      <c r="FL257" s="7"/>
      <c r="FM257" s="7"/>
      <c r="FO257" s="7"/>
      <c r="FP257" s="7"/>
      <c r="FR257" s="7"/>
      <c r="FS257" s="7"/>
      <c r="FU257" s="7"/>
      <c r="FV257" s="7"/>
      <c r="FX257" s="7"/>
      <c r="FY257" s="7"/>
      <c r="GA257" s="7"/>
      <c r="GB257" s="7"/>
      <c r="GD257" s="7"/>
      <c r="GE257" s="7"/>
      <c r="GG257" s="7"/>
      <c r="GH257" s="7"/>
      <c r="GJ257" s="7"/>
      <c r="GK257" s="7"/>
      <c r="GV257" s="7"/>
      <c r="GW257" s="7"/>
      <c r="HE257" s="7"/>
      <c r="HF257" s="7"/>
      <c r="HH257" s="7"/>
      <c r="HI257" s="7"/>
      <c r="HQ257" s="7"/>
      <c r="HR257" s="7"/>
      <c r="HT257" s="7"/>
      <c r="HU257" s="7"/>
      <c r="IC257" s="7"/>
      <c r="ID257" s="7"/>
      <c r="IF257" s="7"/>
      <c r="IG257" s="7"/>
      <c r="II257" s="7"/>
      <c r="IJ257" s="7"/>
      <c r="IK257" s="7"/>
      <c r="IL257" s="7"/>
      <c r="IM257" s="7"/>
      <c r="IN257" s="7"/>
      <c r="IP257" s="7"/>
      <c r="IQ257" s="7"/>
      <c r="IR257" s="7"/>
      <c r="IS257" s="7"/>
      <c r="IT257" s="7"/>
      <c r="IU257" s="7"/>
      <c r="IV257" s="7"/>
      <c r="IW257" s="7"/>
      <c r="IX257" s="7"/>
      <c r="IY257" s="7"/>
      <c r="IZ257" s="7"/>
      <c r="JA257" s="7"/>
      <c r="JB257" s="7"/>
      <c r="JC257" s="7"/>
      <c r="JE257" s="7"/>
      <c r="JF257" s="7"/>
      <c r="JH257" s="7"/>
      <c r="JI257" s="7"/>
      <c r="JJ257" s="7"/>
      <c r="JK257" s="7"/>
      <c r="JL257" s="7"/>
      <c r="JM257" s="7"/>
      <c r="JO257" s="7"/>
      <c r="JP257" s="7"/>
      <c r="JQ257" s="7"/>
      <c r="JR257" s="7"/>
      <c r="JT257" s="7"/>
      <c r="JU257" s="7"/>
      <c r="JV257" s="7"/>
      <c r="JW257" s="7"/>
      <c r="JX257" s="7"/>
    </row>
    <row r="258" spans="3:284" x14ac:dyDescent="0.3">
      <c r="C258" s="7"/>
      <c r="D258" s="7"/>
      <c r="F258" s="7"/>
      <c r="G258" s="7"/>
      <c r="I258" s="7"/>
      <c r="J258" s="7"/>
      <c r="L258" s="7"/>
      <c r="M258" s="7"/>
      <c r="O258" s="7"/>
      <c r="P258" s="7"/>
      <c r="R258" s="7"/>
      <c r="S258" s="7"/>
      <c r="U258" s="7"/>
      <c r="V258" s="7"/>
      <c r="X258" s="7"/>
      <c r="Y258" s="7"/>
      <c r="AA258" s="7"/>
      <c r="AB258" s="7"/>
      <c r="AD258" s="7"/>
      <c r="AE258" s="7"/>
      <c r="AG258" s="7"/>
      <c r="AH258" s="7"/>
      <c r="AJ258" s="7"/>
      <c r="AK258" s="7"/>
      <c r="AM258" s="7"/>
      <c r="AN258" s="7"/>
      <c r="AP258" s="7"/>
      <c r="AQ258" s="7"/>
      <c r="AS258" s="7"/>
      <c r="AT258" s="7"/>
      <c r="AV258" s="7"/>
      <c r="AW258" s="7"/>
      <c r="AY258" s="7"/>
      <c r="AZ258" s="7"/>
      <c r="BB258" s="7"/>
      <c r="BC258" s="7"/>
      <c r="BE258" s="7"/>
      <c r="BF258" s="7"/>
      <c r="BH258" s="7"/>
      <c r="BI258" s="7"/>
      <c r="BK258" s="7"/>
      <c r="BL258" s="7"/>
      <c r="BN258" s="7"/>
      <c r="BO258" s="7"/>
      <c r="BQ258" s="7"/>
      <c r="BR258" s="7"/>
      <c r="BT258" s="7"/>
      <c r="BU258" s="7"/>
      <c r="BW258" s="7"/>
      <c r="BX258" s="7"/>
      <c r="BZ258" s="7"/>
      <c r="CA258" s="7"/>
      <c r="CC258" s="7"/>
      <c r="CD258" s="7"/>
      <c r="CF258" s="7"/>
      <c r="CG258" s="7"/>
      <c r="CI258" s="7"/>
      <c r="CJ258" s="7"/>
      <c r="CL258" s="7"/>
      <c r="CM258" s="7"/>
      <c r="CO258" s="7"/>
      <c r="CP258" s="7"/>
      <c r="CR258" s="7"/>
      <c r="CS258" s="7"/>
      <c r="CU258" s="7"/>
      <c r="CV258" s="7"/>
      <c r="CX258" s="7"/>
      <c r="CY258" s="7"/>
      <c r="DA258" s="7"/>
      <c r="DB258" s="7"/>
      <c r="DD258" s="7"/>
      <c r="DE258" s="7"/>
      <c r="DG258" s="7"/>
      <c r="DH258" s="7"/>
      <c r="DJ258" s="7"/>
      <c r="DK258" s="7"/>
      <c r="DM258" s="7"/>
      <c r="DN258" s="7"/>
      <c r="DP258" s="7"/>
      <c r="DQ258" s="7"/>
      <c r="DS258" s="7"/>
      <c r="DT258" s="7"/>
      <c r="DV258" s="7"/>
      <c r="DW258" s="7"/>
      <c r="DY258" s="7"/>
      <c r="DZ258" s="7"/>
      <c r="EB258" s="7"/>
      <c r="EC258" s="7"/>
      <c r="EE258" s="7"/>
      <c r="EF258" s="7"/>
      <c r="EH258" s="7"/>
      <c r="EI258" s="7"/>
      <c r="EK258" s="7"/>
      <c r="EL258" s="7"/>
      <c r="EN258" s="7"/>
      <c r="EO258" s="7"/>
      <c r="EQ258" s="7"/>
      <c r="ER258" s="7"/>
      <c r="ET258" s="7"/>
      <c r="EU258" s="7"/>
      <c r="EW258" s="7"/>
      <c r="EX258" s="7"/>
      <c r="EZ258" s="7"/>
      <c r="FA258" s="7"/>
      <c r="FC258" s="7"/>
      <c r="FD258" s="7"/>
      <c r="FF258" s="7"/>
      <c r="FG258" s="7"/>
      <c r="FI258" s="7"/>
      <c r="FJ258" s="7"/>
      <c r="FL258" s="7"/>
      <c r="FM258" s="7"/>
      <c r="FO258" s="7"/>
      <c r="FP258" s="7"/>
      <c r="FR258" s="7"/>
      <c r="FS258" s="7"/>
      <c r="FU258" s="7"/>
      <c r="FV258" s="7"/>
      <c r="FX258" s="7"/>
      <c r="FY258" s="7"/>
      <c r="GA258" s="7"/>
      <c r="GB258" s="7"/>
      <c r="GD258" s="7"/>
      <c r="GE258" s="7"/>
      <c r="GG258" s="7"/>
      <c r="GH258" s="7"/>
      <c r="GJ258" s="7"/>
      <c r="GK258" s="7"/>
      <c r="GV258" s="7"/>
      <c r="GW258" s="7"/>
      <c r="HE258" s="7"/>
      <c r="HF258" s="7"/>
      <c r="HH258" s="7"/>
      <c r="HI258" s="7"/>
      <c r="HQ258" s="7"/>
      <c r="HR258" s="7"/>
      <c r="HT258" s="7"/>
      <c r="HU258" s="7"/>
      <c r="IC258" s="7"/>
      <c r="ID258" s="7"/>
      <c r="IF258" s="7"/>
      <c r="IG258" s="7"/>
      <c r="II258" s="7"/>
      <c r="IJ258" s="7"/>
      <c r="IK258" s="7"/>
      <c r="IL258" s="7"/>
      <c r="IM258" s="7"/>
      <c r="IN258" s="7"/>
      <c r="IP258" s="7"/>
      <c r="IQ258" s="7"/>
      <c r="IR258" s="7"/>
      <c r="IS258" s="7"/>
      <c r="IT258" s="7"/>
      <c r="IU258" s="7"/>
      <c r="IV258" s="7"/>
      <c r="IW258" s="7"/>
      <c r="IX258" s="7"/>
      <c r="IY258" s="7"/>
      <c r="IZ258" s="7"/>
      <c r="JA258" s="7"/>
      <c r="JB258" s="7"/>
      <c r="JC258" s="7"/>
      <c r="JE258" s="7"/>
      <c r="JF258" s="7"/>
      <c r="JH258" s="7"/>
      <c r="JI258" s="7"/>
      <c r="JJ258" s="7"/>
      <c r="JK258" s="7"/>
      <c r="JL258" s="7"/>
      <c r="JM258" s="7"/>
      <c r="JO258" s="7"/>
      <c r="JP258" s="7"/>
      <c r="JQ258" s="7"/>
      <c r="JR258" s="7"/>
      <c r="JT258" s="7"/>
      <c r="JU258" s="7"/>
      <c r="JV258" s="7"/>
      <c r="JW258" s="7"/>
      <c r="JX258" s="7"/>
    </row>
    <row r="259" spans="3:284" x14ac:dyDescent="0.3">
      <c r="C259" s="7"/>
      <c r="D259" s="7"/>
      <c r="F259" s="7"/>
      <c r="G259" s="7"/>
      <c r="I259" s="7"/>
      <c r="J259" s="7"/>
      <c r="L259" s="7"/>
      <c r="M259" s="7"/>
      <c r="O259" s="7"/>
      <c r="P259" s="7"/>
      <c r="R259" s="7"/>
      <c r="S259" s="7"/>
      <c r="U259" s="7"/>
      <c r="V259" s="7"/>
      <c r="X259" s="7"/>
      <c r="Y259" s="7"/>
      <c r="AA259" s="7"/>
      <c r="AB259" s="7"/>
      <c r="AD259" s="7"/>
      <c r="AE259" s="7"/>
      <c r="AG259" s="7"/>
      <c r="AH259" s="7"/>
      <c r="AJ259" s="7"/>
      <c r="AK259" s="7"/>
      <c r="AM259" s="7"/>
      <c r="AN259" s="7"/>
      <c r="AP259" s="7"/>
      <c r="AQ259" s="7"/>
      <c r="AS259" s="7"/>
      <c r="AT259" s="7"/>
      <c r="AV259" s="7"/>
      <c r="AW259" s="7"/>
      <c r="AY259" s="7"/>
      <c r="AZ259" s="7"/>
      <c r="BB259" s="7"/>
      <c r="BC259" s="7"/>
      <c r="BE259" s="7"/>
      <c r="BF259" s="7"/>
      <c r="BH259" s="7"/>
      <c r="BI259" s="7"/>
      <c r="BK259" s="7"/>
      <c r="BL259" s="7"/>
      <c r="BN259" s="7"/>
      <c r="BO259" s="7"/>
      <c r="BQ259" s="7"/>
      <c r="BR259" s="7"/>
      <c r="BT259" s="7"/>
      <c r="BU259" s="7"/>
      <c r="BW259" s="7"/>
      <c r="BX259" s="7"/>
      <c r="BZ259" s="7"/>
      <c r="CA259" s="7"/>
      <c r="CC259" s="7"/>
      <c r="CD259" s="7"/>
      <c r="CF259" s="7"/>
      <c r="CG259" s="7"/>
      <c r="CI259" s="7"/>
      <c r="CJ259" s="7"/>
      <c r="CL259" s="7"/>
      <c r="CM259" s="7"/>
      <c r="CO259" s="7"/>
      <c r="CP259" s="7"/>
      <c r="CR259" s="7"/>
      <c r="CS259" s="7"/>
      <c r="CU259" s="7"/>
      <c r="CV259" s="7"/>
      <c r="CX259" s="7"/>
      <c r="CY259" s="7"/>
      <c r="DA259" s="7"/>
      <c r="DB259" s="7"/>
      <c r="DD259" s="7"/>
      <c r="DE259" s="7"/>
      <c r="DG259" s="7"/>
      <c r="DH259" s="7"/>
      <c r="DJ259" s="7"/>
      <c r="DK259" s="7"/>
      <c r="DM259" s="7"/>
      <c r="DN259" s="7"/>
      <c r="DP259" s="7"/>
      <c r="DQ259" s="7"/>
      <c r="DS259" s="7"/>
      <c r="DT259" s="7"/>
      <c r="DV259" s="7"/>
      <c r="DW259" s="7"/>
      <c r="DY259" s="7"/>
      <c r="DZ259" s="7"/>
      <c r="EB259" s="7"/>
      <c r="EC259" s="7"/>
      <c r="EE259" s="7"/>
      <c r="EF259" s="7"/>
      <c r="EH259" s="7"/>
      <c r="EI259" s="7"/>
      <c r="EK259" s="7"/>
      <c r="EL259" s="7"/>
      <c r="EN259" s="7"/>
      <c r="EO259" s="7"/>
      <c r="EQ259" s="7"/>
      <c r="ER259" s="7"/>
      <c r="ET259" s="7"/>
      <c r="EU259" s="7"/>
      <c r="EW259" s="7"/>
      <c r="EX259" s="7"/>
      <c r="EZ259" s="7"/>
      <c r="FA259" s="7"/>
      <c r="FC259" s="7"/>
      <c r="FD259" s="7"/>
      <c r="FF259" s="7"/>
      <c r="FG259" s="7"/>
      <c r="FI259" s="7"/>
      <c r="FJ259" s="7"/>
      <c r="FL259" s="7"/>
      <c r="FM259" s="7"/>
      <c r="FO259" s="7"/>
      <c r="FP259" s="7"/>
      <c r="FR259" s="7"/>
      <c r="FS259" s="7"/>
      <c r="FU259" s="7"/>
      <c r="FV259" s="7"/>
      <c r="FX259" s="7"/>
      <c r="FY259" s="7"/>
      <c r="GA259" s="7"/>
      <c r="GB259" s="7"/>
      <c r="GD259" s="7"/>
      <c r="GE259" s="7"/>
      <c r="GG259" s="7"/>
      <c r="GH259" s="7"/>
      <c r="GJ259" s="7"/>
      <c r="GK259" s="7"/>
      <c r="GV259" s="7"/>
      <c r="GW259" s="7"/>
      <c r="HE259" s="7"/>
      <c r="HF259" s="7"/>
      <c r="HH259" s="7"/>
      <c r="HI259" s="7"/>
      <c r="HQ259" s="7"/>
      <c r="HR259" s="7"/>
      <c r="HT259" s="7"/>
      <c r="HU259" s="7"/>
      <c r="IC259" s="7"/>
      <c r="ID259" s="7"/>
      <c r="IF259" s="7"/>
      <c r="IG259" s="7"/>
      <c r="II259" s="7"/>
      <c r="IJ259" s="7"/>
      <c r="IK259" s="7"/>
      <c r="IL259" s="7"/>
      <c r="IM259" s="7"/>
      <c r="IN259" s="7"/>
      <c r="IP259" s="7"/>
      <c r="IQ259" s="7"/>
      <c r="IR259" s="7"/>
      <c r="IS259" s="7"/>
      <c r="IT259" s="7"/>
      <c r="IU259" s="7"/>
      <c r="IV259" s="7"/>
      <c r="IW259" s="7"/>
      <c r="IX259" s="7"/>
      <c r="IY259" s="7"/>
      <c r="IZ259" s="7"/>
      <c r="JA259" s="7"/>
      <c r="JB259" s="7"/>
      <c r="JC259" s="7"/>
      <c r="JE259" s="7"/>
      <c r="JF259" s="7"/>
      <c r="JH259" s="7"/>
      <c r="JI259" s="7"/>
      <c r="JJ259" s="7"/>
      <c r="JK259" s="7"/>
      <c r="JL259" s="7"/>
      <c r="JM259" s="7"/>
      <c r="JO259" s="7"/>
      <c r="JP259" s="7"/>
      <c r="JQ259" s="7"/>
      <c r="JR259" s="7"/>
      <c r="JT259" s="7"/>
      <c r="JU259" s="7"/>
      <c r="JV259" s="7"/>
      <c r="JW259" s="7"/>
      <c r="JX259" s="7"/>
    </row>
    <row r="260" spans="3:284" x14ac:dyDescent="0.3">
      <c r="C260" s="7"/>
      <c r="D260" s="7"/>
      <c r="F260" s="7"/>
      <c r="G260" s="7"/>
      <c r="I260" s="7"/>
      <c r="J260" s="7"/>
      <c r="L260" s="7"/>
      <c r="M260" s="7"/>
      <c r="O260" s="7"/>
      <c r="P260" s="7"/>
      <c r="R260" s="7"/>
      <c r="S260" s="7"/>
      <c r="U260" s="7"/>
      <c r="V260" s="7"/>
      <c r="X260" s="7"/>
      <c r="Y260" s="7"/>
      <c r="AA260" s="7"/>
      <c r="AB260" s="7"/>
      <c r="AD260" s="7"/>
      <c r="AE260" s="7"/>
      <c r="AG260" s="7"/>
      <c r="AH260" s="7"/>
      <c r="AJ260" s="7"/>
      <c r="AK260" s="7"/>
      <c r="AM260" s="7"/>
      <c r="AN260" s="7"/>
      <c r="AP260" s="7"/>
      <c r="AQ260" s="7"/>
      <c r="AS260" s="7"/>
      <c r="AT260" s="7"/>
      <c r="AV260" s="7"/>
      <c r="AW260" s="7"/>
      <c r="AY260" s="7"/>
      <c r="AZ260" s="7"/>
      <c r="BB260" s="7"/>
      <c r="BC260" s="7"/>
      <c r="BE260" s="7"/>
      <c r="BF260" s="7"/>
      <c r="BH260" s="7"/>
      <c r="BI260" s="7"/>
      <c r="BK260" s="7"/>
      <c r="BL260" s="7"/>
      <c r="BN260" s="7"/>
      <c r="BO260" s="7"/>
      <c r="BQ260" s="7"/>
      <c r="BR260" s="7"/>
      <c r="BT260" s="7"/>
      <c r="BU260" s="7"/>
      <c r="BW260" s="7"/>
      <c r="BX260" s="7"/>
      <c r="BZ260" s="7"/>
      <c r="CA260" s="7"/>
      <c r="CC260" s="7"/>
      <c r="CD260" s="7"/>
      <c r="CF260" s="7"/>
      <c r="CG260" s="7"/>
      <c r="CI260" s="7"/>
      <c r="CJ260" s="7"/>
      <c r="CL260" s="7"/>
      <c r="CM260" s="7"/>
      <c r="CO260" s="7"/>
      <c r="CP260" s="7"/>
      <c r="CR260" s="7"/>
      <c r="CS260" s="7"/>
      <c r="CU260" s="7"/>
      <c r="CV260" s="7"/>
      <c r="CX260" s="7"/>
      <c r="CY260" s="7"/>
      <c r="DA260" s="7"/>
      <c r="DB260" s="7"/>
      <c r="DD260" s="7"/>
      <c r="DE260" s="7"/>
      <c r="DG260" s="7"/>
      <c r="DH260" s="7"/>
      <c r="DJ260" s="7"/>
      <c r="DK260" s="7"/>
      <c r="DM260" s="7"/>
      <c r="DN260" s="7"/>
      <c r="DP260" s="7"/>
      <c r="DQ260" s="7"/>
      <c r="DS260" s="7"/>
      <c r="DT260" s="7"/>
      <c r="DV260" s="7"/>
      <c r="DW260" s="7"/>
      <c r="DY260" s="7"/>
      <c r="DZ260" s="7"/>
      <c r="EB260" s="7"/>
      <c r="EC260" s="7"/>
      <c r="EE260" s="7"/>
      <c r="EF260" s="7"/>
      <c r="EH260" s="7"/>
      <c r="EI260" s="7"/>
      <c r="EK260" s="7"/>
      <c r="EL260" s="7"/>
      <c r="EN260" s="7"/>
      <c r="EO260" s="7"/>
      <c r="EQ260" s="7"/>
      <c r="ER260" s="7"/>
      <c r="ET260" s="7"/>
      <c r="EU260" s="7"/>
      <c r="EW260" s="7"/>
      <c r="EX260" s="7"/>
      <c r="EZ260" s="7"/>
      <c r="FA260" s="7"/>
      <c r="FC260" s="7"/>
      <c r="FD260" s="7"/>
      <c r="FF260" s="7"/>
      <c r="FG260" s="7"/>
      <c r="FI260" s="7"/>
      <c r="FJ260" s="7"/>
      <c r="FL260" s="7"/>
      <c r="FM260" s="7"/>
      <c r="FO260" s="7"/>
      <c r="FP260" s="7"/>
      <c r="FR260" s="7"/>
      <c r="FS260" s="7"/>
      <c r="FU260" s="7"/>
      <c r="FV260" s="7"/>
      <c r="FX260" s="7"/>
      <c r="FY260" s="7"/>
      <c r="GA260" s="7"/>
      <c r="GB260" s="7"/>
      <c r="GD260" s="7"/>
      <c r="GE260" s="7"/>
      <c r="GG260" s="7"/>
      <c r="GH260" s="7"/>
      <c r="GJ260" s="7"/>
      <c r="GK260" s="7"/>
      <c r="GV260" s="7"/>
      <c r="GW260" s="7"/>
      <c r="HE260" s="7"/>
      <c r="HF260" s="7"/>
      <c r="HH260" s="7"/>
      <c r="HI260" s="7"/>
      <c r="HQ260" s="7"/>
      <c r="HR260" s="7"/>
      <c r="HT260" s="7"/>
      <c r="HU260" s="7"/>
      <c r="IC260" s="7"/>
      <c r="ID260" s="7"/>
      <c r="IF260" s="7"/>
      <c r="IG260" s="7"/>
      <c r="II260" s="7"/>
      <c r="IJ260" s="7"/>
      <c r="IK260" s="7"/>
      <c r="IL260" s="7"/>
      <c r="IM260" s="7"/>
      <c r="IN260" s="7"/>
      <c r="IP260" s="7"/>
      <c r="IQ260" s="7"/>
      <c r="IR260" s="7"/>
      <c r="IS260" s="7"/>
      <c r="IT260" s="7"/>
      <c r="IU260" s="7"/>
      <c r="IV260" s="7"/>
      <c r="IW260" s="7"/>
      <c r="IX260" s="7"/>
      <c r="IY260" s="7"/>
      <c r="IZ260" s="7"/>
      <c r="JA260" s="7"/>
      <c r="JB260" s="7"/>
      <c r="JC260" s="7"/>
      <c r="JE260" s="7"/>
      <c r="JF260" s="7"/>
      <c r="JH260" s="7"/>
      <c r="JI260" s="7"/>
      <c r="JJ260" s="7"/>
      <c r="JK260" s="7"/>
      <c r="JL260" s="7"/>
      <c r="JM260" s="7"/>
      <c r="JO260" s="7"/>
      <c r="JP260" s="7"/>
      <c r="JQ260" s="7"/>
      <c r="JR260" s="7"/>
      <c r="JT260" s="7"/>
      <c r="JU260" s="7"/>
      <c r="JV260" s="7"/>
      <c r="JW260" s="7"/>
      <c r="JX260" s="7"/>
    </row>
    <row r="261" spans="3:284" x14ac:dyDescent="0.3">
      <c r="C261" s="7"/>
      <c r="D261" s="7"/>
      <c r="F261" s="7"/>
      <c r="G261" s="7"/>
      <c r="I261" s="7"/>
      <c r="J261" s="7"/>
      <c r="L261" s="7"/>
      <c r="M261" s="7"/>
      <c r="O261" s="7"/>
      <c r="P261" s="7"/>
      <c r="R261" s="7"/>
      <c r="S261" s="7"/>
      <c r="U261" s="7"/>
      <c r="V261" s="7"/>
      <c r="X261" s="7"/>
      <c r="Y261" s="7"/>
      <c r="AA261" s="7"/>
      <c r="AB261" s="7"/>
      <c r="AD261" s="7"/>
      <c r="AE261" s="7"/>
      <c r="AG261" s="7"/>
      <c r="AH261" s="7"/>
      <c r="AJ261" s="7"/>
      <c r="AK261" s="7"/>
      <c r="AM261" s="7"/>
      <c r="AN261" s="7"/>
      <c r="AP261" s="7"/>
      <c r="AQ261" s="7"/>
      <c r="AS261" s="7"/>
      <c r="AT261" s="7"/>
      <c r="AV261" s="7"/>
      <c r="AW261" s="7"/>
      <c r="AY261" s="7"/>
      <c r="AZ261" s="7"/>
      <c r="BB261" s="7"/>
      <c r="BC261" s="7"/>
      <c r="BE261" s="7"/>
      <c r="BF261" s="7"/>
      <c r="BH261" s="7"/>
      <c r="BI261" s="7"/>
      <c r="BK261" s="7"/>
      <c r="BL261" s="7"/>
      <c r="BN261" s="7"/>
      <c r="BO261" s="7"/>
      <c r="BQ261" s="7"/>
      <c r="BR261" s="7"/>
      <c r="BT261" s="7"/>
      <c r="BU261" s="7"/>
      <c r="BW261" s="7"/>
      <c r="BX261" s="7"/>
      <c r="BZ261" s="7"/>
      <c r="CA261" s="7"/>
      <c r="CC261" s="7"/>
      <c r="CD261" s="7"/>
      <c r="CF261" s="7"/>
      <c r="CG261" s="7"/>
      <c r="CI261" s="7"/>
      <c r="CJ261" s="7"/>
      <c r="CL261" s="7"/>
      <c r="CM261" s="7"/>
      <c r="CO261" s="7"/>
      <c r="CP261" s="7"/>
      <c r="CR261" s="7"/>
      <c r="CS261" s="7"/>
      <c r="CU261" s="7"/>
      <c r="CV261" s="7"/>
      <c r="CX261" s="7"/>
      <c r="CY261" s="7"/>
      <c r="DA261" s="7"/>
      <c r="DB261" s="7"/>
      <c r="DD261" s="7"/>
      <c r="DE261" s="7"/>
      <c r="DG261" s="7"/>
      <c r="DH261" s="7"/>
      <c r="DJ261" s="7"/>
      <c r="DK261" s="7"/>
      <c r="DM261" s="7"/>
      <c r="DN261" s="7"/>
      <c r="DP261" s="7"/>
      <c r="DQ261" s="7"/>
      <c r="DS261" s="7"/>
      <c r="DT261" s="7"/>
      <c r="DV261" s="7"/>
      <c r="DW261" s="7"/>
      <c r="DY261" s="7"/>
      <c r="DZ261" s="7"/>
      <c r="EB261" s="7"/>
      <c r="EC261" s="7"/>
      <c r="EE261" s="7"/>
      <c r="EF261" s="7"/>
      <c r="EH261" s="7"/>
      <c r="EI261" s="7"/>
      <c r="EK261" s="7"/>
      <c r="EL261" s="7"/>
      <c r="EN261" s="7"/>
      <c r="EO261" s="7"/>
      <c r="EQ261" s="7"/>
      <c r="ER261" s="7"/>
      <c r="ET261" s="7"/>
      <c r="EU261" s="7"/>
      <c r="EW261" s="7"/>
      <c r="EX261" s="7"/>
      <c r="EZ261" s="7"/>
      <c r="FA261" s="7"/>
      <c r="FC261" s="7"/>
      <c r="FD261" s="7"/>
      <c r="FF261" s="7"/>
      <c r="FG261" s="7"/>
      <c r="FI261" s="7"/>
      <c r="FJ261" s="7"/>
      <c r="FL261" s="7"/>
      <c r="FM261" s="7"/>
      <c r="FO261" s="7"/>
      <c r="FP261" s="7"/>
      <c r="FR261" s="7"/>
      <c r="FS261" s="7"/>
      <c r="FU261" s="7"/>
      <c r="FV261" s="7"/>
      <c r="FX261" s="7"/>
      <c r="FY261" s="7"/>
      <c r="GA261" s="7"/>
      <c r="GB261" s="7"/>
      <c r="GD261" s="7"/>
      <c r="GE261" s="7"/>
      <c r="GG261" s="7"/>
      <c r="GH261" s="7"/>
      <c r="GJ261" s="7"/>
      <c r="GK261" s="7"/>
      <c r="GV261" s="7"/>
      <c r="GW261" s="7"/>
      <c r="HE261" s="7"/>
      <c r="HF261" s="7"/>
      <c r="HH261" s="7"/>
      <c r="HI261" s="7"/>
      <c r="HQ261" s="7"/>
      <c r="HR261" s="7"/>
      <c r="HT261" s="7"/>
      <c r="HU261" s="7"/>
      <c r="IC261" s="7"/>
      <c r="ID261" s="7"/>
      <c r="IF261" s="7"/>
      <c r="IG261" s="7"/>
      <c r="II261" s="7"/>
      <c r="IJ261" s="7"/>
      <c r="IK261" s="7"/>
      <c r="IL261" s="7"/>
      <c r="IM261" s="7"/>
      <c r="IN261" s="7"/>
      <c r="IP261" s="7"/>
      <c r="IQ261" s="7"/>
      <c r="IR261" s="7"/>
      <c r="IS261" s="7"/>
      <c r="IT261" s="7"/>
      <c r="IU261" s="7"/>
      <c r="IV261" s="7"/>
      <c r="IW261" s="7"/>
      <c r="IX261" s="7"/>
      <c r="IY261" s="7"/>
      <c r="IZ261" s="7"/>
      <c r="JA261" s="7"/>
      <c r="JB261" s="7"/>
      <c r="JC261" s="7"/>
      <c r="JE261" s="7"/>
      <c r="JF261" s="7"/>
      <c r="JH261" s="7"/>
      <c r="JI261" s="7"/>
      <c r="JJ261" s="7"/>
      <c r="JK261" s="7"/>
      <c r="JL261" s="7"/>
      <c r="JM261" s="7"/>
      <c r="JO261" s="7"/>
      <c r="JP261" s="7"/>
      <c r="JQ261" s="7"/>
      <c r="JR261" s="7"/>
      <c r="JT261" s="7"/>
      <c r="JU261" s="7"/>
      <c r="JV261" s="7"/>
      <c r="JW261" s="7"/>
      <c r="JX261" s="7"/>
    </row>
    <row r="262" spans="3:284" x14ac:dyDescent="0.3">
      <c r="C262" s="7"/>
      <c r="D262" s="7"/>
      <c r="F262" s="7"/>
      <c r="G262" s="7"/>
      <c r="I262" s="7"/>
      <c r="J262" s="7"/>
      <c r="L262" s="7"/>
      <c r="M262" s="7"/>
      <c r="O262" s="7"/>
      <c r="P262" s="7"/>
      <c r="R262" s="7"/>
      <c r="S262" s="7"/>
      <c r="U262" s="7"/>
      <c r="V262" s="7"/>
      <c r="X262" s="7"/>
      <c r="Y262" s="7"/>
      <c r="AA262" s="7"/>
      <c r="AB262" s="7"/>
      <c r="AD262" s="7"/>
      <c r="AE262" s="7"/>
      <c r="AG262" s="7"/>
      <c r="AH262" s="7"/>
      <c r="AJ262" s="7"/>
      <c r="AK262" s="7"/>
      <c r="AM262" s="7"/>
      <c r="AN262" s="7"/>
      <c r="AP262" s="7"/>
      <c r="AQ262" s="7"/>
      <c r="AS262" s="7"/>
      <c r="AT262" s="7"/>
      <c r="AV262" s="7"/>
      <c r="AW262" s="7"/>
      <c r="AY262" s="7"/>
      <c r="AZ262" s="7"/>
      <c r="BB262" s="7"/>
      <c r="BC262" s="7"/>
      <c r="BE262" s="7"/>
      <c r="BF262" s="7"/>
      <c r="BH262" s="7"/>
      <c r="BI262" s="7"/>
      <c r="BK262" s="7"/>
      <c r="BL262" s="7"/>
      <c r="BN262" s="7"/>
      <c r="BO262" s="7"/>
      <c r="BQ262" s="7"/>
      <c r="BR262" s="7"/>
      <c r="BT262" s="7"/>
      <c r="BU262" s="7"/>
      <c r="BW262" s="7"/>
      <c r="BX262" s="7"/>
      <c r="BZ262" s="7"/>
      <c r="CA262" s="7"/>
      <c r="CC262" s="7"/>
      <c r="CD262" s="7"/>
      <c r="CF262" s="7"/>
      <c r="CG262" s="7"/>
      <c r="CI262" s="7"/>
      <c r="CJ262" s="7"/>
      <c r="CL262" s="7"/>
      <c r="CM262" s="7"/>
      <c r="CO262" s="7"/>
      <c r="CP262" s="7"/>
      <c r="CR262" s="7"/>
      <c r="CS262" s="7"/>
      <c r="CU262" s="7"/>
      <c r="CV262" s="7"/>
      <c r="CX262" s="7"/>
      <c r="CY262" s="7"/>
      <c r="DA262" s="7"/>
      <c r="DB262" s="7"/>
      <c r="DD262" s="7"/>
      <c r="DE262" s="7"/>
      <c r="DG262" s="7"/>
      <c r="DH262" s="7"/>
      <c r="DJ262" s="7"/>
      <c r="DK262" s="7"/>
      <c r="DM262" s="7"/>
      <c r="DN262" s="7"/>
      <c r="DP262" s="7"/>
      <c r="DQ262" s="7"/>
      <c r="DS262" s="7"/>
      <c r="DT262" s="7"/>
      <c r="DV262" s="7"/>
      <c r="DW262" s="7"/>
      <c r="DY262" s="7"/>
      <c r="DZ262" s="7"/>
      <c r="EB262" s="7"/>
      <c r="EC262" s="7"/>
      <c r="EE262" s="7"/>
      <c r="EF262" s="7"/>
      <c r="EH262" s="7"/>
      <c r="EI262" s="7"/>
      <c r="EK262" s="7"/>
      <c r="EL262" s="7"/>
      <c r="EN262" s="7"/>
      <c r="EO262" s="7"/>
      <c r="EQ262" s="7"/>
      <c r="ER262" s="7"/>
      <c r="ET262" s="7"/>
      <c r="EU262" s="7"/>
      <c r="EW262" s="7"/>
      <c r="EX262" s="7"/>
      <c r="EZ262" s="7"/>
      <c r="FA262" s="7"/>
      <c r="FC262" s="7"/>
      <c r="FD262" s="7"/>
      <c r="FF262" s="7"/>
      <c r="FG262" s="7"/>
      <c r="FI262" s="7"/>
      <c r="FJ262" s="7"/>
      <c r="FL262" s="7"/>
      <c r="FM262" s="7"/>
      <c r="FO262" s="7"/>
      <c r="FP262" s="7"/>
      <c r="FR262" s="7"/>
      <c r="FS262" s="7"/>
      <c r="FU262" s="7"/>
      <c r="FV262" s="7"/>
      <c r="FX262" s="7"/>
      <c r="FY262" s="7"/>
      <c r="GA262" s="7"/>
      <c r="GB262" s="7"/>
      <c r="GD262" s="7"/>
      <c r="GE262" s="7"/>
      <c r="GG262" s="7"/>
      <c r="GH262" s="7"/>
      <c r="GJ262" s="7"/>
      <c r="GK262" s="7"/>
      <c r="GV262" s="7"/>
      <c r="GW262" s="7"/>
      <c r="HE262" s="7"/>
      <c r="HF262" s="7"/>
      <c r="HH262" s="7"/>
      <c r="HI262" s="7"/>
      <c r="HQ262" s="7"/>
      <c r="HR262" s="7"/>
      <c r="HT262" s="7"/>
      <c r="HU262" s="7"/>
      <c r="IC262" s="7"/>
      <c r="ID262" s="7"/>
      <c r="IF262" s="7"/>
      <c r="IG262" s="7"/>
      <c r="II262" s="7"/>
      <c r="IJ262" s="7"/>
      <c r="IK262" s="7"/>
      <c r="IL262" s="7"/>
      <c r="IM262" s="7"/>
      <c r="IN262" s="7"/>
      <c r="IP262" s="7"/>
      <c r="IQ262" s="7"/>
      <c r="IR262" s="7"/>
      <c r="IS262" s="7"/>
      <c r="IT262" s="7"/>
      <c r="IU262" s="7"/>
      <c r="IV262" s="7"/>
      <c r="IW262" s="7"/>
      <c r="IX262" s="7"/>
      <c r="IY262" s="7"/>
      <c r="IZ262" s="7"/>
      <c r="JA262" s="7"/>
      <c r="JB262" s="7"/>
      <c r="JC262" s="7"/>
      <c r="JE262" s="7"/>
      <c r="JF262" s="7"/>
      <c r="JH262" s="7"/>
      <c r="JI262" s="7"/>
      <c r="JJ262" s="7"/>
      <c r="JK262" s="7"/>
      <c r="JL262" s="7"/>
      <c r="JM262" s="7"/>
      <c r="JO262" s="7"/>
      <c r="JP262" s="7"/>
      <c r="JQ262" s="7"/>
      <c r="JR262" s="7"/>
      <c r="JT262" s="7"/>
      <c r="JU262" s="7"/>
      <c r="JV262" s="7"/>
      <c r="JW262" s="7"/>
      <c r="JX262" s="7"/>
    </row>
    <row r="263" spans="3:284" x14ac:dyDescent="0.3">
      <c r="C263" s="7"/>
      <c r="D263" s="7"/>
      <c r="F263" s="7"/>
      <c r="G263" s="7"/>
      <c r="I263" s="7"/>
      <c r="J263" s="7"/>
      <c r="L263" s="7"/>
      <c r="M263" s="7"/>
      <c r="O263" s="7"/>
      <c r="P263" s="7"/>
      <c r="R263" s="7"/>
      <c r="S263" s="7"/>
      <c r="U263" s="7"/>
      <c r="V263" s="7"/>
      <c r="X263" s="7"/>
      <c r="Y263" s="7"/>
      <c r="AA263" s="7"/>
      <c r="AB263" s="7"/>
      <c r="AD263" s="7"/>
      <c r="AE263" s="7"/>
      <c r="AG263" s="7"/>
      <c r="AH263" s="7"/>
      <c r="AJ263" s="7"/>
      <c r="AK263" s="7"/>
      <c r="AM263" s="7"/>
      <c r="AN263" s="7"/>
      <c r="AP263" s="7"/>
      <c r="AQ263" s="7"/>
      <c r="AS263" s="7"/>
      <c r="AT263" s="7"/>
      <c r="AV263" s="7"/>
      <c r="AW263" s="7"/>
      <c r="AY263" s="7"/>
      <c r="AZ263" s="7"/>
      <c r="BB263" s="7"/>
      <c r="BC263" s="7"/>
      <c r="BE263" s="7"/>
      <c r="BF263" s="7"/>
      <c r="BH263" s="7"/>
      <c r="BI263" s="7"/>
      <c r="BK263" s="7"/>
      <c r="BL263" s="7"/>
      <c r="BN263" s="7"/>
      <c r="BO263" s="7"/>
      <c r="BQ263" s="7"/>
      <c r="BR263" s="7"/>
      <c r="BT263" s="7"/>
      <c r="BU263" s="7"/>
      <c r="BW263" s="7"/>
      <c r="BX263" s="7"/>
      <c r="BZ263" s="7"/>
      <c r="CA263" s="7"/>
      <c r="CC263" s="7"/>
      <c r="CD263" s="7"/>
      <c r="CF263" s="7"/>
      <c r="CG263" s="7"/>
      <c r="CI263" s="7"/>
      <c r="CJ263" s="7"/>
      <c r="CL263" s="7"/>
      <c r="CM263" s="7"/>
      <c r="CO263" s="7"/>
      <c r="CP263" s="7"/>
      <c r="CR263" s="7"/>
      <c r="CS263" s="7"/>
      <c r="CU263" s="7"/>
      <c r="CV263" s="7"/>
      <c r="CX263" s="7"/>
      <c r="CY263" s="7"/>
      <c r="DA263" s="7"/>
      <c r="DB263" s="7"/>
      <c r="DD263" s="7"/>
      <c r="DE263" s="7"/>
      <c r="DG263" s="7"/>
      <c r="DH263" s="7"/>
      <c r="DJ263" s="7"/>
      <c r="DK263" s="7"/>
      <c r="DM263" s="7"/>
      <c r="DN263" s="7"/>
      <c r="DP263" s="7"/>
      <c r="DQ263" s="7"/>
      <c r="DS263" s="7"/>
      <c r="DT263" s="7"/>
      <c r="DV263" s="7"/>
      <c r="DW263" s="7"/>
      <c r="DY263" s="7"/>
      <c r="DZ263" s="7"/>
      <c r="EB263" s="7"/>
      <c r="EC263" s="7"/>
      <c r="EE263" s="7"/>
      <c r="EF263" s="7"/>
      <c r="EH263" s="7"/>
      <c r="EI263" s="7"/>
      <c r="EK263" s="7"/>
      <c r="EL263" s="7"/>
      <c r="EN263" s="7"/>
      <c r="EO263" s="7"/>
      <c r="EQ263" s="7"/>
      <c r="ER263" s="7"/>
      <c r="ET263" s="7"/>
      <c r="EU263" s="7"/>
      <c r="EW263" s="7"/>
      <c r="EX263" s="7"/>
      <c r="EZ263" s="7"/>
      <c r="FA263" s="7"/>
      <c r="FC263" s="7"/>
      <c r="FD263" s="7"/>
      <c r="FF263" s="7"/>
      <c r="FG263" s="7"/>
      <c r="FI263" s="7"/>
      <c r="FJ263" s="7"/>
      <c r="FL263" s="7"/>
      <c r="FM263" s="7"/>
      <c r="FO263" s="7"/>
      <c r="FP263" s="7"/>
      <c r="FR263" s="7"/>
      <c r="FS263" s="7"/>
      <c r="FU263" s="7"/>
      <c r="FV263" s="7"/>
      <c r="FX263" s="7"/>
      <c r="FY263" s="7"/>
      <c r="GA263" s="7"/>
      <c r="GB263" s="7"/>
      <c r="GD263" s="7"/>
      <c r="GE263" s="7"/>
      <c r="GG263" s="7"/>
      <c r="GH263" s="7"/>
      <c r="GJ263" s="7"/>
      <c r="GK263" s="7"/>
      <c r="GV263" s="7"/>
      <c r="GW263" s="7"/>
      <c r="HE263" s="7"/>
      <c r="HF263" s="7"/>
      <c r="HH263" s="7"/>
      <c r="HI263" s="7"/>
      <c r="HQ263" s="7"/>
      <c r="HR263" s="7"/>
      <c r="HT263" s="7"/>
      <c r="HU263" s="7"/>
      <c r="IC263" s="7"/>
      <c r="ID263" s="7"/>
      <c r="IF263" s="7"/>
      <c r="IG263" s="7"/>
      <c r="II263" s="7"/>
      <c r="IJ263" s="7"/>
      <c r="IK263" s="7"/>
      <c r="IL263" s="7"/>
      <c r="IM263" s="7"/>
      <c r="IN263" s="7"/>
      <c r="IP263" s="7"/>
      <c r="IQ263" s="7"/>
      <c r="IR263" s="7"/>
      <c r="IS263" s="7"/>
      <c r="IT263" s="7"/>
      <c r="IU263" s="7"/>
      <c r="IV263" s="7"/>
      <c r="IW263" s="7"/>
      <c r="IX263" s="7"/>
      <c r="IY263" s="7"/>
      <c r="IZ263" s="7"/>
      <c r="JA263" s="7"/>
      <c r="JB263" s="7"/>
      <c r="JC263" s="7"/>
      <c r="JE263" s="7"/>
      <c r="JF263" s="7"/>
      <c r="JH263" s="7"/>
      <c r="JI263" s="7"/>
      <c r="JJ263" s="7"/>
      <c r="JK263" s="7"/>
      <c r="JL263" s="7"/>
      <c r="JM263" s="7"/>
      <c r="JO263" s="7"/>
      <c r="JP263" s="7"/>
      <c r="JQ263" s="7"/>
      <c r="JR263" s="7"/>
      <c r="JT263" s="7"/>
      <c r="JU263" s="7"/>
      <c r="JV263" s="7"/>
      <c r="JW263" s="7"/>
      <c r="JX263" s="7"/>
    </row>
    <row r="264" spans="3:284" x14ac:dyDescent="0.3">
      <c r="C264" s="7"/>
      <c r="D264" s="7"/>
      <c r="F264" s="7"/>
      <c r="G264" s="7"/>
      <c r="I264" s="7"/>
      <c r="J264" s="7"/>
      <c r="L264" s="7"/>
      <c r="M264" s="7"/>
      <c r="O264" s="7"/>
      <c r="P264" s="7"/>
      <c r="R264" s="7"/>
      <c r="S264" s="7"/>
      <c r="U264" s="7"/>
      <c r="V264" s="7"/>
      <c r="X264" s="7"/>
      <c r="Y264" s="7"/>
      <c r="AA264" s="7"/>
      <c r="AB264" s="7"/>
      <c r="AD264" s="7"/>
      <c r="AE264" s="7"/>
      <c r="AG264" s="7"/>
      <c r="AH264" s="7"/>
      <c r="AJ264" s="7"/>
      <c r="AK264" s="7"/>
      <c r="AM264" s="7"/>
      <c r="AN264" s="7"/>
      <c r="AP264" s="7"/>
      <c r="AQ264" s="7"/>
      <c r="AS264" s="7"/>
      <c r="AT264" s="7"/>
      <c r="AV264" s="7"/>
      <c r="AW264" s="7"/>
      <c r="AY264" s="7"/>
      <c r="AZ264" s="7"/>
      <c r="BB264" s="7"/>
      <c r="BC264" s="7"/>
      <c r="BE264" s="7"/>
      <c r="BF264" s="7"/>
      <c r="BH264" s="7"/>
      <c r="BI264" s="7"/>
      <c r="BK264" s="7"/>
      <c r="BL264" s="7"/>
      <c r="BN264" s="7"/>
      <c r="BO264" s="7"/>
      <c r="BQ264" s="7"/>
      <c r="BR264" s="7"/>
      <c r="BT264" s="7"/>
      <c r="BU264" s="7"/>
      <c r="BW264" s="7"/>
      <c r="BX264" s="7"/>
      <c r="BZ264" s="7"/>
      <c r="CA264" s="7"/>
      <c r="CC264" s="7"/>
      <c r="CD264" s="7"/>
      <c r="CF264" s="7"/>
      <c r="CG264" s="7"/>
      <c r="CI264" s="7"/>
      <c r="CJ264" s="7"/>
      <c r="CL264" s="7"/>
      <c r="CM264" s="7"/>
      <c r="CO264" s="7"/>
      <c r="CP264" s="7"/>
      <c r="CR264" s="7"/>
      <c r="CS264" s="7"/>
      <c r="CU264" s="7"/>
      <c r="CV264" s="7"/>
      <c r="CX264" s="7"/>
      <c r="CY264" s="7"/>
      <c r="DA264" s="7"/>
      <c r="DB264" s="7"/>
      <c r="DD264" s="7"/>
      <c r="DE264" s="7"/>
      <c r="DG264" s="7"/>
      <c r="DH264" s="7"/>
      <c r="DJ264" s="7"/>
      <c r="DK264" s="7"/>
      <c r="DM264" s="7"/>
      <c r="DN264" s="7"/>
      <c r="DP264" s="7"/>
      <c r="DQ264" s="7"/>
      <c r="DS264" s="7"/>
      <c r="DT264" s="7"/>
      <c r="DV264" s="7"/>
      <c r="DW264" s="7"/>
      <c r="DY264" s="7"/>
      <c r="DZ264" s="7"/>
      <c r="EB264" s="7"/>
      <c r="EC264" s="7"/>
      <c r="EE264" s="7"/>
      <c r="EF264" s="7"/>
      <c r="EH264" s="7"/>
      <c r="EI264" s="7"/>
      <c r="EK264" s="7"/>
      <c r="EL264" s="7"/>
      <c r="EN264" s="7"/>
      <c r="EO264" s="7"/>
      <c r="EQ264" s="7"/>
      <c r="ER264" s="7"/>
      <c r="ET264" s="7"/>
      <c r="EU264" s="7"/>
      <c r="EW264" s="7"/>
      <c r="EX264" s="7"/>
      <c r="EZ264" s="7"/>
      <c r="FA264" s="7"/>
      <c r="FC264" s="7"/>
      <c r="FD264" s="7"/>
      <c r="FF264" s="7"/>
      <c r="FG264" s="7"/>
      <c r="FI264" s="7"/>
      <c r="FJ264" s="7"/>
      <c r="FL264" s="7"/>
      <c r="FM264" s="7"/>
      <c r="FO264" s="7"/>
      <c r="FP264" s="7"/>
      <c r="FR264" s="7"/>
      <c r="FS264" s="7"/>
      <c r="FU264" s="7"/>
      <c r="FV264" s="7"/>
      <c r="FX264" s="7"/>
      <c r="FY264" s="7"/>
      <c r="GA264" s="7"/>
      <c r="GB264" s="7"/>
      <c r="GD264" s="7"/>
      <c r="GE264" s="7"/>
      <c r="GG264" s="7"/>
      <c r="GH264" s="7"/>
      <c r="GJ264" s="7"/>
      <c r="GK264" s="7"/>
      <c r="GV264" s="7"/>
      <c r="GW264" s="7"/>
      <c r="HE264" s="7"/>
      <c r="HF264" s="7"/>
      <c r="HH264" s="7"/>
      <c r="HI264" s="7"/>
      <c r="HQ264" s="7"/>
      <c r="HR264" s="7"/>
      <c r="HT264" s="7"/>
      <c r="HU264" s="7"/>
      <c r="IC264" s="7"/>
      <c r="ID264" s="7"/>
      <c r="IF264" s="7"/>
      <c r="IG264" s="7"/>
      <c r="II264" s="7"/>
      <c r="IJ264" s="7"/>
      <c r="IK264" s="7"/>
      <c r="IL264" s="7"/>
      <c r="IM264" s="7"/>
      <c r="IN264" s="7"/>
      <c r="IP264" s="7"/>
      <c r="IQ264" s="7"/>
      <c r="IR264" s="7"/>
      <c r="IS264" s="7"/>
      <c r="IT264" s="7"/>
      <c r="IU264" s="7"/>
      <c r="IV264" s="7"/>
      <c r="IW264" s="7"/>
      <c r="IX264" s="7"/>
      <c r="IY264" s="7"/>
      <c r="IZ264" s="7"/>
      <c r="JA264" s="7"/>
      <c r="JB264" s="7"/>
      <c r="JC264" s="7"/>
      <c r="JE264" s="7"/>
      <c r="JF264" s="7"/>
      <c r="JH264" s="7"/>
      <c r="JI264" s="7"/>
      <c r="JJ264" s="7"/>
      <c r="JK264" s="7"/>
      <c r="JL264" s="7"/>
      <c r="JM264" s="7"/>
      <c r="JO264" s="7"/>
      <c r="JP264" s="7"/>
      <c r="JQ264" s="7"/>
      <c r="JR264" s="7"/>
      <c r="JT264" s="7"/>
      <c r="JU264" s="7"/>
      <c r="JV264" s="7"/>
      <c r="JW264" s="7"/>
      <c r="JX264" s="7"/>
    </row>
    <row r="265" spans="3:284" x14ac:dyDescent="0.3">
      <c r="C265" s="7"/>
      <c r="D265" s="7"/>
      <c r="F265" s="7"/>
      <c r="G265" s="7"/>
      <c r="I265" s="7"/>
      <c r="J265" s="7"/>
      <c r="L265" s="7"/>
      <c r="M265" s="7"/>
      <c r="O265" s="7"/>
      <c r="P265" s="7"/>
      <c r="R265" s="7"/>
      <c r="S265" s="7"/>
      <c r="U265" s="7"/>
      <c r="V265" s="7"/>
      <c r="X265" s="7"/>
      <c r="Y265" s="7"/>
      <c r="AA265" s="7"/>
      <c r="AB265" s="7"/>
      <c r="AD265" s="7"/>
      <c r="AE265" s="7"/>
      <c r="AG265" s="7"/>
      <c r="AH265" s="7"/>
      <c r="AJ265" s="7"/>
      <c r="AK265" s="7"/>
      <c r="AM265" s="7"/>
      <c r="AN265" s="7"/>
      <c r="AP265" s="7"/>
      <c r="AQ265" s="7"/>
      <c r="AS265" s="7"/>
      <c r="AT265" s="7"/>
      <c r="AV265" s="7"/>
      <c r="AW265" s="7"/>
      <c r="AY265" s="7"/>
      <c r="AZ265" s="7"/>
      <c r="BB265" s="7"/>
      <c r="BC265" s="7"/>
      <c r="BE265" s="7"/>
      <c r="BF265" s="7"/>
      <c r="BH265" s="7"/>
      <c r="BI265" s="7"/>
      <c r="BK265" s="7"/>
      <c r="BL265" s="7"/>
      <c r="BN265" s="7"/>
      <c r="BO265" s="7"/>
      <c r="BQ265" s="7"/>
      <c r="BR265" s="7"/>
      <c r="BT265" s="7"/>
      <c r="BU265" s="7"/>
      <c r="BW265" s="7"/>
      <c r="BX265" s="7"/>
      <c r="BZ265" s="7"/>
      <c r="CA265" s="7"/>
      <c r="CC265" s="7"/>
      <c r="CD265" s="7"/>
      <c r="CF265" s="7"/>
      <c r="CG265" s="7"/>
      <c r="CI265" s="7"/>
      <c r="CJ265" s="7"/>
      <c r="CL265" s="7"/>
      <c r="CM265" s="7"/>
      <c r="CO265" s="7"/>
      <c r="CP265" s="7"/>
      <c r="CR265" s="7"/>
      <c r="CS265" s="7"/>
      <c r="CU265" s="7"/>
      <c r="CV265" s="7"/>
      <c r="CX265" s="7"/>
      <c r="CY265" s="7"/>
      <c r="DA265" s="7"/>
      <c r="DB265" s="7"/>
      <c r="DD265" s="7"/>
      <c r="DE265" s="7"/>
      <c r="DG265" s="7"/>
      <c r="DH265" s="7"/>
      <c r="DJ265" s="7"/>
      <c r="DK265" s="7"/>
      <c r="DM265" s="7"/>
      <c r="DN265" s="7"/>
      <c r="DP265" s="7"/>
      <c r="DQ265" s="7"/>
      <c r="DS265" s="7"/>
      <c r="DT265" s="7"/>
      <c r="DV265" s="7"/>
      <c r="DW265" s="7"/>
      <c r="DY265" s="7"/>
      <c r="DZ265" s="7"/>
      <c r="EB265" s="7"/>
      <c r="EC265" s="7"/>
      <c r="EE265" s="7"/>
      <c r="EF265" s="7"/>
      <c r="EH265" s="7"/>
      <c r="EI265" s="7"/>
      <c r="EK265" s="7"/>
      <c r="EL265" s="7"/>
      <c r="EN265" s="7"/>
      <c r="EO265" s="7"/>
      <c r="EQ265" s="7"/>
      <c r="ER265" s="7"/>
      <c r="ET265" s="7"/>
      <c r="EU265" s="7"/>
      <c r="EW265" s="7"/>
      <c r="EX265" s="7"/>
      <c r="EZ265" s="7"/>
      <c r="FA265" s="7"/>
      <c r="FC265" s="7"/>
      <c r="FD265" s="7"/>
      <c r="FF265" s="7"/>
      <c r="FG265" s="7"/>
      <c r="FI265" s="7"/>
      <c r="FJ265" s="7"/>
      <c r="FL265" s="7"/>
      <c r="FM265" s="7"/>
      <c r="FO265" s="7"/>
      <c r="FP265" s="7"/>
      <c r="FR265" s="7"/>
      <c r="FS265" s="7"/>
      <c r="FU265" s="7"/>
      <c r="FV265" s="7"/>
      <c r="FX265" s="7"/>
      <c r="FY265" s="7"/>
      <c r="GA265" s="7"/>
      <c r="GB265" s="7"/>
      <c r="GD265" s="7"/>
      <c r="GE265" s="7"/>
      <c r="GG265" s="7"/>
      <c r="GH265" s="7"/>
      <c r="GJ265" s="7"/>
      <c r="GK265" s="7"/>
      <c r="GV265" s="7"/>
      <c r="GW265" s="7"/>
      <c r="HE265" s="7"/>
      <c r="HF265" s="7"/>
      <c r="HH265" s="7"/>
      <c r="HI265" s="7"/>
      <c r="HQ265" s="7"/>
      <c r="HR265" s="7"/>
      <c r="HT265" s="7"/>
      <c r="HU265" s="7"/>
      <c r="IC265" s="7"/>
      <c r="ID265" s="7"/>
      <c r="IF265" s="7"/>
      <c r="IG265" s="7"/>
      <c r="II265" s="7"/>
      <c r="IJ265" s="7"/>
      <c r="IK265" s="7"/>
      <c r="IL265" s="7"/>
      <c r="IM265" s="7"/>
      <c r="IN265" s="7"/>
      <c r="IP265" s="7"/>
      <c r="IQ265" s="7"/>
      <c r="IR265" s="7"/>
      <c r="IS265" s="7"/>
      <c r="IT265" s="7"/>
      <c r="IU265" s="7"/>
      <c r="IV265" s="7"/>
      <c r="IW265" s="7"/>
      <c r="IX265" s="7"/>
      <c r="IY265" s="7"/>
      <c r="IZ265" s="7"/>
      <c r="JA265" s="7"/>
      <c r="JB265" s="7"/>
      <c r="JC265" s="7"/>
      <c r="JE265" s="7"/>
      <c r="JF265" s="7"/>
      <c r="JH265" s="7"/>
      <c r="JI265" s="7"/>
      <c r="JJ265" s="7"/>
      <c r="JK265" s="7"/>
      <c r="JL265" s="7"/>
      <c r="JM265" s="7"/>
      <c r="JO265" s="7"/>
      <c r="JP265" s="7"/>
      <c r="JQ265" s="7"/>
      <c r="JR265" s="7"/>
      <c r="JT265" s="7"/>
      <c r="JU265" s="7"/>
      <c r="JV265" s="7"/>
      <c r="JW265" s="7"/>
      <c r="JX265" s="7"/>
    </row>
    <row r="266" spans="3:284" x14ac:dyDescent="0.3">
      <c r="C266" s="7"/>
      <c r="D266" s="7"/>
      <c r="F266" s="7"/>
      <c r="G266" s="7"/>
      <c r="I266" s="7"/>
      <c r="J266" s="7"/>
      <c r="L266" s="7"/>
      <c r="M266" s="7"/>
      <c r="O266" s="7"/>
      <c r="P266" s="7"/>
      <c r="R266" s="7"/>
      <c r="S266" s="7"/>
      <c r="U266" s="7"/>
      <c r="V266" s="7"/>
      <c r="X266" s="7"/>
      <c r="Y266" s="7"/>
      <c r="AA266" s="7"/>
      <c r="AB266" s="7"/>
      <c r="AD266" s="7"/>
      <c r="AE266" s="7"/>
      <c r="AG266" s="7"/>
      <c r="AH266" s="7"/>
      <c r="AJ266" s="7"/>
      <c r="AK266" s="7"/>
      <c r="AM266" s="7"/>
      <c r="AN266" s="7"/>
      <c r="AP266" s="7"/>
      <c r="AQ266" s="7"/>
      <c r="AS266" s="7"/>
      <c r="AT266" s="7"/>
      <c r="AV266" s="7"/>
      <c r="AW266" s="7"/>
      <c r="AY266" s="7"/>
      <c r="AZ266" s="7"/>
      <c r="BB266" s="7"/>
      <c r="BC266" s="7"/>
      <c r="BE266" s="7"/>
      <c r="BF266" s="7"/>
      <c r="BH266" s="7"/>
      <c r="BI266" s="7"/>
      <c r="BK266" s="7"/>
      <c r="BL266" s="7"/>
      <c r="BN266" s="7"/>
      <c r="BO266" s="7"/>
      <c r="BQ266" s="7"/>
      <c r="BR266" s="7"/>
      <c r="BT266" s="7"/>
      <c r="BU266" s="7"/>
      <c r="BW266" s="7"/>
      <c r="BX266" s="7"/>
      <c r="BZ266" s="7"/>
      <c r="CA266" s="7"/>
      <c r="CC266" s="7"/>
      <c r="CD266" s="7"/>
      <c r="CF266" s="7"/>
      <c r="CG266" s="7"/>
      <c r="CI266" s="7"/>
      <c r="CJ266" s="7"/>
      <c r="CL266" s="7"/>
      <c r="CM266" s="7"/>
      <c r="CO266" s="7"/>
      <c r="CP266" s="7"/>
      <c r="CR266" s="7"/>
      <c r="CS266" s="7"/>
      <c r="CU266" s="7"/>
      <c r="CV266" s="7"/>
      <c r="CX266" s="7"/>
      <c r="CY266" s="7"/>
      <c r="DA266" s="7"/>
      <c r="DB266" s="7"/>
      <c r="DD266" s="7"/>
      <c r="DE266" s="7"/>
      <c r="DG266" s="7"/>
      <c r="DH266" s="7"/>
      <c r="DJ266" s="7"/>
      <c r="DK266" s="7"/>
      <c r="DM266" s="7"/>
      <c r="DN266" s="7"/>
      <c r="DP266" s="7"/>
      <c r="DQ266" s="7"/>
      <c r="DS266" s="7"/>
      <c r="DT266" s="7"/>
      <c r="DV266" s="7"/>
      <c r="DW266" s="7"/>
      <c r="DY266" s="7"/>
      <c r="DZ266" s="7"/>
      <c r="EB266" s="7"/>
      <c r="EC266" s="7"/>
      <c r="EE266" s="7"/>
      <c r="EF266" s="7"/>
      <c r="EH266" s="7"/>
      <c r="EI266" s="7"/>
      <c r="EK266" s="7"/>
      <c r="EL266" s="7"/>
      <c r="EN266" s="7"/>
      <c r="EO266" s="7"/>
      <c r="EQ266" s="7"/>
      <c r="ER266" s="7"/>
      <c r="ET266" s="7"/>
      <c r="EU266" s="7"/>
      <c r="EW266" s="7"/>
      <c r="EX266" s="7"/>
      <c r="EZ266" s="7"/>
      <c r="FA266" s="7"/>
      <c r="FC266" s="7"/>
      <c r="FD266" s="7"/>
      <c r="FF266" s="7"/>
      <c r="FG266" s="7"/>
      <c r="FI266" s="7"/>
      <c r="FJ266" s="7"/>
      <c r="FL266" s="7"/>
      <c r="FM266" s="7"/>
      <c r="FO266" s="7"/>
      <c r="FP266" s="7"/>
      <c r="FR266" s="7"/>
      <c r="FS266" s="7"/>
      <c r="FU266" s="7"/>
      <c r="FV266" s="7"/>
      <c r="FX266" s="7"/>
      <c r="FY266" s="7"/>
      <c r="GA266" s="7"/>
      <c r="GB266" s="7"/>
      <c r="GD266" s="7"/>
      <c r="GE266" s="7"/>
      <c r="GG266" s="7"/>
      <c r="GH266" s="7"/>
      <c r="GJ266" s="7"/>
      <c r="GK266" s="7"/>
      <c r="GV266" s="7"/>
      <c r="GW266" s="7"/>
      <c r="HE266" s="7"/>
      <c r="HF266" s="7"/>
      <c r="HH266" s="7"/>
      <c r="HI266" s="7"/>
      <c r="HQ266" s="7"/>
      <c r="HR266" s="7"/>
      <c r="HT266" s="7"/>
      <c r="HU266" s="7"/>
      <c r="IC266" s="7"/>
      <c r="ID266" s="7"/>
      <c r="IF266" s="7"/>
      <c r="IG266" s="7"/>
      <c r="II266" s="7"/>
      <c r="IJ266" s="7"/>
      <c r="IK266" s="7"/>
      <c r="IL266" s="7"/>
      <c r="IM266" s="7"/>
      <c r="IN266" s="7"/>
      <c r="IP266" s="7"/>
      <c r="IQ266" s="7"/>
      <c r="IR266" s="7"/>
      <c r="IS266" s="7"/>
      <c r="IT266" s="7"/>
      <c r="IU266" s="7"/>
      <c r="IV266" s="7"/>
      <c r="IW266" s="7"/>
      <c r="IX266" s="7"/>
      <c r="IY266" s="7"/>
      <c r="IZ266" s="7"/>
      <c r="JA266" s="7"/>
      <c r="JB266" s="7"/>
      <c r="JC266" s="7"/>
      <c r="JE266" s="7"/>
      <c r="JF266" s="7"/>
      <c r="JH266" s="7"/>
      <c r="JI266" s="7"/>
      <c r="JJ266" s="7"/>
      <c r="JK266" s="7"/>
      <c r="JL266" s="7"/>
      <c r="JM266" s="7"/>
      <c r="JO266" s="7"/>
      <c r="JP266" s="7"/>
      <c r="JQ266" s="7"/>
      <c r="JR266" s="7"/>
      <c r="JT266" s="7"/>
      <c r="JU266" s="7"/>
      <c r="JV266" s="7"/>
      <c r="JW266" s="7"/>
      <c r="JX266" s="7"/>
    </row>
    <row r="267" spans="3:284" x14ac:dyDescent="0.3">
      <c r="C267" s="7"/>
      <c r="D267" s="7"/>
      <c r="F267" s="7"/>
      <c r="G267" s="7"/>
      <c r="I267" s="7"/>
      <c r="J267" s="7"/>
      <c r="L267" s="7"/>
      <c r="M267" s="7"/>
      <c r="O267" s="7"/>
      <c r="P267" s="7"/>
      <c r="R267" s="7"/>
      <c r="S267" s="7"/>
      <c r="U267" s="7"/>
      <c r="V267" s="7"/>
      <c r="X267" s="7"/>
      <c r="Y267" s="7"/>
      <c r="AA267" s="7"/>
      <c r="AB267" s="7"/>
      <c r="AD267" s="7"/>
      <c r="AE267" s="7"/>
      <c r="AG267" s="7"/>
      <c r="AH267" s="7"/>
      <c r="AJ267" s="7"/>
      <c r="AK267" s="7"/>
      <c r="AM267" s="7"/>
      <c r="AN267" s="7"/>
      <c r="AP267" s="7"/>
      <c r="AQ267" s="7"/>
      <c r="AS267" s="7"/>
      <c r="AT267" s="7"/>
      <c r="AV267" s="7"/>
      <c r="AW267" s="7"/>
      <c r="AY267" s="7"/>
      <c r="AZ267" s="7"/>
      <c r="BB267" s="7"/>
      <c r="BC267" s="7"/>
      <c r="BE267" s="7"/>
      <c r="BF267" s="7"/>
      <c r="BH267" s="7"/>
      <c r="BI267" s="7"/>
      <c r="BK267" s="7"/>
      <c r="BL267" s="7"/>
      <c r="BN267" s="7"/>
      <c r="BO267" s="7"/>
      <c r="BQ267" s="7"/>
      <c r="BR267" s="7"/>
      <c r="BT267" s="7"/>
      <c r="BU267" s="7"/>
      <c r="BW267" s="7"/>
      <c r="BX267" s="7"/>
      <c r="BZ267" s="7"/>
      <c r="CA267" s="7"/>
      <c r="CC267" s="7"/>
      <c r="CD267" s="7"/>
      <c r="CF267" s="7"/>
      <c r="CG267" s="7"/>
      <c r="CI267" s="7"/>
      <c r="CJ267" s="7"/>
      <c r="CL267" s="7"/>
      <c r="CM267" s="7"/>
      <c r="CO267" s="7"/>
      <c r="CP267" s="7"/>
      <c r="CR267" s="7"/>
      <c r="CS267" s="7"/>
      <c r="CU267" s="7"/>
      <c r="CV267" s="7"/>
      <c r="CX267" s="7"/>
      <c r="CY267" s="7"/>
      <c r="DA267" s="7"/>
      <c r="DB267" s="7"/>
      <c r="DD267" s="7"/>
      <c r="DE267" s="7"/>
      <c r="DG267" s="7"/>
      <c r="DH267" s="7"/>
      <c r="DJ267" s="7"/>
      <c r="DK267" s="7"/>
      <c r="DM267" s="7"/>
      <c r="DN267" s="7"/>
      <c r="DP267" s="7"/>
      <c r="DQ267" s="7"/>
      <c r="DS267" s="7"/>
      <c r="DT267" s="7"/>
      <c r="DV267" s="7"/>
      <c r="DW267" s="7"/>
      <c r="DY267" s="7"/>
      <c r="DZ267" s="7"/>
      <c r="EB267" s="7"/>
      <c r="EC267" s="7"/>
      <c r="EE267" s="7"/>
      <c r="EF267" s="7"/>
      <c r="EH267" s="7"/>
      <c r="EI267" s="7"/>
      <c r="EK267" s="7"/>
      <c r="EL267" s="7"/>
      <c r="EN267" s="7"/>
      <c r="EO267" s="7"/>
      <c r="EQ267" s="7"/>
      <c r="ER267" s="7"/>
      <c r="ET267" s="7"/>
      <c r="EU267" s="7"/>
      <c r="EW267" s="7"/>
      <c r="EX267" s="7"/>
      <c r="EZ267" s="7"/>
      <c r="FA267" s="7"/>
      <c r="FC267" s="7"/>
      <c r="FD267" s="7"/>
      <c r="FF267" s="7"/>
      <c r="FG267" s="7"/>
      <c r="FI267" s="7"/>
      <c r="FJ267" s="7"/>
      <c r="FL267" s="7"/>
      <c r="FM267" s="7"/>
      <c r="FO267" s="7"/>
      <c r="FP267" s="7"/>
      <c r="FR267" s="7"/>
      <c r="FS267" s="7"/>
      <c r="FU267" s="7"/>
      <c r="FV267" s="7"/>
      <c r="FX267" s="7"/>
      <c r="FY267" s="7"/>
      <c r="GA267" s="7"/>
      <c r="GB267" s="7"/>
      <c r="GD267" s="7"/>
      <c r="GE267" s="7"/>
      <c r="GG267" s="7"/>
      <c r="GH267" s="7"/>
      <c r="GJ267" s="7"/>
      <c r="GK267" s="7"/>
      <c r="GV267" s="7"/>
      <c r="GW267" s="7"/>
      <c r="HE267" s="7"/>
      <c r="HF267" s="7"/>
      <c r="HH267" s="7"/>
      <c r="HI267" s="7"/>
      <c r="HQ267" s="7"/>
      <c r="HR267" s="7"/>
      <c r="HT267" s="7"/>
      <c r="HU267" s="7"/>
      <c r="IC267" s="7"/>
      <c r="ID267" s="7"/>
      <c r="IF267" s="7"/>
      <c r="IG267" s="7"/>
      <c r="II267" s="7"/>
      <c r="IJ267" s="7"/>
      <c r="IK267" s="7"/>
      <c r="IL267" s="7"/>
      <c r="IM267" s="7"/>
      <c r="IN267" s="7"/>
      <c r="IP267" s="7"/>
      <c r="IQ267" s="7"/>
      <c r="IR267" s="7"/>
      <c r="IS267" s="7"/>
      <c r="IT267" s="7"/>
      <c r="IU267" s="7"/>
      <c r="IV267" s="7"/>
      <c r="IW267" s="7"/>
      <c r="IX267" s="7"/>
      <c r="IY267" s="7"/>
      <c r="IZ267" s="7"/>
      <c r="JA267" s="7"/>
      <c r="JB267" s="7"/>
      <c r="JC267" s="7"/>
      <c r="JE267" s="7"/>
      <c r="JF267" s="7"/>
      <c r="JH267" s="7"/>
      <c r="JI267" s="7"/>
      <c r="JJ267" s="7"/>
      <c r="JK267" s="7"/>
      <c r="JL267" s="7"/>
      <c r="JM267" s="7"/>
      <c r="JO267" s="7"/>
      <c r="JP267" s="7"/>
      <c r="JQ267" s="7"/>
      <c r="JR267" s="7"/>
      <c r="JT267" s="7"/>
      <c r="JU267" s="7"/>
      <c r="JV267" s="7"/>
      <c r="JW267" s="7"/>
      <c r="JX267" s="7"/>
    </row>
    <row r="268" spans="3:284" x14ac:dyDescent="0.3">
      <c r="C268" s="7"/>
      <c r="D268" s="7"/>
      <c r="F268" s="7"/>
      <c r="G268" s="7"/>
      <c r="I268" s="7"/>
      <c r="J268" s="7"/>
      <c r="L268" s="7"/>
      <c r="M268" s="7"/>
      <c r="O268" s="7"/>
      <c r="P268" s="7"/>
      <c r="R268" s="7"/>
      <c r="S268" s="7"/>
      <c r="U268" s="7"/>
      <c r="V268" s="7"/>
      <c r="X268" s="7"/>
      <c r="Y268" s="7"/>
      <c r="AA268" s="7"/>
      <c r="AB268" s="7"/>
      <c r="AD268" s="7"/>
      <c r="AE268" s="7"/>
      <c r="AG268" s="7"/>
      <c r="AH268" s="7"/>
      <c r="AJ268" s="7"/>
      <c r="AK268" s="7"/>
      <c r="AM268" s="7"/>
      <c r="AN268" s="7"/>
      <c r="AP268" s="7"/>
      <c r="AQ268" s="7"/>
      <c r="AS268" s="7"/>
      <c r="AT268" s="7"/>
      <c r="AV268" s="7"/>
      <c r="AW268" s="7"/>
      <c r="AY268" s="7"/>
      <c r="AZ268" s="7"/>
      <c r="BB268" s="7"/>
      <c r="BC268" s="7"/>
      <c r="BE268" s="7"/>
      <c r="BF268" s="7"/>
      <c r="BH268" s="7"/>
      <c r="BI268" s="7"/>
      <c r="BK268" s="7"/>
      <c r="BL268" s="7"/>
      <c r="BN268" s="7"/>
      <c r="BO268" s="7"/>
      <c r="BQ268" s="7"/>
      <c r="BR268" s="7"/>
      <c r="BT268" s="7"/>
      <c r="BU268" s="7"/>
      <c r="BW268" s="7"/>
      <c r="BX268" s="7"/>
      <c r="BZ268" s="7"/>
      <c r="CA268" s="7"/>
      <c r="CC268" s="7"/>
      <c r="CD268" s="7"/>
      <c r="CF268" s="7"/>
      <c r="CG268" s="7"/>
      <c r="CI268" s="7"/>
      <c r="CJ268" s="7"/>
      <c r="CL268" s="7"/>
      <c r="CM268" s="7"/>
      <c r="CO268" s="7"/>
      <c r="CP268" s="7"/>
      <c r="CR268" s="7"/>
      <c r="CS268" s="7"/>
      <c r="CU268" s="7"/>
      <c r="CV268" s="7"/>
      <c r="CX268" s="7"/>
      <c r="CY268" s="7"/>
      <c r="DA268" s="7"/>
      <c r="DB268" s="7"/>
      <c r="DD268" s="7"/>
      <c r="DE268" s="7"/>
      <c r="DG268" s="7"/>
      <c r="DH268" s="7"/>
      <c r="DJ268" s="7"/>
      <c r="DK268" s="7"/>
      <c r="DM268" s="7"/>
      <c r="DN268" s="7"/>
      <c r="DP268" s="7"/>
      <c r="DQ268" s="7"/>
      <c r="DS268" s="7"/>
      <c r="DT268" s="7"/>
      <c r="DV268" s="7"/>
      <c r="DW268" s="7"/>
      <c r="DY268" s="7"/>
      <c r="DZ268" s="7"/>
      <c r="EB268" s="7"/>
      <c r="EC268" s="7"/>
      <c r="EE268" s="7"/>
      <c r="EF268" s="7"/>
      <c r="EH268" s="7"/>
      <c r="EI268" s="7"/>
      <c r="EK268" s="7"/>
      <c r="EL268" s="7"/>
      <c r="EN268" s="7"/>
      <c r="EO268" s="7"/>
      <c r="EQ268" s="7"/>
      <c r="ER268" s="7"/>
      <c r="ET268" s="7"/>
      <c r="EU268" s="7"/>
      <c r="EW268" s="7"/>
      <c r="EX268" s="7"/>
      <c r="EZ268" s="7"/>
      <c r="FA268" s="7"/>
      <c r="FC268" s="7"/>
      <c r="FD268" s="7"/>
      <c r="FF268" s="7"/>
      <c r="FG268" s="7"/>
      <c r="FI268" s="7"/>
      <c r="FJ268" s="7"/>
      <c r="FL268" s="7"/>
      <c r="FM268" s="7"/>
      <c r="FO268" s="7"/>
      <c r="FP268" s="7"/>
      <c r="FR268" s="7"/>
      <c r="FS268" s="7"/>
      <c r="FU268" s="7"/>
      <c r="FV268" s="7"/>
      <c r="FX268" s="7"/>
      <c r="FY268" s="7"/>
      <c r="GA268" s="7"/>
      <c r="GB268" s="7"/>
      <c r="GD268" s="7"/>
      <c r="GE268" s="7"/>
      <c r="GG268" s="7"/>
      <c r="GH268" s="7"/>
      <c r="GJ268" s="7"/>
      <c r="GK268" s="7"/>
      <c r="GV268" s="7"/>
      <c r="GW268" s="7"/>
      <c r="HE268" s="7"/>
      <c r="HF268" s="7"/>
      <c r="HH268" s="7"/>
      <c r="HI268" s="7"/>
      <c r="HQ268" s="7"/>
      <c r="HR268" s="7"/>
      <c r="HT268" s="7"/>
      <c r="HU268" s="7"/>
      <c r="IC268" s="7"/>
      <c r="ID268" s="7"/>
      <c r="IF268" s="7"/>
      <c r="IG268" s="7"/>
      <c r="II268" s="7"/>
      <c r="IJ268" s="7"/>
      <c r="IK268" s="7"/>
      <c r="IL268" s="7"/>
      <c r="IM268" s="7"/>
      <c r="IN268" s="7"/>
      <c r="IP268" s="7"/>
      <c r="IQ268" s="7"/>
      <c r="IR268" s="7"/>
      <c r="IS268" s="7"/>
      <c r="IT268" s="7"/>
      <c r="IU268" s="7"/>
      <c r="IV268" s="7"/>
      <c r="IW268" s="7"/>
      <c r="IX268" s="7"/>
      <c r="IY268" s="7"/>
      <c r="IZ268" s="7"/>
      <c r="JA268" s="7"/>
      <c r="JB268" s="7"/>
      <c r="JC268" s="7"/>
      <c r="JE268" s="7"/>
      <c r="JF268" s="7"/>
      <c r="JH268" s="7"/>
      <c r="JI268" s="7"/>
      <c r="JJ268" s="7"/>
      <c r="JK268" s="7"/>
      <c r="JL268" s="7"/>
      <c r="JM268" s="7"/>
      <c r="JO268" s="7"/>
      <c r="JP268" s="7"/>
      <c r="JQ268" s="7"/>
      <c r="JR268" s="7"/>
      <c r="JT268" s="7"/>
      <c r="JU268" s="7"/>
      <c r="JV268" s="7"/>
      <c r="JW268" s="7"/>
      <c r="JX268" s="7"/>
    </row>
    <row r="269" spans="3:284" x14ac:dyDescent="0.3">
      <c r="C269" s="7"/>
      <c r="D269" s="7"/>
      <c r="F269" s="7"/>
      <c r="G269" s="7"/>
      <c r="I269" s="7"/>
      <c r="J269" s="7"/>
      <c r="L269" s="7"/>
      <c r="M269" s="7"/>
      <c r="O269" s="7"/>
      <c r="P269" s="7"/>
      <c r="R269" s="7"/>
      <c r="S269" s="7"/>
      <c r="U269" s="7"/>
      <c r="V269" s="7"/>
      <c r="X269" s="7"/>
      <c r="Y269" s="7"/>
      <c r="AA269" s="7"/>
      <c r="AB269" s="7"/>
      <c r="AD269" s="7"/>
      <c r="AE269" s="7"/>
      <c r="AG269" s="7"/>
      <c r="AH269" s="7"/>
      <c r="AJ269" s="7"/>
      <c r="AK269" s="7"/>
      <c r="AM269" s="7"/>
      <c r="AN269" s="7"/>
      <c r="AP269" s="7"/>
      <c r="AQ269" s="7"/>
      <c r="AS269" s="7"/>
      <c r="AT269" s="7"/>
      <c r="AV269" s="7"/>
      <c r="AW269" s="7"/>
      <c r="AY269" s="7"/>
      <c r="AZ269" s="7"/>
      <c r="BB269" s="7"/>
      <c r="BC269" s="7"/>
      <c r="BE269" s="7"/>
      <c r="BF269" s="7"/>
      <c r="BH269" s="7"/>
      <c r="BI269" s="7"/>
      <c r="BK269" s="7"/>
      <c r="BL269" s="7"/>
      <c r="BN269" s="7"/>
      <c r="BO269" s="7"/>
      <c r="BQ269" s="7"/>
      <c r="BR269" s="7"/>
      <c r="BT269" s="7"/>
      <c r="BU269" s="7"/>
      <c r="BW269" s="7"/>
      <c r="BX269" s="7"/>
      <c r="BZ269" s="7"/>
      <c r="CA269" s="7"/>
      <c r="CC269" s="7"/>
      <c r="CD269" s="7"/>
      <c r="CF269" s="7"/>
      <c r="CG269" s="7"/>
      <c r="CI269" s="7"/>
      <c r="CJ269" s="7"/>
      <c r="CL269" s="7"/>
      <c r="CM269" s="7"/>
      <c r="CO269" s="7"/>
      <c r="CP269" s="7"/>
      <c r="CR269" s="7"/>
      <c r="CS269" s="7"/>
      <c r="CU269" s="7"/>
      <c r="CV269" s="7"/>
      <c r="CX269" s="7"/>
      <c r="CY269" s="7"/>
      <c r="DA269" s="7"/>
      <c r="DB269" s="7"/>
      <c r="DD269" s="7"/>
      <c r="DE269" s="7"/>
      <c r="DG269" s="7"/>
      <c r="DH269" s="7"/>
      <c r="DJ269" s="7"/>
      <c r="DK269" s="7"/>
      <c r="DM269" s="7"/>
      <c r="DN269" s="7"/>
      <c r="DP269" s="7"/>
      <c r="DQ269" s="7"/>
      <c r="DS269" s="7"/>
      <c r="DT269" s="7"/>
      <c r="DV269" s="7"/>
      <c r="DW269" s="7"/>
      <c r="DY269" s="7"/>
      <c r="DZ269" s="7"/>
      <c r="EB269" s="7"/>
      <c r="EC269" s="7"/>
      <c r="EE269" s="7"/>
      <c r="EF269" s="7"/>
      <c r="EH269" s="7"/>
      <c r="EI269" s="7"/>
      <c r="EK269" s="7"/>
      <c r="EL269" s="7"/>
      <c r="EN269" s="7"/>
      <c r="EO269" s="7"/>
      <c r="EQ269" s="7"/>
      <c r="ER269" s="7"/>
      <c r="ET269" s="7"/>
      <c r="EU269" s="7"/>
      <c r="EW269" s="7"/>
      <c r="EX269" s="7"/>
      <c r="EZ269" s="7"/>
      <c r="FA269" s="7"/>
      <c r="FC269" s="7"/>
      <c r="FD269" s="7"/>
      <c r="FF269" s="7"/>
      <c r="FG269" s="7"/>
      <c r="FI269" s="7"/>
      <c r="FJ269" s="7"/>
      <c r="FL269" s="7"/>
      <c r="FM269" s="7"/>
      <c r="FO269" s="7"/>
      <c r="FP269" s="7"/>
      <c r="FR269" s="7"/>
      <c r="FS269" s="7"/>
      <c r="FU269" s="7"/>
      <c r="FV269" s="7"/>
      <c r="FX269" s="7"/>
      <c r="FY269" s="7"/>
      <c r="GA269" s="7"/>
      <c r="GB269" s="7"/>
      <c r="GD269" s="7"/>
      <c r="GE269" s="7"/>
      <c r="GG269" s="7"/>
      <c r="GH269" s="7"/>
      <c r="GJ269" s="7"/>
      <c r="GK269" s="7"/>
      <c r="GV269" s="7"/>
      <c r="GW269" s="7"/>
      <c r="HE269" s="7"/>
      <c r="HF269" s="7"/>
      <c r="HH269" s="7"/>
      <c r="HI269" s="7"/>
      <c r="HQ269" s="7"/>
      <c r="HR269" s="7"/>
      <c r="HT269" s="7"/>
      <c r="HU269" s="7"/>
      <c r="IC269" s="7"/>
      <c r="ID269" s="7"/>
      <c r="IF269" s="7"/>
      <c r="IG269" s="7"/>
      <c r="II269" s="7"/>
      <c r="IJ269" s="7"/>
      <c r="IK269" s="7"/>
      <c r="IL269" s="7"/>
      <c r="IM269" s="7"/>
      <c r="IN269" s="7"/>
      <c r="IP269" s="7"/>
      <c r="IQ269" s="7"/>
      <c r="IR269" s="7"/>
      <c r="IS269" s="7"/>
      <c r="IT269" s="7"/>
      <c r="IU269" s="7"/>
      <c r="IV269" s="7"/>
      <c r="IW269" s="7"/>
      <c r="IX269" s="7"/>
      <c r="IY269" s="7"/>
      <c r="IZ269" s="7"/>
      <c r="JA269" s="7"/>
      <c r="JB269" s="7"/>
      <c r="JC269" s="7"/>
      <c r="JE269" s="7"/>
      <c r="JF269" s="7"/>
      <c r="JH269" s="7"/>
      <c r="JI269" s="7"/>
      <c r="JJ269" s="7"/>
      <c r="JK269" s="7"/>
      <c r="JL269" s="7"/>
      <c r="JM269" s="7"/>
      <c r="JO269" s="7"/>
      <c r="JP269" s="7"/>
      <c r="JQ269" s="7"/>
      <c r="JR269" s="7"/>
      <c r="JT269" s="7"/>
      <c r="JU269" s="7"/>
      <c r="JV269" s="7"/>
      <c r="JW269" s="7"/>
      <c r="JX269" s="7"/>
    </row>
    <row r="270" spans="3:284" x14ac:dyDescent="0.3">
      <c r="C270" s="7"/>
      <c r="D270" s="7"/>
      <c r="F270" s="7"/>
      <c r="G270" s="7"/>
      <c r="I270" s="7"/>
      <c r="J270" s="7"/>
      <c r="L270" s="7"/>
      <c r="M270" s="7"/>
      <c r="O270" s="7"/>
      <c r="P270" s="7"/>
      <c r="R270" s="7"/>
      <c r="S270" s="7"/>
      <c r="U270" s="7"/>
      <c r="V270" s="7"/>
      <c r="X270" s="7"/>
      <c r="Y270" s="7"/>
      <c r="AA270" s="7"/>
      <c r="AB270" s="7"/>
      <c r="AD270" s="7"/>
      <c r="AE270" s="7"/>
      <c r="AG270" s="7"/>
      <c r="AH270" s="7"/>
      <c r="AJ270" s="7"/>
      <c r="AK270" s="7"/>
      <c r="AM270" s="7"/>
      <c r="AN270" s="7"/>
      <c r="AP270" s="7"/>
      <c r="AQ270" s="7"/>
      <c r="AS270" s="7"/>
      <c r="AT270" s="7"/>
      <c r="AV270" s="7"/>
      <c r="AW270" s="7"/>
      <c r="AY270" s="7"/>
      <c r="AZ270" s="7"/>
      <c r="BB270" s="7"/>
      <c r="BC270" s="7"/>
      <c r="BE270" s="7"/>
      <c r="BF270" s="7"/>
      <c r="BH270" s="7"/>
      <c r="BI270" s="7"/>
      <c r="BK270" s="7"/>
      <c r="BL270" s="7"/>
      <c r="BN270" s="7"/>
      <c r="BO270" s="7"/>
      <c r="BQ270" s="7"/>
      <c r="BR270" s="7"/>
      <c r="BT270" s="7"/>
      <c r="BU270" s="7"/>
      <c r="BW270" s="7"/>
      <c r="BX270" s="7"/>
      <c r="BZ270" s="7"/>
      <c r="CA270" s="7"/>
      <c r="CC270" s="7"/>
      <c r="CD270" s="7"/>
      <c r="CF270" s="7"/>
      <c r="CG270" s="7"/>
      <c r="CI270" s="7"/>
      <c r="CJ270" s="7"/>
      <c r="CL270" s="7"/>
      <c r="CM270" s="7"/>
      <c r="CO270" s="7"/>
      <c r="CP270" s="7"/>
      <c r="CR270" s="7"/>
      <c r="CS270" s="7"/>
      <c r="CU270" s="7"/>
      <c r="CV270" s="7"/>
      <c r="CX270" s="7"/>
      <c r="CY270" s="7"/>
      <c r="DA270" s="7"/>
      <c r="DB270" s="7"/>
      <c r="DD270" s="7"/>
      <c r="DE270" s="7"/>
      <c r="DG270" s="7"/>
      <c r="DH270" s="7"/>
      <c r="DJ270" s="7"/>
      <c r="DK270" s="7"/>
      <c r="DM270" s="7"/>
      <c r="DN270" s="7"/>
      <c r="DP270" s="7"/>
      <c r="DQ270" s="7"/>
      <c r="DS270" s="7"/>
      <c r="DT270" s="7"/>
      <c r="DV270" s="7"/>
      <c r="DW270" s="7"/>
      <c r="DY270" s="7"/>
      <c r="DZ270" s="7"/>
      <c r="EB270" s="7"/>
      <c r="EC270" s="7"/>
      <c r="EE270" s="7"/>
      <c r="EF270" s="7"/>
      <c r="EH270" s="7"/>
      <c r="EI270" s="7"/>
      <c r="EK270" s="7"/>
      <c r="EL270" s="7"/>
      <c r="EN270" s="7"/>
      <c r="EO270" s="7"/>
      <c r="EQ270" s="7"/>
      <c r="ER270" s="7"/>
      <c r="ET270" s="7"/>
      <c r="EU270" s="7"/>
      <c r="EW270" s="7"/>
      <c r="EX270" s="7"/>
      <c r="EZ270" s="7"/>
      <c r="FA270" s="7"/>
      <c r="FC270" s="7"/>
      <c r="FD270" s="7"/>
      <c r="FF270" s="7"/>
      <c r="FG270" s="7"/>
      <c r="FI270" s="7"/>
      <c r="FJ270" s="7"/>
      <c r="FL270" s="7"/>
      <c r="FM270" s="7"/>
      <c r="FO270" s="7"/>
      <c r="FP270" s="7"/>
      <c r="FR270" s="7"/>
      <c r="FS270" s="7"/>
      <c r="FU270" s="7"/>
      <c r="FV270" s="7"/>
      <c r="FX270" s="7"/>
      <c r="FY270" s="7"/>
      <c r="GA270" s="7"/>
      <c r="GB270" s="7"/>
      <c r="GD270" s="7"/>
      <c r="GE270" s="7"/>
      <c r="GG270" s="7"/>
      <c r="GH270" s="7"/>
      <c r="GJ270" s="7"/>
      <c r="GK270" s="7"/>
      <c r="GV270" s="7"/>
      <c r="GW270" s="7"/>
      <c r="HE270" s="7"/>
      <c r="HF270" s="7"/>
      <c r="HH270" s="7"/>
      <c r="HI270" s="7"/>
      <c r="HQ270" s="7"/>
      <c r="HR270" s="7"/>
      <c r="HT270" s="7"/>
      <c r="HU270" s="7"/>
      <c r="IC270" s="7"/>
      <c r="ID270" s="7"/>
      <c r="IF270" s="7"/>
      <c r="IG270" s="7"/>
      <c r="II270" s="7"/>
      <c r="IJ270" s="7"/>
      <c r="IK270" s="7"/>
      <c r="IL270" s="7"/>
      <c r="IM270" s="7"/>
      <c r="IN270" s="7"/>
      <c r="IP270" s="7"/>
      <c r="IQ270" s="7"/>
      <c r="IR270" s="7"/>
      <c r="IS270" s="7"/>
      <c r="IT270" s="7"/>
      <c r="IU270" s="7"/>
      <c r="IV270" s="7"/>
      <c r="IW270" s="7"/>
      <c r="IX270" s="7"/>
      <c r="IY270" s="7"/>
      <c r="IZ270" s="7"/>
      <c r="JA270" s="7"/>
      <c r="JB270" s="7"/>
      <c r="JC270" s="7"/>
      <c r="JE270" s="7"/>
      <c r="JF270" s="7"/>
      <c r="JH270" s="7"/>
      <c r="JI270" s="7"/>
      <c r="JJ270" s="7"/>
      <c r="JK270" s="7"/>
      <c r="JL270" s="7"/>
      <c r="JM270" s="7"/>
      <c r="JO270" s="7"/>
      <c r="JP270" s="7"/>
      <c r="JQ270" s="7"/>
      <c r="JR270" s="7"/>
      <c r="JT270" s="7"/>
      <c r="JU270" s="7"/>
      <c r="JV270" s="7"/>
      <c r="JW270" s="7"/>
      <c r="JX270" s="7"/>
    </row>
    <row r="271" spans="3:284" x14ac:dyDescent="0.3">
      <c r="C271" s="7"/>
      <c r="D271" s="7"/>
      <c r="F271" s="7"/>
      <c r="G271" s="7"/>
      <c r="I271" s="7"/>
      <c r="J271" s="7"/>
      <c r="L271" s="7"/>
      <c r="M271" s="7"/>
      <c r="O271" s="7"/>
      <c r="P271" s="7"/>
      <c r="R271" s="7"/>
      <c r="S271" s="7"/>
      <c r="U271" s="7"/>
      <c r="V271" s="7"/>
      <c r="X271" s="7"/>
      <c r="Y271" s="7"/>
      <c r="AA271" s="7"/>
      <c r="AB271" s="7"/>
      <c r="AD271" s="7"/>
      <c r="AE271" s="7"/>
      <c r="AG271" s="7"/>
      <c r="AH271" s="7"/>
      <c r="AJ271" s="7"/>
      <c r="AK271" s="7"/>
      <c r="AM271" s="7"/>
      <c r="AN271" s="7"/>
      <c r="AP271" s="7"/>
      <c r="AQ271" s="7"/>
      <c r="AS271" s="7"/>
      <c r="AT271" s="7"/>
      <c r="AV271" s="7"/>
      <c r="AW271" s="7"/>
      <c r="AY271" s="7"/>
      <c r="AZ271" s="7"/>
      <c r="BB271" s="7"/>
      <c r="BC271" s="7"/>
      <c r="BE271" s="7"/>
      <c r="BF271" s="7"/>
      <c r="BH271" s="7"/>
      <c r="BI271" s="7"/>
      <c r="BK271" s="7"/>
      <c r="BL271" s="7"/>
      <c r="BN271" s="7"/>
      <c r="BO271" s="7"/>
      <c r="BQ271" s="7"/>
      <c r="BR271" s="7"/>
      <c r="BT271" s="7"/>
      <c r="BU271" s="7"/>
      <c r="BW271" s="7"/>
      <c r="BX271" s="7"/>
      <c r="BZ271" s="7"/>
      <c r="CA271" s="7"/>
      <c r="CC271" s="7"/>
      <c r="CD271" s="7"/>
      <c r="CF271" s="7"/>
      <c r="CG271" s="7"/>
      <c r="CI271" s="7"/>
      <c r="CJ271" s="7"/>
      <c r="CL271" s="7"/>
      <c r="CM271" s="7"/>
      <c r="CO271" s="7"/>
      <c r="CP271" s="7"/>
      <c r="CR271" s="7"/>
      <c r="CS271" s="7"/>
      <c r="CU271" s="7"/>
      <c r="CV271" s="7"/>
      <c r="CX271" s="7"/>
      <c r="CY271" s="7"/>
      <c r="DA271" s="7"/>
      <c r="DB271" s="7"/>
      <c r="DD271" s="7"/>
      <c r="DE271" s="7"/>
      <c r="DG271" s="7"/>
      <c r="DH271" s="7"/>
      <c r="DJ271" s="7"/>
      <c r="DK271" s="7"/>
      <c r="DM271" s="7"/>
      <c r="DN271" s="7"/>
      <c r="DP271" s="7"/>
      <c r="DQ271" s="7"/>
      <c r="DS271" s="7"/>
      <c r="DT271" s="7"/>
      <c r="DV271" s="7"/>
      <c r="DW271" s="7"/>
      <c r="DY271" s="7"/>
      <c r="DZ271" s="7"/>
      <c r="EB271" s="7"/>
      <c r="EC271" s="7"/>
      <c r="EE271" s="7"/>
      <c r="EF271" s="7"/>
      <c r="EH271" s="7"/>
      <c r="EI271" s="7"/>
      <c r="EK271" s="7"/>
      <c r="EL271" s="7"/>
      <c r="EN271" s="7"/>
      <c r="EO271" s="7"/>
      <c r="EQ271" s="7"/>
      <c r="ER271" s="7"/>
      <c r="ET271" s="7"/>
      <c r="EU271" s="7"/>
      <c r="EW271" s="7"/>
      <c r="EX271" s="7"/>
      <c r="EZ271" s="7"/>
      <c r="FA271" s="7"/>
      <c r="FC271" s="7"/>
      <c r="FD271" s="7"/>
      <c r="FF271" s="7"/>
      <c r="FG271" s="7"/>
      <c r="FI271" s="7"/>
      <c r="FJ271" s="7"/>
      <c r="FL271" s="7"/>
      <c r="FM271" s="7"/>
      <c r="FO271" s="7"/>
      <c r="FP271" s="7"/>
      <c r="FR271" s="7"/>
      <c r="FS271" s="7"/>
      <c r="FU271" s="7"/>
      <c r="FV271" s="7"/>
      <c r="FX271" s="7"/>
      <c r="FY271" s="7"/>
      <c r="GA271" s="7"/>
      <c r="GB271" s="7"/>
      <c r="GD271" s="7"/>
      <c r="GE271" s="7"/>
      <c r="GG271" s="7"/>
      <c r="GH271" s="7"/>
      <c r="GJ271" s="7"/>
      <c r="GK271" s="7"/>
      <c r="GV271" s="7"/>
      <c r="GW271" s="7"/>
      <c r="HE271" s="7"/>
      <c r="HF271" s="7"/>
      <c r="HH271" s="7"/>
      <c r="HI271" s="7"/>
      <c r="HQ271" s="7"/>
      <c r="HR271" s="7"/>
      <c r="HT271" s="7"/>
      <c r="HU271" s="7"/>
      <c r="IC271" s="7"/>
      <c r="ID271" s="7"/>
      <c r="IF271" s="7"/>
      <c r="IG271" s="7"/>
      <c r="II271" s="7"/>
      <c r="IJ271" s="7"/>
      <c r="IK271" s="7"/>
      <c r="IL271" s="7"/>
      <c r="IM271" s="7"/>
      <c r="IN271" s="7"/>
      <c r="IP271" s="7"/>
      <c r="IQ271" s="7"/>
      <c r="IR271" s="7"/>
      <c r="IS271" s="7"/>
      <c r="IT271" s="7"/>
      <c r="IU271" s="7"/>
      <c r="IV271" s="7"/>
      <c r="IW271" s="7"/>
      <c r="IX271" s="7"/>
      <c r="IY271" s="7"/>
      <c r="IZ271" s="7"/>
      <c r="JA271" s="7"/>
      <c r="JB271" s="7"/>
      <c r="JC271" s="7"/>
      <c r="JE271" s="7"/>
      <c r="JF271" s="7"/>
      <c r="JH271" s="7"/>
      <c r="JI271" s="7"/>
      <c r="JJ271" s="7"/>
      <c r="JK271" s="7"/>
      <c r="JL271" s="7"/>
      <c r="JM271" s="7"/>
      <c r="JO271" s="7"/>
      <c r="JP271" s="7"/>
      <c r="JQ271" s="7"/>
      <c r="JR271" s="7"/>
      <c r="JT271" s="7"/>
      <c r="JU271" s="7"/>
      <c r="JV271" s="7"/>
      <c r="JW271" s="7"/>
      <c r="JX271" s="7"/>
    </row>
    <row r="272" spans="3:284" x14ac:dyDescent="0.3">
      <c r="C272" s="7"/>
      <c r="D272" s="7"/>
      <c r="F272" s="7"/>
      <c r="G272" s="7"/>
      <c r="I272" s="7"/>
      <c r="J272" s="7"/>
      <c r="L272" s="7"/>
      <c r="M272" s="7"/>
      <c r="O272" s="7"/>
      <c r="P272" s="7"/>
      <c r="R272" s="7"/>
      <c r="S272" s="7"/>
      <c r="U272" s="7"/>
      <c r="V272" s="7"/>
      <c r="X272" s="7"/>
      <c r="Y272" s="7"/>
      <c r="AA272" s="7"/>
      <c r="AB272" s="7"/>
      <c r="AD272" s="7"/>
      <c r="AE272" s="7"/>
      <c r="AG272" s="7"/>
      <c r="AH272" s="7"/>
      <c r="AJ272" s="7"/>
      <c r="AK272" s="7"/>
      <c r="AM272" s="7"/>
      <c r="AN272" s="7"/>
      <c r="AP272" s="7"/>
      <c r="AQ272" s="7"/>
      <c r="AS272" s="7"/>
      <c r="AT272" s="7"/>
      <c r="AV272" s="7"/>
      <c r="AW272" s="7"/>
      <c r="AY272" s="7"/>
      <c r="AZ272" s="7"/>
      <c r="BB272" s="7"/>
      <c r="BC272" s="7"/>
      <c r="BE272" s="7"/>
      <c r="BF272" s="7"/>
      <c r="BH272" s="7"/>
      <c r="BI272" s="7"/>
      <c r="BK272" s="7"/>
      <c r="BL272" s="7"/>
      <c r="BN272" s="7"/>
      <c r="BO272" s="7"/>
      <c r="BQ272" s="7"/>
      <c r="BR272" s="7"/>
      <c r="BT272" s="7"/>
      <c r="BU272" s="7"/>
      <c r="BW272" s="7"/>
      <c r="BX272" s="7"/>
      <c r="BZ272" s="7"/>
      <c r="CA272" s="7"/>
      <c r="CC272" s="7"/>
      <c r="CD272" s="7"/>
      <c r="CF272" s="7"/>
      <c r="CG272" s="7"/>
      <c r="CI272" s="7"/>
      <c r="CJ272" s="7"/>
      <c r="CL272" s="7"/>
      <c r="CM272" s="7"/>
      <c r="CO272" s="7"/>
      <c r="CP272" s="7"/>
      <c r="CR272" s="7"/>
      <c r="CS272" s="7"/>
      <c r="CU272" s="7"/>
      <c r="CV272" s="7"/>
      <c r="CX272" s="7"/>
      <c r="CY272" s="7"/>
      <c r="DA272" s="7"/>
      <c r="DB272" s="7"/>
      <c r="DD272" s="7"/>
      <c r="DE272" s="7"/>
      <c r="DG272" s="7"/>
      <c r="DH272" s="7"/>
      <c r="DJ272" s="7"/>
      <c r="DK272" s="7"/>
      <c r="DM272" s="7"/>
      <c r="DN272" s="7"/>
      <c r="DP272" s="7"/>
      <c r="DQ272" s="7"/>
      <c r="DS272" s="7"/>
      <c r="DT272" s="7"/>
      <c r="DV272" s="7"/>
      <c r="DW272" s="7"/>
      <c r="DY272" s="7"/>
      <c r="DZ272" s="7"/>
      <c r="EB272" s="7"/>
      <c r="EC272" s="7"/>
      <c r="EE272" s="7"/>
      <c r="EF272" s="7"/>
      <c r="EH272" s="7"/>
      <c r="EI272" s="7"/>
      <c r="EK272" s="7"/>
      <c r="EL272" s="7"/>
      <c r="EN272" s="7"/>
      <c r="EO272" s="7"/>
      <c r="EQ272" s="7"/>
      <c r="ER272" s="7"/>
      <c r="ET272" s="7"/>
      <c r="EU272" s="7"/>
      <c r="EW272" s="7"/>
      <c r="EX272" s="7"/>
      <c r="EZ272" s="7"/>
      <c r="FA272" s="7"/>
      <c r="FC272" s="7"/>
      <c r="FD272" s="7"/>
      <c r="FF272" s="7"/>
      <c r="FG272" s="7"/>
      <c r="FI272" s="7"/>
      <c r="FJ272" s="7"/>
      <c r="FL272" s="7"/>
      <c r="FM272" s="7"/>
      <c r="FO272" s="7"/>
      <c r="FP272" s="7"/>
      <c r="FR272" s="7"/>
      <c r="FS272" s="7"/>
      <c r="FU272" s="7"/>
      <c r="FV272" s="7"/>
      <c r="FX272" s="7"/>
      <c r="FY272" s="7"/>
      <c r="GA272" s="7"/>
      <c r="GB272" s="7"/>
      <c r="GD272" s="7"/>
      <c r="GE272" s="7"/>
      <c r="GG272" s="7"/>
      <c r="GH272" s="7"/>
      <c r="GJ272" s="7"/>
      <c r="GK272" s="7"/>
      <c r="GV272" s="7"/>
      <c r="GW272" s="7"/>
      <c r="HE272" s="7"/>
      <c r="HF272" s="7"/>
      <c r="HH272" s="7"/>
      <c r="HI272" s="7"/>
      <c r="HQ272" s="7"/>
      <c r="HR272" s="7"/>
      <c r="HT272" s="7"/>
      <c r="HU272" s="7"/>
      <c r="IC272" s="7"/>
      <c r="ID272" s="7"/>
      <c r="IF272" s="7"/>
      <c r="IG272" s="7"/>
      <c r="II272" s="7"/>
      <c r="IJ272" s="7"/>
      <c r="IK272" s="7"/>
      <c r="IL272" s="7"/>
      <c r="IM272" s="7"/>
      <c r="IN272" s="7"/>
      <c r="IP272" s="7"/>
      <c r="IQ272" s="7"/>
      <c r="IR272" s="7"/>
      <c r="IS272" s="7"/>
      <c r="IT272" s="7"/>
      <c r="IU272" s="7"/>
      <c r="IV272" s="7"/>
      <c r="IW272" s="7"/>
      <c r="IX272" s="7"/>
      <c r="IY272" s="7"/>
      <c r="IZ272" s="7"/>
      <c r="JA272" s="7"/>
      <c r="JB272" s="7"/>
      <c r="JC272" s="7"/>
      <c r="JE272" s="7"/>
      <c r="JF272" s="7"/>
      <c r="JH272" s="7"/>
      <c r="JI272" s="7"/>
      <c r="JJ272" s="7"/>
      <c r="JK272" s="7"/>
      <c r="JL272" s="7"/>
      <c r="JM272" s="7"/>
      <c r="JO272" s="7"/>
      <c r="JP272" s="7"/>
      <c r="JQ272" s="7"/>
      <c r="JR272" s="7"/>
      <c r="JT272" s="7"/>
      <c r="JU272" s="7"/>
      <c r="JV272" s="7"/>
      <c r="JW272" s="7"/>
      <c r="JX272" s="7"/>
    </row>
    <row r="273" spans="3:284" x14ac:dyDescent="0.3">
      <c r="C273" s="7"/>
      <c r="D273" s="7"/>
      <c r="F273" s="7"/>
      <c r="G273" s="7"/>
      <c r="I273" s="7"/>
      <c r="J273" s="7"/>
      <c r="L273" s="7"/>
      <c r="M273" s="7"/>
      <c r="O273" s="7"/>
      <c r="P273" s="7"/>
      <c r="R273" s="7"/>
      <c r="S273" s="7"/>
      <c r="U273" s="7"/>
      <c r="V273" s="7"/>
      <c r="X273" s="7"/>
      <c r="Y273" s="7"/>
      <c r="AA273" s="7"/>
      <c r="AB273" s="7"/>
      <c r="AD273" s="7"/>
      <c r="AE273" s="7"/>
      <c r="AG273" s="7"/>
      <c r="AH273" s="7"/>
      <c r="AJ273" s="7"/>
      <c r="AK273" s="7"/>
      <c r="AM273" s="7"/>
      <c r="AN273" s="7"/>
      <c r="AP273" s="7"/>
      <c r="AQ273" s="7"/>
      <c r="AS273" s="7"/>
      <c r="AT273" s="7"/>
      <c r="AV273" s="7"/>
      <c r="AW273" s="7"/>
      <c r="AY273" s="7"/>
      <c r="AZ273" s="7"/>
      <c r="BB273" s="7"/>
      <c r="BC273" s="7"/>
      <c r="BE273" s="7"/>
      <c r="BF273" s="7"/>
      <c r="BH273" s="7"/>
      <c r="BI273" s="7"/>
      <c r="BK273" s="7"/>
      <c r="BL273" s="7"/>
      <c r="BN273" s="7"/>
      <c r="BO273" s="7"/>
      <c r="BQ273" s="7"/>
      <c r="BR273" s="7"/>
      <c r="BT273" s="7"/>
      <c r="BU273" s="7"/>
      <c r="BW273" s="7"/>
      <c r="BX273" s="7"/>
      <c r="BZ273" s="7"/>
      <c r="CA273" s="7"/>
      <c r="CC273" s="7"/>
      <c r="CD273" s="7"/>
      <c r="CF273" s="7"/>
      <c r="CG273" s="7"/>
      <c r="CI273" s="7"/>
      <c r="CJ273" s="7"/>
      <c r="CL273" s="7"/>
      <c r="CM273" s="7"/>
      <c r="CO273" s="7"/>
      <c r="CP273" s="7"/>
      <c r="CR273" s="7"/>
      <c r="CS273" s="7"/>
      <c r="CU273" s="7"/>
      <c r="CV273" s="7"/>
      <c r="CX273" s="7"/>
      <c r="CY273" s="7"/>
      <c r="DA273" s="7"/>
      <c r="DB273" s="7"/>
      <c r="DD273" s="7"/>
      <c r="DE273" s="7"/>
      <c r="DG273" s="7"/>
      <c r="DH273" s="7"/>
      <c r="DJ273" s="7"/>
      <c r="DK273" s="7"/>
      <c r="DM273" s="7"/>
      <c r="DN273" s="7"/>
      <c r="DP273" s="7"/>
      <c r="DQ273" s="7"/>
      <c r="DS273" s="7"/>
      <c r="DT273" s="7"/>
      <c r="DV273" s="7"/>
      <c r="DW273" s="7"/>
      <c r="DY273" s="7"/>
      <c r="DZ273" s="7"/>
      <c r="EB273" s="7"/>
      <c r="EC273" s="7"/>
      <c r="EE273" s="7"/>
      <c r="EF273" s="7"/>
      <c r="EH273" s="7"/>
      <c r="EI273" s="7"/>
      <c r="EK273" s="7"/>
      <c r="EL273" s="7"/>
      <c r="EN273" s="7"/>
      <c r="EO273" s="7"/>
      <c r="EQ273" s="7"/>
      <c r="ER273" s="7"/>
      <c r="ET273" s="7"/>
      <c r="EU273" s="7"/>
      <c r="EW273" s="7"/>
      <c r="EX273" s="7"/>
      <c r="EZ273" s="7"/>
      <c r="FA273" s="7"/>
      <c r="FC273" s="7"/>
      <c r="FD273" s="7"/>
      <c r="FF273" s="7"/>
      <c r="FG273" s="7"/>
      <c r="FI273" s="7"/>
      <c r="FJ273" s="7"/>
      <c r="FL273" s="7"/>
      <c r="FM273" s="7"/>
      <c r="FO273" s="7"/>
      <c r="FP273" s="7"/>
      <c r="FR273" s="7"/>
      <c r="FS273" s="7"/>
      <c r="FU273" s="7"/>
      <c r="FV273" s="7"/>
      <c r="FX273" s="7"/>
      <c r="FY273" s="7"/>
      <c r="GA273" s="7"/>
      <c r="GB273" s="7"/>
      <c r="GD273" s="7"/>
      <c r="GE273" s="7"/>
      <c r="GG273" s="7"/>
      <c r="GH273" s="7"/>
      <c r="GJ273" s="7"/>
      <c r="GK273" s="7"/>
      <c r="GV273" s="7"/>
      <c r="GW273" s="7"/>
      <c r="HE273" s="7"/>
      <c r="HF273" s="7"/>
      <c r="HH273" s="7"/>
      <c r="HI273" s="7"/>
      <c r="HQ273" s="7"/>
      <c r="HR273" s="7"/>
      <c r="HT273" s="7"/>
      <c r="HU273" s="7"/>
      <c r="IC273" s="7"/>
      <c r="ID273" s="7"/>
      <c r="IF273" s="7"/>
      <c r="IG273" s="7"/>
      <c r="II273" s="7"/>
      <c r="IJ273" s="7"/>
      <c r="IK273" s="7"/>
      <c r="IL273" s="7"/>
      <c r="IM273" s="7"/>
      <c r="IN273" s="7"/>
      <c r="IP273" s="7"/>
      <c r="IQ273" s="7"/>
      <c r="IR273" s="7"/>
      <c r="IS273" s="7"/>
      <c r="IT273" s="7"/>
      <c r="IU273" s="7"/>
      <c r="IV273" s="7"/>
      <c r="IW273" s="7"/>
      <c r="IX273" s="7"/>
      <c r="IY273" s="7"/>
      <c r="IZ273" s="7"/>
      <c r="JA273" s="7"/>
      <c r="JB273" s="7"/>
      <c r="JC273" s="7"/>
      <c r="JE273" s="7"/>
      <c r="JF273" s="7"/>
      <c r="JH273" s="7"/>
      <c r="JI273" s="7"/>
      <c r="JJ273" s="7"/>
      <c r="JK273" s="7"/>
      <c r="JL273" s="7"/>
      <c r="JM273" s="7"/>
      <c r="JO273" s="7"/>
      <c r="JP273" s="7"/>
      <c r="JQ273" s="7"/>
      <c r="JR273" s="7"/>
      <c r="JT273" s="7"/>
      <c r="JU273" s="7"/>
      <c r="JV273" s="7"/>
      <c r="JW273" s="7"/>
      <c r="JX273" s="7"/>
    </row>
    <row r="274" spans="3:284" x14ac:dyDescent="0.3">
      <c r="C274" s="7"/>
      <c r="D274" s="7"/>
      <c r="F274" s="7"/>
      <c r="G274" s="7"/>
      <c r="I274" s="7"/>
      <c r="J274" s="7"/>
      <c r="L274" s="7"/>
      <c r="M274" s="7"/>
      <c r="O274" s="7"/>
      <c r="P274" s="7"/>
      <c r="R274" s="7"/>
      <c r="S274" s="7"/>
      <c r="U274" s="7"/>
      <c r="V274" s="7"/>
      <c r="X274" s="7"/>
      <c r="Y274" s="7"/>
      <c r="AA274" s="7"/>
      <c r="AB274" s="7"/>
      <c r="AD274" s="7"/>
      <c r="AE274" s="7"/>
      <c r="AG274" s="7"/>
      <c r="AH274" s="7"/>
      <c r="AJ274" s="7"/>
      <c r="AK274" s="7"/>
      <c r="AM274" s="7"/>
      <c r="AN274" s="7"/>
      <c r="AP274" s="7"/>
      <c r="AQ274" s="7"/>
      <c r="AS274" s="7"/>
      <c r="AT274" s="7"/>
      <c r="AV274" s="7"/>
      <c r="AW274" s="7"/>
      <c r="AY274" s="7"/>
      <c r="AZ274" s="7"/>
      <c r="BB274" s="7"/>
      <c r="BC274" s="7"/>
      <c r="BE274" s="7"/>
      <c r="BF274" s="7"/>
      <c r="BH274" s="7"/>
      <c r="BI274" s="7"/>
      <c r="BK274" s="7"/>
      <c r="BL274" s="7"/>
      <c r="BN274" s="7"/>
      <c r="BO274" s="7"/>
      <c r="BQ274" s="7"/>
      <c r="BR274" s="7"/>
      <c r="BT274" s="7"/>
      <c r="BU274" s="7"/>
      <c r="BW274" s="7"/>
      <c r="BX274" s="7"/>
      <c r="BZ274" s="7"/>
      <c r="CA274" s="7"/>
      <c r="CC274" s="7"/>
      <c r="CD274" s="7"/>
      <c r="CF274" s="7"/>
      <c r="CG274" s="7"/>
      <c r="CI274" s="7"/>
      <c r="CJ274" s="7"/>
      <c r="CL274" s="7"/>
      <c r="CM274" s="7"/>
      <c r="CO274" s="7"/>
      <c r="CP274" s="7"/>
      <c r="CR274" s="7"/>
      <c r="CS274" s="7"/>
      <c r="CU274" s="7"/>
      <c r="CV274" s="7"/>
      <c r="CX274" s="7"/>
      <c r="CY274" s="7"/>
      <c r="DA274" s="7"/>
      <c r="DB274" s="7"/>
      <c r="DD274" s="7"/>
      <c r="DE274" s="7"/>
      <c r="DG274" s="7"/>
      <c r="DH274" s="7"/>
      <c r="DJ274" s="7"/>
      <c r="DK274" s="7"/>
      <c r="DM274" s="7"/>
      <c r="DN274" s="7"/>
      <c r="DP274" s="7"/>
      <c r="DQ274" s="7"/>
      <c r="DS274" s="7"/>
      <c r="DT274" s="7"/>
      <c r="DV274" s="7"/>
      <c r="DW274" s="7"/>
      <c r="DY274" s="7"/>
      <c r="DZ274" s="7"/>
      <c r="EB274" s="7"/>
      <c r="EC274" s="7"/>
      <c r="EE274" s="7"/>
      <c r="EF274" s="7"/>
      <c r="EH274" s="7"/>
      <c r="EI274" s="7"/>
      <c r="EK274" s="7"/>
      <c r="EL274" s="7"/>
      <c r="EN274" s="7"/>
      <c r="EO274" s="7"/>
      <c r="EQ274" s="7"/>
      <c r="ER274" s="7"/>
      <c r="ET274" s="7"/>
      <c r="EU274" s="7"/>
      <c r="EW274" s="7"/>
      <c r="EX274" s="7"/>
      <c r="EZ274" s="7"/>
      <c r="FA274" s="7"/>
      <c r="FC274" s="7"/>
      <c r="FD274" s="7"/>
      <c r="FF274" s="7"/>
      <c r="FG274" s="7"/>
      <c r="FI274" s="7"/>
      <c r="FJ274" s="7"/>
      <c r="FL274" s="7"/>
      <c r="FM274" s="7"/>
      <c r="FO274" s="7"/>
      <c r="FP274" s="7"/>
      <c r="FR274" s="7"/>
      <c r="FS274" s="7"/>
      <c r="FU274" s="7"/>
      <c r="FV274" s="7"/>
      <c r="FX274" s="7"/>
      <c r="FY274" s="7"/>
      <c r="GA274" s="7"/>
      <c r="GB274" s="7"/>
      <c r="GD274" s="7"/>
      <c r="GE274" s="7"/>
      <c r="GG274" s="7"/>
      <c r="GH274" s="7"/>
      <c r="GJ274" s="7"/>
      <c r="GK274" s="7"/>
      <c r="GV274" s="7"/>
      <c r="GW274" s="7"/>
      <c r="HE274" s="7"/>
      <c r="HF274" s="7"/>
      <c r="HH274" s="7"/>
      <c r="HI274" s="7"/>
      <c r="HQ274" s="7"/>
      <c r="HR274" s="7"/>
      <c r="HT274" s="7"/>
      <c r="HU274" s="7"/>
      <c r="IC274" s="7"/>
      <c r="ID274" s="7"/>
      <c r="IF274" s="7"/>
      <c r="IG274" s="7"/>
      <c r="II274" s="7"/>
      <c r="IJ274" s="7"/>
      <c r="IK274" s="7"/>
      <c r="IL274" s="7"/>
      <c r="IM274" s="7"/>
      <c r="IN274" s="7"/>
      <c r="IP274" s="7"/>
      <c r="IQ274" s="7"/>
      <c r="IR274" s="7"/>
      <c r="IS274" s="7"/>
      <c r="IT274" s="7"/>
      <c r="IU274" s="7"/>
      <c r="IV274" s="7"/>
      <c r="IW274" s="7"/>
      <c r="IX274" s="7"/>
      <c r="IY274" s="7"/>
      <c r="IZ274" s="7"/>
      <c r="JA274" s="7"/>
      <c r="JB274" s="7"/>
      <c r="JC274" s="7"/>
      <c r="JE274" s="7"/>
      <c r="JF274" s="7"/>
      <c r="JH274" s="7"/>
      <c r="JI274" s="7"/>
      <c r="JJ274" s="7"/>
      <c r="JK274" s="7"/>
      <c r="JL274" s="7"/>
      <c r="JM274" s="7"/>
      <c r="JO274" s="7"/>
      <c r="JP274" s="7"/>
      <c r="JQ274" s="7"/>
      <c r="JR274" s="7"/>
      <c r="JT274" s="7"/>
      <c r="JU274" s="7"/>
      <c r="JV274" s="7"/>
      <c r="JW274" s="7"/>
      <c r="JX274" s="7"/>
    </row>
    <row r="275" spans="3:284" x14ac:dyDescent="0.3">
      <c r="C275" s="7"/>
      <c r="D275" s="7"/>
      <c r="F275" s="7"/>
      <c r="G275" s="7"/>
      <c r="I275" s="7"/>
      <c r="J275" s="7"/>
      <c r="L275" s="7"/>
      <c r="M275" s="7"/>
      <c r="O275" s="7"/>
      <c r="P275" s="7"/>
      <c r="R275" s="7"/>
      <c r="S275" s="7"/>
      <c r="U275" s="7"/>
      <c r="V275" s="7"/>
      <c r="X275" s="7"/>
      <c r="Y275" s="7"/>
      <c r="AA275" s="7"/>
      <c r="AB275" s="7"/>
      <c r="AD275" s="7"/>
      <c r="AE275" s="7"/>
      <c r="AG275" s="7"/>
      <c r="AH275" s="7"/>
      <c r="AJ275" s="7"/>
      <c r="AK275" s="7"/>
      <c r="AM275" s="7"/>
      <c r="AN275" s="7"/>
      <c r="AP275" s="7"/>
      <c r="AQ275" s="7"/>
      <c r="AS275" s="7"/>
      <c r="AT275" s="7"/>
      <c r="AV275" s="7"/>
      <c r="AW275" s="7"/>
      <c r="AY275" s="7"/>
      <c r="AZ275" s="7"/>
      <c r="BB275" s="7"/>
      <c r="BC275" s="7"/>
      <c r="BE275" s="7"/>
      <c r="BF275" s="7"/>
      <c r="BH275" s="7"/>
      <c r="BI275" s="7"/>
      <c r="BK275" s="7"/>
      <c r="BL275" s="7"/>
      <c r="BN275" s="7"/>
      <c r="BO275" s="7"/>
      <c r="BQ275" s="7"/>
      <c r="BR275" s="7"/>
      <c r="BT275" s="7"/>
      <c r="BU275" s="7"/>
      <c r="BW275" s="7"/>
      <c r="BX275" s="7"/>
      <c r="BZ275" s="7"/>
      <c r="CA275" s="7"/>
      <c r="CC275" s="7"/>
      <c r="CD275" s="7"/>
      <c r="CF275" s="7"/>
      <c r="CG275" s="7"/>
      <c r="CI275" s="7"/>
      <c r="CJ275" s="7"/>
      <c r="CL275" s="7"/>
      <c r="CM275" s="7"/>
      <c r="CO275" s="7"/>
      <c r="CP275" s="7"/>
      <c r="CR275" s="7"/>
      <c r="CS275" s="7"/>
      <c r="CU275" s="7"/>
      <c r="CV275" s="7"/>
      <c r="CX275" s="7"/>
      <c r="CY275" s="7"/>
      <c r="DA275" s="7"/>
      <c r="DB275" s="7"/>
      <c r="DD275" s="7"/>
      <c r="DE275" s="7"/>
      <c r="DG275" s="7"/>
      <c r="DH275" s="7"/>
      <c r="DJ275" s="7"/>
      <c r="DK275" s="7"/>
      <c r="DM275" s="7"/>
      <c r="DN275" s="7"/>
      <c r="DP275" s="7"/>
      <c r="DQ275" s="7"/>
      <c r="DS275" s="7"/>
      <c r="DT275" s="7"/>
      <c r="DV275" s="7"/>
      <c r="DW275" s="7"/>
      <c r="DY275" s="7"/>
      <c r="DZ275" s="7"/>
      <c r="EB275" s="7"/>
      <c r="EC275" s="7"/>
      <c r="EE275" s="7"/>
      <c r="EF275" s="7"/>
      <c r="EH275" s="7"/>
      <c r="EI275" s="7"/>
      <c r="EK275" s="7"/>
      <c r="EL275" s="7"/>
      <c r="EN275" s="7"/>
      <c r="EO275" s="7"/>
      <c r="EQ275" s="7"/>
      <c r="ER275" s="7"/>
      <c r="ET275" s="7"/>
      <c r="EU275" s="7"/>
      <c r="EW275" s="7"/>
      <c r="EX275" s="7"/>
      <c r="EZ275" s="7"/>
      <c r="FA275" s="7"/>
      <c r="FC275" s="7"/>
      <c r="FD275" s="7"/>
      <c r="FF275" s="7"/>
      <c r="FG275" s="7"/>
      <c r="FI275" s="7"/>
      <c r="FJ275" s="7"/>
      <c r="FL275" s="7"/>
      <c r="FM275" s="7"/>
      <c r="FO275" s="7"/>
      <c r="FP275" s="7"/>
      <c r="FR275" s="7"/>
      <c r="FS275" s="7"/>
      <c r="FU275" s="7"/>
      <c r="FV275" s="7"/>
      <c r="FX275" s="7"/>
      <c r="FY275" s="7"/>
      <c r="GA275" s="7"/>
      <c r="GB275" s="7"/>
      <c r="GD275" s="7"/>
      <c r="GE275" s="7"/>
      <c r="GG275" s="7"/>
      <c r="GH275" s="7"/>
      <c r="GJ275" s="7"/>
      <c r="GK275" s="7"/>
      <c r="GV275" s="7"/>
      <c r="GW275" s="7"/>
      <c r="HE275" s="7"/>
      <c r="HF275" s="7"/>
      <c r="HH275" s="7"/>
      <c r="HI275" s="7"/>
      <c r="HQ275" s="7"/>
      <c r="HR275" s="7"/>
      <c r="HT275" s="7"/>
      <c r="HU275" s="7"/>
      <c r="IC275" s="7"/>
      <c r="ID275" s="7"/>
      <c r="IF275" s="7"/>
      <c r="IG275" s="7"/>
      <c r="II275" s="7"/>
      <c r="IJ275" s="7"/>
      <c r="IK275" s="7"/>
      <c r="IL275" s="7"/>
      <c r="IM275" s="7"/>
      <c r="IN275" s="7"/>
      <c r="IP275" s="7"/>
      <c r="IQ275" s="7"/>
      <c r="IR275" s="7"/>
      <c r="IS275" s="7"/>
      <c r="IT275" s="7"/>
      <c r="IU275" s="7"/>
      <c r="IV275" s="7"/>
      <c r="IW275" s="7"/>
      <c r="IX275" s="7"/>
      <c r="IY275" s="7"/>
      <c r="IZ275" s="7"/>
      <c r="JA275" s="7"/>
      <c r="JB275" s="7"/>
      <c r="JC275" s="7"/>
      <c r="JE275" s="7"/>
      <c r="JF275" s="7"/>
      <c r="JH275" s="7"/>
      <c r="JI275" s="7"/>
      <c r="JJ275" s="7"/>
      <c r="JK275" s="7"/>
      <c r="JL275" s="7"/>
      <c r="JM275" s="7"/>
      <c r="JO275" s="7"/>
      <c r="JP275" s="7"/>
      <c r="JQ275" s="7"/>
      <c r="JR275" s="7"/>
      <c r="JT275" s="7"/>
      <c r="JU275" s="7"/>
      <c r="JV275" s="7"/>
      <c r="JW275" s="7"/>
      <c r="JX275" s="7"/>
    </row>
    <row r="276" spans="3:284" x14ac:dyDescent="0.3">
      <c r="C276" s="7"/>
      <c r="D276" s="7"/>
      <c r="F276" s="7"/>
      <c r="G276" s="7"/>
      <c r="I276" s="7"/>
      <c r="J276" s="7"/>
      <c r="L276" s="7"/>
      <c r="M276" s="7"/>
      <c r="O276" s="7"/>
      <c r="P276" s="7"/>
      <c r="R276" s="7"/>
      <c r="S276" s="7"/>
      <c r="U276" s="7"/>
      <c r="V276" s="7"/>
      <c r="X276" s="7"/>
      <c r="Y276" s="7"/>
      <c r="AA276" s="7"/>
      <c r="AB276" s="7"/>
      <c r="AD276" s="7"/>
      <c r="AE276" s="7"/>
      <c r="AG276" s="7"/>
      <c r="AH276" s="7"/>
      <c r="AJ276" s="7"/>
      <c r="AK276" s="7"/>
      <c r="AM276" s="7"/>
      <c r="AN276" s="7"/>
      <c r="AP276" s="7"/>
      <c r="AQ276" s="7"/>
      <c r="AS276" s="7"/>
      <c r="AT276" s="7"/>
      <c r="AV276" s="7"/>
      <c r="AW276" s="7"/>
      <c r="AY276" s="7"/>
      <c r="AZ276" s="7"/>
      <c r="BB276" s="7"/>
      <c r="BC276" s="7"/>
      <c r="BE276" s="7"/>
      <c r="BF276" s="7"/>
      <c r="BH276" s="7"/>
      <c r="BI276" s="7"/>
      <c r="BK276" s="7"/>
      <c r="BL276" s="7"/>
      <c r="BN276" s="7"/>
      <c r="BO276" s="7"/>
      <c r="BQ276" s="7"/>
      <c r="BR276" s="7"/>
      <c r="BT276" s="7"/>
      <c r="BU276" s="7"/>
      <c r="BW276" s="7"/>
      <c r="BX276" s="7"/>
      <c r="BZ276" s="7"/>
      <c r="CA276" s="7"/>
      <c r="CC276" s="7"/>
      <c r="CD276" s="7"/>
      <c r="CF276" s="7"/>
      <c r="CG276" s="7"/>
      <c r="CI276" s="7"/>
      <c r="CJ276" s="7"/>
      <c r="CL276" s="7"/>
      <c r="CM276" s="7"/>
      <c r="CO276" s="7"/>
      <c r="CP276" s="7"/>
      <c r="CR276" s="7"/>
      <c r="CS276" s="7"/>
      <c r="CU276" s="7"/>
      <c r="CV276" s="7"/>
      <c r="CX276" s="7"/>
      <c r="CY276" s="7"/>
      <c r="DA276" s="7"/>
      <c r="DB276" s="7"/>
      <c r="DD276" s="7"/>
      <c r="DE276" s="7"/>
      <c r="DG276" s="7"/>
      <c r="DH276" s="7"/>
      <c r="DJ276" s="7"/>
      <c r="DK276" s="7"/>
      <c r="DM276" s="7"/>
      <c r="DN276" s="7"/>
      <c r="DP276" s="7"/>
      <c r="DQ276" s="7"/>
      <c r="DS276" s="7"/>
      <c r="DT276" s="7"/>
      <c r="DV276" s="7"/>
      <c r="DW276" s="7"/>
      <c r="DY276" s="7"/>
      <c r="DZ276" s="7"/>
      <c r="EB276" s="7"/>
      <c r="EC276" s="7"/>
      <c r="EE276" s="7"/>
      <c r="EF276" s="7"/>
      <c r="EH276" s="7"/>
      <c r="EI276" s="7"/>
      <c r="EK276" s="7"/>
      <c r="EL276" s="7"/>
      <c r="EN276" s="7"/>
      <c r="EO276" s="7"/>
      <c r="EQ276" s="7"/>
      <c r="ER276" s="7"/>
      <c r="ET276" s="7"/>
      <c r="EU276" s="7"/>
      <c r="EW276" s="7"/>
      <c r="EX276" s="7"/>
      <c r="EZ276" s="7"/>
      <c r="FA276" s="7"/>
      <c r="FC276" s="7"/>
      <c r="FD276" s="7"/>
      <c r="FF276" s="7"/>
      <c r="FG276" s="7"/>
      <c r="FI276" s="7"/>
      <c r="FJ276" s="7"/>
      <c r="FL276" s="7"/>
      <c r="FM276" s="7"/>
      <c r="FO276" s="7"/>
      <c r="FP276" s="7"/>
      <c r="FR276" s="7"/>
      <c r="FS276" s="7"/>
      <c r="FU276" s="7"/>
      <c r="FV276" s="7"/>
      <c r="FX276" s="7"/>
      <c r="FY276" s="7"/>
      <c r="GA276" s="7"/>
      <c r="GB276" s="7"/>
      <c r="GD276" s="7"/>
      <c r="GE276" s="7"/>
      <c r="GG276" s="7"/>
      <c r="GH276" s="7"/>
      <c r="GJ276" s="7"/>
      <c r="GK276" s="7"/>
      <c r="GV276" s="7"/>
      <c r="GW276" s="7"/>
      <c r="HE276" s="7"/>
      <c r="HF276" s="7"/>
      <c r="HH276" s="7"/>
      <c r="HI276" s="7"/>
      <c r="HQ276" s="7"/>
      <c r="HR276" s="7"/>
      <c r="HT276" s="7"/>
      <c r="HU276" s="7"/>
      <c r="IC276" s="7"/>
      <c r="ID276" s="7"/>
      <c r="IF276" s="7"/>
      <c r="IG276" s="7"/>
      <c r="II276" s="7"/>
      <c r="IJ276" s="7"/>
      <c r="IK276" s="7"/>
      <c r="IL276" s="7"/>
      <c r="IM276" s="7"/>
      <c r="IN276" s="7"/>
      <c r="IP276" s="7"/>
      <c r="IQ276" s="7"/>
      <c r="IR276" s="7"/>
      <c r="IS276" s="7"/>
      <c r="IT276" s="7"/>
      <c r="IU276" s="7"/>
      <c r="IV276" s="7"/>
      <c r="IW276" s="7"/>
      <c r="IX276" s="7"/>
      <c r="IY276" s="7"/>
      <c r="IZ276" s="7"/>
      <c r="JA276" s="7"/>
      <c r="JB276" s="7"/>
      <c r="JC276" s="7"/>
      <c r="JE276" s="7"/>
      <c r="JF276" s="7"/>
      <c r="JH276" s="7"/>
      <c r="JI276" s="7"/>
      <c r="JJ276" s="7"/>
      <c r="JK276" s="7"/>
      <c r="JL276" s="7"/>
      <c r="JM276" s="7"/>
      <c r="JO276" s="7"/>
      <c r="JP276" s="7"/>
      <c r="JQ276" s="7"/>
      <c r="JR276" s="7"/>
      <c r="JT276" s="7"/>
      <c r="JU276" s="7"/>
      <c r="JV276" s="7"/>
      <c r="JW276" s="7"/>
      <c r="JX276" s="7"/>
    </row>
    <row r="277" spans="3:284" x14ac:dyDescent="0.3">
      <c r="C277" s="7"/>
      <c r="D277" s="7"/>
      <c r="F277" s="7"/>
      <c r="G277" s="7"/>
      <c r="I277" s="7"/>
      <c r="J277" s="7"/>
      <c r="L277" s="7"/>
      <c r="M277" s="7"/>
      <c r="O277" s="7"/>
      <c r="P277" s="7"/>
      <c r="R277" s="7"/>
      <c r="S277" s="7"/>
      <c r="U277" s="7"/>
      <c r="V277" s="7"/>
      <c r="X277" s="7"/>
      <c r="Y277" s="7"/>
      <c r="AA277" s="7"/>
      <c r="AB277" s="7"/>
      <c r="AD277" s="7"/>
      <c r="AE277" s="7"/>
      <c r="AG277" s="7"/>
      <c r="AH277" s="7"/>
      <c r="AJ277" s="7"/>
      <c r="AK277" s="7"/>
      <c r="AM277" s="7"/>
      <c r="AN277" s="7"/>
      <c r="AP277" s="7"/>
      <c r="AQ277" s="7"/>
      <c r="AS277" s="7"/>
      <c r="AT277" s="7"/>
      <c r="AV277" s="7"/>
      <c r="AW277" s="7"/>
      <c r="AY277" s="7"/>
      <c r="AZ277" s="7"/>
      <c r="BB277" s="7"/>
      <c r="BC277" s="7"/>
      <c r="BE277" s="7"/>
      <c r="BF277" s="7"/>
      <c r="BH277" s="7"/>
      <c r="BI277" s="7"/>
      <c r="BK277" s="7"/>
      <c r="BL277" s="7"/>
      <c r="BN277" s="7"/>
      <c r="BO277" s="7"/>
      <c r="BQ277" s="7"/>
      <c r="BR277" s="7"/>
      <c r="BT277" s="7"/>
      <c r="BU277" s="7"/>
      <c r="BW277" s="7"/>
      <c r="BX277" s="7"/>
      <c r="BZ277" s="7"/>
      <c r="CA277" s="7"/>
      <c r="CC277" s="7"/>
      <c r="CD277" s="7"/>
      <c r="CF277" s="7"/>
      <c r="CG277" s="7"/>
      <c r="CI277" s="7"/>
      <c r="CJ277" s="7"/>
      <c r="CL277" s="7"/>
      <c r="CM277" s="7"/>
      <c r="CO277" s="7"/>
      <c r="CP277" s="7"/>
      <c r="CR277" s="7"/>
      <c r="CS277" s="7"/>
      <c r="CU277" s="7"/>
      <c r="CV277" s="7"/>
      <c r="CX277" s="7"/>
      <c r="CY277" s="7"/>
      <c r="DA277" s="7"/>
      <c r="DB277" s="7"/>
      <c r="DD277" s="7"/>
      <c r="DE277" s="7"/>
      <c r="DG277" s="7"/>
      <c r="DH277" s="7"/>
      <c r="DJ277" s="7"/>
      <c r="DK277" s="7"/>
      <c r="DM277" s="7"/>
      <c r="DN277" s="7"/>
      <c r="DP277" s="7"/>
      <c r="DQ277" s="7"/>
      <c r="DS277" s="7"/>
      <c r="DT277" s="7"/>
      <c r="DV277" s="7"/>
      <c r="DW277" s="7"/>
      <c r="DY277" s="7"/>
      <c r="DZ277" s="7"/>
      <c r="EB277" s="7"/>
      <c r="EC277" s="7"/>
      <c r="EE277" s="7"/>
      <c r="EF277" s="7"/>
      <c r="EH277" s="7"/>
      <c r="EI277" s="7"/>
      <c r="EK277" s="7"/>
      <c r="EL277" s="7"/>
      <c r="EN277" s="7"/>
      <c r="EO277" s="7"/>
      <c r="EQ277" s="7"/>
      <c r="ER277" s="7"/>
      <c r="ET277" s="7"/>
      <c r="EU277" s="7"/>
      <c r="EW277" s="7"/>
      <c r="EX277" s="7"/>
      <c r="EZ277" s="7"/>
      <c r="FA277" s="7"/>
      <c r="FC277" s="7"/>
      <c r="FD277" s="7"/>
      <c r="FF277" s="7"/>
      <c r="FG277" s="7"/>
      <c r="FI277" s="7"/>
      <c r="FJ277" s="7"/>
      <c r="FL277" s="7"/>
      <c r="FM277" s="7"/>
      <c r="FO277" s="7"/>
      <c r="FP277" s="7"/>
      <c r="FR277" s="7"/>
      <c r="FS277" s="7"/>
      <c r="FU277" s="7"/>
      <c r="FV277" s="7"/>
      <c r="FX277" s="7"/>
      <c r="FY277" s="7"/>
      <c r="GA277" s="7"/>
      <c r="GB277" s="7"/>
      <c r="GD277" s="7"/>
      <c r="GE277" s="7"/>
      <c r="GG277" s="7"/>
      <c r="GH277" s="7"/>
      <c r="GJ277" s="7"/>
      <c r="GK277" s="7"/>
      <c r="GV277" s="7"/>
      <c r="GW277" s="7"/>
      <c r="HE277" s="7"/>
      <c r="HF277" s="7"/>
      <c r="HH277" s="7"/>
      <c r="HI277" s="7"/>
      <c r="HQ277" s="7"/>
      <c r="HR277" s="7"/>
      <c r="HT277" s="7"/>
      <c r="HU277" s="7"/>
      <c r="IC277" s="7"/>
      <c r="ID277" s="7"/>
      <c r="IF277" s="7"/>
      <c r="IG277" s="7"/>
      <c r="II277" s="7"/>
      <c r="IJ277" s="7"/>
      <c r="IK277" s="7"/>
      <c r="IL277" s="7"/>
      <c r="IM277" s="7"/>
      <c r="IN277" s="7"/>
      <c r="IP277" s="7"/>
      <c r="IQ277" s="7"/>
      <c r="IR277" s="7"/>
      <c r="IS277" s="7"/>
      <c r="IT277" s="7"/>
      <c r="IU277" s="7"/>
      <c r="IV277" s="7"/>
      <c r="IW277" s="7"/>
      <c r="IX277" s="7"/>
      <c r="IY277" s="7"/>
      <c r="IZ277" s="7"/>
      <c r="JA277" s="7"/>
      <c r="JB277" s="7"/>
      <c r="JC277" s="7"/>
      <c r="JE277" s="7"/>
      <c r="JF277" s="7"/>
      <c r="JH277" s="7"/>
      <c r="JI277" s="7"/>
      <c r="JJ277" s="7"/>
      <c r="JK277" s="7"/>
      <c r="JL277" s="7"/>
      <c r="JM277" s="7"/>
      <c r="JO277" s="7"/>
      <c r="JP277" s="7"/>
      <c r="JQ277" s="7"/>
      <c r="JR277" s="7"/>
      <c r="JT277" s="7"/>
      <c r="JU277" s="7"/>
      <c r="JV277" s="7"/>
      <c r="JW277" s="7"/>
      <c r="JX277" s="7"/>
    </row>
    <row r="278" spans="3:284" x14ac:dyDescent="0.3">
      <c r="C278" s="7"/>
      <c r="D278" s="7"/>
      <c r="F278" s="7"/>
      <c r="G278" s="7"/>
      <c r="I278" s="7"/>
      <c r="J278" s="7"/>
      <c r="L278" s="7"/>
      <c r="M278" s="7"/>
      <c r="O278" s="7"/>
      <c r="P278" s="7"/>
      <c r="R278" s="7"/>
      <c r="S278" s="7"/>
      <c r="U278" s="7"/>
      <c r="V278" s="7"/>
      <c r="X278" s="7"/>
      <c r="Y278" s="7"/>
      <c r="AA278" s="7"/>
      <c r="AB278" s="7"/>
      <c r="AD278" s="7"/>
      <c r="AE278" s="7"/>
      <c r="AG278" s="7"/>
      <c r="AH278" s="7"/>
      <c r="AJ278" s="7"/>
      <c r="AK278" s="7"/>
      <c r="AM278" s="7"/>
      <c r="AN278" s="7"/>
      <c r="AP278" s="7"/>
      <c r="AQ278" s="7"/>
      <c r="AS278" s="7"/>
      <c r="AT278" s="7"/>
      <c r="AV278" s="7"/>
      <c r="AW278" s="7"/>
      <c r="AY278" s="7"/>
      <c r="AZ278" s="7"/>
      <c r="BB278" s="7"/>
      <c r="BC278" s="7"/>
      <c r="BE278" s="7"/>
      <c r="BF278" s="7"/>
      <c r="BH278" s="7"/>
      <c r="BI278" s="7"/>
      <c r="BK278" s="7"/>
      <c r="BL278" s="7"/>
      <c r="BN278" s="7"/>
      <c r="BO278" s="7"/>
      <c r="BQ278" s="7"/>
      <c r="BR278" s="7"/>
      <c r="BT278" s="7"/>
      <c r="BU278" s="7"/>
      <c r="BW278" s="7"/>
      <c r="BX278" s="7"/>
      <c r="BZ278" s="7"/>
      <c r="CA278" s="7"/>
      <c r="CC278" s="7"/>
      <c r="CD278" s="7"/>
      <c r="CF278" s="7"/>
      <c r="CG278" s="7"/>
      <c r="CI278" s="7"/>
      <c r="CJ278" s="7"/>
      <c r="CL278" s="7"/>
      <c r="CM278" s="7"/>
      <c r="CO278" s="7"/>
      <c r="CP278" s="7"/>
      <c r="CR278" s="7"/>
      <c r="CS278" s="7"/>
      <c r="CU278" s="7"/>
      <c r="CV278" s="7"/>
      <c r="CX278" s="7"/>
      <c r="CY278" s="7"/>
      <c r="DA278" s="7"/>
      <c r="DB278" s="7"/>
      <c r="DD278" s="7"/>
      <c r="DE278" s="7"/>
      <c r="DG278" s="7"/>
      <c r="DH278" s="7"/>
      <c r="DJ278" s="7"/>
      <c r="DK278" s="7"/>
      <c r="DM278" s="7"/>
      <c r="DN278" s="7"/>
      <c r="DP278" s="7"/>
      <c r="DQ278" s="7"/>
      <c r="DS278" s="7"/>
      <c r="DT278" s="7"/>
      <c r="DV278" s="7"/>
      <c r="DW278" s="7"/>
      <c r="DY278" s="7"/>
      <c r="DZ278" s="7"/>
      <c r="EB278" s="7"/>
      <c r="EC278" s="7"/>
      <c r="EE278" s="7"/>
      <c r="EF278" s="7"/>
      <c r="EH278" s="7"/>
      <c r="EI278" s="7"/>
      <c r="EK278" s="7"/>
      <c r="EL278" s="7"/>
      <c r="EN278" s="7"/>
      <c r="EO278" s="7"/>
      <c r="EQ278" s="7"/>
      <c r="ER278" s="7"/>
      <c r="ET278" s="7"/>
      <c r="EU278" s="7"/>
      <c r="EW278" s="7"/>
      <c r="EX278" s="7"/>
      <c r="EZ278" s="7"/>
      <c r="FA278" s="7"/>
      <c r="FC278" s="7"/>
      <c r="FD278" s="7"/>
      <c r="FF278" s="7"/>
      <c r="FG278" s="7"/>
      <c r="FI278" s="7"/>
      <c r="FJ278" s="7"/>
      <c r="FL278" s="7"/>
      <c r="FM278" s="7"/>
      <c r="FO278" s="7"/>
      <c r="FP278" s="7"/>
      <c r="FR278" s="7"/>
      <c r="FS278" s="7"/>
      <c r="FU278" s="7"/>
      <c r="FV278" s="7"/>
      <c r="FX278" s="7"/>
      <c r="FY278" s="7"/>
      <c r="GA278" s="7"/>
      <c r="GB278" s="7"/>
      <c r="GD278" s="7"/>
      <c r="GE278" s="7"/>
      <c r="GG278" s="7"/>
      <c r="GH278" s="7"/>
      <c r="GJ278" s="7"/>
      <c r="GK278" s="7"/>
      <c r="GV278" s="7"/>
      <c r="GW278" s="7"/>
      <c r="HE278" s="7"/>
      <c r="HF278" s="7"/>
      <c r="HH278" s="7"/>
      <c r="HI278" s="7"/>
      <c r="HQ278" s="7"/>
      <c r="HR278" s="7"/>
      <c r="HT278" s="7"/>
      <c r="HU278" s="7"/>
      <c r="IC278" s="7"/>
      <c r="ID278" s="7"/>
      <c r="IF278" s="7"/>
      <c r="IG278" s="7"/>
      <c r="II278" s="7"/>
      <c r="IJ278" s="7"/>
      <c r="IK278" s="7"/>
      <c r="IL278" s="7"/>
      <c r="IM278" s="7"/>
      <c r="IN278" s="7"/>
      <c r="IP278" s="7"/>
      <c r="IQ278" s="7"/>
      <c r="IR278" s="7"/>
      <c r="IS278" s="7"/>
      <c r="IT278" s="7"/>
      <c r="IU278" s="7"/>
      <c r="IV278" s="7"/>
      <c r="IW278" s="7"/>
      <c r="IX278" s="7"/>
      <c r="IY278" s="7"/>
      <c r="IZ278" s="7"/>
      <c r="JA278" s="7"/>
      <c r="JB278" s="7"/>
      <c r="JC278" s="7"/>
      <c r="JE278" s="7"/>
      <c r="JF278" s="7"/>
      <c r="JH278" s="7"/>
      <c r="JI278" s="7"/>
      <c r="JJ278" s="7"/>
      <c r="JK278" s="7"/>
      <c r="JL278" s="7"/>
      <c r="JM278" s="7"/>
      <c r="JO278" s="7"/>
      <c r="JP278" s="7"/>
      <c r="JQ278" s="7"/>
      <c r="JR278" s="7"/>
      <c r="JT278" s="7"/>
      <c r="JU278" s="7"/>
      <c r="JV278" s="7"/>
      <c r="JW278" s="7"/>
      <c r="JX278" s="7"/>
    </row>
    <row r="279" spans="3:284" x14ac:dyDescent="0.3">
      <c r="C279" s="7"/>
      <c r="D279" s="7"/>
      <c r="F279" s="7"/>
      <c r="G279" s="7"/>
      <c r="I279" s="7"/>
      <c r="J279" s="7"/>
      <c r="L279" s="7"/>
      <c r="M279" s="7"/>
      <c r="O279" s="7"/>
      <c r="P279" s="7"/>
      <c r="R279" s="7"/>
      <c r="S279" s="7"/>
      <c r="U279" s="7"/>
      <c r="V279" s="7"/>
      <c r="X279" s="7"/>
      <c r="Y279" s="7"/>
      <c r="AA279" s="7"/>
      <c r="AB279" s="7"/>
      <c r="AD279" s="7"/>
      <c r="AE279" s="7"/>
      <c r="AG279" s="7"/>
      <c r="AH279" s="7"/>
      <c r="AJ279" s="7"/>
      <c r="AK279" s="7"/>
      <c r="AM279" s="7"/>
      <c r="AN279" s="7"/>
      <c r="AP279" s="7"/>
      <c r="AQ279" s="7"/>
      <c r="AS279" s="7"/>
      <c r="AT279" s="7"/>
      <c r="AV279" s="7"/>
      <c r="AW279" s="7"/>
      <c r="AY279" s="7"/>
      <c r="AZ279" s="7"/>
      <c r="BB279" s="7"/>
      <c r="BC279" s="7"/>
      <c r="BE279" s="7"/>
      <c r="BF279" s="7"/>
      <c r="BH279" s="7"/>
      <c r="BI279" s="7"/>
      <c r="BK279" s="7"/>
      <c r="BL279" s="7"/>
      <c r="BN279" s="7"/>
      <c r="BO279" s="7"/>
      <c r="BQ279" s="7"/>
      <c r="BR279" s="7"/>
      <c r="BT279" s="7"/>
      <c r="BU279" s="7"/>
      <c r="BW279" s="7"/>
      <c r="BX279" s="7"/>
      <c r="BZ279" s="7"/>
      <c r="CA279" s="7"/>
      <c r="CC279" s="7"/>
      <c r="CD279" s="7"/>
      <c r="CF279" s="7"/>
      <c r="CG279" s="7"/>
      <c r="CI279" s="7"/>
      <c r="CJ279" s="7"/>
      <c r="CL279" s="7"/>
      <c r="CM279" s="7"/>
      <c r="CO279" s="7"/>
      <c r="CP279" s="7"/>
      <c r="CR279" s="7"/>
      <c r="CS279" s="7"/>
      <c r="CU279" s="7"/>
      <c r="CV279" s="7"/>
      <c r="CX279" s="7"/>
      <c r="CY279" s="7"/>
      <c r="DA279" s="7"/>
      <c r="DB279" s="7"/>
      <c r="DD279" s="7"/>
      <c r="DE279" s="7"/>
      <c r="DG279" s="7"/>
      <c r="DH279" s="7"/>
      <c r="DJ279" s="7"/>
      <c r="DK279" s="7"/>
      <c r="DM279" s="7"/>
      <c r="DN279" s="7"/>
      <c r="DP279" s="7"/>
      <c r="DQ279" s="7"/>
      <c r="DS279" s="7"/>
      <c r="DT279" s="7"/>
      <c r="DV279" s="7"/>
      <c r="DW279" s="7"/>
      <c r="DY279" s="7"/>
      <c r="DZ279" s="7"/>
      <c r="EB279" s="7"/>
      <c r="EC279" s="7"/>
      <c r="EE279" s="7"/>
      <c r="EF279" s="7"/>
      <c r="EH279" s="7"/>
      <c r="EI279" s="7"/>
      <c r="EK279" s="7"/>
      <c r="EL279" s="7"/>
      <c r="EN279" s="7"/>
      <c r="EO279" s="7"/>
      <c r="EQ279" s="7"/>
      <c r="ER279" s="7"/>
      <c r="ET279" s="7"/>
      <c r="EU279" s="7"/>
      <c r="EW279" s="7"/>
      <c r="EX279" s="7"/>
      <c r="EZ279" s="7"/>
      <c r="FA279" s="7"/>
      <c r="FC279" s="7"/>
      <c r="FD279" s="7"/>
      <c r="FF279" s="7"/>
      <c r="FG279" s="7"/>
      <c r="FI279" s="7"/>
      <c r="FJ279" s="7"/>
      <c r="FL279" s="7"/>
      <c r="FM279" s="7"/>
      <c r="FO279" s="7"/>
      <c r="FP279" s="7"/>
      <c r="FR279" s="7"/>
      <c r="FS279" s="7"/>
      <c r="FU279" s="7"/>
      <c r="FV279" s="7"/>
      <c r="FX279" s="7"/>
      <c r="FY279" s="7"/>
      <c r="GA279" s="7"/>
      <c r="GB279" s="7"/>
      <c r="GD279" s="7"/>
      <c r="GE279" s="7"/>
      <c r="GG279" s="7"/>
      <c r="GH279" s="7"/>
      <c r="GJ279" s="7"/>
      <c r="GK279" s="7"/>
      <c r="GV279" s="7"/>
      <c r="GW279" s="7"/>
      <c r="HE279" s="7"/>
      <c r="HF279" s="7"/>
      <c r="HH279" s="7"/>
      <c r="HI279" s="7"/>
      <c r="HQ279" s="7"/>
      <c r="HR279" s="7"/>
      <c r="HT279" s="7"/>
      <c r="HU279" s="7"/>
      <c r="IC279" s="7"/>
      <c r="ID279" s="7"/>
      <c r="IF279" s="7"/>
      <c r="IG279" s="7"/>
      <c r="II279" s="7"/>
      <c r="IJ279" s="7"/>
      <c r="IK279" s="7"/>
      <c r="IL279" s="7"/>
      <c r="IM279" s="7"/>
      <c r="IN279" s="7"/>
      <c r="IP279" s="7"/>
      <c r="IQ279" s="7"/>
      <c r="IR279" s="7"/>
      <c r="IS279" s="7"/>
      <c r="IT279" s="7"/>
      <c r="IU279" s="7"/>
      <c r="IV279" s="7"/>
      <c r="IW279" s="7"/>
      <c r="IX279" s="7"/>
      <c r="IY279" s="7"/>
      <c r="IZ279" s="7"/>
      <c r="JA279" s="7"/>
      <c r="JB279" s="7"/>
      <c r="JC279" s="7"/>
      <c r="JE279" s="7"/>
      <c r="JF279" s="7"/>
      <c r="JH279" s="7"/>
      <c r="JI279" s="7"/>
      <c r="JJ279" s="7"/>
      <c r="JK279" s="7"/>
      <c r="JL279" s="7"/>
      <c r="JM279" s="7"/>
      <c r="JO279" s="7"/>
      <c r="JP279" s="7"/>
      <c r="JQ279" s="7"/>
      <c r="JR279" s="7"/>
      <c r="JT279" s="7"/>
      <c r="JU279" s="7"/>
      <c r="JV279" s="7"/>
      <c r="JW279" s="7"/>
      <c r="JX279" s="7"/>
    </row>
    <row r="280" spans="3:284" x14ac:dyDescent="0.3">
      <c r="C280" s="7"/>
      <c r="D280" s="7"/>
      <c r="F280" s="7"/>
      <c r="G280" s="7"/>
      <c r="I280" s="7"/>
      <c r="J280" s="7"/>
      <c r="L280" s="7"/>
      <c r="M280" s="7"/>
      <c r="O280" s="7"/>
      <c r="P280" s="7"/>
      <c r="R280" s="7"/>
      <c r="S280" s="7"/>
      <c r="U280" s="7"/>
      <c r="V280" s="7"/>
      <c r="X280" s="7"/>
      <c r="Y280" s="7"/>
      <c r="AA280" s="7"/>
      <c r="AB280" s="7"/>
      <c r="AD280" s="7"/>
      <c r="AE280" s="7"/>
      <c r="AG280" s="7"/>
      <c r="AH280" s="7"/>
      <c r="AJ280" s="7"/>
      <c r="AK280" s="7"/>
      <c r="AM280" s="7"/>
      <c r="AN280" s="7"/>
      <c r="AP280" s="7"/>
      <c r="AQ280" s="7"/>
      <c r="AS280" s="7"/>
      <c r="AT280" s="7"/>
      <c r="AV280" s="7"/>
      <c r="AW280" s="7"/>
      <c r="AY280" s="7"/>
      <c r="AZ280" s="7"/>
      <c r="BB280" s="7"/>
      <c r="BC280" s="7"/>
      <c r="BE280" s="7"/>
      <c r="BF280" s="7"/>
      <c r="BH280" s="7"/>
      <c r="BI280" s="7"/>
      <c r="BK280" s="7"/>
      <c r="BL280" s="7"/>
      <c r="BN280" s="7"/>
      <c r="BO280" s="7"/>
      <c r="BQ280" s="7"/>
      <c r="BR280" s="7"/>
      <c r="BT280" s="7"/>
      <c r="BU280" s="7"/>
      <c r="BW280" s="7"/>
      <c r="BX280" s="7"/>
      <c r="BZ280" s="7"/>
      <c r="CA280" s="7"/>
      <c r="CC280" s="7"/>
      <c r="CD280" s="7"/>
      <c r="CF280" s="7"/>
      <c r="CG280" s="7"/>
      <c r="CI280" s="7"/>
      <c r="CJ280" s="7"/>
      <c r="CL280" s="7"/>
      <c r="CM280" s="7"/>
      <c r="CO280" s="7"/>
      <c r="CP280" s="7"/>
      <c r="CR280" s="7"/>
      <c r="CS280" s="7"/>
      <c r="CU280" s="7"/>
      <c r="CV280" s="7"/>
      <c r="CX280" s="7"/>
      <c r="CY280" s="7"/>
      <c r="DA280" s="7"/>
      <c r="DB280" s="7"/>
      <c r="DD280" s="7"/>
      <c r="DE280" s="7"/>
      <c r="DG280" s="7"/>
      <c r="DH280" s="7"/>
      <c r="DJ280" s="7"/>
      <c r="DK280" s="7"/>
      <c r="DM280" s="7"/>
      <c r="DN280" s="7"/>
      <c r="DP280" s="7"/>
      <c r="DQ280" s="7"/>
      <c r="DS280" s="7"/>
      <c r="DT280" s="7"/>
      <c r="DV280" s="7"/>
      <c r="DW280" s="7"/>
      <c r="DY280" s="7"/>
      <c r="DZ280" s="7"/>
      <c r="EB280" s="7"/>
      <c r="EC280" s="7"/>
      <c r="EE280" s="7"/>
      <c r="EF280" s="7"/>
      <c r="EH280" s="7"/>
      <c r="EI280" s="7"/>
      <c r="EK280" s="7"/>
      <c r="EL280" s="7"/>
      <c r="EN280" s="7"/>
      <c r="EO280" s="7"/>
      <c r="EQ280" s="7"/>
      <c r="ER280" s="7"/>
      <c r="ET280" s="7"/>
      <c r="EU280" s="7"/>
      <c r="EW280" s="7"/>
      <c r="EX280" s="7"/>
      <c r="EZ280" s="7"/>
      <c r="FA280" s="7"/>
      <c r="FC280" s="7"/>
      <c r="FD280" s="7"/>
      <c r="FF280" s="7"/>
      <c r="FG280" s="7"/>
      <c r="FI280" s="7"/>
      <c r="FJ280" s="7"/>
      <c r="FL280" s="7"/>
      <c r="FM280" s="7"/>
      <c r="FO280" s="7"/>
      <c r="FP280" s="7"/>
      <c r="FR280" s="7"/>
      <c r="FS280" s="7"/>
      <c r="FU280" s="7"/>
      <c r="FV280" s="7"/>
      <c r="FX280" s="7"/>
      <c r="FY280" s="7"/>
      <c r="GA280" s="7"/>
      <c r="GB280" s="7"/>
      <c r="GD280" s="7"/>
      <c r="GE280" s="7"/>
      <c r="GG280" s="7"/>
      <c r="GH280" s="7"/>
      <c r="GJ280" s="7"/>
      <c r="GK280" s="7"/>
      <c r="GV280" s="7"/>
      <c r="GW280" s="7"/>
      <c r="HE280" s="7"/>
      <c r="HF280" s="7"/>
      <c r="HH280" s="7"/>
      <c r="HI280" s="7"/>
      <c r="HQ280" s="7"/>
      <c r="HR280" s="7"/>
      <c r="HT280" s="7"/>
      <c r="HU280" s="7"/>
      <c r="IC280" s="7"/>
      <c r="ID280" s="7"/>
      <c r="IF280" s="7"/>
      <c r="IG280" s="7"/>
      <c r="II280" s="7"/>
      <c r="IJ280" s="7"/>
      <c r="IK280" s="7"/>
      <c r="IL280" s="7"/>
      <c r="IM280" s="7"/>
      <c r="IN280" s="7"/>
      <c r="IP280" s="7"/>
      <c r="IQ280" s="7"/>
      <c r="IR280" s="7"/>
      <c r="IS280" s="7"/>
      <c r="IT280" s="7"/>
      <c r="IU280" s="7"/>
      <c r="IV280" s="7"/>
      <c r="IW280" s="7"/>
      <c r="IX280" s="7"/>
      <c r="IY280" s="7"/>
      <c r="IZ280" s="7"/>
      <c r="JA280" s="7"/>
      <c r="JB280" s="7"/>
      <c r="JC280" s="7"/>
      <c r="JE280" s="7"/>
      <c r="JF280" s="7"/>
      <c r="JH280" s="7"/>
      <c r="JI280" s="7"/>
      <c r="JJ280" s="7"/>
      <c r="JK280" s="7"/>
      <c r="JL280" s="7"/>
      <c r="JM280" s="7"/>
      <c r="JO280" s="7"/>
      <c r="JP280" s="7"/>
      <c r="JQ280" s="7"/>
      <c r="JR280" s="7"/>
      <c r="JT280" s="7"/>
      <c r="JU280" s="7"/>
      <c r="JV280" s="7"/>
      <c r="JW280" s="7"/>
      <c r="JX280" s="7"/>
    </row>
    <row r="281" spans="3:284" x14ac:dyDescent="0.3">
      <c r="C281" s="7"/>
      <c r="D281" s="7"/>
      <c r="F281" s="7"/>
      <c r="G281" s="7"/>
      <c r="I281" s="7"/>
      <c r="J281" s="7"/>
      <c r="L281" s="7"/>
      <c r="M281" s="7"/>
      <c r="O281" s="7"/>
      <c r="P281" s="7"/>
      <c r="R281" s="7"/>
      <c r="S281" s="7"/>
      <c r="U281" s="7"/>
      <c r="V281" s="7"/>
      <c r="X281" s="7"/>
      <c r="Y281" s="7"/>
      <c r="AA281" s="7"/>
      <c r="AB281" s="7"/>
      <c r="AD281" s="7"/>
      <c r="AE281" s="7"/>
      <c r="AG281" s="7"/>
      <c r="AH281" s="7"/>
      <c r="AJ281" s="7"/>
      <c r="AK281" s="7"/>
      <c r="AM281" s="7"/>
      <c r="AN281" s="7"/>
      <c r="AP281" s="7"/>
      <c r="AQ281" s="7"/>
      <c r="AS281" s="7"/>
      <c r="AT281" s="7"/>
      <c r="AV281" s="7"/>
      <c r="AW281" s="7"/>
      <c r="AY281" s="7"/>
      <c r="AZ281" s="7"/>
      <c r="BB281" s="7"/>
      <c r="BC281" s="7"/>
      <c r="BE281" s="7"/>
      <c r="BF281" s="7"/>
      <c r="BH281" s="7"/>
      <c r="BI281" s="7"/>
      <c r="BK281" s="7"/>
      <c r="BL281" s="7"/>
      <c r="BN281" s="7"/>
      <c r="BO281" s="7"/>
      <c r="BQ281" s="7"/>
      <c r="BR281" s="7"/>
      <c r="BT281" s="7"/>
      <c r="BU281" s="7"/>
      <c r="BW281" s="7"/>
      <c r="BX281" s="7"/>
      <c r="BZ281" s="7"/>
      <c r="CA281" s="7"/>
      <c r="CC281" s="7"/>
      <c r="CD281" s="7"/>
      <c r="CF281" s="7"/>
      <c r="CG281" s="7"/>
      <c r="CI281" s="7"/>
      <c r="CJ281" s="7"/>
      <c r="CL281" s="7"/>
      <c r="CM281" s="7"/>
      <c r="CO281" s="7"/>
      <c r="CP281" s="7"/>
      <c r="CR281" s="7"/>
      <c r="CS281" s="7"/>
      <c r="CU281" s="7"/>
      <c r="CV281" s="7"/>
      <c r="CX281" s="7"/>
      <c r="CY281" s="7"/>
      <c r="DA281" s="7"/>
      <c r="DB281" s="7"/>
      <c r="DD281" s="7"/>
      <c r="DE281" s="7"/>
      <c r="DG281" s="7"/>
      <c r="DH281" s="7"/>
      <c r="DJ281" s="7"/>
      <c r="DK281" s="7"/>
      <c r="DM281" s="7"/>
      <c r="DN281" s="7"/>
      <c r="DP281" s="7"/>
      <c r="DQ281" s="7"/>
      <c r="DS281" s="7"/>
      <c r="DT281" s="7"/>
      <c r="DV281" s="7"/>
      <c r="DW281" s="7"/>
      <c r="DY281" s="7"/>
      <c r="DZ281" s="7"/>
      <c r="EB281" s="7"/>
      <c r="EC281" s="7"/>
      <c r="EE281" s="7"/>
      <c r="EF281" s="7"/>
      <c r="EH281" s="7"/>
      <c r="EI281" s="7"/>
      <c r="EK281" s="7"/>
      <c r="EL281" s="7"/>
      <c r="EN281" s="7"/>
      <c r="EO281" s="7"/>
      <c r="EQ281" s="7"/>
      <c r="ER281" s="7"/>
      <c r="ET281" s="7"/>
      <c r="EU281" s="7"/>
      <c r="EW281" s="7"/>
      <c r="EX281" s="7"/>
      <c r="EZ281" s="7"/>
      <c r="FA281" s="7"/>
      <c r="FC281" s="7"/>
      <c r="FD281" s="7"/>
      <c r="FF281" s="7"/>
      <c r="FG281" s="7"/>
      <c r="FI281" s="7"/>
      <c r="FJ281" s="7"/>
      <c r="FL281" s="7"/>
      <c r="FM281" s="7"/>
      <c r="FO281" s="7"/>
      <c r="FP281" s="7"/>
      <c r="FR281" s="7"/>
      <c r="FS281" s="7"/>
      <c r="FU281" s="7"/>
      <c r="FV281" s="7"/>
      <c r="FX281" s="7"/>
      <c r="FY281" s="7"/>
      <c r="GA281" s="7"/>
      <c r="GB281" s="7"/>
      <c r="GD281" s="7"/>
      <c r="GE281" s="7"/>
      <c r="GG281" s="7"/>
      <c r="GH281" s="7"/>
      <c r="GJ281" s="7"/>
      <c r="GK281" s="7"/>
      <c r="GV281" s="7"/>
      <c r="GW281" s="7"/>
      <c r="HE281" s="7"/>
      <c r="HF281" s="7"/>
      <c r="HH281" s="7"/>
      <c r="HI281" s="7"/>
      <c r="HQ281" s="7"/>
      <c r="HR281" s="7"/>
      <c r="HT281" s="7"/>
      <c r="HU281" s="7"/>
      <c r="IC281" s="7"/>
      <c r="ID281" s="7"/>
      <c r="IF281" s="7"/>
      <c r="IG281" s="7"/>
      <c r="II281" s="7"/>
      <c r="IJ281" s="7"/>
      <c r="IK281" s="7"/>
      <c r="IL281" s="7"/>
      <c r="IM281" s="7"/>
      <c r="IN281" s="7"/>
      <c r="IP281" s="7"/>
      <c r="IQ281" s="7"/>
      <c r="IR281" s="7"/>
      <c r="IS281" s="7"/>
      <c r="IT281" s="7"/>
      <c r="IU281" s="7"/>
      <c r="IV281" s="7"/>
      <c r="IW281" s="7"/>
      <c r="IX281" s="7"/>
      <c r="IY281" s="7"/>
      <c r="IZ281" s="7"/>
      <c r="JA281" s="7"/>
      <c r="JB281" s="7"/>
      <c r="JC281" s="7"/>
      <c r="JE281" s="7"/>
      <c r="JF281" s="7"/>
      <c r="JH281" s="7"/>
      <c r="JI281" s="7"/>
      <c r="JJ281" s="7"/>
      <c r="JK281" s="7"/>
      <c r="JL281" s="7"/>
      <c r="JM281" s="7"/>
      <c r="JO281" s="7"/>
      <c r="JP281" s="7"/>
      <c r="JQ281" s="7"/>
      <c r="JR281" s="7"/>
      <c r="JT281" s="7"/>
      <c r="JU281" s="7"/>
      <c r="JV281" s="7"/>
      <c r="JW281" s="7"/>
      <c r="JX281" s="7"/>
    </row>
    <row r="282" spans="3:284" x14ac:dyDescent="0.3">
      <c r="C282" s="7"/>
      <c r="D282" s="7"/>
      <c r="F282" s="7"/>
      <c r="G282" s="7"/>
      <c r="I282" s="7"/>
      <c r="J282" s="7"/>
      <c r="L282" s="7"/>
      <c r="M282" s="7"/>
      <c r="O282" s="7"/>
      <c r="P282" s="7"/>
      <c r="R282" s="7"/>
      <c r="S282" s="7"/>
      <c r="U282" s="7"/>
      <c r="V282" s="7"/>
      <c r="X282" s="7"/>
      <c r="Y282" s="7"/>
      <c r="AA282" s="7"/>
      <c r="AB282" s="7"/>
      <c r="AD282" s="7"/>
      <c r="AE282" s="7"/>
      <c r="AG282" s="7"/>
      <c r="AH282" s="7"/>
      <c r="AJ282" s="7"/>
      <c r="AK282" s="7"/>
      <c r="AM282" s="7"/>
      <c r="AN282" s="7"/>
      <c r="AP282" s="7"/>
      <c r="AQ282" s="7"/>
      <c r="AS282" s="7"/>
      <c r="AT282" s="7"/>
      <c r="AV282" s="7"/>
      <c r="AW282" s="7"/>
      <c r="AY282" s="7"/>
      <c r="AZ282" s="7"/>
      <c r="BB282" s="7"/>
      <c r="BC282" s="7"/>
      <c r="BE282" s="7"/>
      <c r="BF282" s="7"/>
      <c r="BH282" s="7"/>
      <c r="BI282" s="7"/>
      <c r="BK282" s="7"/>
      <c r="BL282" s="7"/>
      <c r="BN282" s="7"/>
      <c r="BO282" s="7"/>
      <c r="BQ282" s="7"/>
      <c r="BR282" s="7"/>
      <c r="BT282" s="7"/>
      <c r="BU282" s="7"/>
      <c r="BW282" s="7"/>
      <c r="BX282" s="7"/>
      <c r="BZ282" s="7"/>
      <c r="CA282" s="7"/>
      <c r="CC282" s="7"/>
      <c r="CD282" s="7"/>
      <c r="CF282" s="7"/>
      <c r="CG282" s="7"/>
      <c r="CI282" s="7"/>
      <c r="CJ282" s="7"/>
      <c r="CL282" s="7"/>
      <c r="CM282" s="7"/>
      <c r="CO282" s="7"/>
      <c r="CP282" s="7"/>
      <c r="CR282" s="7"/>
      <c r="CS282" s="7"/>
      <c r="CU282" s="7"/>
      <c r="CV282" s="7"/>
      <c r="CX282" s="7"/>
      <c r="CY282" s="7"/>
      <c r="DA282" s="7"/>
      <c r="DB282" s="7"/>
      <c r="DD282" s="7"/>
      <c r="DE282" s="7"/>
      <c r="DG282" s="7"/>
      <c r="DH282" s="7"/>
      <c r="DJ282" s="7"/>
      <c r="DK282" s="7"/>
      <c r="DM282" s="7"/>
      <c r="DN282" s="7"/>
      <c r="DP282" s="7"/>
      <c r="DQ282" s="7"/>
      <c r="DS282" s="7"/>
      <c r="DT282" s="7"/>
      <c r="DV282" s="7"/>
      <c r="DW282" s="7"/>
      <c r="DY282" s="7"/>
      <c r="DZ282" s="7"/>
      <c r="EB282" s="7"/>
      <c r="EC282" s="7"/>
      <c r="EE282" s="7"/>
      <c r="EF282" s="7"/>
      <c r="EH282" s="7"/>
      <c r="EI282" s="7"/>
      <c r="EK282" s="7"/>
      <c r="EL282" s="7"/>
      <c r="EN282" s="7"/>
      <c r="EO282" s="7"/>
      <c r="EQ282" s="7"/>
      <c r="ER282" s="7"/>
      <c r="ET282" s="7"/>
      <c r="EU282" s="7"/>
      <c r="EW282" s="7"/>
      <c r="EX282" s="7"/>
      <c r="EZ282" s="7"/>
      <c r="FA282" s="7"/>
      <c r="FC282" s="7"/>
      <c r="FD282" s="7"/>
      <c r="FF282" s="7"/>
      <c r="FG282" s="7"/>
      <c r="FI282" s="7"/>
      <c r="FJ282" s="7"/>
      <c r="FL282" s="7"/>
      <c r="FM282" s="7"/>
      <c r="FO282" s="7"/>
      <c r="FP282" s="7"/>
      <c r="FR282" s="7"/>
      <c r="FS282" s="7"/>
      <c r="FU282" s="7"/>
      <c r="FV282" s="7"/>
      <c r="FX282" s="7"/>
      <c r="FY282" s="7"/>
      <c r="GA282" s="7"/>
      <c r="GB282" s="7"/>
      <c r="GD282" s="7"/>
      <c r="GE282" s="7"/>
      <c r="GG282" s="7"/>
      <c r="GH282" s="7"/>
      <c r="GJ282" s="7"/>
      <c r="GK282" s="7"/>
      <c r="GV282" s="7"/>
      <c r="GW282" s="7"/>
      <c r="HE282" s="7"/>
      <c r="HF282" s="7"/>
      <c r="HH282" s="7"/>
      <c r="HI282" s="7"/>
      <c r="HQ282" s="7"/>
      <c r="HR282" s="7"/>
      <c r="HT282" s="7"/>
      <c r="HU282" s="7"/>
      <c r="IC282" s="7"/>
      <c r="ID282" s="7"/>
      <c r="IF282" s="7"/>
      <c r="IG282" s="7"/>
      <c r="II282" s="7"/>
      <c r="IJ282" s="7"/>
      <c r="IK282" s="7"/>
      <c r="IL282" s="7"/>
      <c r="IM282" s="7"/>
      <c r="IN282" s="7"/>
      <c r="IP282" s="7"/>
      <c r="IQ282" s="7"/>
      <c r="IR282" s="7"/>
      <c r="IS282" s="7"/>
      <c r="IT282" s="7"/>
      <c r="IU282" s="7"/>
      <c r="IV282" s="7"/>
      <c r="IW282" s="7"/>
      <c r="IX282" s="7"/>
      <c r="IY282" s="7"/>
      <c r="IZ282" s="7"/>
      <c r="JA282" s="7"/>
      <c r="JB282" s="7"/>
      <c r="JC282" s="7"/>
      <c r="JE282" s="7"/>
      <c r="JF282" s="7"/>
      <c r="JH282" s="7"/>
      <c r="JI282" s="7"/>
      <c r="JJ282" s="7"/>
      <c r="JK282" s="7"/>
      <c r="JL282" s="7"/>
      <c r="JM282" s="7"/>
      <c r="JO282" s="7"/>
      <c r="JP282" s="7"/>
      <c r="JQ282" s="7"/>
      <c r="JR282" s="7"/>
      <c r="JT282" s="7"/>
      <c r="JU282" s="7"/>
      <c r="JV282" s="7"/>
      <c r="JW282" s="7"/>
      <c r="JX282" s="7"/>
    </row>
    <row r="283" spans="3:284" x14ac:dyDescent="0.3">
      <c r="C283" s="7"/>
      <c r="D283" s="7"/>
      <c r="F283" s="7"/>
      <c r="G283" s="7"/>
      <c r="I283" s="7"/>
      <c r="J283" s="7"/>
      <c r="L283" s="7"/>
      <c r="M283" s="7"/>
      <c r="O283" s="7"/>
      <c r="P283" s="7"/>
      <c r="R283" s="7"/>
      <c r="S283" s="7"/>
      <c r="U283" s="7"/>
      <c r="V283" s="7"/>
      <c r="X283" s="7"/>
      <c r="Y283" s="7"/>
      <c r="AA283" s="7"/>
      <c r="AB283" s="7"/>
      <c r="AD283" s="7"/>
      <c r="AE283" s="7"/>
      <c r="AG283" s="7"/>
      <c r="AH283" s="7"/>
      <c r="AJ283" s="7"/>
      <c r="AK283" s="7"/>
      <c r="AM283" s="7"/>
      <c r="AN283" s="7"/>
      <c r="AP283" s="7"/>
      <c r="AQ283" s="7"/>
      <c r="AS283" s="7"/>
      <c r="AT283" s="7"/>
      <c r="AV283" s="7"/>
      <c r="AW283" s="7"/>
      <c r="AY283" s="7"/>
      <c r="AZ283" s="7"/>
      <c r="BB283" s="7"/>
      <c r="BC283" s="7"/>
      <c r="BE283" s="7"/>
      <c r="BF283" s="7"/>
      <c r="BH283" s="7"/>
      <c r="BI283" s="7"/>
      <c r="BK283" s="7"/>
      <c r="BL283" s="7"/>
      <c r="BN283" s="7"/>
      <c r="BO283" s="7"/>
      <c r="BQ283" s="7"/>
      <c r="BR283" s="7"/>
      <c r="BT283" s="7"/>
      <c r="BU283" s="7"/>
      <c r="BW283" s="7"/>
      <c r="BX283" s="7"/>
      <c r="BZ283" s="7"/>
      <c r="CA283" s="7"/>
      <c r="CC283" s="7"/>
      <c r="CD283" s="7"/>
      <c r="CF283" s="7"/>
      <c r="CG283" s="7"/>
      <c r="CI283" s="7"/>
      <c r="CJ283" s="7"/>
      <c r="CL283" s="7"/>
      <c r="CM283" s="7"/>
      <c r="CO283" s="7"/>
      <c r="CP283" s="7"/>
      <c r="CR283" s="7"/>
      <c r="CS283" s="7"/>
      <c r="CU283" s="7"/>
      <c r="CV283" s="7"/>
      <c r="CX283" s="7"/>
      <c r="CY283" s="7"/>
      <c r="DA283" s="7"/>
      <c r="DB283" s="7"/>
      <c r="DD283" s="7"/>
      <c r="DE283" s="7"/>
      <c r="DG283" s="7"/>
      <c r="DH283" s="7"/>
      <c r="DJ283" s="7"/>
      <c r="DK283" s="7"/>
      <c r="DM283" s="7"/>
      <c r="DN283" s="7"/>
      <c r="DP283" s="7"/>
      <c r="DQ283" s="7"/>
      <c r="DS283" s="7"/>
      <c r="DT283" s="7"/>
      <c r="DV283" s="7"/>
      <c r="DW283" s="7"/>
      <c r="DY283" s="7"/>
      <c r="DZ283" s="7"/>
      <c r="EB283" s="7"/>
      <c r="EC283" s="7"/>
      <c r="EE283" s="7"/>
      <c r="EF283" s="7"/>
      <c r="EH283" s="7"/>
      <c r="EI283" s="7"/>
      <c r="EK283" s="7"/>
      <c r="EL283" s="7"/>
      <c r="EN283" s="7"/>
      <c r="EO283" s="7"/>
      <c r="EQ283" s="7"/>
      <c r="ER283" s="7"/>
      <c r="ET283" s="7"/>
      <c r="EU283" s="7"/>
      <c r="EW283" s="7"/>
      <c r="EX283" s="7"/>
      <c r="EZ283" s="7"/>
      <c r="FA283" s="7"/>
      <c r="FC283" s="7"/>
      <c r="FD283" s="7"/>
      <c r="FF283" s="7"/>
      <c r="FG283" s="7"/>
      <c r="FI283" s="7"/>
      <c r="FJ283" s="7"/>
      <c r="FL283" s="7"/>
      <c r="FM283" s="7"/>
      <c r="FO283" s="7"/>
      <c r="FP283" s="7"/>
      <c r="FR283" s="7"/>
      <c r="FS283" s="7"/>
      <c r="FU283" s="7"/>
      <c r="FV283" s="7"/>
      <c r="FX283" s="7"/>
      <c r="FY283" s="7"/>
      <c r="GA283" s="7"/>
      <c r="GB283" s="7"/>
      <c r="GD283" s="7"/>
      <c r="GE283" s="7"/>
      <c r="GG283" s="7"/>
      <c r="GH283" s="7"/>
      <c r="GJ283" s="7"/>
      <c r="GK283" s="7"/>
      <c r="GV283" s="7"/>
      <c r="GW283" s="7"/>
      <c r="HE283" s="7"/>
      <c r="HF283" s="7"/>
      <c r="HH283" s="7"/>
      <c r="HI283" s="7"/>
      <c r="HQ283" s="7"/>
      <c r="HR283" s="7"/>
      <c r="HT283" s="7"/>
      <c r="HU283" s="7"/>
      <c r="IC283" s="7"/>
      <c r="ID283" s="7"/>
      <c r="IF283" s="7"/>
      <c r="IG283" s="7"/>
      <c r="II283" s="7"/>
      <c r="IJ283" s="7"/>
      <c r="IK283" s="7"/>
      <c r="IL283" s="7"/>
      <c r="IM283" s="7"/>
      <c r="IN283" s="7"/>
      <c r="IP283" s="7"/>
      <c r="IQ283" s="7"/>
      <c r="IR283" s="7"/>
      <c r="IS283" s="7"/>
      <c r="IT283" s="7"/>
      <c r="IU283" s="7"/>
      <c r="IV283" s="7"/>
      <c r="IW283" s="7"/>
      <c r="IX283" s="7"/>
      <c r="IY283" s="7"/>
      <c r="IZ283" s="7"/>
      <c r="JA283" s="7"/>
      <c r="JB283" s="7"/>
      <c r="JC283" s="7"/>
      <c r="JE283" s="7"/>
      <c r="JF283" s="7"/>
      <c r="JH283" s="7"/>
      <c r="JI283" s="7"/>
      <c r="JJ283" s="7"/>
      <c r="JK283" s="7"/>
      <c r="JL283" s="7"/>
      <c r="JM283" s="7"/>
      <c r="JO283" s="7"/>
      <c r="JP283" s="7"/>
      <c r="JQ283" s="7"/>
      <c r="JR283" s="7"/>
      <c r="JT283" s="7"/>
      <c r="JU283" s="7"/>
      <c r="JV283" s="7"/>
      <c r="JW283" s="7"/>
      <c r="JX283" s="7"/>
    </row>
    <row r="284" spans="3:284" x14ac:dyDescent="0.3">
      <c r="C284" s="7"/>
      <c r="D284" s="7"/>
      <c r="F284" s="7"/>
      <c r="G284" s="7"/>
      <c r="I284" s="7"/>
      <c r="J284" s="7"/>
      <c r="L284" s="7"/>
      <c r="M284" s="7"/>
      <c r="O284" s="7"/>
      <c r="P284" s="7"/>
      <c r="R284" s="7"/>
      <c r="S284" s="7"/>
      <c r="U284" s="7"/>
      <c r="V284" s="7"/>
      <c r="X284" s="7"/>
      <c r="Y284" s="7"/>
      <c r="AA284" s="7"/>
      <c r="AB284" s="7"/>
      <c r="AD284" s="7"/>
      <c r="AE284" s="7"/>
      <c r="AG284" s="7"/>
      <c r="AH284" s="7"/>
      <c r="AJ284" s="7"/>
      <c r="AK284" s="7"/>
      <c r="AM284" s="7"/>
      <c r="AN284" s="7"/>
      <c r="AP284" s="7"/>
      <c r="AQ284" s="7"/>
      <c r="AS284" s="7"/>
      <c r="AT284" s="7"/>
      <c r="AV284" s="7"/>
      <c r="AW284" s="7"/>
      <c r="AY284" s="7"/>
      <c r="AZ284" s="7"/>
      <c r="BB284" s="7"/>
      <c r="BC284" s="7"/>
      <c r="BE284" s="7"/>
      <c r="BF284" s="7"/>
      <c r="BH284" s="7"/>
      <c r="BI284" s="7"/>
      <c r="BK284" s="7"/>
      <c r="BL284" s="7"/>
      <c r="BN284" s="7"/>
      <c r="BO284" s="7"/>
      <c r="BQ284" s="7"/>
      <c r="BR284" s="7"/>
      <c r="BT284" s="7"/>
      <c r="BU284" s="7"/>
      <c r="BW284" s="7"/>
      <c r="BX284" s="7"/>
      <c r="BZ284" s="7"/>
      <c r="CA284" s="7"/>
      <c r="CC284" s="7"/>
      <c r="CD284" s="7"/>
      <c r="CF284" s="7"/>
      <c r="CG284" s="7"/>
      <c r="CI284" s="7"/>
      <c r="CJ284" s="7"/>
      <c r="CL284" s="7"/>
      <c r="CM284" s="7"/>
      <c r="CO284" s="7"/>
      <c r="CP284" s="7"/>
      <c r="CR284" s="7"/>
      <c r="CS284" s="7"/>
      <c r="CU284" s="7"/>
      <c r="CV284" s="7"/>
      <c r="CX284" s="7"/>
      <c r="CY284" s="7"/>
      <c r="DA284" s="7"/>
      <c r="DB284" s="7"/>
      <c r="DD284" s="7"/>
      <c r="DE284" s="7"/>
      <c r="DG284" s="7"/>
      <c r="DH284" s="7"/>
      <c r="DJ284" s="7"/>
      <c r="DK284" s="7"/>
      <c r="DM284" s="7"/>
      <c r="DN284" s="7"/>
      <c r="DP284" s="7"/>
      <c r="DQ284" s="7"/>
      <c r="DS284" s="7"/>
      <c r="DT284" s="7"/>
      <c r="DV284" s="7"/>
      <c r="DW284" s="7"/>
      <c r="DY284" s="7"/>
      <c r="DZ284" s="7"/>
      <c r="EB284" s="7"/>
      <c r="EC284" s="7"/>
      <c r="EE284" s="7"/>
      <c r="EF284" s="7"/>
      <c r="EH284" s="7"/>
      <c r="EI284" s="7"/>
      <c r="EK284" s="7"/>
      <c r="EL284" s="7"/>
      <c r="EN284" s="7"/>
      <c r="EO284" s="7"/>
      <c r="EQ284" s="7"/>
      <c r="ER284" s="7"/>
      <c r="ET284" s="7"/>
      <c r="EU284" s="7"/>
      <c r="EW284" s="7"/>
      <c r="EX284" s="7"/>
      <c r="EZ284" s="7"/>
      <c r="FA284" s="7"/>
      <c r="FC284" s="7"/>
      <c r="FD284" s="7"/>
      <c r="FF284" s="7"/>
      <c r="FG284" s="7"/>
      <c r="FI284" s="7"/>
      <c r="FJ284" s="7"/>
      <c r="FL284" s="7"/>
      <c r="FM284" s="7"/>
      <c r="FO284" s="7"/>
      <c r="FP284" s="7"/>
      <c r="FR284" s="7"/>
      <c r="FS284" s="7"/>
      <c r="FU284" s="7"/>
      <c r="FV284" s="7"/>
      <c r="FX284" s="7"/>
      <c r="FY284" s="7"/>
      <c r="GA284" s="7"/>
      <c r="GB284" s="7"/>
      <c r="GD284" s="7"/>
      <c r="GE284" s="7"/>
      <c r="GG284" s="7"/>
      <c r="GH284" s="7"/>
      <c r="GJ284" s="7"/>
      <c r="GK284" s="7"/>
      <c r="GV284" s="7"/>
      <c r="GW284" s="7"/>
      <c r="HE284" s="7"/>
      <c r="HF284" s="7"/>
      <c r="HH284" s="7"/>
      <c r="HI284" s="7"/>
      <c r="HQ284" s="7"/>
      <c r="HR284" s="7"/>
      <c r="HT284" s="7"/>
      <c r="HU284" s="7"/>
      <c r="IC284" s="7"/>
      <c r="ID284" s="7"/>
      <c r="IF284" s="7"/>
      <c r="IG284" s="7"/>
      <c r="II284" s="7"/>
      <c r="IJ284" s="7"/>
      <c r="IK284" s="7"/>
      <c r="IL284" s="7"/>
      <c r="IM284" s="7"/>
      <c r="IN284" s="7"/>
      <c r="IP284" s="7"/>
      <c r="IQ284" s="7"/>
      <c r="IR284" s="7"/>
      <c r="IS284" s="7"/>
      <c r="IT284" s="7"/>
      <c r="IU284" s="7"/>
      <c r="IV284" s="7"/>
      <c r="IW284" s="7"/>
      <c r="IX284" s="7"/>
      <c r="IY284" s="7"/>
      <c r="IZ284" s="7"/>
      <c r="JA284" s="7"/>
      <c r="JB284" s="7"/>
      <c r="JC284" s="7"/>
      <c r="JE284" s="7"/>
      <c r="JF284" s="7"/>
      <c r="JH284" s="7"/>
      <c r="JI284" s="7"/>
      <c r="JJ284" s="7"/>
      <c r="JK284" s="7"/>
      <c r="JL284" s="7"/>
      <c r="JM284" s="7"/>
      <c r="JO284" s="7"/>
      <c r="JP284" s="7"/>
      <c r="JQ284" s="7"/>
      <c r="JR284" s="7"/>
      <c r="JT284" s="7"/>
      <c r="JU284" s="7"/>
      <c r="JV284" s="7"/>
      <c r="JW284" s="7"/>
      <c r="JX284" s="7"/>
    </row>
    <row r="285" spans="3:284" x14ac:dyDescent="0.3">
      <c r="C285" s="7"/>
      <c r="D285" s="7"/>
      <c r="F285" s="7"/>
      <c r="G285" s="7"/>
      <c r="I285" s="7"/>
      <c r="J285" s="7"/>
      <c r="L285" s="7"/>
      <c r="M285" s="7"/>
      <c r="O285" s="7"/>
      <c r="P285" s="7"/>
      <c r="R285" s="7"/>
      <c r="S285" s="7"/>
      <c r="U285" s="7"/>
      <c r="V285" s="7"/>
      <c r="X285" s="7"/>
      <c r="Y285" s="7"/>
      <c r="AA285" s="7"/>
      <c r="AB285" s="7"/>
      <c r="AD285" s="7"/>
      <c r="AE285" s="7"/>
      <c r="AG285" s="7"/>
      <c r="AH285" s="7"/>
      <c r="AJ285" s="7"/>
      <c r="AK285" s="7"/>
      <c r="AM285" s="7"/>
      <c r="AN285" s="7"/>
      <c r="AP285" s="7"/>
      <c r="AQ285" s="7"/>
      <c r="AS285" s="7"/>
      <c r="AT285" s="7"/>
      <c r="AV285" s="7"/>
      <c r="AW285" s="7"/>
      <c r="AY285" s="7"/>
      <c r="AZ285" s="7"/>
      <c r="BB285" s="7"/>
      <c r="BC285" s="7"/>
      <c r="BE285" s="7"/>
      <c r="BF285" s="7"/>
      <c r="BH285" s="7"/>
      <c r="BI285" s="7"/>
      <c r="BK285" s="7"/>
      <c r="BL285" s="7"/>
      <c r="BN285" s="7"/>
      <c r="BO285" s="7"/>
      <c r="BQ285" s="7"/>
      <c r="BR285" s="7"/>
      <c r="BT285" s="7"/>
      <c r="BU285" s="7"/>
      <c r="BW285" s="7"/>
      <c r="BX285" s="7"/>
      <c r="BZ285" s="7"/>
      <c r="CA285" s="7"/>
      <c r="CC285" s="7"/>
      <c r="CD285" s="7"/>
      <c r="CF285" s="7"/>
      <c r="CG285" s="7"/>
      <c r="CI285" s="7"/>
      <c r="CJ285" s="7"/>
      <c r="CL285" s="7"/>
      <c r="CM285" s="7"/>
      <c r="CO285" s="7"/>
      <c r="CP285" s="7"/>
      <c r="CR285" s="7"/>
      <c r="CS285" s="7"/>
      <c r="CU285" s="7"/>
      <c r="CV285" s="7"/>
      <c r="CX285" s="7"/>
      <c r="CY285" s="7"/>
      <c r="DA285" s="7"/>
      <c r="DB285" s="7"/>
      <c r="DD285" s="7"/>
      <c r="DE285" s="7"/>
      <c r="DG285" s="7"/>
      <c r="DH285" s="7"/>
      <c r="DJ285" s="7"/>
      <c r="DK285" s="7"/>
      <c r="DM285" s="7"/>
      <c r="DN285" s="7"/>
      <c r="DP285" s="7"/>
      <c r="DQ285" s="7"/>
      <c r="DS285" s="7"/>
      <c r="DT285" s="7"/>
      <c r="DV285" s="7"/>
      <c r="DW285" s="7"/>
      <c r="DY285" s="7"/>
      <c r="DZ285" s="7"/>
      <c r="EB285" s="7"/>
      <c r="EC285" s="7"/>
      <c r="EE285" s="7"/>
      <c r="EF285" s="7"/>
      <c r="EH285" s="7"/>
      <c r="EI285" s="7"/>
      <c r="EK285" s="7"/>
      <c r="EL285" s="7"/>
      <c r="EN285" s="7"/>
      <c r="EO285" s="7"/>
      <c r="EQ285" s="7"/>
      <c r="ER285" s="7"/>
      <c r="ET285" s="7"/>
      <c r="EU285" s="7"/>
      <c r="EW285" s="7"/>
      <c r="EX285" s="7"/>
      <c r="EZ285" s="7"/>
      <c r="FA285" s="7"/>
      <c r="FC285" s="7"/>
      <c r="FD285" s="7"/>
      <c r="FF285" s="7"/>
      <c r="FG285" s="7"/>
      <c r="FI285" s="7"/>
      <c r="FJ285" s="7"/>
      <c r="FL285" s="7"/>
      <c r="FM285" s="7"/>
      <c r="FO285" s="7"/>
      <c r="FP285" s="7"/>
      <c r="FR285" s="7"/>
      <c r="FS285" s="7"/>
      <c r="FU285" s="7"/>
      <c r="FV285" s="7"/>
      <c r="FX285" s="7"/>
      <c r="FY285" s="7"/>
      <c r="GA285" s="7"/>
      <c r="GB285" s="7"/>
      <c r="GD285" s="7"/>
      <c r="GE285" s="7"/>
      <c r="GG285" s="7"/>
      <c r="GH285" s="7"/>
      <c r="GJ285" s="7"/>
      <c r="GK285" s="7"/>
      <c r="GV285" s="7"/>
      <c r="GW285" s="7"/>
      <c r="HE285" s="7"/>
      <c r="HF285" s="7"/>
      <c r="HH285" s="7"/>
      <c r="HI285" s="7"/>
      <c r="HQ285" s="7"/>
      <c r="HR285" s="7"/>
      <c r="HT285" s="7"/>
      <c r="HU285" s="7"/>
      <c r="IC285" s="7"/>
      <c r="ID285" s="7"/>
      <c r="IF285" s="7"/>
      <c r="IG285" s="7"/>
      <c r="II285" s="7"/>
      <c r="IJ285" s="7"/>
      <c r="IK285" s="7"/>
      <c r="IL285" s="7"/>
      <c r="IM285" s="7"/>
      <c r="IN285" s="7"/>
      <c r="IP285" s="7"/>
      <c r="IQ285" s="7"/>
      <c r="IR285" s="7"/>
      <c r="IS285" s="7"/>
      <c r="IT285" s="7"/>
      <c r="IU285" s="7"/>
      <c r="IV285" s="7"/>
      <c r="IW285" s="7"/>
      <c r="IX285" s="7"/>
      <c r="IY285" s="7"/>
      <c r="IZ285" s="7"/>
      <c r="JA285" s="7"/>
      <c r="JB285" s="7"/>
      <c r="JC285" s="7"/>
      <c r="JE285" s="7"/>
      <c r="JF285" s="7"/>
      <c r="JH285" s="7"/>
      <c r="JI285" s="7"/>
      <c r="JJ285" s="7"/>
      <c r="JK285" s="7"/>
      <c r="JL285" s="7"/>
      <c r="JM285" s="7"/>
      <c r="JO285" s="7"/>
      <c r="JP285" s="7"/>
      <c r="JQ285" s="7"/>
      <c r="JR285" s="7"/>
      <c r="JT285" s="7"/>
      <c r="JU285" s="7"/>
      <c r="JV285" s="7"/>
      <c r="JW285" s="7"/>
      <c r="JX285" s="7"/>
    </row>
    <row r="286" spans="3:284" x14ac:dyDescent="0.3">
      <c r="C286" s="7"/>
      <c r="D286" s="7"/>
      <c r="F286" s="7"/>
      <c r="G286" s="7"/>
      <c r="I286" s="7"/>
      <c r="J286" s="7"/>
      <c r="L286" s="7"/>
      <c r="M286" s="7"/>
      <c r="O286" s="7"/>
      <c r="P286" s="7"/>
      <c r="R286" s="7"/>
      <c r="S286" s="7"/>
      <c r="U286" s="7"/>
      <c r="V286" s="7"/>
      <c r="X286" s="7"/>
      <c r="Y286" s="7"/>
      <c r="AA286" s="7"/>
      <c r="AB286" s="7"/>
      <c r="AD286" s="7"/>
      <c r="AE286" s="7"/>
      <c r="AG286" s="7"/>
      <c r="AH286" s="7"/>
      <c r="AJ286" s="7"/>
      <c r="AK286" s="7"/>
      <c r="AM286" s="7"/>
      <c r="AN286" s="7"/>
      <c r="AP286" s="7"/>
      <c r="AQ286" s="7"/>
      <c r="AS286" s="7"/>
      <c r="AT286" s="7"/>
      <c r="AV286" s="7"/>
      <c r="AW286" s="7"/>
      <c r="AY286" s="7"/>
      <c r="AZ286" s="7"/>
      <c r="BB286" s="7"/>
      <c r="BC286" s="7"/>
      <c r="BE286" s="7"/>
      <c r="BF286" s="7"/>
      <c r="BH286" s="7"/>
      <c r="BI286" s="7"/>
      <c r="BK286" s="7"/>
      <c r="BL286" s="7"/>
      <c r="BN286" s="7"/>
      <c r="BO286" s="7"/>
      <c r="BQ286" s="7"/>
      <c r="BR286" s="7"/>
      <c r="BT286" s="7"/>
      <c r="BU286" s="7"/>
      <c r="BW286" s="7"/>
      <c r="BX286" s="7"/>
      <c r="BZ286" s="7"/>
      <c r="CA286" s="7"/>
      <c r="CC286" s="7"/>
      <c r="CD286" s="7"/>
      <c r="CF286" s="7"/>
      <c r="CG286" s="7"/>
      <c r="CI286" s="7"/>
      <c r="CJ286" s="7"/>
      <c r="CL286" s="7"/>
      <c r="CM286" s="7"/>
      <c r="CO286" s="7"/>
      <c r="CP286" s="7"/>
      <c r="CR286" s="7"/>
      <c r="CS286" s="7"/>
      <c r="CU286" s="7"/>
      <c r="CV286" s="7"/>
      <c r="CX286" s="7"/>
      <c r="CY286" s="7"/>
      <c r="DA286" s="7"/>
      <c r="DB286" s="7"/>
      <c r="DD286" s="7"/>
      <c r="DE286" s="7"/>
      <c r="DG286" s="7"/>
      <c r="DH286" s="7"/>
      <c r="DJ286" s="7"/>
      <c r="DK286" s="7"/>
      <c r="DM286" s="7"/>
      <c r="DN286" s="7"/>
      <c r="DP286" s="7"/>
      <c r="DQ286" s="7"/>
      <c r="DS286" s="7"/>
      <c r="DT286" s="7"/>
      <c r="DV286" s="7"/>
      <c r="DW286" s="7"/>
      <c r="DY286" s="7"/>
      <c r="DZ286" s="7"/>
      <c r="EB286" s="7"/>
      <c r="EC286" s="7"/>
      <c r="EE286" s="7"/>
      <c r="EF286" s="7"/>
      <c r="EH286" s="7"/>
      <c r="EI286" s="7"/>
      <c r="EK286" s="7"/>
      <c r="EL286" s="7"/>
      <c r="EN286" s="7"/>
      <c r="EO286" s="7"/>
      <c r="EQ286" s="7"/>
      <c r="ER286" s="7"/>
      <c r="ET286" s="7"/>
      <c r="EU286" s="7"/>
      <c r="EW286" s="7"/>
      <c r="EX286" s="7"/>
      <c r="EZ286" s="7"/>
      <c r="FA286" s="7"/>
      <c r="FC286" s="7"/>
      <c r="FD286" s="7"/>
      <c r="FF286" s="7"/>
      <c r="FG286" s="7"/>
      <c r="FI286" s="7"/>
      <c r="FJ286" s="7"/>
      <c r="FL286" s="7"/>
      <c r="FM286" s="7"/>
      <c r="FO286" s="7"/>
      <c r="FP286" s="7"/>
      <c r="FR286" s="7"/>
      <c r="FS286" s="7"/>
      <c r="FU286" s="7"/>
      <c r="FV286" s="7"/>
      <c r="FX286" s="7"/>
      <c r="FY286" s="7"/>
      <c r="GA286" s="7"/>
      <c r="GB286" s="7"/>
      <c r="GD286" s="7"/>
      <c r="GE286" s="7"/>
      <c r="GG286" s="7"/>
      <c r="GH286" s="7"/>
      <c r="GJ286" s="7"/>
      <c r="GK286" s="7"/>
      <c r="GV286" s="7"/>
      <c r="GW286" s="7"/>
      <c r="HE286" s="7"/>
      <c r="HF286" s="7"/>
      <c r="HH286" s="7"/>
      <c r="HI286" s="7"/>
      <c r="HQ286" s="7"/>
      <c r="HR286" s="7"/>
      <c r="HT286" s="7"/>
      <c r="HU286" s="7"/>
      <c r="IC286" s="7"/>
      <c r="ID286" s="7"/>
      <c r="IF286" s="7"/>
      <c r="IG286" s="7"/>
      <c r="II286" s="7"/>
      <c r="IJ286" s="7"/>
      <c r="IK286" s="7"/>
      <c r="IL286" s="7"/>
      <c r="IM286" s="7"/>
      <c r="IN286" s="7"/>
      <c r="IP286" s="7"/>
      <c r="IQ286" s="7"/>
      <c r="IR286" s="7"/>
      <c r="IS286" s="7"/>
      <c r="IT286" s="7"/>
      <c r="IU286" s="7"/>
      <c r="IV286" s="7"/>
      <c r="IW286" s="7"/>
      <c r="IX286" s="7"/>
      <c r="IY286" s="7"/>
      <c r="IZ286" s="7"/>
      <c r="JA286" s="7"/>
      <c r="JB286" s="7"/>
      <c r="JC286" s="7"/>
      <c r="JE286" s="7"/>
      <c r="JF286" s="7"/>
      <c r="JH286" s="7"/>
      <c r="JI286" s="7"/>
      <c r="JJ286" s="7"/>
      <c r="JK286" s="7"/>
      <c r="JL286" s="7"/>
      <c r="JM286" s="7"/>
      <c r="JO286" s="7"/>
      <c r="JP286" s="7"/>
      <c r="JQ286" s="7"/>
      <c r="JR286" s="7"/>
      <c r="JT286" s="7"/>
      <c r="JU286" s="7"/>
      <c r="JV286" s="7"/>
      <c r="JW286" s="7"/>
      <c r="JX286" s="7"/>
    </row>
    <row r="287" spans="3:284" x14ac:dyDescent="0.3">
      <c r="C287" s="7"/>
      <c r="D287" s="7"/>
      <c r="F287" s="7"/>
      <c r="G287" s="7"/>
      <c r="I287" s="7"/>
      <c r="J287" s="7"/>
      <c r="L287" s="7"/>
      <c r="M287" s="7"/>
      <c r="O287" s="7"/>
      <c r="P287" s="7"/>
      <c r="R287" s="7"/>
      <c r="S287" s="7"/>
      <c r="U287" s="7"/>
      <c r="V287" s="7"/>
      <c r="X287" s="7"/>
      <c r="Y287" s="7"/>
      <c r="AA287" s="7"/>
      <c r="AB287" s="7"/>
      <c r="AD287" s="7"/>
      <c r="AE287" s="7"/>
      <c r="AG287" s="7"/>
      <c r="AH287" s="7"/>
      <c r="AJ287" s="7"/>
      <c r="AK287" s="7"/>
      <c r="AM287" s="7"/>
      <c r="AN287" s="7"/>
      <c r="AP287" s="7"/>
      <c r="AQ287" s="7"/>
      <c r="AS287" s="7"/>
      <c r="AT287" s="7"/>
      <c r="AV287" s="7"/>
      <c r="AW287" s="7"/>
      <c r="AY287" s="7"/>
      <c r="AZ287" s="7"/>
      <c r="BB287" s="7"/>
      <c r="BC287" s="7"/>
      <c r="BE287" s="7"/>
      <c r="BF287" s="7"/>
      <c r="BH287" s="7"/>
      <c r="BI287" s="7"/>
      <c r="BK287" s="7"/>
      <c r="BL287" s="7"/>
      <c r="BN287" s="7"/>
      <c r="BO287" s="7"/>
      <c r="BQ287" s="7"/>
      <c r="BR287" s="7"/>
      <c r="BT287" s="7"/>
      <c r="BU287" s="7"/>
      <c r="BW287" s="7"/>
      <c r="BX287" s="7"/>
      <c r="BZ287" s="7"/>
      <c r="CA287" s="7"/>
      <c r="CC287" s="7"/>
      <c r="CD287" s="7"/>
      <c r="CF287" s="7"/>
      <c r="CG287" s="7"/>
      <c r="CI287" s="7"/>
      <c r="CJ287" s="7"/>
      <c r="CL287" s="7"/>
      <c r="CM287" s="7"/>
      <c r="CO287" s="7"/>
      <c r="CP287" s="7"/>
      <c r="CR287" s="7"/>
      <c r="CS287" s="7"/>
      <c r="CU287" s="7"/>
      <c r="CV287" s="7"/>
      <c r="CX287" s="7"/>
      <c r="CY287" s="7"/>
      <c r="DA287" s="7"/>
      <c r="DB287" s="7"/>
      <c r="DD287" s="7"/>
      <c r="DE287" s="7"/>
      <c r="DG287" s="7"/>
      <c r="DH287" s="7"/>
      <c r="DJ287" s="7"/>
      <c r="DK287" s="7"/>
      <c r="DM287" s="7"/>
      <c r="DN287" s="7"/>
      <c r="DP287" s="7"/>
      <c r="DQ287" s="7"/>
      <c r="DS287" s="7"/>
      <c r="DT287" s="7"/>
      <c r="DV287" s="7"/>
      <c r="DW287" s="7"/>
      <c r="DY287" s="7"/>
      <c r="DZ287" s="7"/>
      <c r="EB287" s="7"/>
      <c r="EC287" s="7"/>
      <c r="EE287" s="7"/>
      <c r="EF287" s="7"/>
      <c r="EH287" s="7"/>
      <c r="EI287" s="7"/>
      <c r="EK287" s="7"/>
      <c r="EL287" s="7"/>
      <c r="EN287" s="7"/>
      <c r="EO287" s="7"/>
      <c r="EQ287" s="7"/>
      <c r="ER287" s="7"/>
      <c r="ET287" s="7"/>
      <c r="EU287" s="7"/>
      <c r="EW287" s="7"/>
      <c r="EX287" s="7"/>
      <c r="EZ287" s="7"/>
      <c r="FA287" s="7"/>
      <c r="FC287" s="7"/>
      <c r="FD287" s="7"/>
      <c r="FF287" s="7"/>
      <c r="FG287" s="7"/>
      <c r="FI287" s="7"/>
      <c r="FJ287" s="7"/>
      <c r="FL287" s="7"/>
      <c r="FM287" s="7"/>
      <c r="FO287" s="7"/>
      <c r="FP287" s="7"/>
      <c r="FR287" s="7"/>
      <c r="FS287" s="7"/>
      <c r="FU287" s="7"/>
      <c r="FV287" s="7"/>
      <c r="FX287" s="7"/>
      <c r="FY287" s="7"/>
      <c r="GA287" s="7"/>
      <c r="GB287" s="7"/>
      <c r="GD287" s="7"/>
      <c r="GE287" s="7"/>
      <c r="GG287" s="7"/>
      <c r="GH287" s="7"/>
      <c r="GJ287" s="7"/>
      <c r="GK287" s="7"/>
      <c r="GV287" s="7"/>
      <c r="GW287" s="7"/>
      <c r="HE287" s="7"/>
      <c r="HF287" s="7"/>
      <c r="HH287" s="7"/>
      <c r="HI287" s="7"/>
      <c r="HQ287" s="7"/>
      <c r="HR287" s="7"/>
      <c r="HT287" s="7"/>
      <c r="HU287" s="7"/>
      <c r="IC287" s="7"/>
      <c r="ID287" s="7"/>
      <c r="IF287" s="7"/>
      <c r="IG287" s="7"/>
      <c r="II287" s="7"/>
      <c r="IJ287" s="7"/>
      <c r="IK287" s="7"/>
      <c r="IL287" s="7"/>
      <c r="IM287" s="7"/>
      <c r="IN287" s="7"/>
      <c r="IP287" s="7"/>
      <c r="IQ287" s="7"/>
      <c r="IR287" s="7"/>
      <c r="IS287" s="7"/>
      <c r="IT287" s="7"/>
      <c r="IU287" s="7"/>
      <c r="IV287" s="7"/>
      <c r="IW287" s="7"/>
      <c r="IX287" s="7"/>
      <c r="IY287" s="7"/>
      <c r="IZ287" s="7"/>
      <c r="JA287" s="7"/>
      <c r="JB287" s="7"/>
      <c r="JC287" s="7"/>
      <c r="JE287" s="7"/>
      <c r="JF287" s="7"/>
      <c r="JH287" s="7"/>
      <c r="JI287" s="7"/>
      <c r="JJ287" s="7"/>
      <c r="JK287" s="7"/>
      <c r="JL287" s="7"/>
      <c r="JM287" s="7"/>
      <c r="JO287" s="7"/>
      <c r="JP287" s="7"/>
      <c r="JQ287" s="7"/>
      <c r="JR287" s="7"/>
      <c r="JT287" s="7"/>
      <c r="JU287" s="7"/>
      <c r="JV287" s="7"/>
      <c r="JW287" s="7"/>
      <c r="JX287" s="7"/>
    </row>
    <row r="288" spans="3:284" x14ac:dyDescent="0.3">
      <c r="C288" s="7"/>
      <c r="D288" s="7"/>
      <c r="F288" s="7"/>
      <c r="G288" s="7"/>
      <c r="I288" s="7"/>
      <c r="J288" s="7"/>
      <c r="L288" s="7"/>
      <c r="M288" s="7"/>
      <c r="O288" s="7"/>
      <c r="P288" s="7"/>
      <c r="R288" s="7"/>
      <c r="S288" s="7"/>
      <c r="U288" s="7"/>
      <c r="V288" s="7"/>
      <c r="X288" s="7"/>
      <c r="Y288" s="7"/>
      <c r="AA288" s="7"/>
      <c r="AB288" s="7"/>
      <c r="AD288" s="7"/>
      <c r="AE288" s="7"/>
      <c r="AG288" s="7"/>
      <c r="AH288" s="7"/>
      <c r="AJ288" s="7"/>
      <c r="AK288" s="7"/>
      <c r="AM288" s="7"/>
      <c r="AN288" s="7"/>
      <c r="AP288" s="7"/>
      <c r="AQ288" s="7"/>
      <c r="AS288" s="7"/>
      <c r="AT288" s="7"/>
      <c r="AV288" s="7"/>
      <c r="AW288" s="7"/>
      <c r="AY288" s="7"/>
      <c r="AZ288" s="7"/>
      <c r="BB288" s="7"/>
      <c r="BC288" s="7"/>
      <c r="BE288" s="7"/>
      <c r="BF288" s="7"/>
      <c r="BH288" s="7"/>
      <c r="BI288" s="7"/>
      <c r="BK288" s="7"/>
      <c r="BL288" s="7"/>
      <c r="BN288" s="7"/>
      <c r="BO288" s="7"/>
      <c r="BQ288" s="7"/>
      <c r="BR288" s="7"/>
      <c r="BT288" s="7"/>
      <c r="BU288" s="7"/>
      <c r="BW288" s="7"/>
      <c r="BX288" s="7"/>
      <c r="BZ288" s="7"/>
      <c r="CA288" s="7"/>
      <c r="CC288" s="7"/>
      <c r="CD288" s="7"/>
      <c r="CF288" s="7"/>
      <c r="CG288" s="7"/>
      <c r="CI288" s="7"/>
      <c r="CJ288" s="7"/>
      <c r="CL288" s="7"/>
      <c r="CM288" s="7"/>
      <c r="CO288" s="7"/>
      <c r="CP288" s="7"/>
      <c r="CR288" s="7"/>
      <c r="CS288" s="7"/>
      <c r="CU288" s="7"/>
      <c r="CV288" s="7"/>
      <c r="CX288" s="7"/>
      <c r="CY288" s="7"/>
      <c r="DA288" s="7"/>
      <c r="DB288" s="7"/>
      <c r="DD288" s="7"/>
      <c r="DE288" s="7"/>
      <c r="DG288" s="7"/>
      <c r="DH288" s="7"/>
      <c r="DJ288" s="7"/>
      <c r="DK288" s="7"/>
      <c r="DM288" s="7"/>
      <c r="DN288" s="7"/>
      <c r="DP288" s="7"/>
      <c r="DQ288" s="7"/>
      <c r="DS288" s="7"/>
      <c r="DT288" s="7"/>
      <c r="DV288" s="7"/>
      <c r="DW288" s="7"/>
      <c r="DY288" s="7"/>
      <c r="DZ288" s="7"/>
      <c r="EB288" s="7"/>
      <c r="EC288" s="7"/>
      <c r="EE288" s="7"/>
      <c r="EF288" s="7"/>
      <c r="EH288" s="7"/>
      <c r="EI288" s="7"/>
      <c r="EK288" s="7"/>
      <c r="EL288" s="7"/>
      <c r="EN288" s="7"/>
      <c r="EO288" s="7"/>
      <c r="EQ288" s="7"/>
      <c r="ER288" s="7"/>
      <c r="ET288" s="7"/>
      <c r="EU288" s="7"/>
      <c r="EW288" s="7"/>
      <c r="EX288" s="7"/>
      <c r="EZ288" s="7"/>
      <c r="FA288" s="7"/>
      <c r="FC288" s="7"/>
      <c r="FD288" s="7"/>
      <c r="FF288" s="7"/>
      <c r="FG288" s="7"/>
      <c r="FI288" s="7"/>
      <c r="FJ288" s="7"/>
      <c r="FL288" s="7"/>
      <c r="FM288" s="7"/>
      <c r="FO288" s="7"/>
      <c r="FP288" s="7"/>
      <c r="FR288" s="7"/>
      <c r="FS288" s="7"/>
      <c r="FU288" s="7"/>
      <c r="FV288" s="7"/>
      <c r="FX288" s="7"/>
      <c r="FY288" s="7"/>
      <c r="GA288" s="7"/>
      <c r="GB288" s="7"/>
      <c r="GD288" s="7"/>
      <c r="GE288" s="7"/>
      <c r="GG288" s="7"/>
      <c r="GH288" s="7"/>
      <c r="GJ288" s="7"/>
      <c r="GK288" s="7"/>
      <c r="GV288" s="7"/>
      <c r="GW288" s="7"/>
      <c r="HE288" s="7"/>
      <c r="HF288" s="7"/>
      <c r="HH288" s="7"/>
      <c r="HI288" s="7"/>
      <c r="HQ288" s="7"/>
      <c r="HR288" s="7"/>
      <c r="HT288" s="7"/>
      <c r="HU288" s="7"/>
      <c r="IC288" s="7"/>
      <c r="ID288" s="7"/>
      <c r="IF288" s="7"/>
      <c r="IG288" s="7"/>
      <c r="II288" s="7"/>
      <c r="IJ288" s="7"/>
      <c r="IK288" s="7"/>
      <c r="IL288" s="7"/>
      <c r="IM288" s="7"/>
      <c r="IN288" s="7"/>
      <c r="IP288" s="7"/>
      <c r="IQ288" s="7"/>
      <c r="IR288" s="7"/>
      <c r="IS288" s="7"/>
      <c r="IT288" s="7"/>
      <c r="IU288" s="7"/>
      <c r="IV288" s="7"/>
      <c r="IW288" s="7"/>
      <c r="IX288" s="7"/>
      <c r="IY288" s="7"/>
      <c r="IZ288" s="7"/>
      <c r="JA288" s="7"/>
      <c r="JB288" s="7"/>
      <c r="JC288" s="7"/>
      <c r="JE288" s="7"/>
      <c r="JF288" s="7"/>
      <c r="JH288" s="7"/>
      <c r="JI288" s="7"/>
      <c r="JJ288" s="7"/>
      <c r="JK288" s="7"/>
      <c r="JL288" s="7"/>
      <c r="JM288" s="7"/>
      <c r="JO288" s="7"/>
      <c r="JP288" s="7"/>
      <c r="JQ288" s="7"/>
      <c r="JR288" s="7"/>
      <c r="JT288" s="7"/>
      <c r="JU288" s="7"/>
      <c r="JV288" s="7"/>
      <c r="JW288" s="7"/>
      <c r="JX288" s="7"/>
    </row>
    <row r="289" spans="3:284" x14ac:dyDescent="0.3">
      <c r="C289" s="7"/>
      <c r="D289" s="7"/>
      <c r="F289" s="7"/>
      <c r="G289" s="7"/>
      <c r="I289" s="7"/>
      <c r="J289" s="7"/>
      <c r="L289" s="7"/>
      <c r="M289" s="7"/>
      <c r="O289" s="7"/>
      <c r="P289" s="7"/>
      <c r="R289" s="7"/>
      <c r="S289" s="7"/>
      <c r="U289" s="7"/>
      <c r="V289" s="7"/>
      <c r="X289" s="7"/>
      <c r="Y289" s="7"/>
      <c r="AA289" s="7"/>
      <c r="AB289" s="7"/>
      <c r="AD289" s="7"/>
      <c r="AE289" s="7"/>
      <c r="AG289" s="7"/>
      <c r="AH289" s="7"/>
      <c r="AJ289" s="7"/>
      <c r="AK289" s="7"/>
      <c r="AM289" s="7"/>
      <c r="AN289" s="7"/>
      <c r="AP289" s="7"/>
      <c r="AQ289" s="7"/>
      <c r="AS289" s="7"/>
      <c r="AT289" s="7"/>
      <c r="AV289" s="7"/>
      <c r="AW289" s="7"/>
      <c r="AY289" s="7"/>
      <c r="AZ289" s="7"/>
      <c r="BB289" s="7"/>
      <c r="BC289" s="7"/>
      <c r="BE289" s="7"/>
      <c r="BF289" s="7"/>
      <c r="BH289" s="7"/>
      <c r="BI289" s="7"/>
      <c r="BK289" s="7"/>
      <c r="BL289" s="7"/>
      <c r="BN289" s="7"/>
      <c r="BO289" s="7"/>
      <c r="BQ289" s="7"/>
      <c r="BR289" s="7"/>
      <c r="BT289" s="7"/>
      <c r="BU289" s="7"/>
      <c r="BW289" s="7"/>
      <c r="BX289" s="7"/>
      <c r="BZ289" s="7"/>
      <c r="CA289" s="7"/>
      <c r="CC289" s="7"/>
      <c r="CD289" s="7"/>
      <c r="CF289" s="7"/>
      <c r="CG289" s="7"/>
      <c r="CI289" s="7"/>
      <c r="CJ289" s="7"/>
      <c r="CL289" s="7"/>
      <c r="CM289" s="7"/>
      <c r="CO289" s="7"/>
      <c r="CP289" s="7"/>
      <c r="CR289" s="7"/>
      <c r="CS289" s="7"/>
      <c r="CU289" s="7"/>
      <c r="CV289" s="7"/>
      <c r="CX289" s="7"/>
      <c r="CY289" s="7"/>
      <c r="DA289" s="7"/>
      <c r="DB289" s="7"/>
      <c r="DD289" s="7"/>
      <c r="DE289" s="7"/>
      <c r="DG289" s="7"/>
      <c r="DH289" s="7"/>
      <c r="DJ289" s="7"/>
      <c r="DK289" s="7"/>
      <c r="DM289" s="7"/>
      <c r="DN289" s="7"/>
      <c r="DP289" s="7"/>
      <c r="DQ289" s="7"/>
      <c r="DS289" s="7"/>
      <c r="DT289" s="7"/>
      <c r="DV289" s="7"/>
      <c r="DW289" s="7"/>
      <c r="DY289" s="7"/>
      <c r="DZ289" s="7"/>
      <c r="EB289" s="7"/>
      <c r="EC289" s="7"/>
      <c r="EE289" s="7"/>
      <c r="EF289" s="7"/>
      <c r="EH289" s="7"/>
      <c r="EI289" s="7"/>
      <c r="EK289" s="7"/>
      <c r="EL289" s="7"/>
      <c r="EN289" s="7"/>
      <c r="EO289" s="7"/>
      <c r="EQ289" s="7"/>
      <c r="ER289" s="7"/>
      <c r="ET289" s="7"/>
      <c r="EU289" s="7"/>
      <c r="EW289" s="7"/>
      <c r="EX289" s="7"/>
      <c r="EZ289" s="7"/>
      <c r="FA289" s="7"/>
      <c r="FC289" s="7"/>
      <c r="FD289" s="7"/>
      <c r="FF289" s="7"/>
      <c r="FG289" s="7"/>
      <c r="FI289" s="7"/>
      <c r="FJ289" s="7"/>
      <c r="FL289" s="7"/>
      <c r="FM289" s="7"/>
      <c r="FO289" s="7"/>
      <c r="FP289" s="7"/>
      <c r="FR289" s="7"/>
      <c r="FS289" s="7"/>
      <c r="FU289" s="7"/>
      <c r="FV289" s="7"/>
      <c r="FX289" s="7"/>
      <c r="FY289" s="7"/>
      <c r="GA289" s="7"/>
      <c r="GB289" s="7"/>
      <c r="GD289" s="7"/>
      <c r="GE289" s="7"/>
      <c r="GG289" s="7"/>
      <c r="GH289" s="7"/>
      <c r="GJ289" s="7"/>
      <c r="GK289" s="7"/>
      <c r="GV289" s="7"/>
      <c r="GW289" s="7"/>
      <c r="HE289" s="7"/>
      <c r="HF289" s="7"/>
      <c r="HH289" s="7"/>
      <c r="HI289" s="7"/>
      <c r="HQ289" s="7"/>
      <c r="HR289" s="7"/>
      <c r="HT289" s="7"/>
      <c r="HU289" s="7"/>
      <c r="IC289" s="7"/>
      <c r="ID289" s="7"/>
      <c r="IF289" s="7"/>
      <c r="IG289" s="7"/>
      <c r="II289" s="7"/>
      <c r="IJ289" s="7"/>
      <c r="IK289" s="7"/>
      <c r="IL289" s="7"/>
      <c r="IM289" s="7"/>
      <c r="IN289" s="7"/>
      <c r="IP289" s="7"/>
      <c r="IQ289" s="7"/>
      <c r="IR289" s="7"/>
      <c r="IS289" s="7"/>
      <c r="IT289" s="7"/>
      <c r="IU289" s="7"/>
      <c r="IV289" s="7"/>
      <c r="IW289" s="7"/>
      <c r="IX289" s="7"/>
      <c r="IY289" s="7"/>
      <c r="IZ289" s="7"/>
      <c r="JA289" s="7"/>
      <c r="JB289" s="7"/>
      <c r="JC289" s="7"/>
      <c r="JE289" s="7"/>
      <c r="JF289" s="7"/>
      <c r="JH289" s="7"/>
      <c r="JI289" s="7"/>
      <c r="JJ289" s="7"/>
      <c r="JK289" s="7"/>
      <c r="JL289" s="7"/>
      <c r="JM289" s="7"/>
      <c r="JO289" s="7"/>
      <c r="JP289" s="7"/>
      <c r="JQ289" s="7"/>
      <c r="JR289" s="7"/>
      <c r="JT289" s="7"/>
      <c r="JU289" s="7"/>
      <c r="JV289" s="7"/>
      <c r="JW289" s="7"/>
      <c r="JX289" s="7"/>
    </row>
    <row r="290" spans="3:284" x14ac:dyDescent="0.3">
      <c r="C290" s="7"/>
      <c r="D290" s="7"/>
      <c r="F290" s="7"/>
      <c r="G290" s="7"/>
      <c r="I290" s="7"/>
      <c r="J290" s="7"/>
      <c r="L290" s="7"/>
      <c r="M290" s="7"/>
      <c r="O290" s="7"/>
      <c r="P290" s="7"/>
      <c r="R290" s="7"/>
      <c r="S290" s="7"/>
      <c r="U290" s="7"/>
      <c r="V290" s="7"/>
      <c r="X290" s="7"/>
      <c r="Y290" s="7"/>
      <c r="AA290" s="7"/>
      <c r="AB290" s="7"/>
      <c r="AD290" s="7"/>
      <c r="AE290" s="7"/>
      <c r="AG290" s="7"/>
      <c r="AH290" s="7"/>
      <c r="AJ290" s="7"/>
      <c r="AK290" s="7"/>
      <c r="AM290" s="7"/>
      <c r="AN290" s="7"/>
      <c r="AP290" s="7"/>
      <c r="AQ290" s="7"/>
      <c r="AS290" s="7"/>
      <c r="AT290" s="7"/>
      <c r="AV290" s="7"/>
      <c r="AW290" s="7"/>
      <c r="AY290" s="7"/>
      <c r="AZ290" s="7"/>
      <c r="BB290" s="7"/>
      <c r="BC290" s="7"/>
      <c r="BE290" s="7"/>
      <c r="BF290" s="7"/>
      <c r="BH290" s="7"/>
      <c r="BI290" s="7"/>
      <c r="BK290" s="7"/>
      <c r="BL290" s="7"/>
      <c r="BN290" s="7"/>
      <c r="BO290" s="7"/>
      <c r="BQ290" s="7"/>
      <c r="BR290" s="7"/>
      <c r="BT290" s="7"/>
      <c r="BU290" s="7"/>
      <c r="BW290" s="7"/>
      <c r="BX290" s="7"/>
      <c r="BZ290" s="7"/>
      <c r="CA290" s="7"/>
      <c r="CC290" s="7"/>
      <c r="CD290" s="7"/>
      <c r="CF290" s="7"/>
      <c r="CG290" s="7"/>
      <c r="CI290" s="7"/>
      <c r="CJ290" s="7"/>
      <c r="CL290" s="7"/>
      <c r="CM290" s="7"/>
      <c r="CO290" s="7"/>
      <c r="CP290" s="7"/>
      <c r="CR290" s="7"/>
      <c r="CS290" s="7"/>
      <c r="CU290" s="7"/>
      <c r="CV290" s="7"/>
      <c r="CX290" s="7"/>
      <c r="CY290" s="7"/>
      <c r="DA290" s="7"/>
      <c r="DB290" s="7"/>
      <c r="DD290" s="7"/>
      <c r="DE290" s="7"/>
      <c r="DG290" s="7"/>
      <c r="DH290" s="7"/>
      <c r="DJ290" s="7"/>
      <c r="DK290" s="7"/>
      <c r="DM290" s="7"/>
      <c r="DN290" s="7"/>
      <c r="DP290" s="7"/>
      <c r="DQ290" s="7"/>
      <c r="DS290" s="7"/>
      <c r="DT290" s="7"/>
      <c r="DV290" s="7"/>
      <c r="DW290" s="7"/>
      <c r="DY290" s="7"/>
      <c r="DZ290" s="7"/>
      <c r="EB290" s="7"/>
      <c r="EC290" s="7"/>
      <c r="EE290" s="7"/>
      <c r="EF290" s="7"/>
      <c r="EH290" s="7"/>
      <c r="EI290" s="7"/>
      <c r="EK290" s="7"/>
      <c r="EL290" s="7"/>
      <c r="EN290" s="7"/>
      <c r="EO290" s="7"/>
      <c r="EQ290" s="7"/>
      <c r="ER290" s="7"/>
      <c r="ET290" s="7"/>
      <c r="EU290" s="7"/>
      <c r="EW290" s="7"/>
      <c r="EX290" s="7"/>
      <c r="EZ290" s="7"/>
      <c r="FA290" s="7"/>
      <c r="FC290" s="7"/>
      <c r="FD290" s="7"/>
      <c r="FF290" s="7"/>
      <c r="FG290" s="7"/>
      <c r="FI290" s="7"/>
      <c r="FJ290" s="7"/>
      <c r="FL290" s="7"/>
      <c r="FM290" s="7"/>
      <c r="FO290" s="7"/>
      <c r="FP290" s="7"/>
      <c r="FR290" s="7"/>
      <c r="FS290" s="7"/>
      <c r="FU290" s="7"/>
      <c r="FV290" s="7"/>
      <c r="FX290" s="7"/>
      <c r="FY290" s="7"/>
      <c r="GA290" s="7"/>
      <c r="GB290" s="7"/>
      <c r="GD290" s="7"/>
      <c r="GE290" s="7"/>
      <c r="GG290" s="7"/>
      <c r="GH290" s="7"/>
      <c r="GJ290" s="7"/>
      <c r="GK290" s="7"/>
      <c r="GV290" s="7"/>
      <c r="GW290" s="7"/>
      <c r="HE290" s="7"/>
      <c r="HF290" s="7"/>
      <c r="HH290" s="7"/>
      <c r="HI290" s="7"/>
      <c r="HQ290" s="7"/>
      <c r="HR290" s="7"/>
      <c r="HT290" s="7"/>
      <c r="HU290" s="7"/>
      <c r="IC290" s="7"/>
      <c r="ID290" s="7"/>
      <c r="IF290" s="7"/>
      <c r="IG290" s="7"/>
      <c r="II290" s="7"/>
      <c r="IJ290" s="7"/>
      <c r="IK290" s="7"/>
      <c r="IL290" s="7"/>
      <c r="IM290" s="7"/>
      <c r="IN290" s="7"/>
      <c r="IP290" s="7"/>
      <c r="IQ290" s="7"/>
      <c r="IR290" s="7"/>
      <c r="IS290" s="7"/>
      <c r="IT290" s="7"/>
      <c r="IU290" s="7"/>
      <c r="IV290" s="7"/>
      <c r="IW290" s="7"/>
      <c r="IX290" s="7"/>
      <c r="IY290" s="7"/>
      <c r="IZ290" s="7"/>
      <c r="JA290" s="7"/>
      <c r="JB290" s="7"/>
      <c r="JC290" s="7"/>
      <c r="JE290" s="7"/>
      <c r="JF290" s="7"/>
      <c r="JH290" s="7"/>
      <c r="JI290" s="7"/>
      <c r="JJ290" s="7"/>
      <c r="JK290" s="7"/>
      <c r="JL290" s="7"/>
      <c r="JM290" s="7"/>
      <c r="JO290" s="7"/>
      <c r="JP290" s="7"/>
      <c r="JQ290" s="7"/>
      <c r="JR290" s="7"/>
      <c r="JT290" s="7"/>
      <c r="JU290" s="7"/>
      <c r="JV290" s="7"/>
      <c r="JW290" s="7"/>
      <c r="JX290" s="7"/>
    </row>
    <row r="291" spans="3:284" x14ac:dyDescent="0.3">
      <c r="C291" s="7"/>
      <c r="D291" s="7"/>
      <c r="F291" s="7"/>
      <c r="G291" s="7"/>
      <c r="I291" s="7"/>
      <c r="J291" s="7"/>
      <c r="L291" s="7"/>
      <c r="M291" s="7"/>
      <c r="O291" s="7"/>
      <c r="P291" s="7"/>
      <c r="R291" s="7"/>
      <c r="S291" s="7"/>
      <c r="U291" s="7"/>
      <c r="V291" s="7"/>
      <c r="X291" s="7"/>
      <c r="Y291" s="7"/>
      <c r="AA291" s="7"/>
      <c r="AB291" s="7"/>
      <c r="AD291" s="7"/>
      <c r="AE291" s="7"/>
      <c r="AG291" s="7"/>
      <c r="AH291" s="7"/>
      <c r="AJ291" s="7"/>
      <c r="AK291" s="7"/>
      <c r="AM291" s="7"/>
      <c r="AN291" s="7"/>
      <c r="AP291" s="7"/>
      <c r="AQ291" s="7"/>
      <c r="AS291" s="7"/>
      <c r="AT291" s="7"/>
      <c r="AV291" s="7"/>
      <c r="AW291" s="7"/>
      <c r="AY291" s="7"/>
      <c r="AZ291" s="7"/>
      <c r="BB291" s="7"/>
      <c r="BC291" s="7"/>
      <c r="BE291" s="7"/>
      <c r="BF291" s="7"/>
      <c r="BH291" s="7"/>
      <c r="BI291" s="7"/>
      <c r="BK291" s="7"/>
      <c r="BL291" s="7"/>
      <c r="BN291" s="7"/>
      <c r="BO291" s="7"/>
      <c r="BQ291" s="7"/>
      <c r="BR291" s="7"/>
      <c r="BT291" s="7"/>
      <c r="BU291" s="7"/>
      <c r="BW291" s="7"/>
      <c r="BX291" s="7"/>
      <c r="BZ291" s="7"/>
      <c r="CA291" s="7"/>
      <c r="CC291" s="7"/>
      <c r="CD291" s="7"/>
      <c r="CF291" s="7"/>
      <c r="CG291" s="7"/>
      <c r="CI291" s="7"/>
      <c r="CJ291" s="7"/>
      <c r="CL291" s="7"/>
      <c r="CM291" s="7"/>
      <c r="CO291" s="7"/>
      <c r="CP291" s="7"/>
      <c r="CR291" s="7"/>
      <c r="CS291" s="7"/>
      <c r="CU291" s="7"/>
      <c r="CV291" s="7"/>
      <c r="CX291" s="7"/>
      <c r="CY291" s="7"/>
      <c r="DA291" s="7"/>
      <c r="DB291" s="7"/>
      <c r="DD291" s="7"/>
      <c r="DE291" s="7"/>
      <c r="DG291" s="7"/>
      <c r="DH291" s="7"/>
      <c r="DJ291" s="7"/>
      <c r="DK291" s="7"/>
      <c r="DM291" s="7"/>
      <c r="DN291" s="7"/>
      <c r="DP291" s="7"/>
      <c r="DQ291" s="7"/>
      <c r="DS291" s="7"/>
      <c r="DT291" s="7"/>
      <c r="DV291" s="7"/>
      <c r="DW291" s="7"/>
      <c r="DY291" s="7"/>
      <c r="DZ291" s="7"/>
      <c r="EB291" s="7"/>
      <c r="EC291" s="7"/>
      <c r="EE291" s="7"/>
      <c r="EF291" s="7"/>
      <c r="EH291" s="7"/>
      <c r="EI291" s="7"/>
      <c r="EK291" s="7"/>
      <c r="EL291" s="7"/>
      <c r="EN291" s="7"/>
      <c r="EO291" s="7"/>
      <c r="EQ291" s="7"/>
      <c r="ER291" s="7"/>
      <c r="ET291" s="7"/>
      <c r="EU291" s="7"/>
      <c r="EW291" s="7"/>
      <c r="EX291" s="7"/>
      <c r="EZ291" s="7"/>
      <c r="FA291" s="7"/>
      <c r="FC291" s="7"/>
      <c r="FD291" s="7"/>
      <c r="FF291" s="7"/>
      <c r="FG291" s="7"/>
      <c r="FI291" s="7"/>
      <c r="FJ291" s="7"/>
      <c r="FL291" s="7"/>
      <c r="FM291" s="7"/>
      <c r="FO291" s="7"/>
      <c r="FP291" s="7"/>
      <c r="FR291" s="7"/>
      <c r="FS291" s="7"/>
      <c r="FU291" s="7"/>
      <c r="FV291" s="7"/>
      <c r="FX291" s="7"/>
      <c r="FY291" s="7"/>
      <c r="GA291" s="7"/>
      <c r="GB291" s="7"/>
      <c r="GD291" s="7"/>
      <c r="GE291" s="7"/>
      <c r="GG291" s="7"/>
      <c r="GH291" s="7"/>
      <c r="GJ291" s="7"/>
      <c r="GK291" s="7"/>
      <c r="GV291" s="7"/>
      <c r="GW291" s="7"/>
      <c r="HE291" s="7"/>
      <c r="HF291" s="7"/>
      <c r="HH291" s="7"/>
      <c r="HI291" s="7"/>
      <c r="HQ291" s="7"/>
      <c r="HR291" s="7"/>
      <c r="HT291" s="7"/>
      <c r="HU291" s="7"/>
      <c r="IC291" s="7"/>
      <c r="ID291" s="7"/>
      <c r="IF291" s="7"/>
      <c r="IG291" s="7"/>
      <c r="II291" s="7"/>
      <c r="IJ291" s="7"/>
      <c r="IK291" s="7"/>
      <c r="IL291" s="7"/>
      <c r="IM291" s="7"/>
      <c r="IN291" s="7"/>
      <c r="IP291" s="7"/>
      <c r="IQ291" s="7"/>
      <c r="IR291" s="7"/>
      <c r="IS291" s="7"/>
      <c r="IT291" s="7"/>
      <c r="IU291" s="7"/>
      <c r="IV291" s="7"/>
      <c r="IW291" s="7"/>
      <c r="IX291" s="7"/>
      <c r="IY291" s="7"/>
      <c r="IZ291" s="7"/>
      <c r="JA291" s="7"/>
      <c r="JB291" s="7"/>
      <c r="JC291" s="7"/>
      <c r="JE291" s="7"/>
      <c r="JF291" s="7"/>
      <c r="JH291" s="7"/>
      <c r="JI291" s="7"/>
      <c r="JJ291" s="7"/>
      <c r="JK291" s="7"/>
      <c r="JL291" s="7"/>
      <c r="JM291" s="7"/>
      <c r="JO291" s="7"/>
      <c r="JP291" s="7"/>
      <c r="JQ291" s="7"/>
      <c r="JR291" s="7"/>
      <c r="JT291" s="7"/>
      <c r="JU291" s="7"/>
      <c r="JV291" s="7"/>
      <c r="JW291" s="7"/>
      <c r="JX291" s="7"/>
    </row>
    <row r="292" spans="3:284" x14ac:dyDescent="0.3">
      <c r="C292" s="7"/>
      <c r="D292" s="7"/>
      <c r="F292" s="7"/>
      <c r="G292" s="7"/>
      <c r="I292" s="7"/>
      <c r="J292" s="7"/>
      <c r="L292" s="7"/>
      <c r="M292" s="7"/>
      <c r="O292" s="7"/>
      <c r="P292" s="7"/>
      <c r="R292" s="7"/>
      <c r="S292" s="7"/>
      <c r="U292" s="7"/>
      <c r="V292" s="7"/>
      <c r="X292" s="7"/>
      <c r="Y292" s="7"/>
      <c r="AA292" s="7"/>
      <c r="AB292" s="7"/>
      <c r="AD292" s="7"/>
      <c r="AE292" s="7"/>
      <c r="AG292" s="7"/>
      <c r="AH292" s="7"/>
      <c r="AJ292" s="7"/>
      <c r="AK292" s="7"/>
      <c r="AM292" s="7"/>
      <c r="AN292" s="7"/>
      <c r="AP292" s="7"/>
      <c r="AQ292" s="7"/>
      <c r="AS292" s="7"/>
      <c r="AT292" s="7"/>
      <c r="AV292" s="7"/>
      <c r="AW292" s="7"/>
      <c r="AY292" s="7"/>
      <c r="AZ292" s="7"/>
      <c r="BB292" s="7"/>
      <c r="BC292" s="7"/>
      <c r="BE292" s="7"/>
      <c r="BF292" s="7"/>
      <c r="BH292" s="7"/>
      <c r="BI292" s="7"/>
      <c r="BK292" s="7"/>
      <c r="BL292" s="7"/>
      <c r="BN292" s="7"/>
      <c r="BO292" s="7"/>
      <c r="BQ292" s="7"/>
      <c r="BR292" s="7"/>
      <c r="BT292" s="7"/>
      <c r="BU292" s="7"/>
      <c r="BW292" s="7"/>
      <c r="BX292" s="7"/>
      <c r="BZ292" s="7"/>
      <c r="CA292" s="7"/>
      <c r="CC292" s="7"/>
      <c r="CD292" s="7"/>
      <c r="CF292" s="7"/>
      <c r="CG292" s="7"/>
      <c r="CI292" s="7"/>
      <c r="CJ292" s="7"/>
      <c r="CL292" s="7"/>
      <c r="CM292" s="7"/>
      <c r="CO292" s="7"/>
      <c r="CP292" s="7"/>
      <c r="CR292" s="7"/>
      <c r="CS292" s="7"/>
      <c r="CU292" s="7"/>
      <c r="CV292" s="7"/>
      <c r="CX292" s="7"/>
      <c r="CY292" s="7"/>
      <c r="DA292" s="7"/>
      <c r="DB292" s="7"/>
      <c r="DD292" s="7"/>
      <c r="DE292" s="7"/>
      <c r="DG292" s="7"/>
      <c r="DH292" s="7"/>
      <c r="DJ292" s="7"/>
      <c r="DK292" s="7"/>
      <c r="DM292" s="7"/>
      <c r="DN292" s="7"/>
      <c r="DP292" s="7"/>
      <c r="DQ292" s="7"/>
      <c r="DS292" s="7"/>
      <c r="DT292" s="7"/>
      <c r="DV292" s="7"/>
      <c r="DW292" s="7"/>
      <c r="DY292" s="7"/>
      <c r="DZ292" s="7"/>
      <c r="EB292" s="7"/>
      <c r="EC292" s="7"/>
      <c r="EE292" s="7"/>
      <c r="EF292" s="7"/>
      <c r="EH292" s="7"/>
      <c r="EI292" s="7"/>
      <c r="EK292" s="7"/>
      <c r="EL292" s="7"/>
      <c r="EN292" s="7"/>
      <c r="EO292" s="7"/>
      <c r="EQ292" s="7"/>
      <c r="ER292" s="7"/>
      <c r="ET292" s="7"/>
      <c r="EU292" s="7"/>
      <c r="EW292" s="7"/>
      <c r="EX292" s="7"/>
      <c r="EZ292" s="7"/>
      <c r="FA292" s="7"/>
      <c r="FC292" s="7"/>
      <c r="FD292" s="7"/>
      <c r="FF292" s="7"/>
      <c r="FG292" s="7"/>
      <c r="FI292" s="7"/>
      <c r="FJ292" s="7"/>
      <c r="FL292" s="7"/>
      <c r="FM292" s="7"/>
      <c r="FO292" s="7"/>
      <c r="FP292" s="7"/>
      <c r="FR292" s="7"/>
      <c r="FS292" s="7"/>
      <c r="FU292" s="7"/>
      <c r="FV292" s="7"/>
      <c r="FX292" s="7"/>
      <c r="FY292" s="7"/>
      <c r="GA292" s="7"/>
      <c r="GB292" s="7"/>
      <c r="GD292" s="7"/>
      <c r="GE292" s="7"/>
      <c r="GG292" s="7"/>
      <c r="GH292" s="7"/>
      <c r="GJ292" s="7"/>
      <c r="GK292" s="7"/>
      <c r="GV292" s="7"/>
      <c r="GW292" s="7"/>
      <c r="HE292" s="7"/>
      <c r="HF292" s="7"/>
      <c r="HH292" s="7"/>
      <c r="HI292" s="7"/>
      <c r="HQ292" s="7"/>
      <c r="HR292" s="7"/>
      <c r="HT292" s="7"/>
      <c r="HU292" s="7"/>
      <c r="IC292" s="7"/>
      <c r="ID292" s="7"/>
      <c r="IF292" s="7"/>
      <c r="IG292" s="7"/>
      <c r="II292" s="7"/>
      <c r="IJ292" s="7"/>
      <c r="IK292" s="7"/>
      <c r="IL292" s="7"/>
      <c r="IM292" s="7"/>
      <c r="IN292" s="7"/>
      <c r="IP292" s="7"/>
      <c r="IQ292" s="7"/>
      <c r="IR292" s="7"/>
      <c r="IS292" s="7"/>
      <c r="IT292" s="7"/>
      <c r="IU292" s="7"/>
      <c r="IV292" s="7"/>
      <c r="IW292" s="7"/>
      <c r="IX292" s="7"/>
      <c r="IY292" s="7"/>
      <c r="IZ292" s="7"/>
      <c r="JA292" s="7"/>
      <c r="JB292" s="7"/>
      <c r="JC292" s="7"/>
      <c r="JE292" s="7"/>
      <c r="JF292" s="7"/>
      <c r="JH292" s="7"/>
      <c r="JI292" s="7"/>
      <c r="JJ292" s="7"/>
      <c r="JK292" s="7"/>
      <c r="JL292" s="7"/>
      <c r="JM292" s="7"/>
      <c r="JO292" s="7"/>
      <c r="JP292" s="7"/>
      <c r="JQ292" s="7"/>
      <c r="JR292" s="7"/>
      <c r="JT292" s="7"/>
      <c r="JU292" s="7"/>
      <c r="JV292" s="7"/>
      <c r="JW292" s="7"/>
      <c r="JX292" s="7"/>
    </row>
    <row r="293" spans="3:284" x14ac:dyDescent="0.3">
      <c r="C293" s="7"/>
      <c r="D293" s="7"/>
      <c r="F293" s="7"/>
      <c r="G293" s="7"/>
      <c r="I293" s="7"/>
      <c r="J293" s="7"/>
      <c r="L293" s="7"/>
      <c r="M293" s="7"/>
      <c r="O293" s="7"/>
      <c r="P293" s="7"/>
      <c r="R293" s="7"/>
      <c r="S293" s="7"/>
      <c r="U293" s="7"/>
      <c r="V293" s="7"/>
      <c r="X293" s="7"/>
      <c r="Y293" s="7"/>
      <c r="AA293" s="7"/>
      <c r="AB293" s="7"/>
      <c r="AD293" s="7"/>
      <c r="AE293" s="7"/>
      <c r="AG293" s="7"/>
      <c r="AH293" s="7"/>
      <c r="AJ293" s="7"/>
      <c r="AK293" s="7"/>
      <c r="AM293" s="7"/>
      <c r="AN293" s="7"/>
      <c r="AP293" s="7"/>
      <c r="AQ293" s="7"/>
      <c r="AS293" s="7"/>
      <c r="AT293" s="7"/>
      <c r="AV293" s="7"/>
      <c r="AW293" s="7"/>
      <c r="AY293" s="7"/>
      <c r="AZ293" s="7"/>
      <c r="BB293" s="7"/>
      <c r="BC293" s="7"/>
      <c r="BE293" s="7"/>
      <c r="BF293" s="7"/>
      <c r="BH293" s="7"/>
      <c r="BI293" s="7"/>
      <c r="BK293" s="7"/>
      <c r="BL293" s="7"/>
      <c r="BN293" s="7"/>
      <c r="BO293" s="7"/>
      <c r="BQ293" s="7"/>
      <c r="BR293" s="7"/>
      <c r="BT293" s="7"/>
      <c r="BU293" s="7"/>
      <c r="BW293" s="7"/>
      <c r="BX293" s="7"/>
      <c r="BZ293" s="7"/>
      <c r="CA293" s="7"/>
      <c r="CC293" s="7"/>
      <c r="CD293" s="7"/>
      <c r="CF293" s="7"/>
      <c r="CG293" s="7"/>
      <c r="CI293" s="7"/>
      <c r="CJ293" s="7"/>
      <c r="CL293" s="7"/>
      <c r="CM293" s="7"/>
      <c r="CO293" s="7"/>
      <c r="CP293" s="7"/>
      <c r="CR293" s="7"/>
      <c r="CS293" s="7"/>
      <c r="CU293" s="7"/>
      <c r="CV293" s="7"/>
      <c r="CX293" s="7"/>
      <c r="CY293" s="7"/>
      <c r="DA293" s="7"/>
      <c r="DB293" s="7"/>
      <c r="DD293" s="7"/>
      <c r="DE293" s="7"/>
      <c r="DG293" s="7"/>
      <c r="DH293" s="7"/>
      <c r="DJ293" s="7"/>
      <c r="DK293" s="7"/>
      <c r="DM293" s="7"/>
      <c r="DN293" s="7"/>
      <c r="DP293" s="7"/>
      <c r="DQ293" s="7"/>
      <c r="DS293" s="7"/>
      <c r="DT293" s="7"/>
      <c r="DV293" s="7"/>
      <c r="DW293" s="7"/>
      <c r="DY293" s="7"/>
      <c r="DZ293" s="7"/>
      <c r="EB293" s="7"/>
      <c r="EC293" s="7"/>
      <c r="EE293" s="7"/>
      <c r="EF293" s="7"/>
      <c r="EH293" s="7"/>
      <c r="EI293" s="7"/>
      <c r="EK293" s="7"/>
      <c r="EL293" s="7"/>
      <c r="EN293" s="7"/>
      <c r="EO293" s="7"/>
      <c r="EQ293" s="7"/>
      <c r="ER293" s="7"/>
      <c r="ET293" s="7"/>
      <c r="EU293" s="7"/>
      <c r="EW293" s="7"/>
      <c r="EX293" s="7"/>
      <c r="EZ293" s="7"/>
      <c r="FA293" s="7"/>
      <c r="FC293" s="7"/>
      <c r="FD293" s="7"/>
      <c r="FF293" s="7"/>
      <c r="FG293" s="7"/>
      <c r="FI293" s="7"/>
      <c r="FJ293" s="7"/>
      <c r="FL293" s="7"/>
      <c r="FM293" s="7"/>
      <c r="FO293" s="7"/>
      <c r="FP293" s="7"/>
      <c r="FR293" s="7"/>
      <c r="FS293" s="7"/>
      <c r="FU293" s="7"/>
      <c r="FV293" s="7"/>
      <c r="FX293" s="7"/>
      <c r="FY293" s="7"/>
      <c r="GA293" s="7"/>
      <c r="GB293" s="7"/>
      <c r="GD293" s="7"/>
      <c r="GE293" s="7"/>
      <c r="GG293" s="7"/>
      <c r="GH293" s="7"/>
      <c r="GJ293" s="7"/>
      <c r="GK293" s="7"/>
      <c r="GV293" s="7"/>
      <c r="GW293" s="7"/>
      <c r="HE293" s="7"/>
      <c r="HF293" s="7"/>
      <c r="HH293" s="7"/>
      <c r="HI293" s="7"/>
      <c r="HQ293" s="7"/>
      <c r="HR293" s="7"/>
      <c r="HT293" s="7"/>
      <c r="HU293" s="7"/>
      <c r="IC293" s="7"/>
      <c r="ID293" s="7"/>
      <c r="IF293" s="7"/>
      <c r="IG293" s="7"/>
      <c r="II293" s="7"/>
      <c r="IJ293" s="7"/>
      <c r="IK293" s="7"/>
      <c r="IL293" s="7"/>
      <c r="IM293" s="7"/>
      <c r="IN293" s="7"/>
      <c r="IP293" s="7"/>
      <c r="IQ293" s="7"/>
      <c r="IR293" s="7"/>
      <c r="IS293" s="7"/>
      <c r="IT293" s="7"/>
      <c r="IU293" s="7"/>
      <c r="IV293" s="7"/>
      <c r="IW293" s="7"/>
      <c r="IX293" s="7"/>
      <c r="IY293" s="7"/>
      <c r="IZ293" s="7"/>
      <c r="JA293" s="7"/>
      <c r="JB293" s="7"/>
      <c r="JC293" s="7"/>
      <c r="JE293" s="7"/>
      <c r="JF293" s="7"/>
      <c r="JH293" s="7"/>
      <c r="JI293" s="7"/>
      <c r="JJ293" s="7"/>
      <c r="JK293" s="7"/>
      <c r="JL293" s="7"/>
      <c r="JM293" s="7"/>
      <c r="JO293" s="7"/>
      <c r="JP293" s="7"/>
      <c r="JQ293" s="7"/>
      <c r="JR293" s="7"/>
      <c r="JT293" s="7"/>
      <c r="JU293" s="7"/>
      <c r="JV293" s="7"/>
      <c r="JW293" s="7"/>
      <c r="JX293" s="7"/>
    </row>
  </sheetData>
  <mergeCells count="362">
    <mergeCell ref="C1:D1"/>
    <mergeCell ref="F1:G1"/>
    <mergeCell ref="I1:J1"/>
    <mergeCell ref="L1:M1"/>
    <mergeCell ref="C2:D2"/>
    <mergeCell ref="F2:G2"/>
    <mergeCell ref="I2:J2"/>
    <mergeCell ref="L2:M2"/>
    <mergeCell ref="B3:B4"/>
    <mergeCell ref="C3:D3"/>
    <mergeCell ref="E3:E4"/>
    <mergeCell ref="F3:G3"/>
    <mergeCell ref="H3:H4"/>
    <mergeCell ref="I3:J3"/>
    <mergeCell ref="K3:K4"/>
    <mergeCell ref="L3:M3"/>
    <mergeCell ref="O1:P1"/>
    <mergeCell ref="R1:S1"/>
    <mergeCell ref="U1:V1"/>
    <mergeCell ref="X1:Y1"/>
    <mergeCell ref="O2:P2"/>
    <mergeCell ref="R2:S2"/>
    <mergeCell ref="U2:V2"/>
    <mergeCell ref="X2:Y2"/>
    <mergeCell ref="N3:N4"/>
    <mergeCell ref="O3:P3"/>
    <mergeCell ref="Q3:Q4"/>
    <mergeCell ref="R3:S3"/>
    <mergeCell ref="T3:T4"/>
    <mergeCell ref="U3:V3"/>
    <mergeCell ref="W3:W4"/>
    <mergeCell ref="X3:Y3"/>
    <mergeCell ref="AA1:AB1"/>
    <mergeCell ref="AD1:AE1"/>
    <mergeCell ref="AG1:AH1"/>
    <mergeCell ref="AJ1:AK1"/>
    <mergeCell ref="AA2:AB2"/>
    <mergeCell ref="AD2:AE2"/>
    <mergeCell ref="AG2:AH2"/>
    <mergeCell ref="AJ2:AK2"/>
    <mergeCell ref="Z3:Z4"/>
    <mergeCell ref="AA3:AB3"/>
    <mergeCell ref="AC3:AC4"/>
    <mergeCell ref="AD3:AE3"/>
    <mergeCell ref="AF3:AF4"/>
    <mergeCell ref="AG3:AH3"/>
    <mergeCell ref="AI3:AI4"/>
    <mergeCell ref="AJ3:AK3"/>
    <mergeCell ref="AM1:AN1"/>
    <mergeCell ref="AP1:AQ1"/>
    <mergeCell ref="AS1:AT1"/>
    <mergeCell ref="AV1:AW1"/>
    <mergeCell ref="AM2:AN2"/>
    <mergeCell ref="AP2:AQ2"/>
    <mergeCell ref="AS2:AT2"/>
    <mergeCell ref="AV2:AW2"/>
    <mergeCell ref="AL3:AL4"/>
    <mergeCell ref="AM3:AN3"/>
    <mergeCell ref="AO3:AO4"/>
    <mergeCell ref="AP3:AQ3"/>
    <mergeCell ref="AR3:AR4"/>
    <mergeCell ref="AS3:AT3"/>
    <mergeCell ref="AU3:AU4"/>
    <mergeCell ref="AV3:AW3"/>
    <mergeCell ref="AY1:AZ1"/>
    <mergeCell ref="BB1:BC1"/>
    <mergeCell ref="BE1:BF1"/>
    <mergeCell ref="BH1:BI1"/>
    <mergeCell ref="AY2:AZ2"/>
    <mergeCell ref="BB2:BC2"/>
    <mergeCell ref="BE2:BF2"/>
    <mergeCell ref="BH2:BI2"/>
    <mergeCell ref="AX3:AX4"/>
    <mergeCell ref="AY3:AZ3"/>
    <mergeCell ref="BA3:BA4"/>
    <mergeCell ref="BB3:BC3"/>
    <mergeCell ref="BD3:BD4"/>
    <mergeCell ref="BE3:BF3"/>
    <mergeCell ref="BG3:BG4"/>
    <mergeCell ref="BH3:BI3"/>
    <mergeCell ref="BK1:BL1"/>
    <mergeCell ref="BN1:BO1"/>
    <mergeCell ref="BQ1:BR1"/>
    <mergeCell ref="BT1:BU1"/>
    <mergeCell ref="BK2:BL2"/>
    <mergeCell ref="BN2:BO2"/>
    <mergeCell ref="BQ2:BR2"/>
    <mergeCell ref="BT2:BU2"/>
    <mergeCell ref="BJ3:BJ4"/>
    <mergeCell ref="BK3:BL3"/>
    <mergeCell ref="BM3:BM4"/>
    <mergeCell ref="BN3:BO3"/>
    <mergeCell ref="BP3:BP4"/>
    <mergeCell ref="BQ3:BR3"/>
    <mergeCell ref="BS3:BS4"/>
    <mergeCell ref="BT3:BU3"/>
    <mergeCell ref="BW1:BX1"/>
    <mergeCell ref="BZ1:CA1"/>
    <mergeCell ref="CC1:CD1"/>
    <mergeCell ref="CF1:CG1"/>
    <mergeCell ref="BW2:BX2"/>
    <mergeCell ref="BZ2:CA2"/>
    <mergeCell ref="CC2:CD2"/>
    <mergeCell ref="CF2:CG2"/>
    <mergeCell ref="BV3:BV4"/>
    <mergeCell ref="BW3:BX3"/>
    <mergeCell ref="BY3:BY4"/>
    <mergeCell ref="BZ3:CA3"/>
    <mergeCell ref="CB3:CB4"/>
    <mergeCell ref="CC3:CD3"/>
    <mergeCell ref="CE3:CE4"/>
    <mergeCell ref="CF3:CG3"/>
    <mergeCell ref="CI1:CJ1"/>
    <mergeCell ref="CL1:CM1"/>
    <mergeCell ref="CO1:CP1"/>
    <mergeCell ref="CR1:CS1"/>
    <mergeCell ref="CI2:CJ2"/>
    <mergeCell ref="CL2:CM2"/>
    <mergeCell ref="CO2:CP2"/>
    <mergeCell ref="CR2:CS2"/>
    <mergeCell ref="CH3:CH4"/>
    <mergeCell ref="CI3:CJ3"/>
    <mergeCell ref="CK3:CK4"/>
    <mergeCell ref="CL3:CM3"/>
    <mergeCell ref="CN3:CN4"/>
    <mergeCell ref="CO3:CP3"/>
    <mergeCell ref="CQ3:CQ4"/>
    <mergeCell ref="CR3:CS3"/>
    <mergeCell ref="CU1:CV1"/>
    <mergeCell ref="CX1:CY1"/>
    <mergeCell ref="DA1:DB1"/>
    <mergeCell ref="DD1:DE1"/>
    <mergeCell ref="CU2:CV2"/>
    <mergeCell ref="CX2:CY2"/>
    <mergeCell ref="DA2:DB2"/>
    <mergeCell ref="DD2:DE2"/>
    <mergeCell ref="CT3:CT4"/>
    <mergeCell ref="CU3:CV3"/>
    <mergeCell ref="CW3:CW4"/>
    <mergeCell ref="CX3:CY3"/>
    <mergeCell ref="CZ3:CZ4"/>
    <mergeCell ref="DA3:DB3"/>
    <mergeCell ref="DC3:DC4"/>
    <mergeCell ref="DD3:DE3"/>
    <mergeCell ref="DG1:DH1"/>
    <mergeCell ref="DJ1:DK1"/>
    <mergeCell ref="DM1:DN1"/>
    <mergeCell ref="DP1:DQ1"/>
    <mergeCell ref="DG2:DH2"/>
    <mergeCell ref="DJ2:DK2"/>
    <mergeCell ref="DM2:DN2"/>
    <mergeCell ref="DP2:DQ2"/>
    <mergeCell ref="DF3:DF4"/>
    <mergeCell ref="DG3:DH3"/>
    <mergeCell ref="DI3:DI4"/>
    <mergeCell ref="DJ3:DK3"/>
    <mergeCell ref="DL3:DL4"/>
    <mergeCell ref="DM3:DN3"/>
    <mergeCell ref="DO3:DO4"/>
    <mergeCell ref="DP3:DQ3"/>
    <mergeCell ref="DS1:DT1"/>
    <mergeCell ref="DV1:DW1"/>
    <mergeCell ref="DY1:DZ1"/>
    <mergeCell ref="EB1:EC1"/>
    <mergeCell ref="DS2:DT2"/>
    <mergeCell ref="DV2:DW2"/>
    <mergeCell ref="DY2:DZ2"/>
    <mergeCell ref="EB2:EC2"/>
    <mergeCell ref="DR3:DR4"/>
    <mergeCell ref="DS3:DT3"/>
    <mergeCell ref="DU3:DU4"/>
    <mergeCell ref="DV3:DW3"/>
    <mergeCell ref="DX3:DX4"/>
    <mergeCell ref="DY3:DZ3"/>
    <mergeCell ref="EA3:EA4"/>
    <mergeCell ref="EB3:EC3"/>
    <mergeCell ref="EE1:EF1"/>
    <mergeCell ref="EH1:EI1"/>
    <mergeCell ref="EK1:EL1"/>
    <mergeCell ref="EN1:EO1"/>
    <mergeCell ref="EE2:EF2"/>
    <mergeCell ref="EH2:EI2"/>
    <mergeCell ref="EK2:EL2"/>
    <mergeCell ref="EN2:EO2"/>
    <mergeCell ref="ED3:ED4"/>
    <mergeCell ref="EE3:EF3"/>
    <mergeCell ref="EG3:EG4"/>
    <mergeCell ref="EH3:EI3"/>
    <mergeCell ref="EJ3:EJ4"/>
    <mergeCell ref="EK3:EL3"/>
    <mergeCell ref="EM3:EM4"/>
    <mergeCell ref="EN3:EO3"/>
    <mergeCell ref="EQ1:ER1"/>
    <mergeCell ref="ET1:EU1"/>
    <mergeCell ref="EW1:EX1"/>
    <mergeCell ref="EZ1:FA1"/>
    <mergeCell ref="EQ2:ER2"/>
    <mergeCell ref="ET2:EU2"/>
    <mergeCell ref="EW2:EX2"/>
    <mergeCell ref="EZ2:FA2"/>
    <mergeCell ref="EP3:EP4"/>
    <mergeCell ref="EQ3:ER3"/>
    <mergeCell ref="ES3:ES4"/>
    <mergeCell ref="ET3:EU3"/>
    <mergeCell ref="EV3:EV4"/>
    <mergeCell ref="EW3:EX3"/>
    <mergeCell ref="EY3:EY4"/>
    <mergeCell ref="EZ3:FA3"/>
    <mergeCell ref="FC1:FD1"/>
    <mergeCell ref="FF1:FG1"/>
    <mergeCell ref="FI1:FJ1"/>
    <mergeCell ref="FL1:FM1"/>
    <mergeCell ref="FC2:FD2"/>
    <mergeCell ref="FF2:FG2"/>
    <mergeCell ref="FI2:FJ2"/>
    <mergeCell ref="FL2:FM2"/>
    <mergeCell ref="FB3:FB4"/>
    <mergeCell ref="FC3:FD3"/>
    <mergeCell ref="FE3:FE4"/>
    <mergeCell ref="FF3:FG3"/>
    <mergeCell ref="FH3:FH4"/>
    <mergeCell ref="FI3:FJ3"/>
    <mergeCell ref="FK3:FK4"/>
    <mergeCell ref="FL3:FM3"/>
    <mergeCell ref="JV3:JW3"/>
    <mergeCell ref="JS3:JS4"/>
    <mergeCell ref="JL3:JM3"/>
    <mergeCell ref="JN3:JN4"/>
    <mergeCell ref="JO3:JP3"/>
    <mergeCell ref="II3:IJ3"/>
    <mergeCell ref="JQ3:JR3"/>
    <mergeCell ref="JT3:JU3"/>
    <mergeCell ref="JG3:JG4"/>
    <mergeCell ref="JE3:JF3"/>
    <mergeCell ref="JH3:JI3"/>
    <mergeCell ref="JB3:JC3"/>
    <mergeCell ref="IZ3:JA3"/>
    <mergeCell ref="JJ3:JK3"/>
    <mergeCell ref="IM3:IN3"/>
    <mergeCell ref="IK3:IL3"/>
    <mergeCell ref="IX3:IY3"/>
    <mergeCell ref="IH3:IH4"/>
    <mergeCell ref="GV1:GW1"/>
    <mergeCell ref="IE3:IE4"/>
    <mergeCell ref="HW3:HX3"/>
    <mergeCell ref="HZ3:IA3"/>
    <mergeCell ref="HQ3:HR3"/>
    <mergeCell ref="IF3:IG3"/>
    <mergeCell ref="HT1:HU1"/>
    <mergeCell ref="HT3:HU3"/>
    <mergeCell ref="HM3:HM4"/>
    <mergeCell ref="HK1:HL1"/>
    <mergeCell ref="HN1:HO1"/>
    <mergeCell ref="HB1:HC1"/>
    <mergeCell ref="HE1:HF1"/>
    <mergeCell ref="HH1:HI1"/>
    <mergeCell ref="HG3:HG4"/>
    <mergeCell ref="GY3:GZ3"/>
    <mergeCell ref="HB3:HC3"/>
    <mergeCell ref="HE3:HF3"/>
    <mergeCell ref="HH3:HI3"/>
    <mergeCell ref="HQ2:HR2"/>
    <mergeCell ref="HT2:HU2"/>
    <mergeCell ref="HW2:HX2"/>
    <mergeCell ref="HZ2:IA2"/>
    <mergeCell ref="GP1:GQ1"/>
    <mergeCell ref="GO3:GO4"/>
    <mergeCell ref="GP3:GQ3"/>
    <mergeCell ref="HW1:HX1"/>
    <mergeCell ref="HZ1:IA1"/>
    <mergeCell ref="HQ1:HR1"/>
    <mergeCell ref="IF1:IG1"/>
    <mergeCell ref="HV3:HV4"/>
    <mergeCell ref="HY3:HY4"/>
    <mergeCell ref="GS3:GT3"/>
    <mergeCell ref="GS1:GT1"/>
    <mergeCell ref="GU3:GU4"/>
    <mergeCell ref="GV3:GW3"/>
    <mergeCell ref="GR3:GR4"/>
    <mergeCell ref="HJ3:HJ4"/>
    <mergeCell ref="IC1:ID1"/>
    <mergeCell ref="IB3:IB4"/>
    <mergeCell ref="IC3:ID3"/>
    <mergeCell ref="HK3:HL3"/>
    <mergeCell ref="HN3:HO3"/>
    <mergeCell ref="HD3:HD4"/>
    <mergeCell ref="HA3:HA4"/>
    <mergeCell ref="GX3:GX4"/>
    <mergeCell ref="GY1:GZ1"/>
    <mergeCell ref="GA3:GB3"/>
    <mergeCell ref="GG1:GH1"/>
    <mergeCell ref="GF3:GF4"/>
    <mergeCell ref="GG3:GH3"/>
    <mergeCell ref="GD1:GE1"/>
    <mergeCell ref="GM1:GN1"/>
    <mergeCell ref="GL3:GL4"/>
    <mergeCell ref="GM3:GN3"/>
    <mergeCell ref="GI3:GI4"/>
    <mergeCell ref="GJ1:GK1"/>
    <mergeCell ref="GJ3:GK3"/>
    <mergeCell ref="FN3:FN4"/>
    <mergeCell ref="FO1:FP1"/>
    <mergeCell ref="FO3:FP3"/>
    <mergeCell ref="JD3:JD4"/>
    <mergeCell ref="HS3:HS4"/>
    <mergeCell ref="IR3:IS3"/>
    <mergeCell ref="IT3:IU3"/>
    <mergeCell ref="IV3:IW3"/>
    <mergeCell ref="HP3:HP4"/>
    <mergeCell ref="IP3:IQ3"/>
    <mergeCell ref="IO3:IO4"/>
    <mergeCell ref="FT3:FT4"/>
    <mergeCell ref="FU3:FV3"/>
    <mergeCell ref="FR1:FS1"/>
    <mergeCell ref="FR3:FS3"/>
    <mergeCell ref="FQ3:FQ4"/>
    <mergeCell ref="FX1:FY1"/>
    <mergeCell ref="FW3:FW4"/>
    <mergeCell ref="FX3:FY3"/>
    <mergeCell ref="FU1:FV1"/>
    <mergeCell ref="GC3:GC4"/>
    <mergeCell ref="GD3:GE3"/>
    <mergeCell ref="GA1:GB1"/>
    <mergeCell ref="FZ3:FZ4"/>
    <mergeCell ref="GP2:GQ2"/>
    <mergeCell ref="GS2:GT2"/>
    <mergeCell ref="GV2:GW2"/>
    <mergeCell ref="GY2:GZ2"/>
    <mergeCell ref="HB2:HC2"/>
    <mergeCell ref="HE2:HF2"/>
    <mergeCell ref="HH2:HI2"/>
    <mergeCell ref="HK2:HL2"/>
    <mergeCell ref="HN2:HO2"/>
    <mergeCell ref="FO2:FP2"/>
    <mergeCell ref="FR2:FS2"/>
    <mergeCell ref="FU2:FV2"/>
    <mergeCell ref="FX2:FY2"/>
    <mergeCell ref="GA2:GB2"/>
    <mergeCell ref="GD2:GE2"/>
    <mergeCell ref="GG2:GH2"/>
    <mergeCell ref="GJ2:GK2"/>
    <mergeCell ref="GM2:GN2"/>
    <mergeCell ref="IC2:ID2"/>
    <mergeCell ref="IF2:IG2"/>
    <mergeCell ref="II2:IJ2"/>
    <mergeCell ref="IK2:IL2"/>
    <mergeCell ref="IM2:IN2"/>
    <mergeCell ref="JJ2:JK2"/>
    <mergeCell ref="JL2:JM2"/>
    <mergeCell ref="JO2:JP2"/>
    <mergeCell ref="JQ2:JR2"/>
    <mergeCell ref="JT2:JU2"/>
    <mergeCell ref="JV2:JW2"/>
    <mergeCell ref="IP2:IQ2"/>
    <mergeCell ref="IR2:IS2"/>
    <mergeCell ref="IT2:IU2"/>
    <mergeCell ref="IV2:IW2"/>
    <mergeCell ref="IX2:IY2"/>
    <mergeCell ref="IZ2:JA2"/>
    <mergeCell ref="JB2:JC2"/>
    <mergeCell ref="JE2:JF2"/>
    <mergeCell ref="JH2:JI2"/>
  </mergeCells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I293"/>
  <sheetViews>
    <sheetView zoomScale="50" zoomScaleNormal="50" workbookViewId="0">
      <pane xSplit="1" ySplit="4" topLeftCell="MT5" activePane="bottomRight" state="frozen"/>
      <selection sqref="A1:A1048576"/>
      <selection pane="topRight" sqref="A1:A1048576"/>
      <selection pane="bottomLeft" sqref="A1:A1048576"/>
      <selection pane="bottomRight" activeCell="MZ173" sqref="MZ173"/>
    </sheetView>
  </sheetViews>
  <sheetFormatPr defaultRowHeight="14.4" x14ac:dyDescent="0.3"/>
  <cols>
    <col min="1" max="1" width="51.44140625" style="29" bestFit="1" customWidth="1"/>
    <col min="2" max="2" width="11.21875" style="10" bestFit="1" customWidth="1"/>
    <col min="3" max="3" width="9.33203125" bestFit="1" customWidth="1"/>
    <col min="4" max="4" width="15.6640625" bestFit="1" customWidth="1"/>
    <col min="5" max="5" width="16.6640625" style="29" bestFit="1" customWidth="1"/>
    <col min="6" max="6" width="11.21875" style="10" bestFit="1" customWidth="1"/>
    <col min="7" max="7" width="9.33203125" bestFit="1" customWidth="1"/>
    <col min="8" max="8" width="15.6640625" bestFit="1" customWidth="1"/>
    <col min="9" max="9" width="16.6640625" style="29" bestFit="1" customWidth="1"/>
    <col min="10" max="10" width="11.21875" style="10" bestFit="1" customWidth="1"/>
    <col min="11" max="11" width="9.33203125" bestFit="1" customWidth="1"/>
    <col min="12" max="12" width="15.6640625" bestFit="1" customWidth="1"/>
    <col min="13" max="13" width="16.6640625" style="29" bestFit="1" customWidth="1"/>
    <col min="14" max="14" width="11.21875" style="10" bestFit="1" customWidth="1"/>
    <col min="15" max="15" width="12.33203125" bestFit="1" customWidth="1"/>
    <col min="16" max="16" width="15.6640625" bestFit="1" customWidth="1"/>
    <col min="17" max="17" width="16.6640625" style="29" bestFit="1" customWidth="1"/>
    <col min="18" max="18" width="11.21875" style="10" bestFit="1" customWidth="1"/>
    <col min="19" max="19" width="9.33203125" bestFit="1" customWidth="1"/>
    <col min="20" max="20" width="15.6640625" bestFit="1" customWidth="1"/>
    <col min="21" max="21" width="16.6640625" style="29" bestFit="1" customWidth="1"/>
    <col min="22" max="22" width="11.21875" style="10" bestFit="1" customWidth="1"/>
    <col min="23" max="23" width="9.33203125" bestFit="1" customWidth="1"/>
    <col min="24" max="24" width="15.6640625" bestFit="1" customWidth="1"/>
    <col min="25" max="25" width="16.6640625" style="29" bestFit="1" customWidth="1"/>
    <col min="26" max="26" width="11.21875" style="10" bestFit="1" customWidth="1"/>
    <col min="27" max="27" width="9.33203125" bestFit="1" customWidth="1"/>
    <col min="28" max="28" width="15.6640625" bestFit="1" customWidth="1"/>
    <col min="29" max="29" width="16.6640625" style="29" bestFit="1" customWidth="1"/>
    <col min="30" max="30" width="11.21875" style="10" bestFit="1" customWidth="1"/>
    <col min="31" max="31" width="12.33203125" bestFit="1" customWidth="1"/>
    <col min="32" max="32" width="15.6640625" bestFit="1" customWidth="1"/>
    <col min="33" max="33" width="16.6640625" style="29" bestFit="1" customWidth="1"/>
    <col min="34" max="34" width="11.21875" style="10" bestFit="1" customWidth="1"/>
    <col min="35" max="35" width="9.33203125" bestFit="1" customWidth="1"/>
    <col min="36" max="36" width="15.6640625" bestFit="1" customWidth="1"/>
    <col min="37" max="37" width="16.6640625" style="29" bestFit="1" customWidth="1"/>
    <col min="38" max="38" width="11.21875" style="10" bestFit="1" customWidth="1"/>
    <col min="39" max="39" width="9.33203125" bestFit="1" customWidth="1"/>
    <col min="40" max="40" width="15.6640625" bestFit="1" customWidth="1"/>
    <col min="41" max="41" width="16.6640625" style="29" bestFit="1" customWidth="1"/>
    <col min="42" max="42" width="11.21875" style="10" bestFit="1" customWidth="1"/>
    <col min="43" max="43" width="9.33203125" bestFit="1" customWidth="1"/>
    <col min="44" max="44" width="15.6640625" bestFit="1" customWidth="1"/>
    <col min="45" max="45" width="16.6640625" style="29" bestFit="1" customWidth="1"/>
    <col min="46" max="46" width="11.21875" style="10" bestFit="1" customWidth="1"/>
    <col min="47" max="47" width="12.33203125" bestFit="1" customWidth="1"/>
    <col min="48" max="48" width="15.6640625" bestFit="1" customWidth="1"/>
    <col min="49" max="49" width="16.6640625" style="29" bestFit="1" customWidth="1"/>
    <col min="50" max="50" width="11.21875" style="10" bestFit="1" customWidth="1"/>
    <col min="51" max="51" width="9.33203125" bestFit="1" customWidth="1"/>
    <col min="52" max="52" width="15.6640625" bestFit="1" customWidth="1"/>
    <col min="53" max="53" width="16.6640625" style="29" bestFit="1" customWidth="1"/>
    <col min="54" max="54" width="11.21875" style="10" bestFit="1" customWidth="1"/>
    <col min="55" max="55" width="9.33203125" bestFit="1" customWidth="1"/>
    <col min="56" max="56" width="15.6640625" bestFit="1" customWidth="1"/>
    <col min="57" max="57" width="16.6640625" style="29" bestFit="1" customWidth="1"/>
    <col min="58" max="58" width="11.21875" style="10" bestFit="1" customWidth="1"/>
    <col min="59" max="59" width="9.33203125" bestFit="1" customWidth="1"/>
    <col min="60" max="60" width="15.6640625" bestFit="1" customWidth="1"/>
    <col min="61" max="61" width="16.6640625" style="29" bestFit="1" customWidth="1"/>
    <col min="62" max="62" width="11.21875" style="10" bestFit="1" customWidth="1"/>
    <col min="63" max="63" width="12.33203125" bestFit="1" customWidth="1"/>
    <col min="64" max="64" width="15.6640625" bestFit="1" customWidth="1"/>
    <col min="65" max="65" width="16.6640625" style="29" bestFit="1" customWidth="1"/>
    <col min="66" max="66" width="11.21875" style="10" bestFit="1" customWidth="1"/>
    <col min="67" max="67" width="9.33203125" bestFit="1" customWidth="1"/>
    <col min="68" max="68" width="15.6640625" bestFit="1" customWidth="1"/>
    <col min="69" max="69" width="16.6640625" style="29" bestFit="1" customWidth="1"/>
    <col min="70" max="70" width="11.21875" style="10" bestFit="1" customWidth="1"/>
    <col min="71" max="71" width="9.33203125" bestFit="1" customWidth="1"/>
    <col min="72" max="72" width="15.6640625" bestFit="1" customWidth="1"/>
    <col min="73" max="73" width="16.6640625" style="29" bestFit="1" customWidth="1"/>
    <col min="74" max="74" width="11.21875" style="10" bestFit="1" customWidth="1"/>
    <col min="75" max="75" width="9.33203125" bestFit="1" customWidth="1"/>
    <col min="76" max="76" width="15.6640625" bestFit="1" customWidth="1"/>
    <col min="77" max="77" width="16.6640625" style="29" bestFit="1" customWidth="1"/>
    <col min="78" max="78" width="11.21875" style="10" bestFit="1" customWidth="1"/>
    <col min="79" max="79" width="12.33203125" bestFit="1" customWidth="1"/>
    <col min="80" max="80" width="15.6640625" bestFit="1" customWidth="1"/>
    <col min="81" max="81" width="16.6640625" style="29" bestFit="1" customWidth="1"/>
    <col min="82" max="82" width="11.21875" style="10" bestFit="1" customWidth="1"/>
    <col min="83" max="83" width="9.33203125" bestFit="1" customWidth="1"/>
    <col min="84" max="84" width="15.6640625" bestFit="1" customWidth="1"/>
    <col min="85" max="85" width="16.6640625" style="29" bestFit="1" customWidth="1"/>
    <col min="86" max="86" width="11.21875" style="10" bestFit="1" customWidth="1"/>
    <col min="87" max="87" width="9.33203125" bestFit="1" customWidth="1"/>
    <col min="88" max="88" width="15.6640625" bestFit="1" customWidth="1"/>
    <col min="89" max="89" width="16.6640625" style="29" bestFit="1" customWidth="1"/>
    <col min="90" max="90" width="11.21875" style="10" bestFit="1" customWidth="1"/>
    <col min="91" max="91" width="9.33203125" bestFit="1" customWidth="1"/>
    <col min="92" max="92" width="15.6640625" bestFit="1" customWidth="1"/>
    <col min="93" max="93" width="16.6640625" style="29" bestFit="1" customWidth="1"/>
    <col min="94" max="94" width="11.21875" style="10" bestFit="1" customWidth="1"/>
    <col min="95" max="95" width="12.33203125" bestFit="1" customWidth="1"/>
    <col min="96" max="96" width="15.6640625" bestFit="1" customWidth="1"/>
    <col min="97" max="97" width="16.6640625" style="29" bestFit="1" customWidth="1"/>
    <col min="98" max="98" width="11.21875" style="10" bestFit="1" customWidth="1"/>
    <col min="99" max="99" width="9.33203125" bestFit="1" customWidth="1"/>
    <col min="100" max="100" width="15.6640625" bestFit="1" customWidth="1"/>
    <col min="101" max="101" width="16.6640625" style="29" bestFit="1" customWidth="1"/>
    <col min="102" max="102" width="11.21875" style="10" bestFit="1" customWidth="1"/>
    <col min="103" max="103" width="9.33203125" bestFit="1" customWidth="1"/>
    <col min="104" max="104" width="15.6640625" bestFit="1" customWidth="1"/>
    <col min="105" max="105" width="16.6640625" style="29" bestFit="1" customWidth="1"/>
    <col min="106" max="106" width="11.21875" style="10" bestFit="1" customWidth="1"/>
    <col min="107" max="107" width="9.33203125" bestFit="1" customWidth="1"/>
    <col min="108" max="108" width="15.6640625" bestFit="1" customWidth="1"/>
    <col min="109" max="109" width="16.6640625" style="29" bestFit="1" customWidth="1"/>
    <col min="110" max="110" width="11.21875" style="10" bestFit="1" customWidth="1"/>
    <col min="111" max="111" width="12.33203125" bestFit="1" customWidth="1"/>
    <col min="112" max="112" width="15.6640625" bestFit="1" customWidth="1"/>
    <col min="113" max="113" width="16.6640625" style="29" bestFit="1" customWidth="1"/>
    <col min="114" max="114" width="11.21875" style="10" bestFit="1" customWidth="1"/>
    <col min="115" max="115" width="9.33203125" bestFit="1" customWidth="1"/>
    <col min="116" max="116" width="15.6640625" bestFit="1" customWidth="1"/>
    <col min="117" max="117" width="16.6640625" style="29" bestFit="1" customWidth="1"/>
    <col min="118" max="118" width="11.21875" style="10" bestFit="1" customWidth="1"/>
    <col min="119" max="119" width="9.33203125" bestFit="1" customWidth="1"/>
    <col min="120" max="120" width="15.6640625" bestFit="1" customWidth="1"/>
    <col min="121" max="121" width="16.6640625" style="29" bestFit="1" customWidth="1"/>
    <col min="122" max="122" width="11.21875" style="10" bestFit="1" customWidth="1"/>
    <col min="123" max="123" width="9.33203125" bestFit="1" customWidth="1"/>
    <col min="124" max="124" width="15.6640625" bestFit="1" customWidth="1"/>
    <col min="125" max="125" width="16.6640625" style="29" bestFit="1" customWidth="1"/>
    <col min="126" max="126" width="11.21875" style="10" bestFit="1" customWidth="1"/>
    <col min="127" max="127" width="12.33203125" bestFit="1" customWidth="1"/>
    <col min="128" max="128" width="15.6640625" bestFit="1" customWidth="1"/>
    <col min="129" max="129" width="16.6640625" style="29" bestFit="1" customWidth="1"/>
    <col min="130" max="130" width="11.21875" style="10" bestFit="1" customWidth="1"/>
    <col min="131" max="131" width="9.33203125" bestFit="1" customWidth="1"/>
    <col min="132" max="132" width="15.6640625" bestFit="1" customWidth="1"/>
    <col min="133" max="133" width="16.6640625" style="29" bestFit="1" customWidth="1"/>
    <col min="134" max="134" width="11.21875" style="10" bestFit="1" customWidth="1"/>
    <col min="135" max="135" width="9.33203125" bestFit="1" customWidth="1"/>
    <col min="136" max="136" width="15.6640625" bestFit="1" customWidth="1"/>
    <col min="137" max="137" width="16.6640625" style="29" bestFit="1" customWidth="1"/>
    <col min="138" max="138" width="11.21875" style="10" bestFit="1" customWidth="1"/>
    <col min="139" max="139" width="9.33203125" bestFit="1" customWidth="1"/>
    <col min="140" max="140" width="15.6640625" bestFit="1" customWidth="1"/>
    <col min="141" max="141" width="16.6640625" style="29" bestFit="1" customWidth="1"/>
    <col min="142" max="142" width="11.21875" style="10" bestFit="1" customWidth="1"/>
    <col min="143" max="143" width="12.33203125" bestFit="1" customWidth="1"/>
    <col min="144" max="144" width="15.6640625" bestFit="1" customWidth="1"/>
    <col min="145" max="145" width="16.6640625" style="29" bestFit="1" customWidth="1"/>
    <col min="146" max="146" width="11.21875" style="10" bestFit="1" customWidth="1"/>
    <col min="147" max="147" width="9.33203125" bestFit="1" customWidth="1"/>
    <col min="148" max="148" width="15.6640625" bestFit="1" customWidth="1"/>
    <col min="149" max="149" width="16.6640625" style="29" bestFit="1" customWidth="1"/>
    <col min="150" max="150" width="11.21875" style="10" bestFit="1" customWidth="1"/>
    <col min="151" max="151" width="9.33203125" bestFit="1" customWidth="1"/>
    <col min="152" max="152" width="15.6640625" bestFit="1" customWidth="1"/>
    <col min="153" max="153" width="16.6640625" style="29" bestFit="1" customWidth="1"/>
    <col min="154" max="154" width="11.21875" style="10" bestFit="1" customWidth="1"/>
    <col min="155" max="155" width="9.33203125" bestFit="1" customWidth="1"/>
    <col min="156" max="156" width="15.6640625" bestFit="1" customWidth="1"/>
    <col min="157" max="157" width="16.6640625" style="29" bestFit="1" customWidth="1"/>
    <col min="158" max="158" width="11.21875" style="10" bestFit="1" customWidth="1"/>
    <col min="159" max="159" width="12.33203125" bestFit="1" customWidth="1"/>
    <col min="160" max="160" width="15.6640625" bestFit="1" customWidth="1"/>
    <col min="161" max="161" width="16.6640625" style="29" bestFit="1" customWidth="1"/>
    <col min="162" max="162" width="11.21875" style="10" bestFit="1" customWidth="1"/>
    <col min="163" max="163" width="9.33203125" bestFit="1" customWidth="1"/>
    <col min="164" max="164" width="15.6640625" bestFit="1" customWidth="1"/>
    <col min="165" max="165" width="16.6640625" style="29" bestFit="1" customWidth="1"/>
    <col min="166" max="166" width="11.21875" style="10" bestFit="1" customWidth="1"/>
    <col min="167" max="167" width="9.33203125" bestFit="1" customWidth="1"/>
    <col min="168" max="168" width="15.6640625" bestFit="1" customWidth="1"/>
    <col min="169" max="169" width="16.6640625" style="29" bestFit="1" customWidth="1"/>
    <col min="170" max="170" width="11.21875" style="10" bestFit="1" customWidth="1"/>
    <col min="171" max="171" width="9.33203125" bestFit="1" customWidth="1"/>
    <col min="172" max="172" width="15.6640625" bestFit="1" customWidth="1"/>
    <col min="173" max="173" width="16.6640625" style="29" bestFit="1" customWidth="1"/>
    <col min="174" max="174" width="11.21875" style="10" bestFit="1" customWidth="1"/>
    <col min="175" max="175" width="12.33203125" bestFit="1" customWidth="1"/>
    <col min="176" max="176" width="15.6640625" bestFit="1" customWidth="1"/>
    <col min="177" max="177" width="16.6640625" style="29" bestFit="1" customWidth="1"/>
    <col min="178" max="178" width="11.21875" style="10" bestFit="1" customWidth="1"/>
    <col min="179" max="179" width="9.33203125" bestFit="1" customWidth="1"/>
    <col min="180" max="180" width="15.6640625" bestFit="1" customWidth="1"/>
    <col min="181" max="181" width="16.6640625" style="29" bestFit="1" customWidth="1"/>
    <col min="182" max="182" width="11.21875" style="10" bestFit="1" customWidth="1"/>
    <col min="183" max="183" width="9.33203125" bestFit="1" customWidth="1"/>
    <col min="184" max="184" width="15.6640625" bestFit="1" customWidth="1"/>
    <col min="185" max="185" width="16.6640625" style="29" bestFit="1" customWidth="1"/>
    <col min="186" max="186" width="11.21875" style="10" bestFit="1" customWidth="1"/>
    <col min="187" max="187" width="9.33203125" bestFit="1" customWidth="1"/>
    <col min="188" max="188" width="15.6640625" bestFit="1" customWidth="1"/>
    <col min="189" max="189" width="16.6640625" style="29" bestFit="1" customWidth="1"/>
    <col min="190" max="190" width="11.21875" style="10" bestFit="1" customWidth="1"/>
    <col min="191" max="191" width="12.33203125" bestFit="1" customWidth="1"/>
    <col min="192" max="192" width="15.6640625" bestFit="1" customWidth="1"/>
    <col min="193" max="193" width="16.6640625" style="29" bestFit="1" customWidth="1"/>
    <col min="194" max="194" width="11.21875" style="10" bestFit="1" customWidth="1"/>
    <col min="195" max="195" width="9.33203125" bestFit="1" customWidth="1"/>
    <col min="196" max="196" width="15.6640625" bestFit="1" customWidth="1"/>
    <col min="197" max="197" width="16.6640625" style="29" bestFit="1" customWidth="1"/>
    <col min="198" max="198" width="11.21875" style="10" bestFit="1" customWidth="1"/>
    <col min="199" max="199" width="9.33203125" bestFit="1" customWidth="1"/>
    <col min="200" max="200" width="15.6640625" bestFit="1" customWidth="1"/>
    <col min="201" max="201" width="16.6640625" style="29" bestFit="1" customWidth="1"/>
    <col min="202" max="202" width="11.21875" style="10" bestFit="1" customWidth="1"/>
    <col min="203" max="203" width="9.33203125" bestFit="1" customWidth="1"/>
    <col min="204" max="204" width="15.6640625" bestFit="1" customWidth="1"/>
    <col min="205" max="205" width="16.6640625" style="29" bestFit="1" customWidth="1"/>
    <col min="206" max="206" width="11.21875" style="10" bestFit="1" customWidth="1"/>
    <col min="207" max="207" width="12.33203125" bestFit="1" customWidth="1"/>
    <col min="208" max="208" width="15.6640625" bestFit="1" customWidth="1"/>
    <col min="209" max="209" width="16.6640625" style="29" bestFit="1" customWidth="1"/>
    <col min="210" max="210" width="11.21875" style="10" bestFit="1" customWidth="1"/>
    <col min="211" max="211" width="9.33203125" bestFit="1" customWidth="1"/>
    <col min="212" max="212" width="15.6640625" bestFit="1" customWidth="1"/>
    <col min="213" max="213" width="16.6640625" style="29" bestFit="1" customWidth="1"/>
    <col min="214" max="214" width="11.21875" style="10" bestFit="1" customWidth="1"/>
    <col min="215" max="215" width="9.33203125" bestFit="1" customWidth="1"/>
    <col min="216" max="216" width="15.6640625" bestFit="1" customWidth="1"/>
    <col min="217" max="217" width="16.6640625" style="29" bestFit="1" customWidth="1"/>
    <col min="218" max="218" width="11.21875" style="10" bestFit="1" customWidth="1"/>
    <col min="219" max="219" width="9.33203125" bestFit="1" customWidth="1"/>
    <col min="220" max="220" width="15.6640625" bestFit="1" customWidth="1"/>
    <col min="221" max="221" width="16.6640625" style="29" bestFit="1" customWidth="1"/>
    <col min="222" max="222" width="11.21875" style="10" bestFit="1" customWidth="1"/>
    <col min="223" max="223" width="12.33203125" bestFit="1" customWidth="1"/>
    <col min="224" max="224" width="15.6640625" bestFit="1" customWidth="1"/>
    <col min="225" max="225" width="16.6640625" style="29" bestFit="1" customWidth="1"/>
    <col min="226" max="226" width="11.21875" style="33" bestFit="1" customWidth="1"/>
    <col min="227" max="227" width="9.33203125" style="29" bestFit="1" customWidth="1"/>
    <col min="228" max="228" width="15.77734375" style="29" bestFit="1" customWidth="1"/>
    <col min="229" max="229" width="16.6640625" style="29" bestFit="1" customWidth="1"/>
    <col min="230" max="230" width="11.21875" style="33" bestFit="1" customWidth="1"/>
    <col min="231" max="231" width="11.5546875" style="29" bestFit="1" customWidth="1"/>
    <col min="232" max="232" width="15.77734375" style="29" bestFit="1" customWidth="1"/>
    <col min="233" max="233" width="16.6640625" style="29" bestFit="1" customWidth="1"/>
    <col min="234" max="234" width="11.5546875" style="29" bestFit="1" customWidth="1"/>
    <col min="235" max="235" width="15.77734375" style="29" bestFit="1" customWidth="1"/>
    <col min="236" max="236" width="16.6640625" style="29" bestFit="1" customWidth="1"/>
    <col min="237" max="237" width="11.21875" style="33" bestFit="1" customWidth="1"/>
    <col min="238" max="238" width="12.33203125" style="29" bestFit="1" customWidth="1"/>
    <col min="239" max="239" width="15.77734375" style="29" bestFit="1" customWidth="1"/>
    <col min="240" max="240" width="16.6640625" style="29" bestFit="1" customWidth="1"/>
    <col min="241" max="241" width="11.21875" style="33" bestFit="1" customWidth="1"/>
    <col min="242" max="242" width="11.5546875" style="29" bestFit="1" customWidth="1"/>
    <col min="243" max="243" width="15.77734375" style="29" bestFit="1" customWidth="1"/>
    <col min="244" max="244" width="16.6640625" style="29" bestFit="1" customWidth="1"/>
    <col min="245" max="245" width="11.21875" style="33" bestFit="1" customWidth="1"/>
    <col min="246" max="246" width="11.21875" style="29" bestFit="1" customWidth="1"/>
    <col min="247" max="247" width="15.77734375" style="29" bestFit="1" customWidth="1"/>
    <col min="248" max="248" width="16.6640625" style="29" bestFit="1" customWidth="1"/>
    <col min="249" max="249" width="11.21875" style="33" bestFit="1" customWidth="1"/>
    <col min="250" max="250" width="11.5546875" style="29" bestFit="1" customWidth="1"/>
    <col min="251" max="251" width="15.77734375" style="29" bestFit="1" customWidth="1"/>
    <col min="252" max="252" width="16.6640625" style="29" bestFit="1" customWidth="1"/>
    <col min="253" max="253" width="11.21875" style="33" bestFit="1" customWidth="1"/>
    <col min="254" max="254" width="12" style="29" bestFit="1" customWidth="1"/>
    <col min="255" max="255" width="15.77734375" style="29" bestFit="1" customWidth="1"/>
    <col min="256" max="256" width="16.6640625" style="29" bestFit="1" customWidth="1"/>
    <col min="257" max="257" width="11.21875" style="33" bestFit="1" customWidth="1"/>
    <col min="258" max="258" width="10.44140625" style="29" bestFit="1" customWidth="1"/>
    <col min="259" max="259" width="15.77734375" style="29" bestFit="1" customWidth="1"/>
    <col min="260" max="260" width="16.6640625" style="29" bestFit="1" customWidth="1"/>
    <col min="261" max="261" width="11.21875" style="29" bestFit="1" customWidth="1"/>
    <col min="262" max="262" width="11.5546875" style="29" bestFit="1" customWidth="1"/>
    <col min="263" max="263" width="15.77734375" style="29" bestFit="1" customWidth="1"/>
    <col min="264" max="264" width="16.6640625" style="29" bestFit="1" customWidth="1"/>
    <col min="265" max="265" width="11.21875" style="29" bestFit="1" customWidth="1"/>
    <col min="266" max="266" width="11.5546875" style="29" bestFit="1" customWidth="1"/>
    <col min="267" max="267" width="15.77734375" style="29" bestFit="1" customWidth="1"/>
    <col min="268" max="268" width="16.6640625" style="29" bestFit="1" customWidth="1"/>
    <col min="269" max="269" width="11.21875" style="29" bestFit="1" customWidth="1"/>
    <col min="270" max="270" width="12.6640625" style="29" bestFit="1" customWidth="1"/>
    <col min="271" max="271" width="15.77734375" style="29" bestFit="1" customWidth="1"/>
    <col min="272" max="272" width="16.6640625" style="29" bestFit="1" customWidth="1"/>
    <col min="273" max="273" width="11.21875" style="33" bestFit="1" customWidth="1"/>
    <col min="274" max="274" width="10.44140625" style="29" bestFit="1" customWidth="1"/>
    <col min="275" max="275" width="15.77734375" style="29" bestFit="1" customWidth="1"/>
    <col min="276" max="276" width="16.6640625" style="29" bestFit="1" customWidth="1"/>
    <col min="277" max="277" width="11.21875" style="33" bestFit="1" customWidth="1"/>
    <col min="278" max="278" width="11.5546875" style="29" bestFit="1" customWidth="1"/>
    <col min="279" max="279" width="15.77734375" style="29" bestFit="1" customWidth="1"/>
    <col min="280" max="280" width="16.6640625" style="29" bestFit="1" customWidth="1"/>
    <col min="281" max="281" width="11.21875" style="33" bestFit="1" customWidth="1"/>
    <col min="282" max="282" width="11.5546875" style="29" bestFit="1" customWidth="1"/>
    <col min="283" max="283" width="15.77734375" style="29" bestFit="1" customWidth="1"/>
    <col min="284" max="284" width="16.6640625" style="29" bestFit="1" customWidth="1"/>
    <col min="285" max="285" width="11.21875" style="33" bestFit="1" customWidth="1"/>
    <col min="286" max="286" width="12.33203125" style="29" bestFit="1" customWidth="1"/>
    <col min="287" max="287" width="15.77734375" style="29" bestFit="1" customWidth="1"/>
    <col min="288" max="288" width="16.6640625" style="29" bestFit="1" customWidth="1"/>
    <col min="289" max="289" width="11.21875" style="33" bestFit="1" customWidth="1"/>
    <col min="290" max="290" width="11.21875" style="29" bestFit="1" customWidth="1"/>
    <col min="291" max="291" width="15.77734375" style="29" bestFit="1" customWidth="1"/>
    <col min="292" max="292" width="16.6640625" style="29" bestFit="1" customWidth="1"/>
    <col min="293" max="293" width="11.21875" style="33" bestFit="1" customWidth="1"/>
    <col min="294" max="294" width="10.44140625" style="29" bestFit="1" customWidth="1"/>
    <col min="295" max="295" width="15.77734375" style="29" bestFit="1" customWidth="1"/>
    <col min="296" max="296" width="16.6640625" style="29" bestFit="1" customWidth="1"/>
    <col min="297" max="297" width="11.21875" style="33" bestFit="1" customWidth="1"/>
    <col min="298" max="298" width="11.5546875" style="29" bestFit="1" customWidth="1"/>
    <col min="299" max="299" width="15.77734375" style="29" bestFit="1" customWidth="1"/>
    <col min="300" max="300" width="16.6640625" style="29" bestFit="1" customWidth="1"/>
    <col min="301" max="301" width="11.21875" style="33" bestFit="1" customWidth="1"/>
    <col min="302" max="302" width="12" style="29" bestFit="1" customWidth="1"/>
    <col min="303" max="303" width="15.77734375" style="29" bestFit="1" customWidth="1"/>
    <col min="304" max="304" width="16.6640625" style="29" bestFit="1" customWidth="1"/>
    <col min="305" max="305" width="11.21875" style="33" bestFit="1" customWidth="1"/>
    <col min="306" max="306" width="10.44140625" style="29" bestFit="1" customWidth="1"/>
    <col min="307" max="307" width="15.77734375" style="29" bestFit="1" customWidth="1"/>
    <col min="308" max="308" width="16.6640625" style="29" bestFit="1" customWidth="1"/>
    <col min="309" max="309" width="11.21875" style="29" bestFit="1" customWidth="1"/>
    <col min="310" max="310" width="10.44140625" style="29" bestFit="1" customWidth="1"/>
    <col min="311" max="311" width="15.77734375" style="29" bestFit="1" customWidth="1"/>
    <col min="312" max="312" width="16.6640625" style="29" bestFit="1" customWidth="1"/>
    <col min="313" max="313" width="11.21875" style="33" bestFit="1" customWidth="1"/>
    <col min="314" max="314" width="11.5546875" style="29" bestFit="1" customWidth="1"/>
    <col min="315" max="315" width="15.77734375" style="29" bestFit="1" customWidth="1"/>
    <col min="316" max="316" width="16.6640625" style="29" bestFit="1" customWidth="1"/>
    <col min="317" max="317" width="11.21875" style="29" bestFit="1" customWidth="1"/>
    <col min="318" max="318" width="12" style="29" bestFit="1" customWidth="1"/>
    <col min="319" max="319" width="15.77734375" style="29" bestFit="1" customWidth="1"/>
    <col min="320" max="320" width="16.6640625" style="29" bestFit="1" customWidth="1"/>
    <col min="321" max="321" width="7.21875" style="29" customWidth="1"/>
    <col min="322" max="322" width="12.33203125" style="29" bestFit="1" customWidth="1"/>
    <col min="323" max="323" width="15.77734375" style="29" bestFit="1" customWidth="1"/>
    <col min="324" max="324" width="16.6640625" style="29" bestFit="1" customWidth="1"/>
    <col min="325" max="325" width="12.33203125" style="29" bestFit="1" customWidth="1"/>
    <col min="326" max="326" width="15.77734375" style="29" bestFit="1" customWidth="1"/>
    <col min="327" max="327" width="16.6640625" style="29" bestFit="1" customWidth="1"/>
    <col min="328" max="328" width="12.33203125" style="29" bestFit="1" customWidth="1"/>
    <col min="329" max="329" width="15.77734375" style="29" bestFit="1" customWidth="1"/>
    <col min="330" max="330" width="16.6640625" style="29" bestFit="1" customWidth="1"/>
    <col min="331" max="331" width="11.21875" style="29" bestFit="1" customWidth="1"/>
    <col min="332" max="332" width="12.33203125" style="29" bestFit="1" customWidth="1"/>
    <col min="333" max="333" width="15.77734375" style="29" bestFit="1" customWidth="1"/>
    <col min="334" max="334" width="16.6640625" style="29" bestFit="1" customWidth="1"/>
    <col min="335" max="335" width="12.33203125" style="29" bestFit="1" customWidth="1"/>
    <col min="336" max="336" width="15.77734375" style="29" bestFit="1" customWidth="1"/>
    <col min="337" max="337" width="16.6640625" style="29" bestFit="1" customWidth="1"/>
    <col min="338" max="338" width="12.33203125" style="29" bestFit="1" customWidth="1"/>
    <col min="339" max="339" width="15.77734375" style="29" bestFit="1" customWidth="1"/>
    <col min="340" max="340" width="16.6640625" style="29" bestFit="1" customWidth="1"/>
    <col min="341" max="341" width="12.6640625" style="29" bestFit="1" customWidth="1"/>
    <col min="342" max="342" width="15.77734375" style="29" bestFit="1" customWidth="1"/>
    <col min="343" max="343" width="16.6640625" style="29" bestFit="1" customWidth="1"/>
    <col min="344" max="344" width="12.33203125" style="29" bestFit="1" customWidth="1"/>
    <col min="345" max="345" width="15.77734375" style="29" bestFit="1" customWidth="1"/>
    <col min="346" max="346" width="16.6640625" style="29" bestFit="1" customWidth="1"/>
    <col min="347" max="347" width="12.33203125" style="29" bestFit="1" customWidth="1"/>
    <col min="348" max="348" width="15.77734375" style="29" bestFit="1" customWidth="1"/>
    <col min="349" max="349" width="16.6640625" style="29" bestFit="1" customWidth="1"/>
    <col min="350" max="350" width="12.33203125" style="29" bestFit="1" customWidth="1"/>
    <col min="351" max="351" width="15.77734375" style="29" bestFit="1" customWidth="1"/>
    <col min="352" max="352" width="16.6640625" style="29" bestFit="1" customWidth="1"/>
    <col min="353" max="353" width="11.21875" style="33" bestFit="1" customWidth="1"/>
    <col min="354" max="354" width="12.6640625" style="29" bestFit="1" customWidth="1"/>
    <col min="355" max="355" width="15.77734375" style="29" bestFit="1" customWidth="1"/>
    <col min="356" max="356" width="16.6640625" style="29" bestFit="1" customWidth="1"/>
    <col min="357" max="357" width="11.21875" style="29" bestFit="1" customWidth="1"/>
    <col min="358" max="358" width="12.6640625" style="29" bestFit="1" customWidth="1"/>
    <col min="359" max="359" width="16.6640625" style="29" bestFit="1" customWidth="1"/>
    <col min="360" max="360" width="12.6640625" style="29" bestFit="1" customWidth="1"/>
    <col min="361" max="361" width="16.6640625" style="29" bestFit="1" customWidth="1"/>
    <col min="362" max="362" width="12.6640625" style="29" bestFit="1" customWidth="1"/>
    <col min="363" max="363" width="16.6640625" style="29" bestFit="1" customWidth="1"/>
    <col min="364" max="364" width="11.21875" style="29" bestFit="1" customWidth="1"/>
    <col min="365" max="365" width="12.6640625" style="29" bestFit="1" customWidth="1"/>
    <col min="366" max="366" width="16.6640625" style="29" bestFit="1" customWidth="1"/>
    <col min="367" max="367" width="12.33203125" style="29" bestFit="1" customWidth="1"/>
    <col min="368" max="368" width="16.6640625" style="29" bestFit="1" customWidth="1"/>
    <col min="369" max="369" width="11.21875" style="29" bestFit="1" customWidth="1"/>
    <col min="370" max="370" width="14.33203125" style="29" bestFit="1" customWidth="1"/>
    <col min="371" max="371" width="16.6640625" style="29" bestFit="1" customWidth="1"/>
    <col min="372" max="372" width="14.33203125" style="29" bestFit="1" customWidth="1"/>
    <col min="373" max="373" width="16.6640625" style="29" bestFit="1" customWidth="1"/>
    <col min="374" max="16384" width="8.88671875" style="29"/>
  </cols>
  <sheetData>
    <row r="1" spans="1:373" s="35" customFormat="1" ht="33" customHeight="1" x14ac:dyDescent="0.3">
      <c r="B1" s="10"/>
      <c r="C1" s="146" t="s">
        <v>62</v>
      </c>
      <c r="D1" s="146"/>
      <c r="E1" s="118"/>
      <c r="F1" s="10"/>
      <c r="G1" s="146" t="s">
        <v>56</v>
      </c>
      <c r="H1" s="146"/>
      <c r="I1" s="118"/>
      <c r="J1" s="10"/>
      <c r="K1" s="146" t="s">
        <v>51</v>
      </c>
      <c r="L1" s="146"/>
      <c r="M1" s="118"/>
      <c r="N1" s="10"/>
      <c r="O1" s="146" t="s">
        <v>36</v>
      </c>
      <c r="P1" s="146"/>
      <c r="Q1" s="118"/>
      <c r="R1" s="10"/>
      <c r="S1" s="146" t="s">
        <v>62</v>
      </c>
      <c r="T1" s="146"/>
      <c r="U1" s="118"/>
      <c r="V1" s="10"/>
      <c r="W1" s="146" t="s">
        <v>56</v>
      </c>
      <c r="X1" s="146"/>
      <c r="Y1" s="118"/>
      <c r="Z1" s="10"/>
      <c r="AA1" s="146" t="s">
        <v>51</v>
      </c>
      <c r="AB1" s="146"/>
      <c r="AC1" s="118"/>
      <c r="AD1" s="10"/>
      <c r="AE1" s="146" t="s">
        <v>36</v>
      </c>
      <c r="AF1" s="146"/>
      <c r="AG1" s="118"/>
      <c r="AH1" s="10"/>
      <c r="AI1" s="146" t="s">
        <v>62</v>
      </c>
      <c r="AJ1" s="146"/>
      <c r="AK1" s="118"/>
      <c r="AL1" s="10"/>
      <c r="AM1" s="146" t="s">
        <v>56</v>
      </c>
      <c r="AN1" s="146"/>
      <c r="AO1" s="118"/>
      <c r="AP1" s="10"/>
      <c r="AQ1" s="146" t="s">
        <v>51</v>
      </c>
      <c r="AR1" s="146"/>
      <c r="AS1" s="118"/>
      <c r="AT1" s="10"/>
      <c r="AU1" s="146" t="s">
        <v>36</v>
      </c>
      <c r="AV1" s="146"/>
      <c r="AW1" s="118"/>
      <c r="AX1" s="10"/>
      <c r="AY1" s="146" t="s">
        <v>62</v>
      </c>
      <c r="AZ1" s="146"/>
      <c r="BA1" s="118"/>
      <c r="BB1" s="10"/>
      <c r="BC1" s="146" t="s">
        <v>56</v>
      </c>
      <c r="BD1" s="146"/>
      <c r="BE1" s="118"/>
      <c r="BF1" s="10"/>
      <c r="BG1" s="146" t="s">
        <v>51</v>
      </c>
      <c r="BH1" s="146"/>
      <c r="BI1" s="118"/>
      <c r="BJ1" s="10"/>
      <c r="BK1" s="146" t="s">
        <v>36</v>
      </c>
      <c r="BL1" s="146"/>
      <c r="BM1" s="118"/>
      <c r="BN1" s="10"/>
      <c r="BO1" s="146" t="s">
        <v>62</v>
      </c>
      <c r="BP1" s="146"/>
      <c r="BQ1" s="118"/>
      <c r="BR1" s="10"/>
      <c r="BS1" s="146" t="s">
        <v>56</v>
      </c>
      <c r="BT1" s="146"/>
      <c r="BU1" s="118"/>
      <c r="BV1" s="10"/>
      <c r="BW1" s="146" t="s">
        <v>51</v>
      </c>
      <c r="BX1" s="146"/>
      <c r="BY1" s="118"/>
      <c r="BZ1" s="10"/>
      <c r="CA1" s="146" t="s">
        <v>36</v>
      </c>
      <c r="CB1" s="146"/>
      <c r="CC1" s="118"/>
      <c r="CD1" s="10"/>
      <c r="CE1" s="146" t="s">
        <v>62</v>
      </c>
      <c r="CF1" s="146"/>
      <c r="CG1" s="118"/>
      <c r="CH1" s="10"/>
      <c r="CI1" s="146" t="s">
        <v>56</v>
      </c>
      <c r="CJ1" s="146"/>
      <c r="CK1" s="118"/>
      <c r="CL1" s="10"/>
      <c r="CM1" s="146" t="s">
        <v>51</v>
      </c>
      <c r="CN1" s="146"/>
      <c r="CO1" s="118"/>
      <c r="CP1" s="10"/>
      <c r="CQ1" s="146" t="s">
        <v>36</v>
      </c>
      <c r="CR1" s="146"/>
      <c r="CS1" s="118"/>
      <c r="CT1" s="10"/>
      <c r="CU1" s="146" t="s">
        <v>62</v>
      </c>
      <c r="CV1" s="146"/>
      <c r="CW1" s="118"/>
      <c r="CX1" s="10"/>
      <c r="CY1" s="146" t="s">
        <v>56</v>
      </c>
      <c r="CZ1" s="146"/>
      <c r="DA1" s="118"/>
      <c r="DB1" s="10"/>
      <c r="DC1" s="146" t="s">
        <v>51</v>
      </c>
      <c r="DD1" s="146"/>
      <c r="DE1" s="118"/>
      <c r="DF1" s="10"/>
      <c r="DG1" s="146" t="s">
        <v>36</v>
      </c>
      <c r="DH1" s="146"/>
      <c r="DI1" s="118"/>
      <c r="DJ1" s="10"/>
      <c r="DK1" s="146" t="s">
        <v>62</v>
      </c>
      <c r="DL1" s="146"/>
      <c r="DM1" s="118"/>
      <c r="DN1" s="10"/>
      <c r="DO1" s="146" t="s">
        <v>56</v>
      </c>
      <c r="DP1" s="146"/>
      <c r="DQ1" s="118"/>
      <c r="DR1" s="10"/>
      <c r="DS1" s="146" t="s">
        <v>51</v>
      </c>
      <c r="DT1" s="146"/>
      <c r="DU1" s="118"/>
      <c r="DV1" s="10"/>
      <c r="DW1" s="146" t="s">
        <v>36</v>
      </c>
      <c r="DX1" s="146"/>
      <c r="DY1" s="118"/>
      <c r="DZ1" s="10"/>
      <c r="EA1" s="146" t="s">
        <v>62</v>
      </c>
      <c r="EB1" s="146"/>
      <c r="EC1" s="118"/>
      <c r="ED1" s="10"/>
      <c r="EE1" s="146" t="s">
        <v>56</v>
      </c>
      <c r="EF1" s="146"/>
      <c r="EG1" s="118"/>
      <c r="EH1" s="10"/>
      <c r="EI1" s="146" t="s">
        <v>51</v>
      </c>
      <c r="EJ1" s="146"/>
      <c r="EK1" s="118"/>
      <c r="EL1" s="10"/>
      <c r="EM1" s="146" t="s">
        <v>36</v>
      </c>
      <c r="EN1" s="146"/>
      <c r="EO1" s="118"/>
      <c r="EP1" s="10"/>
      <c r="EQ1" s="146" t="s">
        <v>62</v>
      </c>
      <c r="ER1" s="146"/>
      <c r="ES1" s="118"/>
      <c r="ET1" s="10"/>
      <c r="EU1" s="146" t="s">
        <v>56</v>
      </c>
      <c r="EV1" s="146"/>
      <c r="EW1" s="118"/>
      <c r="EX1" s="10"/>
      <c r="EY1" s="146" t="s">
        <v>51</v>
      </c>
      <c r="EZ1" s="146"/>
      <c r="FA1" s="118"/>
      <c r="FB1" s="10"/>
      <c r="FC1" s="146" t="s">
        <v>36</v>
      </c>
      <c r="FD1" s="146"/>
      <c r="FE1" s="118"/>
      <c r="FF1" s="10"/>
      <c r="FG1" s="146" t="s">
        <v>62</v>
      </c>
      <c r="FH1" s="146"/>
      <c r="FI1" s="118"/>
      <c r="FJ1" s="10"/>
      <c r="FK1" s="146" t="s">
        <v>56</v>
      </c>
      <c r="FL1" s="146"/>
      <c r="FM1" s="118"/>
      <c r="FN1" s="10"/>
      <c r="FO1" s="146" t="s">
        <v>51</v>
      </c>
      <c r="FP1" s="146"/>
      <c r="FQ1" s="118"/>
      <c r="FR1" s="10"/>
      <c r="FS1" s="146" t="s">
        <v>36</v>
      </c>
      <c r="FT1" s="146"/>
      <c r="FU1" s="118"/>
      <c r="FV1" s="10"/>
      <c r="FW1" s="146" t="s">
        <v>62</v>
      </c>
      <c r="FX1" s="146"/>
      <c r="FY1" s="118"/>
      <c r="FZ1" s="10"/>
      <c r="GA1" s="146" t="s">
        <v>56</v>
      </c>
      <c r="GB1" s="146"/>
      <c r="GC1" s="118"/>
      <c r="GD1" s="10"/>
      <c r="GE1" s="146" t="s">
        <v>51</v>
      </c>
      <c r="GF1" s="146"/>
      <c r="GG1" s="118"/>
      <c r="GH1" s="10"/>
      <c r="GI1" s="146" t="s">
        <v>36</v>
      </c>
      <c r="GJ1" s="146"/>
      <c r="GK1" s="118"/>
      <c r="GL1" s="10"/>
      <c r="GM1" s="146" t="s">
        <v>62</v>
      </c>
      <c r="GN1" s="146"/>
      <c r="GO1" s="118"/>
      <c r="GP1" s="10"/>
      <c r="GQ1" s="146" t="s">
        <v>56</v>
      </c>
      <c r="GR1" s="146"/>
      <c r="GS1" s="118"/>
      <c r="GT1" s="10"/>
      <c r="GU1" s="146" t="s">
        <v>51</v>
      </c>
      <c r="GV1" s="146"/>
      <c r="GW1" s="118"/>
      <c r="GX1" s="10"/>
      <c r="GY1" s="146" t="s">
        <v>36</v>
      </c>
      <c r="GZ1" s="146"/>
      <c r="HA1" s="118"/>
      <c r="HB1" s="10"/>
      <c r="HC1" s="146" t="s">
        <v>62</v>
      </c>
      <c r="HD1" s="146"/>
      <c r="HE1" s="118"/>
      <c r="HF1" s="10"/>
      <c r="HG1" s="146" t="s">
        <v>56</v>
      </c>
      <c r="HH1" s="146"/>
      <c r="HI1" s="118"/>
      <c r="HJ1" s="10"/>
      <c r="HK1" s="146" t="s">
        <v>51</v>
      </c>
      <c r="HL1" s="146"/>
      <c r="HM1" s="118"/>
      <c r="HN1" s="10"/>
      <c r="HO1" s="146" t="s">
        <v>36</v>
      </c>
      <c r="HP1" s="146"/>
      <c r="HQ1" s="118"/>
      <c r="HS1" s="149" t="s">
        <v>62</v>
      </c>
      <c r="HT1" s="149"/>
      <c r="HU1" s="36"/>
      <c r="HW1" s="149" t="s">
        <v>56</v>
      </c>
      <c r="HX1" s="149"/>
      <c r="HY1" s="36"/>
      <c r="HZ1" s="149" t="s">
        <v>51</v>
      </c>
      <c r="IA1" s="149"/>
      <c r="IB1" s="36"/>
      <c r="ID1" s="149" t="s">
        <v>36</v>
      </c>
      <c r="IE1" s="149"/>
      <c r="IF1" s="36"/>
      <c r="IH1" s="149" t="s">
        <v>62</v>
      </c>
      <c r="II1" s="149"/>
      <c r="IJ1" s="36"/>
      <c r="IL1" s="149" t="s">
        <v>56</v>
      </c>
      <c r="IM1" s="149"/>
      <c r="IN1" s="36"/>
      <c r="IP1" s="149" t="s">
        <v>51</v>
      </c>
      <c r="IQ1" s="149"/>
      <c r="IR1" s="36"/>
      <c r="IT1" s="149" t="s">
        <v>36</v>
      </c>
      <c r="IU1" s="149"/>
      <c r="IV1" s="36"/>
      <c r="IX1" s="149" t="s">
        <v>62</v>
      </c>
      <c r="IY1" s="149"/>
      <c r="IZ1" s="36"/>
      <c r="JB1" s="149" t="s">
        <v>56</v>
      </c>
      <c r="JC1" s="149"/>
      <c r="JD1" s="36"/>
      <c r="JF1" s="149" t="s">
        <v>51</v>
      </c>
      <c r="JG1" s="149"/>
      <c r="JH1" s="36"/>
      <c r="JJ1" s="149" t="s">
        <v>36</v>
      </c>
      <c r="JK1" s="149"/>
      <c r="JL1" s="36"/>
      <c r="JN1" s="149" t="s">
        <v>62</v>
      </c>
      <c r="JO1" s="149"/>
      <c r="JP1" s="36"/>
      <c r="JR1" s="149" t="s">
        <v>56</v>
      </c>
      <c r="JS1" s="149"/>
      <c r="JT1" s="36"/>
      <c r="JV1" s="149" t="s">
        <v>51</v>
      </c>
      <c r="JW1" s="149"/>
      <c r="JX1" s="36"/>
      <c r="JZ1" s="149" t="s">
        <v>36</v>
      </c>
      <c r="KA1" s="149"/>
      <c r="KB1" s="36"/>
      <c r="KD1" s="149" t="s">
        <v>62</v>
      </c>
      <c r="KE1" s="149"/>
      <c r="KF1" s="36"/>
      <c r="KH1" s="149" t="s">
        <v>56</v>
      </c>
      <c r="KI1" s="149"/>
      <c r="KJ1" s="36"/>
      <c r="KL1" s="149" t="s">
        <v>51</v>
      </c>
      <c r="KM1" s="149"/>
      <c r="KN1" s="36"/>
      <c r="KP1" s="149" t="s">
        <v>36</v>
      </c>
      <c r="KQ1" s="149"/>
      <c r="KR1" s="36"/>
      <c r="KT1" s="149" t="s">
        <v>62</v>
      </c>
      <c r="KU1" s="149"/>
      <c r="KV1" s="36"/>
      <c r="KX1" s="149" t="s">
        <v>56</v>
      </c>
      <c r="KY1" s="149"/>
      <c r="KZ1" s="36"/>
      <c r="LB1" s="149" t="s">
        <v>51</v>
      </c>
      <c r="LC1" s="149"/>
      <c r="LD1" s="36"/>
      <c r="LF1" s="149" t="s">
        <v>36</v>
      </c>
      <c r="LG1" s="149"/>
      <c r="LH1" s="36"/>
      <c r="LL1" s="36"/>
      <c r="LO1" s="36"/>
      <c r="LR1" s="36"/>
      <c r="LV1" s="36"/>
      <c r="LY1" s="36"/>
      <c r="MB1" s="36"/>
      <c r="ME1" s="36"/>
      <c r="MH1" s="36"/>
      <c r="MK1" s="36"/>
      <c r="MN1" s="36"/>
      <c r="MR1" s="36"/>
    </row>
    <row r="2" spans="1:373" s="34" customFormat="1" ht="19.8" customHeight="1" x14ac:dyDescent="0.3">
      <c r="A2" s="37"/>
      <c r="B2" s="107"/>
      <c r="C2" s="144" t="s">
        <v>372</v>
      </c>
      <c r="D2" s="144"/>
      <c r="E2" s="117"/>
      <c r="F2" s="107"/>
      <c r="G2" s="144" t="s">
        <v>372</v>
      </c>
      <c r="H2" s="144"/>
      <c r="I2" s="117"/>
      <c r="J2" s="107"/>
      <c r="K2" s="144" t="s">
        <v>372</v>
      </c>
      <c r="L2" s="144"/>
      <c r="M2" s="117"/>
      <c r="N2" s="107"/>
      <c r="O2" s="144" t="s">
        <v>372</v>
      </c>
      <c r="P2" s="144"/>
      <c r="Q2" s="117"/>
      <c r="R2" s="107"/>
      <c r="S2" s="144" t="s">
        <v>392</v>
      </c>
      <c r="T2" s="144"/>
      <c r="U2" s="117"/>
      <c r="V2" s="107"/>
      <c r="W2" s="144" t="s">
        <v>392</v>
      </c>
      <c r="X2" s="144"/>
      <c r="Y2" s="117"/>
      <c r="Z2" s="107"/>
      <c r="AA2" s="144" t="s">
        <v>392</v>
      </c>
      <c r="AB2" s="144"/>
      <c r="AC2" s="117"/>
      <c r="AD2" s="107"/>
      <c r="AE2" s="144" t="s">
        <v>392</v>
      </c>
      <c r="AF2" s="144"/>
      <c r="AG2" s="117"/>
      <c r="AH2" s="107"/>
      <c r="AI2" s="144" t="s">
        <v>390</v>
      </c>
      <c r="AJ2" s="144"/>
      <c r="AK2" s="117"/>
      <c r="AL2" s="107"/>
      <c r="AM2" s="144" t="s">
        <v>390</v>
      </c>
      <c r="AN2" s="144"/>
      <c r="AO2" s="117"/>
      <c r="AP2" s="107"/>
      <c r="AQ2" s="144" t="s">
        <v>390</v>
      </c>
      <c r="AR2" s="144"/>
      <c r="AS2" s="117"/>
      <c r="AT2" s="107"/>
      <c r="AU2" s="144" t="s">
        <v>390</v>
      </c>
      <c r="AV2" s="144"/>
      <c r="AW2" s="117"/>
      <c r="AX2" s="107"/>
      <c r="AY2" s="144" t="s">
        <v>388</v>
      </c>
      <c r="AZ2" s="144"/>
      <c r="BA2" s="117"/>
      <c r="BB2" s="107"/>
      <c r="BC2" s="144" t="s">
        <v>388</v>
      </c>
      <c r="BD2" s="144"/>
      <c r="BE2" s="117"/>
      <c r="BF2" s="107"/>
      <c r="BG2" s="144" t="s">
        <v>388</v>
      </c>
      <c r="BH2" s="144"/>
      <c r="BI2" s="117"/>
      <c r="BJ2" s="107"/>
      <c r="BK2" s="144" t="s">
        <v>388</v>
      </c>
      <c r="BL2" s="144"/>
      <c r="BM2" s="117"/>
      <c r="BN2" s="107"/>
      <c r="BO2" s="144" t="s">
        <v>386</v>
      </c>
      <c r="BP2" s="144"/>
      <c r="BQ2" s="117"/>
      <c r="BR2" s="107"/>
      <c r="BS2" s="144" t="s">
        <v>386</v>
      </c>
      <c r="BT2" s="144"/>
      <c r="BU2" s="117"/>
      <c r="BV2" s="107"/>
      <c r="BW2" s="144" t="s">
        <v>386</v>
      </c>
      <c r="BX2" s="144"/>
      <c r="BY2" s="117"/>
      <c r="BZ2" s="107"/>
      <c r="CA2" s="144" t="s">
        <v>386</v>
      </c>
      <c r="CB2" s="144"/>
      <c r="CC2" s="117"/>
      <c r="CD2" s="107"/>
      <c r="CE2" s="144" t="s">
        <v>383</v>
      </c>
      <c r="CF2" s="144"/>
      <c r="CG2" s="117"/>
      <c r="CH2" s="107"/>
      <c r="CI2" s="144" t="s">
        <v>383</v>
      </c>
      <c r="CJ2" s="144"/>
      <c r="CK2" s="117"/>
      <c r="CL2" s="107"/>
      <c r="CM2" s="144" t="s">
        <v>383</v>
      </c>
      <c r="CN2" s="144"/>
      <c r="CO2" s="117"/>
      <c r="CP2" s="107"/>
      <c r="CQ2" s="144" t="s">
        <v>383</v>
      </c>
      <c r="CR2" s="144"/>
      <c r="CS2" s="117"/>
      <c r="CT2" s="107"/>
      <c r="CU2" s="144" t="s">
        <v>382</v>
      </c>
      <c r="CV2" s="144"/>
      <c r="CW2" s="117"/>
      <c r="CX2" s="107"/>
      <c r="CY2" s="144" t="s">
        <v>382</v>
      </c>
      <c r="CZ2" s="144"/>
      <c r="DA2" s="117"/>
      <c r="DB2" s="107"/>
      <c r="DC2" s="144" t="s">
        <v>382</v>
      </c>
      <c r="DD2" s="144"/>
      <c r="DE2" s="117"/>
      <c r="DF2" s="107"/>
      <c r="DG2" s="144" t="s">
        <v>382</v>
      </c>
      <c r="DH2" s="144"/>
      <c r="DI2" s="117"/>
      <c r="DJ2" s="107"/>
      <c r="DK2" s="144" t="s">
        <v>381</v>
      </c>
      <c r="DL2" s="144"/>
      <c r="DM2" s="117"/>
      <c r="DN2" s="107"/>
      <c r="DO2" s="144" t="s">
        <v>381</v>
      </c>
      <c r="DP2" s="144"/>
      <c r="DQ2" s="117"/>
      <c r="DR2" s="107"/>
      <c r="DS2" s="144" t="s">
        <v>381</v>
      </c>
      <c r="DT2" s="144"/>
      <c r="DU2" s="117"/>
      <c r="DV2" s="107"/>
      <c r="DW2" s="144" t="s">
        <v>381</v>
      </c>
      <c r="DX2" s="144"/>
      <c r="DY2" s="117"/>
      <c r="DZ2" s="107"/>
      <c r="EA2" s="144" t="s">
        <v>380</v>
      </c>
      <c r="EB2" s="144"/>
      <c r="EC2" s="117"/>
      <c r="ED2" s="107"/>
      <c r="EE2" s="144" t="s">
        <v>380</v>
      </c>
      <c r="EF2" s="144"/>
      <c r="EG2" s="117"/>
      <c r="EH2" s="107"/>
      <c r="EI2" s="144" t="s">
        <v>380</v>
      </c>
      <c r="EJ2" s="144"/>
      <c r="EK2" s="117"/>
      <c r="EL2" s="107"/>
      <c r="EM2" s="144" t="s">
        <v>380</v>
      </c>
      <c r="EN2" s="144"/>
      <c r="EO2" s="117"/>
      <c r="EP2" s="107"/>
      <c r="EQ2" s="144" t="s">
        <v>379</v>
      </c>
      <c r="ER2" s="144"/>
      <c r="ES2" s="117"/>
      <c r="ET2" s="107"/>
      <c r="EU2" s="144" t="s">
        <v>379</v>
      </c>
      <c r="EV2" s="144"/>
      <c r="EW2" s="117"/>
      <c r="EX2" s="107"/>
      <c r="EY2" s="144" t="s">
        <v>379</v>
      </c>
      <c r="EZ2" s="144"/>
      <c r="FA2" s="117"/>
      <c r="FB2" s="107"/>
      <c r="FC2" s="144" t="s">
        <v>379</v>
      </c>
      <c r="FD2" s="144"/>
      <c r="FE2" s="117"/>
      <c r="FF2" s="107"/>
      <c r="FG2" s="144" t="s">
        <v>378</v>
      </c>
      <c r="FH2" s="144"/>
      <c r="FI2" s="117"/>
      <c r="FJ2" s="107"/>
      <c r="FK2" s="144" t="s">
        <v>378</v>
      </c>
      <c r="FL2" s="144"/>
      <c r="FM2" s="117"/>
      <c r="FN2" s="107"/>
      <c r="FO2" s="144" t="s">
        <v>378</v>
      </c>
      <c r="FP2" s="144"/>
      <c r="FQ2" s="117"/>
      <c r="FR2" s="107"/>
      <c r="FS2" s="144" t="s">
        <v>378</v>
      </c>
      <c r="FT2" s="144"/>
      <c r="FU2" s="117"/>
      <c r="FV2" s="107"/>
      <c r="FW2" s="144" t="s">
        <v>377</v>
      </c>
      <c r="FX2" s="144"/>
      <c r="FY2" s="117"/>
      <c r="FZ2" s="107"/>
      <c r="GA2" s="144" t="s">
        <v>377</v>
      </c>
      <c r="GB2" s="144"/>
      <c r="GC2" s="117"/>
      <c r="GD2" s="107"/>
      <c r="GE2" s="144" t="s">
        <v>377</v>
      </c>
      <c r="GF2" s="144"/>
      <c r="GG2" s="117"/>
      <c r="GH2" s="107"/>
      <c r="GI2" s="144" t="s">
        <v>377</v>
      </c>
      <c r="GJ2" s="144"/>
      <c r="GK2" s="117"/>
      <c r="GL2" s="107"/>
      <c r="GM2" s="144" t="s">
        <v>376</v>
      </c>
      <c r="GN2" s="144"/>
      <c r="GO2" s="117"/>
      <c r="GP2" s="107"/>
      <c r="GQ2" s="144" t="s">
        <v>376</v>
      </c>
      <c r="GR2" s="144"/>
      <c r="GS2" s="117"/>
      <c r="GT2" s="107"/>
      <c r="GU2" s="144" t="s">
        <v>376</v>
      </c>
      <c r="GV2" s="144"/>
      <c r="GW2" s="117"/>
      <c r="GX2" s="107"/>
      <c r="GY2" s="144" t="s">
        <v>376</v>
      </c>
      <c r="GZ2" s="144"/>
      <c r="HA2" s="117"/>
      <c r="HB2" s="107"/>
      <c r="HC2" s="144" t="s">
        <v>375</v>
      </c>
      <c r="HD2" s="144"/>
      <c r="HE2" s="117"/>
      <c r="HF2" s="107"/>
      <c r="HG2" s="144" t="s">
        <v>375</v>
      </c>
      <c r="HH2" s="144"/>
      <c r="HI2" s="117"/>
      <c r="HJ2" s="107"/>
      <c r="HK2" s="144" t="s">
        <v>375</v>
      </c>
      <c r="HL2" s="144"/>
      <c r="HM2" s="117"/>
      <c r="HN2" s="107"/>
      <c r="HO2" s="144" t="s">
        <v>375</v>
      </c>
      <c r="HP2" s="144"/>
      <c r="HQ2" s="117"/>
      <c r="HR2" s="150" t="s">
        <v>1</v>
      </c>
      <c r="HS2" s="151" t="s">
        <v>345</v>
      </c>
      <c r="HT2" s="151"/>
      <c r="HU2" s="32"/>
      <c r="HV2" s="150" t="s">
        <v>1</v>
      </c>
      <c r="HW2" s="151" t="s">
        <v>345</v>
      </c>
      <c r="HX2" s="151"/>
      <c r="HY2" s="32"/>
      <c r="HZ2" s="151" t="s">
        <v>345</v>
      </c>
      <c r="IA2" s="151"/>
      <c r="IB2" s="32"/>
      <c r="IC2" s="150" t="s">
        <v>1</v>
      </c>
      <c r="ID2" s="151" t="s">
        <v>345</v>
      </c>
      <c r="IE2" s="151"/>
      <c r="IF2" s="32"/>
      <c r="IG2" s="150" t="s">
        <v>1</v>
      </c>
      <c r="IH2" s="151" t="s">
        <v>346</v>
      </c>
      <c r="II2" s="151"/>
      <c r="IJ2" s="32"/>
      <c r="IK2" s="150" t="s">
        <v>1</v>
      </c>
      <c r="IL2" s="151" t="s">
        <v>346</v>
      </c>
      <c r="IM2" s="151"/>
      <c r="IN2" s="32"/>
      <c r="IO2" s="150" t="s">
        <v>1</v>
      </c>
      <c r="IP2" s="151" t="s">
        <v>346</v>
      </c>
      <c r="IQ2" s="151"/>
      <c r="IR2" s="32"/>
      <c r="IS2" s="150" t="s">
        <v>1</v>
      </c>
      <c r="IT2" s="151" t="s">
        <v>346</v>
      </c>
      <c r="IU2" s="151"/>
      <c r="IV2" s="32"/>
      <c r="IW2" s="150" t="s">
        <v>1</v>
      </c>
      <c r="IX2" s="151" t="s">
        <v>35</v>
      </c>
      <c r="IY2" s="151"/>
      <c r="IZ2" s="32"/>
      <c r="JA2" s="153" t="s">
        <v>1</v>
      </c>
      <c r="JB2" s="151" t="s">
        <v>35</v>
      </c>
      <c r="JC2" s="151"/>
      <c r="JD2" s="32"/>
      <c r="JE2" s="153" t="s">
        <v>1</v>
      </c>
      <c r="JF2" s="151" t="s">
        <v>35</v>
      </c>
      <c r="JG2" s="151"/>
      <c r="JH2" s="32"/>
      <c r="JI2" s="153" t="s">
        <v>1</v>
      </c>
      <c r="JJ2" s="151" t="s">
        <v>35</v>
      </c>
      <c r="JK2" s="151"/>
      <c r="JL2" s="32"/>
      <c r="JM2" s="150" t="s">
        <v>1</v>
      </c>
      <c r="JN2" s="151" t="s">
        <v>90</v>
      </c>
      <c r="JO2" s="151"/>
      <c r="JP2" s="32"/>
      <c r="JQ2" s="150" t="s">
        <v>1</v>
      </c>
      <c r="JR2" s="151" t="s">
        <v>90</v>
      </c>
      <c r="JS2" s="151"/>
      <c r="JT2" s="32"/>
      <c r="JU2" s="150" t="s">
        <v>1</v>
      </c>
      <c r="JV2" s="151" t="s">
        <v>90</v>
      </c>
      <c r="JW2" s="151"/>
      <c r="JX2" s="32"/>
      <c r="JY2" s="150" t="s">
        <v>1</v>
      </c>
      <c r="JZ2" s="151" t="s">
        <v>90</v>
      </c>
      <c r="KA2" s="151"/>
      <c r="KB2" s="32"/>
      <c r="KC2" s="150" t="s">
        <v>1</v>
      </c>
      <c r="KD2" s="151" t="s">
        <v>88</v>
      </c>
      <c r="KE2" s="151"/>
      <c r="KF2" s="32"/>
      <c r="KG2" s="150" t="s">
        <v>1</v>
      </c>
      <c r="KH2" s="151" t="s">
        <v>88</v>
      </c>
      <c r="KI2" s="151"/>
      <c r="KJ2" s="32"/>
      <c r="KK2" s="150" t="s">
        <v>1</v>
      </c>
      <c r="KL2" s="151" t="s">
        <v>88</v>
      </c>
      <c r="KM2" s="151"/>
      <c r="KN2" s="32"/>
      <c r="KO2" s="150" t="s">
        <v>1</v>
      </c>
      <c r="KP2" s="151" t="s">
        <v>88</v>
      </c>
      <c r="KQ2" s="151"/>
      <c r="KR2" s="32"/>
      <c r="KS2" s="150" t="s">
        <v>1</v>
      </c>
      <c r="KT2" s="151" t="s">
        <v>89</v>
      </c>
      <c r="KU2" s="151"/>
      <c r="KV2" s="32"/>
      <c r="KW2" s="153" t="s">
        <v>1</v>
      </c>
      <c r="KX2" s="151" t="s">
        <v>89</v>
      </c>
      <c r="KY2" s="151"/>
      <c r="KZ2" s="32"/>
      <c r="LA2" s="150" t="s">
        <v>1</v>
      </c>
      <c r="LB2" s="151" t="s">
        <v>89</v>
      </c>
      <c r="LC2" s="151"/>
      <c r="LD2" s="32"/>
      <c r="LE2" s="153" t="s">
        <v>1</v>
      </c>
      <c r="LF2" s="151" t="s">
        <v>89</v>
      </c>
      <c r="LG2" s="151"/>
      <c r="LH2" s="32"/>
      <c r="LI2" s="153" t="s">
        <v>1</v>
      </c>
      <c r="LJ2" s="151" t="s">
        <v>33</v>
      </c>
      <c r="LK2" s="151"/>
      <c r="LL2" s="32"/>
      <c r="LM2" s="151" t="s">
        <v>32</v>
      </c>
      <c r="LN2" s="151"/>
      <c r="LO2" s="32"/>
      <c r="LP2" s="151" t="s">
        <v>31</v>
      </c>
      <c r="LQ2" s="151"/>
      <c r="LR2" s="32"/>
      <c r="LS2" s="153" t="s">
        <v>1</v>
      </c>
      <c r="LT2" s="151" t="s">
        <v>87</v>
      </c>
      <c r="LU2" s="151"/>
      <c r="LV2" s="32"/>
      <c r="LW2" s="151" t="s">
        <v>84</v>
      </c>
      <c r="LX2" s="151"/>
      <c r="LY2" s="32"/>
      <c r="LZ2" s="151" t="s">
        <v>85</v>
      </c>
      <c r="MA2" s="151"/>
      <c r="MB2" s="32"/>
      <c r="MC2" s="151" t="s">
        <v>83</v>
      </c>
      <c r="MD2" s="151"/>
      <c r="ME2" s="32"/>
      <c r="MF2" s="151" t="s">
        <v>30</v>
      </c>
      <c r="MG2" s="151"/>
      <c r="MH2" s="32"/>
      <c r="MI2" s="151" t="s">
        <v>29</v>
      </c>
      <c r="MJ2" s="151"/>
      <c r="MK2" s="32"/>
      <c r="ML2" s="151" t="s">
        <v>28</v>
      </c>
      <c r="MM2" s="151"/>
      <c r="MN2" s="32"/>
      <c r="MO2" s="150" t="s">
        <v>1</v>
      </c>
      <c r="MP2" s="151" t="s">
        <v>3</v>
      </c>
      <c r="MQ2" s="151"/>
      <c r="MR2" s="32"/>
      <c r="MS2" s="153" t="s">
        <v>1</v>
      </c>
      <c r="MT2" s="151" t="s">
        <v>4</v>
      </c>
      <c r="MU2" s="151"/>
      <c r="MV2" s="151" t="s">
        <v>5</v>
      </c>
      <c r="MW2" s="151"/>
      <c r="MX2" s="151" t="s">
        <v>10</v>
      </c>
      <c r="MY2" s="151"/>
      <c r="MZ2" s="153" t="s">
        <v>1</v>
      </c>
      <c r="NA2" s="151" t="s">
        <v>12</v>
      </c>
      <c r="NB2" s="151"/>
      <c r="NC2" s="151" t="s">
        <v>13</v>
      </c>
      <c r="ND2" s="151"/>
      <c r="NE2" s="153" t="s">
        <v>1</v>
      </c>
      <c r="NF2" s="151" t="s">
        <v>14</v>
      </c>
      <c r="NG2" s="151"/>
      <c r="NH2" s="151" t="s">
        <v>15</v>
      </c>
      <c r="NI2" s="151"/>
    </row>
    <row r="3" spans="1:373" s="55" customFormat="1" ht="18" customHeight="1" x14ac:dyDescent="0.3">
      <c r="A3" s="53"/>
      <c r="B3" s="145"/>
      <c r="C3" s="147">
        <v>1874</v>
      </c>
      <c r="D3" s="147"/>
      <c r="E3" s="116"/>
      <c r="F3" s="145"/>
      <c r="G3" s="147">
        <v>1874</v>
      </c>
      <c r="H3" s="147"/>
      <c r="I3" s="116"/>
      <c r="J3" s="145"/>
      <c r="K3" s="147">
        <v>1874</v>
      </c>
      <c r="L3" s="147"/>
      <c r="M3" s="116"/>
      <c r="N3" s="145"/>
      <c r="O3" s="147">
        <v>1874</v>
      </c>
      <c r="P3" s="147"/>
      <c r="Q3" s="116"/>
      <c r="R3" s="145"/>
      <c r="S3" s="147">
        <v>1875</v>
      </c>
      <c r="T3" s="147"/>
      <c r="U3" s="116"/>
      <c r="V3" s="145"/>
      <c r="W3" s="147">
        <v>1875</v>
      </c>
      <c r="X3" s="147"/>
      <c r="Y3" s="116"/>
      <c r="Z3" s="145"/>
      <c r="AA3" s="147">
        <v>1875</v>
      </c>
      <c r="AB3" s="147"/>
      <c r="AC3" s="116"/>
      <c r="AD3" s="145"/>
      <c r="AE3" s="147">
        <v>1875</v>
      </c>
      <c r="AF3" s="147"/>
      <c r="AG3" s="116"/>
      <c r="AH3" s="145"/>
      <c r="AI3" s="147">
        <v>1876</v>
      </c>
      <c r="AJ3" s="147"/>
      <c r="AK3" s="116"/>
      <c r="AL3" s="145"/>
      <c r="AM3" s="147">
        <v>1876</v>
      </c>
      <c r="AN3" s="147"/>
      <c r="AO3" s="116"/>
      <c r="AP3" s="145"/>
      <c r="AQ3" s="147">
        <v>1876</v>
      </c>
      <c r="AR3" s="147"/>
      <c r="AS3" s="116"/>
      <c r="AT3" s="145"/>
      <c r="AU3" s="147">
        <v>1876</v>
      </c>
      <c r="AV3" s="147"/>
      <c r="AW3" s="116"/>
      <c r="AX3" s="145"/>
      <c r="AY3" s="147">
        <v>1877</v>
      </c>
      <c r="AZ3" s="147"/>
      <c r="BA3" s="116"/>
      <c r="BB3" s="145"/>
      <c r="BC3" s="147">
        <v>1877</v>
      </c>
      <c r="BD3" s="147"/>
      <c r="BE3" s="116"/>
      <c r="BF3" s="145"/>
      <c r="BG3" s="147">
        <v>1877</v>
      </c>
      <c r="BH3" s="147"/>
      <c r="BI3" s="116"/>
      <c r="BJ3" s="145"/>
      <c r="BK3" s="147">
        <v>1877</v>
      </c>
      <c r="BL3" s="147"/>
      <c r="BM3" s="116"/>
      <c r="BN3" s="145"/>
      <c r="BO3" s="147">
        <v>1878</v>
      </c>
      <c r="BP3" s="147"/>
      <c r="BQ3" s="116"/>
      <c r="BR3" s="145"/>
      <c r="BS3" s="147">
        <v>1878</v>
      </c>
      <c r="BT3" s="147"/>
      <c r="BU3" s="116"/>
      <c r="BV3" s="145"/>
      <c r="BW3" s="147">
        <v>1878</v>
      </c>
      <c r="BX3" s="147"/>
      <c r="BY3" s="116"/>
      <c r="BZ3" s="145"/>
      <c r="CA3" s="147">
        <v>1878</v>
      </c>
      <c r="CB3" s="147"/>
      <c r="CC3" s="116"/>
      <c r="CD3" s="145"/>
      <c r="CE3" s="147">
        <v>1879</v>
      </c>
      <c r="CF3" s="147"/>
      <c r="CG3" s="116"/>
      <c r="CH3" s="145"/>
      <c r="CI3" s="147">
        <v>1879</v>
      </c>
      <c r="CJ3" s="147"/>
      <c r="CK3" s="116"/>
      <c r="CL3" s="145"/>
      <c r="CM3" s="147">
        <v>1879</v>
      </c>
      <c r="CN3" s="147"/>
      <c r="CO3" s="116"/>
      <c r="CP3" s="145"/>
      <c r="CQ3" s="147">
        <v>1879</v>
      </c>
      <c r="CR3" s="147"/>
      <c r="CS3" s="116"/>
      <c r="CT3" s="145"/>
      <c r="CU3" s="147">
        <v>1880</v>
      </c>
      <c r="CV3" s="147"/>
      <c r="CW3" s="116"/>
      <c r="CX3" s="145"/>
      <c r="CY3" s="147">
        <v>1880</v>
      </c>
      <c r="CZ3" s="147"/>
      <c r="DA3" s="116"/>
      <c r="DB3" s="145"/>
      <c r="DC3" s="147">
        <v>1880</v>
      </c>
      <c r="DD3" s="147"/>
      <c r="DE3" s="116"/>
      <c r="DF3" s="145"/>
      <c r="DG3" s="147">
        <v>1880</v>
      </c>
      <c r="DH3" s="147"/>
      <c r="DI3" s="116"/>
      <c r="DJ3" s="145"/>
      <c r="DK3" s="147">
        <v>1881</v>
      </c>
      <c r="DL3" s="147"/>
      <c r="DM3" s="116"/>
      <c r="DN3" s="145"/>
      <c r="DO3" s="147">
        <v>1881</v>
      </c>
      <c r="DP3" s="147"/>
      <c r="DQ3" s="116"/>
      <c r="DR3" s="145"/>
      <c r="DS3" s="147">
        <v>1881</v>
      </c>
      <c r="DT3" s="147"/>
      <c r="DU3" s="116"/>
      <c r="DV3" s="145"/>
      <c r="DW3" s="147">
        <v>1881</v>
      </c>
      <c r="DX3" s="147"/>
      <c r="DY3" s="116"/>
      <c r="DZ3" s="145"/>
      <c r="EA3" s="147">
        <v>1882</v>
      </c>
      <c r="EB3" s="147"/>
      <c r="EC3" s="116"/>
      <c r="ED3" s="145"/>
      <c r="EE3" s="147">
        <v>1882</v>
      </c>
      <c r="EF3" s="147"/>
      <c r="EG3" s="116"/>
      <c r="EH3" s="145"/>
      <c r="EI3" s="147">
        <v>1882</v>
      </c>
      <c r="EJ3" s="147"/>
      <c r="EK3" s="116"/>
      <c r="EL3" s="145"/>
      <c r="EM3" s="147">
        <v>1882</v>
      </c>
      <c r="EN3" s="147"/>
      <c r="EO3" s="116"/>
      <c r="EP3" s="145"/>
      <c r="EQ3" s="147">
        <v>1883</v>
      </c>
      <c r="ER3" s="147"/>
      <c r="ES3" s="116"/>
      <c r="ET3" s="145"/>
      <c r="EU3" s="147">
        <v>1883</v>
      </c>
      <c r="EV3" s="147"/>
      <c r="EW3" s="116"/>
      <c r="EX3" s="145"/>
      <c r="EY3" s="147">
        <v>1883</v>
      </c>
      <c r="EZ3" s="147"/>
      <c r="FA3" s="116"/>
      <c r="FB3" s="145"/>
      <c r="FC3" s="147">
        <v>1883</v>
      </c>
      <c r="FD3" s="147"/>
      <c r="FE3" s="116"/>
      <c r="FF3" s="145"/>
      <c r="FG3" s="147">
        <v>1884</v>
      </c>
      <c r="FH3" s="147"/>
      <c r="FI3" s="116"/>
      <c r="FJ3" s="145"/>
      <c r="FK3" s="147">
        <v>1884</v>
      </c>
      <c r="FL3" s="147"/>
      <c r="FM3" s="116"/>
      <c r="FN3" s="145"/>
      <c r="FO3" s="147">
        <v>1884</v>
      </c>
      <c r="FP3" s="147"/>
      <c r="FQ3" s="116"/>
      <c r="FR3" s="145"/>
      <c r="FS3" s="147">
        <v>1884</v>
      </c>
      <c r="FT3" s="147"/>
      <c r="FU3" s="116"/>
      <c r="FV3" s="145"/>
      <c r="FW3" s="147">
        <v>1885</v>
      </c>
      <c r="FX3" s="147"/>
      <c r="FY3" s="116"/>
      <c r="FZ3" s="145"/>
      <c r="GA3" s="147">
        <v>1885</v>
      </c>
      <c r="GB3" s="147"/>
      <c r="GC3" s="116"/>
      <c r="GD3" s="145"/>
      <c r="GE3" s="147">
        <v>1885</v>
      </c>
      <c r="GF3" s="147"/>
      <c r="GG3" s="116"/>
      <c r="GH3" s="145"/>
      <c r="GI3" s="147">
        <v>1885</v>
      </c>
      <c r="GJ3" s="147"/>
      <c r="GK3" s="116"/>
      <c r="GL3" s="145"/>
      <c r="GM3" s="147">
        <v>1886</v>
      </c>
      <c r="GN3" s="147"/>
      <c r="GO3" s="116"/>
      <c r="GP3" s="145"/>
      <c r="GQ3" s="147">
        <v>1886</v>
      </c>
      <c r="GR3" s="147"/>
      <c r="GS3" s="116"/>
      <c r="GT3" s="145"/>
      <c r="GU3" s="147">
        <v>1886</v>
      </c>
      <c r="GV3" s="147"/>
      <c r="GW3" s="116"/>
      <c r="GX3" s="145"/>
      <c r="GY3" s="147">
        <v>1886</v>
      </c>
      <c r="GZ3" s="147"/>
      <c r="HA3" s="116"/>
      <c r="HB3" s="145"/>
      <c r="HC3" s="147">
        <v>1887</v>
      </c>
      <c r="HD3" s="147"/>
      <c r="HE3" s="116"/>
      <c r="HF3" s="145"/>
      <c r="HG3" s="147">
        <v>1887</v>
      </c>
      <c r="HH3" s="147"/>
      <c r="HI3" s="116"/>
      <c r="HJ3" s="145"/>
      <c r="HK3" s="147">
        <v>1887</v>
      </c>
      <c r="HL3" s="147"/>
      <c r="HM3" s="116"/>
      <c r="HN3" s="145"/>
      <c r="HO3" s="147">
        <v>1887</v>
      </c>
      <c r="HP3" s="147"/>
      <c r="HQ3" s="116"/>
      <c r="HR3" s="150"/>
      <c r="HS3" s="152">
        <v>1888</v>
      </c>
      <c r="HT3" s="152"/>
      <c r="HU3" s="54"/>
      <c r="HV3" s="150"/>
      <c r="HW3" s="152">
        <v>1888</v>
      </c>
      <c r="HX3" s="152"/>
      <c r="HY3" s="54"/>
      <c r="HZ3" s="152">
        <v>1888</v>
      </c>
      <c r="IA3" s="152"/>
      <c r="IB3" s="54"/>
      <c r="IC3" s="150"/>
      <c r="ID3" s="152">
        <v>1888</v>
      </c>
      <c r="IE3" s="152"/>
      <c r="IF3" s="54"/>
      <c r="IG3" s="150"/>
      <c r="IH3" s="152">
        <v>1889</v>
      </c>
      <c r="II3" s="152"/>
      <c r="IJ3" s="54"/>
      <c r="IK3" s="150"/>
      <c r="IL3" s="152">
        <v>1889</v>
      </c>
      <c r="IM3" s="152"/>
      <c r="IN3" s="54"/>
      <c r="IO3" s="150"/>
      <c r="IP3" s="152">
        <v>1889</v>
      </c>
      <c r="IQ3" s="152"/>
      <c r="IR3" s="54"/>
      <c r="IS3" s="150"/>
      <c r="IT3" s="152">
        <v>1889</v>
      </c>
      <c r="IU3" s="152"/>
      <c r="IV3" s="54"/>
      <c r="IW3" s="150"/>
      <c r="IX3" s="152">
        <v>1890</v>
      </c>
      <c r="IY3" s="152"/>
      <c r="IZ3" s="54"/>
      <c r="JA3" s="153"/>
      <c r="JB3" s="152">
        <v>1890</v>
      </c>
      <c r="JC3" s="152"/>
      <c r="JD3" s="54"/>
      <c r="JE3" s="153"/>
      <c r="JF3" s="152">
        <v>1890</v>
      </c>
      <c r="JG3" s="152"/>
      <c r="JH3" s="54"/>
      <c r="JI3" s="153"/>
      <c r="JJ3" s="152">
        <v>1890</v>
      </c>
      <c r="JK3" s="152"/>
      <c r="JL3" s="54"/>
      <c r="JM3" s="150"/>
      <c r="JN3" s="152">
        <v>1891</v>
      </c>
      <c r="JO3" s="152"/>
      <c r="JP3" s="54"/>
      <c r="JQ3" s="150"/>
      <c r="JR3" s="152">
        <v>1891</v>
      </c>
      <c r="JS3" s="152"/>
      <c r="JT3" s="54"/>
      <c r="JU3" s="150"/>
      <c r="JV3" s="152">
        <v>1891</v>
      </c>
      <c r="JW3" s="152"/>
      <c r="JX3" s="54"/>
      <c r="JY3" s="150"/>
      <c r="JZ3" s="152">
        <v>1891</v>
      </c>
      <c r="KA3" s="152"/>
      <c r="KB3" s="54"/>
      <c r="KC3" s="150"/>
      <c r="KD3" s="152">
        <v>1892</v>
      </c>
      <c r="KE3" s="152"/>
      <c r="KF3" s="54"/>
      <c r="KG3" s="150"/>
      <c r="KH3" s="152">
        <v>1892</v>
      </c>
      <c r="KI3" s="152"/>
      <c r="KJ3" s="54"/>
      <c r="KK3" s="150"/>
      <c r="KL3" s="152">
        <v>1892</v>
      </c>
      <c r="KM3" s="152"/>
      <c r="KN3" s="54"/>
      <c r="KO3" s="150"/>
      <c r="KP3" s="152">
        <v>1892</v>
      </c>
      <c r="KQ3" s="152"/>
      <c r="KR3" s="54"/>
      <c r="KS3" s="150"/>
      <c r="KT3" s="152">
        <v>1893</v>
      </c>
      <c r="KU3" s="152"/>
      <c r="KV3" s="54"/>
      <c r="KW3" s="153"/>
      <c r="KX3" s="152">
        <v>1893</v>
      </c>
      <c r="KY3" s="152"/>
      <c r="KZ3" s="54"/>
      <c r="LA3" s="150"/>
      <c r="LB3" s="152">
        <v>1893</v>
      </c>
      <c r="LC3" s="152"/>
      <c r="LD3" s="54"/>
      <c r="LE3" s="153"/>
      <c r="LF3" s="152">
        <v>1893</v>
      </c>
      <c r="LG3" s="152"/>
      <c r="LH3" s="54"/>
      <c r="LI3" s="153"/>
      <c r="LJ3" s="152">
        <v>1894</v>
      </c>
      <c r="LK3" s="152"/>
      <c r="LL3" s="54"/>
      <c r="LM3" s="152">
        <v>1895</v>
      </c>
      <c r="LN3" s="152"/>
      <c r="LO3" s="54"/>
      <c r="LP3" s="152">
        <v>1896</v>
      </c>
      <c r="LQ3" s="152"/>
      <c r="LR3" s="54"/>
      <c r="LS3" s="153"/>
      <c r="LT3" s="152">
        <v>1897</v>
      </c>
      <c r="LU3" s="152"/>
      <c r="LV3" s="54"/>
      <c r="LW3" s="152">
        <v>1898</v>
      </c>
      <c r="LX3" s="152"/>
      <c r="LY3" s="54"/>
      <c r="LZ3" s="152">
        <v>1899</v>
      </c>
      <c r="MA3" s="152"/>
      <c r="MB3" s="54"/>
      <c r="MC3" s="152">
        <v>1900</v>
      </c>
      <c r="MD3" s="152"/>
      <c r="ME3" s="54"/>
      <c r="MF3" s="152">
        <v>1901</v>
      </c>
      <c r="MG3" s="152"/>
      <c r="MH3" s="54"/>
      <c r="MI3" s="152">
        <v>1902</v>
      </c>
      <c r="MJ3" s="152"/>
      <c r="MK3" s="54"/>
      <c r="ML3" s="152">
        <v>1903</v>
      </c>
      <c r="MM3" s="152"/>
      <c r="MN3" s="54"/>
      <c r="MO3" s="150"/>
      <c r="MP3" s="152">
        <v>1904</v>
      </c>
      <c r="MQ3" s="152"/>
      <c r="MR3" s="54"/>
      <c r="MS3" s="153"/>
      <c r="MT3" s="152">
        <v>1905</v>
      </c>
      <c r="MU3" s="152"/>
      <c r="MV3" s="152">
        <v>1906</v>
      </c>
      <c r="MW3" s="152"/>
      <c r="MX3" s="152">
        <v>1907</v>
      </c>
      <c r="MY3" s="152"/>
      <c r="MZ3" s="153"/>
      <c r="NA3" s="152">
        <v>1908</v>
      </c>
      <c r="NB3" s="152"/>
      <c r="NC3" s="152">
        <v>1909</v>
      </c>
      <c r="ND3" s="152"/>
      <c r="NE3" s="153"/>
      <c r="NF3" s="152">
        <v>1910</v>
      </c>
      <c r="NG3" s="152"/>
      <c r="NH3" s="152">
        <v>1911</v>
      </c>
      <c r="NI3" s="152"/>
    </row>
    <row r="4" spans="1:373" s="34" customFormat="1" ht="15.6" x14ac:dyDescent="0.3">
      <c r="A4" s="38" t="s">
        <v>0</v>
      </c>
      <c r="B4" s="145"/>
      <c r="C4" s="25" t="s">
        <v>2</v>
      </c>
      <c r="D4" s="26" t="s">
        <v>11</v>
      </c>
      <c r="E4" s="30" t="s">
        <v>110</v>
      </c>
      <c r="F4" s="145"/>
      <c r="G4" s="25" t="s">
        <v>2</v>
      </c>
      <c r="H4" s="26" t="s">
        <v>11</v>
      </c>
      <c r="I4" s="30" t="s">
        <v>110</v>
      </c>
      <c r="J4" s="145"/>
      <c r="K4" s="25" t="s">
        <v>2</v>
      </c>
      <c r="L4" s="26" t="s">
        <v>11</v>
      </c>
      <c r="M4" s="30" t="s">
        <v>110</v>
      </c>
      <c r="N4" s="145"/>
      <c r="O4" s="25" t="s">
        <v>2</v>
      </c>
      <c r="P4" s="26" t="s">
        <v>11</v>
      </c>
      <c r="Q4" s="30" t="s">
        <v>110</v>
      </c>
      <c r="R4" s="145"/>
      <c r="S4" s="25" t="s">
        <v>2</v>
      </c>
      <c r="T4" s="26" t="s">
        <v>11</v>
      </c>
      <c r="U4" s="30" t="s">
        <v>110</v>
      </c>
      <c r="V4" s="145"/>
      <c r="W4" s="25" t="s">
        <v>2</v>
      </c>
      <c r="X4" s="26" t="s">
        <v>11</v>
      </c>
      <c r="Y4" s="30" t="s">
        <v>110</v>
      </c>
      <c r="Z4" s="145"/>
      <c r="AA4" s="25" t="s">
        <v>2</v>
      </c>
      <c r="AB4" s="26" t="s">
        <v>11</v>
      </c>
      <c r="AC4" s="30" t="s">
        <v>110</v>
      </c>
      <c r="AD4" s="145"/>
      <c r="AE4" s="25" t="s">
        <v>2</v>
      </c>
      <c r="AF4" s="26" t="s">
        <v>11</v>
      </c>
      <c r="AG4" s="30" t="s">
        <v>110</v>
      </c>
      <c r="AH4" s="145"/>
      <c r="AI4" s="25" t="s">
        <v>2</v>
      </c>
      <c r="AJ4" s="26" t="s">
        <v>11</v>
      </c>
      <c r="AK4" s="30" t="s">
        <v>110</v>
      </c>
      <c r="AL4" s="145"/>
      <c r="AM4" s="25" t="s">
        <v>2</v>
      </c>
      <c r="AN4" s="26" t="s">
        <v>11</v>
      </c>
      <c r="AO4" s="30" t="s">
        <v>110</v>
      </c>
      <c r="AP4" s="145"/>
      <c r="AQ4" s="25" t="s">
        <v>2</v>
      </c>
      <c r="AR4" s="26" t="s">
        <v>11</v>
      </c>
      <c r="AS4" s="30" t="s">
        <v>110</v>
      </c>
      <c r="AT4" s="145"/>
      <c r="AU4" s="25" t="s">
        <v>2</v>
      </c>
      <c r="AV4" s="26" t="s">
        <v>11</v>
      </c>
      <c r="AW4" s="30" t="s">
        <v>110</v>
      </c>
      <c r="AX4" s="145"/>
      <c r="AY4" s="25" t="s">
        <v>2</v>
      </c>
      <c r="AZ4" s="26" t="s">
        <v>11</v>
      </c>
      <c r="BA4" s="30" t="s">
        <v>110</v>
      </c>
      <c r="BB4" s="145"/>
      <c r="BC4" s="25" t="s">
        <v>2</v>
      </c>
      <c r="BD4" s="26" t="s">
        <v>11</v>
      </c>
      <c r="BE4" s="30" t="s">
        <v>110</v>
      </c>
      <c r="BF4" s="145"/>
      <c r="BG4" s="25" t="s">
        <v>2</v>
      </c>
      <c r="BH4" s="26" t="s">
        <v>11</v>
      </c>
      <c r="BI4" s="30" t="s">
        <v>110</v>
      </c>
      <c r="BJ4" s="145"/>
      <c r="BK4" s="25" t="s">
        <v>2</v>
      </c>
      <c r="BL4" s="26" t="s">
        <v>11</v>
      </c>
      <c r="BM4" s="30" t="s">
        <v>110</v>
      </c>
      <c r="BN4" s="145"/>
      <c r="BO4" s="25" t="s">
        <v>2</v>
      </c>
      <c r="BP4" s="26" t="s">
        <v>11</v>
      </c>
      <c r="BQ4" s="30" t="s">
        <v>110</v>
      </c>
      <c r="BR4" s="145"/>
      <c r="BS4" s="25" t="s">
        <v>2</v>
      </c>
      <c r="BT4" s="26" t="s">
        <v>11</v>
      </c>
      <c r="BU4" s="30" t="s">
        <v>110</v>
      </c>
      <c r="BV4" s="145"/>
      <c r="BW4" s="25" t="s">
        <v>2</v>
      </c>
      <c r="BX4" s="26" t="s">
        <v>11</v>
      </c>
      <c r="BY4" s="30" t="s">
        <v>110</v>
      </c>
      <c r="BZ4" s="145"/>
      <c r="CA4" s="25" t="s">
        <v>2</v>
      </c>
      <c r="CB4" s="26" t="s">
        <v>11</v>
      </c>
      <c r="CC4" s="30" t="s">
        <v>110</v>
      </c>
      <c r="CD4" s="145"/>
      <c r="CE4" s="25" t="s">
        <v>2</v>
      </c>
      <c r="CF4" s="26" t="s">
        <v>11</v>
      </c>
      <c r="CG4" s="30" t="s">
        <v>110</v>
      </c>
      <c r="CH4" s="145"/>
      <c r="CI4" s="25" t="s">
        <v>2</v>
      </c>
      <c r="CJ4" s="26" t="s">
        <v>11</v>
      </c>
      <c r="CK4" s="30" t="s">
        <v>110</v>
      </c>
      <c r="CL4" s="145"/>
      <c r="CM4" s="25" t="s">
        <v>2</v>
      </c>
      <c r="CN4" s="26" t="s">
        <v>11</v>
      </c>
      <c r="CO4" s="30" t="s">
        <v>110</v>
      </c>
      <c r="CP4" s="145"/>
      <c r="CQ4" s="25" t="s">
        <v>2</v>
      </c>
      <c r="CR4" s="26" t="s">
        <v>11</v>
      </c>
      <c r="CS4" s="30" t="s">
        <v>110</v>
      </c>
      <c r="CT4" s="145"/>
      <c r="CU4" s="25" t="s">
        <v>2</v>
      </c>
      <c r="CV4" s="26" t="s">
        <v>11</v>
      </c>
      <c r="CW4" s="30" t="s">
        <v>110</v>
      </c>
      <c r="CX4" s="145"/>
      <c r="CY4" s="25" t="s">
        <v>2</v>
      </c>
      <c r="CZ4" s="26" t="s">
        <v>11</v>
      </c>
      <c r="DA4" s="30" t="s">
        <v>110</v>
      </c>
      <c r="DB4" s="145"/>
      <c r="DC4" s="25" t="s">
        <v>2</v>
      </c>
      <c r="DD4" s="26" t="s">
        <v>11</v>
      </c>
      <c r="DE4" s="30" t="s">
        <v>110</v>
      </c>
      <c r="DF4" s="145"/>
      <c r="DG4" s="25" t="s">
        <v>2</v>
      </c>
      <c r="DH4" s="26" t="s">
        <v>11</v>
      </c>
      <c r="DI4" s="30" t="s">
        <v>110</v>
      </c>
      <c r="DJ4" s="145"/>
      <c r="DK4" s="25" t="s">
        <v>2</v>
      </c>
      <c r="DL4" s="26" t="s">
        <v>11</v>
      </c>
      <c r="DM4" s="30" t="s">
        <v>110</v>
      </c>
      <c r="DN4" s="145"/>
      <c r="DO4" s="25" t="s">
        <v>2</v>
      </c>
      <c r="DP4" s="26" t="s">
        <v>11</v>
      </c>
      <c r="DQ4" s="30" t="s">
        <v>110</v>
      </c>
      <c r="DR4" s="145"/>
      <c r="DS4" s="25" t="s">
        <v>2</v>
      </c>
      <c r="DT4" s="26" t="s">
        <v>11</v>
      </c>
      <c r="DU4" s="30" t="s">
        <v>110</v>
      </c>
      <c r="DV4" s="145"/>
      <c r="DW4" s="25" t="s">
        <v>2</v>
      </c>
      <c r="DX4" s="26" t="s">
        <v>11</v>
      </c>
      <c r="DY4" s="30" t="s">
        <v>110</v>
      </c>
      <c r="DZ4" s="145"/>
      <c r="EA4" s="25" t="s">
        <v>2</v>
      </c>
      <c r="EB4" s="26" t="s">
        <v>11</v>
      </c>
      <c r="EC4" s="30" t="s">
        <v>110</v>
      </c>
      <c r="ED4" s="145"/>
      <c r="EE4" s="25" t="s">
        <v>2</v>
      </c>
      <c r="EF4" s="26" t="s">
        <v>11</v>
      </c>
      <c r="EG4" s="30" t="s">
        <v>110</v>
      </c>
      <c r="EH4" s="145"/>
      <c r="EI4" s="25" t="s">
        <v>2</v>
      </c>
      <c r="EJ4" s="26" t="s">
        <v>11</v>
      </c>
      <c r="EK4" s="30" t="s">
        <v>110</v>
      </c>
      <c r="EL4" s="145"/>
      <c r="EM4" s="25" t="s">
        <v>2</v>
      </c>
      <c r="EN4" s="26" t="s">
        <v>11</v>
      </c>
      <c r="EO4" s="30" t="s">
        <v>110</v>
      </c>
      <c r="EP4" s="145"/>
      <c r="EQ4" s="25" t="s">
        <v>2</v>
      </c>
      <c r="ER4" s="26" t="s">
        <v>11</v>
      </c>
      <c r="ES4" s="30" t="s">
        <v>110</v>
      </c>
      <c r="ET4" s="145"/>
      <c r="EU4" s="25" t="s">
        <v>2</v>
      </c>
      <c r="EV4" s="26" t="s">
        <v>11</v>
      </c>
      <c r="EW4" s="30" t="s">
        <v>110</v>
      </c>
      <c r="EX4" s="145"/>
      <c r="EY4" s="25" t="s">
        <v>2</v>
      </c>
      <c r="EZ4" s="26" t="s">
        <v>11</v>
      </c>
      <c r="FA4" s="30" t="s">
        <v>110</v>
      </c>
      <c r="FB4" s="145"/>
      <c r="FC4" s="25" t="s">
        <v>2</v>
      </c>
      <c r="FD4" s="26" t="s">
        <v>11</v>
      </c>
      <c r="FE4" s="30" t="s">
        <v>110</v>
      </c>
      <c r="FF4" s="145"/>
      <c r="FG4" s="25" t="s">
        <v>2</v>
      </c>
      <c r="FH4" s="26" t="s">
        <v>11</v>
      </c>
      <c r="FI4" s="30" t="s">
        <v>110</v>
      </c>
      <c r="FJ4" s="145"/>
      <c r="FK4" s="25" t="s">
        <v>2</v>
      </c>
      <c r="FL4" s="26" t="s">
        <v>11</v>
      </c>
      <c r="FM4" s="30" t="s">
        <v>110</v>
      </c>
      <c r="FN4" s="145"/>
      <c r="FO4" s="25" t="s">
        <v>2</v>
      </c>
      <c r="FP4" s="26" t="s">
        <v>11</v>
      </c>
      <c r="FQ4" s="30" t="s">
        <v>110</v>
      </c>
      <c r="FR4" s="145"/>
      <c r="FS4" s="25" t="s">
        <v>2</v>
      </c>
      <c r="FT4" s="26" t="s">
        <v>11</v>
      </c>
      <c r="FU4" s="30" t="s">
        <v>110</v>
      </c>
      <c r="FV4" s="145"/>
      <c r="FW4" s="25" t="s">
        <v>2</v>
      </c>
      <c r="FX4" s="26" t="s">
        <v>11</v>
      </c>
      <c r="FY4" s="30" t="s">
        <v>110</v>
      </c>
      <c r="FZ4" s="145"/>
      <c r="GA4" s="25" t="s">
        <v>2</v>
      </c>
      <c r="GB4" s="26" t="s">
        <v>11</v>
      </c>
      <c r="GC4" s="30" t="s">
        <v>110</v>
      </c>
      <c r="GD4" s="145"/>
      <c r="GE4" s="25" t="s">
        <v>2</v>
      </c>
      <c r="GF4" s="26" t="s">
        <v>11</v>
      </c>
      <c r="GG4" s="30" t="s">
        <v>110</v>
      </c>
      <c r="GH4" s="145"/>
      <c r="GI4" s="25" t="s">
        <v>2</v>
      </c>
      <c r="GJ4" s="26" t="s">
        <v>11</v>
      </c>
      <c r="GK4" s="30" t="s">
        <v>110</v>
      </c>
      <c r="GL4" s="145"/>
      <c r="GM4" s="25" t="s">
        <v>2</v>
      </c>
      <c r="GN4" s="26" t="s">
        <v>11</v>
      </c>
      <c r="GO4" s="30" t="s">
        <v>110</v>
      </c>
      <c r="GP4" s="145"/>
      <c r="GQ4" s="25" t="s">
        <v>2</v>
      </c>
      <c r="GR4" s="26" t="s">
        <v>11</v>
      </c>
      <c r="GS4" s="30" t="s">
        <v>110</v>
      </c>
      <c r="GT4" s="145"/>
      <c r="GU4" s="25" t="s">
        <v>2</v>
      </c>
      <c r="GV4" s="26" t="s">
        <v>11</v>
      </c>
      <c r="GW4" s="30" t="s">
        <v>110</v>
      </c>
      <c r="GX4" s="145"/>
      <c r="GY4" s="25" t="s">
        <v>2</v>
      </c>
      <c r="GZ4" s="26" t="s">
        <v>11</v>
      </c>
      <c r="HA4" s="30" t="s">
        <v>110</v>
      </c>
      <c r="HB4" s="145"/>
      <c r="HC4" s="25" t="s">
        <v>2</v>
      </c>
      <c r="HD4" s="26" t="s">
        <v>11</v>
      </c>
      <c r="HE4" s="30" t="s">
        <v>110</v>
      </c>
      <c r="HF4" s="145"/>
      <c r="HG4" s="25" t="s">
        <v>2</v>
      </c>
      <c r="HH4" s="26" t="s">
        <v>11</v>
      </c>
      <c r="HI4" s="30" t="s">
        <v>110</v>
      </c>
      <c r="HJ4" s="145"/>
      <c r="HK4" s="25" t="s">
        <v>2</v>
      </c>
      <c r="HL4" s="26" t="s">
        <v>11</v>
      </c>
      <c r="HM4" s="30" t="s">
        <v>110</v>
      </c>
      <c r="HN4" s="145"/>
      <c r="HO4" s="25" t="s">
        <v>2</v>
      </c>
      <c r="HP4" s="26" t="s">
        <v>11</v>
      </c>
      <c r="HQ4" s="30" t="s">
        <v>110</v>
      </c>
      <c r="HR4" s="150"/>
      <c r="HS4" s="39" t="s">
        <v>2</v>
      </c>
      <c r="HT4" s="30" t="s">
        <v>11</v>
      </c>
      <c r="HU4" s="30" t="s">
        <v>110</v>
      </c>
      <c r="HV4" s="150"/>
      <c r="HW4" s="39" t="s">
        <v>2</v>
      </c>
      <c r="HX4" s="30" t="s">
        <v>11</v>
      </c>
      <c r="HY4" s="30" t="s">
        <v>110</v>
      </c>
      <c r="HZ4" s="39" t="s">
        <v>2</v>
      </c>
      <c r="IA4" s="30" t="s">
        <v>11</v>
      </c>
      <c r="IB4" s="30" t="s">
        <v>110</v>
      </c>
      <c r="IC4" s="150"/>
      <c r="ID4" s="39" t="s">
        <v>2</v>
      </c>
      <c r="IE4" s="30" t="s">
        <v>11</v>
      </c>
      <c r="IF4" s="30" t="s">
        <v>110</v>
      </c>
      <c r="IG4" s="150"/>
      <c r="IH4" s="39" t="s">
        <v>2</v>
      </c>
      <c r="II4" s="30" t="s">
        <v>11</v>
      </c>
      <c r="IJ4" s="30" t="s">
        <v>110</v>
      </c>
      <c r="IK4" s="150"/>
      <c r="IL4" s="39" t="s">
        <v>2</v>
      </c>
      <c r="IM4" s="30" t="s">
        <v>11</v>
      </c>
      <c r="IN4" s="30" t="s">
        <v>110</v>
      </c>
      <c r="IO4" s="150"/>
      <c r="IP4" s="39" t="s">
        <v>2</v>
      </c>
      <c r="IQ4" s="30" t="s">
        <v>11</v>
      </c>
      <c r="IR4" s="30" t="s">
        <v>110</v>
      </c>
      <c r="IS4" s="150"/>
      <c r="IT4" s="39" t="s">
        <v>2</v>
      </c>
      <c r="IU4" s="30" t="s">
        <v>11</v>
      </c>
      <c r="IV4" s="30" t="s">
        <v>110</v>
      </c>
      <c r="IW4" s="150"/>
      <c r="IX4" s="39" t="s">
        <v>2</v>
      </c>
      <c r="IY4" s="30" t="s">
        <v>11</v>
      </c>
      <c r="IZ4" s="30" t="s">
        <v>110</v>
      </c>
      <c r="JA4" s="153"/>
      <c r="JB4" s="39" t="s">
        <v>2</v>
      </c>
      <c r="JC4" s="30" t="s">
        <v>11</v>
      </c>
      <c r="JD4" s="30" t="s">
        <v>110</v>
      </c>
      <c r="JE4" s="153"/>
      <c r="JF4" s="39" t="s">
        <v>2</v>
      </c>
      <c r="JG4" s="30" t="s">
        <v>11</v>
      </c>
      <c r="JH4" s="30" t="s">
        <v>110</v>
      </c>
      <c r="JI4" s="153"/>
      <c r="JJ4" s="39" t="s">
        <v>2</v>
      </c>
      <c r="JK4" s="30" t="s">
        <v>11</v>
      </c>
      <c r="JL4" s="30" t="s">
        <v>110</v>
      </c>
      <c r="JM4" s="150"/>
      <c r="JN4" s="39" t="s">
        <v>2</v>
      </c>
      <c r="JO4" s="30" t="s">
        <v>11</v>
      </c>
      <c r="JP4" s="30" t="s">
        <v>110</v>
      </c>
      <c r="JQ4" s="150"/>
      <c r="JR4" s="39" t="s">
        <v>2</v>
      </c>
      <c r="JS4" s="30" t="s">
        <v>11</v>
      </c>
      <c r="JT4" s="30" t="s">
        <v>110</v>
      </c>
      <c r="JU4" s="150"/>
      <c r="JV4" s="39" t="s">
        <v>2</v>
      </c>
      <c r="JW4" s="30" t="s">
        <v>11</v>
      </c>
      <c r="JX4" s="30" t="s">
        <v>110</v>
      </c>
      <c r="JY4" s="150"/>
      <c r="JZ4" s="39" t="s">
        <v>2</v>
      </c>
      <c r="KA4" s="30" t="s">
        <v>11</v>
      </c>
      <c r="KB4" s="30" t="s">
        <v>110</v>
      </c>
      <c r="KC4" s="150"/>
      <c r="KD4" s="39" t="s">
        <v>2</v>
      </c>
      <c r="KE4" s="30" t="s">
        <v>11</v>
      </c>
      <c r="KF4" s="30" t="s">
        <v>110</v>
      </c>
      <c r="KG4" s="150"/>
      <c r="KH4" s="39" t="s">
        <v>2</v>
      </c>
      <c r="KI4" s="30" t="s">
        <v>11</v>
      </c>
      <c r="KJ4" s="30" t="s">
        <v>110</v>
      </c>
      <c r="KK4" s="150"/>
      <c r="KL4" s="39" t="s">
        <v>2</v>
      </c>
      <c r="KM4" s="30" t="s">
        <v>11</v>
      </c>
      <c r="KN4" s="30" t="s">
        <v>110</v>
      </c>
      <c r="KO4" s="150"/>
      <c r="KP4" s="39" t="s">
        <v>2</v>
      </c>
      <c r="KQ4" s="30" t="s">
        <v>11</v>
      </c>
      <c r="KR4" s="30" t="s">
        <v>110</v>
      </c>
      <c r="KS4" s="150"/>
      <c r="KT4" s="39" t="s">
        <v>2</v>
      </c>
      <c r="KU4" s="30" t="s">
        <v>11</v>
      </c>
      <c r="KV4" s="30" t="s">
        <v>110</v>
      </c>
      <c r="KW4" s="153"/>
      <c r="KX4" s="39" t="s">
        <v>2</v>
      </c>
      <c r="KY4" s="30" t="s">
        <v>11</v>
      </c>
      <c r="KZ4" s="30" t="s">
        <v>110</v>
      </c>
      <c r="LA4" s="150"/>
      <c r="LB4" s="39" t="s">
        <v>2</v>
      </c>
      <c r="LC4" s="30" t="s">
        <v>11</v>
      </c>
      <c r="LD4" s="30" t="s">
        <v>110</v>
      </c>
      <c r="LE4" s="153"/>
      <c r="LF4" s="39" t="s">
        <v>2</v>
      </c>
      <c r="LG4" s="30" t="s">
        <v>11</v>
      </c>
      <c r="LH4" s="30" t="s">
        <v>110</v>
      </c>
      <c r="LI4" s="153"/>
      <c r="LJ4" s="39" t="s">
        <v>2</v>
      </c>
      <c r="LK4" s="30" t="s">
        <v>11</v>
      </c>
      <c r="LL4" s="30" t="s">
        <v>110</v>
      </c>
      <c r="LM4" s="40" t="s">
        <v>2</v>
      </c>
      <c r="LN4" s="30" t="s">
        <v>11</v>
      </c>
      <c r="LO4" s="30" t="s">
        <v>110</v>
      </c>
      <c r="LP4" s="40" t="s">
        <v>2</v>
      </c>
      <c r="LQ4" s="30" t="s">
        <v>11</v>
      </c>
      <c r="LR4" s="30" t="s">
        <v>110</v>
      </c>
      <c r="LS4" s="153"/>
      <c r="LT4" s="40" t="s">
        <v>2</v>
      </c>
      <c r="LU4" s="30" t="s">
        <v>11</v>
      </c>
      <c r="LV4" s="30" t="s">
        <v>110</v>
      </c>
      <c r="LW4" s="40" t="s">
        <v>2</v>
      </c>
      <c r="LX4" s="30" t="s">
        <v>11</v>
      </c>
      <c r="LY4" s="30" t="s">
        <v>110</v>
      </c>
      <c r="LZ4" s="40" t="s">
        <v>2</v>
      </c>
      <c r="MA4" s="30" t="s">
        <v>11</v>
      </c>
      <c r="MB4" s="30" t="s">
        <v>110</v>
      </c>
      <c r="MC4" s="40" t="s">
        <v>2</v>
      </c>
      <c r="MD4" s="30" t="s">
        <v>11</v>
      </c>
      <c r="ME4" s="30" t="s">
        <v>110</v>
      </c>
      <c r="MF4" s="40" t="s">
        <v>2</v>
      </c>
      <c r="MG4" s="30" t="s">
        <v>11</v>
      </c>
      <c r="MH4" s="30" t="s">
        <v>110</v>
      </c>
      <c r="MI4" s="40" t="s">
        <v>2</v>
      </c>
      <c r="MJ4" s="30" t="s">
        <v>11</v>
      </c>
      <c r="MK4" s="30" t="s">
        <v>110</v>
      </c>
      <c r="ML4" s="40" t="s">
        <v>2</v>
      </c>
      <c r="MM4" s="30" t="s">
        <v>11</v>
      </c>
      <c r="MN4" s="30" t="s">
        <v>110</v>
      </c>
      <c r="MO4" s="150"/>
      <c r="MP4" s="39" t="s">
        <v>2</v>
      </c>
      <c r="MQ4" s="30" t="s">
        <v>11</v>
      </c>
      <c r="MR4" s="30" t="s">
        <v>110</v>
      </c>
      <c r="MS4" s="153"/>
      <c r="MT4" s="39" t="s">
        <v>2</v>
      </c>
      <c r="MU4" s="41" t="s">
        <v>110</v>
      </c>
      <c r="MV4" s="39" t="s">
        <v>2</v>
      </c>
      <c r="MW4" s="30" t="s">
        <v>110</v>
      </c>
      <c r="MX4" s="39" t="s">
        <v>2</v>
      </c>
      <c r="MY4" s="30" t="s">
        <v>110</v>
      </c>
      <c r="MZ4" s="153"/>
      <c r="NA4" s="39" t="s">
        <v>2</v>
      </c>
      <c r="NB4" s="30" t="s">
        <v>110</v>
      </c>
      <c r="NC4" s="39" t="s">
        <v>2</v>
      </c>
      <c r="ND4" s="30" t="s">
        <v>110</v>
      </c>
      <c r="NE4" s="153"/>
      <c r="NF4" s="39" t="s">
        <v>2</v>
      </c>
      <c r="NG4" s="30" t="s">
        <v>110</v>
      </c>
      <c r="NH4" s="39" t="s">
        <v>2</v>
      </c>
      <c r="NI4" s="30" t="s">
        <v>110</v>
      </c>
    </row>
    <row r="5" spans="1:373" ht="15.6" hidden="1" x14ac:dyDescent="0.3">
      <c r="A5" s="103" t="s">
        <v>202</v>
      </c>
      <c r="B5" s="122"/>
      <c r="C5" s="3"/>
      <c r="D5" s="8"/>
      <c r="E5" s="31" t="e">
        <f>IF(D5/(INDEX('Standards for Conversions'!$H$47:$H$73,MATCH(C$3,'Standards for Conversions'!$A$47:$A$73,0)))=0,"",D5/(INDEX('Standards for Conversions'!$H$47:$H$73,MATCH(C$3,'Standards for Conversions'!$A$47:$A$73,0))))</f>
        <v>#N/A</v>
      </c>
      <c r="F5" s="122"/>
      <c r="G5" s="3"/>
      <c r="H5" s="8"/>
      <c r="I5" s="31" t="e">
        <f>IF(H5/(INDEX('Standards for Conversions'!$H$47:$H$73,MATCH(G$3,'Standards for Conversions'!$A$47:$A$73,0)))=0,"",H5/(INDEX('Standards for Conversions'!$H$47:$H$73,MATCH(G$3,'Standards for Conversions'!$A$47:$A$73,0))))</f>
        <v>#N/A</v>
      </c>
      <c r="J5" s="122"/>
      <c r="K5" s="11"/>
      <c r="L5" s="8"/>
      <c r="M5" s="31" t="e">
        <f>IF(L5/(INDEX('Standards for Conversions'!$H$47:$H$73,MATCH(K$3,'Standards for Conversions'!$A$47:$A$73,0)))=0,"",L5/(INDEX('Standards for Conversions'!$H$47:$H$73,MATCH(K$3,'Standards for Conversions'!$A$47:$A$73,0))))</f>
        <v>#N/A</v>
      </c>
      <c r="N5" s="122"/>
      <c r="O5" s="3"/>
      <c r="P5" s="8"/>
      <c r="Q5" s="31" t="e">
        <f>IF(P5/(INDEX('Standards for Conversions'!$H$47:$H$73,MATCH(O$3,'Standards for Conversions'!$A$47:$A$73,0)))=0,"",P5/(INDEX('Standards for Conversions'!$H$47:$H$73,MATCH(O$3,'Standards for Conversions'!$A$47:$A$73,0))))</f>
        <v>#N/A</v>
      </c>
      <c r="R5" s="122"/>
      <c r="S5" s="3"/>
      <c r="T5" s="8"/>
      <c r="U5" s="31" t="e">
        <f>IF(T5/(INDEX('Standards for Conversions'!$H$47:$H$73,MATCH(S$3,'Standards for Conversions'!$A$47:$A$73,0)))=0,"",T5/(INDEX('Standards for Conversions'!$H$47:$H$73,MATCH(S$3,'Standards for Conversions'!$A$47:$A$73,0))))</f>
        <v>#N/A</v>
      </c>
      <c r="V5" s="122"/>
      <c r="W5" s="3"/>
      <c r="X5" s="8"/>
      <c r="Y5" s="31" t="e">
        <f>IF(X5/(INDEX('Standards for Conversions'!$H$47:$H$73,MATCH(W$3,'Standards for Conversions'!$A$47:$A$73,0)))=0,"",X5/(INDEX('Standards for Conversions'!$H$47:$H$73,MATCH(W$3,'Standards for Conversions'!$A$47:$A$73,0))))</f>
        <v>#N/A</v>
      </c>
      <c r="Z5" s="122"/>
      <c r="AA5" s="11"/>
      <c r="AB5" s="8"/>
      <c r="AC5" s="31" t="e">
        <f>IF(AB5/(INDEX('Standards for Conversions'!$H$47:$H$73,MATCH(AA$3,'Standards for Conversions'!$A$47:$A$73,0)))=0,"",AB5/(INDEX('Standards for Conversions'!$H$47:$H$73,MATCH(AA$3,'Standards for Conversions'!$A$47:$A$73,0))))</f>
        <v>#N/A</v>
      </c>
      <c r="AD5" s="122"/>
      <c r="AE5" s="3"/>
      <c r="AF5" s="8"/>
      <c r="AG5" s="31" t="e">
        <f>IF(AF5/(INDEX('Standards for Conversions'!$H$47:$H$73,MATCH(AE$3,'Standards for Conversions'!$A$47:$A$73,0)))=0,"",AF5/(INDEX('Standards for Conversions'!$H$47:$H$73,MATCH(AE$3,'Standards for Conversions'!$A$47:$A$73,0))))</f>
        <v>#N/A</v>
      </c>
      <c r="AH5" s="122"/>
      <c r="AI5" s="3"/>
      <c r="AJ5" s="8"/>
      <c r="AK5" s="31" t="e">
        <f>IF(AJ5/(INDEX('Standards for Conversions'!$H$47:$H$73,MATCH(AI$3,'Standards for Conversions'!$A$47:$A$73,0)))=0,"",AJ5/(INDEX('Standards for Conversions'!$H$47:$H$73,MATCH(AI$3,'Standards for Conversions'!$A$47:$A$73,0))))</f>
        <v>#N/A</v>
      </c>
      <c r="AL5" s="122"/>
      <c r="AM5" s="3"/>
      <c r="AN5" s="8"/>
      <c r="AO5" s="31" t="e">
        <f>IF(AN5/(INDEX('Standards for Conversions'!$H$47:$H$73,MATCH(AM$3,'Standards for Conversions'!$A$47:$A$73,0)))=0,"",AN5/(INDEX('Standards for Conversions'!$H$47:$H$73,MATCH(AM$3,'Standards for Conversions'!$A$47:$A$73,0))))</f>
        <v>#N/A</v>
      </c>
      <c r="AP5" s="122"/>
      <c r="AQ5" s="11"/>
      <c r="AR5" s="8"/>
      <c r="AS5" s="31" t="e">
        <f>IF(AR5/(INDEX('Standards for Conversions'!$H$47:$H$73,MATCH(AQ$3,'Standards for Conversions'!$A$47:$A$73,0)))=0,"",AR5/(INDEX('Standards for Conversions'!$H$47:$H$73,MATCH(AQ$3,'Standards for Conversions'!$A$47:$A$73,0))))</f>
        <v>#N/A</v>
      </c>
      <c r="AT5" s="122"/>
      <c r="AU5" s="3"/>
      <c r="AV5" s="8"/>
      <c r="AW5" s="31" t="e">
        <f>IF(AV5/(INDEX('Standards for Conversions'!$H$47:$H$73,MATCH(AU$3,'Standards for Conversions'!$A$47:$A$73,0)))=0,"",AV5/(INDEX('Standards for Conversions'!$H$47:$H$73,MATCH(AU$3,'Standards for Conversions'!$A$47:$A$73,0))))</f>
        <v>#N/A</v>
      </c>
      <c r="AX5" s="122"/>
      <c r="AY5" s="3"/>
      <c r="AZ5" s="8"/>
      <c r="BA5" s="31" t="e">
        <f>IF(AZ5/(INDEX('Standards for Conversions'!$H$47:$H$73,MATCH(AY$3,'Standards for Conversions'!$A$47:$A$73,0)))=0,"",AZ5/(INDEX('Standards for Conversions'!$H$47:$H$73,MATCH(AY$3,'Standards for Conversions'!$A$47:$A$73,0))))</f>
        <v>#N/A</v>
      </c>
      <c r="BB5" s="122"/>
      <c r="BC5" s="3"/>
      <c r="BD5" s="8"/>
      <c r="BE5" s="31" t="e">
        <f>IF(BD5/(INDEX('Standards for Conversions'!$H$47:$H$73,MATCH(BC$3,'Standards for Conversions'!$A$47:$A$73,0)))=0,"",BD5/(INDEX('Standards for Conversions'!$H$47:$H$73,MATCH(BC$3,'Standards for Conversions'!$A$47:$A$73,0))))</f>
        <v>#N/A</v>
      </c>
      <c r="BF5" s="122"/>
      <c r="BG5" s="11"/>
      <c r="BH5" s="8"/>
      <c r="BI5" s="31" t="e">
        <f>IF(BH5/(INDEX('Standards for Conversions'!$H$47:$H$73,MATCH(BG$3,'Standards for Conversions'!$A$47:$A$73,0)))=0,"",BH5/(INDEX('Standards for Conversions'!$H$47:$H$73,MATCH(BG$3,'Standards for Conversions'!$A$47:$A$73,0))))</f>
        <v>#N/A</v>
      </c>
      <c r="BJ5" s="122"/>
      <c r="BK5" s="3"/>
      <c r="BL5" s="8"/>
      <c r="BM5" s="31" t="e">
        <f>IF(BL5/(INDEX('Standards for Conversions'!$H$47:$H$73,MATCH(BK$3,'Standards for Conversions'!$A$47:$A$73,0)))=0,"",BL5/(INDEX('Standards for Conversions'!$H$47:$H$73,MATCH(BK$3,'Standards for Conversions'!$A$47:$A$73,0))))</f>
        <v>#N/A</v>
      </c>
      <c r="BN5" s="122"/>
      <c r="BO5" s="3"/>
      <c r="BP5" s="8"/>
      <c r="BQ5" s="31" t="e">
        <f>IF(BP5/(INDEX('Standards for Conversions'!$H$47:$H$73,MATCH(BO$3,'Standards for Conversions'!$A$47:$A$73,0)))=0,"",BP5/(INDEX('Standards for Conversions'!$H$47:$H$73,MATCH(BO$3,'Standards for Conversions'!$A$47:$A$73,0))))</f>
        <v>#N/A</v>
      </c>
      <c r="BR5" s="122"/>
      <c r="BS5" s="3"/>
      <c r="BT5" s="8"/>
      <c r="BU5" s="31" t="e">
        <f>IF(BT5/(INDEX('Standards for Conversions'!$H$47:$H$73,MATCH(BS$3,'Standards for Conversions'!$A$47:$A$73,0)))=0,"",BT5/(INDEX('Standards for Conversions'!$H$47:$H$73,MATCH(BS$3,'Standards for Conversions'!$A$47:$A$73,0))))</f>
        <v>#N/A</v>
      </c>
      <c r="BV5" s="122"/>
      <c r="BW5" s="11"/>
      <c r="BX5" s="8"/>
      <c r="BY5" s="31" t="e">
        <f>IF(BX5/(INDEX('Standards for Conversions'!$H$47:$H$73,MATCH(BW$3,'Standards for Conversions'!$A$47:$A$73,0)))=0,"",BX5/(INDEX('Standards for Conversions'!$H$47:$H$73,MATCH(BW$3,'Standards for Conversions'!$A$47:$A$73,0))))</f>
        <v>#N/A</v>
      </c>
      <c r="BZ5" s="122"/>
      <c r="CA5" s="3"/>
      <c r="CB5" s="8"/>
      <c r="CC5" s="31" t="e">
        <f>IF(CB5/(INDEX('Standards for Conversions'!$H$47:$H$73,MATCH(CA$3,'Standards for Conversions'!$A$47:$A$73,0)))=0,"",CB5/(INDEX('Standards for Conversions'!$H$47:$H$73,MATCH(CA$3,'Standards for Conversions'!$A$47:$A$73,0))))</f>
        <v>#N/A</v>
      </c>
      <c r="CD5" s="122"/>
      <c r="CE5" s="3"/>
      <c r="CF5" s="8"/>
      <c r="CG5" s="31" t="e">
        <f>IF(CF5/(INDEX('Standards for Conversions'!$H$47:$H$73,MATCH(CE$3,'Standards for Conversions'!$A$47:$A$73,0)))=0,"",CF5/(INDEX('Standards for Conversions'!$H$47:$H$73,MATCH(CE$3,'Standards for Conversions'!$A$47:$A$73,0))))</f>
        <v>#N/A</v>
      </c>
      <c r="CH5" s="122"/>
      <c r="CI5" s="3"/>
      <c r="CJ5" s="8"/>
      <c r="CK5" s="31" t="e">
        <f>IF(CJ5/(INDEX('Standards for Conversions'!$H$47:$H$73,MATCH(CI$3,'Standards for Conversions'!$A$47:$A$73,0)))=0,"",CJ5/(INDEX('Standards for Conversions'!$H$47:$H$73,MATCH(CI$3,'Standards for Conversions'!$A$47:$A$73,0))))</f>
        <v>#N/A</v>
      </c>
      <c r="CL5" s="122"/>
      <c r="CM5" s="11"/>
      <c r="CN5" s="8"/>
      <c r="CO5" s="31" t="e">
        <f>IF(CN5/(INDEX('Standards for Conversions'!$H$47:$H$73,MATCH(CM$3,'Standards for Conversions'!$A$47:$A$73,0)))=0,"",CN5/(INDEX('Standards for Conversions'!$H$47:$H$73,MATCH(CM$3,'Standards for Conversions'!$A$47:$A$73,0))))</f>
        <v>#N/A</v>
      </c>
      <c r="CP5" s="122"/>
      <c r="CQ5" s="3"/>
      <c r="CR5" s="8"/>
      <c r="CS5" s="31" t="e">
        <f>IF(CR5/(INDEX('Standards for Conversions'!$H$47:$H$73,MATCH(CQ$3,'Standards for Conversions'!$A$47:$A$73,0)))=0,"",CR5/(INDEX('Standards for Conversions'!$H$47:$H$73,MATCH(CQ$3,'Standards for Conversions'!$A$47:$A$73,0))))</f>
        <v>#N/A</v>
      </c>
      <c r="CT5" s="122"/>
      <c r="CU5" s="3"/>
      <c r="CV5" s="8"/>
      <c r="CW5" s="31" t="e">
        <f>IF(CV5/(INDEX('Standards for Conversions'!$H$47:$H$73,MATCH(CU$3,'Standards for Conversions'!$A$47:$A$73,0)))=0,"",CV5/(INDEX('Standards for Conversions'!$H$47:$H$73,MATCH(CU$3,'Standards for Conversions'!$A$47:$A$73,0))))</f>
        <v>#N/A</v>
      </c>
      <c r="CX5" s="122"/>
      <c r="CY5" s="3"/>
      <c r="CZ5" s="8"/>
      <c r="DA5" s="31" t="e">
        <f>IF(CZ5/(INDEX('Standards for Conversions'!$H$47:$H$73,MATCH(CY$3,'Standards for Conversions'!$A$47:$A$73,0)))=0,"",CZ5/(INDEX('Standards for Conversions'!$H$47:$H$73,MATCH(CY$3,'Standards for Conversions'!$A$47:$A$73,0))))</f>
        <v>#N/A</v>
      </c>
      <c r="DB5" s="122"/>
      <c r="DC5" s="11"/>
      <c r="DD5" s="8"/>
      <c r="DE5" s="31" t="e">
        <f>IF(DD5/(INDEX('Standards for Conversions'!$H$47:$H$73,MATCH(DC$3,'Standards for Conversions'!$A$47:$A$73,0)))=0,"",DD5/(INDEX('Standards for Conversions'!$H$47:$H$73,MATCH(DC$3,'Standards for Conversions'!$A$47:$A$73,0))))</f>
        <v>#N/A</v>
      </c>
      <c r="DF5" s="122"/>
      <c r="DG5" s="3"/>
      <c r="DH5" s="8"/>
      <c r="DI5" s="31" t="e">
        <f>IF(DH5/(INDEX('Standards for Conversions'!$H$47:$H$73,MATCH(DG$3,'Standards for Conversions'!$A$47:$A$73,0)))=0,"",DH5/(INDEX('Standards for Conversions'!$H$47:$H$73,MATCH(DG$3,'Standards for Conversions'!$A$47:$A$73,0))))</f>
        <v>#N/A</v>
      </c>
      <c r="DJ5" s="122"/>
      <c r="DK5" s="3"/>
      <c r="DL5" s="8"/>
      <c r="DM5" s="31" t="e">
        <f>IF(DL5/(INDEX('Standards for Conversions'!$H$47:$H$73,MATCH(DK$3,'Standards for Conversions'!$A$47:$A$73,0)))=0,"",DL5/(INDEX('Standards for Conversions'!$H$47:$H$73,MATCH(DK$3,'Standards for Conversions'!$A$47:$A$73,0))))</f>
        <v>#N/A</v>
      </c>
      <c r="DN5" s="122"/>
      <c r="DO5" s="3"/>
      <c r="DP5" s="8"/>
      <c r="DQ5" s="31" t="e">
        <f>IF(DP5/(INDEX('Standards for Conversions'!$H$47:$H$73,MATCH(DO$3,'Standards for Conversions'!$A$47:$A$73,0)))=0,"",DP5/(INDEX('Standards for Conversions'!$H$47:$H$73,MATCH(DO$3,'Standards for Conversions'!$A$47:$A$73,0))))</f>
        <v>#N/A</v>
      </c>
      <c r="DR5" s="122"/>
      <c r="DS5" s="11"/>
      <c r="DT5" s="8"/>
      <c r="DU5" s="31" t="e">
        <f>IF(DT5/(INDEX('Standards for Conversions'!$H$47:$H$73,MATCH(DS$3,'Standards for Conversions'!$A$47:$A$73,0)))=0,"",DT5/(INDEX('Standards for Conversions'!$H$47:$H$73,MATCH(DS$3,'Standards for Conversions'!$A$47:$A$73,0))))</f>
        <v>#N/A</v>
      </c>
      <c r="DV5" s="122"/>
      <c r="DW5" s="3"/>
      <c r="DX5" s="8"/>
      <c r="DY5" s="31" t="e">
        <f>IF(DX5/(INDEX('Standards for Conversions'!$H$47:$H$73,MATCH(DW$3,'Standards for Conversions'!$A$47:$A$73,0)))=0,"",DX5/(INDEX('Standards for Conversions'!$H$47:$H$73,MATCH(DW$3,'Standards for Conversions'!$A$47:$A$73,0))))</f>
        <v>#N/A</v>
      </c>
      <c r="DZ5" s="122"/>
      <c r="EA5" s="3"/>
      <c r="EB5" s="8"/>
      <c r="EC5" s="31" t="e">
        <f>IF(EB5/(INDEX('Standards for Conversions'!$H$47:$H$73,MATCH(EA$3,'Standards for Conversions'!$A$47:$A$73,0)))=0,"",EB5/(INDEX('Standards for Conversions'!$H$47:$H$73,MATCH(EA$3,'Standards for Conversions'!$A$47:$A$73,0))))</f>
        <v>#N/A</v>
      </c>
      <c r="ED5" s="122"/>
      <c r="EE5" s="3"/>
      <c r="EF5" s="8"/>
      <c r="EG5" s="31" t="e">
        <f>IF(EF5/(INDEX('Standards for Conversions'!$H$47:$H$73,MATCH(EE$3,'Standards for Conversions'!$A$47:$A$73,0)))=0,"",EF5/(INDEX('Standards for Conversions'!$H$47:$H$73,MATCH(EE$3,'Standards for Conversions'!$A$47:$A$73,0))))</f>
        <v>#N/A</v>
      </c>
      <c r="EH5" s="122"/>
      <c r="EI5" s="11"/>
      <c r="EJ5" s="8"/>
      <c r="EK5" s="31" t="e">
        <f>IF(EJ5/(INDEX('Standards for Conversions'!$H$47:$H$73,MATCH(EI$3,'Standards for Conversions'!$A$47:$A$73,0)))=0,"",EJ5/(INDEX('Standards for Conversions'!$H$47:$H$73,MATCH(EI$3,'Standards for Conversions'!$A$47:$A$73,0))))</f>
        <v>#N/A</v>
      </c>
      <c r="EL5" s="122"/>
      <c r="EM5" s="3"/>
      <c r="EN5" s="8"/>
      <c r="EO5" s="31" t="e">
        <f>IF(EN5/(INDEX('Standards for Conversions'!$H$47:$H$73,MATCH(EM$3,'Standards for Conversions'!$A$47:$A$73,0)))=0,"",EN5/(INDEX('Standards for Conversions'!$H$47:$H$73,MATCH(EM$3,'Standards for Conversions'!$A$47:$A$73,0))))</f>
        <v>#N/A</v>
      </c>
      <c r="EP5" s="122"/>
      <c r="EQ5" s="3"/>
      <c r="ER5" s="8"/>
      <c r="ES5" s="31" t="e">
        <f>IF(ER5/(INDEX('Standards for Conversions'!$H$47:$H$73,MATCH(EQ$3,'Standards for Conversions'!$A$47:$A$73,0)))=0,"",ER5/(INDEX('Standards for Conversions'!$H$47:$H$73,MATCH(EQ$3,'Standards for Conversions'!$A$47:$A$73,0))))</f>
        <v>#N/A</v>
      </c>
      <c r="ET5" s="122"/>
      <c r="EU5" s="3"/>
      <c r="EV5" s="8"/>
      <c r="EW5" s="31" t="e">
        <f>IF(EV5/(INDEX('Standards for Conversions'!$H$47:$H$73,MATCH(EU$3,'Standards for Conversions'!$A$47:$A$73,0)))=0,"",EV5/(INDEX('Standards for Conversions'!$H$47:$H$73,MATCH(EU$3,'Standards for Conversions'!$A$47:$A$73,0))))</f>
        <v>#N/A</v>
      </c>
      <c r="EX5" s="122"/>
      <c r="EY5" s="11"/>
      <c r="EZ5" s="8"/>
      <c r="FA5" s="31" t="e">
        <f>IF(EZ5/(INDEX('Standards for Conversions'!$H$47:$H$73,MATCH(EY$3,'Standards for Conversions'!$A$47:$A$73,0)))=0,"",EZ5/(INDEX('Standards for Conversions'!$H$47:$H$73,MATCH(EY$3,'Standards for Conversions'!$A$47:$A$73,0))))</f>
        <v>#N/A</v>
      </c>
      <c r="FB5" s="122"/>
      <c r="FC5" s="3"/>
      <c r="FD5" s="8"/>
      <c r="FE5" s="31" t="e">
        <f>IF(FD5/(INDEX('Standards for Conversions'!$H$47:$H$73,MATCH(FC$3,'Standards for Conversions'!$A$47:$A$73,0)))=0,"",FD5/(INDEX('Standards for Conversions'!$H$47:$H$73,MATCH(FC$3,'Standards for Conversions'!$A$47:$A$73,0))))</f>
        <v>#N/A</v>
      </c>
      <c r="FF5" s="122"/>
      <c r="FG5" s="3"/>
      <c r="FH5" s="8"/>
      <c r="FI5" s="31" t="e">
        <f>IF(FH5/(INDEX('Standards for Conversions'!$H$47:$H$73,MATCH(FG$3,'Standards for Conversions'!$A$47:$A$73,0)))=0,"",FH5/(INDEX('Standards for Conversions'!$H$47:$H$73,MATCH(FG$3,'Standards for Conversions'!$A$47:$A$73,0))))</f>
        <v>#N/A</v>
      </c>
      <c r="FJ5" s="122"/>
      <c r="FK5" s="3"/>
      <c r="FL5" s="8"/>
      <c r="FM5" s="31" t="e">
        <f>IF(FL5/(INDEX('Standards for Conversions'!$H$47:$H$73,MATCH(FK$3,'Standards for Conversions'!$A$47:$A$73,0)))=0,"",FL5/(INDEX('Standards for Conversions'!$H$47:$H$73,MATCH(FK$3,'Standards for Conversions'!$A$47:$A$73,0))))</f>
        <v>#N/A</v>
      </c>
      <c r="FN5" s="122"/>
      <c r="FO5" s="11"/>
      <c r="FP5" s="8"/>
      <c r="FQ5" s="31" t="e">
        <f>IF(FP5/(INDEX('Standards for Conversions'!$H$47:$H$73,MATCH(FO$3,'Standards for Conversions'!$A$47:$A$73,0)))=0,"",FP5/(INDEX('Standards for Conversions'!$H$47:$H$73,MATCH(FO$3,'Standards for Conversions'!$A$47:$A$73,0))))</f>
        <v>#N/A</v>
      </c>
      <c r="FR5" s="122"/>
      <c r="FS5" s="3"/>
      <c r="FT5" s="8"/>
      <c r="FU5" s="31" t="e">
        <f>IF(FT5/(INDEX('Standards for Conversions'!$H$47:$H$73,MATCH(FS$3,'Standards for Conversions'!$A$47:$A$73,0)))=0,"",FT5/(INDEX('Standards for Conversions'!$H$47:$H$73,MATCH(FS$3,'Standards for Conversions'!$A$47:$A$73,0))))</f>
        <v>#N/A</v>
      </c>
      <c r="FV5" s="122"/>
      <c r="FW5" s="3"/>
      <c r="FX5" s="8"/>
      <c r="FY5" s="31" t="e">
        <f>IF(FX5/(INDEX('Standards for Conversions'!$H$47:$H$73,MATCH(FW$3,'Standards for Conversions'!$A$47:$A$73,0)))=0,"",FX5/(INDEX('Standards for Conversions'!$H$47:$H$73,MATCH(FW$3,'Standards for Conversions'!$A$47:$A$73,0))))</f>
        <v>#N/A</v>
      </c>
      <c r="FZ5" s="122"/>
      <c r="GA5" s="3"/>
      <c r="GB5" s="8"/>
      <c r="GC5" s="31" t="e">
        <f>IF(GB5/(INDEX('Standards for Conversions'!$H$47:$H$73,MATCH(GA$3,'Standards for Conversions'!$A$47:$A$73,0)))=0,"",GB5/(INDEX('Standards for Conversions'!$H$47:$H$73,MATCH(GA$3,'Standards for Conversions'!$A$47:$A$73,0))))</f>
        <v>#N/A</v>
      </c>
      <c r="GD5" s="122"/>
      <c r="GE5" s="11"/>
      <c r="GF5" s="8"/>
      <c r="GG5" s="31" t="e">
        <f>IF(GF5/(INDEX('Standards for Conversions'!$H$47:$H$73,MATCH(GE$3,'Standards for Conversions'!$A$47:$A$73,0)))=0,"",GF5/(INDEX('Standards for Conversions'!$H$47:$H$73,MATCH(GE$3,'Standards for Conversions'!$A$47:$A$73,0))))</f>
        <v>#N/A</v>
      </c>
      <c r="GH5" s="122"/>
      <c r="GI5" s="3"/>
      <c r="GJ5" s="8"/>
      <c r="GK5" s="31" t="e">
        <f>IF(GJ5/(INDEX('Standards for Conversions'!$H$47:$H$73,MATCH(GI$3,'Standards for Conversions'!$A$47:$A$73,0)))=0,"",GJ5/(INDEX('Standards for Conversions'!$H$47:$H$73,MATCH(GI$3,'Standards for Conversions'!$A$47:$A$73,0))))</f>
        <v>#N/A</v>
      </c>
      <c r="GL5" s="122"/>
      <c r="GM5" s="3"/>
      <c r="GN5" s="8"/>
      <c r="GO5" s="31" t="e">
        <f>IF(GN5/(INDEX('Standards for Conversions'!$H$47:$H$73,MATCH(GM$3,'Standards for Conversions'!$A$47:$A$73,0)))=0,"",GN5/(INDEX('Standards for Conversions'!$H$47:$H$73,MATCH(GM$3,'Standards for Conversions'!$A$47:$A$73,0))))</f>
        <v>#N/A</v>
      </c>
      <c r="GP5" s="122"/>
      <c r="GQ5" s="3"/>
      <c r="GR5" s="8"/>
      <c r="GS5" s="31" t="e">
        <f>IF(GR5/(INDEX('Standards for Conversions'!$H$47:$H$73,MATCH(GQ$3,'Standards for Conversions'!$A$47:$A$73,0)))=0,"",GR5/(INDEX('Standards for Conversions'!$H$47:$H$73,MATCH(GQ$3,'Standards for Conversions'!$A$47:$A$73,0))))</f>
        <v>#N/A</v>
      </c>
      <c r="GT5" s="122"/>
      <c r="GU5" s="11"/>
      <c r="GV5" s="8"/>
      <c r="GW5" s="31" t="e">
        <f>IF(GV5/(INDEX('Standards for Conversions'!$H$47:$H$73,MATCH(GU$3,'Standards for Conversions'!$A$47:$A$73,0)))=0,"",GV5/(INDEX('Standards for Conversions'!$H$47:$H$73,MATCH(GU$3,'Standards for Conversions'!$A$47:$A$73,0))))</f>
        <v>#N/A</v>
      </c>
      <c r="GX5" s="122"/>
      <c r="GY5" s="3"/>
      <c r="GZ5" s="8"/>
      <c r="HA5" s="31" t="e">
        <f>IF(GZ5/(INDEX('Standards for Conversions'!$H$47:$H$73,MATCH(GY$3,'Standards for Conversions'!$A$47:$A$73,0)))=0,"",GZ5/(INDEX('Standards for Conversions'!$H$47:$H$73,MATCH(GY$3,'Standards for Conversions'!$A$47:$A$73,0))))</f>
        <v>#N/A</v>
      </c>
      <c r="HB5" s="122"/>
      <c r="HC5" s="3"/>
      <c r="HD5" s="8"/>
      <c r="HE5" s="31" t="str">
        <f>IF(HD5/(INDEX('Standards for Conversions'!$H$47:$H$73,MATCH(HC$3,'Standards for Conversions'!$A$47:$A$73,0)))=0,"",HD5/(INDEX('Standards for Conversions'!$H$47:$H$73,MATCH(HC$3,'Standards for Conversions'!$A$47:$A$73,0))))</f>
        <v/>
      </c>
      <c r="HF5" s="122"/>
      <c r="HG5" s="3"/>
      <c r="HH5" s="8"/>
      <c r="HI5" s="31" t="str">
        <f>IF(HH5/(INDEX('Standards for Conversions'!$H$47:$H$73,MATCH(HG$3,'Standards for Conversions'!$A$47:$A$73,0)))=0,"",HH5/(INDEX('Standards for Conversions'!$H$47:$H$73,MATCH(HG$3,'Standards for Conversions'!$A$47:$A$73,0))))</f>
        <v/>
      </c>
      <c r="HJ5" s="122"/>
      <c r="HK5" s="11"/>
      <c r="HL5" s="8"/>
      <c r="HM5" s="31" t="str">
        <f>IF(HL5/(INDEX('Standards for Conversions'!$H$47:$H$73,MATCH(HK$3,'Standards for Conversions'!$A$47:$A$73,0)))=0,"",HL5/(INDEX('Standards for Conversions'!$H$47:$H$73,MATCH(HK$3,'Standards for Conversions'!$A$47:$A$73,0))))</f>
        <v/>
      </c>
      <c r="HN5" s="122"/>
      <c r="HO5" s="3"/>
      <c r="HP5" s="8"/>
      <c r="HQ5" s="31" t="str">
        <f>IF(HP5/(INDEX('Standards for Conversions'!$H$47:$H$73,MATCH(HO$3,'Standards for Conversions'!$A$47:$A$73,0)))=0,"",HP5/(INDEX('Standards for Conversions'!$H$47:$H$73,MATCH(HO$3,'Standards for Conversions'!$A$47:$A$73,0))))</f>
        <v/>
      </c>
      <c r="HR5" s="125"/>
      <c r="HS5" s="43"/>
      <c r="HT5" s="44"/>
      <c r="HU5" s="31" t="str">
        <f>IF(HT5/(INDEX('Standards for Conversions'!$H$47:$H$73,MATCH(HS$3,'Standards for Conversions'!$A$47:$A$73,0)))=0,"",HT5/(INDEX('Standards for Conversions'!$H$47:$H$73,MATCH(HS$3,'Standards for Conversions'!$A$47:$A$73,0))))</f>
        <v/>
      </c>
      <c r="HV5" s="42"/>
      <c r="HW5" s="43"/>
      <c r="HX5" s="44"/>
      <c r="HY5" s="31" t="str">
        <f>IF(HX5/(INDEX('Standards for Conversions'!$H$47:$H$73,MATCH(HW$3,'Standards for Conversions'!$A$47:$A$73,0)))=0,"",HX5/(INDEX('Standards for Conversions'!$H$47:$H$73,MATCH(HW$3,'Standards for Conversions'!$A$47:$A$73,0))))</f>
        <v/>
      </c>
      <c r="HZ5" s="45"/>
      <c r="IA5" s="44"/>
      <c r="IB5" s="31" t="str">
        <f>IF(IA5/(INDEX('Standards for Conversions'!$H$47:$H$73,MATCH(HZ$3,'Standards for Conversions'!$A$47:$A$73,0)))=0,"",IA5/(INDEX('Standards for Conversions'!$H$47:$H$73,MATCH(HZ$3,'Standards for Conversions'!$A$47:$A$73,0))))</f>
        <v/>
      </c>
      <c r="IC5" s="42"/>
      <c r="ID5" s="43"/>
      <c r="IE5" s="44"/>
      <c r="IF5" s="31" t="str">
        <f>IF(IE5/(INDEX('Standards for Conversions'!$H$47:$H$73,MATCH(ID$3,'Standards for Conversions'!$A$47:$A$73,0)))=0,"",IE5/(INDEX('Standards for Conversions'!$H$47:$H$73,MATCH(ID$3,'Standards for Conversions'!$A$47:$A$73,0))))</f>
        <v/>
      </c>
      <c r="IG5" s="42"/>
      <c r="IH5" s="43"/>
      <c r="II5" s="44"/>
      <c r="IJ5" s="31" t="str">
        <f>IF(II5/(INDEX('Standards for Conversions'!$H$47:$H$73,MATCH(IH$3,'Standards for Conversions'!$A$47:$A$73,0)))=0,"",II5/(INDEX('Standards for Conversions'!$H$47:$H$73,MATCH(IH$3,'Standards for Conversions'!$A$47:$A$73,0))))</f>
        <v/>
      </c>
      <c r="IK5" s="42"/>
      <c r="IL5" s="43"/>
      <c r="IM5" s="44"/>
      <c r="IN5" s="31" t="str">
        <f>IF(IM5/(INDEX('Standards for Conversions'!$H$47:$H$73,MATCH(IL$3,'Standards for Conversions'!$A$47:$A$73,0)))=0,"",IM5/(INDEX('Standards for Conversions'!$H$47:$H$73,MATCH(IL$3,'Standards for Conversions'!$A$47:$A$73,0))))</f>
        <v/>
      </c>
      <c r="IO5" s="42"/>
      <c r="IP5" s="43"/>
      <c r="IQ5" s="44"/>
      <c r="IR5" s="31" t="str">
        <f>IF(IQ5/(INDEX('Standards for Conversions'!$H$47:$H$73,MATCH(IP$3,'Standards for Conversions'!$A$47:$A$73,0)))=0,"",IQ5/(INDEX('Standards for Conversions'!$H$47:$H$73,MATCH(IP$3,'Standards for Conversions'!$A$47:$A$73,0))))</f>
        <v/>
      </c>
      <c r="IS5" s="42"/>
      <c r="IT5" s="43"/>
      <c r="IU5" s="44"/>
      <c r="IV5" s="31" t="str">
        <f>IF(IU5/(INDEX('Standards for Conversions'!$H$47:$H$73,MATCH(IT$3,'Standards for Conversions'!$A$47:$A$73,0)))=0,"",IU5/(INDEX('Standards for Conversions'!$H$47:$H$73,MATCH(IT$3,'Standards for Conversions'!$A$47:$A$73,0))))</f>
        <v/>
      </c>
      <c r="IW5" s="42"/>
      <c r="IZ5" s="31" t="str">
        <f>IF(IY5/(INDEX('Standards for Conversions'!$H$47:$H$73,MATCH(IX$3,'Standards for Conversions'!$A$47:$A$73,0)))=0,"",IY5/(INDEX('Standards for Conversions'!$H$47:$H$73,MATCH(IX$3,'Standards for Conversions'!$A$47:$A$73,0))))</f>
        <v/>
      </c>
      <c r="JA5" s="46"/>
      <c r="JD5" s="31" t="str">
        <f>IF(JC5/(INDEX('Standards for Conversions'!$H$47:$H$73,MATCH(JB$3,'Standards for Conversions'!$A$47:$A$73,0)))=0,"",JC5/(INDEX('Standards for Conversions'!$H$47:$H$73,MATCH(JB$3,'Standards for Conversions'!$A$47:$A$73,0))))</f>
        <v/>
      </c>
      <c r="JE5" s="46"/>
      <c r="JH5" s="31" t="str">
        <f>IF(JG5/(INDEX('Standards for Conversions'!$H$47:$H$73,MATCH(JF$3,'Standards for Conversions'!$A$47:$A$73,0)))=0,"",JG5/(INDEX('Standards for Conversions'!$H$47:$H$73,MATCH(JF$3,'Standards for Conversions'!$A$47:$A$73,0))))</f>
        <v/>
      </c>
      <c r="JI5" s="46"/>
      <c r="JJ5" s="43"/>
      <c r="JK5" s="44"/>
      <c r="JL5" s="31" t="str">
        <f>IF(JK5/(INDEX('Standards for Conversions'!$H$47:$H$73,MATCH(JJ$3,'Standards for Conversions'!$A$47:$A$73,0)))=0,"",JK5/(INDEX('Standards for Conversions'!$H$47:$H$73,MATCH(JJ$3,'Standards for Conversions'!$A$47:$A$73,0))))</f>
        <v/>
      </c>
      <c r="JM5" s="42"/>
      <c r="JP5" s="31" t="str">
        <f>IF(JO5/(INDEX('Standards for Conversions'!$H$47:$H$73,MATCH(JN$3,'Standards for Conversions'!$A$47:$A$73,0)))=0,"",JO5/(INDEX('Standards for Conversions'!$H$47:$H$73,MATCH(JN$3,'Standards for Conversions'!$A$47:$A$73,0))))</f>
        <v/>
      </c>
      <c r="JQ5" s="42"/>
      <c r="JT5" s="31" t="str">
        <f>IF(JS5/(INDEX('Standards for Conversions'!$H$47:$H$73,MATCH(JR$3,'Standards for Conversions'!$A$47:$A$73,0)))=0,"",JS5/(INDEX('Standards for Conversions'!$H$47:$H$73,MATCH(JR$3,'Standards for Conversions'!$A$47:$A$73,0))))</f>
        <v/>
      </c>
      <c r="JU5" s="42"/>
      <c r="JV5" s="43"/>
      <c r="JW5" s="44"/>
      <c r="JX5" s="31" t="str">
        <f>IF(JW5/(INDEX('Standards for Conversions'!$H$47:$H$73,MATCH(JV$3,'Standards for Conversions'!$A$47:$A$73,0)))=0,"",JW5/(INDEX('Standards for Conversions'!$H$47:$H$73,MATCH(JV$3,'Standards for Conversions'!$A$47:$A$73,0))))</f>
        <v/>
      </c>
      <c r="JY5" s="42"/>
      <c r="JZ5" s="43"/>
      <c r="KA5" s="44"/>
      <c r="KB5" s="31" t="str">
        <f>IF(KA5/(INDEX('Standards for Conversions'!$H$47:$H$73,MATCH(JZ$3,'Standards for Conversions'!$A$47:$A$73,0)))=0,"",KA5/(INDEX('Standards for Conversions'!$H$47:$H$73,MATCH(JZ$3,'Standards for Conversions'!$A$47:$A$73,0))))</f>
        <v/>
      </c>
      <c r="KC5" s="42"/>
      <c r="KF5" s="31" t="str">
        <f>IF(KE5/(INDEX('Standards for Conversions'!$H$47:$H$73,MATCH(KD$3,'Standards for Conversions'!$A$47:$A$73,0)))=0,"",KE5/(INDEX('Standards for Conversions'!$H$47:$H$73,MATCH(KD$3,'Standards for Conversions'!$A$47:$A$73,0))))</f>
        <v/>
      </c>
      <c r="KG5" s="42"/>
      <c r="KJ5" s="31" t="str">
        <f>IF(KI5/(INDEX('Standards for Conversions'!$H$47:$H$73,MATCH(KH$3,'Standards for Conversions'!$A$47:$A$73,0)))=0,"",KI5/(INDEX('Standards for Conversions'!$H$47:$H$73,MATCH(KH$3,'Standards for Conversions'!$A$47:$A$73,0))))</f>
        <v/>
      </c>
      <c r="KK5" s="42"/>
      <c r="KL5" s="43"/>
      <c r="KM5" s="44"/>
      <c r="KN5" s="31" t="str">
        <f>IF(KM5/(INDEX('Standards for Conversions'!$H$47:$H$73,MATCH(KL$3,'Standards for Conversions'!$A$47:$A$73,0)))=0,"",KM5/(INDEX('Standards for Conversions'!$H$47:$H$73,MATCH(KL$3,'Standards for Conversions'!$A$47:$A$73,0))))</f>
        <v/>
      </c>
      <c r="KO5" s="42"/>
      <c r="KP5" s="111"/>
      <c r="KQ5" s="44"/>
      <c r="KR5" s="31" t="str">
        <f>IF(KQ5/(INDEX('Standards for Conversions'!$H$47:$H$73,MATCH(KP$3,'Standards for Conversions'!$A$47:$A$73,0)))=0,"",KQ5/(INDEX('Standards for Conversions'!$H$47:$H$73,MATCH(KP$3,'Standards for Conversions'!$A$47:$A$73,0))))</f>
        <v/>
      </c>
      <c r="KS5" s="42"/>
      <c r="KV5" s="31" t="str">
        <f>IF(KU5/(INDEX('Standards for Conversions'!$H$47:$H$73,MATCH(KT$3,'Standards for Conversions'!$A$47:$A$73,0)))=0,"",KU5/(INDEX('Standards for Conversions'!$H$47:$H$73,MATCH(KT$3,'Standards for Conversions'!$A$47:$A$73,0))))</f>
        <v/>
      </c>
      <c r="KW5" s="46"/>
      <c r="KZ5" s="31" t="str">
        <f>IF(KY5/(INDEX('Standards for Conversions'!$H$47:$H$73,MATCH(KX$3,'Standards for Conversions'!$A$47:$A$73,0)))=0,"",KY5/(INDEX('Standards for Conversions'!$H$47:$H$73,MATCH(KX$3,'Standards for Conversions'!$A$47:$A$73,0))))</f>
        <v/>
      </c>
      <c r="LA5" s="42"/>
      <c r="LB5" s="43"/>
      <c r="LC5" s="44"/>
      <c r="LD5" s="31" t="str">
        <f>IF(LC5/(INDEX('Standards for Conversions'!$H$47:$H$73,MATCH(LB$3,'Standards for Conversions'!$A$47:$A$73,0)))=0,"",LC5/(INDEX('Standards for Conversions'!$H$47:$H$73,MATCH(LB$3,'Standards for Conversions'!$A$47:$A$73,0))))</f>
        <v/>
      </c>
      <c r="LE5" s="46"/>
      <c r="LF5" s="43"/>
      <c r="LG5" s="44"/>
      <c r="LH5" s="31" t="str">
        <f>IF(LG5/(INDEX('Standards for Conversions'!$H$47:$H$73,MATCH(LF$3,'Standards for Conversions'!$A$47:$A$73,0)))=0,"",LG5/(INDEX('Standards for Conversions'!$H$47:$H$73,MATCH(LF$3,'Standards for Conversions'!$A$47:$A$73,0))))</f>
        <v/>
      </c>
      <c r="LI5" s="33"/>
      <c r="LJ5" s="43"/>
      <c r="LK5" s="44"/>
      <c r="LL5" s="31" t="str">
        <f>IF(LK5/(INDEX('Standards for Conversions'!$H$47:$H$73,MATCH(LJ$3,'Standards for Conversions'!$A$47:$A$73,0)))=0,"",LK5/(INDEX('Standards for Conversions'!$H$47:$H$73,MATCH(LJ$3,'Standards for Conversions'!$A$47:$A$73,0))))</f>
        <v/>
      </c>
      <c r="LM5" s="43"/>
      <c r="LN5" s="44"/>
      <c r="LO5" s="31" t="str">
        <f>IF(LN5/(INDEX('Standards for Conversions'!$H$47:$H$73,MATCH(LM$3,'Standards for Conversions'!$A$47:$A$73,0)))=0,"",LN5/(INDEX('Standards for Conversions'!$H$47:$H$73,MATCH(LM$3,'Standards for Conversions'!$A$47:$A$73,0))))</f>
        <v/>
      </c>
      <c r="LP5" s="43"/>
      <c r="LQ5" s="44"/>
      <c r="LR5" s="31" t="str">
        <f>IF(LQ5/(INDEX('Standards for Conversions'!$H$47:$H$73,MATCH(LP$3,'Standards for Conversions'!$A$47:$A$73,0)))=0,"",LQ5/(INDEX('Standards for Conversions'!$H$47:$H$73,MATCH(LP$3,'Standards for Conversions'!$A$47:$A$73,0))))</f>
        <v/>
      </c>
      <c r="LS5" s="33"/>
      <c r="LT5" s="43"/>
      <c r="LU5" s="44"/>
      <c r="LV5" s="31" t="str">
        <f>IF(LU5/(INDEX('Standards for Conversions'!$H$47:$H$73,MATCH(LT$3,'Standards for Conversions'!$A$47:$A$73,0)))=0,"",LU5/(INDEX('Standards for Conversions'!$H$47:$H$73,MATCH(LT$3,'Standards for Conversions'!$A$47:$A$73,0))))</f>
        <v/>
      </c>
      <c r="LW5" s="43"/>
      <c r="LX5" s="44"/>
      <c r="LY5" s="31" t="str">
        <f>IF(LX5/(INDEX('Standards for Conversions'!$H$47:$H$73,MATCH(LW$3,'Standards for Conversions'!$A$47:$A$73,0)))=0,"",LX5/(INDEX('Standards for Conversions'!$H$47:$H$73,MATCH(LW$3,'Standards for Conversions'!$A$47:$A$73,0))))</f>
        <v/>
      </c>
      <c r="LZ5" s="43"/>
      <c r="MA5" s="44"/>
      <c r="MB5" s="31" t="str">
        <f>IF(MA5/(INDEX('Standards for Conversions'!$H$47:$H$73,MATCH(LZ$3,'Standards for Conversions'!$A$47:$A$73,0)))=0,"",MA5/(INDEX('Standards for Conversions'!$H$47:$H$73,MATCH(LZ$3,'Standards for Conversions'!$A$47:$A$73,0))))</f>
        <v/>
      </c>
      <c r="MC5" s="43"/>
      <c r="MD5" s="44"/>
      <c r="ME5" s="31" t="str">
        <f>IF(MD5/(INDEX('Standards for Conversions'!$H$47:$H$73,MATCH(MC$3,'Standards for Conversions'!$A$47:$A$73,0)))=0,"",MD5/(INDEX('Standards for Conversions'!$H$47:$H$73,MATCH(MC$3,'Standards for Conversions'!$A$47:$A$73,0))))</f>
        <v/>
      </c>
      <c r="MF5" s="43"/>
      <c r="MG5" s="44"/>
      <c r="MH5" s="31" t="str">
        <f>IF(MG5/(INDEX('Standards for Conversions'!$H$47:$H$73,MATCH(MF$3,'Standards for Conversions'!$A$47:$A$73,0)))=0,"",MG5/(INDEX('Standards for Conversions'!$H$47:$H$73,MATCH(MF$3,'Standards for Conversions'!$A$47:$A$73,0))))</f>
        <v/>
      </c>
      <c r="MI5" s="43"/>
      <c r="MJ5" s="44"/>
      <c r="MK5" s="31" t="str">
        <f>IF(MJ5/(INDEX('Standards for Conversions'!$H$47:$H$73,MATCH(MI$3,'Standards for Conversions'!$A$47:$A$73,0)))=0,"",MJ5/(INDEX('Standards for Conversions'!$H$47:$H$73,MATCH(MI$3,'Standards for Conversions'!$A$47:$A$73,0))))</f>
        <v/>
      </c>
      <c r="ML5" s="43"/>
      <c r="MM5" s="44"/>
      <c r="MN5" s="31" t="str">
        <f>IF(MM5/(INDEX('Standards for Conversions'!$H$47:$H$73,MATCH(ML$3,'Standards for Conversions'!$A$47:$A$73,0)))=0,"",MM5/(INDEX('Standards for Conversions'!$H$47:$H$73,MATCH(ML$3,'Standards for Conversions'!$A$47:$A$73,0))))</f>
        <v/>
      </c>
      <c r="MO5" s="42"/>
      <c r="MP5" s="45"/>
      <c r="MQ5" s="44"/>
      <c r="MR5" s="31" t="str">
        <f>IF(MQ5/(INDEX('Standards for Conversions'!$H$47:$H$73,MATCH(MP$3,'Standards for Conversions'!$A$47:$A$73,0)))=0,"",MQ5/(INDEX('Standards for Conversions'!$H$47:$H$73,MATCH(MP$3,'Standards for Conversions'!$A$47:$A$73,0))))</f>
        <v/>
      </c>
      <c r="MS5" s="42"/>
      <c r="MT5" s="45"/>
      <c r="MU5" s="44"/>
      <c r="MV5" s="43"/>
      <c r="MW5" s="44"/>
      <c r="MX5" s="43"/>
      <c r="MY5" s="44"/>
      <c r="MZ5" s="33"/>
      <c r="NE5" s="33" t="s">
        <v>18</v>
      </c>
      <c r="NF5" s="29">
        <v>15752</v>
      </c>
      <c r="NG5" s="29">
        <v>42018</v>
      </c>
      <c r="NH5" s="29">
        <v>27637</v>
      </c>
      <c r="NI5" s="29">
        <v>78751</v>
      </c>
    </row>
    <row r="6" spans="1:373" ht="15.6" hidden="1" x14ac:dyDescent="0.3">
      <c r="A6" s="103" t="s">
        <v>203</v>
      </c>
      <c r="B6" s="122"/>
      <c r="C6" s="3"/>
      <c r="D6" s="8"/>
      <c r="E6" s="31" t="e">
        <f>IF(D6/(INDEX('Standards for Conversions'!$H$47:$H$73,MATCH(C$3,'Standards for Conversions'!$A$47:$A$73,0)))=0,"",D6/(INDEX('Standards for Conversions'!$H$47:$H$73,MATCH(C$3,'Standards for Conversions'!$A$47:$A$73,0))))</f>
        <v>#N/A</v>
      </c>
      <c r="F6" s="122"/>
      <c r="G6" s="3"/>
      <c r="H6" s="8"/>
      <c r="I6" s="31" t="e">
        <f>IF(H6/(INDEX('Standards for Conversions'!$H$47:$H$73,MATCH(G$3,'Standards for Conversions'!$A$47:$A$73,0)))=0,"",H6/(INDEX('Standards for Conversions'!$H$47:$H$73,MATCH(G$3,'Standards for Conversions'!$A$47:$A$73,0))))</f>
        <v>#N/A</v>
      </c>
      <c r="J6" s="122"/>
      <c r="K6" s="11"/>
      <c r="L6" s="8"/>
      <c r="M6" s="31" t="e">
        <f>IF(L6/(INDEX('Standards for Conversions'!$H$47:$H$73,MATCH(K$3,'Standards for Conversions'!$A$47:$A$73,0)))=0,"",L6/(INDEX('Standards for Conversions'!$H$47:$H$73,MATCH(K$3,'Standards for Conversions'!$A$47:$A$73,0))))</f>
        <v>#N/A</v>
      </c>
      <c r="N6" s="122"/>
      <c r="O6" s="3"/>
      <c r="P6" s="8"/>
      <c r="Q6" s="31" t="e">
        <f>IF(P6/(INDEX('Standards for Conversions'!$H$47:$H$73,MATCH(O$3,'Standards for Conversions'!$A$47:$A$73,0)))=0,"",P6/(INDEX('Standards for Conversions'!$H$47:$H$73,MATCH(O$3,'Standards for Conversions'!$A$47:$A$73,0))))</f>
        <v>#N/A</v>
      </c>
      <c r="R6" s="122"/>
      <c r="S6" s="3"/>
      <c r="T6" s="8"/>
      <c r="U6" s="31" t="e">
        <f>IF(T6/(INDEX('Standards for Conversions'!$H$47:$H$73,MATCH(S$3,'Standards for Conversions'!$A$47:$A$73,0)))=0,"",T6/(INDEX('Standards for Conversions'!$H$47:$H$73,MATCH(S$3,'Standards for Conversions'!$A$47:$A$73,0))))</f>
        <v>#N/A</v>
      </c>
      <c r="V6" s="122"/>
      <c r="W6" s="3"/>
      <c r="X6" s="8"/>
      <c r="Y6" s="31" t="e">
        <f>IF(X6/(INDEX('Standards for Conversions'!$H$47:$H$73,MATCH(W$3,'Standards for Conversions'!$A$47:$A$73,0)))=0,"",X6/(INDEX('Standards for Conversions'!$H$47:$H$73,MATCH(W$3,'Standards for Conversions'!$A$47:$A$73,0))))</f>
        <v>#N/A</v>
      </c>
      <c r="Z6" s="122"/>
      <c r="AA6" s="11"/>
      <c r="AB6" s="8"/>
      <c r="AC6" s="31" t="e">
        <f>IF(AB6/(INDEX('Standards for Conversions'!$H$47:$H$73,MATCH(AA$3,'Standards for Conversions'!$A$47:$A$73,0)))=0,"",AB6/(INDEX('Standards for Conversions'!$H$47:$H$73,MATCH(AA$3,'Standards for Conversions'!$A$47:$A$73,0))))</f>
        <v>#N/A</v>
      </c>
      <c r="AD6" s="122"/>
      <c r="AE6" s="3"/>
      <c r="AF6" s="8"/>
      <c r="AG6" s="31" t="e">
        <f>IF(AF6/(INDEX('Standards for Conversions'!$H$47:$H$73,MATCH(AE$3,'Standards for Conversions'!$A$47:$A$73,0)))=0,"",AF6/(INDEX('Standards for Conversions'!$H$47:$H$73,MATCH(AE$3,'Standards for Conversions'!$A$47:$A$73,0))))</f>
        <v>#N/A</v>
      </c>
      <c r="AH6" s="122"/>
      <c r="AI6" s="3"/>
      <c r="AJ6" s="8"/>
      <c r="AK6" s="31" t="e">
        <f>IF(AJ6/(INDEX('Standards for Conversions'!$H$47:$H$73,MATCH(AI$3,'Standards for Conversions'!$A$47:$A$73,0)))=0,"",AJ6/(INDEX('Standards for Conversions'!$H$47:$H$73,MATCH(AI$3,'Standards for Conversions'!$A$47:$A$73,0))))</f>
        <v>#N/A</v>
      </c>
      <c r="AL6" s="122"/>
      <c r="AM6" s="3"/>
      <c r="AN6" s="8"/>
      <c r="AO6" s="31" t="e">
        <f>IF(AN6/(INDEX('Standards for Conversions'!$H$47:$H$73,MATCH(AM$3,'Standards for Conversions'!$A$47:$A$73,0)))=0,"",AN6/(INDEX('Standards for Conversions'!$H$47:$H$73,MATCH(AM$3,'Standards for Conversions'!$A$47:$A$73,0))))</f>
        <v>#N/A</v>
      </c>
      <c r="AP6" s="122"/>
      <c r="AQ6" s="11"/>
      <c r="AR6" s="8"/>
      <c r="AS6" s="31" t="e">
        <f>IF(AR6/(INDEX('Standards for Conversions'!$H$47:$H$73,MATCH(AQ$3,'Standards for Conversions'!$A$47:$A$73,0)))=0,"",AR6/(INDEX('Standards for Conversions'!$H$47:$H$73,MATCH(AQ$3,'Standards for Conversions'!$A$47:$A$73,0))))</f>
        <v>#N/A</v>
      </c>
      <c r="AT6" s="122"/>
      <c r="AU6" s="3"/>
      <c r="AV6" s="8"/>
      <c r="AW6" s="31" t="e">
        <f>IF(AV6/(INDEX('Standards for Conversions'!$H$47:$H$73,MATCH(AU$3,'Standards for Conversions'!$A$47:$A$73,0)))=0,"",AV6/(INDEX('Standards for Conversions'!$H$47:$H$73,MATCH(AU$3,'Standards for Conversions'!$A$47:$A$73,0))))</f>
        <v>#N/A</v>
      </c>
      <c r="AX6" s="122"/>
      <c r="AY6" s="3"/>
      <c r="AZ6" s="8"/>
      <c r="BA6" s="31" t="e">
        <f>IF(AZ6/(INDEX('Standards for Conversions'!$H$47:$H$73,MATCH(AY$3,'Standards for Conversions'!$A$47:$A$73,0)))=0,"",AZ6/(INDEX('Standards for Conversions'!$H$47:$H$73,MATCH(AY$3,'Standards for Conversions'!$A$47:$A$73,0))))</f>
        <v>#N/A</v>
      </c>
      <c r="BB6" s="122"/>
      <c r="BC6" s="3"/>
      <c r="BD6" s="8"/>
      <c r="BE6" s="31" t="e">
        <f>IF(BD6/(INDEX('Standards for Conversions'!$H$47:$H$73,MATCH(BC$3,'Standards for Conversions'!$A$47:$A$73,0)))=0,"",BD6/(INDEX('Standards for Conversions'!$H$47:$H$73,MATCH(BC$3,'Standards for Conversions'!$A$47:$A$73,0))))</f>
        <v>#N/A</v>
      </c>
      <c r="BF6" s="122"/>
      <c r="BG6" s="11"/>
      <c r="BH6" s="8"/>
      <c r="BI6" s="31" t="e">
        <f>IF(BH6/(INDEX('Standards for Conversions'!$H$47:$H$73,MATCH(BG$3,'Standards for Conversions'!$A$47:$A$73,0)))=0,"",BH6/(INDEX('Standards for Conversions'!$H$47:$H$73,MATCH(BG$3,'Standards for Conversions'!$A$47:$A$73,0))))</f>
        <v>#N/A</v>
      </c>
      <c r="BJ6" s="122"/>
      <c r="BK6" s="3"/>
      <c r="BL6" s="8"/>
      <c r="BM6" s="31" t="e">
        <f>IF(BL6/(INDEX('Standards for Conversions'!$H$47:$H$73,MATCH(BK$3,'Standards for Conversions'!$A$47:$A$73,0)))=0,"",BL6/(INDEX('Standards for Conversions'!$H$47:$H$73,MATCH(BK$3,'Standards for Conversions'!$A$47:$A$73,0))))</f>
        <v>#N/A</v>
      </c>
      <c r="BN6" s="122"/>
      <c r="BO6" s="3"/>
      <c r="BP6" s="8"/>
      <c r="BQ6" s="31" t="e">
        <f>IF(BP6/(INDEX('Standards for Conversions'!$H$47:$H$73,MATCH(BO$3,'Standards for Conversions'!$A$47:$A$73,0)))=0,"",BP6/(INDEX('Standards for Conversions'!$H$47:$H$73,MATCH(BO$3,'Standards for Conversions'!$A$47:$A$73,0))))</f>
        <v>#N/A</v>
      </c>
      <c r="BR6" s="122"/>
      <c r="BS6" s="3"/>
      <c r="BT6" s="8"/>
      <c r="BU6" s="31" t="e">
        <f>IF(BT6/(INDEX('Standards for Conversions'!$H$47:$H$73,MATCH(BS$3,'Standards for Conversions'!$A$47:$A$73,0)))=0,"",BT6/(INDEX('Standards for Conversions'!$H$47:$H$73,MATCH(BS$3,'Standards for Conversions'!$A$47:$A$73,0))))</f>
        <v>#N/A</v>
      </c>
      <c r="BV6" s="122"/>
      <c r="BW6" s="11"/>
      <c r="BX6" s="8"/>
      <c r="BY6" s="31" t="e">
        <f>IF(BX6/(INDEX('Standards for Conversions'!$H$47:$H$73,MATCH(BW$3,'Standards for Conversions'!$A$47:$A$73,0)))=0,"",BX6/(INDEX('Standards for Conversions'!$H$47:$H$73,MATCH(BW$3,'Standards for Conversions'!$A$47:$A$73,0))))</f>
        <v>#N/A</v>
      </c>
      <c r="BZ6" s="122"/>
      <c r="CA6" s="3"/>
      <c r="CB6" s="8"/>
      <c r="CC6" s="31" t="e">
        <f>IF(CB6/(INDEX('Standards for Conversions'!$H$47:$H$73,MATCH(CA$3,'Standards for Conversions'!$A$47:$A$73,0)))=0,"",CB6/(INDEX('Standards for Conversions'!$H$47:$H$73,MATCH(CA$3,'Standards for Conversions'!$A$47:$A$73,0))))</f>
        <v>#N/A</v>
      </c>
      <c r="CD6" s="122"/>
      <c r="CE6" s="3"/>
      <c r="CF6" s="8"/>
      <c r="CG6" s="31" t="e">
        <f>IF(CF6/(INDEX('Standards for Conversions'!$H$47:$H$73,MATCH(CE$3,'Standards for Conversions'!$A$47:$A$73,0)))=0,"",CF6/(INDEX('Standards for Conversions'!$H$47:$H$73,MATCH(CE$3,'Standards for Conversions'!$A$47:$A$73,0))))</f>
        <v>#N/A</v>
      </c>
      <c r="CH6" s="122"/>
      <c r="CI6" s="3"/>
      <c r="CJ6" s="8"/>
      <c r="CK6" s="31" t="e">
        <f>IF(CJ6/(INDEX('Standards for Conversions'!$H$47:$H$73,MATCH(CI$3,'Standards for Conversions'!$A$47:$A$73,0)))=0,"",CJ6/(INDEX('Standards for Conversions'!$H$47:$H$73,MATCH(CI$3,'Standards for Conversions'!$A$47:$A$73,0))))</f>
        <v>#N/A</v>
      </c>
      <c r="CL6" s="122"/>
      <c r="CM6" s="11"/>
      <c r="CN6" s="8"/>
      <c r="CO6" s="31" t="e">
        <f>IF(CN6/(INDEX('Standards for Conversions'!$H$47:$H$73,MATCH(CM$3,'Standards for Conversions'!$A$47:$A$73,0)))=0,"",CN6/(INDEX('Standards for Conversions'!$H$47:$H$73,MATCH(CM$3,'Standards for Conversions'!$A$47:$A$73,0))))</f>
        <v>#N/A</v>
      </c>
      <c r="CP6" s="122"/>
      <c r="CQ6" s="3"/>
      <c r="CR6" s="8"/>
      <c r="CS6" s="31" t="e">
        <f>IF(CR6/(INDEX('Standards for Conversions'!$H$47:$H$73,MATCH(CQ$3,'Standards for Conversions'!$A$47:$A$73,0)))=0,"",CR6/(INDEX('Standards for Conversions'!$H$47:$H$73,MATCH(CQ$3,'Standards for Conversions'!$A$47:$A$73,0))))</f>
        <v>#N/A</v>
      </c>
      <c r="CT6" s="122"/>
      <c r="CU6" s="3"/>
      <c r="CV6" s="8"/>
      <c r="CW6" s="31" t="e">
        <f>IF(CV6/(INDEX('Standards for Conversions'!$H$47:$H$73,MATCH(CU$3,'Standards for Conversions'!$A$47:$A$73,0)))=0,"",CV6/(INDEX('Standards for Conversions'!$H$47:$H$73,MATCH(CU$3,'Standards for Conversions'!$A$47:$A$73,0))))</f>
        <v>#N/A</v>
      </c>
      <c r="CX6" s="122"/>
      <c r="CY6" s="3"/>
      <c r="CZ6" s="8"/>
      <c r="DA6" s="31" t="e">
        <f>IF(CZ6/(INDEX('Standards for Conversions'!$H$47:$H$73,MATCH(CY$3,'Standards for Conversions'!$A$47:$A$73,0)))=0,"",CZ6/(INDEX('Standards for Conversions'!$H$47:$H$73,MATCH(CY$3,'Standards for Conversions'!$A$47:$A$73,0))))</f>
        <v>#N/A</v>
      </c>
      <c r="DB6" s="122"/>
      <c r="DC6" s="11"/>
      <c r="DD6" s="8"/>
      <c r="DE6" s="31" t="e">
        <f>IF(DD6/(INDEX('Standards for Conversions'!$H$47:$H$73,MATCH(DC$3,'Standards for Conversions'!$A$47:$A$73,0)))=0,"",DD6/(INDEX('Standards for Conversions'!$H$47:$H$73,MATCH(DC$3,'Standards for Conversions'!$A$47:$A$73,0))))</f>
        <v>#N/A</v>
      </c>
      <c r="DF6" s="122"/>
      <c r="DG6" s="3"/>
      <c r="DH6" s="8"/>
      <c r="DI6" s="31" t="e">
        <f>IF(DH6/(INDEX('Standards for Conversions'!$H$47:$H$73,MATCH(DG$3,'Standards for Conversions'!$A$47:$A$73,0)))=0,"",DH6/(INDEX('Standards for Conversions'!$H$47:$H$73,MATCH(DG$3,'Standards for Conversions'!$A$47:$A$73,0))))</f>
        <v>#N/A</v>
      </c>
      <c r="DJ6" s="122"/>
      <c r="DK6" s="3"/>
      <c r="DL6" s="8"/>
      <c r="DM6" s="31" t="e">
        <f>IF(DL6/(INDEX('Standards for Conversions'!$H$47:$H$73,MATCH(DK$3,'Standards for Conversions'!$A$47:$A$73,0)))=0,"",DL6/(INDEX('Standards for Conversions'!$H$47:$H$73,MATCH(DK$3,'Standards for Conversions'!$A$47:$A$73,0))))</f>
        <v>#N/A</v>
      </c>
      <c r="DN6" s="122"/>
      <c r="DO6" s="3"/>
      <c r="DP6" s="8"/>
      <c r="DQ6" s="31" t="e">
        <f>IF(DP6/(INDEX('Standards for Conversions'!$H$47:$H$73,MATCH(DO$3,'Standards for Conversions'!$A$47:$A$73,0)))=0,"",DP6/(INDEX('Standards for Conversions'!$H$47:$H$73,MATCH(DO$3,'Standards for Conversions'!$A$47:$A$73,0))))</f>
        <v>#N/A</v>
      </c>
      <c r="DR6" s="122"/>
      <c r="DS6" s="11"/>
      <c r="DT6" s="8"/>
      <c r="DU6" s="31" t="e">
        <f>IF(DT6/(INDEX('Standards for Conversions'!$H$47:$H$73,MATCH(DS$3,'Standards for Conversions'!$A$47:$A$73,0)))=0,"",DT6/(INDEX('Standards for Conversions'!$H$47:$H$73,MATCH(DS$3,'Standards for Conversions'!$A$47:$A$73,0))))</f>
        <v>#N/A</v>
      </c>
      <c r="DV6" s="122"/>
      <c r="DW6" s="3"/>
      <c r="DX6" s="8"/>
      <c r="DY6" s="31" t="e">
        <f>IF(DX6/(INDEX('Standards for Conversions'!$H$47:$H$73,MATCH(DW$3,'Standards for Conversions'!$A$47:$A$73,0)))=0,"",DX6/(INDEX('Standards for Conversions'!$H$47:$H$73,MATCH(DW$3,'Standards for Conversions'!$A$47:$A$73,0))))</f>
        <v>#N/A</v>
      </c>
      <c r="DZ6" s="122"/>
      <c r="EA6" s="3"/>
      <c r="EB6" s="8"/>
      <c r="EC6" s="31" t="e">
        <f>IF(EB6/(INDEX('Standards for Conversions'!$H$47:$H$73,MATCH(EA$3,'Standards for Conversions'!$A$47:$A$73,0)))=0,"",EB6/(INDEX('Standards for Conversions'!$H$47:$H$73,MATCH(EA$3,'Standards for Conversions'!$A$47:$A$73,0))))</f>
        <v>#N/A</v>
      </c>
      <c r="ED6" s="122"/>
      <c r="EE6" s="3"/>
      <c r="EF6" s="8"/>
      <c r="EG6" s="31" t="e">
        <f>IF(EF6/(INDEX('Standards for Conversions'!$H$47:$H$73,MATCH(EE$3,'Standards for Conversions'!$A$47:$A$73,0)))=0,"",EF6/(INDEX('Standards for Conversions'!$H$47:$H$73,MATCH(EE$3,'Standards for Conversions'!$A$47:$A$73,0))))</f>
        <v>#N/A</v>
      </c>
      <c r="EH6" s="122"/>
      <c r="EI6" s="11"/>
      <c r="EJ6" s="8"/>
      <c r="EK6" s="31" t="e">
        <f>IF(EJ6/(INDEX('Standards for Conversions'!$H$47:$H$73,MATCH(EI$3,'Standards for Conversions'!$A$47:$A$73,0)))=0,"",EJ6/(INDEX('Standards for Conversions'!$H$47:$H$73,MATCH(EI$3,'Standards for Conversions'!$A$47:$A$73,0))))</f>
        <v>#N/A</v>
      </c>
      <c r="EL6" s="122"/>
      <c r="EM6" s="3"/>
      <c r="EN6" s="8"/>
      <c r="EO6" s="31" t="e">
        <f>IF(EN6/(INDEX('Standards for Conversions'!$H$47:$H$73,MATCH(EM$3,'Standards for Conversions'!$A$47:$A$73,0)))=0,"",EN6/(INDEX('Standards for Conversions'!$H$47:$H$73,MATCH(EM$3,'Standards for Conversions'!$A$47:$A$73,0))))</f>
        <v>#N/A</v>
      </c>
      <c r="EP6" s="122"/>
      <c r="EQ6" s="3"/>
      <c r="ER6" s="8"/>
      <c r="ES6" s="31" t="e">
        <f>IF(ER6/(INDEX('Standards for Conversions'!$H$47:$H$73,MATCH(EQ$3,'Standards for Conversions'!$A$47:$A$73,0)))=0,"",ER6/(INDEX('Standards for Conversions'!$H$47:$H$73,MATCH(EQ$3,'Standards for Conversions'!$A$47:$A$73,0))))</f>
        <v>#N/A</v>
      </c>
      <c r="ET6" s="122"/>
      <c r="EU6" s="3"/>
      <c r="EV6" s="8"/>
      <c r="EW6" s="31" t="e">
        <f>IF(EV6/(INDEX('Standards for Conversions'!$H$47:$H$73,MATCH(EU$3,'Standards for Conversions'!$A$47:$A$73,0)))=0,"",EV6/(INDEX('Standards for Conversions'!$H$47:$H$73,MATCH(EU$3,'Standards for Conversions'!$A$47:$A$73,0))))</f>
        <v>#N/A</v>
      </c>
      <c r="EX6" s="122"/>
      <c r="EY6" s="11"/>
      <c r="EZ6" s="8"/>
      <c r="FA6" s="31" t="e">
        <f>IF(EZ6/(INDEX('Standards for Conversions'!$H$47:$H$73,MATCH(EY$3,'Standards for Conversions'!$A$47:$A$73,0)))=0,"",EZ6/(INDEX('Standards for Conversions'!$H$47:$H$73,MATCH(EY$3,'Standards for Conversions'!$A$47:$A$73,0))))</f>
        <v>#N/A</v>
      </c>
      <c r="FB6" s="122"/>
      <c r="FC6" s="3"/>
      <c r="FD6" s="8"/>
      <c r="FE6" s="31" t="e">
        <f>IF(FD6/(INDEX('Standards for Conversions'!$H$47:$H$73,MATCH(FC$3,'Standards for Conversions'!$A$47:$A$73,0)))=0,"",FD6/(INDEX('Standards for Conversions'!$H$47:$H$73,MATCH(FC$3,'Standards for Conversions'!$A$47:$A$73,0))))</f>
        <v>#N/A</v>
      </c>
      <c r="FF6" s="122"/>
      <c r="FG6" s="3"/>
      <c r="FH6" s="8"/>
      <c r="FI6" s="31" t="e">
        <f>IF(FH6/(INDEX('Standards for Conversions'!$H$47:$H$73,MATCH(FG$3,'Standards for Conversions'!$A$47:$A$73,0)))=0,"",FH6/(INDEX('Standards for Conversions'!$H$47:$H$73,MATCH(FG$3,'Standards for Conversions'!$A$47:$A$73,0))))</f>
        <v>#N/A</v>
      </c>
      <c r="FJ6" s="122"/>
      <c r="FK6" s="3"/>
      <c r="FL6" s="8"/>
      <c r="FM6" s="31" t="e">
        <f>IF(FL6/(INDEX('Standards for Conversions'!$H$47:$H$73,MATCH(FK$3,'Standards for Conversions'!$A$47:$A$73,0)))=0,"",FL6/(INDEX('Standards for Conversions'!$H$47:$H$73,MATCH(FK$3,'Standards for Conversions'!$A$47:$A$73,0))))</f>
        <v>#N/A</v>
      </c>
      <c r="FN6" s="122"/>
      <c r="FO6" s="11"/>
      <c r="FP6" s="8"/>
      <c r="FQ6" s="31" t="e">
        <f>IF(FP6/(INDEX('Standards for Conversions'!$H$47:$H$73,MATCH(FO$3,'Standards for Conversions'!$A$47:$A$73,0)))=0,"",FP6/(INDEX('Standards for Conversions'!$H$47:$H$73,MATCH(FO$3,'Standards for Conversions'!$A$47:$A$73,0))))</f>
        <v>#N/A</v>
      </c>
      <c r="FR6" s="122"/>
      <c r="FS6" s="3"/>
      <c r="FT6" s="8"/>
      <c r="FU6" s="31" t="e">
        <f>IF(FT6/(INDEX('Standards for Conversions'!$H$47:$H$73,MATCH(FS$3,'Standards for Conversions'!$A$47:$A$73,0)))=0,"",FT6/(INDEX('Standards for Conversions'!$H$47:$H$73,MATCH(FS$3,'Standards for Conversions'!$A$47:$A$73,0))))</f>
        <v>#N/A</v>
      </c>
      <c r="FV6" s="122"/>
      <c r="FW6" s="3"/>
      <c r="FX6" s="8"/>
      <c r="FY6" s="31" t="e">
        <f>IF(FX6/(INDEX('Standards for Conversions'!$H$47:$H$73,MATCH(FW$3,'Standards for Conversions'!$A$47:$A$73,0)))=0,"",FX6/(INDEX('Standards for Conversions'!$H$47:$H$73,MATCH(FW$3,'Standards for Conversions'!$A$47:$A$73,0))))</f>
        <v>#N/A</v>
      </c>
      <c r="FZ6" s="122"/>
      <c r="GA6" s="3"/>
      <c r="GB6" s="8"/>
      <c r="GC6" s="31" t="e">
        <f>IF(GB6/(INDEX('Standards for Conversions'!$H$47:$H$73,MATCH(GA$3,'Standards for Conversions'!$A$47:$A$73,0)))=0,"",GB6/(INDEX('Standards for Conversions'!$H$47:$H$73,MATCH(GA$3,'Standards for Conversions'!$A$47:$A$73,0))))</f>
        <v>#N/A</v>
      </c>
      <c r="GD6" s="122"/>
      <c r="GE6" s="11"/>
      <c r="GF6" s="8"/>
      <c r="GG6" s="31" t="e">
        <f>IF(GF6/(INDEX('Standards for Conversions'!$H$47:$H$73,MATCH(GE$3,'Standards for Conversions'!$A$47:$A$73,0)))=0,"",GF6/(INDEX('Standards for Conversions'!$H$47:$H$73,MATCH(GE$3,'Standards for Conversions'!$A$47:$A$73,0))))</f>
        <v>#N/A</v>
      </c>
      <c r="GH6" s="122"/>
      <c r="GI6" s="3"/>
      <c r="GJ6" s="8"/>
      <c r="GK6" s="31" t="e">
        <f>IF(GJ6/(INDEX('Standards for Conversions'!$H$47:$H$73,MATCH(GI$3,'Standards for Conversions'!$A$47:$A$73,0)))=0,"",GJ6/(INDEX('Standards for Conversions'!$H$47:$H$73,MATCH(GI$3,'Standards for Conversions'!$A$47:$A$73,0))))</f>
        <v>#N/A</v>
      </c>
      <c r="GL6" s="122"/>
      <c r="GM6" s="3"/>
      <c r="GN6" s="8"/>
      <c r="GO6" s="31" t="e">
        <f>IF(GN6/(INDEX('Standards for Conversions'!$H$47:$H$73,MATCH(GM$3,'Standards for Conversions'!$A$47:$A$73,0)))=0,"",GN6/(INDEX('Standards for Conversions'!$H$47:$H$73,MATCH(GM$3,'Standards for Conversions'!$A$47:$A$73,0))))</f>
        <v>#N/A</v>
      </c>
      <c r="GP6" s="122"/>
      <c r="GQ6" s="3"/>
      <c r="GR6" s="8"/>
      <c r="GS6" s="31" t="e">
        <f>IF(GR6/(INDEX('Standards for Conversions'!$H$47:$H$73,MATCH(GQ$3,'Standards for Conversions'!$A$47:$A$73,0)))=0,"",GR6/(INDEX('Standards for Conversions'!$H$47:$H$73,MATCH(GQ$3,'Standards for Conversions'!$A$47:$A$73,0))))</f>
        <v>#N/A</v>
      </c>
      <c r="GT6" s="122"/>
      <c r="GU6" s="11"/>
      <c r="GV6" s="8"/>
      <c r="GW6" s="31" t="e">
        <f>IF(GV6/(INDEX('Standards for Conversions'!$H$47:$H$73,MATCH(GU$3,'Standards for Conversions'!$A$47:$A$73,0)))=0,"",GV6/(INDEX('Standards for Conversions'!$H$47:$H$73,MATCH(GU$3,'Standards for Conversions'!$A$47:$A$73,0))))</f>
        <v>#N/A</v>
      </c>
      <c r="GX6" s="122"/>
      <c r="GY6" s="3"/>
      <c r="GZ6" s="8"/>
      <c r="HA6" s="31" t="e">
        <f>IF(GZ6/(INDEX('Standards for Conversions'!$H$47:$H$73,MATCH(GY$3,'Standards for Conversions'!$A$47:$A$73,0)))=0,"",GZ6/(INDEX('Standards for Conversions'!$H$47:$H$73,MATCH(GY$3,'Standards for Conversions'!$A$47:$A$73,0))))</f>
        <v>#N/A</v>
      </c>
      <c r="HB6" s="122"/>
      <c r="HC6" s="3"/>
      <c r="HD6" s="8"/>
      <c r="HE6" s="31" t="str">
        <f>IF(HD6/(INDEX('Standards for Conversions'!$H$47:$H$73,MATCH(HC$3,'Standards for Conversions'!$A$47:$A$73,0)))=0,"",HD6/(INDEX('Standards for Conversions'!$H$47:$H$73,MATCH(HC$3,'Standards for Conversions'!$A$47:$A$73,0))))</f>
        <v/>
      </c>
      <c r="HF6" s="122"/>
      <c r="HG6" s="3"/>
      <c r="HH6" s="8"/>
      <c r="HI6" s="31" t="str">
        <f>IF(HH6/(INDEX('Standards for Conversions'!$H$47:$H$73,MATCH(HG$3,'Standards for Conversions'!$A$47:$A$73,0)))=0,"",HH6/(INDEX('Standards for Conversions'!$H$47:$H$73,MATCH(HG$3,'Standards for Conversions'!$A$47:$A$73,0))))</f>
        <v/>
      </c>
      <c r="HJ6" s="122"/>
      <c r="HK6" s="11"/>
      <c r="HL6" s="8"/>
      <c r="HM6" s="31" t="str">
        <f>IF(HL6/(INDEX('Standards for Conversions'!$H$47:$H$73,MATCH(HK$3,'Standards for Conversions'!$A$47:$A$73,0)))=0,"",HL6/(INDEX('Standards for Conversions'!$H$47:$H$73,MATCH(HK$3,'Standards for Conversions'!$A$47:$A$73,0))))</f>
        <v/>
      </c>
      <c r="HN6" s="122"/>
      <c r="HO6" s="3"/>
      <c r="HP6" s="8"/>
      <c r="HQ6" s="31" t="str">
        <f>IF(HP6/(INDEX('Standards for Conversions'!$H$47:$H$73,MATCH(HO$3,'Standards for Conversions'!$A$47:$A$73,0)))=0,"",HP6/(INDEX('Standards for Conversions'!$H$47:$H$73,MATCH(HO$3,'Standards for Conversions'!$A$47:$A$73,0))))</f>
        <v/>
      </c>
      <c r="HR6" s="125"/>
      <c r="HS6" s="43"/>
      <c r="HT6" s="44"/>
      <c r="HU6" s="31" t="str">
        <f>IF(HT6/(INDEX('Standards for Conversions'!$H$47:$H$73,MATCH(HS$3,'Standards for Conversions'!$A$47:$A$73,0)))=0,"",HT6/(INDEX('Standards for Conversions'!$H$47:$H$73,MATCH(HS$3,'Standards for Conversions'!$A$47:$A$73,0))))</f>
        <v/>
      </c>
      <c r="HV6" s="42"/>
      <c r="HW6" s="43"/>
      <c r="HX6" s="44"/>
      <c r="HY6" s="31" t="str">
        <f>IF(HX6/(INDEX('Standards for Conversions'!$H$47:$H$73,MATCH(HW$3,'Standards for Conversions'!$A$47:$A$73,0)))=0,"",HX6/(INDEX('Standards for Conversions'!$H$47:$H$73,MATCH(HW$3,'Standards for Conversions'!$A$47:$A$73,0))))</f>
        <v/>
      </c>
      <c r="HZ6" s="45"/>
      <c r="IA6" s="44"/>
      <c r="IB6" s="31" t="str">
        <f>IF(IA6/(INDEX('Standards for Conversions'!$H$47:$H$73,MATCH(HZ$3,'Standards for Conversions'!$A$47:$A$73,0)))=0,"",IA6/(INDEX('Standards for Conversions'!$H$47:$H$73,MATCH(HZ$3,'Standards for Conversions'!$A$47:$A$73,0))))</f>
        <v/>
      </c>
      <c r="IC6" s="42"/>
      <c r="ID6" s="43"/>
      <c r="IE6" s="44"/>
      <c r="IF6" s="31" t="str">
        <f>IF(IE6/(INDEX('Standards for Conversions'!$H$47:$H$73,MATCH(ID$3,'Standards for Conversions'!$A$47:$A$73,0)))=0,"",IE6/(INDEX('Standards for Conversions'!$H$47:$H$73,MATCH(ID$3,'Standards for Conversions'!$A$47:$A$73,0))))</f>
        <v/>
      </c>
      <c r="IG6" s="42"/>
      <c r="IH6" s="43"/>
      <c r="II6" s="44"/>
      <c r="IJ6" s="31" t="str">
        <f>IF(II6/(INDEX('Standards for Conversions'!$H$47:$H$73,MATCH(IH$3,'Standards for Conversions'!$A$47:$A$73,0)))=0,"",II6/(INDEX('Standards for Conversions'!$H$47:$H$73,MATCH(IH$3,'Standards for Conversions'!$A$47:$A$73,0))))</f>
        <v/>
      </c>
      <c r="IK6" s="42"/>
      <c r="IL6" s="43"/>
      <c r="IM6" s="44"/>
      <c r="IN6" s="31" t="str">
        <f>IF(IM6/(INDEX('Standards for Conversions'!$H$47:$H$73,MATCH(IL$3,'Standards for Conversions'!$A$47:$A$73,0)))=0,"",IM6/(INDEX('Standards for Conversions'!$H$47:$H$73,MATCH(IL$3,'Standards for Conversions'!$A$47:$A$73,0))))</f>
        <v/>
      </c>
      <c r="IO6" s="42"/>
      <c r="IP6" s="43"/>
      <c r="IQ6" s="44"/>
      <c r="IR6" s="31" t="str">
        <f>IF(IQ6/(INDEX('Standards for Conversions'!$H$47:$H$73,MATCH(IP$3,'Standards for Conversions'!$A$47:$A$73,0)))=0,"",IQ6/(INDEX('Standards for Conversions'!$H$47:$H$73,MATCH(IP$3,'Standards for Conversions'!$A$47:$A$73,0))))</f>
        <v/>
      </c>
      <c r="IS6" s="42"/>
      <c r="IT6" s="43"/>
      <c r="IU6" s="44"/>
      <c r="IV6" s="31" t="str">
        <f>IF(IU6/(INDEX('Standards for Conversions'!$H$47:$H$73,MATCH(IT$3,'Standards for Conversions'!$A$47:$A$73,0)))=0,"",IU6/(INDEX('Standards for Conversions'!$H$47:$H$73,MATCH(IT$3,'Standards for Conversions'!$A$47:$A$73,0))))</f>
        <v/>
      </c>
      <c r="IW6" s="42"/>
      <c r="IZ6" s="31" t="str">
        <f>IF(IY6/(INDEX('Standards for Conversions'!$H$47:$H$73,MATCH(IX$3,'Standards for Conversions'!$A$47:$A$73,0)))=0,"",IY6/(INDEX('Standards for Conversions'!$H$47:$H$73,MATCH(IX$3,'Standards for Conversions'!$A$47:$A$73,0))))</f>
        <v/>
      </c>
      <c r="JA6" s="46"/>
      <c r="JD6" s="31" t="str">
        <f>IF(JC6/(INDEX('Standards for Conversions'!$H$47:$H$73,MATCH(JB$3,'Standards for Conversions'!$A$47:$A$73,0)))=0,"",JC6/(INDEX('Standards for Conversions'!$H$47:$H$73,MATCH(JB$3,'Standards for Conversions'!$A$47:$A$73,0))))</f>
        <v/>
      </c>
      <c r="JE6" s="46"/>
      <c r="JH6" s="31" t="str">
        <f>IF(JG6/(INDEX('Standards for Conversions'!$H$47:$H$73,MATCH(JF$3,'Standards for Conversions'!$A$47:$A$73,0)))=0,"",JG6/(INDEX('Standards for Conversions'!$H$47:$H$73,MATCH(JF$3,'Standards for Conversions'!$A$47:$A$73,0))))</f>
        <v/>
      </c>
      <c r="JI6" s="46"/>
      <c r="JJ6" s="43"/>
      <c r="JK6" s="44"/>
      <c r="JL6" s="31" t="str">
        <f>IF(JK6/(INDEX('Standards for Conversions'!$H$47:$H$73,MATCH(JJ$3,'Standards for Conversions'!$A$47:$A$73,0)))=0,"",JK6/(INDEX('Standards for Conversions'!$H$47:$H$73,MATCH(JJ$3,'Standards for Conversions'!$A$47:$A$73,0))))</f>
        <v/>
      </c>
      <c r="JM6" s="42"/>
      <c r="JP6" s="31" t="str">
        <f>IF(JO6/(INDEX('Standards for Conversions'!$H$47:$H$73,MATCH(JN$3,'Standards for Conversions'!$A$47:$A$73,0)))=0,"",JO6/(INDEX('Standards for Conversions'!$H$47:$H$73,MATCH(JN$3,'Standards for Conversions'!$A$47:$A$73,0))))</f>
        <v/>
      </c>
      <c r="JQ6" s="42"/>
      <c r="JT6" s="31" t="str">
        <f>IF(JS6/(INDEX('Standards for Conversions'!$H$47:$H$73,MATCH(JR$3,'Standards for Conversions'!$A$47:$A$73,0)))=0,"",JS6/(INDEX('Standards for Conversions'!$H$47:$H$73,MATCH(JR$3,'Standards for Conversions'!$A$47:$A$73,0))))</f>
        <v/>
      </c>
      <c r="JU6" s="42"/>
      <c r="JV6" s="43"/>
      <c r="JW6" s="44"/>
      <c r="JX6" s="31" t="str">
        <f>IF(JW6/(INDEX('Standards for Conversions'!$H$47:$H$73,MATCH(JV$3,'Standards for Conversions'!$A$47:$A$73,0)))=0,"",JW6/(INDEX('Standards for Conversions'!$H$47:$H$73,MATCH(JV$3,'Standards for Conversions'!$A$47:$A$73,0))))</f>
        <v/>
      </c>
      <c r="JY6" s="42"/>
      <c r="JZ6" s="43"/>
      <c r="KA6" s="44"/>
      <c r="KB6" s="31" t="str">
        <f>IF(KA6/(INDEX('Standards for Conversions'!$H$47:$H$73,MATCH(JZ$3,'Standards for Conversions'!$A$47:$A$73,0)))=0,"",KA6/(INDEX('Standards for Conversions'!$H$47:$H$73,MATCH(JZ$3,'Standards for Conversions'!$A$47:$A$73,0))))</f>
        <v/>
      </c>
      <c r="KC6" s="42"/>
      <c r="KF6" s="31" t="str">
        <f>IF(KE6/(INDEX('Standards for Conversions'!$H$47:$H$73,MATCH(KD$3,'Standards for Conversions'!$A$47:$A$73,0)))=0,"",KE6/(INDEX('Standards for Conversions'!$H$47:$H$73,MATCH(KD$3,'Standards for Conversions'!$A$47:$A$73,0))))</f>
        <v/>
      </c>
      <c r="KG6" s="42"/>
      <c r="KJ6" s="31" t="str">
        <f>IF(KI6/(INDEX('Standards for Conversions'!$H$47:$H$73,MATCH(KH$3,'Standards for Conversions'!$A$47:$A$73,0)))=0,"",KI6/(INDEX('Standards for Conversions'!$H$47:$H$73,MATCH(KH$3,'Standards for Conversions'!$A$47:$A$73,0))))</f>
        <v/>
      </c>
      <c r="KK6" s="42"/>
      <c r="KL6" s="43"/>
      <c r="KM6" s="44"/>
      <c r="KN6" s="31" t="str">
        <f>IF(KM6/(INDEX('Standards for Conversions'!$H$47:$H$73,MATCH(KL$3,'Standards for Conversions'!$A$47:$A$73,0)))=0,"",KM6/(INDEX('Standards for Conversions'!$H$47:$H$73,MATCH(KL$3,'Standards for Conversions'!$A$47:$A$73,0))))</f>
        <v/>
      </c>
      <c r="KO6" s="42"/>
      <c r="KP6" s="43"/>
      <c r="KQ6" s="44"/>
      <c r="KR6" s="31" t="str">
        <f>IF(KQ6/(INDEX('Standards for Conversions'!$H$47:$H$73,MATCH(KP$3,'Standards for Conversions'!$A$47:$A$73,0)))=0,"",KQ6/(INDEX('Standards for Conversions'!$H$47:$H$73,MATCH(KP$3,'Standards for Conversions'!$A$47:$A$73,0))))</f>
        <v/>
      </c>
      <c r="KS6" s="42"/>
      <c r="KV6" s="31" t="str">
        <f>IF(KU6/(INDEX('Standards for Conversions'!$H$47:$H$73,MATCH(KT$3,'Standards for Conversions'!$A$47:$A$73,0)))=0,"",KU6/(INDEX('Standards for Conversions'!$H$47:$H$73,MATCH(KT$3,'Standards for Conversions'!$A$47:$A$73,0))))</f>
        <v/>
      </c>
      <c r="KW6" s="46"/>
      <c r="KZ6" s="31" t="str">
        <f>IF(KY6/(INDEX('Standards for Conversions'!$H$47:$H$73,MATCH(KX$3,'Standards for Conversions'!$A$47:$A$73,0)))=0,"",KY6/(INDEX('Standards for Conversions'!$H$47:$H$73,MATCH(KX$3,'Standards for Conversions'!$A$47:$A$73,0))))</f>
        <v/>
      </c>
      <c r="LA6" s="42"/>
      <c r="LB6" s="43"/>
      <c r="LC6" s="44"/>
      <c r="LD6" s="31" t="str">
        <f>IF(LC6/(INDEX('Standards for Conversions'!$H$47:$H$73,MATCH(LB$3,'Standards for Conversions'!$A$47:$A$73,0)))=0,"",LC6/(INDEX('Standards for Conversions'!$H$47:$H$73,MATCH(LB$3,'Standards for Conversions'!$A$47:$A$73,0))))</f>
        <v/>
      </c>
      <c r="LE6" s="46"/>
      <c r="LF6" s="43"/>
      <c r="LG6" s="44"/>
      <c r="LH6" s="31" t="str">
        <f>IF(LG6/(INDEX('Standards for Conversions'!$H$47:$H$73,MATCH(LF$3,'Standards for Conversions'!$A$47:$A$73,0)))=0,"",LG6/(INDEX('Standards for Conversions'!$H$47:$H$73,MATCH(LF$3,'Standards for Conversions'!$A$47:$A$73,0))))</f>
        <v/>
      </c>
      <c r="LI6" s="33"/>
      <c r="LJ6" s="43"/>
      <c r="LK6" s="44"/>
      <c r="LL6" s="31" t="str">
        <f>IF(LK6/(INDEX('Standards for Conversions'!$H$47:$H$73,MATCH(LJ$3,'Standards for Conversions'!$A$47:$A$73,0)))=0,"",LK6/(INDEX('Standards for Conversions'!$H$47:$H$73,MATCH(LJ$3,'Standards for Conversions'!$A$47:$A$73,0))))</f>
        <v/>
      </c>
      <c r="LM6" s="43"/>
      <c r="LN6" s="44"/>
      <c r="LO6" s="31" t="str">
        <f>IF(LN6/(INDEX('Standards for Conversions'!$H$47:$H$73,MATCH(LM$3,'Standards for Conversions'!$A$47:$A$73,0)))=0,"",LN6/(INDEX('Standards for Conversions'!$H$47:$H$73,MATCH(LM$3,'Standards for Conversions'!$A$47:$A$73,0))))</f>
        <v/>
      </c>
      <c r="LP6" s="43"/>
      <c r="LQ6" s="44"/>
      <c r="LR6" s="31" t="str">
        <f>IF(LQ6/(INDEX('Standards for Conversions'!$H$47:$H$73,MATCH(LP$3,'Standards for Conversions'!$A$47:$A$73,0)))=0,"",LQ6/(INDEX('Standards for Conversions'!$H$47:$H$73,MATCH(LP$3,'Standards for Conversions'!$A$47:$A$73,0))))</f>
        <v/>
      </c>
      <c r="LS6" s="33"/>
      <c r="LT6" s="43"/>
      <c r="LU6" s="44"/>
      <c r="LV6" s="31" t="str">
        <f>IF(LU6/(INDEX('Standards for Conversions'!$H$47:$H$73,MATCH(LT$3,'Standards for Conversions'!$A$47:$A$73,0)))=0,"",LU6/(INDEX('Standards for Conversions'!$H$47:$H$73,MATCH(LT$3,'Standards for Conversions'!$A$47:$A$73,0))))</f>
        <v/>
      </c>
      <c r="LW6" s="43"/>
      <c r="LX6" s="44"/>
      <c r="LY6" s="31" t="str">
        <f>IF(LX6/(INDEX('Standards for Conversions'!$H$47:$H$73,MATCH(LW$3,'Standards for Conversions'!$A$47:$A$73,0)))=0,"",LX6/(INDEX('Standards for Conversions'!$H$47:$H$73,MATCH(LW$3,'Standards for Conversions'!$A$47:$A$73,0))))</f>
        <v/>
      </c>
      <c r="LZ6" s="43"/>
      <c r="MA6" s="44"/>
      <c r="MB6" s="31" t="str">
        <f>IF(MA6/(INDEX('Standards for Conversions'!$H$47:$H$73,MATCH(LZ$3,'Standards for Conversions'!$A$47:$A$73,0)))=0,"",MA6/(INDEX('Standards for Conversions'!$H$47:$H$73,MATCH(LZ$3,'Standards for Conversions'!$A$47:$A$73,0))))</f>
        <v/>
      </c>
      <c r="MC6" s="43"/>
      <c r="MD6" s="44"/>
      <c r="ME6" s="31" t="str">
        <f>IF(MD6/(INDEX('Standards for Conversions'!$H$47:$H$73,MATCH(MC$3,'Standards for Conversions'!$A$47:$A$73,0)))=0,"",MD6/(INDEX('Standards for Conversions'!$H$47:$H$73,MATCH(MC$3,'Standards for Conversions'!$A$47:$A$73,0))))</f>
        <v/>
      </c>
      <c r="MF6" s="43"/>
      <c r="MG6" s="44"/>
      <c r="MH6" s="31" t="str">
        <f>IF(MG6/(INDEX('Standards for Conversions'!$H$47:$H$73,MATCH(MF$3,'Standards for Conversions'!$A$47:$A$73,0)))=0,"",MG6/(INDEX('Standards for Conversions'!$H$47:$H$73,MATCH(MF$3,'Standards for Conversions'!$A$47:$A$73,0))))</f>
        <v/>
      </c>
      <c r="MI6" s="43"/>
      <c r="MJ6" s="44"/>
      <c r="MK6" s="31" t="str">
        <f>IF(MJ6/(INDEX('Standards for Conversions'!$H$47:$H$73,MATCH(MI$3,'Standards for Conversions'!$A$47:$A$73,0)))=0,"",MJ6/(INDEX('Standards for Conversions'!$H$47:$H$73,MATCH(MI$3,'Standards for Conversions'!$A$47:$A$73,0))))</f>
        <v/>
      </c>
      <c r="ML6" s="43"/>
      <c r="MM6" s="44"/>
      <c r="MN6" s="31" t="str">
        <f>IF(MM6/(INDEX('Standards for Conversions'!$H$47:$H$73,MATCH(ML$3,'Standards for Conversions'!$A$47:$A$73,0)))=0,"",MM6/(INDEX('Standards for Conversions'!$H$47:$H$73,MATCH(ML$3,'Standards for Conversions'!$A$47:$A$73,0))))</f>
        <v/>
      </c>
      <c r="MO6" s="42"/>
      <c r="MP6" s="45"/>
      <c r="MQ6" s="44"/>
      <c r="MR6" s="31" t="str">
        <f>IF(MQ6/(INDEX('Standards for Conversions'!$H$47:$H$73,MATCH(MP$3,'Standards for Conversions'!$A$47:$A$73,0)))=0,"",MQ6/(INDEX('Standards for Conversions'!$H$47:$H$73,MATCH(MP$3,'Standards for Conversions'!$A$47:$A$73,0))))</f>
        <v/>
      </c>
      <c r="MS6" s="42"/>
      <c r="MT6" s="45"/>
      <c r="MU6" s="44"/>
      <c r="MV6" s="43"/>
      <c r="MW6" s="44"/>
      <c r="MX6" s="43"/>
      <c r="MY6" s="44"/>
      <c r="MZ6" s="33"/>
      <c r="NE6" s="33" t="s">
        <v>18</v>
      </c>
      <c r="NF6" s="29">
        <v>5583600</v>
      </c>
      <c r="NG6" s="29">
        <v>26057</v>
      </c>
      <c r="NH6" s="29">
        <v>9350000</v>
      </c>
      <c r="NI6" s="29">
        <v>40704</v>
      </c>
    </row>
    <row r="7" spans="1:373" s="33" customFormat="1" ht="15.6" hidden="1" x14ac:dyDescent="0.3">
      <c r="A7" s="103" t="s">
        <v>204</v>
      </c>
      <c r="B7" s="10" t="s">
        <v>40</v>
      </c>
      <c r="C7" s="3"/>
      <c r="D7" s="8"/>
      <c r="E7" s="31" t="e">
        <f>IF(D7/(INDEX('Standards for Conversions'!$H$47:$H$73,MATCH(C$3,'Standards for Conversions'!$A$47:$A$73,0)))=0,"",D7/(INDEX('Standards for Conversions'!$H$47:$H$73,MATCH(C$3,'Standards for Conversions'!$A$47:$A$73,0))))</f>
        <v>#N/A</v>
      </c>
      <c r="F7" s="10" t="s">
        <v>40</v>
      </c>
      <c r="G7" s="3"/>
      <c r="H7" s="8"/>
      <c r="I7" s="31" t="e">
        <f>IF(H7/(INDEX('Standards for Conversions'!$H$47:$H$73,MATCH(G$3,'Standards for Conversions'!$A$47:$A$73,0)))=0,"",H7/(INDEX('Standards for Conversions'!$H$47:$H$73,MATCH(G$3,'Standards for Conversions'!$A$47:$A$73,0))))</f>
        <v>#N/A</v>
      </c>
      <c r="J7" s="10" t="s">
        <v>40</v>
      </c>
      <c r="K7" s="11"/>
      <c r="L7" s="8"/>
      <c r="M7" s="31" t="e">
        <f>IF(L7/(INDEX('Standards for Conversions'!$H$47:$H$73,MATCH(K$3,'Standards for Conversions'!$A$47:$A$73,0)))=0,"",L7/(INDEX('Standards for Conversions'!$H$47:$H$73,MATCH(K$3,'Standards for Conversions'!$A$47:$A$73,0))))</f>
        <v>#N/A</v>
      </c>
      <c r="N7" s="10" t="s">
        <v>40</v>
      </c>
      <c r="O7" s="3"/>
      <c r="P7" s="8"/>
      <c r="Q7" s="31" t="e">
        <f>IF(P7/(INDEX('Standards for Conversions'!$H$47:$H$73,MATCH(O$3,'Standards for Conversions'!$A$47:$A$73,0)))=0,"",P7/(INDEX('Standards for Conversions'!$H$47:$H$73,MATCH(O$3,'Standards for Conversions'!$A$47:$A$73,0))))</f>
        <v>#N/A</v>
      </c>
      <c r="R7" s="10" t="s">
        <v>40</v>
      </c>
      <c r="S7" s="3"/>
      <c r="T7" s="8"/>
      <c r="U7" s="31" t="e">
        <f>IF(T7/(INDEX('Standards for Conversions'!$H$47:$H$73,MATCH(S$3,'Standards for Conversions'!$A$47:$A$73,0)))=0,"",T7/(INDEX('Standards for Conversions'!$H$47:$H$73,MATCH(S$3,'Standards for Conversions'!$A$47:$A$73,0))))</f>
        <v>#N/A</v>
      </c>
      <c r="V7" s="10" t="s">
        <v>40</v>
      </c>
      <c r="W7" s="3"/>
      <c r="X7" s="8"/>
      <c r="Y7" s="31" t="e">
        <f>IF(X7/(INDEX('Standards for Conversions'!$H$47:$H$73,MATCH(W$3,'Standards for Conversions'!$A$47:$A$73,0)))=0,"",X7/(INDEX('Standards for Conversions'!$H$47:$H$73,MATCH(W$3,'Standards for Conversions'!$A$47:$A$73,0))))</f>
        <v>#N/A</v>
      </c>
      <c r="Z7" s="10" t="s">
        <v>40</v>
      </c>
      <c r="AA7" s="11"/>
      <c r="AB7" s="8"/>
      <c r="AC7" s="31" t="e">
        <f>IF(AB7/(INDEX('Standards for Conversions'!$H$47:$H$73,MATCH(AA$3,'Standards for Conversions'!$A$47:$A$73,0)))=0,"",AB7/(INDEX('Standards for Conversions'!$H$47:$H$73,MATCH(AA$3,'Standards for Conversions'!$A$47:$A$73,0))))</f>
        <v>#N/A</v>
      </c>
      <c r="AD7" s="10" t="s">
        <v>40</v>
      </c>
      <c r="AE7" s="3"/>
      <c r="AF7" s="8"/>
      <c r="AG7" s="31" t="e">
        <f>IF(AF7/(INDEX('Standards for Conversions'!$H$47:$H$73,MATCH(AE$3,'Standards for Conversions'!$A$47:$A$73,0)))=0,"",AF7/(INDEX('Standards for Conversions'!$H$47:$H$73,MATCH(AE$3,'Standards for Conversions'!$A$47:$A$73,0))))</f>
        <v>#N/A</v>
      </c>
      <c r="AH7" s="10" t="s">
        <v>40</v>
      </c>
      <c r="AI7" s="3"/>
      <c r="AJ7" s="8"/>
      <c r="AK7" s="31" t="e">
        <f>IF(AJ7/(INDEX('Standards for Conversions'!$H$47:$H$73,MATCH(AI$3,'Standards for Conversions'!$A$47:$A$73,0)))=0,"",AJ7/(INDEX('Standards for Conversions'!$H$47:$H$73,MATCH(AI$3,'Standards for Conversions'!$A$47:$A$73,0))))</f>
        <v>#N/A</v>
      </c>
      <c r="AL7" s="10" t="s">
        <v>40</v>
      </c>
      <c r="AM7" s="3"/>
      <c r="AN7" s="8"/>
      <c r="AO7" s="31" t="e">
        <f>IF(AN7/(INDEX('Standards for Conversions'!$H$47:$H$73,MATCH(AM$3,'Standards for Conversions'!$A$47:$A$73,0)))=0,"",AN7/(INDEX('Standards for Conversions'!$H$47:$H$73,MATCH(AM$3,'Standards for Conversions'!$A$47:$A$73,0))))</f>
        <v>#N/A</v>
      </c>
      <c r="AP7" s="10" t="s">
        <v>40</v>
      </c>
      <c r="AQ7" s="11"/>
      <c r="AR7" s="8"/>
      <c r="AS7" s="31" t="e">
        <f>IF(AR7/(INDEX('Standards for Conversions'!$H$47:$H$73,MATCH(AQ$3,'Standards for Conversions'!$A$47:$A$73,0)))=0,"",AR7/(INDEX('Standards for Conversions'!$H$47:$H$73,MATCH(AQ$3,'Standards for Conversions'!$A$47:$A$73,0))))</f>
        <v>#N/A</v>
      </c>
      <c r="AT7" s="10" t="s">
        <v>40</v>
      </c>
      <c r="AU7" s="3"/>
      <c r="AV7" s="8"/>
      <c r="AW7" s="31" t="e">
        <f>IF(AV7/(INDEX('Standards for Conversions'!$H$47:$H$73,MATCH(AU$3,'Standards for Conversions'!$A$47:$A$73,0)))=0,"",AV7/(INDEX('Standards for Conversions'!$H$47:$H$73,MATCH(AU$3,'Standards for Conversions'!$A$47:$A$73,0))))</f>
        <v>#N/A</v>
      </c>
      <c r="AX7" s="10" t="s">
        <v>40</v>
      </c>
      <c r="AY7" s="3"/>
      <c r="AZ7" s="8"/>
      <c r="BA7" s="31" t="e">
        <f>IF(AZ7/(INDEX('Standards for Conversions'!$H$47:$H$73,MATCH(AY$3,'Standards for Conversions'!$A$47:$A$73,0)))=0,"",AZ7/(INDEX('Standards for Conversions'!$H$47:$H$73,MATCH(AY$3,'Standards for Conversions'!$A$47:$A$73,0))))</f>
        <v>#N/A</v>
      </c>
      <c r="BB7" s="10" t="s">
        <v>40</v>
      </c>
      <c r="BC7" s="3"/>
      <c r="BD7" s="8"/>
      <c r="BE7" s="31" t="e">
        <f>IF(BD7/(INDEX('Standards for Conversions'!$H$47:$H$73,MATCH(BC$3,'Standards for Conversions'!$A$47:$A$73,0)))=0,"",BD7/(INDEX('Standards for Conversions'!$H$47:$H$73,MATCH(BC$3,'Standards for Conversions'!$A$47:$A$73,0))))</f>
        <v>#N/A</v>
      </c>
      <c r="BF7" s="10" t="s">
        <v>40</v>
      </c>
      <c r="BG7" s="11"/>
      <c r="BH7" s="8"/>
      <c r="BI7" s="31" t="e">
        <f>IF(BH7/(INDEX('Standards for Conversions'!$H$47:$H$73,MATCH(BG$3,'Standards for Conversions'!$A$47:$A$73,0)))=0,"",BH7/(INDEX('Standards for Conversions'!$H$47:$H$73,MATCH(BG$3,'Standards for Conversions'!$A$47:$A$73,0))))</f>
        <v>#N/A</v>
      </c>
      <c r="BJ7" s="10" t="s">
        <v>40</v>
      </c>
      <c r="BK7" s="3"/>
      <c r="BL7" s="8"/>
      <c r="BM7" s="31" t="e">
        <f>IF(BL7/(INDEX('Standards for Conversions'!$H$47:$H$73,MATCH(BK$3,'Standards for Conversions'!$A$47:$A$73,0)))=0,"",BL7/(INDEX('Standards for Conversions'!$H$47:$H$73,MATCH(BK$3,'Standards for Conversions'!$A$47:$A$73,0))))</f>
        <v>#N/A</v>
      </c>
      <c r="BN7" s="10" t="s">
        <v>40</v>
      </c>
      <c r="BO7" s="3"/>
      <c r="BP7" s="8"/>
      <c r="BQ7" s="31" t="e">
        <f>IF(BP7/(INDEX('Standards for Conversions'!$H$47:$H$73,MATCH(BO$3,'Standards for Conversions'!$A$47:$A$73,0)))=0,"",BP7/(INDEX('Standards for Conversions'!$H$47:$H$73,MATCH(BO$3,'Standards for Conversions'!$A$47:$A$73,0))))</f>
        <v>#N/A</v>
      </c>
      <c r="BR7" s="10" t="s">
        <v>40</v>
      </c>
      <c r="BS7" s="3"/>
      <c r="BT7" s="8"/>
      <c r="BU7" s="31" t="e">
        <f>IF(BT7/(INDEX('Standards for Conversions'!$H$47:$H$73,MATCH(BS$3,'Standards for Conversions'!$A$47:$A$73,0)))=0,"",BT7/(INDEX('Standards for Conversions'!$H$47:$H$73,MATCH(BS$3,'Standards for Conversions'!$A$47:$A$73,0))))</f>
        <v>#N/A</v>
      </c>
      <c r="BV7" s="10" t="s">
        <v>40</v>
      </c>
      <c r="BW7" s="11"/>
      <c r="BX7" s="8"/>
      <c r="BY7" s="31" t="e">
        <f>IF(BX7/(INDEX('Standards for Conversions'!$H$47:$H$73,MATCH(BW$3,'Standards for Conversions'!$A$47:$A$73,0)))=0,"",BX7/(INDEX('Standards for Conversions'!$H$47:$H$73,MATCH(BW$3,'Standards for Conversions'!$A$47:$A$73,0))))</f>
        <v>#N/A</v>
      </c>
      <c r="BZ7" s="10" t="s">
        <v>40</v>
      </c>
      <c r="CA7" s="3"/>
      <c r="CB7" s="8"/>
      <c r="CC7" s="31" t="e">
        <f>IF(CB7/(INDEX('Standards for Conversions'!$H$47:$H$73,MATCH(CA$3,'Standards for Conversions'!$A$47:$A$73,0)))=0,"",CB7/(INDEX('Standards for Conversions'!$H$47:$H$73,MATCH(CA$3,'Standards for Conversions'!$A$47:$A$73,0))))</f>
        <v>#N/A</v>
      </c>
      <c r="CD7" s="10" t="s">
        <v>40</v>
      </c>
      <c r="CE7" s="3"/>
      <c r="CF7" s="8"/>
      <c r="CG7" s="31" t="e">
        <f>IF(CF7/(INDEX('Standards for Conversions'!$H$47:$H$73,MATCH(CE$3,'Standards for Conversions'!$A$47:$A$73,0)))=0,"",CF7/(INDEX('Standards for Conversions'!$H$47:$H$73,MATCH(CE$3,'Standards for Conversions'!$A$47:$A$73,0))))</f>
        <v>#N/A</v>
      </c>
      <c r="CH7" s="10" t="s">
        <v>40</v>
      </c>
      <c r="CI7" s="3"/>
      <c r="CJ7" s="8"/>
      <c r="CK7" s="31" t="e">
        <f>IF(CJ7/(INDEX('Standards for Conversions'!$H$47:$H$73,MATCH(CI$3,'Standards for Conversions'!$A$47:$A$73,0)))=0,"",CJ7/(INDEX('Standards for Conversions'!$H$47:$H$73,MATCH(CI$3,'Standards for Conversions'!$A$47:$A$73,0))))</f>
        <v>#N/A</v>
      </c>
      <c r="CL7" s="10" t="s">
        <v>40</v>
      </c>
      <c r="CM7" s="11"/>
      <c r="CN7" s="8"/>
      <c r="CO7" s="31" t="e">
        <f>IF(CN7/(INDEX('Standards for Conversions'!$H$47:$H$73,MATCH(CM$3,'Standards for Conversions'!$A$47:$A$73,0)))=0,"",CN7/(INDEX('Standards for Conversions'!$H$47:$H$73,MATCH(CM$3,'Standards for Conversions'!$A$47:$A$73,0))))</f>
        <v>#N/A</v>
      </c>
      <c r="CP7" s="10" t="s">
        <v>40</v>
      </c>
      <c r="CQ7" s="3"/>
      <c r="CR7" s="8"/>
      <c r="CS7" s="31" t="e">
        <f>IF(CR7/(INDEX('Standards for Conversions'!$H$47:$H$73,MATCH(CQ$3,'Standards for Conversions'!$A$47:$A$73,0)))=0,"",CR7/(INDEX('Standards for Conversions'!$H$47:$H$73,MATCH(CQ$3,'Standards for Conversions'!$A$47:$A$73,0))))</f>
        <v>#N/A</v>
      </c>
      <c r="CT7" s="10" t="s">
        <v>40</v>
      </c>
      <c r="CU7" s="3"/>
      <c r="CV7" s="8"/>
      <c r="CW7" s="31" t="e">
        <f>IF(CV7/(INDEX('Standards for Conversions'!$H$47:$H$73,MATCH(CU$3,'Standards for Conversions'!$A$47:$A$73,0)))=0,"",CV7/(INDEX('Standards for Conversions'!$H$47:$H$73,MATCH(CU$3,'Standards for Conversions'!$A$47:$A$73,0))))</f>
        <v>#N/A</v>
      </c>
      <c r="CX7" s="10" t="s">
        <v>40</v>
      </c>
      <c r="CY7" s="3"/>
      <c r="CZ7" s="8"/>
      <c r="DA7" s="31" t="e">
        <f>IF(CZ7/(INDEX('Standards for Conversions'!$H$47:$H$73,MATCH(CY$3,'Standards for Conversions'!$A$47:$A$73,0)))=0,"",CZ7/(INDEX('Standards for Conversions'!$H$47:$H$73,MATCH(CY$3,'Standards for Conversions'!$A$47:$A$73,0))))</f>
        <v>#N/A</v>
      </c>
      <c r="DB7" s="10" t="s">
        <v>40</v>
      </c>
      <c r="DC7" s="11"/>
      <c r="DD7" s="8"/>
      <c r="DE7" s="31" t="e">
        <f>IF(DD7/(INDEX('Standards for Conversions'!$H$47:$H$73,MATCH(DC$3,'Standards for Conversions'!$A$47:$A$73,0)))=0,"",DD7/(INDEX('Standards for Conversions'!$H$47:$H$73,MATCH(DC$3,'Standards for Conversions'!$A$47:$A$73,0))))</f>
        <v>#N/A</v>
      </c>
      <c r="DF7" s="10" t="s">
        <v>40</v>
      </c>
      <c r="DG7" s="3"/>
      <c r="DH7" s="8"/>
      <c r="DI7" s="31" t="e">
        <f>IF(DH7/(INDEX('Standards for Conversions'!$H$47:$H$73,MATCH(DG$3,'Standards for Conversions'!$A$47:$A$73,0)))=0,"",DH7/(INDEX('Standards for Conversions'!$H$47:$H$73,MATCH(DG$3,'Standards for Conversions'!$A$47:$A$73,0))))</f>
        <v>#N/A</v>
      </c>
      <c r="DJ7" s="10" t="s">
        <v>40</v>
      </c>
      <c r="DK7" s="3"/>
      <c r="DL7" s="8"/>
      <c r="DM7" s="31" t="e">
        <f>IF(DL7/(INDEX('Standards for Conversions'!$H$47:$H$73,MATCH(DK$3,'Standards for Conversions'!$A$47:$A$73,0)))=0,"",DL7/(INDEX('Standards for Conversions'!$H$47:$H$73,MATCH(DK$3,'Standards for Conversions'!$A$47:$A$73,0))))</f>
        <v>#N/A</v>
      </c>
      <c r="DN7" s="10" t="s">
        <v>40</v>
      </c>
      <c r="DO7" s="3"/>
      <c r="DP7" s="8"/>
      <c r="DQ7" s="31" t="e">
        <f>IF(DP7/(INDEX('Standards for Conversions'!$H$47:$H$73,MATCH(DO$3,'Standards for Conversions'!$A$47:$A$73,0)))=0,"",DP7/(INDEX('Standards for Conversions'!$H$47:$H$73,MATCH(DO$3,'Standards for Conversions'!$A$47:$A$73,0))))</f>
        <v>#N/A</v>
      </c>
      <c r="DR7" s="10" t="s">
        <v>40</v>
      </c>
      <c r="DS7" s="11"/>
      <c r="DT7" s="8"/>
      <c r="DU7" s="31" t="e">
        <f>IF(DT7/(INDEX('Standards for Conversions'!$H$47:$H$73,MATCH(DS$3,'Standards for Conversions'!$A$47:$A$73,0)))=0,"",DT7/(INDEX('Standards for Conversions'!$H$47:$H$73,MATCH(DS$3,'Standards for Conversions'!$A$47:$A$73,0))))</f>
        <v>#N/A</v>
      </c>
      <c r="DV7" s="10" t="s">
        <v>40</v>
      </c>
      <c r="DW7" s="3"/>
      <c r="DX7" s="8"/>
      <c r="DY7" s="31" t="e">
        <f>IF(DX7/(INDEX('Standards for Conversions'!$H$47:$H$73,MATCH(DW$3,'Standards for Conversions'!$A$47:$A$73,0)))=0,"",DX7/(INDEX('Standards for Conversions'!$H$47:$H$73,MATCH(DW$3,'Standards for Conversions'!$A$47:$A$73,0))))</f>
        <v>#N/A</v>
      </c>
      <c r="DZ7" s="10" t="s">
        <v>40</v>
      </c>
      <c r="EA7" s="3"/>
      <c r="EB7" s="8"/>
      <c r="EC7" s="31" t="e">
        <f>IF(EB7/(INDEX('Standards for Conversions'!$H$47:$H$73,MATCH(EA$3,'Standards for Conversions'!$A$47:$A$73,0)))=0,"",EB7/(INDEX('Standards for Conversions'!$H$47:$H$73,MATCH(EA$3,'Standards for Conversions'!$A$47:$A$73,0))))</f>
        <v>#N/A</v>
      </c>
      <c r="ED7" s="10" t="s">
        <v>40</v>
      </c>
      <c r="EE7" s="3"/>
      <c r="EF7" s="8"/>
      <c r="EG7" s="31" t="e">
        <f>IF(EF7/(INDEX('Standards for Conversions'!$H$47:$H$73,MATCH(EE$3,'Standards for Conversions'!$A$47:$A$73,0)))=0,"",EF7/(INDEX('Standards for Conversions'!$H$47:$H$73,MATCH(EE$3,'Standards for Conversions'!$A$47:$A$73,0))))</f>
        <v>#N/A</v>
      </c>
      <c r="EH7" s="10" t="s">
        <v>40</v>
      </c>
      <c r="EI7" s="11"/>
      <c r="EJ7" s="8"/>
      <c r="EK7" s="31" t="e">
        <f>IF(EJ7/(INDEX('Standards for Conversions'!$H$47:$H$73,MATCH(EI$3,'Standards for Conversions'!$A$47:$A$73,0)))=0,"",EJ7/(INDEX('Standards for Conversions'!$H$47:$H$73,MATCH(EI$3,'Standards for Conversions'!$A$47:$A$73,0))))</f>
        <v>#N/A</v>
      </c>
      <c r="EL7" s="10" t="s">
        <v>40</v>
      </c>
      <c r="EM7" s="3"/>
      <c r="EN7" s="8"/>
      <c r="EO7" s="31" t="e">
        <f>IF(EN7/(INDEX('Standards for Conversions'!$H$47:$H$73,MATCH(EM$3,'Standards for Conversions'!$A$47:$A$73,0)))=0,"",EN7/(INDEX('Standards for Conversions'!$H$47:$H$73,MATCH(EM$3,'Standards for Conversions'!$A$47:$A$73,0))))</f>
        <v>#N/A</v>
      </c>
      <c r="EP7" s="10" t="s">
        <v>40</v>
      </c>
      <c r="EQ7" s="3"/>
      <c r="ER7" s="8"/>
      <c r="ES7" s="31" t="e">
        <f>IF(ER7/(INDEX('Standards for Conversions'!$H$47:$H$73,MATCH(EQ$3,'Standards for Conversions'!$A$47:$A$73,0)))=0,"",ER7/(INDEX('Standards for Conversions'!$H$47:$H$73,MATCH(EQ$3,'Standards for Conversions'!$A$47:$A$73,0))))</f>
        <v>#N/A</v>
      </c>
      <c r="ET7" s="10" t="s">
        <v>40</v>
      </c>
      <c r="EU7" s="3"/>
      <c r="EV7" s="8"/>
      <c r="EW7" s="31" t="e">
        <f>IF(EV7/(INDEX('Standards for Conversions'!$H$47:$H$73,MATCH(EU$3,'Standards for Conversions'!$A$47:$A$73,0)))=0,"",EV7/(INDEX('Standards for Conversions'!$H$47:$H$73,MATCH(EU$3,'Standards for Conversions'!$A$47:$A$73,0))))</f>
        <v>#N/A</v>
      </c>
      <c r="EX7" s="10" t="s">
        <v>40</v>
      </c>
      <c r="EY7" s="11"/>
      <c r="EZ7" s="8"/>
      <c r="FA7" s="31" t="e">
        <f>IF(EZ7/(INDEX('Standards for Conversions'!$H$47:$H$73,MATCH(EY$3,'Standards for Conversions'!$A$47:$A$73,0)))=0,"",EZ7/(INDEX('Standards for Conversions'!$H$47:$H$73,MATCH(EY$3,'Standards for Conversions'!$A$47:$A$73,0))))</f>
        <v>#N/A</v>
      </c>
      <c r="FB7" s="10" t="s">
        <v>40</v>
      </c>
      <c r="FC7" s="3"/>
      <c r="FD7" s="8"/>
      <c r="FE7" s="31" t="e">
        <f>IF(FD7/(INDEX('Standards for Conversions'!$H$47:$H$73,MATCH(FC$3,'Standards for Conversions'!$A$47:$A$73,0)))=0,"",FD7/(INDEX('Standards for Conversions'!$H$47:$H$73,MATCH(FC$3,'Standards for Conversions'!$A$47:$A$73,0))))</f>
        <v>#N/A</v>
      </c>
      <c r="FF7" s="10" t="s">
        <v>40</v>
      </c>
      <c r="FG7" s="3"/>
      <c r="FH7" s="8"/>
      <c r="FI7" s="31" t="e">
        <f>IF(FH7/(INDEX('Standards for Conversions'!$H$47:$H$73,MATCH(FG$3,'Standards for Conversions'!$A$47:$A$73,0)))=0,"",FH7/(INDEX('Standards for Conversions'!$H$47:$H$73,MATCH(FG$3,'Standards for Conversions'!$A$47:$A$73,0))))</f>
        <v>#N/A</v>
      </c>
      <c r="FJ7" s="10" t="s">
        <v>40</v>
      </c>
      <c r="FK7" s="3"/>
      <c r="FL7" s="8"/>
      <c r="FM7" s="31" t="e">
        <f>IF(FL7/(INDEX('Standards for Conversions'!$H$47:$H$73,MATCH(FK$3,'Standards for Conversions'!$A$47:$A$73,0)))=0,"",FL7/(INDEX('Standards for Conversions'!$H$47:$H$73,MATCH(FK$3,'Standards for Conversions'!$A$47:$A$73,0))))</f>
        <v>#N/A</v>
      </c>
      <c r="FN7" s="10" t="s">
        <v>40</v>
      </c>
      <c r="FO7" s="11"/>
      <c r="FP7" s="8"/>
      <c r="FQ7" s="31" t="e">
        <f>IF(FP7/(INDEX('Standards for Conversions'!$H$47:$H$73,MATCH(FO$3,'Standards for Conversions'!$A$47:$A$73,0)))=0,"",FP7/(INDEX('Standards for Conversions'!$H$47:$H$73,MATCH(FO$3,'Standards for Conversions'!$A$47:$A$73,0))))</f>
        <v>#N/A</v>
      </c>
      <c r="FR7" s="10" t="s">
        <v>40</v>
      </c>
      <c r="FS7" s="3"/>
      <c r="FT7" s="8"/>
      <c r="FU7" s="31" t="e">
        <f>IF(FT7/(INDEX('Standards for Conversions'!$H$47:$H$73,MATCH(FS$3,'Standards for Conversions'!$A$47:$A$73,0)))=0,"",FT7/(INDEX('Standards for Conversions'!$H$47:$H$73,MATCH(FS$3,'Standards for Conversions'!$A$47:$A$73,0))))</f>
        <v>#N/A</v>
      </c>
      <c r="FV7" s="10" t="s">
        <v>40</v>
      </c>
      <c r="FW7" s="3"/>
      <c r="FX7" s="8"/>
      <c r="FY7" s="31" t="e">
        <f>IF(FX7/(INDEX('Standards for Conversions'!$H$47:$H$73,MATCH(FW$3,'Standards for Conversions'!$A$47:$A$73,0)))=0,"",FX7/(INDEX('Standards for Conversions'!$H$47:$H$73,MATCH(FW$3,'Standards for Conversions'!$A$47:$A$73,0))))</f>
        <v>#N/A</v>
      </c>
      <c r="FZ7" s="10" t="s">
        <v>40</v>
      </c>
      <c r="GA7" s="3"/>
      <c r="GB7" s="8"/>
      <c r="GC7" s="31" t="e">
        <f>IF(GB7/(INDEX('Standards for Conversions'!$H$47:$H$73,MATCH(GA$3,'Standards for Conversions'!$A$47:$A$73,0)))=0,"",GB7/(INDEX('Standards for Conversions'!$H$47:$H$73,MATCH(GA$3,'Standards for Conversions'!$A$47:$A$73,0))))</f>
        <v>#N/A</v>
      </c>
      <c r="GD7" s="10" t="s">
        <v>40</v>
      </c>
      <c r="GE7" s="11"/>
      <c r="GF7" s="8"/>
      <c r="GG7" s="31" t="e">
        <f>IF(GF7/(INDEX('Standards for Conversions'!$H$47:$H$73,MATCH(GE$3,'Standards for Conversions'!$A$47:$A$73,0)))=0,"",GF7/(INDEX('Standards for Conversions'!$H$47:$H$73,MATCH(GE$3,'Standards for Conversions'!$A$47:$A$73,0))))</f>
        <v>#N/A</v>
      </c>
      <c r="GH7" s="10" t="s">
        <v>40</v>
      </c>
      <c r="GI7" s="3"/>
      <c r="GJ7" s="8"/>
      <c r="GK7" s="31" t="e">
        <f>IF(GJ7/(INDEX('Standards for Conversions'!$H$47:$H$73,MATCH(GI$3,'Standards for Conversions'!$A$47:$A$73,0)))=0,"",GJ7/(INDEX('Standards for Conversions'!$H$47:$H$73,MATCH(GI$3,'Standards for Conversions'!$A$47:$A$73,0))))</f>
        <v>#N/A</v>
      </c>
      <c r="GL7" s="10" t="s">
        <v>40</v>
      </c>
      <c r="GM7" s="3"/>
      <c r="GN7" s="8"/>
      <c r="GO7" s="31" t="e">
        <f>IF(GN7/(INDEX('Standards for Conversions'!$H$47:$H$73,MATCH(GM$3,'Standards for Conversions'!$A$47:$A$73,0)))=0,"",GN7/(INDEX('Standards for Conversions'!$H$47:$H$73,MATCH(GM$3,'Standards for Conversions'!$A$47:$A$73,0))))</f>
        <v>#N/A</v>
      </c>
      <c r="GP7" s="10" t="s">
        <v>40</v>
      </c>
      <c r="GQ7" s="3"/>
      <c r="GR7" s="8"/>
      <c r="GS7" s="31" t="e">
        <f>IF(GR7/(INDEX('Standards for Conversions'!$H$47:$H$73,MATCH(GQ$3,'Standards for Conversions'!$A$47:$A$73,0)))=0,"",GR7/(INDEX('Standards for Conversions'!$H$47:$H$73,MATCH(GQ$3,'Standards for Conversions'!$A$47:$A$73,0))))</f>
        <v>#N/A</v>
      </c>
      <c r="GT7" s="10" t="s">
        <v>40</v>
      </c>
      <c r="GU7" s="11"/>
      <c r="GV7" s="8"/>
      <c r="GW7" s="31" t="e">
        <f>IF(GV7/(INDEX('Standards for Conversions'!$H$47:$H$73,MATCH(GU$3,'Standards for Conversions'!$A$47:$A$73,0)))=0,"",GV7/(INDEX('Standards for Conversions'!$H$47:$H$73,MATCH(GU$3,'Standards for Conversions'!$A$47:$A$73,0))))</f>
        <v>#N/A</v>
      </c>
      <c r="GX7" s="10" t="s">
        <v>40</v>
      </c>
      <c r="GY7" s="3"/>
      <c r="GZ7" s="8"/>
      <c r="HA7" s="31" t="e">
        <f>IF(GZ7/(INDEX('Standards for Conversions'!$H$47:$H$73,MATCH(GY$3,'Standards for Conversions'!$A$47:$A$73,0)))=0,"",GZ7/(INDEX('Standards for Conversions'!$H$47:$H$73,MATCH(GY$3,'Standards for Conversions'!$A$47:$A$73,0))))</f>
        <v>#N/A</v>
      </c>
      <c r="HB7" s="10" t="s">
        <v>40</v>
      </c>
      <c r="HC7" s="3"/>
      <c r="HD7" s="8"/>
      <c r="HE7" s="31" t="str">
        <f>IF(HD7/(INDEX('Standards for Conversions'!$H$47:$H$73,MATCH(HC$3,'Standards for Conversions'!$A$47:$A$73,0)))=0,"",HD7/(INDEX('Standards for Conversions'!$H$47:$H$73,MATCH(HC$3,'Standards for Conversions'!$A$47:$A$73,0))))</f>
        <v/>
      </c>
      <c r="HF7" s="10" t="s">
        <v>40</v>
      </c>
      <c r="HG7" s="3"/>
      <c r="HH7" s="8"/>
      <c r="HI7" s="31" t="str">
        <f>IF(HH7/(INDEX('Standards for Conversions'!$H$47:$H$73,MATCH(HG$3,'Standards for Conversions'!$A$47:$A$73,0)))=0,"",HH7/(INDEX('Standards for Conversions'!$H$47:$H$73,MATCH(HG$3,'Standards for Conversions'!$A$47:$A$73,0))))</f>
        <v/>
      </c>
      <c r="HJ7" s="10" t="s">
        <v>40</v>
      </c>
      <c r="HK7" s="11"/>
      <c r="HL7" s="8"/>
      <c r="HM7" s="31" t="str">
        <f>IF(HL7/(INDEX('Standards for Conversions'!$H$47:$H$73,MATCH(HK$3,'Standards for Conversions'!$A$47:$A$73,0)))=0,"",HL7/(INDEX('Standards for Conversions'!$H$47:$H$73,MATCH(HK$3,'Standards for Conversions'!$A$47:$A$73,0))))</f>
        <v/>
      </c>
      <c r="HN7" s="10" t="s">
        <v>40</v>
      </c>
      <c r="HO7" s="3"/>
      <c r="HP7" s="8"/>
      <c r="HQ7" s="31" t="str">
        <f>IF(HP7/(INDEX('Standards for Conversions'!$H$47:$H$73,MATCH(HO$3,'Standards for Conversions'!$A$47:$A$73,0)))=0,"",HP7/(INDEX('Standards for Conversions'!$H$47:$H$73,MATCH(HO$3,'Standards for Conversions'!$A$47:$A$73,0))))</f>
        <v/>
      </c>
      <c r="HR7" s="33" t="s">
        <v>40</v>
      </c>
      <c r="HS7" s="45"/>
      <c r="HT7" s="44"/>
      <c r="HU7" s="31" t="str">
        <f>IF(HT7/(INDEX('Standards for Conversions'!$H$47:$H$73,MATCH(HS$3,'Standards for Conversions'!$A$47:$A$73,0)))=0,"",HT7/(INDEX('Standards for Conversions'!$H$47:$H$73,MATCH(HS$3,'Standards for Conversions'!$A$47:$A$73,0))))</f>
        <v/>
      </c>
      <c r="HV7" s="33" t="s">
        <v>40</v>
      </c>
      <c r="HW7" s="45">
        <v>10</v>
      </c>
      <c r="HX7" s="44">
        <v>1000</v>
      </c>
      <c r="HY7" s="31">
        <f>IF(HX7/(INDEX('Standards for Conversions'!$H$47:$H$73,MATCH(HW$3,'Standards for Conversions'!$A$47:$A$73,0)))=0,"",HX7/(INDEX('Standards for Conversions'!$H$47:$H$73,MATCH(HW$3,'Standards for Conversions'!$A$47:$A$73,0))))</f>
        <v>145.24541221285597</v>
      </c>
      <c r="HZ7" s="45"/>
      <c r="IA7" s="44"/>
      <c r="IB7" s="31" t="str">
        <f>IF(IA7/(INDEX('Standards for Conversions'!$H$47:$H$73,MATCH(HZ$3,'Standards for Conversions'!$A$47:$A$73,0)))=0,"",IA7/(INDEX('Standards for Conversions'!$H$47:$H$73,MATCH(HZ$3,'Standards for Conversions'!$A$47:$A$73,0))))</f>
        <v/>
      </c>
      <c r="IC7" s="33" t="s">
        <v>40</v>
      </c>
      <c r="ID7" s="45"/>
      <c r="IE7" s="44"/>
      <c r="IF7" s="31" t="str">
        <f>IF(IE7/(INDEX('Standards for Conversions'!$H$47:$H$73,MATCH(ID$3,'Standards for Conversions'!$A$47:$A$73,0)))=0,"",IE7/(INDEX('Standards for Conversions'!$H$47:$H$73,MATCH(ID$3,'Standards for Conversions'!$A$47:$A$73,0))))</f>
        <v/>
      </c>
      <c r="IG7" s="33" t="s">
        <v>40</v>
      </c>
      <c r="IH7" s="45"/>
      <c r="II7" s="44"/>
      <c r="IJ7" s="31" t="str">
        <f>IF(II7/(INDEX('Standards for Conversions'!$H$47:$H$73,MATCH(IH$3,'Standards for Conversions'!$A$47:$A$73,0)))=0,"",II7/(INDEX('Standards for Conversions'!$H$47:$H$73,MATCH(IH$3,'Standards for Conversions'!$A$47:$A$73,0))))</f>
        <v/>
      </c>
      <c r="IK7" s="33" t="s">
        <v>40</v>
      </c>
      <c r="IL7" s="45">
        <v>10</v>
      </c>
      <c r="IM7" s="44">
        <v>550</v>
      </c>
      <c r="IN7" s="31">
        <f>IF(IM7/(INDEX('Standards for Conversions'!$H$47:$H$73,MATCH(IL$3,'Standards for Conversions'!$A$47:$A$73,0)))=0,"",IM7/(INDEX('Standards for Conversions'!$H$47:$H$73,MATCH(IL$3,'Standards for Conversions'!$A$47:$A$73,0))))</f>
        <v>79.535625506937805</v>
      </c>
      <c r="IO7" s="33" t="s">
        <v>40</v>
      </c>
      <c r="IP7" s="45"/>
      <c r="IQ7" s="44"/>
      <c r="IR7" s="31" t="str">
        <f>IF(IQ7/(INDEX('Standards for Conversions'!$H$47:$H$73,MATCH(IP$3,'Standards for Conversions'!$A$47:$A$73,0)))=0,"",IQ7/(INDEX('Standards for Conversions'!$H$47:$H$73,MATCH(IP$3,'Standards for Conversions'!$A$47:$A$73,0))))</f>
        <v/>
      </c>
      <c r="IS7" s="33" t="s">
        <v>40</v>
      </c>
      <c r="IT7" s="45"/>
      <c r="IU7" s="44"/>
      <c r="IV7" s="31" t="str">
        <f>IF(IU7/(INDEX('Standards for Conversions'!$H$47:$H$73,MATCH(IT$3,'Standards for Conversions'!$A$47:$A$73,0)))=0,"",IU7/(INDEX('Standards for Conversions'!$H$47:$H$73,MATCH(IT$3,'Standards for Conversions'!$A$47:$A$73,0))))</f>
        <v/>
      </c>
      <c r="IW7" s="33" t="s">
        <v>40</v>
      </c>
      <c r="IZ7" s="31" t="str">
        <f>IF(IY7/(INDEX('Standards for Conversions'!$H$47:$H$73,MATCH(IX$3,'Standards for Conversions'!$A$47:$A$73,0)))=0,"",IY7/(INDEX('Standards for Conversions'!$H$47:$H$73,MATCH(IX$3,'Standards for Conversions'!$A$47:$A$73,0))))</f>
        <v/>
      </c>
      <c r="JA7" s="33" t="s">
        <v>40</v>
      </c>
      <c r="JB7" s="33">
        <v>36</v>
      </c>
      <c r="JC7" s="33">
        <v>3600</v>
      </c>
      <c r="JD7" s="31">
        <f>IF(JC7/(INDEX('Standards for Conversions'!$H$47:$H$73,MATCH(JB$3,'Standards for Conversions'!$A$47:$A$73,0)))=0,"",JC7/(INDEX('Standards for Conversions'!$H$47:$H$73,MATCH(JB$3,'Standards for Conversions'!$A$47:$A$73,0))))</f>
        <v>582.33670809072726</v>
      </c>
      <c r="JE7" s="42"/>
      <c r="JH7" s="31" t="str">
        <f>IF(JG7/(INDEX('Standards for Conversions'!$H$47:$H$73,MATCH(JF$3,'Standards for Conversions'!$A$47:$A$73,0)))=0,"",JG7/(INDEX('Standards for Conversions'!$H$47:$H$73,MATCH(JF$3,'Standards for Conversions'!$A$47:$A$73,0))))</f>
        <v/>
      </c>
      <c r="JI7" s="42"/>
      <c r="JJ7" s="45"/>
      <c r="JK7" s="44"/>
      <c r="JL7" s="31" t="str">
        <f>IF(JK7/(INDEX('Standards for Conversions'!$H$47:$H$73,MATCH(JJ$3,'Standards for Conversions'!$A$47:$A$73,0)))=0,"",JK7/(INDEX('Standards for Conversions'!$H$47:$H$73,MATCH(JJ$3,'Standards for Conversions'!$A$47:$A$73,0))))</f>
        <v/>
      </c>
      <c r="JM7" s="33" t="s">
        <v>40</v>
      </c>
      <c r="JP7" s="31" t="str">
        <f>IF(JO7/(INDEX('Standards for Conversions'!$H$47:$H$73,MATCH(JN$3,'Standards for Conversions'!$A$47:$A$73,0)))=0,"",JO7/(INDEX('Standards for Conversions'!$H$47:$H$73,MATCH(JN$3,'Standards for Conversions'!$A$47:$A$73,0))))</f>
        <v/>
      </c>
      <c r="JQ7" s="33" t="s">
        <v>40</v>
      </c>
      <c r="JR7" s="33">
        <v>220</v>
      </c>
      <c r="JS7" s="33">
        <v>24000</v>
      </c>
      <c r="JT7" s="31">
        <f>IF(JS7/(INDEX('Standards for Conversions'!$H$47:$H$73,MATCH(JR$3,'Standards for Conversions'!$A$47:$A$73,0)))=0,"",JS7/(INDEX('Standards for Conversions'!$H$47:$H$73,MATCH(JR$3,'Standards for Conversions'!$A$47:$A$73,0))))</f>
        <v>3663.7414182671414</v>
      </c>
      <c r="JU7" s="33" t="s">
        <v>40</v>
      </c>
      <c r="JV7" s="45"/>
      <c r="JW7" s="44"/>
      <c r="JX7" s="31" t="str">
        <f>IF(JW7/(INDEX('Standards for Conversions'!$H$47:$H$73,MATCH(JV$3,'Standards for Conversions'!$A$47:$A$73,0)))=0,"",JW7/(INDEX('Standards for Conversions'!$H$47:$H$73,MATCH(JV$3,'Standards for Conversions'!$A$47:$A$73,0))))</f>
        <v/>
      </c>
      <c r="JY7" s="33" t="s">
        <v>40</v>
      </c>
      <c r="JZ7" s="45"/>
      <c r="KA7" s="44"/>
      <c r="KB7" s="31" t="str">
        <f>IF(KA7/(INDEX('Standards for Conversions'!$H$47:$H$73,MATCH(JZ$3,'Standards for Conversions'!$A$47:$A$73,0)))=0,"",KA7/(INDEX('Standards for Conversions'!$H$47:$H$73,MATCH(JZ$3,'Standards for Conversions'!$A$47:$A$73,0))))</f>
        <v/>
      </c>
      <c r="KC7" s="33" t="s">
        <v>40</v>
      </c>
      <c r="KF7" s="31" t="str">
        <f>IF(KE7/(INDEX('Standards for Conversions'!$H$47:$H$73,MATCH(KD$3,'Standards for Conversions'!$A$47:$A$73,0)))=0,"",KE7/(INDEX('Standards for Conversions'!$H$47:$H$73,MATCH(KD$3,'Standards for Conversions'!$A$47:$A$73,0))))</f>
        <v/>
      </c>
      <c r="KG7" s="33" t="s">
        <v>40</v>
      </c>
      <c r="KH7" s="33">
        <v>150</v>
      </c>
      <c r="KI7" s="33">
        <v>20000</v>
      </c>
      <c r="KJ7" s="31">
        <f>IF(KI7/(INDEX('Standards for Conversions'!$H$47:$H$73,MATCH(KH$3,'Standards for Conversions'!$A$47:$A$73,0)))=0,"",KI7/(INDEX('Standards for Conversions'!$H$47:$H$73,MATCH(KH$3,'Standards for Conversions'!$A$47:$A$73,0))))</f>
        <v>2693.1802381159291</v>
      </c>
      <c r="KK7" s="33" t="s">
        <v>40</v>
      </c>
      <c r="KL7" s="45"/>
      <c r="KM7" s="44"/>
      <c r="KN7" s="31" t="str">
        <f>IF(KM7/(INDEX('Standards for Conversions'!$H$47:$H$73,MATCH(KL$3,'Standards for Conversions'!$A$47:$A$73,0)))=0,"",KM7/(INDEX('Standards for Conversions'!$H$47:$H$73,MATCH(KL$3,'Standards for Conversions'!$A$47:$A$73,0))))</f>
        <v/>
      </c>
      <c r="KO7" s="33" t="s">
        <v>40</v>
      </c>
      <c r="KP7" s="45"/>
      <c r="KQ7" s="44"/>
      <c r="KR7" s="31" t="str">
        <f>IF(KQ7/(INDEX('Standards for Conversions'!$H$47:$H$73,MATCH(KP$3,'Standards for Conversions'!$A$47:$A$73,0)))=0,"",KQ7/(INDEX('Standards for Conversions'!$H$47:$H$73,MATCH(KP$3,'Standards for Conversions'!$A$47:$A$73,0))))</f>
        <v/>
      </c>
      <c r="KS7" s="33" t="s">
        <v>40</v>
      </c>
      <c r="KV7" s="31" t="str">
        <f>IF(KU7/(INDEX('Standards for Conversions'!$H$47:$H$73,MATCH(KT$3,'Standards for Conversions'!$A$47:$A$73,0)))=0,"",KU7/(INDEX('Standards for Conversions'!$H$47:$H$73,MATCH(KT$3,'Standards for Conversions'!$A$47:$A$73,0))))</f>
        <v/>
      </c>
      <c r="KW7" s="33" t="s">
        <v>40</v>
      </c>
      <c r="KX7" s="33">
        <v>195</v>
      </c>
      <c r="KY7" s="33">
        <v>15000</v>
      </c>
      <c r="KZ7" s="31">
        <f>IF(KY7/(INDEX('Standards for Conversions'!$H$47:$H$73,MATCH(KX$3,'Standards for Conversions'!$A$47:$A$73,0)))=0,"",KY7/(INDEX('Standards for Conversions'!$H$47:$H$73,MATCH(KX$3,'Standards for Conversions'!$A$47:$A$73,0))))</f>
        <v>1824.2485009124878</v>
      </c>
      <c r="LA7" s="42"/>
      <c r="LB7" s="45"/>
      <c r="LC7" s="44"/>
      <c r="LD7" s="31" t="str">
        <f>IF(LC7/(INDEX('Standards for Conversions'!$H$47:$H$73,MATCH(LB$3,'Standards for Conversions'!$A$47:$A$73,0)))=0,"",LC7/(INDEX('Standards for Conversions'!$H$47:$H$73,MATCH(LB$3,'Standards for Conversions'!$A$47:$A$73,0))))</f>
        <v/>
      </c>
      <c r="LE7" s="42"/>
      <c r="LF7" s="45"/>
      <c r="LG7" s="44"/>
      <c r="LH7" s="31" t="str">
        <f>IF(LG7/(INDEX('Standards for Conversions'!$H$47:$H$73,MATCH(LF$3,'Standards for Conversions'!$A$47:$A$73,0)))=0,"",LG7/(INDEX('Standards for Conversions'!$H$47:$H$73,MATCH(LF$3,'Standards for Conversions'!$A$47:$A$73,0))))</f>
        <v/>
      </c>
      <c r="LJ7" s="45"/>
      <c r="LK7" s="44"/>
      <c r="LL7" s="31" t="str">
        <f>IF(LK7/(INDEX('Standards for Conversions'!$H$47:$H$73,MATCH(LJ$3,'Standards for Conversions'!$A$47:$A$73,0)))=0,"",LK7/(INDEX('Standards for Conversions'!$H$47:$H$73,MATCH(LJ$3,'Standards for Conversions'!$A$47:$A$73,0))))</f>
        <v/>
      </c>
      <c r="LM7" s="45"/>
      <c r="LN7" s="44"/>
      <c r="LO7" s="31" t="str">
        <f>IF(LN7/(INDEX('Standards for Conversions'!$H$47:$H$73,MATCH(LM$3,'Standards for Conversions'!$A$47:$A$73,0)))=0,"",LN7/(INDEX('Standards for Conversions'!$H$47:$H$73,MATCH(LM$3,'Standards for Conversions'!$A$47:$A$73,0))))</f>
        <v/>
      </c>
      <c r="LP7" s="45"/>
      <c r="LQ7" s="44"/>
      <c r="LR7" s="31" t="str">
        <f>IF(LQ7/(INDEX('Standards for Conversions'!$H$47:$H$73,MATCH(LP$3,'Standards for Conversions'!$A$47:$A$73,0)))=0,"",LQ7/(INDEX('Standards for Conversions'!$H$47:$H$73,MATCH(LP$3,'Standards for Conversions'!$A$47:$A$73,0))))</f>
        <v/>
      </c>
      <c r="LT7" s="45"/>
      <c r="LU7" s="44"/>
      <c r="LV7" s="31" t="str">
        <f>IF(LU7/(INDEX('Standards for Conversions'!$H$47:$H$73,MATCH(LT$3,'Standards for Conversions'!$A$47:$A$73,0)))=0,"",LU7/(INDEX('Standards for Conversions'!$H$47:$H$73,MATCH(LT$3,'Standards for Conversions'!$A$47:$A$73,0))))</f>
        <v/>
      </c>
      <c r="LW7" s="45"/>
      <c r="LX7" s="44"/>
      <c r="LY7" s="31" t="str">
        <f>IF(LX7/(INDEX('Standards for Conversions'!$H$47:$H$73,MATCH(LW$3,'Standards for Conversions'!$A$47:$A$73,0)))=0,"",LX7/(INDEX('Standards for Conversions'!$H$47:$H$73,MATCH(LW$3,'Standards for Conversions'!$A$47:$A$73,0))))</f>
        <v/>
      </c>
      <c r="LZ7" s="45"/>
      <c r="MA7" s="44"/>
      <c r="MB7" s="31" t="str">
        <f>IF(MA7/(INDEX('Standards for Conversions'!$H$47:$H$73,MATCH(LZ$3,'Standards for Conversions'!$A$47:$A$73,0)))=0,"",MA7/(INDEX('Standards for Conversions'!$H$47:$H$73,MATCH(LZ$3,'Standards for Conversions'!$A$47:$A$73,0))))</f>
        <v/>
      </c>
      <c r="MC7" s="45"/>
      <c r="MD7" s="44"/>
      <c r="ME7" s="31" t="str">
        <f>IF(MD7/(INDEX('Standards for Conversions'!$H$47:$H$73,MATCH(MC$3,'Standards for Conversions'!$A$47:$A$73,0)))=0,"",MD7/(INDEX('Standards for Conversions'!$H$47:$H$73,MATCH(MC$3,'Standards for Conversions'!$A$47:$A$73,0))))</f>
        <v/>
      </c>
      <c r="MF7" s="45"/>
      <c r="MG7" s="44"/>
      <c r="MH7" s="31" t="str">
        <f>IF(MG7/(INDEX('Standards for Conversions'!$H$47:$H$73,MATCH(MF$3,'Standards for Conversions'!$A$47:$A$73,0)))=0,"",MG7/(INDEX('Standards for Conversions'!$H$47:$H$73,MATCH(MF$3,'Standards for Conversions'!$A$47:$A$73,0))))</f>
        <v/>
      </c>
      <c r="MI7" s="45"/>
      <c r="MJ7" s="44"/>
      <c r="MK7" s="31" t="str">
        <f>IF(MJ7/(INDEX('Standards for Conversions'!$H$47:$H$73,MATCH(MI$3,'Standards for Conversions'!$A$47:$A$73,0)))=0,"",MJ7/(INDEX('Standards for Conversions'!$H$47:$H$73,MATCH(MI$3,'Standards for Conversions'!$A$47:$A$73,0))))</f>
        <v/>
      </c>
      <c r="ML7" s="45"/>
      <c r="MM7" s="44"/>
      <c r="MN7" s="31" t="str">
        <f>IF(MM7/(INDEX('Standards for Conversions'!$H$47:$H$73,MATCH(ML$3,'Standards for Conversions'!$A$47:$A$73,0)))=0,"",MM7/(INDEX('Standards for Conversions'!$H$47:$H$73,MATCH(ML$3,'Standards for Conversions'!$A$47:$A$73,0))))</f>
        <v/>
      </c>
      <c r="MO7" s="42"/>
      <c r="MP7" s="45"/>
      <c r="MQ7" s="44"/>
      <c r="MR7" s="31" t="str">
        <f>IF(MQ7/(INDEX('Standards for Conversions'!$H$47:$H$73,MATCH(MP$3,'Standards for Conversions'!$A$47:$A$73,0)))=0,"",MQ7/(INDEX('Standards for Conversions'!$H$47:$H$73,MATCH(MP$3,'Standards for Conversions'!$A$47:$A$73,0))))</f>
        <v/>
      </c>
      <c r="MS7" s="42"/>
      <c r="MT7" s="45"/>
      <c r="MU7" s="44"/>
      <c r="MV7" s="45"/>
      <c r="MW7" s="44"/>
      <c r="MX7" s="45"/>
      <c r="MY7" s="44"/>
    </row>
    <row r="8" spans="1:373" ht="15.6" hidden="1" x14ac:dyDescent="0.3">
      <c r="A8" s="103" t="s">
        <v>101</v>
      </c>
      <c r="B8" s="10" t="s">
        <v>63</v>
      </c>
      <c r="C8" s="3"/>
      <c r="D8" s="8"/>
      <c r="E8" s="31" t="e">
        <f>IF(D8/(INDEX('Standards for Conversions'!$H$47:$H$73,MATCH(C$3,'Standards for Conversions'!$A$47:$A$73,0)))=0,"",D8/(INDEX('Standards for Conversions'!$H$47:$H$73,MATCH(C$3,'Standards for Conversions'!$A$47:$A$73,0))))</f>
        <v>#N/A</v>
      </c>
      <c r="F8" s="10" t="s">
        <v>63</v>
      </c>
      <c r="G8" s="3"/>
      <c r="H8" s="8"/>
      <c r="I8" s="31" t="e">
        <f>IF(H8/(INDEX('Standards for Conversions'!$H$47:$H$73,MATCH(G$3,'Standards for Conversions'!$A$47:$A$73,0)))=0,"",H8/(INDEX('Standards for Conversions'!$H$47:$H$73,MATCH(G$3,'Standards for Conversions'!$A$47:$A$73,0))))</f>
        <v>#N/A</v>
      </c>
      <c r="J8" s="10" t="s">
        <v>63</v>
      </c>
      <c r="K8" s="11"/>
      <c r="L8" s="8"/>
      <c r="M8" s="31" t="e">
        <f>IF(L8/(INDEX('Standards for Conversions'!$H$47:$H$73,MATCH(K$3,'Standards for Conversions'!$A$47:$A$73,0)))=0,"",L8/(INDEX('Standards for Conversions'!$H$47:$H$73,MATCH(K$3,'Standards for Conversions'!$A$47:$A$73,0))))</f>
        <v>#N/A</v>
      </c>
      <c r="O8" s="3"/>
      <c r="P8" s="8"/>
      <c r="Q8" s="31" t="e">
        <f>IF(P8/(INDEX('Standards for Conversions'!$H$47:$H$73,MATCH(O$3,'Standards for Conversions'!$A$47:$A$73,0)))=0,"",P8/(INDEX('Standards for Conversions'!$H$47:$H$73,MATCH(O$3,'Standards for Conversions'!$A$47:$A$73,0))))</f>
        <v>#N/A</v>
      </c>
      <c r="R8" s="10" t="s">
        <v>63</v>
      </c>
      <c r="S8" s="3"/>
      <c r="T8" s="8"/>
      <c r="U8" s="31" t="e">
        <f>IF(T8/(INDEX('Standards for Conversions'!$H$47:$H$73,MATCH(S$3,'Standards for Conversions'!$A$47:$A$73,0)))=0,"",T8/(INDEX('Standards for Conversions'!$H$47:$H$73,MATCH(S$3,'Standards for Conversions'!$A$47:$A$73,0))))</f>
        <v>#N/A</v>
      </c>
      <c r="V8" s="10" t="s">
        <v>63</v>
      </c>
      <c r="W8" s="3"/>
      <c r="X8" s="8"/>
      <c r="Y8" s="31" t="e">
        <f>IF(X8/(INDEX('Standards for Conversions'!$H$47:$H$73,MATCH(W$3,'Standards for Conversions'!$A$47:$A$73,0)))=0,"",X8/(INDEX('Standards for Conversions'!$H$47:$H$73,MATCH(W$3,'Standards for Conversions'!$A$47:$A$73,0))))</f>
        <v>#N/A</v>
      </c>
      <c r="Z8" s="10" t="s">
        <v>63</v>
      </c>
      <c r="AA8" s="11"/>
      <c r="AB8" s="8"/>
      <c r="AC8" s="31" t="e">
        <f>IF(AB8/(INDEX('Standards for Conversions'!$H$47:$H$73,MATCH(AA$3,'Standards for Conversions'!$A$47:$A$73,0)))=0,"",AB8/(INDEX('Standards for Conversions'!$H$47:$H$73,MATCH(AA$3,'Standards for Conversions'!$A$47:$A$73,0))))</f>
        <v>#N/A</v>
      </c>
      <c r="AE8" s="3"/>
      <c r="AF8" s="8"/>
      <c r="AG8" s="31" t="e">
        <f>IF(AF8/(INDEX('Standards for Conversions'!$H$47:$H$73,MATCH(AE$3,'Standards for Conversions'!$A$47:$A$73,0)))=0,"",AF8/(INDEX('Standards for Conversions'!$H$47:$H$73,MATCH(AE$3,'Standards for Conversions'!$A$47:$A$73,0))))</f>
        <v>#N/A</v>
      </c>
      <c r="AH8" s="10" t="s">
        <v>63</v>
      </c>
      <c r="AI8" s="3"/>
      <c r="AJ8" s="8"/>
      <c r="AK8" s="31" t="e">
        <f>IF(AJ8/(INDEX('Standards for Conversions'!$H$47:$H$73,MATCH(AI$3,'Standards for Conversions'!$A$47:$A$73,0)))=0,"",AJ8/(INDEX('Standards for Conversions'!$H$47:$H$73,MATCH(AI$3,'Standards for Conversions'!$A$47:$A$73,0))))</f>
        <v>#N/A</v>
      </c>
      <c r="AL8" s="10" t="s">
        <v>63</v>
      </c>
      <c r="AM8" s="3"/>
      <c r="AN8" s="8"/>
      <c r="AO8" s="31" t="e">
        <f>IF(AN8/(INDEX('Standards for Conversions'!$H$47:$H$73,MATCH(AM$3,'Standards for Conversions'!$A$47:$A$73,0)))=0,"",AN8/(INDEX('Standards for Conversions'!$H$47:$H$73,MATCH(AM$3,'Standards for Conversions'!$A$47:$A$73,0))))</f>
        <v>#N/A</v>
      </c>
      <c r="AP8" s="10" t="s">
        <v>63</v>
      </c>
      <c r="AQ8" s="11"/>
      <c r="AR8" s="8"/>
      <c r="AS8" s="31" t="e">
        <f>IF(AR8/(INDEX('Standards for Conversions'!$H$47:$H$73,MATCH(AQ$3,'Standards for Conversions'!$A$47:$A$73,0)))=0,"",AR8/(INDEX('Standards for Conversions'!$H$47:$H$73,MATCH(AQ$3,'Standards for Conversions'!$A$47:$A$73,0))))</f>
        <v>#N/A</v>
      </c>
      <c r="AU8" s="3"/>
      <c r="AV8" s="8"/>
      <c r="AW8" s="31" t="e">
        <f>IF(AV8/(INDEX('Standards for Conversions'!$H$47:$H$73,MATCH(AU$3,'Standards for Conversions'!$A$47:$A$73,0)))=0,"",AV8/(INDEX('Standards for Conversions'!$H$47:$H$73,MATCH(AU$3,'Standards for Conversions'!$A$47:$A$73,0))))</f>
        <v>#N/A</v>
      </c>
      <c r="AX8" s="10" t="s">
        <v>63</v>
      </c>
      <c r="AY8" s="3"/>
      <c r="AZ8" s="8"/>
      <c r="BA8" s="31" t="e">
        <f>IF(AZ8/(INDEX('Standards for Conversions'!$H$47:$H$73,MATCH(AY$3,'Standards for Conversions'!$A$47:$A$73,0)))=0,"",AZ8/(INDEX('Standards for Conversions'!$H$47:$H$73,MATCH(AY$3,'Standards for Conversions'!$A$47:$A$73,0))))</f>
        <v>#N/A</v>
      </c>
      <c r="BB8" s="10" t="s">
        <v>63</v>
      </c>
      <c r="BC8" s="3"/>
      <c r="BD8" s="8"/>
      <c r="BE8" s="31" t="e">
        <f>IF(BD8/(INDEX('Standards for Conversions'!$H$47:$H$73,MATCH(BC$3,'Standards for Conversions'!$A$47:$A$73,0)))=0,"",BD8/(INDEX('Standards for Conversions'!$H$47:$H$73,MATCH(BC$3,'Standards for Conversions'!$A$47:$A$73,0))))</f>
        <v>#N/A</v>
      </c>
      <c r="BF8" s="10" t="s">
        <v>63</v>
      </c>
      <c r="BG8" s="11"/>
      <c r="BH8" s="8"/>
      <c r="BI8" s="31" t="e">
        <f>IF(BH8/(INDEX('Standards for Conversions'!$H$47:$H$73,MATCH(BG$3,'Standards for Conversions'!$A$47:$A$73,0)))=0,"",BH8/(INDEX('Standards for Conversions'!$H$47:$H$73,MATCH(BG$3,'Standards for Conversions'!$A$47:$A$73,0))))</f>
        <v>#N/A</v>
      </c>
      <c r="BK8" s="3"/>
      <c r="BL8" s="8"/>
      <c r="BM8" s="31" t="e">
        <f>IF(BL8/(INDEX('Standards for Conversions'!$H$47:$H$73,MATCH(BK$3,'Standards for Conversions'!$A$47:$A$73,0)))=0,"",BL8/(INDEX('Standards for Conversions'!$H$47:$H$73,MATCH(BK$3,'Standards for Conversions'!$A$47:$A$73,0))))</f>
        <v>#N/A</v>
      </c>
      <c r="BN8" s="10" t="s">
        <v>63</v>
      </c>
      <c r="BO8" s="3"/>
      <c r="BP8" s="8"/>
      <c r="BQ8" s="31" t="e">
        <f>IF(BP8/(INDEX('Standards for Conversions'!$H$47:$H$73,MATCH(BO$3,'Standards for Conversions'!$A$47:$A$73,0)))=0,"",BP8/(INDEX('Standards for Conversions'!$H$47:$H$73,MATCH(BO$3,'Standards for Conversions'!$A$47:$A$73,0))))</f>
        <v>#N/A</v>
      </c>
      <c r="BR8" s="10" t="s">
        <v>63</v>
      </c>
      <c r="BS8" s="3"/>
      <c r="BT8" s="8"/>
      <c r="BU8" s="31" t="e">
        <f>IF(BT8/(INDEX('Standards for Conversions'!$H$47:$H$73,MATCH(BS$3,'Standards for Conversions'!$A$47:$A$73,0)))=0,"",BT8/(INDEX('Standards for Conversions'!$H$47:$H$73,MATCH(BS$3,'Standards for Conversions'!$A$47:$A$73,0))))</f>
        <v>#N/A</v>
      </c>
      <c r="BV8" s="10" t="s">
        <v>63</v>
      </c>
      <c r="BW8" s="11"/>
      <c r="BX8" s="8"/>
      <c r="BY8" s="31" t="e">
        <f>IF(BX8/(INDEX('Standards for Conversions'!$H$47:$H$73,MATCH(BW$3,'Standards for Conversions'!$A$47:$A$73,0)))=0,"",BX8/(INDEX('Standards for Conversions'!$H$47:$H$73,MATCH(BW$3,'Standards for Conversions'!$A$47:$A$73,0))))</f>
        <v>#N/A</v>
      </c>
      <c r="CA8" s="3"/>
      <c r="CB8" s="8"/>
      <c r="CC8" s="31" t="e">
        <f>IF(CB8/(INDEX('Standards for Conversions'!$H$47:$H$73,MATCH(CA$3,'Standards for Conversions'!$A$47:$A$73,0)))=0,"",CB8/(INDEX('Standards for Conversions'!$H$47:$H$73,MATCH(CA$3,'Standards for Conversions'!$A$47:$A$73,0))))</f>
        <v>#N/A</v>
      </c>
      <c r="CD8" s="10" t="s">
        <v>63</v>
      </c>
      <c r="CE8" s="3"/>
      <c r="CF8" s="8"/>
      <c r="CG8" s="31" t="e">
        <f>IF(CF8/(INDEX('Standards for Conversions'!$H$47:$H$73,MATCH(CE$3,'Standards for Conversions'!$A$47:$A$73,0)))=0,"",CF8/(INDEX('Standards for Conversions'!$H$47:$H$73,MATCH(CE$3,'Standards for Conversions'!$A$47:$A$73,0))))</f>
        <v>#N/A</v>
      </c>
      <c r="CH8" s="10" t="s">
        <v>63</v>
      </c>
      <c r="CI8" s="3"/>
      <c r="CJ8" s="8"/>
      <c r="CK8" s="31" t="e">
        <f>IF(CJ8/(INDEX('Standards for Conversions'!$H$47:$H$73,MATCH(CI$3,'Standards for Conversions'!$A$47:$A$73,0)))=0,"",CJ8/(INDEX('Standards for Conversions'!$H$47:$H$73,MATCH(CI$3,'Standards for Conversions'!$A$47:$A$73,0))))</f>
        <v>#N/A</v>
      </c>
      <c r="CL8" s="10" t="s">
        <v>63</v>
      </c>
      <c r="CM8" s="11"/>
      <c r="CN8" s="8"/>
      <c r="CO8" s="31" t="e">
        <f>IF(CN8/(INDEX('Standards for Conversions'!$H$47:$H$73,MATCH(CM$3,'Standards for Conversions'!$A$47:$A$73,0)))=0,"",CN8/(INDEX('Standards for Conversions'!$H$47:$H$73,MATCH(CM$3,'Standards for Conversions'!$A$47:$A$73,0))))</f>
        <v>#N/A</v>
      </c>
      <c r="CQ8" s="3"/>
      <c r="CR8" s="8"/>
      <c r="CS8" s="31" t="e">
        <f>IF(CR8/(INDEX('Standards for Conversions'!$H$47:$H$73,MATCH(CQ$3,'Standards for Conversions'!$A$47:$A$73,0)))=0,"",CR8/(INDEX('Standards for Conversions'!$H$47:$H$73,MATCH(CQ$3,'Standards for Conversions'!$A$47:$A$73,0))))</f>
        <v>#N/A</v>
      </c>
      <c r="CT8" s="10" t="s">
        <v>63</v>
      </c>
      <c r="CU8" s="3"/>
      <c r="CV8" s="8"/>
      <c r="CW8" s="31" t="e">
        <f>IF(CV8/(INDEX('Standards for Conversions'!$H$47:$H$73,MATCH(CU$3,'Standards for Conversions'!$A$47:$A$73,0)))=0,"",CV8/(INDEX('Standards for Conversions'!$H$47:$H$73,MATCH(CU$3,'Standards for Conversions'!$A$47:$A$73,0))))</f>
        <v>#N/A</v>
      </c>
      <c r="CX8" s="10" t="s">
        <v>63</v>
      </c>
      <c r="CY8" s="3"/>
      <c r="CZ8" s="8"/>
      <c r="DA8" s="31" t="e">
        <f>IF(CZ8/(INDEX('Standards for Conversions'!$H$47:$H$73,MATCH(CY$3,'Standards for Conversions'!$A$47:$A$73,0)))=0,"",CZ8/(INDEX('Standards for Conversions'!$H$47:$H$73,MATCH(CY$3,'Standards for Conversions'!$A$47:$A$73,0))))</f>
        <v>#N/A</v>
      </c>
      <c r="DB8" s="10" t="s">
        <v>63</v>
      </c>
      <c r="DC8" s="11"/>
      <c r="DD8" s="8"/>
      <c r="DE8" s="31" t="e">
        <f>IF(DD8/(INDEX('Standards for Conversions'!$H$47:$H$73,MATCH(DC$3,'Standards for Conversions'!$A$47:$A$73,0)))=0,"",DD8/(INDEX('Standards for Conversions'!$H$47:$H$73,MATCH(DC$3,'Standards for Conversions'!$A$47:$A$73,0))))</f>
        <v>#N/A</v>
      </c>
      <c r="DG8" s="3"/>
      <c r="DH8" s="8"/>
      <c r="DI8" s="31" t="e">
        <f>IF(DH8/(INDEX('Standards for Conversions'!$H$47:$H$73,MATCH(DG$3,'Standards for Conversions'!$A$47:$A$73,0)))=0,"",DH8/(INDEX('Standards for Conversions'!$H$47:$H$73,MATCH(DG$3,'Standards for Conversions'!$A$47:$A$73,0))))</f>
        <v>#N/A</v>
      </c>
      <c r="DJ8" s="10" t="s">
        <v>63</v>
      </c>
      <c r="DK8" s="3"/>
      <c r="DL8" s="8"/>
      <c r="DM8" s="31" t="e">
        <f>IF(DL8/(INDEX('Standards for Conversions'!$H$47:$H$73,MATCH(DK$3,'Standards for Conversions'!$A$47:$A$73,0)))=0,"",DL8/(INDEX('Standards for Conversions'!$H$47:$H$73,MATCH(DK$3,'Standards for Conversions'!$A$47:$A$73,0))))</f>
        <v>#N/A</v>
      </c>
      <c r="DN8" s="10" t="s">
        <v>63</v>
      </c>
      <c r="DO8" s="3"/>
      <c r="DP8" s="8"/>
      <c r="DQ8" s="31" t="e">
        <f>IF(DP8/(INDEX('Standards for Conversions'!$H$47:$H$73,MATCH(DO$3,'Standards for Conversions'!$A$47:$A$73,0)))=0,"",DP8/(INDEX('Standards for Conversions'!$H$47:$H$73,MATCH(DO$3,'Standards for Conversions'!$A$47:$A$73,0))))</f>
        <v>#N/A</v>
      </c>
      <c r="DR8" s="10" t="s">
        <v>63</v>
      </c>
      <c r="DS8" s="11"/>
      <c r="DT8" s="8"/>
      <c r="DU8" s="31" t="e">
        <f>IF(DT8/(INDEX('Standards for Conversions'!$H$47:$H$73,MATCH(DS$3,'Standards for Conversions'!$A$47:$A$73,0)))=0,"",DT8/(INDEX('Standards for Conversions'!$H$47:$H$73,MATCH(DS$3,'Standards for Conversions'!$A$47:$A$73,0))))</f>
        <v>#N/A</v>
      </c>
      <c r="DW8" s="3"/>
      <c r="DX8" s="8"/>
      <c r="DY8" s="31" t="e">
        <f>IF(DX8/(INDEX('Standards for Conversions'!$H$47:$H$73,MATCH(DW$3,'Standards for Conversions'!$A$47:$A$73,0)))=0,"",DX8/(INDEX('Standards for Conversions'!$H$47:$H$73,MATCH(DW$3,'Standards for Conversions'!$A$47:$A$73,0))))</f>
        <v>#N/A</v>
      </c>
      <c r="DZ8" s="10" t="s">
        <v>63</v>
      </c>
      <c r="EA8" s="3"/>
      <c r="EB8" s="8"/>
      <c r="EC8" s="31" t="e">
        <f>IF(EB8/(INDEX('Standards for Conversions'!$H$47:$H$73,MATCH(EA$3,'Standards for Conversions'!$A$47:$A$73,0)))=0,"",EB8/(INDEX('Standards for Conversions'!$H$47:$H$73,MATCH(EA$3,'Standards for Conversions'!$A$47:$A$73,0))))</f>
        <v>#N/A</v>
      </c>
      <c r="ED8" s="10" t="s">
        <v>63</v>
      </c>
      <c r="EE8" s="3"/>
      <c r="EF8" s="8"/>
      <c r="EG8" s="31" t="e">
        <f>IF(EF8/(INDEX('Standards for Conversions'!$H$47:$H$73,MATCH(EE$3,'Standards for Conversions'!$A$47:$A$73,0)))=0,"",EF8/(INDEX('Standards for Conversions'!$H$47:$H$73,MATCH(EE$3,'Standards for Conversions'!$A$47:$A$73,0))))</f>
        <v>#N/A</v>
      </c>
      <c r="EH8" s="10" t="s">
        <v>63</v>
      </c>
      <c r="EI8" s="11"/>
      <c r="EJ8" s="8"/>
      <c r="EK8" s="31" t="e">
        <f>IF(EJ8/(INDEX('Standards for Conversions'!$H$47:$H$73,MATCH(EI$3,'Standards for Conversions'!$A$47:$A$73,0)))=0,"",EJ8/(INDEX('Standards for Conversions'!$H$47:$H$73,MATCH(EI$3,'Standards for Conversions'!$A$47:$A$73,0))))</f>
        <v>#N/A</v>
      </c>
      <c r="EM8" s="3"/>
      <c r="EN8" s="8"/>
      <c r="EO8" s="31" t="e">
        <f>IF(EN8/(INDEX('Standards for Conversions'!$H$47:$H$73,MATCH(EM$3,'Standards for Conversions'!$A$47:$A$73,0)))=0,"",EN8/(INDEX('Standards for Conversions'!$H$47:$H$73,MATCH(EM$3,'Standards for Conversions'!$A$47:$A$73,0))))</f>
        <v>#N/A</v>
      </c>
      <c r="EP8" s="10" t="s">
        <v>63</v>
      </c>
      <c r="EQ8" s="3"/>
      <c r="ER8" s="8"/>
      <c r="ES8" s="31" t="e">
        <f>IF(ER8/(INDEX('Standards for Conversions'!$H$47:$H$73,MATCH(EQ$3,'Standards for Conversions'!$A$47:$A$73,0)))=0,"",ER8/(INDEX('Standards for Conversions'!$H$47:$H$73,MATCH(EQ$3,'Standards for Conversions'!$A$47:$A$73,0))))</f>
        <v>#N/A</v>
      </c>
      <c r="ET8" s="10" t="s">
        <v>63</v>
      </c>
      <c r="EU8" s="3"/>
      <c r="EV8" s="8"/>
      <c r="EW8" s="31" t="e">
        <f>IF(EV8/(INDEX('Standards for Conversions'!$H$47:$H$73,MATCH(EU$3,'Standards for Conversions'!$A$47:$A$73,0)))=0,"",EV8/(INDEX('Standards for Conversions'!$H$47:$H$73,MATCH(EU$3,'Standards for Conversions'!$A$47:$A$73,0))))</f>
        <v>#N/A</v>
      </c>
      <c r="EX8" s="10" t="s">
        <v>63</v>
      </c>
      <c r="EY8" s="11"/>
      <c r="EZ8" s="8"/>
      <c r="FA8" s="31" t="e">
        <f>IF(EZ8/(INDEX('Standards for Conversions'!$H$47:$H$73,MATCH(EY$3,'Standards for Conversions'!$A$47:$A$73,0)))=0,"",EZ8/(INDEX('Standards for Conversions'!$H$47:$H$73,MATCH(EY$3,'Standards for Conversions'!$A$47:$A$73,0))))</f>
        <v>#N/A</v>
      </c>
      <c r="FC8" s="3"/>
      <c r="FD8" s="8"/>
      <c r="FE8" s="31" t="e">
        <f>IF(FD8/(INDEX('Standards for Conversions'!$H$47:$H$73,MATCH(FC$3,'Standards for Conversions'!$A$47:$A$73,0)))=0,"",FD8/(INDEX('Standards for Conversions'!$H$47:$H$73,MATCH(FC$3,'Standards for Conversions'!$A$47:$A$73,0))))</f>
        <v>#N/A</v>
      </c>
      <c r="FF8" s="10" t="s">
        <v>63</v>
      </c>
      <c r="FG8" s="3"/>
      <c r="FH8" s="8"/>
      <c r="FI8" s="31" t="e">
        <f>IF(FH8/(INDEX('Standards for Conversions'!$H$47:$H$73,MATCH(FG$3,'Standards for Conversions'!$A$47:$A$73,0)))=0,"",FH8/(INDEX('Standards for Conversions'!$H$47:$H$73,MATCH(FG$3,'Standards for Conversions'!$A$47:$A$73,0))))</f>
        <v>#N/A</v>
      </c>
      <c r="FJ8" s="10" t="s">
        <v>63</v>
      </c>
      <c r="FK8" s="3"/>
      <c r="FL8" s="8"/>
      <c r="FM8" s="31" t="e">
        <f>IF(FL8/(INDEX('Standards for Conversions'!$H$47:$H$73,MATCH(FK$3,'Standards for Conversions'!$A$47:$A$73,0)))=0,"",FL8/(INDEX('Standards for Conversions'!$H$47:$H$73,MATCH(FK$3,'Standards for Conversions'!$A$47:$A$73,0))))</f>
        <v>#N/A</v>
      </c>
      <c r="FN8" s="10" t="s">
        <v>63</v>
      </c>
      <c r="FO8" s="11"/>
      <c r="FP8" s="8"/>
      <c r="FQ8" s="31" t="e">
        <f>IF(FP8/(INDEX('Standards for Conversions'!$H$47:$H$73,MATCH(FO$3,'Standards for Conversions'!$A$47:$A$73,0)))=0,"",FP8/(INDEX('Standards for Conversions'!$H$47:$H$73,MATCH(FO$3,'Standards for Conversions'!$A$47:$A$73,0))))</f>
        <v>#N/A</v>
      </c>
      <c r="FS8" s="3"/>
      <c r="FT8" s="8"/>
      <c r="FU8" s="31" t="e">
        <f>IF(FT8/(INDEX('Standards for Conversions'!$H$47:$H$73,MATCH(FS$3,'Standards for Conversions'!$A$47:$A$73,0)))=0,"",FT8/(INDEX('Standards for Conversions'!$H$47:$H$73,MATCH(FS$3,'Standards for Conversions'!$A$47:$A$73,0))))</f>
        <v>#N/A</v>
      </c>
      <c r="FV8" s="10" t="s">
        <v>63</v>
      </c>
      <c r="FW8" s="3"/>
      <c r="FX8" s="8"/>
      <c r="FY8" s="31" t="e">
        <f>IF(FX8/(INDEX('Standards for Conversions'!$H$47:$H$73,MATCH(FW$3,'Standards for Conversions'!$A$47:$A$73,0)))=0,"",FX8/(INDEX('Standards for Conversions'!$H$47:$H$73,MATCH(FW$3,'Standards for Conversions'!$A$47:$A$73,0))))</f>
        <v>#N/A</v>
      </c>
      <c r="FZ8" s="10" t="s">
        <v>63</v>
      </c>
      <c r="GA8" s="3"/>
      <c r="GB8" s="8"/>
      <c r="GC8" s="31" t="e">
        <f>IF(GB8/(INDEX('Standards for Conversions'!$H$47:$H$73,MATCH(GA$3,'Standards for Conversions'!$A$47:$A$73,0)))=0,"",GB8/(INDEX('Standards for Conversions'!$H$47:$H$73,MATCH(GA$3,'Standards for Conversions'!$A$47:$A$73,0))))</f>
        <v>#N/A</v>
      </c>
      <c r="GD8" s="10" t="s">
        <v>63</v>
      </c>
      <c r="GE8" s="11"/>
      <c r="GF8" s="8"/>
      <c r="GG8" s="31" t="e">
        <f>IF(GF8/(INDEX('Standards for Conversions'!$H$47:$H$73,MATCH(GE$3,'Standards for Conversions'!$A$47:$A$73,0)))=0,"",GF8/(INDEX('Standards for Conversions'!$H$47:$H$73,MATCH(GE$3,'Standards for Conversions'!$A$47:$A$73,0))))</f>
        <v>#N/A</v>
      </c>
      <c r="GI8" s="3"/>
      <c r="GJ8" s="8"/>
      <c r="GK8" s="31" t="e">
        <f>IF(GJ8/(INDEX('Standards for Conversions'!$H$47:$H$73,MATCH(GI$3,'Standards for Conversions'!$A$47:$A$73,0)))=0,"",GJ8/(INDEX('Standards for Conversions'!$H$47:$H$73,MATCH(GI$3,'Standards for Conversions'!$A$47:$A$73,0))))</f>
        <v>#N/A</v>
      </c>
      <c r="GL8" s="10" t="s">
        <v>63</v>
      </c>
      <c r="GM8" s="3"/>
      <c r="GN8" s="8"/>
      <c r="GO8" s="31" t="e">
        <f>IF(GN8/(INDEX('Standards for Conversions'!$H$47:$H$73,MATCH(GM$3,'Standards for Conversions'!$A$47:$A$73,0)))=0,"",GN8/(INDEX('Standards for Conversions'!$H$47:$H$73,MATCH(GM$3,'Standards for Conversions'!$A$47:$A$73,0))))</f>
        <v>#N/A</v>
      </c>
      <c r="GP8" s="10" t="s">
        <v>63</v>
      </c>
      <c r="GQ8" s="3"/>
      <c r="GR8" s="8"/>
      <c r="GS8" s="31" t="e">
        <f>IF(GR8/(INDEX('Standards for Conversions'!$H$47:$H$73,MATCH(GQ$3,'Standards for Conversions'!$A$47:$A$73,0)))=0,"",GR8/(INDEX('Standards for Conversions'!$H$47:$H$73,MATCH(GQ$3,'Standards for Conversions'!$A$47:$A$73,0))))</f>
        <v>#N/A</v>
      </c>
      <c r="GT8" s="10" t="s">
        <v>63</v>
      </c>
      <c r="GU8" s="11"/>
      <c r="GV8" s="8"/>
      <c r="GW8" s="31" t="e">
        <f>IF(GV8/(INDEX('Standards for Conversions'!$H$47:$H$73,MATCH(GU$3,'Standards for Conversions'!$A$47:$A$73,0)))=0,"",GV8/(INDEX('Standards for Conversions'!$H$47:$H$73,MATCH(GU$3,'Standards for Conversions'!$A$47:$A$73,0))))</f>
        <v>#N/A</v>
      </c>
      <c r="GY8" s="3"/>
      <c r="GZ8" s="8"/>
      <c r="HA8" s="31" t="e">
        <f>IF(GZ8/(INDEX('Standards for Conversions'!$H$47:$H$73,MATCH(GY$3,'Standards for Conversions'!$A$47:$A$73,0)))=0,"",GZ8/(INDEX('Standards for Conversions'!$H$47:$H$73,MATCH(GY$3,'Standards for Conversions'!$A$47:$A$73,0))))</f>
        <v>#N/A</v>
      </c>
      <c r="HB8" s="10" t="s">
        <v>63</v>
      </c>
      <c r="HC8" s="3"/>
      <c r="HD8" s="8"/>
      <c r="HE8" s="31" t="str">
        <f>IF(HD8/(INDEX('Standards for Conversions'!$H$47:$H$73,MATCH(HC$3,'Standards for Conversions'!$A$47:$A$73,0)))=0,"",HD8/(INDEX('Standards for Conversions'!$H$47:$H$73,MATCH(HC$3,'Standards for Conversions'!$A$47:$A$73,0))))</f>
        <v/>
      </c>
      <c r="HF8" s="10" t="s">
        <v>63</v>
      </c>
      <c r="HG8" s="3"/>
      <c r="HH8" s="8"/>
      <c r="HI8" s="31" t="str">
        <f>IF(HH8/(INDEX('Standards for Conversions'!$H$47:$H$73,MATCH(HG$3,'Standards for Conversions'!$A$47:$A$73,0)))=0,"",HH8/(INDEX('Standards for Conversions'!$H$47:$H$73,MATCH(HG$3,'Standards for Conversions'!$A$47:$A$73,0))))</f>
        <v/>
      </c>
      <c r="HJ8" s="10" t="s">
        <v>63</v>
      </c>
      <c r="HK8" s="11"/>
      <c r="HL8" s="8"/>
      <c r="HM8" s="31" t="str">
        <f>IF(HL8/(INDEX('Standards for Conversions'!$H$47:$H$73,MATCH(HK$3,'Standards for Conversions'!$A$47:$A$73,0)))=0,"",HL8/(INDEX('Standards for Conversions'!$H$47:$H$73,MATCH(HK$3,'Standards for Conversions'!$A$47:$A$73,0))))</f>
        <v/>
      </c>
      <c r="HO8" s="3"/>
      <c r="HP8" s="8"/>
      <c r="HQ8" s="31" t="str">
        <f>IF(HP8/(INDEX('Standards for Conversions'!$H$47:$H$73,MATCH(HO$3,'Standards for Conversions'!$A$47:$A$73,0)))=0,"",HP8/(INDEX('Standards for Conversions'!$H$47:$H$73,MATCH(HO$3,'Standards for Conversions'!$A$47:$A$73,0))))</f>
        <v/>
      </c>
      <c r="HR8" s="33" t="s">
        <v>98</v>
      </c>
      <c r="HS8" s="43"/>
      <c r="HT8" s="44"/>
      <c r="HU8" s="31" t="str">
        <f>IF(HT8/(INDEX('Standards for Conversions'!$H$47:$H$73,MATCH(HS$3,'Standards for Conversions'!$A$47:$A$73,0)))=0,"",HT8/(INDEX('Standards for Conversions'!$H$47:$H$73,MATCH(HS$3,'Standards for Conversions'!$A$47:$A$73,0))))</f>
        <v/>
      </c>
      <c r="HV8" s="33" t="s">
        <v>98</v>
      </c>
      <c r="HW8" s="43"/>
      <c r="HX8" s="44"/>
      <c r="HY8" s="31" t="str">
        <f>IF(HX8/(INDEX('Standards for Conversions'!$H$47:$H$73,MATCH(HW$3,'Standards for Conversions'!$A$47:$A$73,0)))=0,"",HX8/(INDEX('Standards for Conversions'!$H$47:$H$73,MATCH(HW$3,'Standards for Conversions'!$A$47:$A$73,0))))</f>
        <v/>
      </c>
      <c r="HZ8" s="29">
        <v>75.875</v>
      </c>
      <c r="IA8" s="44">
        <v>400</v>
      </c>
      <c r="IB8" s="31">
        <f>IF(IA8/(INDEX('Standards for Conversions'!$H$47:$H$73,MATCH(HZ$3,'Standards for Conversions'!$A$47:$A$73,0)))=0,"",IA8/(INDEX('Standards for Conversions'!$H$47:$H$73,MATCH(HZ$3,'Standards for Conversions'!$A$47:$A$73,0))))</f>
        <v>58.098164885142381</v>
      </c>
      <c r="ID8" s="43"/>
      <c r="IE8" s="44"/>
      <c r="IF8" s="31" t="str">
        <f>IF(IE8/(INDEX('Standards for Conversions'!$H$47:$H$73,MATCH(ID$3,'Standards for Conversions'!$A$47:$A$73,0)))=0,"",IE8/(INDEX('Standards for Conversions'!$H$47:$H$73,MATCH(ID$3,'Standards for Conversions'!$A$47:$A$73,0))))</f>
        <v/>
      </c>
      <c r="IH8" s="43"/>
      <c r="II8" s="44"/>
      <c r="IJ8" s="31" t="str">
        <f>IF(II8/(INDEX('Standards for Conversions'!$H$47:$H$73,MATCH(IH$3,'Standards for Conversions'!$A$47:$A$73,0)))=0,"",II8/(INDEX('Standards for Conversions'!$H$47:$H$73,MATCH(IH$3,'Standards for Conversions'!$A$47:$A$73,0))))</f>
        <v/>
      </c>
      <c r="IL8" s="43"/>
      <c r="IM8" s="44"/>
      <c r="IN8" s="31" t="str">
        <f>IF(IM8/(INDEX('Standards for Conversions'!$H$47:$H$73,MATCH(IL$3,'Standards for Conversions'!$A$47:$A$73,0)))=0,"",IM8/(INDEX('Standards for Conversions'!$H$47:$H$73,MATCH(IL$3,'Standards for Conversions'!$A$47:$A$73,0))))</f>
        <v/>
      </c>
      <c r="IP8" s="43"/>
      <c r="IQ8" s="44"/>
      <c r="IR8" s="31" t="str">
        <f>IF(IQ8/(INDEX('Standards for Conversions'!$H$47:$H$73,MATCH(IP$3,'Standards for Conversions'!$A$47:$A$73,0)))=0,"",IQ8/(INDEX('Standards for Conversions'!$H$47:$H$73,MATCH(IP$3,'Standards for Conversions'!$A$47:$A$73,0))))</f>
        <v/>
      </c>
      <c r="IT8" s="43"/>
      <c r="IU8" s="44"/>
      <c r="IV8" s="31" t="str">
        <f>IF(IU8/(INDEX('Standards for Conversions'!$H$47:$H$73,MATCH(IT$3,'Standards for Conversions'!$A$47:$A$73,0)))=0,"",IU8/(INDEX('Standards for Conversions'!$H$47:$H$73,MATCH(IT$3,'Standards for Conversions'!$A$47:$A$73,0))))</f>
        <v/>
      </c>
      <c r="IZ8" s="31" t="str">
        <f>IF(IY8/(INDEX('Standards for Conversions'!$H$47:$H$73,MATCH(IX$3,'Standards for Conversions'!$A$47:$A$73,0)))=0,"",IY8/(INDEX('Standards for Conversions'!$H$47:$H$73,MATCH(IX$3,'Standards for Conversions'!$A$47:$A$73,0))))</f>
        <v/>
      </c>
      <c r="JA8" s="33"/>
      <c r="JD8" s="31" t="str">
        <f>IF(JC8/(INDEX('Standards for Conversions'!$H$47:$H$73,MATCH(JB$3,'Standards for Conversions'!$A$47:$A$73,0)))=0,"",JC8/(INDEX('Standards for Conversions'!$H$47:$H$73,MATCH(JB$3,'Standards for Conversions'!$A$47:$A$73,0))))</f>
        <v/>
      </c>
      <c r="JE8" s="46"/>
      <c r="JH8" s="31" t="str">
        <f>IF(JG8/(INDEX('Standards for Conversions'!$H$47:$H$73,MATCH(JF$3,'Standards for Conversions'!$A$47:$A$73,0)))=0,"",JG8/(INDEX('Standards for Conversions'!$H$47:$H$73,MATCH(JF$3,'Standards for Conversions'!$A$47:$A$73,0))))</f>
        <v/>
      </c>
      <c r="JI8" s="46"/>
      <c r="JJ8" s="43"/>
      <c r="JK8" s="44"/>
      <c r="JL8" s="31" t="str">
        <f>IF(JK8/(INDEX('Standards for Conversions'!$H$47:$H$73,MATCH(JJ$3,'Standards for Conversions'!$A$47:$A$73,0)))=0,"",JK8/(INDEX('Standards for Conversions'!$H$47:$H$73,MATCH(JJ$3,'Standards for Conversions'!$A$47:$A$73,0))))</f>
        <v/>
      </c>
      <c r="JP8" s="31" t="str">
        <f>IF(JO8/(INDEX('Standards for Conversions'!$H$47:$H$73,MATCH(JN$3,'Standards for Conversions'!$A$47:$A$73,0)))=0,"",JO8/(INDEX('Standards for Conversions'!$H$47:$H$73,MATCH(JN$3,'Standards for Conversions'!$A$47:$A$73,0))))</f>
        <v/>
      </c>
      <c r="JT8" s="31" t="str">
        <f>IF(JS8/(INDEX('Standards for Conversions'!$H$47:$H$73,MATCH(JR$3,'Standards for Conversions'!$A$47:$A$73,0)))=0,"",JS8/(INDEX('Standards for Conversions'!$H$47:$H$73,MATCH(JR$3,'Standards for Conversions'!$A$47:$A$73,0))))</f>
        <v/>
      </c>
      <c r="JV8" s="43"/>
      <c r="JW8" s="44"/>
      <c r="JX8" s="31" t="str">
        <f>IF(JW8/(INDEX('Standards for Conversions'!$H$47:$H$73,MATCH(JV$3,'Standards for Conversions'!$A$47:$A$73,0)))=0,"",JW8/(INDEX('Standards for Conversions'!$H$47:$H$73,MATCH(JV$3,'Standards for Conversions'!$A$47:$A$73,0))))</f>
        <v/>
      </c>
      <c r="JZ8" s="43"/>
      <c r="KA8" s="44"/>
      <c r="KB8" s="31" t="str">
        <f>IF(KA8/(INDEX('Standards for Conversions'!$H$47:$H$73,MATCH(JZ$3,'Standards for Conversions'!$A$47:$A$73,0)))=0,"",KA8/(INDEX('Standards for Conversions'!$H$47:$H$73,MATCH(JZ$3,'Standards for Conversions'!$A$47:$A$73,0))))</f>
        <v/>
      </c>
      <c r="KF8" s="31" t="str">
        <f>IF(KE8/(INDEX('Standards for Conversions'!$H$47:$H$73,MATCH(KD$3,'Standards for Conversions'!$A$47:$A$73,0)))=0,"",KE8/(INDEX('Standards for Conversions'!$H$47:$H$73,MATCH(KD$3,'Standards for Conversions'!$A$47:$A$73,0))))</f>
        <v/>
      </c>
      <c r="KJ8" s="31" t="str">
        <f>IF(KI8/(INDEX('Standards for Conversions'!$H$47:$H$73,MATCH(KH$3,'Standards for Conversions'!$A$47:$A$73,0)))=0,"",KI8/(INDEX('Standards for Conversions'!$H$47:$H$73,MATCH(KH$3,'Standards for Conversions'!$A$47:$A$73,0))))</f>
        <v/>
      </c>
      <c r="KL8" s="43"/>
      <c r="KM8" s="44"/>
      <c r="KN8" s="31" t="str">
        <f>IF(KM8/(INDEX('Standards for Conversions'!$H$47:$H$73,MATCH(KL$3,'Standards for Conversions'!$A$47:$A$73,0)))=0,"",KM8/(INDEX('Standards for Conversions'!$H$47:$H$73,MATCH(KL$3,'Standards for Conversions'!$A$47:$A$73,0))))</f>
        <v/>
      </c>
      <c r="KP8" s="43"/>
      <c r="KQ8" s="44"/>
      <c r="KR8" s="31" t="str">
        <f>IF(KQ8/(INDEX('Standards for Conversions'!$H$47:$H$73,MATCH(KP$3,'Standards for Conversions'!$A$47:$A$73,0)))=0,"",KQ8/(INDEX('Standards for Conversions'!$H$47:$H$73,MATCH(KP$3,'Standards for Conversions'!$A$47:$A$73,0))))</f>
        <v/>
      </c>
      <c r="KV8" s="31" t="str">
        <f>IF(KU8/(INDEX('Standards for Conversions'!$H$47:$H$73,MATCH(KT$3,'Standards for Conversions'!$A$47:$A$73,0)))=0,"",KU8/(INDEX('Standards for Conversions'!$H$47:$H$73,MATCH(KT$3,'Standards for Conversions'!$A$47:$A$73,0))))</f>
        <v/>
      </c>
      <c r="KW8" s="33"/>
      <c r="KZ8" s="31" t="str">
        <f>IF(KY8/(INDEX('Standards for Conversions'!$H$47:$H$73,MATCH(KX$3,'Standards for Conversions'!$A$47:$A$73,0)))=0,"",KY8/(INDEX('Standards for Conversions'!$H$47:$H$73,MATCH(KX$3,'Standards for Conversions'!$A$47:$A$73,0))))</f>
        <v/>
      </c>
      <c r="LA8" s="42"/>
      <c r="LB8" s="43"/>
      <c r="LC8" s="44"/>
      <c r="LD8" s="31" t="str">
        <f>IF(LC8/(INDEX('Standards for Conversions'!$H$47:$H$73,MATCH(LB$3,'Standards for Conversions'!$A$47:$A$73,0)))=0,"",LC8/(INDEX('Standards for Conversions'!$H$47:$H$73,MATCH(LB$3,'Standards for Conversions'!$A$47:$A$73,0))))</f>
        <v/>
      </c>
      <c r="LE8" s="46"/>
      <c r="LF8" s="43"/>
      <c r="LG8" s="44"/>
      <c r="LH8" s="31" t="str">
        <f>IF(LG8/(INDEX('Standards for Conversions'!$H$47:$H$73,MATCH(LF$3,'Standards for Conversions'!$A$47:$A$73,0)))=0,"",LG8/(INDEX('Standards for Conversions'!$H$47:$H$73,MATCH(LF$3,'Standards for Conversions'!$A$47:$A$73,0))))</f>
        <v/>
      </c>
      <c r="LI8" s="33"/>
      <c r="LJ8" s="43"/>
      <c r="LK8" s="44"/>
      <c r="LL8" s="31" t="str">
        <f>IF(LK8/(INDEX('Standards for Conversions'!$H$47:$H$73,MATCH(LJ$3,'Standards for Conversions'!$A$47:$A$73,0)))=0,"",LK8/(INDEX('Standards for Conversions'!$H$47:$H$73,MATCH(LJ$3,'Standards for Conversions'!$A$47:$A$73,0))))</f>
        <v/>
      </c>
      <c r="LM8" s="43"/>
      <c r="LN8" s="44"/>
      <c r="LO8" s="31" t="str">
        <f>IF(LN8/(INDEX('Standards for Conversions'!$H$47:$H$73,MATCH(LM$3,'Standards for Conversions'!$A$47:$A$73,0)))=0,"",LN8/(INDEX('Standards for Conversions'!$H$47:$H$73,MATCH(LM$3,'Standards for Conversions'!$A$47:$A$73,0))))</f>
        <v/>
      </c>
      <c r="LP8" s="43"/>
      <c r="LQ8" s="44"/>
      <c r="LR8" s="31" t="str">
        <f>IF(LQ8/(INDEX('Standards for Conversions'!$H$47:$H$73,MATCH(LP$3,'Standards for Conversions'!$A$47:$A$73,0)))=0,"",LQ8/(INDEX('Standards for Conversions'!$H$47:$H$73,MATCH(LP$3,'Standards for Conversions'!$A$47:$A$73,0))))</f>
        <v/>
      </c>
      <c r="LS8" s="33"/>
      <c r="LT8" s="43"/>
      <c r="LU8" s="44"/>
      <c r="LV8" s="31" t="str">
        <f>IF(LU8/(INDEX('Standards for Conversions'!$H$47:$H$73,MATCH(LT$3,'Standards for Conversions'!$A$47:$A$73,0)))=0,"",LU8/(INDEX('Standards for Conversions'!$H$47:$H$73,MATCH(LT$3,'Standards for Conversions'!$A$47:$A$73,0))))</f>
        <v/>
      </c>
      <c r="LW8" s="43"/>
      <c r="LX8" s="44"/>
      <c r="LY8" s="31" t="str">
        <f>IF(LX8/(INDEX('Standards for Conversions'!$H$47:$H$73,MATCH(LW$3,'Standards for Conversions'!$A$47:$A$73,0)))=0,"",LX8/(INDEX('Standards for Conversions'!$H$47:$H$73,MATCH(LW$3,'Standards for Conversions'!$A$47:$A$73,0))))</f>
        <v/>
      </c>
      <c r="LZ8" s="43"/>
      <c r="MA8" s="44"/>
      <c r="MB8" s="31" t="str">
        <f>IF(MA8/(INDEX('Standards for Conversions'!$H$47:$H$73,MATCH(LZ$3,'Standards for Conversions'!$A$47:$A$73,0)))=0,"",MA8/(INDEX('Standards for Conversions'!$H$47:$H$73,MATCH(LZ$3,'Standards for Conversions'!$A$47:$A$73,0))))</f>
        <v/>
      </c>
      <c r="MC8" s="43"/>
      <c r="MD8" s="44"/>
      <c r="ME8" s="31" t="str">
        <f>IF(MD8/(INDEX('Standards for Conversions'!$H$47:$H$73,MATCH(MC$3,'Standards for Conversions'!$A$47:$A$73,0)))=0,"",MD8/(INDEX('Standards for Conversions'!$H$47:$H$73,MATCH(MC$3,'Standards for Conversions'!$A$47:$A$73,0))))</f>
        <v/>
      </c>
      <c r="MF8" s="43"/>
      <c r="MG8" s="44"/>
      <c r="MH8" s="31" t="str">
        <f>IF(MG8/(INDEX('Standards for Conversions'!$H$47:$H$73,MATCH(MF$3,'Standards for Conversions'!$A$47:$A$73,0)))=0,"",MG8/(INDEX('Standards for Conversions'!$H$47:$H$73,MATCH(MF$3,'Standards for Conversions'!$A$47:$A$73,0))))</f>
        <v/>
      </c>
      <c r="MI8" s="43"/>
      <c r="MJ8" s="44"/>
      <c r="MK8" s="31" t="str">
        <f>IF(MJ8/(INDEX('Standards for Conversions'!$H$47:$H$73,MATCH(MI$3,'Standards for Conversions'!$A$47:$A$73,0)))=0,"",MJ8/(INDEX('Standards for Conversions'!$H$47:$H$73,MATCH(MI$3,'Standards for Conversions'!$A$47:$A$73,0))))</f>
        <v/>
      </c>
      <c r="ML8" s="43"/>
      <c r="MM8" s="44"/>
      <c r="MN8" s="31" t="str">
        <f>IF(MM8/(INDEX('Standards for Conversions'!$H$47:$H$73,MATCH(ML$3,'Standards for Conversions'!$A$47:$A$73,0)))=0,"",MM8/(INDEX('Standards for Conversions'!$H$47:$H$73,MATCH(ML$3,'Standards for Conversions'!$A$47:$A$73,0))))</f>
        <v/>
      </c>
      <c r="MO8" s="42"/>
      <c r="MP8" s="45"/>
      <c r="MQ8" s="44"/>
      <c r="MR8" s="31" t="str">
        <f>IF(MQ8/(INDEX('Standards for Conversions'!$H$47:$H$73,MATCH(MP$3,'Standards for Conversions'!$A$47:$A$73,0)))=0,"",MQ8/(INDEX('Standards for Conversions'!$H$47:$H$73,MATCH(MP$3,'Standards for Conversions'!$A$47:$A$73,0))))</f>
        <v/>
      </c>
      <c r="MS8" s="42"/>
      <c r="MT8" s="45"/>
      <c r="MU8" s="44"/>
      <c r="MV8" s="43"/>
      <c r="MW8" s="44"/>
      <c r="MX8" s="43"/>
      <c r="MY8" s="44"/>
      <c r="MZ8" s="33"/>
      <c r="NE8" s="33"/>
    </row>
    <row r="9" spans="1:373" ht="15.6" x14ac:dyDescent="0.3">
      <c r="A9" s="102" t="s">
        <v>37</v>
      </c>
      <c r="B9" s="10" t="s">
        <v>38</v>
      </c>
      <c r="C9" s="9">
        <f>1.5*100</f>
        <v>150</v>
      </c>
      <c r="D9" s="9">
        <v>4000</v>
      </c>
      <c r="E9" s="31">
        <f>IF(D9/(INDEX('Standards for Conversions'!$H$34:$H$73,MATCH(C$3,'Standards for Conversions'!$A$34:$A$73,0)))=0,"",D9/(INDEX('Standards for Conversions'!$H$34:$H$73,MATCH(C$3,'Standards for Conversions'!$A$34:$A$73,0))))</f>
        <v>790.16891891891885</v>
      </c>
      <c r="F9" s="10" t="s">
        <v>38</v>
      </c>
      <c r="G9" s="9"/>
      <c r="H9" s="9"/>
      <c r="I9" s="31" t="str">
        <f>IF(H9/(INDEX('Standards for Conversions'!$H$34:$H$73,MATCH(G$3,'Standards for Conversions'!$A$34:$A$73,0)))=0,"",H9/(INDEX('Standards for Conversions'!$H$34:$H$73,MATCH(G$3,'Standards for Conversions'!$A$34:$A$73,0))))</f>
        <v/>
      </c>
      <c r="J9" s="6" t="s">
        <v>374</v>
      </c>
      <c r="K9" s="9">
        <v>319</v>
      </c>
      <c r="L9" s="9">
        <v>4500</v>
      </c>
      <c r="M9" s="31">
        <f>IF(L9/(INDEX('Standards for Conversions'!$H$34:$H$73,MATCH(K$3,'Standards for Conversions'!$A$34:$A$73,0)))=0,"",L9/(INDEX('Standards for Conversions'!$H$34:$H$73,MATCH(K$3,'Standards for Conversions'!$A$34:$A$73,0))))</f>
        <v>888.94003378378363</v>
      </c>
      <c r="N9" s="10" t="s">
        <v>38</v>
      </c>
      <c r="O9" s="9">
        <f>1.5*77835</f>
        <v>116752.5</v>
      </c>
      <c r="P9" s="9">
        <v>340850</v>
      </c>
      <c r="Q9" s="31">
        <f>IF(P9/(INDEX('Standards for Conversions'!$H$34:$H$73,MATCH(O$3,'Standards for Conversions'!$A$34:$A$73,0)))=0,"",P9/(INDEX('Standards for Conversions'!$H$34:$H$73,MATCH(O$3,'Standards for Conversions'!$A$34:$A$73,0))))</f>
        <v>67332.269003378373</v>
      </c>
      <c r="R9" s="10" t="s">
        <v>38</v>
      </c>
      <c r="S9" s="9">
        <f>1.5*600</f>
        <v>900</v>
      </c>
      <c r="T9" s="9">
        <v>2000</v>
      </c>
      <c r="U9" s="31">
        <f>IF(T9/(INDEX('Standards for Conversions'!$H$34:$H$73,MATCH(S$3,'Standards for Conversions'!$A$34:$A$73,0)))=0,"",T9/(INDEX('Standards for Conversions'!$H$34:$H$73,MATCH(S$3,'Standards for Conversions'!$A$34:$A$73,0))))</f>
        <v>385.34497117696469</v>
      </c>
      <c r="V9" s="10" t="s">
        <v>38</v>
      </c>
      <c r="W9" s="9"/>
      <c r="X9" s="9"/>
      <c r="Y9" s="31" t="str">
        <f>IF(X9/(INDEX('Standards for Conversions'!$H$34:$H$73,MATCH(W$3,'Standards for Conversions'!$A$34:$A$73,0)))=0,"",X9/(INDEX('Standards for Conversions'!$H$34:$H$73,MATCH(W$3,'Standards for Conversions'!$A$34:$A$73,0))))</f>
        <v/>
      </c>
      <c r="Z9" s="6" t="s">
        <v>374</v>
      </c>
      <c r="AA9" s="9">
        <v>125</v>
      </c>
      <c r="AB9" s="9">
        <v>1500</v>
      </c>
      <c r="AC9" s="31">
        <f>IF(AB9/(INDEX('Standards for Conversions'!$H$34:$H$73,MATCH(AA$3,'Standards for Conversions'!$A$34:$A$73,0)))=0,"",AB9/(INDEX('Standards for Conversions'!$H$34:$H$73,MATCH(AA$3,'Standards for Conversions'!$A$34:$A$73,0))))</f>
        <v>289.00872838272352</v>
      </c>
      <c r="AD9" s="10" t="s">
        <v>38</v>
      </c>
      <c r="AE9" s="9">
        <f>1.5*130000</f>
        <v>195000</v>
      </c>
      <c r="AF9" s="9">
        <v>500000</v>
      </c>
      <c r="AG9" s="31">
        <f>IF(AF9/(INDEX('Standards for Conversions'!$H$34:$H$73,MATCH(AE$3,'Standards for Conversions'!$A$34:$A$73,0)))=0,"",AF9/(INDEX('Standards for Conversions'!$H$34:$H$73,MATCH(AE$3,'Standards for Conversions'!$A$34:$A$73,0))))</f>
        <v>96336.242794241174</v>
      </c>
      <c r="AH9" s="10" t="s">
        <v>38</v>
      </c>
      <c r="AI9" s="9"/>
      <c r="AJ9" s="9"/>
      <c r="AK9" s="31" t="str">
        <f>IF(AJ9/(INDEX('Standards for Conversions'!$H$34:$H$73,MATCH(AI$3,'Standards for Conversions'!$A$34:$A$73,0)))=0,"",AJ9/(INDEX('Standards for Conversions'!$H$34:$H$73,MATCH(AI$3,'Standards for Conversions'!$A$34:$A$73,0))))</f>
        <v/>
      </c>
      <c r="AL9" s="10" t="s">
        <v>38</v>
      </c>
      <c r="AM9" s="9"/>
      <c r="AN9" s="9"/>
      <c r="AO9" s="31" t="str">
        <f>IF(AN9/(INDEX('Standards for Conversions'!$H$34:$H$73,MATCH(AM$3,'Standards for Conversions'!$A$34:$A$73,0)))=0,"",AN9/(INDEX('Standards for Conversions'!$H$34:$H$73,MATCH(AM$3,'Standards for Conversions'!$A$34:$A$73,0))))</f>
        <v/>
      </c>
      <c r="AP9" s="6" t="s">
        <v>374</v>
      </c>
      <c r="AQ9" s="9">
        <v>400</v>
      </c>
      <c r="AR9" s="9">
        <v>6000</v>
      </c>
      <c r="AS9" s="31">
        <f>IF(AR9/(INDEX('Standards for Conversions'!$H$34:$H$73,MATCH(AQ$3,'Standards for Conversions'!$A$34:$A$73,0)))=0,"",AR9/(INDEX('Standards for Conversions'!$H$34:$H$73,MATCH(AQ$3,'Standards for Conversions'!$A$34:$A$73,0))))</f>
        <v>1072.190623098983</v>
      </c>
      <c r="AT9" s="10" t="s">
        <v>38</v>
      </c>
      <c r="AU9" s="9">
        <f>1.5*81000</f>
        <v>121500</v>
      </c>
      <c r="AV9" s="9">
        <v>324000</v>
      </c>
      <c r="AW9" s="31">
        <f>IF(AV9/(INDEX('Standards for Conversions'!$H$34:$H$73,MATCH(AU$3,'Standards for Conversions'!$A$34:$A$73,0)))=0,"",AV9/(INDEX('Standards for Conversions'!$H$34:$H$73,MATCH(AU$3,'Standards for Conversions'!$A$34:$A$73,0))))</f>
        <v>57898.293647345083</v>
      </c>
      <c r="AX9" s="10" t="s">
        <v>38</v>
      </c>
      <c r="AY9" s="9"/>
      <c r="AZ9" s="9"/>
      <c r="BA9" s="31" t="str">
        <f>IF(AZ9/(INDEX('Standards for Conversions'!$H$34:$H$73,MATCH(AY$3,'Standards for Conversions'!$A$34:$A$73,0)))=0,"",AZ9/(INDEX('Standards for Conversions'!$H$34:$H$73,MATCH(AY$3,'Standards for Conversions'!$A$34:$A$73,0))))</f>
        <v/>
      </c>
      <c r="BB9" s="10" t="s">
        <v>38</v>
      </c>
      <c r="BC9" s="9"/>
      <c r="BD9" s="9"/>
      <c r="BE9" s="31" t="str">
        <f>IF(BD9/(INDEX('Standards for Conversions'!$H$34:$H$73,MATCH(BC$3,'Standards for Conversions'!$A$34:$A$73,0)))=0,"",BD9/(INDEX('Standards for Conversions'!$H$34:$H$73,MATCH(BC$3,'Standards for Conversions'!$A$34:$A$73,0))))</f>
        <v/>
      </c>
      <c r="BF9" s="6" t="s">
        <v>374</v>
      </c>
      <c r="BG9" s="9">
        <v>750</v>
      </c>
      <c r="BH9" s="9">
        <v>15000</v>
      </c>
      <c r="BI9" s="31">
        <f>IF(BH9/(INDEX('Standards for Conversions'!$H$34:$H$73,MATCH(BG$3,'Standards for Conversions'!$A$34:$A$73,0)))=0,"",BH9/(INDEX('Standards for Conversions'!$H$34:$H$73,MATCH(BG$3,'Standards for Conversions'!$A$34:$A$73,0))))</f>
        <v>2785.2819207873467</v>
      </c>
      <c r="BJ9" s="10" t="s">
        <v>38</v>
      </c>
      <c r="BK9" s="9">
        <f>1.5*80000</f>
        <v>120000</v>
      </c>
      <c r="BL9" s="9">
        <v>360000</v>
      </c>
      <c r="BM9" s="31">
        <f>IF(BL9/(INDEX('Standards for Conversions'!$H$34:$H$73,MATCH(BK$3,'Standards for Conversions'!$A$34:$A$73,0)))=0,"",BL9/(INDEX('Standards for Conversions'!$H$34:$H$73,MATCH(BK$3,'Standards for Conversions'!$A$34:$A$73,0))))</f>
        <v>66846.766098896318</v>
      </c>
      <c r="BN9" s="10" t="s">
        <v>38</v>
      </c>
      <c r="BO9" s="9"/>
      <c r="BP9" s="9"/>
      <c r="BQ9" s="31" t="str">
        <f>IF(BP9/(INDEX('Standards for Conversions'!$H$34:$H$73,MATCH(BO$3,'Standards for Conversions'!$A$34:$A$73,0)))=0,"",BP9/(INDEX('Standards for Conversions'!$H$34:$H$73,MATCH(BO$3,'Standards for Conversions'!$A$34:$A$73,0))))</f>
        <v/>
      </c>
      <c r="BR9" s="10" t="s">
        <v>38</v>
      </c>
      <c r="BS9" s="9"/>
      <c r="BT9" s="9"/>
      <c r="BU9" s="31" t="str">
        <f>IF(BT9/(INDEX('Standards for Conversions'!$H$34:$H$73,MATCH(BS$3,'Standards for Conversions'!$A$34:$A$73,0)))=0,"",BT9/(INDEX('Standards for Conversions'!$H$34:$H$73,MATCH(BS$3,'Standards for Conversions'!$A$34:$A$73,0))))</f>
        <v/>
      </c>
      <c r="BV9" s="10" t="s">
        <v>38</v>
      </c>
      <c r="BW9" s="9">
        <f>1.5*100</f>
        <v>150</v>
      </c>
      <c r="BX9" s="9">
        <v>2000</v>
      </c>
      <c r="BY9" s="31">
        <f>IF(BX9/(INDEX('Standards for Conversions'!$H$34:$H$73,MATCH(BW$3,'Standards for Conversions'!$A$34:$A$73,0)))=0,"",BX9/(INDEX('Standards for Conversions'!$H$34:$H$73,MATCH(BW$3,'Standards for Conversions'!$A$34:$A$73,0))))</f>
        <v>356.12650632948055</v>
      </c>
      <c r="BZ9" s="10" t="s">
        <v>38</v>
      </c>
      <c r="CA9" s="9">
        <f>1.5*82000</f>
        <v>123000</v>
      </c>
      <c r="CB9" s="9">
        <v>400000</v>
      </c>
      <c r="CC9" s="31">
        <f>IF(CB9/(INDEX('Standards for Conversions'!$H$34:$H$73,MATCH(CA$3,'Standards for Conversions'!$A$34:$A$73,0)))=0,"",CB9/(INDEX('Standards for Conversions'!$H$34:$H$73,MATCH(CA$3,'Standards for Conversions'!$A$34:$A$73,0))))</f>
        <v>71225.301265896109</v>
      </c>
      <c r="CD9" s="10" t="s">
        <v>38</v>
      </c>
      <c r="CE9" s="9"/>
      <c r="CF9" s="9"/>
      <c r="CG9" s="31" t="str">
        <f>IF(CF9/(INDEX('Standards for Conversions'!$H$34:$H$73,MATCH(CE$3,'Standards for Conversions'!$A$34:$A$73,0)))=0,"",CF9/(INDEX('Standards for Conversions'!$H$34:$H$73,MATCH(CE$3,'Standards for Conversions'!$A$34:$A$73,0))))</f>
        <v/>
      </c>
      <c r="CH9" s="10" t="s">
        <v>38</v>
      </c>
      <c r="CI9" s="9"/>
      <c r="CJ9" s="9"/>
      <c r="CK9" s="31" t="str">
        <f>IF(CJ9/(INDEX('Standards for Conversions'!$H$34:$H$73,MATCH(CI$3,'Standards for Conversions'!$A$34:$A$73,0)))=0,"",CJ9/(INDEX('Standards for Conversions'!$H$34:$H$73,MATCH(CI$3,'Standards for Conversions'!$A$34:$A$73,0))))</f>
        <v/>
      </c>
      <c r="CL9" s="10" t="s">
        <v>38</v>
      </c>
      <c r="CM9" s="9"/>
      <c r="CN9" s="9"/>
      <c r="CO9" s="31" t="str">
        <f>IF(CN9/(INDEX('Standards for Conversions'!$H$34:$H$73,MATCH(CM$3,'Standards for Conversions'!$A$34:$A$73,0)))=0,"",CN9/(INDEX('Standards for Conversions'!$H$34:$H$73,MATCH(CM$3,'Standards for Conversions'!$A$34:$A$73,0))))</f>
        <v/>
      </c>
      <c r="CP9" s="10" t="s">
        <v>38</v>
      </c>
      <c r="CQ9" s="9">
        <f>1.5*(125000+500)</f>
        <v>188250</v>
      </c>
      <c r="CR9" s="9">
        <f>562500+1200</f>
        <v>563700</v>
      </c>
      <c r="CS9" s="31">
        <f>IF(CR9/(INDEX('Standards for Conversions'!$H$34:$H$73,MATCH(CQ$3,'Standards for Conversions'!$A$34:$A$73,0)))=0,"",CR9/(INDEX('Standards for Conversions'!$H$34:$H$73,MATCH(CQ$3,'Standards for Conversions'!$A$34:$A$73,0))))</f>
        <v>97867.883190666544</v>
      </c>
      <c r="CT9" s="10" t="s">
        <v>38</v>
      </c>
      <c r="CU9" s="9"/>
      <c r="CV9" s="9"/>
      <c r="CW9" s="31" t="str">
        <f>IF(CV9/(INDEX('Standards for Conversions'!$H$34:$H$73,MATCH(CU$3,'Standards for Conversions'!$A$34:$A$73,0)))=0,"",CV9/(INDEX('Standards for Conversions'!$H$34:$H$73,MATCH(CU$3,'Standards for Conversions'!$A$34:$A$73,0))))</f>
        <v/>
      </c>
      <c r="CX9" s="10" t="s">
        <v>38</v>
      </c>
      <c r="CY9" s="9"/>
      <c r="CZ9" s="9"/>
      <c r="DA9" s="31" t="str">
        <f>IF(CZ9/(INDEX('Standards for Conversions'!$H$34:$H$73,MATCH(CY$3,'Standards for Conversions'!$A$34:$A$73,0)))=0,"",CZ9/(INDEX('Standards for Conversions'!$H$34:$H$73,MATCH(CY$3,'Standards for Conversions'!$A$34:$A$73,0))))</f>
        <v/>
      </c>
      <c r="DB9" s="10" t="s">
        <v>38</v>
      </c>
      <c r="DC9" s="9"/>
      <c r="DD9" s="9"/>
      <c r="DE9" s="31" t="str">
        <f>IF(DD9/(INDEX('Standards for Conversions'!$H$34:$H$73,MATCH(DC$3,'Standards for Conversions'!$A$34:$A$73,0)))=0,"",DD9/(INDEX('Standards for Conversions'!$H$34:$H$73,MATCH(DC$3,'Standards for Conversions'!$A$34:$A$73,0))))</f>
        <v/>
      </c>
      <c r="DF9" s="10" t="s">
        <v>38</v>
      </c>
      <c r="DG9" s="9">
        <f>1.5*(143812+325)</f>
        <v>216205.5</v>
      </c>
      <c r="DH9" s="9">
        <f>503342+1200</f>
        <v>504542</v>
      </c>
      <c r="DI9" s="31">
        <f>IF(DH9/(INDEX('Standards for Conversions'!$H$34:$H$73,MATCH(DG$3,'Standards for Conversions'!$A$34:$A$73,0)))=0,"",DH9/(INDEX('Standards for Conversions'!$H$34:$H$73,MATCH(DG$3,'Standards for Conversions'!$A$34:$A$73,0))))</f>
        <v>89306.261519871958</v>
      </c>
      <c r="DJ9" s="10" t="s">
        <v>38</v>
      </c>
      <c r="DK9" s="9"/>
      <c r="DL9" s="9"/>
      <c r="DM9" s="31" t="str">
        <f>IF(DL9/(INDEX('Standards for Conversions'!$H$34:$H$73,MATCH(DK$3,'Standards for Conversions'!$A$34:$A$73,0)))=0,"",DL9/(INDEX('Standards for Conversions'!$H$34:$H$73,MATCH(DK$3,'Standards for Conversions'!$A$34:$A$73,0))))</f>
        <v/>
      </c>
      <c r="DN9" s="10" t="s">
        <v>38</v>
      </c>
      <c r="DO9" s="9"/>
      <c r="DP9" s="9"/>
      <c r="DQ9" s="31" t="str">
        <f>IF(DP9/(INDEX('Standards for Conversions'!$H$34:$H$73,MATCH(DO$3,'Standards for Conversions'!$A$34:$A$73,0)))=0,"",DP9/(INDEX('Standards for Conversions'!$H$34:$H$73,MATCH(DO$3,'Standards for Conversions'!$A$34:$A$73,0))))</f>
        <v/>
      </c>
      <c r="DR9" s="10" t="s">
        <v>38</v>
      </c>
      <c r="DS9" s="9">
        <f>1.5*875</f>
        <v>1312.5</v>
      </c>
      <c r="DT9" s="9">
        <v>1500</v>
      </c>
      <c r="DU9" s="31">
        <f>IF(DT9/(INDEX('Standards for Conversions'!$H$34:$H$73,MATCH(DS$3,'Standards for Conversions'!$A$34:$A$73,0)))=0,"",DT9/(INDEX('Standards for Conversions'!$H$34:$H$73,MATCH(DS$3,'Standards for Conversions'!$A$34:$A$73,0))))</f>
        <v>262.64859161814547</v>
      </c>
      <c r="DV9" s="10" t="s">
        <v>38</v>
      </c>
      <c r="DW9" s="9">
        <f>1.5*(150000+700)</f>
        <v>226050</v>
      </c>
      <c r="DX9" s="9">
        <f>400000+1700</f>
        <v>401700</v>
      </c>
      <c r="DY9" s="31">
        <f>IF(DX9/(INDEX('Standards for Conversions'!$H$34:$H$73,MATCH(DW$3,'Standards for Conversions'!$A$34:$A$73,0)))=0,"",DX9/(INDEX('Standards for Conversions'!$H$34:$H$73,MATCH(DW$3,'Standards for Conversions'!$A$34:$A$73,0))))</f>
        <v>70337.292835339351</v>
      </c>
      <c r="DZ9" s="10" t="s">
        <v>38</v>
      </c>
      <c r="EA9" s="9"/>
      <c r="EB9" s="9"/>
      <c r="EC9" s="31" t="str">
        <f>IF(EB9/(INDEX('Standards for Conversions'!$H$34:$H$73,MATCH(EA$3,'Standards for Conversions'!$A$34:$A$73,0)))=0,"",EB9/(INDEX('Standards for Conversions'!$H$34:$H$73,MATCH(EA$3,'Standards for Conversions'!$A$34:$A$73,0))))</f>
        <v/>
      </c>
      <c r="ED9" s="10" t="s">
        <v>38</v>
      </c>
      <c r="EE9" s="9"/>
      <c r="EF9" s="9"/>
      <c r="EG9" s="31" t="str">
        <f>IF(EF9/(INDEX('Standards for Conversions'!$H$34:$H$73,MATCH(EE$3,'Standards for Conversions'!$A$34:$A$73,0)))=0,"",EF9/(INDEX('Standards for Conversions'!$H$34:$H$73,MATCH(EE$3,'Standards for Conversions'!$A$34:$A$73,0))))</f>
        <v/>
      </c>
      <c r="EH9" s="10" t="s">
        <v>38</v>
      </c>
      <c r="EI9" s="9">
        <f>1.5*2320</f>
        <v>3480</v>
      </c>
      <c r="EJ9" s="9">
        <v>4950</v>
      </c>
      <c r="EK9" s="31">
        <f>IF(EJ9/(INDEX('Standards for Conversions'!$H$34:$H$73,MATCH(EI$3,'Standards for Conversions'!$A$34:$A$73,0)))=0,"",EJ9/(INDEX('Standards for Conversions'!$H$34:$H$73,MATCH(EI$3,'Standards for Conversions'!$A$34:$A$73,0))))</f>
        <v>865.69229870948107</v>
      </c>
      <c r="EL9" s="10" t="s">
        <v>38</v>
      </c>
      <c r="EM9" s="9">
        <f>1.5*(171571+380)</f>
        <v>257926.5</v>
      </c>
      <c r="EN9" s="9">
        <f>530108+1050</f>
        <v>531158</v>
      </c>
      <c r="EO9" s="31">
        <f>IF(EN9/(INDEX('Standards for Conversions'!$H$34:$H$73,MATCH(EM$3,'Standards for Conversions'!$A$34:$A$73,0)))=0,"",EN9/(INDEX('Standards for Conversions'!$H$34:$H$73,MATCH(EM$3,'Standards for Conversions'!$A$34:$A$73,0))))</f>
        <v>92892.806060187984</v>
      </c>
      <c r="EP9" s="10" t="s">
        <v>38</v>
      </c>
      <c r="EQ9" s="9"/>
      <c r="ER9" s="9"/>
      <c r="ES9" s="31" t="str">
        <f>IF(ER9/(INDEX('Standards for Conversions'!$H$34:$H$73,MATCH(EQ$3,'Standards for Conversions'!$A$34:$A$73,0)))=0,"",ER9/(INDEX('Standards for Conversions'!$H$34:$H$73,MATCH(EQ$3,'Standards for Conversions'!$A$34:$A$73,0))))</f>
        <v/>
      </c>
      <c r="ET9" s="10" t="s">
        <v>38</v>
      </c>
      <c r="EU9" s="9"/>
      <c r="EV9" s="9"/>
      <c r="EW9" s="31" t="str">
        <f>IF(EV9/(INDEX('Standards for Conversions'!$H$34:$H$73,MATCH(EU$3,'Standards for Conversions'!$A$34:$A$73,0)))=0,"",EV9/(INDEX('Standards for Conversions'!$H$34:$H$73,MATCH(EU$3,'Standards for Conversions'!$A$34:$A$73,0))))</f>
        <v/>
      </c>
      <c r="EX9" s="10" t="s">
        <v>38</v>
      </c>
      <c r="EY9" s="9">
        <f>1.5*565</f>
        <v>847.5</v>
      </c>
      <c r="EZ9" s="9">
        <v>1685</v>
      </c>
      <c r="FA9" s="31">
        <f>IF(EZ9/(INDEX('Standards for Conversions'!$H$34:$H$73,MATCH(EY$3,'Standards for Conversions'!$A$34:$A$73,0)))=0,"",EZ9/(INDEX('Standards for Conversions'!$H$34:$H$73,MATCH(EY$3,'Standards for Conversions'!$A$34:$A$73,0))))</f>
        <v>288.62020749145444</v>
      </c>
      <c r="FB9" s="10" t="s">
        <v>38</v>
      </c>
      <c r="FC9" s="9">
        <f>1.5*(110600+275)</f>
        <v>166312.5</v>
      </c>
      <c r="FD9" s="9">
        <f>680000+710</f>
        <v>680710</v>
      </c>
      <c r="FE9" s="31">
        <f>IF(FD9/(INDEX('Standards for Conversions'!$H$34:$H$73,MATCH(FC$3,'Standards for Conversions'!$A$34:$A$73,0)))=0,"",FD9/(INDEX('Standards for Conversions'!$H$34:$H$73,MATCH(FC$3,'Standards for Conversions'!$A$34:$A$73,0))))</f>
        <v>116597.42518783854</v>
      </c>
      <c r="FF9" s="10" t="s">
        <v>38</v>
      </c>
      <c r="FG9" s="9"/>
      <c r="FH9" s="9"/>
      <c r="FI9" s="31" t="str">
        <f>IF(FH9/(INDEX('Standards for Conversions'!$H$34:$H$73,MATCH(FG$3,'Standards for Conversions'!$A$34:$A$73,0)))=0,"",FH9/(INDEX('Standards for Conversions'!$H$34:$H$73,MATCH(FG$3,'Standards for Conversions'!$A$34:$A$73,0))))</f>
        <v/>
      </c>
      <c r="FJ9" s="10" t="s">
        <v>38</v>
      </c>
      <c r="FK9" s="9"/>
      <c r="FL9" s="9"/>
      <c r="FM9" s="31" t="str">
        <f>IF(FL9/(INDEX('Standards for Conversions'!$H$34:$H$73,MATCH(FK$3,'Standards for Conversions'!$A$34:$A$73,0)))=0,"",FL9/(INDEX('Standards for Conversions'!$H$34:$H$73,MATCH(FK$3,'Standards for Conversions'!$A$34:$A$73,0))))</f>
        <v/>
      </c>
      <c r="FN9" s="10" t="s">
        <v>38</v>
      </c>
      <c r="FO9" s="9">
        <f>1.5*700</f>
        <v>1050</v>
      </c>
      <c r="FP9" s="9">
        <v>2625</v>
      </c>
      <c r="FQ9" s="31">
        <f>IF(FP9/(INDEX('Standards for Conversions'!$H$34:$H$73,MATCH(FO$3,'Standards for Conversions'!$A$34:$A$73,0)))=0,"",FP9/(INDEX('Standards for Conversions'!$H$34:$H$73,MATCH(FO$3,'Standards for Conversions'!$A$34:$A$73,0))))</f>
        <v>450.18667305770396</v>
      </c>
      <c r="FR9" s="10" t="s">
        <v>38</v>
      </c>
      <c r="FS9" s="9">
        <f>1.5*(130000+500)</f>
        <v>195750</v>
      </c>
      <c r="FT9" s="9">
        <f>620000+1500</f>
        <v>621500</v>
      </c>
      <c r="FU9" s="31">
        <f>IF(FT9/(INDEX('Standards for Conversions'!$H$34:$H$73,MATCH(FS$3,'Standards for Conversions'!$A$34:$A$73,0)))=0,"",FT9/(INDEX('Standards for Conversions'!$H$34:$H$73,MATCH(FS$3,'Standards for Conversions'!$A$34:$A$73,0))))</f>
        <v>106587.05421156685</v>
      </c>
      <c r="FV9" s="10" t="s">
        <v>38</v>
      </c>
      <c r="FW9" s="9"/>
      <c r="FX9" s="9"/>
      <c r="FY9" s="31" t="str">
        <f>IF(FX9/(INDEX('Standards for Conversions'!$H$34:$H$73,MATCH(FW$3,'Standards for Conversions'!$A$34:$A$73,0)))=0,"",FX9/(INDEX('Standards for Conversions'!$H$34:$H$73,MATCH(FW$3,'Standards for Conversions'!$A$34:$A$73,0))))</f>
        <v/>
      </c>
      <c r="FZ9" s="10" t="s">
        <v>38</v>
      </c>
      <c r="GA9" s="9"/>
      <c r="GB9" s="9"/>
      <c r="GC9" s="31" t="str">
        <f>IF(GB9/(INDEX('Standards for Conversions'!$H$34:$H$73,MATCH(GA$3,'Standards for Conversions'!$A$34:$A$73,0)))=0,"",GB9/(INDEX('Standards for Conversions'!$H$34:$H$73,MATCH(GA$3,'Standards for Conversions'!$A$34:$A$73,0))))</f>
        <v/>
      </c>
      <c r="GD9" s="10" t="s">
        <v>38</v>
      </c>
      <c r="GE9" s="9">
        <f>1.5*75</f>
        <v>112.5</v>
      </c>
      <c r="GF9" s="9">
        <v>2000</v>
      </c>
      <c r="GG9" s="31">
        <f>IF(GF9/(INDEX('Standards for Conversions'!$H$34:$H$73,MATCH(GE$3,'Standards for Conversions'!$A$34:$A$73,0)))=0,"",GF9/(INDEX('Standards for Conversions'!$H$34:$H$73,MATCH(GE$3,'Standards for Conversions'!$A$34:$A$73,0))))</f>
        <v>329.02532154340832</v>
      </c>
      <c r="GH9" s="10" t="s">
        <v>38</v>
      </c>
      <c r="GI9" s="9">
        <f>1.5*(115000+150)</f>
        <v>172725</v>
      </c>
      <c r="GJ9" s="9">
        <f>460000+500</f>
        <v>460500</v>
      </c>
      <c r="GK9" s="31">
        <f>IF(GJ9/(INDEX('Standards for Conversions'!$H$34:$H$73,MATCH(GI$3,'Standards for Conversions'!$A$34:$A$73,0)))=0,"",GJ9/(INDEX('Standards for Conversions'!$H$34:$H$73,MATCH(GI$3,'Standards for Conversions'!$A$34:$A$73,0))))</f>
        <v>75758.080285369768</v>
      </c>
      <c r="GL9" s="10" t="s">
        <v>38</v>
      </c>
      <c r="GM9" s="9"/>
      <c r="GN9" s="9"/>
      <c r="GO9" s="31" t="str">
        <f>IF(GN9/(INDEX('Standards for Conversions'!$H$34:$H$73,MATCH(GM$3,'Standards for Conversions'!$A$34:$A$73,0)))=0,"",GN9/(INDEX('Standards for Conversions'!$H$34:$H$73,MATCH(GM$3,'Standards for Conversions'!$A$34:$A$73,0))))</f>
        <v/>
      </c>
      <c r="GP9" s="10" t="s">
        <v>38</v>
      </c>
      <c r="GQ9" s="9"/>
      <c r="GR9" s="9"/>
      <c r="GS9" s="31" t="str">
        <f>IF(GR9/(INDEX('Standards for Conversions'!$H$34:$H$73,MATCH(GQ$3,'Standards for Conversions'!$A$34:$A$73,0)))=0,"",GR9/(INDEX('Standards for Conversions'!$H$34:$H$73,MATCH(GQ$3,'Standards for Conversions'!$A$34:$A$73,0))))</f>
        <v/>
      </c>
      <c r="GT9" s="10" t="s">
        <v>38</v>
      </c>
      <c r="GU9" s="9">
        <f>1.5*50</f>
        <v>75</v>
      </c>
      <c r="GV9" s="9">
        <v>150</v>
      </c>
      <c r="GW9" s="31">
        <f>IF(GV9/(INDEX('Standards for Conversions'!$H$34:$H$73,MATCH(GU$3,'Standards for Conversions'!$A$34:$A$73,0)))=0,"",GV9/(INDEX('Standards for Conversions'!$H$34:$H$73,MATCH(GU$3,'Standards for Conversions'!$A$34:$A$73,0))))</f>
        <v>23.057179868775528</v>
      </c>
      <c r="GX9" s="10" t="s">
        <v>38</v>
      </c>
      <c r="GY9" s="9">
        <f>1.5*(140000+375)</f>
        <v>210562.5</v>
      </c>
      <c r="GZ9" s="9">
        <f>520000+1200</f>
        <v>521200</v>
      </c>
      <c r="HA9" s="31">
        <f>IF(GZ9/(INDEX('Standards for Conversions'!$H$34:$H$73,MATCH(GY$3,'Standards for Conversions'!$A$34:$A$73,0)))=0,"",GZ9/(INDEX('Standards for Conversions'!$H$34:$H$73,MATCH(GY$3,'Standards for Conversions'!$A$34:$A$73,0))))</f>
        <v>80116.014317372043</v>
      </c>
      <c r="HB9" s="10" t="s">
        <v>38</v>
      </c>
      <c r="HC9" s="9"/>
      <c r="HD9" s="9"/>
      <c r="HE9" s="31" t="str">
        <f>IF(HD9/(INDEX('Standards for Conversions'!$H$34:$H$73,MATCH(HC$3,'Standards for Conversions'!$A$34:$A$73,0)))=0,"",HD9/(INDEX('Standards for Conversions'!$H$34:$H$73,MATCH(HC$3,'Standards for Conversions'!$A$34:$A$73,0))))</f>
        <v/>
      </c>
      <c r="HF9" s="10" t="s">
        <v>38</v>
      </c>
      <c r="HG9" s="9"/>
      <c r="HH9" s="9"/>
      <c r="HI9" s="31" t="str">
        <f>IF(HH9/(INDEX('Standards for Conversions'!$H$34:$H$73,MATCH(HG$3,'Standards for Conversions'!$A$34:$A$73,0)))=0,"",HH9/(INDEX('Standards for Conversions'!$H$34:$H$73,MATCH(HG$3,'Standards for Conversions'!$A$34:$A$73,0))))</f>
        <v/>
      </c>
      <c r="HJ9" s="10" t="s">
        <v>38</v>
      </c>
      <c r="HK9" s="9">
        <f>1.5*100</f>
        <v>150</v>
      </c>
      <c r="HL9" s="9">
        <v>250</v>
      </c>
      <c r="HM9" s="31">
        <f>IF(HL9/(INDEX('Standards for Conversions'!$H$34:$H$73,MATCH(HK$3,'Standards for Conversions'!$A$34:$A$73,0)))=0,"",HL9/(INDEX('Standards for Conversions'!$H$34:$H$73,MATCH(HK$3,'Standards for Conversions'!$A$34:$A$73,0))))</f>
        <v>37.846381097737599</v>
      </c>
      <c r="HN9" s="10" t="s">
        <v>38</v>
      </c>
      <c r="HO9" s="9">
        <f>1.5*(150000+400)</f>
        <v>225600</v>
      </c>
      <c r="HP9" s="9">
        <f>530000+1400</f>
        <v>531400</v>
      </c>
      <c r="HQ9" s="31">
        <f>IF(HP9/(INDEX('Standards for Conversions'!$H$34:$H$73,MATCH(HO$3,'Standards for Conversions'!$A$34:$A$73,0)))=0,"",HP9/(INDEX('Standards for Conversions'!$H$34:$H$73,MATCH(HO$3,'Standards for Conversions'!$A$34:$A$73,0))))</f>
        <v>80446.267661351041</v>
      </c>
      <c r="HR9" s="33" t="s">
        <v>98</v>
      </c>
      <c r="HS9" s="33"/>
      <c r="HT9" s="33"/>
      <c r="HU9" s="31" t="str">
        <f>IF(HT9/(INDEX('Standards for Conversions'!$H$47:$H$73,MATCH(HS$3,'Standards for Conversions'!$A$47:$A$73,0)))=0,"",HT9/(INDEX('Standards for Conversions'!$H$47:$H$73,MATCH(HS$3,'Standards for Conversions'!$A$47:$A$73,0))))</f>
        <v/>
      </c>
      <c r="HV9" s="33" t="s">
        <v>98</v>
      </c>
      <c r="HW9" s="33"/>
      <c r="HX9" s="33"/>
      <c r="HY9" s="31" t="str">
        <f>IF(HX9/(INDEX('Standards for Conversions'!$H$47:$H$73,MATCH(HW$3,'Standards for Conversions'!$A$47:$A$73,0)))=0,"",HX9/(INDEX('Standards for Conversions'!$H$47:$H$73,MATCH(HW$3,'Standards for Conversions'!$A$47:$A$73,0))))</f>
        <v/>
      </c>
      <c r="HZ9" s="29">
        <v>450</v>
      </c>
      <c r="IA9" s="33">
        <v>900</v>
      </c>
      <c r="IB9" s="31">
        <f>IF(IA9/(INDEX('Standards for Conversions'!$H$47:$H$73,MATCH(HZ$3,'Standards for Conversions'!$A$47:$A$73,0)))=0,"",IA9/(INDEX('Standards for Conversions'!$H$47:$H$73,MATCH(HZ$3,'Standards for Conversions'!$A$47:$A$73,0))))</f>
        <v>130.72087099157037</v>
      </c>
      <c r="IC9" s="33" t="s">
        <v>98</v>
      </c>
      <c r="ID9" s="29">
        <f>(140000+350)*1.5</f>
        <v>210525</v>
      </c>
      <c r="IE9" s="33">
        <f>500000+1300</f>
        <v>501300</v>
      </c>
      <c r="IF9" s="31">
        <f>IF(IE9/(INDEX('Standards for Conversions'!$H$47:$H$73,MATCH(ID$3,'Standards for Conversions'!$A$47:$A$73,0)))=0,"",IE9/(INDEX('Standards for Conversions'!$H$47:$H$73,MATCH(ID$3,'Standards for Conversions'!$A$47:$A$73,0))))</f>
        <v>72811.525142304687</v>
      </c>
      <c r="IG9" s="33" t="s">
        <v>98</v>
      </c>
      <c r="IH9" s="33"/>
      <c r="II9" s="33"/>
      <c r="IJ9" s="31" t="str">
        <f>IF(II9/(INDEX('Standards for Conversions'!$H$47:$H$73,MATCH(IH$3,'Standards for Conversions'!$A$47:$A$73,0)))=0,"",II9/(INDEX('Standards for Conversions'!$H$47:$H$73,MATCH(IH$3,'Standards for Conversions'!$A$47:$A$73,0))))</f>
        <v/>
      </c>
      <c r="IK9" s="33" t="s">
        <v>98</v>
      </c>
      <c r="IL9" s="33"/>
      <c r="IM9" s="33"/>
      <c r="IN9" s="31" t="str">
        <f>IF(IM9/(INDEX('Standards for Conversions'!$H$47:$H$73,MATCH(IL$3,'Standards for Conversions'!$A$47:$A$73,0)))=0,"",IM9/(INDEX('Standards for Conversions'!$H$47:$H$73,MATCH(IL$3,'Standards for Conversions'!$A$47:$A$73,0))))</f>
        <v/>
      </c>
      <c r="IO9" s="33" t="s">
        <v>98</v>
      </c>
      <c r="IP9" s="29">
        <v>450</v>
      </c>
      <c r="IQ9" s="33">
        <v>800</v>
      </c>
      <c r="IR9" s="31">
        <f>IF(IQ9/(INDEX('Standards for Conversions'!$H$47:$H$73,MATCH(IP$3,'Standards for Conversions'!$A$47:$A$73,0)))=0,"",IQ9/(INDEX('Standards for Conversions'!$H$47:$H$73,MATCH(IP$3,'Standards for Conversions'!$A$47:$A$73,0))))</f>
        <v>115.68818255554589</v>
      </c>
      <c r="IS9" s="33" t="s">
        <v>98</v>
      </c>
      <c r="IT9" s="29">
        <f>(126810+301+2434)*1.5</f>
        <v>194317.5</v>
      </c>
      <c r="IU9" s="33">
        <f>557070+1135+11314</f>
        <v>569519</v>
      </c>
      <c r="IV9" s="31">
        <f>IF(IU9/(INDEX('Standards for Conversions'!$H$47:$H$73,MATCH(IT$3,'Standards for Conversions'!$A$47:$A$73,0)))=0,"",IU9/(INDEX('Standards for Conversions'!$H$47:$H$73,MATCH(IT$3,'Standards for Conversions'!$A$47:$A$73,0))))</f>
        <v>82358.272551064918</v>
      </c>
      <c r="IW9" s="33" t="s">
        <v>98</v>
      </c>
      <c r="IZ9" s="31" t="str">
        <f>IF(IY9/(INDEX('Standards for Conversions'!$H$47:$H$73,MATCH(IX$3,'Standards for Conversions'!$A$47:$A$73,0)))=0,"",IY9/(INDEX('Standards for Conversions'!$H$47:$H$73,MATCH(IX$3,'Standards for Conversions'!$A$47:$A$73,0))))</f>
        <v/>
      </c>
      <c r="JA9" s="33" t="s">
        <v>98</v>
      </c>
      <c r="JD9" s="31" t="str">
        <f>IF(JC9/(INDEX('Standards for Conversions'!$H$47:$H$73,MATCH(JB$3,'Standards for Conversions'!$A$47:$A$73,0)))=0,"",JC9/(INDEX('Standards for Conversions'!$H$47:$H$73,MATCH(JB$3,'Standards for Conversions'!$A$47:$A$73,0))))</f>
        <v/>
      </c>
      <c r="JE9" s="33" t="s">
        <v>98</v>
      </c>
      <c r="JF9" s="29">
        <v>525</v>
      </c>
      <c r="JG9" s="29">
        <v>900</v>
      </c>
      <c r="JH9" s="31">
        <f>IF(JG9/(INDEX('Standards for Conversions'!$H$47:$H$73,MATCH(JF$3,'Standards for Conversions'!$A$47:$A$73,0)))=0,"",JG9/(INDEX('Standards for Conversions'!$H$47:$H$73,MATCH(JF$3,'Standards for Conversions'!$A$47:$A$73,0))))</f>
        <v>145.58417702268181</v>
      </c>
      <c r="JI9" s="33" t="s">
        <v>98</v>
      </c>
      <c r="JJ9" s="29">
        <f>(155900+200+2450)*1.5</f>
        <v>237825</v>
      </c>
      <c r="JK9" s="33">
        <f>671100+500+12000</f>
        <v>683600</v>
      </c>
      <c r="JL9" s="31">
        <f>IF(JK9/(INDEX('Standards for Conversions'!$H$47:$H$73,MATCH(JJ$3,'Standards for Conversions'!$A$47:$A$73,0)))=0,"",JK9/(INDEX('Standards for Conversions'!$H$47:$H$73,MATCH(JJ$3,'Standards for Conversions'!$A$47:$A$73,0))))</f>
        <v>110579.27045856144</v>
      </c>
      <c r="JM9" s="33" t="s">
        <v>98</v>
      </c>
      <c r="JP9" s="31" t="str">
        <f>IF(JO9/(INDEX('Standards for Conversions'!$H$47:$H$73,MATCH(JN$3,'Standards for Conversions'!$A$47:$A$73,0)))=0,"",JO9/(INDEX('Standards for Conversions'!$H$47:$H$73,MATCH(JN$3,'Standards for Conversions'!$A$47:$A$73,0))))</f>
        <v/>
      </c>
      <c r="JQ9" s="33" t="s">
        <v>98</v>
      </c>
      <c r="JT9" s="31" t="str">
        <f>IF(JS9/(INDEX('Standards for Conversions'!$H$47:$H$73,MATCH(JR$3,'Standards for Conversions'!$A$47:$A$73,0)))=0,"",JS9/(INDEX('Standards for Conversions'!$H$47:$H$73,MATCH(JR$3,'Standards for Conversions'!$A$47:$A$73,0))))</f>
        <v/>
      </c>
      <c r="JU9" s="33" t="s">
        <v>98</v>
      </c>
      <c r="JV9" s="29">
        <v>450</v>
      </c>
      <c r="JW9" s="33">
        <v>900</v>
      </c>
      <c r="JX9" s="31">
        <f>IF(JW9/(INDEX('Standards for Conversions'!$H$47:$H$73,MATCH(JV$3,'Standards for Conversions'!$A$47:$A$73,0)))=0,"",JW9/(INDEX('Standards for Conversions'!$H$47:$H$73,MATCH(JV$3,'Standards for Conversions'!$A$47:$A$73,0))))</f>
        <v>137.39030318501781</v>
      </c>
      <c r="JY9" s="33" t="s">
        <v>98</v>
      </c>
      <c r="JZ9" s="29">
        <f>(140000+250+2000)*1.5</f>
        <v>213375</v>
      </c>
      <c r="KA9" s="33">
        <f>600000+650+10000</f>
        <v>610650</v>
      </c>
      <c r="KB9" s="31">
        <f>IF(KA9/(INDEX('Standards for Conversions'!$H$47:$H$73,MATCH(JZ$3,'Standards for Conversions'!$A$47:$A$73,0)))=0,"",KA9/(INDEX('Standards for Conversions'!$H$47:$H$73,MATCH(JZ$3,'Standards for Conversions'!$A$47:$A$73,0))))</f>
        <v>93219.320711034583</v>
      </c>
      <c r="KC9" s="33" t="s">
        <v>98</v>
      </c>
      <c r="KF9" s="31" t="str">
        <f>IF(KE9/(INDEX('Standards for Conversions'!$H$47:$H$73,MATCH(KD$3,'Standards for Conversions'!$A$47:$A$73,0)))=0,"",KE9/(INDEX('Standards for Conversions'!$H$47:$H$73,MATCH(KD$3,'Standards for Conversions'!$A$47:$A$73,0))))</f>
        <v/>
      </c>
      <c r="KG9" s="33" t="s">
        <v>98</v>
      </c>
      <c r="KJ9" s="31" t="str">
        <f>IF(KI9/(INDEX('Standards for Conversions'!$H$47:$H$73,MATCH(KH$3,'Standards for Conversions'!$A$47:$A$73,0)))=0,"",KI9/(INDEX('Standards for Conversions'!$H$47:$H$73,MATCH(KH$3,'Standards for Conversions'!$A$47:$A$73,0))))</f>
        <v/>
      </c>
      <c r="KK9" s="33" t="s">
        <v>98</v>
      </c>
      <c r="KL9" s="33"/>
      <c r="KM9" s="33"/>
      <c r="KN9" s="31" t="str">
        <f>IF(KM9/(INDEX('Standards for Conversions'!$H$47:$H$73,MATCH(KL$3,'Standards for Conversions'!$A$47:$A$73,0)))=0,"",KM9/(INDEX('Standards for Conversions'!$H$47:$H$73,MATCH(KL$3,'Standards for Conversions'!$A$47:$A$73,0))))</f>
        <v/>
      </c>
      <c r="KO9" s="33" t="s">
        <v>98</v>
      </c>
      <c r="KP9" s="29">
        <f>(143760+150+100)*1.5</f>
        <v>216015</v>
      </c>
      <c r="KQ9" s="33">
        <f>687500+380+550</f>
        <v>688430</v>
      </c>
      <c r="KR9" s="31">
        <f>IF(KQ9/(INDEX('Standards for Conversions'!$H$47:$H$73,MATCH(KP$3,'Standards for Conversions'!$A$47:$A$73,0)))=0,"",KQ9/(INDEX('Standards for Conversions'!$H$47:$H$73,MATCH(KP$3,'Standards for Conversions'!$A$47:$A$73,0))))</f>
        <v>92703.303566307455</v>
      </c>
      <c r="KS9" s="33" t="s">
        <v>98</v>
      </c>
      <c r="KV9" s="31" t="str">
        <f>IF(KU9/(INDEX('Standards for Conversions'!$H$47:$H$73,MATCH(KT$3,'Standards for Conversions'!$A$47:$A$73,0)))=0,"",KU9/(INDEX('Standards for Conversions'!$H$47:$H$73,MATCH(KT$3,'Standards for Conversions'!$A$47:$A$73,0))))</f>
        <v/>
      </c>
      <c r="KW9" s="33" t="s">
        <v>98</v>
      </c>
      <c r="KZ9" s="31" t="str">
        <f>IF(KY9/(INDEX('Standards for Conversions'!$H$47:$H$73,MATCH(KX$3,'Standards for Conversions'!$A$47:$A$73,0)))=0,"",KY9/(INDEX('Standards for Conversions'!$H$47:$H$73,MATCH(KX$3,'Standards for Conversions'!$A$47:$A$73,0))))</f>
        <v/>
      </c>
      <c r="LA9" s="33" t="s">
        <v>98</v>
      </c>
      <c r="LB9" s="33"/>
      <c r="LC9" s="33"/>
      <c r="LD9" s="31" t="str">
        <f>IF(LC9/(INDEX('Standards for Conversions'!$H$47:$H$73,MATCH(LB$3,'Standards for Conversions'!$A$47:$A$73,0)))=0,"",LC9/(INDEX('Standards for Conversions'!$H$47:$H$73,MATCH(LB$3,'Standards for Conversions'!$A$47:$A$73,0))))</f>
        <v/>
      </c>
      <c r="LE9" s="33" t="s">
        <v>98</v>
      </c>
      <c r="LF9" s="29">
        <f>(130035+170+1200)*1.5</f>
        <v>197107.5</v>
      </c>
      <c r="LG9" s="33">
        <f>622895+60+7000</f>
        <v>629955</v>
      </c>
      <c r="LH9" s="31">
        <f>IF(LG9/(INDEX('Standards for Conversions'!$H$47:$H$73,MATCH(LF$3,'Standards for Conversions'!$A$47:$A$73,0)))=0,"",LG9/(INDEX('Standards for Conversions'!$H$47:$H$73,MATCH(LF$3,'Standards for Conversions'!$A$47:$A$73,0))))</f>
        <v>76612.964292821751</v>
      </c>
      <c r="LI9" s="33" t="s">
        <v>98</v>
      </c>
      <c r="LJ9" s="35">
        <f>20*11370</f>
        <v>227400</v>
      </c>
      <c r="LK9" s="33">
        <v>707500</v>
      </c>
      <c r="LL9" s="31">
        <f>IF(LK9/(INDEX('Standards for Conversions'!$H$47:$H$73,MATCH(LJ$3,'Standards for Conversions'!$A$47:$A$73,0)))=0,"",LK9/(INDEX('Standards for Conversions'!$H$47:$H$73,MATCH(LJ$3,'Standards for Conversions'!$A$47:$A$73,0))))</f>
        <v>69356.272291684771</v>
      </c>
      <c r="LM9" s="35">
        <f>20*11370</f>
        <v>227400</v>
      </c>
      <c r="LN9" s="33">
        <v>707500</v>
      </c>
      <c r="LO9" s="31">
        <f>IF(LN9/(INDEX('Standards for Conversions'!$H$47:$H$73,MATCH(LM$3,'Standards for Conversions'!$A$47:$A$73,0)))=0,"",LN9/(INDEX('Standards for Conversions'!$H$47:$H$73,MATCH(LM$3,'Standards for Conversions'!$A$47:$A$73,0))))</f>
        <v>71453.438192513233</v>
      </c>
      <c r="LP9" s="35">
        <f>20*11259</f>
        <v>225180</v>
      </c>
      <c r="LQ9" s="29">
        <v>700000</v>
      </c>
      <c r="LR9" s="31">
        <f>IF(LQ9/(INDEX('Standards for Conversions'!$H$47:$H$73,MATCH(LP$3,'Standards for Conversions'!$A$47:$A$73,0)))=0,"",LQ9/(INDEX('Standards for Conversions'!$H$47:$H$73,MATCH(LP$3,'Standards for Conversions'!$A$47:$A$73,0))))</f>
        <v>73067.334919324465</v>
      </c>
      <c r="LS9" s="33" t="s">
        <v>98</v>
      </c>
      <c r="LT9" s="35">
        <f>20*11000</f>
        <v>220000</v>
      </c>
      <c r="LU9" s="29">
        <v>1000000</v>
      </c>
      <c r="LV9" s="31">
        <f>IF(LU9/(INDEX('Standards for Conversions'!$H$47:$H$73,MATCH(LT$3,'Standards for Conversions'!$A$47:$A$73,0)))=0,"",LU9/(INDEX('Standards for Conversions'!$H$47:$H$73,MATCH(LT$3,'Standards for Conversions'!$A$47:$A$73,0))))</f>
        <v>93372.05070826452</v>
      </c>
      <c r="LW9" s="35">
        <f>20*10000</f>
        <v>200000</v>
      </c>
      <c r="LX9" s="29">
        <v>900000</v>
      </c>
      <c r="LY9" s="31">
        <f>IF(LX9/(INDEX('Standards for Conversions'!$H$47:$H$73,MATCH(LW$3,'Standards for Conversions'!$A$47:$A$73,0)))=0,"",LX9/(INDEX('Standards for Conversions'!$H$47:$H$73,MATCH(LW$3,'Standards for Conversions'!$A$47:$A$73,0))))</f>
        <v>82129.29358216736</v>
      </c>
      <c r="LZ9" s="35">
        <f>20*9000</f>
        <v>180000</v>
      </c>
      <c r="MA9" s="29">
        <v>810000</v>
      </c>
      <c r="MB9" s="31">
        <f>IF(MA9/(INDEX('Standards for Conversions'!$H$47:$H$73,MATCH(LZ$3,'Standards for Conversions'!$A$47:$A$73,0)))=0,"",MA9/(INDEX('Standards for Conversions'!$H$47:$H$73,MATCH(LZ$3,'Standards for Conversions'!$A$47:$A$73,0))))</f>
        <v>75288.361703745526</v>
      </c>
      <c r="MC9" s="35">
        <f>20*8782</f>
        <v>175640</v>
      </c>
      <c r="MD9" s="29">
        <v>700159</v>
      </c>
      <c r="ME9" s="31">
        <f>IF(MD9/(INDEX('Standards for Conversions'!$H$47:$H$73,MATCH(MC$3,'Standards for Conversions'!$A$47:$A$73,0)))=0,"",MD9/(INDEX('Standards for Conversions'!$H$47:$H$73,MATCH(MC$3,'Standards for Conversions'!$A$47:$A$73,0))))</f>
        <v>67154.200880469492</v>
      </c>
      <c r="MF9" s="35">
        <f>20*8961</f>
        <v>179220</v>
      </c>
      <c r="MG9" s="29">
        <v>841619</v>
      </c>
      <c r="MH9" s="31">
        <f>IF(MG9/(INDEX('Standards for Conversions'!$H$47:$H$73,MATCH(MF$3,'Standards for Conversions'!$A$47:$A$73,0)))=0,"",MG9/(INDEX('Standards for Conversions'!$H$47:$H$73,MATCH(MF$3,'Standards for Conversions'!$A$47:$A$73,0))))</f>
        <v>77514.526068235631</v>
      </c>
      <c r="MI9" s="35">
        <f>20*9500</f>
        <v>190000</v>
      </c>
      <c r="MJ9" s="29">
        <v>983000</v>
      </c>
      <c r="MK9" s="31">
        <f>IF(MJ9/(INDEX('Standards for Conversions'!$H$47:$H$73,MATCH(MI$3,'Standards for Conversions'!$A$47:$A$73,0)))=0,"",MJ9/(INDEX('Standards for Conversions'!$H$47:$H$73,MATCH(MI$3,'Standards for Conversions'!$A$47:$A$73,0))))</f>
        <v>80129.522564163824</v>
      </c>
      <c r="ML9" s="35">
        <f>20*9600</f>
        <v>192000</v>
      </c>
      <c r="MM9" s="29">
        <v>1075200</v>
      </c>
      <c r="MN9" s="31">
        <f>IF(MM9/(INDEX('Standards for Conversions'!$H$47:$H$73,MATCH(ML$3,'Standards for Conversions'!$A$47:$A$73,0)))=0,"",MM9/(INDEX('Standards for Conversions'!$H$47:$H$73,MATCH(ML$3,'Standards for Conversions'!$A$47:$A$73,0))))</f>
        <v>90149.381072390694</v>
      </c>
      <c r="MO9" s="29" t="s">
        <v>98</v>
      </c>
      <c r="MP9" s="35">
        <f>20*14000</f>
        <v>280000</v>
      </c>
      <c r="MQ9" s="29">
        <v>1120000</v>
      </c>
      <c r="MR9" s="31">
        <f>IF(MQ9/(INDEX('Standards for Conversions'!$H$47:$H$73,MATCH(MP$3,'Standards for Conversions'!$A$47:$A$73,0)))=0,"",MQ9/(INDEX('Standards for Conversions'!$H$47:$H$73,MATCH(MP$3,'Standards for Conversions'!$A$47:$A$73,0))))</f>
        <v>100189.69250601083</v>
      </c>
      <c r="MS9" s="33" t="s">
        <v>98</v>
      </c>
      <c r="MT9" s="35">
        <f>20*17500</f>
        <v>350000</v>
      </c>
      <c r="MU9" s="29">
        <v>122500</v>
      </c>
      <c r="MV9" s="35">
        <f>20*20000</f>
        <v>400000</v>
      </c>
      <c r="MW9" s="29">
        <v>160000</v>
      </c>
      <c r="MX9" s="35">
        <f>20*12000</f>
        <v>240000</v>
      </c>
      <c r="MY9" s="29">
        <v>110000</v>
      </c>
      <c r="MZ9" s="33" t="s">
        <v>98</v>
      </c>
      <c r="NA9" s="35">
        <f>20*15635</f>
        <v>312700</v>
      </c>
      <c r="NB9" s="29">
        <v>140715</v>
      </c>
      <c r="NC9" s="35">
        <f>20*15330</f>
        <v>306600</v>
      </c>
      <c r="ND9" s="29">
        <v>139503</v>
      </c>
      <c r="NE9" s="33" t="s">
        <v>98</v>
      </c>
      <c r="NF9" s="35">
        <f>20*6585</f>
        <v>131700</v>
      </c>
      <c r="NG9" s="29">
        <v>66654</v>
      </c>
      <c r="NH9" s="35">
        <f>20*6605</f>
        <v>132100</v>
      </c>
      <c r="NI9" s="29">
        <v>73366</v>
      </c>
    </row>
    <row r="10" spans="1:373" s="33" customFormat="1" x14ac:dyDescent="0.3">
      <c r="A10" s="103" t="s">
        <v>37</v>
      </c>
      <c r="B10" s="10" t="s">
        <v>39</v>
      </c>
      <c r="C10" s="9"/>
      <c r="D10" s="9"/>
      <c r="E10" s="31" t="str">
        <f>IF(D10/(INDEX('Standards for Conversions'!$H$34:$H$73,MATCH(C$3,'Standards for Conversions'!$A$34:$A$73,0)))=0,"",D10/(INDEX('Standards for Conversions'!$H$34:$H$73,MATCH(C$3,'Standards for Conversions'!$A$34:$A$73,0))))</f>
        <v/>
      </c>
      <c r="F10" s="10" t="s">
        <v>39</v>
      </c>
      <c r="G10" s="9"/>
      <c r="H10" s="9"/>
      <c r="I10" s="31" t="str">
        <f>IF(H10/(INDEX('Standards for Conversions'!$H$34:$H$73,MATCH(G$3,'Standards for Conversions'!$A$34:$A$73,0)))=0,"",H10/(INDEX('Standards for Conversions'!$H$34:$H$73,MATCH(G$3,'Standards for Conversions'!$A$34:$A$73,0))))</f>
        <v/>
      </c>
      <c r="J10" s="10" t="s">
        <v>39</v>
      </c>
      <c r="K10" s="9"/>
      <c r="L10" s="9"/>
      <c r="M10" s="31" t="str">
        <f>IF(L10/(INDEX('Standards for Conversions'!$H$34:$H$73,MATCH(K$3,'Standards for Conversions'!$A$34:$A$73,0)))=0,"",L10/(INDEX('Standards for Conversions'!$H$34:$H$73,MATCH(K$3,'Standards for Conversions'!$A$34:$A$73,0))))</f>
        <v/>
      </c>
      <c r="N10" s="10" t="s">
        <v>39</v>
      </c>
      <c r="O10" s="9">
        <v>30650</v>
      </c>
      <c r="P10" s="9">
        <v>55500</v>
      </c>
      <c r="Q10" s="31">
        <f>IF(P10/(INDEX('Standards for Conversions'!$H$34:$H$73,MATCH(O$3,'Standards for Conversions'!$A$34:$A$73,0)))=0,"",P10/(INDEX('Standards for Conversions'!$H$34:$H$73,MATCH(O$3,'Standards for Conversions'!$A$34:$A$73,0))))</f>
        <v>10963.593749999998</v>
      </c>
      <c r="R10" s="10" t="s">
        <v>39</v>
      </c>
      <c r="S10" s="9"/>
      <c r="T10" s="9"/>
      <c r="U10" s="31" t="str">
        <f>IF(T10/(INDEX('Standards for Conversions'!$H$34:$H$73,MATCH(S$3,'Standards for Conversions'!$A$34:$A$73,0)))=0,"",T10/(INDEX('Standards for Conversions'!$H$34:$H$73,MATCH(S$3,'Standards for Conversions'!$A$34:$A$73,0))))</f>
        <v/>
      </c>
      <c r="V10" s="10" t="s">
        <v>39</v>
      </c>
      <c r="W10" s="9"/>
      <c r="X10" s="9"/>
      <c r="Y10" s="31" t="str">
        <f>IF(X10/(INDEX('Standards for Conversions'!$H$34:$H$73,MATCH(W$3,'Standards for Conversions'!$A$34:$A$73,0)))=0,"",X10/(INDEX('Standards for Conversions'!$H$34:$H$73,MATCH(W$3,'Standards for Conversions'!$A$34:$A$73,0))))</f>
        <v/>
      </c>
      <c r="Z10" s="10" t="s">
        <v>39</v>
      </c>
      <c r="AA10" s="9"/>
      <c r="AB10" s="9"/>
      <c r="AC10" s="31" t="str">
        <f>IF(AB10/(INDEX('Standards for Conversions'!$H$34:$H$73,MATCH(AA$3,'Standards for Conversions'!$A$34:$A$73,0)))=0,"",AB10/(INDEX('Standards for Conversions'!$H$34:$H$73,MATCH(AA$3,'Standards for Conversions'!$A$34:$A$73,0))))</f>
        <v/>
      </c>
      <c r="AD10" s="10" t="s">
        <v>39</v>
      </c>
      <c r="AE10" s="9">
        <v>20000</v>
      </c>
      <c r="AF10" s="9">
        <v>32000</v>
      </c>
      <c r="AG10" s="31">
        <f>IF(AF10/(INDEX('Standards for Conversions'!$H$34:$H$73,MATCH(AE$3,'Standards for Conversions'!$A$34:$A$73,0)))=0,"",AF10/(INDEX('Standards for Conversions'!$H$34:$H$73,MATCH(AE$3,'Standards for Conversions'!$A$34:$A$73,0))))</f>
        <v>6165.5195388314351</v>
      </c>
      <c r="AH10" s="10" t="s">
        <v>39</v>
      </c>
      <c r="AI10" s="9"/>
      <c r="AJ10" s="9"/>
      <c r="AK10" s="31" t="str">
        <f>IF(AJ10/(INDEX('Standards for Conversions'!$H$34:$H$73,MATCH(AI$3,'Standards for Conversions'!$A$34:$A$73,0)))=0,"",AJ10/(INDEX('Standards for Conversions'!$H$34:$H$73,MATCH(AI$3,'Standards for Conversions'!$A$34:$A$73,0))))</f>
        <v/>
      </c>
      <c r="AL10" s="10" t="s">
        <v>39</v>
      </c>
      <c r="AM10" s="9"/>
      <c r="AN10" s="9"/>
      <c r="AO10" s="31" t="str">
        <f>IF(AN10/(INDEX('Standards for Conversions'!$H$34:$H$73,MATCH(AM$3,'Standards for Conversions'!$A$34:$A$73,0)))=0,"",AN10/(INDEX('Standards for Conversions'!$H$34:$H$73,MATCH(AM$3,'Standards for Conversions'!$A$34:$A$73,0))))</f>
        <v/>
      </c>
      <c r="AP10" s="10" t="s">
        <v>39</v>
      </c>
      <c r="AQ10" s="9"/>
      <c r="AR10" s="9"/>
      <c r="AS10" s="31" t="str">
        <f>IF(AR10/(INDEX('Standards for Conversions'!$H$34:$H$73,MATCH(AQ$3,'Standards for Conversions'!$A$34:$A$73,0)))=0,"",AR10/(INDEX('Standards for Conversions'!$H$34:$H$73,MATCH(AQ$3,'Standards for Conversions'!$A$34:$A$73,0))))</f>
        <v/>
      </c>
      <c r="AT10" s="10" t="s">
        <v>39</v>
      </c>
      <c r="AU10" s="9">
        <v>625</v>
      </c>
      <c r="AV10" s="9">
        <v>1000</v>
      </c>
      <c r="AW10" s="31">
        <f>IF(AV10/(INDEX('Standards for Conversions'!$H$34:$H$73,MATCH(AU$3,'Standards for Conversions'!$A$34:$A$73,0)))=0,"",AV10/(INDEX('Standards for Conversions'!$H$34:$H$73,MATCH(AU$3,'Standards for Conversions'!$A$34:$A$73,0))))</f>
        <v>178.69843718316383</v>
      </c>
      <c r="AX10" s="10" t="s">
        <v>39</v>
      </c>
      <c r="AY10" s="9"/>
      <c r="AZ10" s="9"/>
      <c r="BA10" s="31" t="str">
        <f>IF(AZ10/(INDEX('Standards for Conversions'!$H$34:$H$73,MATCH(AY$3,'Standards for Conversions'!$A$34:$A$73,0)))=0,"",AZ10/(INDEX('Standards for Conversions'!$H$34:$H$73,MATCH(AY$3,'Standards for Conversions'!$A$34:$A$73,0))))</f>
        <v/>
      </c>
      <c r="BB10" s="10" t="s">
        <v>39</v>
      </c>
      <c r="BC10" s="9"/>
      <c r="BD10" s="9"/>
      <c r="BE10" s="31" t="str">
        <f>IF(BD10/(INDEX('Standards for Conversions'!$H$34:$H$73,MATCH(BC$3,'Standards for Conversions'!$A$34:$A$73,0)))=0,"",BD10/(INDEX('Standards for Conversions'!$H$34:$H$73,MATCH(BC$3,'Standards for Conversions'!$A$34:$A$73,0))))</f>
        <v/>
      </c>
      <c r="BF10" s="10" t="s">
        <v>39</v>
      </c>
      <c r="BG10" s="9"/>
      <c r="BH10" s="9"/>
      <c r="BI10" s="31" t="str">
        <f>IF(BH10/(INDEX('Standards for Conversions'!$H$34:$H$73,MATCH(BG$3,'Standards for Conversions'!$A$34:$A$73,0)))=0,"",BH10/(INDEX('Standards for Conversions'!$H$34:$H$73,MATCH(BG$3,'Standards for Conversions'!$A$34:$A$73,0))))</f>
        <v/>
      </c>
      <c r="BJ10" s="10" t="s">
        <v>39</v>
      </c>
      <c r="BK10" s="9">
        <v>1000</v>
      </c>
      <c r="BL10" s="9">
        <v>2000</v>
      </c>
      <c r="BM10" s="31">
        <f>IF(BL10/(INDEX('Standards for Conversions'!$H$34:$H$73,MATCH(BK$3,'Standards for Conversions'!$A$34:$A$73,0)))=0,"",BL10/(INDEX('Standards for Conversions'!$H$34:$H$73,MATCH(BK$3,'Standards for Conversions'!$A$34:$A$73,0))))</f>
        <v>371.37092277164624</v>
      </c>
      <c r="BN10" s="10" t="s">
        <v>39</v>
      </c>
      <c r="BO10" s="9"/>
      <c r="BP10" s="9"/>
      <c r="BQ10" s="31" t="str">
        <f>IF(BP10/(INDEX('Standards for Conversions'!$H$34:$H$73,MATCH(BO$3,'Standards for Conversions'!$A$34:$A$73,0)))=0,"",BP10/(INDEX('Standards for Conversions'!$H$34:$H$73,MATCH(BO$3,'Standards for Conversions'!$A$34:$A$73,0))))</f>
        <v/>
      </c>
      <c r="BR10" s="10" t="s">
        <v>39</v>
      </c>
      <c r="BS10" s="9"/>
      <c r="BT10" s="9"/>
      <c r="BU10" s="31" t="str">
        <f>IF(BT10/(INDEX('Standards for Conversions'!$H$34:$H$73,MATCH(BS$3,'Standards for Conversions'!$A$34:$A$73,0)))=0,"",BT10/(INDEX('Standards for Conversions'!$H$34:$H$73,MATCH(BS$3,'Standards for Conversions'!$A$34:$A$73,0))))</f>
        <v/>
      </c>
      <c r="BV10" s="10" t="s">
        <v>39</v>
      </c>
      <c r="BW10" s="9"/>
      <c r="BX10" s="9"/>
      <c r="BY10" s="31" t="str">
        <f>IF(BX10/(INDEX('Standards for Conversions'!$H$34:$H$73,MATCH(BW$3,'Standards for Conversions'!$A$34:$A$73,0)))=0,"",BX10/(INDEX('Standards for Conversions'!$H$34:$H$73,MATCH(BW$3,'Standards for Conversions'!$A$34:$A$73,0))))</f>
        <v/>
      </c>
      <c r="BZ10" s="10" t="s">
        <v>39</v>
      </c>
      <c r="CA10" s="9">
        <v>7000</v>
      </c>
      <c r="CB10" s="9">
        <v>15000</v>
      </c>
      <c r="CC10" s="31">
        <f>IF(CB10/(INDEX('Standards for Conversions'!$H$34:$H$73,MATCH(CA$3,'Standards for Conversions'!$A$34:$A$73,0)))=0,"",CB10/(INDEX('Standards for Conversions'!$H$34:$H$73,MATCH(CA$3,'Standards for Conversions'!$A$34:$A$73,0))))</f>
        <v>2670.9487974711042</v>
      </c>
      <c r="CD10" s="10" t="s">
        <v>39</v>
      </c>
      <c r="CE10" s="9"/>
      <c r="CF10" s="9"/>
      <c r="CG10" s="31" t="str">
        <f>IF(CF10/(INDEX('Standards for Conversions'!$H$34:$H$73,MATCH(CE$3,'Standards for Conversions'!$A$34:$A$73,0)))=0,"",CF10/(INDEX('Standards for Conversions'!$H$34:$H$73,MATCH(CE$3,'Standards for Conversions'!$A$34:$A$73,0))))</f>
        <v/>
      </c>
      <c r="CH10" s="10" t="s">
        <v>39</v>
      </c>
      <c r="CI10" s="9"/>
      <c r="CJ10" s="9"/>
      <c r="CK10" s="31" t="str">
        <f>IF(CJ10/(INDEX('Standards for Conversions'!$H$34:$H$73,MATCH(CI$3,'Standards for Conversions'!$A$34:$A$73,0)))=0,"",CJ10/(INDEX('Standards for Conversions'!$H$34:$H$73,MATCH(CI$3,'Standards for Conversions'!$A$34:$A$73,0))))</f>
        <v/>
      </c>
      <c r="CL10" s="10" t="s">
        <v>39</v>
      </c>
      <c r="CM10" s="9"/>
      <c r="CN10" s="9"/>
      <c r="CO10" s="31" t="str">
        <f>IF(CN10/(INDEX('Standards for Conversions'!$H$34:$H$73,MATCH(CM$3,'Standards for Conversions'!$A$34:$A$73,0)))=0,"",CN10/(INDEX('Standards for Conversions'!$H$34:$H$73,MATCH(CM$3,'Standards for Conversions'!$A$34:$A$73,0))))</f>
        <v/>
      </c>
      <c r="CP10" s="10" t="s">
        <v>39</v>
      </c>
      <c r="CQ10" s="9">
        <v>1500</v>
      </c>
      <c r="CR10" s="9">
        <v>3700</v>
      </c>
      <c r="CS10" s="31">
        <f>IF(CR10/(INDEX('Standards for Conversions'!$H$34:$H$73,MATCH(CQ$3,'Standards for Conversions'!$A$34:$A$73,0)))=0,"",CR10/(INDEX('Standards for Conversions'!$H$34:$H$73,MATCH(CQ$3,'Standards for Conversions'!$A$34:$A$73,0))))</f>
        <v>642.38277063236865</v>
      </c>
      <c r="CT10" s="10" t="s">
        <v>39</v>
      </c>
      <c r="CU10" s="9"/>
      <c r="CV10" s="9"/>
      <c r="CW10" s="31" t="str">
        <f>IF(CV10/(INDEX('Standards for Conversions'!$H$34:$H$73,MATCH(CU$3,'Standards for Conversions'!$A$34:$A$73,0)))=0,"",CV10/(INDEX('Standards for Conversions'!$H$34:$H$73,MATCH(CU$3,'Standards for Conversions'!$A$34:$A$73,0))))</f>
        <v/>
      </c>
      <c r="CX10" s="10" t="s">
        <v>39</v>
      </c>
      <c r="CY10" s="9"/>
      <c r="CZ10" s="9"/>
      <c r="DA10" s="31" t="str">
        <f>IF(CZ10/(INDEX('Standards for Conversions'!$H$34:$H$73,MATCH(CY$3,'Standards for Conversions'!$A$34:$A$73,0)))=0,"",CZ10/(INDEX('Standards for Conversions'!$H$34:$H$73,MATCH(CY$3,'Standards for Conversions'!$A$34:$A$73,0))))</f>
        <v/>
      </c>
      <c r="DB10" s="10" t="s">
        <v>39</v>
      </c>
      <c r="DC10" s="9"/>
      <c r="DD10" s="9"/>
      <c r="DE10" s="31" t="str">
        <f>IF(DD10/(INDEX('Standards for Conversions'!$H$34:$H$73,MATCH(DC$3,'Standards for Conversions'!$A$34:$A$73,0)))=0,"",DD10/(INDEX('Standards for Conversions'!$H$34:$H$73,MATCH(DC$3,'Standards for Conversions'!$A$34:$A$73,0))))</f>
        <v/>
      </c>
      <c r="DF10" s="10" t="s">
        <v>39</v>
      </c>
      <c r="DG10" s="9">
        <v>300</v>
      </c>
      <c r="DH10" s="9">
        <v>800</v>
      </c>
      <c r="DI10" s="31">
        <f>IF(DH10/(INDEX('Standards for Conversions'!$H$34:$H$73,MATCH(DG$3,'Standards for Conversions'!$A$34:$A$73,0)))=0,"",DH10/(INDEX('Standards for Conversions'!$H$34:$H$73,MATCH(DG$3,'Standards for Conversions'!$A$34:$A$73,0))))</f>
        <v>141.6036905072275</v>
      </c>
      <c r="DJ10" s="10" t="s">
        <v>39</v>
      </c>
      <c r="DK10" s="9"/>
      <c r="DL10" s="9"/>
      <c r="DM10" s="31" t="str">
        <f>IF(DL10/(INDEX('Standards for Conversions'!$H$34:$H$73,MATCH(DK$3,'Standards for Conversions'!$A$34:$A$73,0)))=0,"",DL10/(INDEX('Standards for Conversions'!$H$34:$H$73,MATCH(DK$3,'Standards for Conversions'!$A$34:$A$73,0))))</f>
        <v/>
      </c>
      <c r="DN10" s="10" t="s">
        <v>39</v>
      </c>
      <c r="DO10" s="9"/>
      <c r="DP10" s="9"/>
      <c r="DQ10" s="31" t="str">
        <f>IF(DP10/(INDEX('Standards for Conversions'!$H$34:$H$73,MATCH(DO$3,'Standards for Conversions'!$A$34:$A$73,0)))=0,"",DP10/(INDEX('Standards for Conversions'!$H$34:$H$73,MATCH(DO$3,'Standards for Conversions'!$A$34:$A$73,0))))</f>
        <v/>
      </c>
      <c r="DR10" s="10" t="s">
        <v>39</v>
      </c>
      <c r="DS10" s="9"/>
      <c r="DT10" s="9"/>
      <c r="DU10" s="31" t="str">
        <f>IF(DT10/(INDEX('Standards for Conversions'!$H$34:$H$73,MATCH(DS$3,'Standards for Conversions'!$A$34:$A$73,0)))=0,"",DT10/(INDEX('Standards for Conversions'!$H$34:$H$73,MATCH(DS$3,'Standards for Conversions'!$A$34:$A$73,0))))</f>
        <v/>
      </c>
      <c r="DV10" s="10" t="s">
        <v>39</v>
      </c>
      <c r="DW10" s="9">
        <v>200</v>
      </c>
      <c r="DX10" s="9">
        <v>500</v>
      </c>
      <c r="DY10" s="31">
        <f>IF(DX10/(INDEX('Standards for Conversions'!$H$34:$H$73,MATCH(DW$3,'Standards for Conversions'!$A$34:$A$73,0)))=0,"",DX10/(INDEX('Standards for Conversions'!$H$34:$H$73,MATCH(DW$3,'Standards for Conversions'!$A$34:$A$73,0))))</f>
        <v>87.54953053938182</v>
      </c>
      <c r="DZ10" s="10" t="s">
        <v>39</v>
      </c>
      <c r="EA10" s="9"/>
      <c r="EB10" s="9"/>
      <c r="EC10" s="31" t="str">
        <f>IF(EB10/(INDEX('Standards for Conversions'!$H$34:$H$73,MATCH(EA$3,'Standards for Conversions'!$A$34:$A$73,0)))=0,"",EB10/(INDEX('Standards for Conversions'!$H$34:$H$73,MATCH(EA$3,'Standards for Conversions'!$A$34:$A$73,0))))</f>
        <v/>
      </c>
      <c r="ED10" s="10" t="s">
        <v>39</v>
      </c>
      <c r="EE10" s="9"/>
      <c r="EF10" s="9"/>
      <c r="EG10" s="31" t="str">
        <f>IF(EF10/(INDEX('Standards for Conversions'!$H$34:$H$73,MATCH(EE$3,'Standards for Conversions'!$A$34:$A$73,0)))=0,"",EF10/(INDEX('Standards for Conversions'!$H$34:$H$73,MATCH(EE$3,'Standards for Conversions'!$A$34:$A$73,0))))</f>
        <v/>
      </c>
      <c r="EH10" s="10" t="s">
        <v>39</v>
      </c>
      <c r="EI10" s="9"/>
      <c r="EJ10" s="9"/>
      <c r="EK10" s="31" t="str">
        <f>IF(EJ10/(INDEX('Standards for Conversions'!$H$34:$H$73,MATCH(EI$3,'Standards for Conversions'!$A$34:$A$73,0)))=0,"",EJ10/(INDEX('Standards for Conversions'!$H$34:$H$73,MATCH(EI$3,'Standards for Conversions'!$A$34:$A$73,0))))</f>
        <v/>
      </c>
      <c r="EL10" s="10" t="s">
        <v>39</v>
      </c>
      <c r="EM10" s="9">
        <v>124</v>
      </c>
      <c r="EN10" s="9">
        <v>340</v>
      </c>
      <c r="EO10" s="31">
        <f>IF(EN10/(INDEX('Standards for Conversions'!$H$34:$H$73,MATCH(EM$3,'Standards for Conversions'!$A$34:$A$73,0)))=0,"",EN10/(INDEX('Standards for Conversions'!$H$34:$H$73,MATCH(EM$3,'Standards for Conversions'!$A$34:$A$73,0))))</f>
        <v>59.461693244691631</v>
      </c>
      <c r="EP10" s="10" t="s">
        <v>39</v>
      </c>
      <c r="EQ10" s="9"/>
      <c r="ER10" s="9"/>
      <c r="ES10" s="31" t="str">
        <f>IF(ER10/(INDEX('Standards for Conversions'!$H$34:$H$73,MATCH(EQ$3,'Standards for Conversions'!$A$34:$A$73,0)))=0,"",ER10/(INDEX('Standards for Conversions'!$H$34:$H$73,MATCH(EQ$3,'Standards for Conversions'!$A$34:$A$73,0))))</f>
        <v/>
      </c>
      <c r="ET10" s="10" t="s">
        <v>39</v>
      </c>
      <c r="EU10" s="9"/>
      <c r="EV10" s="9"/>
      <c r="EW10" s="31" t="str">
        <f>IF(EV10/(INDEX('Standards for Conversions'!$H$34:$H$73,MATCH(EU$3,'Standards for Conversions'!$A$34:$A$73,0)))=0,"",EV10/(INDEX('Standards for Conversions'!$H$34:$H$73,MATCH(EU$3,'Standards for Conversions'!$A$34:$A$73,0))))</f>
        <v/>
      </c>
      <c r="EX10" s="10" t="s">
        <v>39</v>
      </c>
      <c r="EY10" s="9"/>
      <c r="EZ10" s="9"/>
      <c r="FA10" s="31" t="str">
        <f>IF(EZ10/(INDEX('Standards for Conversions'!$H$34:$H$73,MATCH(EY$3,'Standards for Conversions'!$A$34:$A$73,0)))=0,"",EZ10/(INDEX('Standards for Conversions'!$H$34:$H$73,MATCH(EY$3,'Standards for Conversions'!$A$34:$A$73,0))))</f>
        <v/>
      </c>
      <c r="FB10" s="10" t="s">
        <v>39</v>
      </c>
      <c r="FC10" s="9">
        <v>2150</v>
      </c>
      <c r="FD10" s="9">
        <v>4318</v>
      </c>
      <c r="FE10" s="31">
        <f>IF(FD10/(INDEX('Standards for Conversions'!$H$34:$H$73,MATCH(FC$3,'Standards for Conversions'!$A$34:$A$73,0)))=0,"",FD10/(INDEX('Standards for Conversions'!$H$34:$H$73,MATCH(FC$3,'Standards for Conversions'!$A$34:$A$73,0))))</f>
        <v>739.62139818878347</v>
      </c>
      <c r="FF10" s="10" t="s">
        <v>39</v>
      </c>
      <c r="FG10" s="9"/>
      <c r="FH10" s="9"/>
      <c r="FI10" s="31" t="str">
        <f>IF(FH10/(INDEX('Standards for Conversions'!$H$34:$H$73,MATCH(FG$3,'Standards for Conversions'!$A$34:$A$73,0)))=0,"",FH10/(INDEX('Standards for Conversions'!$H$34:$H$73,MATCH(FG$3,'Standards for Conversions'!$A$34:$A$73,0))))</f>
        <v/>
      </c>
      <c r="FJ10" s="10" t="s">
        <v>39</v>
      </c>
      <c r="FK10" s="9"/>
      <c r="FL10" s="9"/>
      <c r="FM10" s="31" t="str">
        <f>IF(FL10/(INDEX('Standards for Conversions'!$H$34:$H$73,MATCH(FK$3,'Standards for Conversions'!$A$34:$A$73,0)))=0,"",FL10/(INDEX('Standards for Conversions'!$H$34:$H$73,MATCH(FK$3,'Standards for Conversions'!$A$34:$A$73,0))))</f>
        <v/>
      </c>
      <c r="FN10" s="10" t="s">
        <v>39</v>
      </c>
      <c r="FO10" s="9"/>
      <c r="FP10" s="9"/>
      <c r="FQ10" s="31" t="str">
        <f>IF(FP10/(INDEX('Standards for Conversions'!$H$34:$H$73,MATCH(FO$3,'Standards for Conversions'!$A$34:$A$73,0)))=0,"",FP10/(INDEX('Standards for Conversions'!$H$34:$H$73,MATCH(FO$3,'Standards for Conversions'!$A$34:$A$73,0))))</f>
        <v/>
      </c>
      <c r="FR10" s="10" t="s">
        <v>39</v>
      </c>
      <c r="FS10" s="9">
        <v>5000</v>
      </c>
      <c r="FT10" s="9">
        <v>10000</v>
      </c>
      <c r="FU10" s="31">
        <f>IF(FT10/(INDEX('Standards for Conversions'!$H$34:$H$73,MATCH(FS$3,'Standards for Conversions'!$A$34:$A$73,0)))=0,"",FT10/(INDEX('Standards for Conversions'!$H$34:$H$73,MATCH(FS$3,'Standards for Conversions'!$A$34:$A$73,0))))</f>
        <v>1714.9968497436341</v>
      </c>
      <c r="FV10" s="10" t="s">
        <v>39</v>
      </c>
      <c r="FW10" s="9"/>
      <c r="FX10" s="9"/>
      <c r="FY10" s="31" t="str">
        <f>IF(FX10/(INDEX('Standards for Conversions'!$H$34:$H$73,MATCH(FW$3,'Standards for Conversions'!$A$34:$A$73,0)))=0,"",FX10/(INDEX('Standards for Conversions'!$H$34:$H$73,MATCH(FW$3,'Standards for Conversions'!$A$34:$A$73,0))))</f>
        <v/>
      </c>
      <c r="FZ10" s="10" t="s">
        <v>39</v>
      </c>
      <c r="GA10" s="9"/>
      <c r="GB10" s="9"/>
      <c r="GC10" s="31" t="str">
        <f>IF(GB10/(INDEX('Standards for Conversions'!$H$34:$H$73,MATCH(GA$3,'Standards for Conversions'!$A$34:$A$73,0)))=0,"",GB10/(INDEX('Standards for Conversions'!$H$34:$H$73,MATCH(GA$3,'Standards for Conversions'!$A$34:$A$73,0))))</f>
        <v/>
      </c>
      <c r="GD10" s="10" t="s">
        <v>39</v>
      </c>
      <c r="GE10" s="9"/>
      <c r="GF10" s="9"/>
      <c r="GG10" s="31" t="str">
        <f>IF(GF10/(INDEX('Standards for Conversions'!$H$34:$H$73,MATCH(GE$3,'Standards for Conversions'!$A$34:$A$73,0)))=0,"",GF10/(INDEX('Standards for Conversions'!$H$34:$H$73,MATCH(GE$3,'Standards for Conversions'!$A$34:$A$73,0))))</f>
        <v/>
      </c>
      <c r="GH10" s="10" t="s">
        <v>39</v>
      </c>
      <c r="GI10" s="9">
        <v>2500</v>
      </c>
      <c r="GJ10" s="9">
        <v>4000</v>
      </c>
      <c r="GK10" s="31">
        <f>IF(GJ10/(INDEX('Standards for Conversions'!$H$34:$H$73,MATCH(GI$3,'Standards for Conversions'!$A$34:$A$73,0)))=0,"",GJ10/(INDEX('Standards for Conversions'!$H$34:$H$73,MATCH(GI$3,'Standards for Conversions'!$A$34:$A$73,0))))</f>
        <v>658.05064308681665</v>
      </c>
      <c r="GL10" s="10" t="s">
        <v>39</v>
      </c>
      <c r="GM10" s="9"/>
      <c r="GN10" s="9"/>
      <c r="GO10" s="31" t="str">
        <f>IF(GN10/(INDEX('Standards for Conversions'!$H$34:$H$73,MATCH(GM$3,'Standards for Conversions'!$A$34:$A$73,0)))=0,"",GN10/(INDEX('Standards for Conversions'!$H$34:$H$73,MATCH(GM$3,'Standards for Conversions'!$A$34:$A$73,0))))</f>
        <v/>
      </c>
      <c r="GP10" s="10" t="s">
        <v>39</v>
      </c>
      <c r="GQ10" s="9"/>
      <c r="GR10" s="9"/>
      <c r="GS10" s="31" t="str">
        <f>IF(GR10/(INDEX('Standards for Conversions'!$H$34:$H$73,MATCH(GQ$3,'Standards for Conversions'!$A$34:$A$73,0)))=0,"",GR10/(INDEX('Standards for Conversions'!$H$34:$H$73,MATCH(GQ$3,'Standards for Conversions'!$A$34:$A$73,0))))</f>
        <v/>
      </c>
      <c r="GT10" s="10" t="s">
        <v>39</v>
      </c>
      <c r="GU10" s="9"/>
      <c r="GV10" s="9"/>
      <c r="GW10" s="31" t="str">
        <f>IF(GV10/(INDEX('Standards for Conversions'!$H$34:$H$73,MATCH(GU$3,'Standards for Conversions'!$A$34:$A$73,0)))=0,"",GV10/(INDEX('Standards for Conversions'!$H$34:$H$73,MATCH(GU$3,'Standards for Conversions'!$A$34:$A$73,0))))</f>
        <v/>
      </c>
      <c r="GX10" s="10" t="s">
        <v>39</v>
      </c>
      <c r="GY10" s="9">
        <f>450</f>
        <v>450</v>
      </c>
      <c r="GZ10" s="9">
        <v>1000</v>
      </c>
      <c r="HA10" s="31">
        <f>IF(GZ10/(INDEX('Standards for Conversions'!$H$34:$H$73,MATCH(GY$3,'Standards for Conversions'!$A$34:$A$73,0)))=0,"",GZ10/(INDEX('Standards for Conversions'!$H$34:$H$73,MATCH(GY$3,'Standards for Conversions'!$A$34:$A$73,0))))</f>
        <v>153.71453245850353</v>
      </c>
      <c r="HB10" s="10" t="s">
        <v>39</v>
      </c>
      <c r="HC10" s="9"/>
      <c r="HD10" s="9"/>
      <c r="HE10" s="31" t="str">
        <f>IF(HD10/(INDEX('Standards for Conversions'!$H$34:$H$73,MATCH(HC$3,'Standards for Conversions'!$A$34:$A$73,0)))=0,"",HD10/(INDEX('Standards for Conversions'!$H$34:$H$73,MATCH(HC$3,'Standards for Conversions'!$A$34:$A$73,0))))</f>
        <v/>
      </c>
      <c r="HF10" s="10" t="s">
        <v>39</v>
      </c>
      <c r="HG10" s="9"/>
      <c r="HH10" s="9"/>
      <c r="HI10" s="31" t="str">
        <f>IF(HH10/(INDEX('Standards for Conversions'!$H$34:$H$73,MATCH(HG$3,'Standards for Conversions'!$A$34:$A$73,0)))=0,"",HH10/(INDEX('Standards for Conversions'!$H$34:$H$73,MATCH(HG$3,'Standards for Conversions'!$A$34:$A$73,0))))</f>
        <v/>
      </c>
      <c r="HJ10" s="10" t="s">
        <v>39</v>
      </c>
      <c r="HK10" s="9"/>
      <c r="HL10" s="9"/>
      <c r="HM10" s="31" t="str">
        <f>IF(HL10/(INDEX('Standards for Conversions'!$H$34:$H$73,MATCH(HK$3,'Standards for Conversions'!$A$34:$A$73,0)))=0,"",HL10/(INDEX('Standards for Conversions'!$H$34:$H$73,MATCH(HK$3,'Standards for Conversions'!$A$34:$A$73,0))))</f>
        <v/>
      </c>
      <c r="HN10" s="10" t="s">
        <v>39</v>
      </c>
      <c r="HO10" s="9">
        <v>500</v>
      </c>
      <c r="HP10" s="9">
        <v>1200</v>
      </c>
      <c r="HQ10" s="31">
        <f>IF(HP10/(INDEX('Standards for Conversions'!$H$34:$H$73,MATCH(HO$3,'Standards for Conversions'!$A$34:$A$73,0)))=0,"",HP10/(INDEX('Standards for Conversions'!$H$34:$H$73,MATCH(HO$3,'Standards for Conversions'!$A$34:$A$73,0))))</f>
        <v>181.6626292691405</v>
      </c>
      <c r="HR10" s="33" t="s">
        <v>39</v>
      </c>
      <c r="HU10" s="31" t="str">
        <f>IF(HT10/(INDEX('Standards for Conversions'!$H$47:$H$73,MATCH(HS$3,'Standards for Conversions'!$A$47:$A$73,0)))=0,"",HT10/(INDEX('Standards for Conversions'!$H$47:$H$73,MATCH(HS$3,'Standards for Conversions'!$A$47:$A$73,0))))</f>
        <v/>
      </c>
      <c r="HV10" s="33" t="s">
        <v>39</v>
      </c>
      <c r="HY10" s="31" t="str">
        <f>IF(HX10/(INDEX('Standards for Conversions'!$H$47:$H$73,MATCH(HW$3,'Standards for Conversions'!$A$47:$A$73,0)))=0,"",HX10/(INDEX('Standards for Conversions'!$H$47:$H$73,MATCH(HW$3,'Standards for Conversions'!$A$47:$A$73,0))))</f>
        <v/>
      </c>
      <c r="IB10" s="31" t="str">
        <f>IF(IA10/(INDEX('Standards for Conversions'!$H$47:$H$73,MATCH(HZ$3,'Standards for Conversions'!$A$47:$A$73,0)))=0,"",IA10/(INDEX('Standards for Conversions'!$H$47:$H$73,MATCH(HZ$3,'Standards for Conversions'!$A$47:$A$73,0))))</f>
        <v/>
      </c>
      <c r="IC10" s="33" t="s">
        <v>39</v>
      </c>
      <c r="ID10" s="33">
        <v>600</v>
      </c>
      <c r="IE10" s="33">
        <v>1500</v>
      </c>
      <c r="IF10" s="31">
        <f>IF(IE10/(INDEX('Standards for Conversions'!$H$47:$H$73,MATCH(ID$3,'Standards for Conversions'!$A$47:$A$73,0)))=0,"",IE10/(INDEX('Standards for Conversions'!$H$47:$H$73,MATCH(ID$3,'Standards for Conversions'!$A$47:$A$73,0))))</f>
        <v>217.86811831928395</v>
      </c>
      <c r="IG10" s="33" t="s">
        <v>39</v>
      </c>
      <c r="IJ10" s="31" t="str">
        <f>IF(II10/(INDEX('Standards for Conversions'!$H$47:$H$73,MATCH(IH$3,'Standards for Conversions'!$A$47:$A$73,0)))=0,"",II10/(INDEX('Standards for Conversions'!$H$47:$H$73,MATCH(IH$3,'Standards for Conversions'!$A$47:$A$73,0))))</f>
        <v/>
      </c>
      <c r="IK10" s="33" t="s">
        <v>39</v>
      </c>
      <c r="IN10" s="31" t="str">
        <f>IF(IM10/(INDEX('Standards for Conversions'!$H$47:$H$73,MATCH(IL$3,'Standards for Conversions'!$A$47:$A$73,0)))=0,"",IM10/(INDEX('Standards for Conversions'!$H$47:$H$73,MATCH(IL$3,'Standards for Conversions'!$A$47:$A$73,0))))</f>
        <v/>
      </c>
      <c r="IO10" s="33" t="s">
        <v>39</v>
      </c>
      <c r="IR10" s="31" t="str">
        <f>IF(IQ10/(INDEX('Standards for Conversions'!$H$47:$H$73,MATCH(IP$3,'Standards for Conversions'!$A$47:$A$73,0)))=0,"",IQ10/(INDEX('Standards for Conversions'!$H$47:$H$73,MATCH(IP$3,'Standards for Conversions'!$A$47:$A$73,0))))</f>
        <v/>
      </c>
      <c r="IS10" s="33" t="s">
        <v>39</v>
      </c>
      <c r="IT10" s="33">
        <v>396</v>
      </c>
      <c r="IU10" s="33">
        <v>1135</v>
      </c>
      <c r="IV10" s="31">
        <f>IF(IU10/(INDEX('Standards for Conversions'!$H$47:$H$73,MATCH(IT$3,'Standards for Conversions'!$A$47:$A$73,0)))=0,"",IU10/(INDEX('Standards for Conversions'!$H$47:$H$73,MATCH(IT$3,'Standards for Conversions'!$A$47:$A$73,0))))</f>
        <v>164.13260900068073</v>
      </c>
      <c r="IW10" s="33" t="s">
        <v>39</v>
      </c>
      <c r="IZ10" s="31" t="str">
        <f>IF(IY10/(INDEX('Standards for Conversions'!$H$47:$H$73,MATCH(IX$3,'Standards for Conversions'!$A$47:$A$73,0)))=0,"",IY10/(INDEX('Standards for Conversions'!$H$47:$H$73,MATCH(IX$3,'Standards for Conversions'!$A$47:$A$73,0))))</f>
        <v/>
      </c>
      <c r="JA10" s="33" t="s">
        <v>39</v>
      </c>
      <c r="JD10" s="31" t="str">
        <f>IF(JC10/(INDEX('Standards for Conversions'!$H$47:$H$73,MATCH(JB$3,'Standards for Conversions'!$A$47:$A$73,0)))=0,"",JC10/(INDEX('Standards for Conversions'!$H$47:$H$73,MATCH(JB$3,'Standards for Conversions'!$A$47:$A$73,0))))</f>
        <v/>
      </c>
      <c r="JE10" s="33" t="s">
        <v>39</v>
      </c>
      <c r="JH10" s="31" t="str">
        <f>IF(JG10/(INDEX('Standards for Conversions'!$H$47:$H$73,MATCH(JF$3,'Standards for Conversions'!$A$47:$A$73,0)))=0,"",JG10/(INDEX('Standards for Conversions'!$H$47:$H$73,MATCH(JF$3,'Standards for Conversions'!$A$47:$A$73,0))))</f>
        <v/>
      </c>
      <c r="JI10" s="33" t="s">
        <v>39</v>
      </c>
      <c r="JJ10" s="33">
        <f>400</f>
        <v>400</v>
      </c>
      <c r="JK10" s="33">
        <f>1200</f>
        <v>1200</v>
      </c>
      <c r="JL10" s="31">
        <f>IF(JK10/(INDEX('Standards for Conversions'!$H$47:$H$73,MATCH(JJ$3,'Standards for Conversions'!$A$47:$A$73,0)))=0,"",JK10/(INDEX('Standards for Conversions'!$H$47:$H$73,MATCH(JJ$3,'Standards for Conversions'!$A$47:$A$73,0))))</f>
        <v>194.11223603024243</v>
      </c>
      <c r="JM10" s="33" t="s">
        <v>39</v>
      </c>
      <c r="JP10" s="31" t="str">
        <f>IF(JO10/(INDEX('Standards for Conversions'!$H$47:$H$73,MATCH(JN$3,'Standards for Conversions'!$A$47:$A$73,0)))=0,"",JO10/(INDEX('Standards for Conversions'!$H$47:$H$73,MATCH(JN$3,'Standards for Conversions'!$A$47:$A$73,0))))</f>
        <v/>
      </c>
      <c r="JQ10" s="33" t="s">
        <v>39</v>
      </c>
      <c r="JT10" s="31" t="str">
        <f>IF(JS10/(INDEX('Standards for Conversions'!$H$47:$H$73,MATCH(JR$3,'Standards for Conversions'!$A$47:$A$73,0)))=0,"",JS10/(INDEX('Standards for Conversions'!$H$47:$H$73,MATCH(JR$3,'Standards for Conversions'!$A$47:$A$73,0))))</f>
        <v/>
      </c>
      <c r="JU10" s="33" t="s">
        <v>39</v>
      </c>
      <c r="JX10" s="31" t="str">
        <f>IF(JW10/(INDEX('Standards for Conversions'!$H$47:$H$73,MATCH(JV$3,'Standards for Conversions'!$A$47:$A$73,0)))=0,"",JW10/(INDEX('Standards for Conversions'!$H$47:$H$73,MATCH(JV$3,'Standards for Conversions'!$A$47:$A$73,0))))</f>
        <v/>
      </c>
      <c r="JY10" s="33" t="s">
        <v>39</v>
      </c>
      <c r="JZ10" s="33">
        <f>500</f>
        <v>500</v>
      </c>
      <c r="KA10" s="33">
        <v>1400</v>
      </c>
      <c r="KB10" s="31">
        <f>IF(KA10/(INDEX('Standards for Conversions'!$H$47:$H$73,MATCH(JZ$3,'Standards for Conversions'!$A$47:$A$73,0)))=0,"",KA10/(INDEX('Standards for Conversions'!$H$47:$H$73,MATCH(JZ$3,'Standards for Conversions'!$A$47:$A$73,0))))</f>
        <v>213.71824939891658</v>
      </c>
      <c r="KC10" s="33" t="s">
        <v>39</v>
      </c>
      <c r="KF10" s="31" t="str">
        <f>IF(KE10/(INDEX('Standards for Conversions'!$H$47:$H$73,MATCH(KD$3,'Standards for Conversions'!$A$47:$A$73,0)))=0,"",KE10/(INDEX('Standards for Conversions'!$H$47:$H$73,MATCH(KD$3,'Standards for Conversions'!$A$47:$A$73,0))))</f>
        <v/>
      </c>
      <c r="KG10" s="33" t="s">
        <v>39</v>
      </c>
      <c r="KJ10" s="31" t="str">
        <f>IF(KI10/(INDEX('Standards for Conversions'!$H$47:$H$73,MATCH(KH$3,'Standards for Conversions'!$A$47:$A$73,0)))=0,"",KI10/(INDEX('Standards for Conversions'!$H$47:$H$73,MATCH(KH$3,'Standards for Conversions'!$A$47:$A$73,0))))</f>
        <v/>
      </c>
      <c r="KK10" s="33" t="s">
        <v>39</v>
      </c>
      <c r="KN10" s="31" t="str">
        <f>IF(KM10/(INDEX('Standards for Conversions'!$H$47:$H$73,MATCH(KL$3,'Standards for Conversions'!$A$47:$A$73,0)))=0,"",KM10/(INDEX('Standards for Conversions'!$H$47:$H$73,MATCH(KL$3,'Standards for Conversions'!$A$47:$A$73,0))))</f>
        <v/>
      </c>
      <c r="KO10" s="33" t="s">
        <v>39</v>
      </c>
      <c r="KP10" s="33">
        <v>300</v>
      </c>
      <c r="KQ10" s="33">
        <v>900</v>
      </c>
      <c r="KR10" s="31">
        <f>IF(KQ10/(INDEX('Standards for Conversions'!$H$47:$H$73,MATCH(KP$3,'Standards for Conversions'!$A$47:$A$73,0)))=0,"",KQ10/(INDEX('Standards for Conversions'!$H$47:$H$73,MATCH(KP$3,'Standards for Conversions'!$A$47:$A$73,0))))</f>
        <v>121.19311071521682</v>
      </c>
      <c r="KS10" s="33" t="s">
        <v>39</v>
      </c>
      <c r="KV10" s="31" t="str">
        <f>IF(KU10/(INDEX('Standards for Conversions'!$H$47:$H$73,MATCH(KT$3,'Standards for Conversions'!$A$47:$A$73,0)))=0,"",KU10/(INDEX('Standards for Conversions'!$H$47:$H$73,MATCH(KT$3,'Standards for Conversions'!$A$47:$A$73,0))))</f>
        <v/>
      </c>
      <c r="KW10" s="33" t="s">
        <v>39</v>
      </c>
      <c r="KZ10" s="31" t="str">
        <f>IF(KY10/(INDEX('Standards for Conversions'!$H$47:$H$73,MATCH(KX$3,'Standards for Conversions'!$A$47:$A$73,0)))=0,"",KY10/(INDEX('Standards for Conversions'!$H$47:$H$73,MATCH(KX$3,'Standards for Conversions'!$A$47:$A$73,0))))</f>
        <v/>
      </c>
      <c r="LA10" s="33" t="s">
        <v>39</v>
      </c>
      <c r="LD10" s="31" t="str">
        <f>IF(LC10/(INDEX('Standards for Conversions'!$H$47:$H$73,MATCH(LB$3,'Standards for Conversions'!$A$47:$A$73,0)))=0,"",LC10/(INDEX('Standards for Conversions'!$H$47:$H$73,MATCH(LB$3,'Standards for Conversions'!$A$47:$A$73,0))))</f>
        <v/>
      </c>
      <c r="LE10" s="33" t="s">
        <v>39</v>
      </c>
      <c r="LF10" s="33">
        <f>150</f>
        <v>150</v>
      </c>
      <c r="LG10" s="33">
        <v>450</v>
      </c>
      <c r="LH10" s="31">
        <f>IF(LG10/(INDEX('Standards for Conversions'!$H$47:$H$73,MATCH(LF$3,'Standards for Conversions'!$A$47:$A$73,0)))=0,"",LG10/(INDEX('Standards for Conversions'!$H$47:$H$73,MATCH(LF$3,'Standards for Conversions'!$A$47:$A$73,0))))</f>
        <v>54.727455027374631</v>
      </c>
      <c r="LL10" s="31" t="str">
        <f>IF(LK10/(INDEX('Standards for Conversions'!$H$47:$H$73,MATCH(LJ$3,'Standards for Conversions'!$A$47:$A$73,0)))=0,"",LK10/(INDEX('Standards for Conversions'!$H$47:$H$73,MATCH(LJ$3,'Standards for Conversions'!$A$47:$A$73,0))))</f>
        <v/>
      </c>
      <c r="LO10" s="31" t="str">
        <f>IF(LN10/(INDEX('Standards for Conversions'!$H$47:$H$73,MATCH(LM$3,'Standards for Conversions'!$A$47:$A$73,0)))=0,"",LN10/(INDEX('Standards for Conversions'!$H$47:$H$73,MATCH(LM$3,'Standards for Conversions'!$A$47:$A$73,0))))</f>
        <v/>
      </c>
      <c r="LR10" s="31" t="str">
        <f>IF(LQ10/(INDEX('Standards for Conversions'!$H$47:$H$73,MATCH(LP$3,'Standards for Conversions'!$A$47:$A$73,0)))=0,"",LQ10/(INDEX('Standards for Conversions'!$H$47:$H$73,MATCH(LP$3,'Standards for Conversions'!$A$47:$A$73,0))))</f>
        <v/>
      </c>
      <c r="LV10" s="31" t="str">
        <f>IF(LU10/(INDEX('Standards for Conversions'!$H$47:$H$73,MATCH(LT$3,'Standards for Conversions'!$A$47:$A$73,0)))=0,"",LU10/(INDEX('Standards for Conversions'!$H$47:$H$73,MATCH(LT$3,'Standards for Conversions'!$A$47:$A$73,0))))</f>
        <v/>
      </c>
      <c r="LY10" s="31" t="str">
        <f>IF(LX10/(INDEX('Standards for Conversions'!$H$47:$H$73,MATCH(LW$3,'Standards for Conversions'!$A$47:$A$73,0)))=0,"",LX10/(INDEX('Standards for Conversions'!$H$47:$H$73,MATCH(LW$3,'Standards for Conversions'!$A$47:$A$73,0))))</f>
        <v/>
      </c>
      <c r="MB10" s="31" t="str">
        <f>IF(MA10/(INDEX('Standards for Conversions'!$H$47:$H$73,MATCH(LZ$3,'Standards for Conversions'!$A$47:$A$73,0)))=0,"",MA10/(INDEX('Standards for Conversions'!$H$47:$H$73,MATCH(LZ$3,'Standards for Conversions'!$A$47:$A$73,0))))</f>
        <v/>
      </c>
      <c r="ME10" s="31" t="str">
        <f>IF(MD10/(INDEX('Standards for Conversions'!$H$47:$H$73,MATCH(MC$3,'Standards for Conversions'!$A$47:$A$73,0)))=0,"",MD10/(INDEX('Standards for Conversions'!$H$47:$H$73,MATCH(MC$3,'Standards for Conversions'!$A$47:$A$73,0))))</f>
        <v/>
      </c>
      <c r="MH10" s="31" t="str">
        <f>IF(MG10/(INDEX('Standards for Conversions'!$H$47:$H$73,MATCH(MF$3,'Standards for Conversions'!$A$47:$A$73,0)))=0,"",MG10/(INDEX('Standards for Conversions'!$H$47:$H$73,MATCH(MF$3,'Standards for Conversions'!$A$47:$A$73,0))))</f>
        <v/>
      </c>
      <c r="MK10" s="31" t="str">
        <f>IF(MJ10/(INDEX('Standards for Conversions'!$H$47:$H$73,MATCH(MI$3,'Standards for Conversions'!$A$47:$A$73,0)))=0,"",MJ10/(INDEX('Standards for Conversions'!$H$47:$H$73,MATCH(MI$3,'Standards for Conversions'!$A$47:$A$73,0))))</f>
        <v/>
      </c>
      <c r="MN10" s="31" t="str">
        <f>IF(MM10/(INDEX('Standards for Conversions'!$H$47:$H$73,MATCH(ML$3,'Standards for Conversions'!$A$47:$A$73,0)))=0,"",MM10/(INDEX('Standards for Conversions'!$H$47:$H$73,MATCH(ML$3,'Standards for Conversions'!$A$47:$A$73,0))))</f>
        <v/>
      </c>
      <c r="MR10" s="31" t="str">
        <f>IF(MQ10/(INDEX('Standards for Conversions'!$H$47:$H$73,MATCH(MP$3,'Standards for Conversions'!$A$47:$A$73,0)))=0,"",MQ10/(INDEX('Standards for Conversions'!$H$47:$H$73,MATCH(MP$3,'Standards for Conversions'!$A$47:$A$73,0))))</f>
        <v/>
      </c>
    </row>
    <row r="11" spans="1:373" s="33" customFormat="1" ht="15.6" x14ac:dyDescent="0.3">
      <c r="A11" s="102" t="s">
        <v>155</v>
      </c>
      <c r="B11" s="10" t="s">
        <v>38</v>
      </c>
      <c r="C11" s="7"/>
      <c r="D11" s="7"/>
      <c r="E11" s="31" t="str">
        <f>IF(D11/(INDEX('Standards for Conversions'!$H$34:$H$73,MATCH(C$3,'Standards for Conversions'!$A$34:$A$73,0)))=0,"",D11/(INDEX('Standards for Conversions'!$H$34:$H$73,MATCH(C$3,'Standards for Conversions'!$A$34:$A$73,0))))</f>
        <v/>
      </c>
      <c r="F11" s="10" t="s">
        <v>38</v>
      </c>
      <c r="G11" s="7"/>
      <c r="H11" s="7"/>
      <c r="I11" s="31" t="str">
        <f>IF(H11/(INDEX('Standards for Conversions'!$H$34:$H$73,MATCH(G$3,'Standards for Conversions'!$A$34:$A$73,0)))=0,"",H11/(INDEX('Standards for Conversions'!$H$34:$H$73,MATCH(G$3,'Standards for Conversions'!$A$34:$A$73,0))))</f>
        <v/>
      </c>
      <c r="J11" s="10" t="s">
        <v>38</v>
      </c>
      <c r="K11" s="9"/>
      <c r="L11" s="9"/>
      <c r="M11" s="31" t="str">
        <f>IF(L11/(INDEX('Standards for Conversions'!$H$34:$H$73,MATCH(K$3,'Standards for Conversions'!$A$34:$A$73,0)))=0,"",L11/(INDEX('Standards for Conversions'!$H$34:$H$73,MATCH(K$3,'Standards for Conversions'!$A$34:$A$73,0))))</f>
        <v/>
      </c>
      <c r="N11" s="10" t="s">
        <v>38</v>
      </c>
      <c r="O11" s="7"/>
      <c r="P11" s="7"/>
      <c r="Q11" s="31" t="str">
        <f>IF(P11/(INDEX('Standards for Conversions'!$H$34:$H$73,MATCH(O$3,'Standards for Conversions'!$A$34:$A$73,0)))=0,"",P11/(INDEX('Standards for Conversions'!$H$34:$H$73,MATCH(O$3,'Standards for Conversions'!$A$34:$A$73,0))))</f>
        <v/>
      </c>
      <c r="R11" s="10" t="s">
        <v>38</v>
      </c>
      <c r="S11" s="7"/>
      <c r="T11" s="7"/>
      <c r="U11" s="31" t="str">
        <f>IF(T11/(INDEX('Standards for Conversions'!$H$34:$H$73,MATCH(S$3,'Standards for Conversions'!$A$34:$A$73,0)))=0,"",T11/(INDEX('Standards for Conversions'!$H$34:$H$73,MATCH(S$3,'Standards for Conversions'!$A$34:$A$73,0))))</f>
        <v/>
      </c>
      <c r="V11" s="10" t="s">
        <v>38</v>
      </c>
      <c r="W11" s="7"/>
      <c r="X11" s="7"/>
      <c r="Y11" s="31" t="str">
        <f>IF(X11/(INDEX('Standards for Conversions'!$H$34:$H$73,MATCH(W$3,'Standards for Conversions'!$A$34:$A$73,0)))=0,"",X11/(INDEX('Standards for Conversions'!$H$34:$H$73,MATCH(W$3,'Standards for Conversions'!$A$34:$A$73,0))))</f>
        <v/>
      </c>
      <c r="Z11" s="10" t="s">
        <v>38</v>
      </c>
      <c r="AA11" s="9"/>
      <c r="AB11" s="9"/>
      <c r="AC11" s="31" t="str">
        <f>IF(AB11/(INDEX('Standards for Conversions'!$H$34:$H$73,MATCH(AA$3,'Standards for Conversions'!$A$34:$A$73,0)))=0,"",AB11/(INDEX('Standards for Conversions'!$H$34:$H$73,MATCH(AA$3,'Standards for Conversions'!$A$34:$A$73,0))))</f>
        <v/>
      </c>
      <c r="AD11" s="10" t="s">
        <v>38</v>
      </c>
      <c r="AE11" s="7"/>
      <c r="AF11" s="7"/>
      <c r="AG11" s="31" t="str">
        <f>IF(AF11/(INDEX('Standards for Conversions'!$H$34:$H$73,MATCH(AE$3,'Standards for Conversions'!$A$34:$A$73,0)))=0,"",AF11/(INDEX('Standards for Conversions'!$H$34:$H$73,MATCH(AE$3,'Standards for Conversions'!$A$34:$A$73,0))))</f>
        <v/>
      </c>
      <c r="AH11" s="10" t="s">
        <v>38</v>
      </c>
      <c r="AI11" s="7"/>
      <c r="AJ11" s="7"/>
      <c r="AK11" s="31" t="str">
        <f>IF(AJ11/(INDEX('Standards for Conversions'!$H$34:$H$73,MATCH(AI$3,'Standards for Conversions'!$A$34:$A$73,0)))=0,"",AJ11/(INDEX('Standards for Conversions'!$H$34:$H$73,MATCH(AI$3,'Standards for Conversions'!$A$34:$A$73,0))))</f>
        <v/>
      </c>
      <c r="AL11" s="10" t="s">
        <v>38</v>
      </c>
      <c r="AM11" s="7"/>
      <c r="AN11" s="7"/>
      <c r="AO11" s="31" t="str">
        <f>IF(AN11/(INDEX('Standards for Conversions'!$H$34:$H$73,MATCH(AM$3,'Standards for Conversions'!$A$34:$A$73,0)))=0,"",AN11/(INDEX('Standards for Conversions'!$H$34:$H$73,MATCH(AM$3,'Standards for Conversions'!$A$34:$A$73,0))))</f>
        <v/>
      </c>
      <c r="AP11" s="10" t="s">
        <v>38</v>
      </c>
      <c r="AQ11" s="9"/>
      <c r="AR11" s="9"/>
      <c r="AS11" s="31" t="str">
        <f>IF(AR11/(INDEX('Standards for Conversions'!$H$34:$H$73,MATCH(AQ$3,'Standards for Conversions'!$A$34:$A$73,0)))=0,"",AR11/(INDEX('Standards for Conversions'!$H$34:$H$73,MATCH(AQ$3,'Standards for Conversions'!$A$34:$A$73,0))))</f>
        <v/>
      </c>
      <c r="AT11" s="10" t="s">
        <v>38</v>
      </c>
      <c r="AU11" s="7"/>
      <c r="AV11" s="7"/>
      <c r="AW11" s="31" t="str">
        <f>IF(AV11/(INDEX('Standards for Conversions'!$H$34:$H$73,MATCH(AU$3,'Standards for Conversions'!$A$34:$A$73,0)))=0,"",AV11/(INDEX('Standards for Conversions'!$H$34:$H$73,MATCH(AU$3,'Standards for Conversions'!$A$34:$A$73,0))))</f>
        <v/>
      </c>
      <c r="AX11" s="10" t="s">
        <v>38</v>
      </c>
      <c r="AY11" s="7"/>
      <c r="AZ11" s="7"/>
      <c r="BA11" s="31" t="str">
        <f>IF(AZ11/(INDEX('Standards for Conversions'!$H$34:$H$73,MATCH(AY$3,'Standards for Conversions'!$A$34:$A$73,0)))=0,"",AZ11/(INDEX('Standards for Conversions'!$H$34:$H$73,MATCH(AY$3,'Standards for Conversions'!$A$34:$A$73,0))))</f>
        <v/>
      </c>
      <c r="BB11" s="10" t="s">
        <v>38</v>
      </c>
      <c r="BC11" s="7"/>
      <c r="BD11" s="7"/>
      <c r="BE11" s="31" t="str">
        <f>IF(BD11/(INDEX('Standards for Conversions'!$H$34:$H$73,MATCH(BC$3,'Standards for Conversions'!$A$34:$A$73,0)))=0,"",BD11/(INDEX('Standards for Conversions'!$H$34:$H$73,MATCH(BC$3,'Standards for Conversions'!$A$34:$A$73,0))))</f>
        <v/>
      </c>
      <c r="BF11" s="10" t="s">
        <v>38</v>
      </c>
      <c r="BG11" s="9"/>
      <c r="BH11" s="9"/>
      <c r="BI11" s="31" t="str">
        <f>IF(BH11/(INDEX('Standards for Conversions'!$H$34:$H$73,MATCH(BG$3,'Standards for Conversions'!$A$34:$A$73,0)))=0,"",BH11/(INDEX('Standards for Conversions'!$H$34:$H$73,MATCH(BG$3,'Standards for Conversions'!$A$34:$A$73,0))))</f>
        <v/>
      </c>
      <c r="BJ11" s="10" t="s">
        <v>38</v>
      </c>
      <c r="BK11" s="7"/>
      <c r="BL11" s="7"/>
      <c r="BM11" s="31" t="str">
        <f>IF(BL11/(INDEX('Standards for Conversions'!$H$34:$H$73,MATCH(BK$3,'Standards for Conversions'!$A$34:$A$73,0)))=0,"",BL11/(INDEX('Standards for Conversions'!$H$34:$H$73,MATCH(BK$3,'Standards for Conversions'!$A$34:$A$73,0))))</f>
        <v/>
      </c>
      <c r="BN11" s="10" t="s">
        <v>38</v>
      </c>
      <c r="BO11" s="7"/>
      <c r="BP11" s="7"/>
      <c r="BQ11" s="31" t="str">
        <f>IF(BP11/(INDEX('Standards for Conversions'!$H$34:$H$73,MATCH(BO$3,'Standards for Conversions'!$A$34:$A$73,0)))=0,"",BP11/(INDEX('Standards for Conversions'!$H$34:$H$73,MATCH(BO$3,'Standards for Conversions'!$A$34:$A$73,0))))</f>
        <v/>
      </c>
      <c r="BR11" s="10" t="s">
        <v>38</v>
      </c>
      <c r="BS11" s="7"/>
      <c r="BT11" s="7"/>
      <c r="BU11" s="31" t="str">
        <f>IF(BT11/(INDEX('Standards for Conversions'!$H$34:$H$73,MATCH(BS$3,'Standards for Conversions'!$A$34:$A$73,0)))=0,"",BT11/(INDEX('Standards for Conversions'!$H$34:$H$73,MATCH(BS$3,'Standards for Conversions'!$A$34:$A$73,0))))</f>
        <v/>
      </c>
      <c r="BV11" s="10" t="s">
        <v>38</v>
      </c>
      <c r="BW11" s="9"/>
      <c r="BX11" s="9"/>
      <c r="BY11" s="31" t="str">
        <f>IF(BX11/(INDEX('Standards for Conversions'!$H$34:$H$73,MATCH(BW$3,'Standards for Conversions'!$A$34:$A$73,0)))=0,"",BX11/(INDEX('Standards for Conversions'!$H$34:$H$73,MATCH(BW$3,'Standards for Conversions'!$A$34:$A$73,0))))</f>
        <v/>
      </c>
      <c r="BZ11" s="10" t="s">
        <v>38</v>
      </c>
      <c r="CA11" s="7"/>
      <c r="CB11" s="7"/>
      <c r="CC11" s="31" t="str">
        <f>IF(CB11/(INDEX('Standards for Conversions'!$H$34:$H$73,MATCH(CA$3,'Standards for Conversions'!$A$34:$A$73,0)))=0,"",CB11/(INDEX('Standards for Conversions'!$H$34:$H$73,MATCH(CA$3,'Standards for Conversions'!$A$34:$A$73,0))))</f>
        <v/>
      </c>
      <c r="CD11" s="10" t="s">
        <v>38</v>
      </c>
      <c r="CE11" s="7"/>
      <c r="CF11" s="7"/>
      <c r="CG11" s="31" t="str">
        <f>IF(CF11/(INDEX('Standards for Conversions'!$H$34:$H$73,MATCH(CE$3,'Standards for Conversions'!$A$34:$A$73,0)))=0,"",CF11/(INDEX('Standards for Conversions'!$H$34:$H$73,MATCH(CE$3,'Standards for Conversions'!$A$34:$A$73,0))))</f>
        <v/>
      </c>
      <c r="CH11" s="10" t="s">
        <v>38</v>
      </c>
      <c r="CI11" s="7"/>
      <c r="CJ11" s="7"/>
      <c r="CK11" s="31" t="str">
        <f>IF(CJ11/(INDEX('Standards for Conversions'!$H$34:$H$73,MATCH(CI$3,'Standards for Conversions'!$A$34:$A$73,0)))=0,"",CJ11/(INDEX('Standards for Conversions'!$H$34:$H$73,MATCH(CI$3,'Standards for Conversions'!$A$34:$A$73,0))))</f>
        <v/>
      </c>
      <c r="CL11" s="10" t="s">
        <v>38</v>
      </c>
      <c r="CM11" s="9"/>
      <c r="CN11" s="9"/>
      <c r="CO11" s="31" t="str">
        <f>IF(CN11/(INDEX('Standards for Conversions'!$H$34:$H$73,MATCH(CM$3,'Standards for Conversions'!$A$34:$A$73,0)))=0,"",CN11/(INDEX('Standards for Conversions'!$H$34:$H$73,MATCH(CM$3,'Standards for Conversions'!$A$34:$A$73,0))))</f>
        <v/>
      </c>
      <c r="CP11" s="10" t="s">
        <v>38</v>
      </c>
      <c r="CQ11" s="7"/>
      <c r="CR11" s="7"/>
      <c r="CS11" s="31" t="str">
        <f>IF(CR11/(INDEX('Standards for Conversions'!$H$34:$H$73,MATCH(CQ$3,'Standards for Conversions'!$A$34:$A$73,0)))=0,"",CR11/(INDEX('Standards for Conversions'!$H$34:$H$73,MATCH(CQ$3,'Standards for Conversions'!$A$34:$A$73,0))))</f>
        <v/>
      </c>
      <c r="CT11" s="10" t="s">
        <v>38</v>
      </c>
      <c r="CU11" s="7"/>
      <c r="CV11" s="7"/>
      <c r="CW11" s="31" t="str">
        <f>IF(CV11/(INDEX('Standards for Conversions'!$H$34:$H$73,MATCH(CU$3,'Standards for Conversions'!$A$34:$A$73,0)))=0,"",CV11/(INDEX('Standards for Conversions'!$H$34:$H$73,MATCH(CU$3,'Standards for Conversions'!$A$34:$A$73,0))))</f>
        <v/>
      </c>
      <c r="CX11" s="10" t="s">
        <v>38</v>
      </c>
      <c r="CY11" s="7"/>
      <c r="CZ11" s="7"/>
      <c r="DA11" s="31" t="str">
        <f>IF(CZ11/(INDEX('Standards for Conversions'!$H$34:$H$73,MATCH(CY$3,'Standards for Conversions'!$A$34:$A$73,0)))=0,"",CZ11/(INDEX('Standards for Conversions'!$H$34:$H$73,MATCH(CY$3,'Standards for Conversions'!$A$34:$A$73,0))))</f>
        <v/>
      </c>
      <c r="DB11" s="10" t="s">
        <v>38</v>
      </c>
      <c r="DC11" s="9"/>
      <c r="DD11" s="9"/>
      <c r="DE11" s="31" t="str">
        <f>IF(DD11/(INDEX('Standards for Conversions'!$H$34:$H$73,MATCH(DC$3,'Standards for Conversions'!$A$34:$A$73,0)))=0,"",DD11/(INDEX('Standards for Conversions'!$H$34:$H$73,MATCH(DC$3,'Standards for Conversions'!$A$34:$A$73,0))))</f>
        <v/>
      </c>
      <c r="DF11" s="10" t="s">
        <v>38</v>
      </c>
      <c r="DG11" s="7"/>
      <c r="DH11" s="7"/>
      <c r="DI11" s="31" t="str">
        <f>IF(DH11/(INDEX('Standards for Conversions'!$H$34:$H$73,MATCH(DG$3,'Standards for Conversions'!$A$34:$A$73,0)))=0,"",DH11/(INDEX('Standards for Conversions'!$H$34:$H$73,MATCH(DG$3,'Standards for Conversions'!$A$34:$A$73,0))))</f>
        <v/>
      </c>
      <c r="DJ11" s="10" t="s">
        <v>38</v>
      </c>
      <c r="DK11" s="7"/>
      <c r="DL11" s="7"/>
      <c r="DM11" s="31" t="str">
        <f>IF(DL11/(INDEX('Standards for Conversions'!$H$34:$H$73,MATCH(DK$3,'Standards for Conversions'!$A$34:$A$73,0)))=0,"",DL11/(INDEX('Standards for Conversions'!$H$34:$H$73,MATCH(DK$3,'Standards for Conversions'!$A$34:$A$73,0))))</f>
        <v/>
      </c>
      <c r="DN11" s="10" t="s">
        <v>38</v>
      </c>
      <c r="DO11" s="7"/>
      <c r="DP11" s="7"/>
      <c r="DQ11" s="31" t="str">
        <f>IF(DP11/(INDEX('Standards for Conversions'!$H$34:$H$73,MATCH(DO$3,'Standards for Conversions'!$A$34:$A$73,0)))=0,"",DP11/(INDEX('Standards for Conversions'!$H$34:$H$73,MATCH(DO$3,'Standards for Conversions'!$A$34:$A$73,0))))</f>
        <v/>
      </c>
      <c r="DR11" s="10" t="s">
        <v>38</v>
      </c>
      <c r="DS11" s="9"/>
      <c r="DT11" s="9"/>
      <c r="DU11" s="31" t="str">
        <f>IF(DT11/(INDEX('Standards for Conversions'!$H$34:$H$73,MATCH(DS$3,'Standards for Conversions'!$A$34:$A$73,0)))=0,"",DT11/(INDEX('Standards for Conversions'!$H$34:$H$73,MATCH(DS$3,'Standards for Conversions'!$A$34:$A$73,0))))</f>
        <v/>
      </c>
      <c r="DV11" s="10" t="s">
        <v>38</v>
      </c>
      <c r="DW11" s="7"/>
      <c r="DX11" s="7"/>
      <c r="DY11" s="31" t="str">
        <f>IF(DX11/(INDEX('Standards for Conversions'!$H$34:$H$73,MATCH(DW$3,'Standards for Conversions'!$A$34:$A$73,0)))=0,"",DX11/(INDEX('Standards for Conversions'!$H$34:$H$73,MATCH(DW$3,'Standards for Conversions'!$A$34:$A$73,0))))</f>
        <v/>
      </c>
      <c r="DZ11" s="10" t="s">
        <v>38</v>
      </c>
      <c r="EA11" s="7"/>
      <c r="EB11" s="7"/>
      <c r="EC11" s="31" t="str">
        <f>IF(EB11/(INDEX('Standards for Conversions'!$H$34:$H$73,MATCH(EA$3,'Standards for Conversions'!$A$34:$A$73,0)))=0,"",EB11/(INDEX('Standards for Conversions'!$H$34:$H$73,MATCH(EA$3,'Standards for Conversions'!$A$34:$A$73,0))))</f>
        <v/>
      </c>
      <c r="ED11" s="10" t="s">
        <v>38</v>
      </c>
      <c r="EE11" s="7"/>
      <c r="EF11" s="7"/>
      <c r="EG11" s="31" t="str">
        <f>IF(EF11/(INDEX('Standards for Conversions'!$H$34:$H$73,MATCH(EE$3,'Standards for Conversions'!$A$34:$A$73,0)))=0,"",EF11/(INDEX('Standards for Conversions'!$H$34:$H$73,MATCH(EE$3,'Standards for Conversions'!$A$34:$A$73,0))))</f>
        <v/>
      </c>
      <c r="EH11" s="10" t="s">
        <v>38</v>
      </c>
      <c r="EI11" s="9"/>
      <c r="EJ11" s="9"/>
      <c r="EK11" s="31" t="str">
        <f>IF(EJ11/(INDEX('Standards for Conversions'!$H$34:$H$73,MATCH(EI$3,'Standards for Conversions'!$A$34:$A$73,0)))=0,"",EJ11/(INDEX('Standards for Conversions'!$H$34:$H$73,MATCH(EI$3,'Standards for Conversions'!$A$34:$A$73,0))))</f>
        <v/>
      </c>
      <c r="EL11" s="10" t="s">
        <v>38</v>
      </c>
      <c r="EM11" s="7"/>
      <c r="EN11" s="7"/>
      <c r="EO11" s="31" t="str">
        <f>IF(EN11/(INDEX('Standards for Conversions'!$H$34:$H$73,MATCH(EM$3,'Standards for Conversions'!$A$34:$A$73,0)))=0,"",EN11/(INDEX('Standards for Conversions'!$H$34:$H$73,MATCH(EM$3,'Standards for Conversions'!$A$34:$A$73,0))))</f>
        <v/>
      </c>
      <c r="EP11" s="10" t="s">
        <v>38</v>
      </c>
      <c r="EQ11" s="7"/>
      <c r="ER11" s="7"/>
      <c r="ES11" s="31" t="str">
        <f>IF(ER11/(INDEX('Standards for Conversions'!$H$34:$H$73,MATCH(EQ$3,'Standards for Conversions'!$A$34:$A$73,0)))=0,"",ER11/(INDEX('Standards for Conversions'!$H$34:$H$73,MATCH(EQ$3,'Standards for Conversions'!$A$34:$A$73,0))))</f>
        <v/>
      </c>
      <c r="ET11" s="10" t="s">
        <v>38</v>
      </c>
      <c r="EU11" s="7"/>
      <c r="EV11" s="7"/>
      <c r="EW11" s="31" t="str">
        <f>IF(EV11/(INDEX('Standards for Conversions'!$H$34:$H$73,MATCH(EU$3,'Standards for Conversions'!$A$34:$A$73,0)))=0,"",EV11/(INDEX('Standards for Conversions'!$H$34:$H$73,MATCH(EU$3,'Standards for Conversions'!$A$34:$A$73,0))))</f>
        <v/>
      </c>
      <c r="EX11" s="10" t="s">
        <v>38</v>
      </c>
      <c r="EY11" s="9"/>
      <c r="EZ11" s="9"/>
      <c r="FA11" s="31" t="str">
        <f>IF(EZ11/(INDEX('Standards for Conversions'!$H$34:$H$73,MATCH(EY$3,'Standards for Conversions'!$A$34:$A$73,0)))=0,"",EZ11/(INDEX('Standards for Conversions'!$H$34:$H$73,MATCH(EY$3,'Standards for Conversions'!$A$34:$A$73,0))))</f>
        <v/>
      </c>
      <c r="FB11" s="10" t="s">
        <v>38</v>
      </c>
      <c r="FC11" s="7"/>
      <c r="FD11" s="7"/>
      <c r="FE11" s="31" t="str">
        <f>IF(FD11/(INDEX('Standards for Conversions'!$H$34:$H$73,MATCH(FC$3,'Standards for Conversions'!$A$34:$A$73,0)))=0,"",FD11/(INDEX('Standards for Conversions'!$H$34:$H$73,MATCH(FC$3,'Standards for Conversions'!$A$34:$A$73,0))))</f>
        <v/>
      </c>
      <c r="FF11" s="10" t="s">
        <v>38</v>
      </c>
      <c r="FG11" s="7"/>
      <c r="FH11" s="7"/>
      <c r="FI11" s="31" t="str">
        <f>IF(FH11/(INDEX('Standards for Conversions'!$H$34:$H$73,MATCH(FG$3,'Standards for Conversions'!$A$34:$A$73,0)))=0,"",FH11/(INDEX('Standards for Conversions'!$H$34:$H$73,MATCH(FG$3,'Standards for Conversions'!$A$34:$A$73,0))))</f>
        <v/>
      </c>
      <c r="FJ11" s="10" t="s">
        <v>38</v>
      </c>
      <c r="FK11" s="7"/>
      <c r="FL11" s="7"/>
      <c r="FM11" s="31" t="str">
        <f>IF(FL11/(INDEX('Standards for Conversions'!$H$34:$H$73,MATCH(FK$3,'Standards for Conversions'!$A$34:$A$73,0)))=0,"",FL11/(INDEX('Standards for Conversions'!$H$34:$H$73,MATCH(FK$3,'Standards for Conversions'!$A$34:$A$73,0))))</f>
        <v/>
      </c>
      <c r="FN11" s="10" t="s">
        <v>38</v>
      </c>
      <c r="FO11" s="9"/>
      <c r="FP11" s="9"/>
      <c r="FQ11" s="31" t="str">
        <f>IF(FP11/(INDEX('Standards for Conversions'!$H$34:$H$73,MATCH(FO$3,'Standards for Conversions'!$A$34:$A$73,0)))=0,"",FP11/(INDEX('Standards for Conversions'!$H$34:$H$73,MATCH(FO$3,'Standards for Conversions'!$A$34:$A$73,0))))</f>
        <v/>
      </c>
      <c r="FR11" s="10" t="s">
        <v>38</v>
      </c>
      <c r="FS11" s="7"/>
      <c r="FT11" s="7"/>
      <c r="FU11" s="31" t="str">
        <f>IF(FT11/(INDEX('Standards for Conversions'!$H$34:$H$73,MATCH(FS$3,'Standards for Conversions'!$A$34:$A$73,0)))=0,"",FT11/(INDEX('Standards for Conversions'!$H$34:$H$73,MATCH(FS$3,'Standards for Conversions'!$A$34:$A$73,0))))</f>
        <v/>
      </c>
      <c r="FV11" s="10" t="s">
        <v>38</v>
      </c>
      <c r="FW11" s="7"/>
      <c r="FX11" s="7"/>
      <c r="FY11" s="31" t="str">
        <f>IF(FX11/(INDEX('Standards for Conversions'!$H$34:$H$73,MATCH(FW$3,'Standards for Conversions'!$A$34:$A$73,0)))=0,"",FX11/(INDEX('Standards for Conversions'!$H$34:$H$73,MATCH(FW$3,'Standards for Conversions'!$A$34:$A$73,0))))</f>
        <v/>
      </c>
      <c r="FZ11" s="10" t="s">
        <v>38</v>
      </c>
      <c r="GA11" s="7"/>
      <c r="GB11" s="7"/>
      <c r="GC11" s="31" t="str">
        <f>IF(GB11/(INDEX('Standards for Conversions'!$H$34:$H$73,MATCH(GA$3,'Standards for Conversions'!$A$34:$A$73,0)))=0,"",GB11/(INDEX('Standards for Conversions'!$H$34:$H$73,MATCH(GA$3,'Standards for Conversions'!$A$34:$A$73,0))))</f>
        <v/>
      </c>
      <c r="GD11" s="10" t="s">
        <v>38</v>
      </c>
      <c r="GE11" s="9"/>
      <c r="GF11" s="9"/>
      <c r="GG11" s="31" t="str">
        <f>IF(GF11/(INDEX('Standards for Conversions'!$H$34:$H$73,MATCH(GE$3,'Standards for Conversions'!$A$34:$A$73,0)))=0,"",GF11/(INDEX('Standards for Conversions'!$H$34:$H$73,MATCH(GE$3,'Standards for Conversions'!$A$34:$A$73,0))))</f>
        <v/>
      </c>
      <c r="GH11" s="10" t="s">
        <v>38</v>
      </c>
      <c r="GI11" s="7"/>
      <c r="GJ11" s="7"/>
      <c r="GK11" s="31" t="str">
        <f>IF(GJ11/(INDEX('Standards for Conversions'!$H$34:$H$73,MATCH(GI$3,'Standards for Conversions'!$A$34:$A$73,0)))=0,"",GJ11/(INDEX('Standards for Conversions'!$H$34:$H$73,MATCH(GI$3,'Standards for Conversions'!$A$34:$A$73,0))))</f>
        <v/>
      </c>
      <c r="GL11" s="10" t="s">
        <v>38</v>
      </c>
      <c r="GM11" s="7"/>
      <c r="GN11" s="7"/>
      <c r="GO11" s="31" t="str">
        <f>IF(GN11/(INDEX('Standards for Conversions'!$H$34:$H$73,MATCH(GM$3,'Standards for Conversions'!$A$34:$A$73,0)))=0,"",GN11/(INDEX('Standards for Conversions'!$H$34:$H$73,MATCH(GM$3,'Standards for Conversions'!$A$34:$A$73,0))))</f>
        <v/>
      </c>
      <c r="GP11" s="10" t="s">
        <v>38</v>
      </c>
      <c r="GQ11" s="7"/>
      <c r="GR11" s="7"/>
      <c r="GS11" s="31" t="str">
        <f>IF(GR11/(INDEX('Standards for Conversions'!$H$34:$H$73,MATCH(GQ$3,'Standards for Conversions'!$A$34:$A$73,0)))=0,"",GR11/(INDEX('Standards for Conversions'!$H$34:$H$73,MATCH(GQ$3,'Standards for Conversions'!$A$34:$A$73,0))))</f>
        <v/>
      </c>
      <c r="GT11" s="10" t="s">
        <v>38</v>
      </c>
      <c r="GU11" s="9"/>
      <c r="GV11" s="9"/>
      <c r="GW11" s="31" t="str">
        <f>IF(GV11/(INDEX('Standards for Conversions'!$H$34:$H$73,MATCH(GU$3,'Standards for Conversions'!$A$34:$A$73,0)))=0,"",GV11/(INDEX('Standards for Conversions'!$H$34:$H$73,MATCH(GU$3,'Standards for Conversions'!$A$34:$A$73,0))))</f>
        <v/>
      </c>
      <c r="GX11" s="10" t="s">
        <v>38</v>
      </c>
      <c r="GY11" s="7"/>
      <c r="GZ11" s="7"/>
      <c r="HA11" s="31" t="str">
        <f>IF(GZ11/(INDEX('Standards for Conversions'!$H$34:$H$73,MATCH(GY$3,'Standards for Conversions'!$A$34:$A$73,0)))=0,"",GZ11/(INDEX('Standards for Conversions'!$H$34:$H$73,MATCH(GY$3,'Standards for Conversions'!$A$34:$A$73,0))))</f>
        <v/>
      </c>
      <c r="HB11" s="10" t="s">
        <v>38</v>
      </c>
      <c r="HC11" s="7"/>
      <c r="HD11" s="7"/>
      <c r="HE11" s="31" t="str">
        <f>IF(HD11/(INDEX('Standards for Conversions'!$H$34:$H$73,MATCH(HC$3,'Standards for Conversions'!$A$34:$A$73,0)))=0,"",HD11/(INDEX('Standards for Conversions'!$H$34:$H$73,MATCH(HC$3,'Standards for Conversions'!$A$34:$A$73,0))))</f>
        <v/>
      </c>
      <c r="HF11" s="10" t="s">
        <v>38</v>
      </c>
      <c r="HG11" s="7"/>
      <c r="HH11" s="7"/>
      <c r="HI11" s="31" t="str">
        <f>IF(HH11/(INDEX('Standards for Conversions'!$H$34:$H$73,MATCH(HG$3,'Standards for Conversions'!$A$34:$A$73,0)))=0,"",HH11/(INDEX('Standards for Conversions'!$H$34:$H$73,MATCH(HG$3,'Standards for Conversions'!$A$34:$A$73,0))))</f>
        <v/>
      </c>
      <c r="HJ11" s="10" t="s">
        <v>38</v>
      </c>
      <c r="HK11" s="9"/>
      <c r="HL11" s="9"/>
      <c r="HM11" s="31" t="str">
        <f>IF(HL11/(INDEX('Standards for Conversions'!$H$34:$H$73,MATCH(HK$3,'Standards for Conversions'!$A$34:$A$73,0)))=0,"",HL11/(INDEX('Standards for Conversions'!$H$34:$H$73,MATCH(HK$3,'Standards for Conversions'!$A$34:$A$73,0))))</f>
        <v/>
      </c>
      <c r="HN11" s="10" t="s">
        <v>38</v>
      </c>
      <c r="HO11" s="7"/>
      <c r="HP11" s="7"/>
      <c r="HQ11" s="31" t="str">
        <f>IF(HP11/(INDEX('Standards for Conversions'!$H$34:$H$73,MATCH(HO$3,'Standards for Conversions'!$A$34:$A$73,0)))=0,"",HP11/(INDEX('Standards for Conversions'!$H$34:$H$73,MATCH(HO$3,'Standards for Conversions'!$A$34:$A$73,0))))</f>
        <v/>
      </c>
      <c r="HR11" s="33" t="s">
        <v>98</v>
      </c>
      <c r="HU11" s="31" t="str">
        <f>IF(HT11/(INDEX('Standards for Conversions'!$H$47:$H$73,MATCH(HS$3,'Standards for Conversions'!$A$47:$A$73,0)))=0,"",HT11/(INDEX('Standards for Conversions'!$H$47:$H$73,MATCH(HS$3,'Standards for Conversions'!$A$47:$A$73,0))))</f>
        <v/>
      </c>
      <c r="HV11" s="33" t="s">
        <v>98</v>
      </c>
      <c r="HY11" s="31" t="str">
        <f>IF(HX11/(INDEX('Standards for Conversions'!$H$47:$H$73,MATCH(HW$3,'Standards for Conversions'!$A$47:$A$73,0)))=0,"",HX11/(INDEX('Standards for Conversions'!$H$47:$H$73,MATCH(HW$3,'Standards for Conversions'!$A$47:$A$73,0))))</f>
        <v/>
      </c>
      <c r="IB11" s="31" t="str">
        <f>IF(IA11/(INDEX('Standards for Conversions'!$H$47:$H$73,MATCH(HZ$3,'Standards for Conversions'!$A$47:$A$73,0)))=0,"",IA11/(INDEX('Standards for Conversions'!$H$47:$H$73,MATCH(HZ$3,'Standards for Conversions'!$A$47:$A$73,0))))</f>
        <v/>
      </c>
      <c r="IC11" s="33" t="s">
        <v>98</v>
      </c>
      <c r="IF11" s="31" t="str">
        <f>IF(IE11/(INDEX('Standards for Conversions'!$H$47:$H$73,MATCH(ID$3,'Standards for Conversions'!$A$47:$A$73,0)))=0,"",IE11/(INDEX('Standards for Conversions'!$H$47:$H$73,MATCH(ID$3,'Standards for Conversions'!$A$47:$A$73,0))))</f>
        <v/>
      </c>
      <c r="IG11" s="33" t="s">
        <v>98</v>
      </c>
      <c r="IJ11" s="31" t="str">
        <f>IF(II11/(INDEX('Standards for Conversions'!$H$47:$H$73,MATCH(IH$3,'Standards for Conversions'!$A$47:$A$73,0)))=0,"",II11/(INDEX('Standards for Conversions'!$H$47:$H$73,MATCH(IH$3,'Standards for Conversions'!$A$47:$A$73,0))))</f>
        <v/>
      </c>
      <c r="IK11" s="33" t="s">
        <v>98</v>
      </c>
      <c r="IN11" s="31" t="str">
        <f>IF(IM11/(INDEX('Standards for Conversions'!$H$47:$H$73,MATCH(IL$3,'Standards for Conversions'!$A$47:$A$73,0)))=0,"",IM11/(INDEX('Standards for Conversions'!$H$47:$H$73,MATCH(IL$3,'Standards for Conversions'!$A$47:$A$73,0))))</f>
        <v/>
      </c>
      <c r="IO11" s="33" t="s">
        <v>98</v>
      </c>
      <c r="IR11" s="31" t="str">
        <f>IF(IQ11/(INDEX('Standards for Conversions'!$H$47:$H$73,MATCH(IP$3,'Standards for Conversions'!$A$47:$A$73,0)))=0,"",IQ11/(INDEX('Standards for Conversions'!$H$47:$H$73,MATCH(IP$3,'Standards for Conversions'!$A$47:$A$73,0))))</f>
        <v/>
      </c>
      <c r="IS11" s="33" t="s">
        <v>98</v>
      </c>
      <c r="IV11" s="31" t="str">
        <f>IF(IU11/(INDEX('Standards for Conversions'!$H$47:$H$73,MATCH(IT$3,'Standards for Conversions'!$A$47:$A$73,0)))=0,"",IU11/(INDEX('Standards for Conversions'!$H$47:$H$73,MATCH(IT$3,'Standards for Conversions'!$A$47:$A$73,0))))</f>
        <v/>
      </c>
      <c r="IW11" s="33" t="s">
        <v>98</v>
      </c>
      <c r="IZ11" s="31" t="str">
        <f>IF(IY11/(INDEX('Standards for Conversions'!$H$47:$H$73,MATCH(IX$3,'Standards for Conversions'!$A$47:$A$73,0)))=0,"",IY11/(INDEX('Standards for Conversions'!$H$47:$H$73,MATCH(IX$3,'Standards for Conversions'!$A$47:$A$73,0))))</f>
        <v/>
      </c>
      <c r="JA11" s="33" t="s">
        <v>98</v>
      </c>
      <c r="JD11" s="31" t="str">
        <f>IF(JC11/(INDEX('Standards for Conversions'!$H$47:$H$73,MATCH(JB$3,'Standards for Conversions'!$A$47:$A$73,0)))=0,"",JC11/(INDEX('Standards for Conversions'!$H$47:$H$73,MATCH(JB$3,'Standards for Conversions'!$A$47:$A$73,0))))</f>
        <v/>
      </c>
      <c r="JE11" s="33" t="s">
        <v>98</v>
      </c>
      <c r="JH11" s="31" t="str">
        <f>IF(JG11/(INDEX('Standards for Conversions'!$H$47:$H$73,MATCH(JF$3,'Standards for Conversions'!$A$47:$A$73,0)))=0,"",JG11/(INDEX('Standards for Conversions'!$H$47:$H$73,MATCH(JF$3,'Standards for Conversions'!$A$47:$A$73,0))))</f>
        <v/>
      </c>
      <c r="JI11" s="33" t="s">
        <v>98</v>
      </c>
      <c r="JL11" s="31" t="str">
        <f>IF(JK11/(INDEX('Standards for Conversions'!$H$47:$H$73,MATCH(JJ$3,'Standards for Conversions'!$A$47:$A$73,0)))=0,"",JK11/(INDEX('Standards for Conversions'!$H$47:$H$73,MATCH(JJ$3,'Standards for Conversions'!$A$47:$A$73,0))))</f>
        <v/>
      </c>
      <c r="JM11" s="33" t="s">
        <v>98</v>
      </c>
      <c r="JP11" s="31" t="str">
        <f>IF(JO11/(INDEX('Standards for Conversions'!$H$47:$H$73,MATCH(JN$3,'Standards for Conversions'!$A$47:$A$73,0)))=0,"",JO11/(INDEX('Standards for Conversions'!$H$47:$H$73,MATCH(JN$3,'Standards for Conversions'!$A$47:$A$73,0))))</f>
        <v/>
      </c>
      <c r="JQ11" s="33" t="s">
        <v>98</v>
      </c>
      <c r="JT11" s="31" t="str">
        <f>IF(JS11/(INDEX('Standards for Conversions'!$H$47:$H$73,MATCH(JR$3,'Standards for Conversions'!$A$47:$A$73,0)))=0,"",JS11/(INDEX('Standards for Conversions'!$H$47:$H$73,MATCH(JR$3,'Standards for Conversions'!$A$47:$A$73,0))))</f>
        <v/>
      </c>
      <c r="JU11" s="33" t="s">
        <v>98</v>
      </c>
      <c r="JX11" s="31" t="str">
        <f>IF(JW11/(INDEX('Standards for Conversions'!$H$47:$H$73,MATCH(JV$3,'Standards for Conversions'!$A$47:$A$73,0)))=0,"",JW11/(INDEX('Standards for Conversions'!$H$47:$H$73,MATCH(JV$3,'Standards for Conversions'!$A$47:$A$73,0))))</f>
        <v/>
      </c>
      <c r="JY11" s="33" t="s">
        <v>98</v>
      </c>
      <c r="KB11" s="31" t="str">
        <f>IF(KA11/(INDEX('Standards for Conversions'!$H$47:$H$73,MATCH(JZ$3,'Standards for Conversions'!$A$47:$A$73,0)))=0,"",KA11/(INDEX('Standards for Conversions'!$H$47:$H$73,MATCH(JZ$3,'Standards for Conversions'!$A$47:$A$73,0))))</f>
        <v/>
      </c>
      <c r="KC11" s="33" t="s">
        <v>98</v>
      </c>
      <c r="KF11" s="31" t="str">
        <f>IF(KE11/(INDEX('Standards for Conversions'!$H$47:$H$73,MATCH(KD$3,'Standards for Conversions'!$A$47:$A$73,0)))=0,"",KE11/(INDEX('Standards for Conversions'!$H$47:$H$73,MATCH(KD$3,'Standards for Conversions'!$A$47:$A$73,0))))</f>
        <v/>
      </c>
      <c r="KG11" s="33" t="s">
        <v>98</v>
      </c>
      <c r="KJ11" s="31" t="str">
        <f>IF(KI11/(INDEX('Standards for Conversions'!$H$47:$H$73,MATCH(KH$3,'Standards for Conversions'!$A$47:$A$73,0)))=0,"",KI11/(INDEX('Standards for Conversions'!$H$47:$H$73,MATCH(KH$3,'Standards for Conversions'!$A$47:$A$73,0))))</f>
        <v/>
      </c>
      <c r="KK11" s="33" t="s">
        <v>98</v>
      </c>
      <c r="KN11" s="31" t="str">
        <f>IF(KM11/(INDEX('Standards for Conversions'!$H$47:$H$73,MATCH(KL$3,'Standards for Conversions'!$A$47:$A$73,0)))=0,"",KM11/(INDEX('Standards for Conversions'!$H$47:$H$73,MATCH(KL$3,'Standards for Conversions'!$A$47:$A$73,0))))</f>
        <v/>
      </c>
      <c r="KO11" s="33" t="s">
        <v>98</v>
      </c>
      <c r="KR11" s="31" t="str">
        <f>IF(KQ11/(INDEX('Standards for Conversions'!$H$47:$H$73,MATCH(KP$3,'Standards for Conversions'!$A$47:$A$73,0)))=0,"",KQ11/(INDEX('Standards for Conversions'!$H$47:$H$73,MATCH(KP$3,'Standards for Conversions'!$A$47:$A$73,0))))</f>
        <v/>
      </c>
      <c r="KS11" s="33" t="s">
        <v>98</v>
      </c>
      <c r="KV11" s="31" t="str">
        <f>IF(KU11/(INDEX('Standards for Conversions'!$H$47:$H$73,MATCH(KT$3,'Standards for Conversions'!$A$47:$A$73,0)))=0,"",KU11/(INDEX('Standards for Conversions'!$H$47:$H$73,MATCH(KT$3,'Standards for Conversions'!$A$47:$A$73,0))))</f>
        <v/>
      </c>
      <c r="KW11" s="33" t="s">
        <v>98</v>
      </c>
      <c r="KZ11" s="31" t="str">
        <f>IF(KY11/(INDEX('Standards for Conversions'!$H$47:$H$73,MATCH(KX$3,'Standards for Conversions'!$A$47:$A$73,0)))=0,"",KY11/(INDEX('Standards for Conversions'!$H$47:$H$73,MATCH(KX$3,'Standards for Conversions'!$A$47:$A$73,0))))</f>
        <v/>
      </c>
      <c r="LA11" s="33" t="s">
        <v>98</v>
      </c>
      <c r="LD11" s="31" t="str">
        <f>IF(LC11/(INDEX('Standards for Conversions'!$H$47:$H$73,MATCH(LB$3,'Standards for Conversions'!$A$47:$A$73,0)))=0,"",LC11/(INDEX('Standards for Conversions'!$H$47:$H$73,MATCH(LB$3,'Standards for Conversions'!$A$47:$A$73,0))))</f>
        <v/>
      </c>
      <c r="LE11" s="33" t="s">
        <v>98</v>
      </c>
      <c r="LH11" s="31" t="str">
        <f>IF(LG11/(INDEX('Standards for Conversions'!$H$47:$H$73,MATCH(LF$3,'Standards for Conversions'!$A$47:$A$73,0)))=0,"",LG11/(INDEX('Standards for Conversions'!$H$47:$H$73,MATCH(LF$3,'Standards for Conversions'!$A$47:$A$73,0))))</f>
        <v/>
      </c>
      <c r="LI11" s="33" t="s">
        <v>98</v>
      </c>
      <c r="LJ11" s="35">
        <f>20*3500</f>
        <v>70000</v>
      </c>
      <c r="LK11" s="33">
        <f>40000+15000+85000</f>
        <v>140000</v>
      </c>
      <c r="LL11" s="31">
        <f>IF(LK11/(INDEX('Standards for Conversions'!$H$47:$H$73,MATCH(LJ$3,'Standards for Conversions'!$A$47:$A$73,0)))=0,"",LK11/(INDEX('Standards for Conversions'!$H$47:$H$73,MATCH(LJ$3,'Standards for Conversions'!$A$47:$A$73,0))))</f>
        <v>13724.209358071897</v>
      </c>
      <c r="LM11" s="35">
        <f>20*4250</f>
        <v>85000</v>
      </c>
      <c r="LN11" s="33">
        <f>50000+20000+100000</f>
        <v>170000</v>
      </c>
      <c r="LO11" s="31">
        <f>IF(LN11/(INDEX('Standards for Conversions'!$H$47:$H$73,MATCH(LM$3,'Standards for Conversions'!$A$47:$A$73,0)))=0,"",LN11/(INDEX('Standards for Conversions'!$H$47:$H$73,MATCH(LM$3,'Standards for Conversions'!$A$47:$A$73,0))))</f>
        <v>17169.024017989046</v>
      </c>
      <c r="LP11" s="35">
        <f>20*5250</f>
        <v>105000</v>
      </c>
      <c r="LQ11" s="33">
        <f>60000+30000+120000</f>
        <v>210000</v>
      </c>
      <c r="LR11" s="31">
        <f>IF(LQ11/(INDEX('Standards for Conversions'!$H$47:$H$73,MATCH(LP$3,'Standards for Conversions'!$A$47:$A$73,0)))=0,"",LQ11/(INDEX('Standards for Conversions'!$H$47:$H$73,MATCH(LP$3,'Standards for Conversions'!$A$47:$A$73,0))))</f>
        <v>21920.200475797337</v>
      </c>
      <c r="LS11" s="33" t="s">
        <v>98</v>
      </c>
      <c r="LT11" s="35">
        <f>20*3950</f>
        <v>79000</v>
      </c>
      <c r="LU11" s="33">
        <f>245000+15000+15000</f>
        <v>275000</v>
      </c>
      <c r="LV11" s="31">
        <f>IF(LU11/(INDEX('Standards for Conversions'!$H$47:$H$73,MATCH(LT$3,'Standards for Conversions'!$A$47:$A$73,0)))=0,"",LU11/(INDEX('Standards for Conversions'!$H$47:$H$73,MATCH(LT$3,'Standards for Conversions'!$A$47:$A$73,0))))</f>
        <v>25677.313944772741</v>
      </c>
      <c r="LW11" s="35">
        <f>20*3600</f>
        <v>72000</v>
      </c>
      <c r="LX11" s="33">
        <f>200000+18000+18000</f>
        <v>236000</v>
      </c>
      <c r="LY11" s="31">
        <f>IF(LX11/(INDEX('Standards for Conversions'!$H$47:$H$73,MATCH(LW$3,'Standards for Conversions'!$A$47:$A$73,0)))=0,"",LX11/(INDEX('Standards for Conversions'!$H$47:$H$73,MATCH(LW$3,'Standards for Conversions'!$A$47:$A$73,0))))</f>
        <v>21536.12587265722</v>
      </c>
      <c r="LZ11" s="35">
        <f>20*3380</f>
        <v>67600</v>
      </c>
      <c r="MA11" s="33">
        <f>133000+89110+72560</f>
        <v>294670</v>
      </c>
      <c r="MB11" s="31">
        <f>IF(MA11/(INDEX('Standards for Conversions'!$H$47:$H$73,MATCH(LZ$3,'Standards for Conversions'!$A$47:$A$73,0)))=0,"",MA11/(INDEX('Standards for Conversions'!$H$47:$H$73,MATCH(LZ$3,'Standards for Conversions'!$A$47:$A$73,0))))</f>
        <v>27389.162399065059</v>
      </c>
      <c r="MC11" s="35">
        <f>20*4353</f>
        <v>87060</v>
      </c>
      <c r="MD11" s="33">
        <f>10368+14685+168685</f>
        <v>193738</v>
      </c>
      <c r="ME11" s="31">
        <f>IF(MD11/(INDEX('Standards for Conversions'!$H$47:$H$73,MATCH(MC$3,'Standards for Conversions'!$A$47:$A$73,0)))=0,"",MD11/(INDEX('Standards for Conversions'!$H$47:$H$73,MATCH(MC$3,'Standards for Conversions'!$A$47:$A$73,0))))</f>
        <v>18581.951485563135</v>
      </c>
      <c r="MF11" s="35">
        <f>20*2012</f>
        <v>40240</v>
      </c>
      <c r="MG11" s="33">
        <f>1174+48215+54019</f>
        <v>103408</v>
      </c>
      <c r="MH11" s="31">
        <f>IF(MG11/(INDEX('Standards for Conversions'!$H$47:$H$73,MATCH(MF$3,'Standards for Conversions'!$A$47:$A$73,0)))=0,"",MG11/(INDEX('Standards for Conversions'!$H$47:$H$73,MATCH(MF$3,'Standards for Conversions'!$A$47:$A$73,0))))</f>
        <v>9524.0508016859294</v>
      </c>
      <c r="MI11" s="35">
        <f>20*3371</f>
        <v>67420</v>
      </c>
      <c r="MJ11" s="33">
        <f>800+1200+113300</f>
        <v>115300</v>
      </c>
      <c r="MK11" s="31">
        <f>IF(MJ11/(INDEX('Standards for Conversions'!$H$47:$H$73,MATCH(MI$3,'Standards for Conversions'!$A$47:$A$73,0)))=0,"",MJ11/(INDEX('Standards for Conversions'!$H$47:$H$73,MATCH(MI$3,'Standards for Conversions'!$A$47:$A$73,0))))</f>
        <v>9398.7120566104677</v>
      </c>
      <c r="ML11" s="35">
        <f>20*3679</f>
        <v>73580</v>
      </c>
      <c r="MM11" s="33">
        <f>970+4220+148400</f>
        <v>153590</v>
      </c>
      <c r="MN11" s="31">
        <f>IF(MM11/(INDEX('Standards for Conversions'!$H$47:$H$73,MATCH(ML$3,'Standards for Conversions'!$A$47:$A$73,0)))=0,"",MM11/(INDEX('Standards for Conversions'!$H$47:$H$73,MATCH(ML$3,'Standards for Conversions'!$A$47:$A$73,0))))</f>
        <v>12877.64456743721</v>
      </c>
      <c r="MO11" s="33" t="s">
        <v>98</v>
      </c>
      <c r="MP11" s="35">
        <f>20*2108</f>
        <v>42160</v>
      </c>
      <c r="MQ11" s="29">
        <f>500+100900+8000</f>
        <v>109400</v>
      </c>
      <c r="MR11" s="31">
        <f>IF(MQ11/(INDEX('Standards for Conversions'!$H$47:$H$73,MATCH(MP$3,'Standards for Conversions'!$A$47:$A$73,0)))=0,"",MQ11/(INDEX('Standards for Conversions'!$H$47:$H$73,MATCH(MP$3,'Standards for Conversions'!$A$47:$A$73,0))))</f>
        <v>9786.3860358549864</v>
      </c>
      <c r="MS11" s="33" t="s">
        <v>98</v>
      </c>
      <c r="MT11" s="35">
        <f>20*3300</f>
        <v>66000</v>
      </c>
      <c r="MU11" s="33">
        <v>18200</v>
      </c>
      <c r="MV11" s="35">
        <f>20*2500</f>
        <v>50000</v>
      </c>
      <c r="MW11" s="33">
        <v>12800</v>
      </c>
      <c r="MX11" s="35">
        <f>20*2400</f>
        <v>48000</v>
      </c>
      <c r="MY11" s="33">
        <v>12600</v>
      </c>
      <c r="MZ11" s="33" t="s">
        <v>98</v>
      </c>
      <c r="NA11" s="33">
        <v>65420</v>
      </c>
      <c r="NB11" s="33">
        <v>19654</v>
      </c>
      <c r="NC11" s="33">
        <v>65200</v>
      </c>
      <c r="ND11" s="33">
        <v>20148</v>
      </c>
      <c r="NE11" s="33" t="s">
        <v>98</v>
      </c>
    </row>
    <row r="12" spans="1:373" s="33" customFormat="1" x14ac:dyDescent="0.3">
      <c r="A12" s="104" t="s">
        <v>358</v>
      </c>
      <c r="B12" s="10" t="s">
        <v>399</v>
      </c>
      <c r="C12" s="7"/>
      <c r="D12" s="7"/>
      <c r="E12" s="31" t="str">
        <f>IF(D12/(INDEX('Standards for Conversions'!$H$34:$H$73,MATCH(C$3,'Standards for Conversions'!$A$34:$A$73,0)))=0,"",D12/(INDEX('Standards for Conversions'!$H$34:$H$73,MATCH(C$3,'Standards for Conversions'!$A$34:$A$73,0))))</f>
        <v/>
      </c>
      <c r="F12" s="10" t="s">
        <v>399</v>
      </c>
      <c r="G12" s="7"/>
      <c r="H12" s="7"/>
      <c r="I12" s="31" t="str">
        <f>IF(H12/(INDEX('Standards for Conversions'!$H$34:$H$73,MATCH(G$3,'Standards for Conversions'!$A$34:$A$73,0)))=0,"",H12/(INDEX('Standards for Conversions'!$H$34:$H$73,MATCH(G$3,'Standards for Conversions'!$A$34:$A$73,0))))</f>
        <v/>
      </c>
      <c r="J12" s="10" t="s">
        <v>399</v>
      </c>
      <c r="K12" s="9"/>
      <c r="L12" s="9"/>
      <c r="M12" s="31" t="str">
        <f>IF(L12/(INDEX('Standards for Conversions'!$H$34:$H$73,MATCH(K$3,'Standards for Conversions'!$A$34:$A$73,0)))=0,"",L12/(INDEX('Standards for Conversions'!$H$34:$H$73,MATCH(K$3,'Standards for Conversions'!$A$34:$A$73,0))))</f>
        <v/>
      </c>
      <c r="N12" s="10" t="s">
        <v>399</v>
      </c>
      <c r="O12" s="7">
        <f>1.63*10</f>
        <v>16.299999999999997</v>
      </c>
      <c r="P12" s="7">
        <v>60</v>
      </c>
      <c r="Q12" s="31">
        <f>IF(P12/(INDEX('Standards for Conversions'!$H$34:$H$73,MATCH(O$3,'Standards for Conversions'!$A$34:$A$73,0)))=0,"",P12/(INDEX('Standards for Conversions'!$H$34:$H$73,MATCH(O$3,'Standards for Conversions'!$A$34:$A$73,0))))</f>
        <v>11.852533783783782</v>
      </c>
      <c r="R12" s="10" t="s">
        <v>399</v>
      </c>
      <c r="S12" s="7"/>
      <c r="T12" s="7"/>
      <c r="U12" s="31" t="str">
        <f>IF(T12/(INDEX('Standards for Conversions'!$H$34:$H$73,MATCH(S$3,'Standards for Conversions'!$A$34:$A$73,0)))=0,"",T12/(INDEX('Standards for Conversions'!$H$34:$H$73,MATCH(S$3,'Standards for Conversions'!$A$34:$A$73,0))))</f>
        <v/>
      </c>
      <c r="V12" s="10" t="s">
        <v>399</v>
      </c>
      <c r="W12" s="7"/>
      <c r="X12" s="7"/>
      <c r="Y12" s="31" t="str">
        <f>IF(X12/(INDEX('Standards for Conversions'!$H$34:$H$73,MATCH(W$3,'Standards for Conversions'!$A$34:$A$73,0)))=0,"",X12/(INDEX('Standards for Conversions'!$H$34:$H$73,MATCH(W$3,'Standards for Conversions'!$A$34:$A$73,0))))</f>
        <v/>
      </c>
      <c r="Z12" s="10" t="s">
        <v>399</v>
      </c>
      <c r="AA12" s="9"/>
      <c r="AB12" s="9"/>
      <c r="AC12" s="31" t="str">
        <f>IF(AB12/(INDEX('Standards for Conversions'!$H$34:$H$73,MATCH(AA$3,'Standards for Conversions'!$A$34:$A$73,0)))=0,"",AB12/(INDEX('Standards for Conversions'!$H$34:$H$73,MATCH(AA$3,'Standards for Conversions'!$A$34:$A$73,0))))</f>
        <v/>
      </c>
      <c r="AD12" s="10" t="s">
        <v>399</v>
      </c>
      <c r="AE12" s="7">
        <f>1.63*20</f>
        <v>32.599999999999994</v>
      </c>
      <c r="AF12" s="7">
        <v>80</v>
      </c>
      <c r="AG12" s="31">
        <f>IF(AF12/(INDEX('Standards for Conversions'!$H$34:$H$73,MATCH(AE$3,'Standards for Conversions'!$A$34:$A$73,0)))=0,"",AF12/(INDEX('Standards for Conversions'!$H$34:$H$73,MATCH(AE$3,'Standards for Conversions'!$A$34:$A$73,0))))</f>
        <v>15.413798847078588</v>
      </c>
      <c r="AH12" s="10" t="s">
        <v>399</v>
      </c>
      <c r="AI12" s="7"/>
      <c r="AJ12" s="7"/>
      <c r="AK12" s="31" t="str">
        <f>IF(AJ12/(INDEX('Standards for Conversions'!$H$34:$H$73,MATCH(AI$3,'Standards for Conversions'!$A$34:$A$73,0)))=0,"",AJ12/(INDEX('Standards for Conversions'!$H$34:$H$73,MATCH(AI$3,'Standards for Conversions'!$A$34:$A$73,0))))</f>
        <v/>
      </c>
      <c r="AL12" s="10" t="s">
        <v>399</v>
      </c>
      <c r="AM12" s="7"/>
      <c r="AN12" s="7"/>
      <c r="AO12" s="31" t="str">
        <f>IF(AN12/(INDEX('Standards for Conversions'!$H$34:$H$73,MATCH(AM$3,'Standards for Conversions'!$A$34:$A$73,0)))=0,"",AN12/(INDEX('Standards for Conversions'!$H$34:$H$73,MATCH(AM$3,'Standards for Conversions'!$A$34:$A$73,0))))</f>
        <v/>
      </c>
      <c r="AP12" s="10" t="s">
        <v>399</v>
      </c>
      <c r="AQ12" s="9"/>
      <c r="AR12" s="9"/>
      <c r="AS12" s="31" t="str">
        <f>IF(AR12/(INDEX('Standards for Conversions'!$H$34:$H$73,MATCH(AQ$3,'Standards for Conversions'!$A$34:$A$73,0)))=0,"",AR12/(INDEX('Standards for Conversions'!$H$34:$H$73,MATCH(AQ$3,'Standards for Conversions'!$A$34:$A$73,0))))</f>
        <v/>
      </c>
      <c r="AT12" s="10" t="s">
        <v>399</v>
      </c>
      <c r="AU12" s="7">
        <f>1.63*30</f>
        <v>48.9</v>
      </c>
      <c r="AV12" s="7">
        <v>100</v>
      </c>
      <c r="AW12" s="31">
        <f>IF(AV12/(INDEX('Standards for Conversions'!$H$34:$H$73,MATCH(AU$3,'Standards for Conversions'!$A$34:$A$73,0)))=0,"",AV12/(INDEX('Standards for Conversions'!$H$34:$H$73,MATCH(AU$3,'Standards for Conversions'!$A$34:$A$73,0))))</f>
        <v>17.869843718316385</v>
      </c>
      <c r="AX12" s="10" t="s">
        <v>399</v>
      </c>
      <c r="AY12" s="7"/>
      <c r="AZ12" s="7"/>
      <c r="BA12" s="31" t="str">
        <f>IF(AZ12/(INDEX('Standards for Conversions'!$H$34:$H$73,MATCH(AY$3,'Standards for Conversions'!$A$34:$A$73,0)))=0,"",AZ12/(INDEX('Standards for Conversions'!$H$34:$H$73,MATCH(AY$3,'Standards for Conversions'!$A$34:$A$73,0))))</f>
        <v/>
      </c>
      <c r="BB12" s="10" t="s">
        <v>399</v>
      </c>
      <c r="BC12" s="7"/>
      <c r="BD12" s="7"/>
      <c r="BE12" s="31" t="str">
        <f>IF(BD12/(INDEX('Standards for Conversions'!$H$34:$H$73,MATCH(BC$3,'Standards for Conversions'!$A$34:$A$73,0)))=0,"",BD12/(INDEX('Standards for Conversions'!$H$34:$H$73,MATCH(BC$3,'Standards for Conversions'!$A$34:$A$73,0))))</f>
        <v/>
      </c>
      <c r="BF12" s="10" t="s">
        <v>399</v>
      </c>
      <c r="BG12" s="9"/>
      <c r="BH12" s="9"/>
      <c r="BI12" s="31" t="str">
        <f>IF(BH12/(INDEX('Standards for Conversions'!$H$34:$H$73,MATCH(BG$3,'Standards for Conversions'!$A$34:$A$73,0)))=0,"",BH12/(INDEX('Standards for Conversions'!$H$34:$H$73,MATCH(BG$3,'Standards for Conversions'!$A$34:$A$73,0))))</f>
        <v/>
      </c>
      <c r="BJ12" s="10" t="s">
        <v>399</v>
      </c>
      <c r="BK12" s="7">
        <f>1.63*40</f>
        <v>65.199999999999989</v>
      </c>
      <c r="BL12" s="7">
        <v>200</v>
      </c>
      <c r="BM12" s="31">
        <f>IF(BL12/(INDEX('Standards for Conversions'!$H$34:$H$73,MATCH(BK$3,'Standards for Conversions'!$A$34:$A$73,0)))=0,"",BL12/(INDEX('Standards for Conversions'!$H$34:$H$73,MATCH(BK$3,'Standards for Conversions'!$A$34:$A$73,0))))</f>
        <v>37.137092277164626</v>
      </c>
      <c r="BN12" s="10" t="s">
        <v>399</v>
      </c>
      <c r="BO12" s="7"/>
      <c r="BP12" s="7"/>
      <c r="BQ12" s="31" t="str">
        <f>IF(BP12/(INDEX('Standards for Conversions'!$H$34:$H$73,MATCH(BO$3,'Standards for Conversions'!$A$34:$A$73,0)))=0,"",BP12/(INDEX('Standards for Conversions'!$H$34:$H$73,MATCH(BO$3,'Standards for Conversions'!$A$34:$A$73,0))))</f>
        <v/>
      </c>
      <c r="BR12" s="10" t="s">
        <v>399</v>
      </c>
      <c r="BS12" s="7"/>
      <c r="BT12" s="7"/>
      <c r="BU12" s="31" t="str">
        <f>IF(BT12/(INDEX('Standards for Conversions'!$H$34:$H$73,MATCH(BS$3,'Standards for Conversions'!$A$34:$A$73,0)))=0,"",BT12/(INDEX('Standards for Conversions'!$H$34:$H$73,MATCH(BS$3,'Standards for Conversions'!$A$34:$A$73,0))))</f>
        <v/>
      </c>
      <c r="BV12" s="10" t="s">
        <v>399</v>
      </c>
      <c r="BW12" s="9"/>
      <c r="BX12" s="9"/>
      <c r="BY12" s="31" t="str">
        <f>IF(BX12/(INDEX('Standards for Conversions'!$H$34:$H$73,MATCH(BW$3,'Standards for Conversions'!$A$34:$A$73,0)))=0,"",BX12/(INDEX('Standards for Conversions'!$H$34:$H$73,MATCH(BW$3,'Standards for Conversions'!$A$34:$A$73,0))))</f>
        <v/>
      </c>
      <c r="BZ12" s="10" t="s">
        <v>399</v>
      </c>
      <c r="CA12" s="7">
        <f>1.63*20</f>
        <v>32.599999999999994</v>
      </c>
      <c r="CB12" s="7">
        <v>100</v>
      </c>
      <c r="CC12" s="31">
        <f>IF(CB12/(INDEX('Standards for Conversions'!$H$34:$H$73,MATCH(CA$3,'Standards for Conversions'!$A$34:$A$73,0)))=0,"",CB12/(INDEX('Standards for Conversions'!$H$34:$H$73,MATCH(CA$3,'Standards for Conversions'!$A$34:$A$73,0))))</f>
        <v>17.806325316474027</v>
      </c>
      <c r="CD12" s="10" t="s">
        <v>399</v>
      </c>
      <c r="CE12" s="7"/>
      <c r="CF12" s="7"/>
      <c r="CG12" s="31" t="str">
        <f>IF(CF12/(INDEX('Standards for Conversions'!$H$34:$H$73,MATCH(CE$3,'Standards for Conversions'!$A$34:$A$73,0)))=0,"",CF12/(INDEX('Standards for Conversions'!$H$34:$H$73,MATCH(CE$3,'Standards for Conversions'!$A$34:$A$73,0))))</f>
        <v/>
      </c>
      <c r="CH12" s="10" t="s">
        <v>399</v>
      </c>
      <c r="CI12" s="7"/>
      <c r="CJ12" s="7"/>
      <c r="CK12" s="31" t="str">
        <f>IF(CJ12/(INDEX('Standards for Conversions'!$H$34:$H$73,MATCH(CI$3,'Standards for Conversions'!$A$34:$A$73,0)))=0,"",CJ12/(INDEX('Standards for Conversions'!$H$34:$H$73,MATCH(CI$3,'Standards for Conversions'!$A$34:$A$73,0))))</f>
        <v/>
      </c>
      <c r="CL12" s="10" t="s">
        <v>399</v>
      </c>
      <c r="CM12" s="9"/>
      <c r="CN12" s="9"/>
      <c r="CO12" s="31" t="str">
        <f>IF(CN12/(INDEX('Standards for Conversions'!$H$34:$H$73,MATCH(CM$3,'Standards for Conversions'!$A$34:$A$73,0)))=0,"",CN12/(INDEX('Standards for Conversions'!$H$34:$H$73,MATCH(CM$3,'Standards for Conversions'!$A$34:$A$73,0))))</f>
        <v/>
      </c>
      <c r="CP12" s="10" t="s">
        <v>399</v>
      </c>
      <c r="CQ12" s="7">
        <f>1.63*220</f>
        <v>358.59999999999997</v>
      </c>
      <c r="CR12" s="7">
        <v>750</v>
      </c>
      <c r="CS12" s="31">
        <f>IF(CR12/(INDEX('Standards for Conversions'!$H$34:$H$73,MATCH(CQ$3,'Standards for Conversions'!$A$34:$A$73,0)))=0,"",CR12/(INDEX('Standards for Conversions'!$H$34:$H$73,MATCH(CQ$3,'Standards for Conversions'!$A$34:$A$73,0))))</f>
        <v>130.2127237768315</v>
      </c>
      <c r="CT12" s="10" t="s">
        <v>399</v>
      </c>
      <c r="CU12" s="7"/>
      <c r="CV12" s="7"/>
      <c r="CW12" s="31" t="str">
        <f>IF(CV12/(INDEX('Standards for Conversions'!$H$34:$H$73,MATCH(CU$3,'Standards for Conversions'!$A$34:$A$73,0)))=0,"",CV12/(INDEX('Standards for Conversions'!$H$34:$H$73,MATCH(CU$3,'Standards for Conversions'!$A$34:$A$73,0))))</f>
        <v/>
      </c>
      <c r="CX12" s="10" t="s">
        <v>399</v>
      </c>
      <c r="CY12" s="7"/>
      <c r="CZ12" s="7"/>
      <c r="DA12" s="31" t="str">
        <f>IF(CZ12/(INDEX('Standards for Conversions'!$H$34:$H$73,MATCH(CY$3,'Standards for Conversions'!$A$34:$A$73,0)))=0,"",CZ12/(INDEX('Standards for Conversions'!$H$34:$H$73,MATCH(CY$3,'Standards for Conversions'!$A$34:$A$73,0))))</f>
        <v/>
      </c>
      <c r="DB12" s="10" t="s">
        <v>399</v>
      </c>
      <c r="DC12" s="9"/>
      <c r="DD12" s="9"/>
      <c r="DE12" s="31" t="str">
        <f>IF(DD12/(INDEX('Standards for Conversions'!$H$34:$H$73,MATCH(DC$3,'Standards for Conversions'!$A$34:$A$73,0)))=0,"",DD12/(INDEX('Standards for Conversions'!$H$34:$H$73,MATCH(DC$3,'Standards for Conversions'!$A$34:$A$73,0))))</f>
        <v/>
      </c>
      <c r="DF12" s="10" t="s">
        <v>399</v>
      </c>
      <c r="DG12" s="7">
        <f>1.63*850</f>
        <v>1385.5</v>
      </c>
      <c r="DH12" s="7">
        <v>2700</v>
      </c>
      <c r="DI12" s="31">
        <f>IF(DH12/(INDEX('Standards for Conversions'!$H$34:$H$73,MATCH(DG$3,'Standards for Conversions'!$A$34:$A$73,0)))=0,"",DH12/(INDEX('Standards for Conversions'!$H$34:$H$73,MATCH(DG$3,'Standards for Conversions'!$A$34:$A$73,0))))</f>
        <v>477.91245546189276</v>
      </c>
      <c r="DJ12" s="10" t="s">
        <v>399</v>
      </c>
      <c r="DK12" s="7"/>
      <c r="DL12" s="7"/>
      <c r="DM12" s="31" t="str">
        <f>IF(DL12/(INDEX('Standards for Conversions'!$H$34:$H$73,MATCH(DK$3,'Standards for Conversions'!$A$34:$A$73,0)))=0,"",DL12/(INDEX('Standards for Conversions'!$H$34:$H$73,MATCH(DK$3,'Standards for Conversions'!$A$34:$A$73,0))))</f>
        <v/>
      </c>
      <c r="DN12" s="10" t="s">
        <v>399</v>
      </c>
      <c r="DO12" s="7"/>
      <c r="DP12" s="7"/>
      <c r="DQ12" s="31" t="str">
        <f>IF(DP12/(INDEX('Standards for Conversions'!$H$34:$H$73,MATCH(DO$3,'Standards for Conversions'!$A$34:$A$73,0)))=0,"",DP12/(INDEX('Standards for Conversions'!$H$34:$H$73,MATCH(DO$3,'Standards for Conversions'!$A$34:$A$73,0))))</f>
        <v/>
      </c>
      <c r="DR12" s="10" t="s">
        <v>399</v>
      </c>
      <c r="DS12" s="9"/>
      <c r="DT12" s="9"/>
      <c r="DU12" s="31" t="str">
        <f>IF(DT12/(INDEX('Standards for Conversions'!$H$34:$H$73,MATCH(DS$3,'Standards for Conversions'!$A$34:$A$73,0)))=0,"",DT12/(INDEX('Standards for Conversions'!$H$34:$H$73,MATCH(DS$3,'Standards for Conversions'!$A$34:$A$73,0))))</f>
        <v/>
      </c>
      <c r="DV12" s="10" t="s">
        <v>399</v>
      </c>
      <c r="DW12" s="7">
        <f>1.63*1500</f>
        <v>2445</v>
      </c>
      <c r="DX12" s="7">
        <v>2100</v>
      </c>
      <c r="DY12" s="31">
        <f>IF(DX12/(INDEX('Standards for Conversions'!$H$34:$H$73,MATCH(DW$3,'Standards for Conversions'!$A$34:$A$73,0)))=0,"",DX12/(INDEX('Standards for Conversions'!$H$34:$H$73,MATCH(DW$3,'Standards for Conversions'!$A$34:$A$73,0))))</f>
        <v>367.70802826540364</v>
      </c>
      <c r="DZ12" s="10" t="s">
        <v>399</v>
      </c>
      <c r="EA12" s="7"/>
      <c r="EB12" s="7"/>
      <c r="EC12" s="31" t="str">
        <f>IF(EB12/(INDEX('Standards for Conversions'!$H$34:$H$73,MATCH(EA$3,'Standards for Conversions'!$A$34:$A$73,0)))=0,"",EB12/(INDEX('Standards for Conversions'!$H$34:$H$73,MATCH(EA$3,'Standards for Conversions'!$A$34:$A$73,0))))</f>
        <v/>
      </c>
      <c r="ED12" s="10" t="s">
        <v>399</v>
      </c>
      <c r="EE12" s="7"/>
      <c r="EF12" s="7"/>
      <c r="EG12" s="31" t="str">
        <f>IF(EF12/(INDEX('Standards for Conversions'!$H$34:$H$73,MATCH(EE$3,'Standards for Conversions'!$A$34:$A$73,0)))=0,"",EF12/(INDEX('Standards for Conversions'!$H$34:$H$73,MATCH(EE$3,'Standards for Conversions'!$A$34:$A$73,0))))</f>
        <v/>
      </c>
      <c r="EH12" s="10" t="s">
        <v>399</v>
      </c>
      <c r="EI12" s="9"/>
      <c r="EJ12" s="9"/>
      <c r="EK12" s="31" t="str">
        <f>IF(EJ12/(INDEX('Standards for Conversions'!$H$34:$H$73,MATCH(EI$3,'Standards for Conversions'!$A$34:$A$73,0)))=0,"",EJ12/(INDEX('Standards for Conversions'!$H$34:$H$73,MATCH(EI$3,'Standards for Conversions'!$A$34:$A$73,0))))</f>
        <v/>
      </c>
      <c r="EL12" s="10" t="s">
        <v>399</v>
      </c>
      <c r="EM12" s="7">
        <f>1.63*447</f>
        <v>728.6099999999999</v>
      </c>
      <c r="EN12" s="7">
        <v>1274</v>
      </c>
      <c r="EO12" s="31">
        <f>IF(EN12/(INDEX('Standards for Conversions'!$H$34:$H$73,MATCH(EM$3,'Standards for Conversions'!$A$34:$A$73,0)))=0,"",EN12/(INDEX('Standards for Conversions'!$H$34:$H$73,MATCH(EM$3,'Standards for Conversions'!$A$34:$A$73,0))))</f>
        <v>222.806462334521</v>
      </c>
      <c r="EP12" s="10" t="s">
        <v>399</v>
      </c>
      <c r="EQ12" s="7"/>
      <c r="ER12" s="7"/>
      <c r="ES12" s="31" t="str">
        <f>IF(ER12/(INDEX('Standards for Conversions'!$H$34:$H$73,MATCH(EQ$3,'Standards for Conversions'!$A$34:$A$73,0)))=0,"",ER12/(INDEX('Standards for Conversions'!$H$34:$H$73,MATCH(EQ$3,'Standards for Conversions'!$A$34:$A$73,0))))</f>
        <v/>
      </c>
      <c r="ET12" s="10" t="s">
        <v>399</v>
      </c>
      <c r="EU12" s="7"/>
      <c r="EV12" s="7"/>
      <c r="EW12" s="31" t="str">
        <f>IF(EV12/(INDEX('Standards for Conversions'!$H$34:$H$73,MATCH(EU$3,'Standards for Conversions'!$A$34:$A$73,0)))=0,"",EV12/(INDEX('Standards for Conversions'!$H$34:$H$73,MATCH(EU$3,'Standards for Conversions'!$A$34:$A$73,0))))</f>
        <v/>
      </c>
      <c r="EX12" s="10" t="s">
        <v>399</v>
      </c>
      <c r="EY12" s="9"/>
      <c r="EZ12" s="9"/>
      <c r="FA12" s="31" t="str">
        <f>IF(EZ12/(INDEX('Standards for Conversions'!$H$34:$H$73,MATCH(EY$3,'Standards for Conversions'!$A$34:$A$73,0)))=0,"",EZ12/(INDEX('Standards for Conversions'!$H$34:$H$73,MATCH(EY$3,'Standards for Conversions'!$A$34:$A$73,0))))</f>
        <v/>
      </c>
      <c r="FB12" s="10" t="s">
        <v>399</v>
      </c>
      <c r="FC12" s="7">
        <f>1.63*67</f>
        <v>109.21</v>
      </c>
      <c r="FD12" s="7">
        <v>260</v>
      </c>
      <c r="FE12" s="31">
        <f>IF(FD12/(INDEX('Standards for Conversions'!$H$34:$H$73,MATCH(FC$3,'Standards for Conversions'!$A$34:$A$73,0)))=0,"",FD12/(INDEX('Standards for Conversions'!$H$34:$H$73,MATCH(FC$3,'Standards for Conversions'!$A$34:$A$73,0))))</f>
        <v>44.534868811737773</v>
      </c>
      <c r="FF12" s="10" t="s">
        <v>399</v>
      </c>
      <c r="FG12" s="7"/>
      <c r="FH12" s="7"/>
      <c r="FI12" s="31" t="str">
        <f>IF(FH12/(INDEX('Standards for Conversions'!$H$34:$H$73,MATCH(FG$3,'Standards for Conversions'!$A$34:$A$73,0)))=0,"",FH12/(INDEX('Standards for Conversions'!$H$34:$H$73,MATCH(FG$3,'Standards for Conversions'!$A$34:$A$73,0))))</f>
        <v/>
      </c>
      <c r="FJ12" s="10" t="s">
        <v>399</v>
      </c>
      <c r="FK12" s="7"/>
      <c r="FL12" s="7"/>
      <c r="FM12" s="31" t="str">
        <f>IF(FL12/(INDEX('Standards for Conversions'!$H$34:$H$73,MATCH(FK$3,'Standards for Conversions'!$A$34:$A$73,0)))=0,"",FL12/(INDEX('Standards for Conversions'!$H$34:$H$73,MATCH(FK$3,'Standards for Conversions'!$A$34:$A$73,0))))</f>
        <v/>
      </c>
      <c r="FN12" s="10" t="s">
        <v>399</v>
      </c>
      <c r="FO12" s="9"/>
      <c r="FP12" s="9"/>
      <c r="FQ12" s="31" t="str">
        <f>IF(FP12/(INDEX('Standards for Conversions'!$H$34:$H$73,MATCH(FO$3,'Standards for Conversions'!$A$34:$A$73,0)))=0,"",FP12/(INDEX('Standards for Conversions'!$H$34:$H$73,MATCH(FO$3,'Standards for Conversions'!$A$34:$A$73,0))))</f>
        <v/>
      </c>
      <c r="FR12" s="10" t="s">
        <v>399</v>
      </c>
      <c r="FS12" s="7">
        <f>1.63*100</f>
        <v>163</v>
      </c>
      <c r="FT12" s="7">
        <v>400</v>
      </c>
      <c r="FU12" s="31">
        <f>IF(FT12/(INDEX('Standards for Conversions'!$H$34:$H$73,MATCH(FS$3,'Standards for Conversions'!$A$34:$A$73,0)))=0,"",FT12/(INDEX('Standards for Conversions'!$H$34:$H$73,MATCH(FS$3,'Standards for Conversions'!$A$34:$A$73,0))))</f>
        <v>68.599873989745362</v>
      </c>
      <c r="FV12" s="10" t="s">
        <v>399</v>
      </c>
      <c r="FW12" s="7"/>
      <c r="FX12" s="7"/>
      <c r="FY12" s="31" t="str">
        <f>IF(FX12/(INDEX('Standards for Conversions'!$H$34:$H$73,MATCH(FW$3,'Standards for Conversions'!$A$34:$A$73,0)))=0,"",FX12/(INDEX('Standards for Conversions'!$H$34:$H$73,MATCH(FW$3,'Standards for Conversions'!$A$34:$A$73,0))))</f>
        <v/>
      </c>
      <c r="FZ12" s="10" t="s">
        <v>399</v>
      </c>
      <c r="GA12" s="7"/>
      <c r="GB12" s="7"/>
      <c r="GC12" s="31" t="str">
        <f>IF(GB12/(INDEX('Standards for Conversions'!$H$34:$H$73,MATCH(GA$3,'Standards for Conversions'!$A$34:$A$73,0)))=0,"",GB12/(INDEX('Standards for Conversions'!$H$34:$H$73,MATCH(GA$3,'Standards for Conversions'!$A$34:$A$73,0))))</f>
        <v/>
      </c>
      <c r="GD12" s="10" t="s">
        <v>399</v>
      </c>
      <c r="GE12" s="9"/>
      <c r="GF12" s="9"/>
      <c r="GG12" s="31" t="str">
        <f>IF(GF12/(INDEX('Standards for Conversions'!$H$34:$H$73,MATCH(GE$3,'Standards for Conversions'!$A$34:$A$73,0)))=0,"",GF12/(INDEX('Standards for Conversions'!$H$34:$H$73,MATCH(GE$3,'Standards for Conversions'!$A$34:$A$73,0))))</f>
        <v/>
      </c>
      <c r="GH12" s="10" t="s">
        <v>399</v>
      </c>
      <c r="GI12" s="7">
        <f>1.63*100</f>
        <v>163</v>
      </c>
      <c r="GJ12" s="7">
        <v>400</v>
      </c>
      <c r="GK12" s="31">
        <f>IF(GJ12/(INDEX('Standards for Conversions'!$H$34:$H$73,MATCH(GI$3,'Standards for Conversions'!$A$34:$A$73,0)))=0,"",GJ12/(INDEX('Standards for Conversions'!$H$34:$H$73,MATCH(GI$3,'Standards for Conversions'!$A$34:$A$73,0))))</f>
        <v>65.805064308681665</v>
      </c>
      <c r="GL12" s="10" t="s">
        <v>399</v>
      </c>
      <c r="GM12" s="7"/>
      <c r="GN12" s="7"/>
      <c r="GO12" s="31" t="str">
        <f>IF(GN12/(INDEX('Standards for Conversions'!$H$34:$H$73,MATCH(GM$3,'Standards for Conversions'!$A$34:$A$73,0)))=0,"",GN12/(INDEX('Standards for Conversions'!$H$34:$H$73,MATCH(GM$3,'Standards for Conversions'!$A$34:$A$73,0))))</f>
        <v/>
      </c>
      <c r="GP12" s="10" t="s">
        <v>399</v>
      </c>
      <c r="GQ12" s="7"/>
      <c r="GR12" s="7"/>
      <c r="GS12" s="31" t="str">
        <f>IF(GR12/(INDEX('Standards for Conversions'!$H$34:$H$73,MATCH(GQ$3,'Standards for Conversions'!$A$34:$A$73,0)))=0,"",GR12/(INDEX('Standards for Conversions'!$H$34:$H$73,MATCH(GQ$3,'Standards for Conversions'!$A$34:$A$73,0))))</f>
        <v/>
      </c>
      <c r="GT12" s="10" t="s">
        <v>399</v>
      </c>
      <c r="GU12" s="9"/>
      <c r="GV12" s="9"/>
      <c r="GW12" s="31" t="str">
        <f>IF(GV12/(INDEX('Standards for Conversions'!$H$34:$H$73,MATCH(GU$3,'Standards for Conversions'!$A$34:$A$73,0)))=0,"",GV12/(INDEX('Standards for Conversions'!$H$34:$H$73,MATCH(GU$3,'Standards for Conversions'!$A$34:$A$73,0))))</f>
        <v/>
      </c>
      <c r="GX12" s="10" t="s">
        <v>399</v>
      </c>
      <c r="GY12" s="7">
        <f>1.63*200</f>
        <v>326</v>
      </c>
      <c r="GZ12" s="7">
        <v>800</v>
      </c>
      <c r="HA12" s="31">
        <f>IF(GZ12/(INDEX('Standards for Conversions'!$H$34:$H$73,MATCH(GY$3,'Standards for Conversions'!$A$34:$A$73,0)))=0,"",GZ12/(INDEX('Standards for Conversions'!$H$34:$H$73,MATCH(GY$3,'Standards for Conversions'!$A$34:$A$73,0))))</f>
        <v>122.97162596680282</v>
      </c>
      <c r="HB12" s="10" t="s">
        <v>399</v>
      </c>
      <c r="HC12" s="7"/>
      <c r="HD12" s="7"/>
      <c r="HE12" s="31" t="str">
        <f>IF(HD12/(INDEX('Standards for Conversions'!$H$34:$H$73,MATCH(HC$3,'Standards for Conversions'!$A$34:$A$73,0)))=0,"",HD12/(INDEX('Standards for Conversions'!$H$34:$H$73,MATCH(HC$3,'Standards for Conversions'!$A$34:$A$73,0))))</f>
        <v/>
      </c>
      <c r="HF12" s="10" t="s">
        <v>399</v>
      </c>
      <c r="HG12" s="7"/>
      <c r="HH12" s="7"/>
      <c r="HI12" s="31" t="str">
        <f>IF(HH12/(INDEX('Standards for Conversions'!$H$34:$H$73,MATCH(HG$3,'Standards for Conversions'!$A$34:$A$73,0)))=0,"",HH12/(INDEX('Standards for Conversions'!$H$34:$H$73,MATCH(HG$3,'Standards for Conversions'!$A$34:$A$73,0))))</f>
        <v/>
      </c>
      <c r="HJ12" s="10" t="s">
        <v>399</v>
      </c>
      <c r="HK12" s="9"/>
      <c r="HL12" s="9"/>
      <c r="HM12" s="31" t="str">
        <f>IF(HL12/(INDEX('Standards for Conversions'!$H$34:$H$73,MATCH(HK$3,'Standards for Conversions'!$A$34:$A$73,0)))=0,"",HL12/(INDEX('Standards for Conversions'!$H$34:$H$73,MATCH(HK$3,'Standards for Conversions'!$A$34:$A$73,0))))</f>
        <v/>
      </c>
      <c r="HN12" s="10" t="s">
        <v>399</v>
      </c>
      <c r="HO12" s="7">
        <f>1.63*200</f>
        <v>326</v>
      </c>
      <c r="HP12" s="7">
        <v>1000</v>
      </c>
      <c r="HQ12" s="31">
        <f>IF(HP12/(INDEX('Standards for Conversions'!$H$34:$H$73,MATCH(HO$3,'Standards for Conversions'!$A$34:$A$73,0)))=0,"",HP12/(INDEX('Standards for Conversions'!$H$34:$H$73,MATCH(HO$3,'Standards for Conversions'!$A$34:$A$73,0))))</f>
        <v>151.38552439095039</v>
      </c>
      <c r="HR12" s="33" t="s">
        <v>98</v>
      </c>
      <c r="HU12" s="31" t="str">
        <f>IF(HT12/(INDEX('Standards for Conversions'!$H$47:$H$73,MATCH(HS$3,'Standards for Conversions'!$A$47:$A$73,0)))=0,"",HT12/(INDEX('Standards for Conversions'!$H$47:$H$73,MATCH(HS$3,'Standards for Conversions'!$A$47:$A$73,0))))</f>
        <v/>
      </c>
      <c r="HV12" s="33" t="s">
        <v>98</v>
      </c>
      <c r="HW12" s="33">
        <v>0</v>
      </c>
      <c r="HY12" s="31" t="str">
        <f>IF(HX12/(INDEX('Standards for Conversions'!$H$47:$H$73,MATCH(HW$3,'Standards for Conversions'!$A$47:$A$73,0)))=0,"",HX12/(INDEX('Standards for Conversions'!$H$47:$H$73,MATCH(HW$3,'Standards for Conversions'!$A$47:$A$73,0))))</f>
        <v/>
      </c>
      <c r="IB12" s="31" t="str">
        <f>IF(IA12/(INDEX('Standards for Conversions'!$H$47:$H$73,MATCH(HZ$3,'Standards for Conversions'!$A$47:$A$73,0)))=0,"",IA12/(INDEX('Standards for Conversions'!$H$47:$H$73,MATCH(HZ$3,'Standards for Conversions'!$A$47:$A$73,0))))</f>
        <v/>
      </c>
      <c r="IC12" s="33" t="s">
        <v>98</v>
      </c>
      <c r="ID12" s="33">
        <v>357.5</v>
      </c>
      <c r="IE12" s="33">
        <v>1100</v>
      </c>
      <c r="IF12" s="31">
        <f>IF(IE12/(INDEX('Standards for Conversions'!$H$47:$H$73,MATCH(ID$3,'Standards for Conversions'!$A$47:$A$73,0)))=0,"",IE12/(INDEX('Standards for Conversions'!$H$47:$H$73,MATCH(ID$3,'Standards for Conversions'!$A$47:$A$73,0))))</f>
        <v>159.76995343414154</v>
      </c>
      <c r="IG12" s="33" t="s">
        <v>98</v>
      </c>
      <c r="IJ12" s="31" t="str">
        <f>IF(II12/(INDEX('Standards for Conversions'!$H$47:$H$73,MATCH(IH$3,'Standards for Conversions'!$A$47:$A$73,0)))=0,"",II12/(INDEX('Standards for Conversions'!$H$47:$H$73,MATCH(IH$3,'Standards for Conversions'!$A$47:$A$73,0))))</f>
        <v/>
      </c>
      <c r="IK12" s="33" t="s">
        <v>98</v>
      </c>
      <c r="IN12" s="31" t="str">
        <f>IF(IM12/(INDEX('Standards for Conversions'!$H$47:$H$73,MATCH(IL$3,'Standards for Conversions'!$A$47:$A$73,0)))=0,"",IM12/(INDEX('Standards for Conversions'!$H$47:$H$73,MATCH(IL$3,'Standards for Conversions'!$A$47:$A$73,0))))</f>
        <v/>
      </c>
      <c r="IO12" s="33" t="s">
        <v>98</v>
      </c>
      <c r="IR12" s="31" t="str">
        <f>IF(IQ12/(INDEX('Standards for Conversions'!$H$47:$H$73,MATCH(IP$3,'Standards for Conversions'!$A$47:$A$73,0)))=0,"",IQ12/(INDEX('Standards for Conversions'!$H$47:$H$73,MATCH(IP$3,'Standards for Conversions'!$A$47:$A$73,0))))</f>
        <v/>
      </c>
      <c r="IS12" s="33" t="s">
        <v>98</v>
      </c>
      <c r="IT12" s="33">
        <v>230.75</v>
      </c>
      <c r="IU12" s="33">
        <v>651</v>
      </c>
      <c r="IV12" s="31">
        <f>IF(IU12/(INDEX('Standards for Conversions'!$H$47:$H$73,MATCH(IT$3,'Standards for Conversions'!$A$47:$A$73,0)))=0,"",IU12/(INDEX('Standards for Conversions'!$H$47:$H$73,MATCH(IT$3,'Standards for Conversions'!$A$47:$A$73,0))))</f>
        <v>94.141258554575472</v>
      </c>
      <c r="IW12" s="33" t="s">
        <v>98</v>
      </c>
      <c r="IZ12" s="31" t="str">
        <f>IF(IY12/(INDEX('Standards for Conversions'!$H$47:$H$73,MATCH(IX$3,'Standards for Conversions'!$A$47:$A$73,0)))=0,"",IY12/(INDEX('Standards for Conversions'!$H$47:$H$73,MATCH(IX$3,'Standards for Conversions'!$A$47:$A$73,0))))</f>
        <v/>
      </c>
      <c r="JA12" s="33" t="s">
        <v>98</v>
      </c>
      <c r="JD12" s="31" t="str">
        <f>IF(JC12/(INDEX('Standards for Conversions'!$H$47:$H$73,MATCH(JB$3,'Standards for Conversions'!$A$47:$A$73,0)))=0,"",JC12/(INDEX('Standards for Conversions'!$H$47:$H$73,MATCH(JB$3,'Standards for Conversions'!$A$47:$A$73,0))))</f>
        <v/>
      </c>
      <c r="JE12" s="33" t="s">
        <v>98</v>
      </c>
      <c r="JH12" s="31" t="str">
        <f>IF(JG12/(INDEX('Standards for Conversions'!$H$47:$H$73,MATCH(JF$3,'Standards for Conversions'!$A$47:$A$73,0)))=0,"",JG12/(INDEX('Standards for Conversions'!$H$47:$H$73,MATCH(JF$3,'Standards for Conversions'!$A$47:$A$73,0))))</f>
        <v/>
      </c>
      <c r="JI12" s="33" t="s">
        <v>98</v>
      </c>
      <c r="JJ12" s="33">
        <v>276.25</v>
      </c>
      <c r="JK12" s="33">
        <v>1030</v>
      </c>
      <c r="JL12" s="31">
        <f>IF(JK12/(INDEX('Standards for Conversions'!$H$47:$H$73,MATCH(JJ$3,'Standards for Conversions'!$A$47:$A$73,0)))=0,"",JK12/(INDEX('Standards for Conversions'!$H$47:$H$73,MATCH(JJ$3,'Standards for Conversions'!$A$47:$A$73,0))))</f>
        <v>166.61300259262475</v>
      </c>
      <c r="JM12" s="33" t="s">
        <v>98</v>
      </c>
      <c r="JP12" s="31" t="str">
        <f>IF(JO12/(INDEX('Standards for Conversions'!$H$47:$H$73,MATCH(JN$3,'Standards for Conversions'!$A$47:$A$73,0)))=0,"",JO12/(INDEX('Standards for Conversions'!$H$47:$H$73,MATCH(JN$3,'Standards for Conversions'!$A$47:$A$73,0))))</f>
        <v/>
      </c>
      <c r="JQ12" s="33" t="s">
        <v>98</v>
      </c>
      <c r="JT12" s="31" t="str">
        <f>IF(JS12/(INDEX('Standards for Conversions'!$H$47:$H$73,MATCH(JR$3,'Standards for Conversions'!$A$47:$A$73,0)))=0,"",JS12/(INDEX('Standards for Conversions'!$H$47:$H$73,MATCH(JR$3,'Standards for Conversions'!$A$47:$A$73,0))))</f>
        <v/>
      </c>
      <c r="JU12" s="33" t="s">
        <v>98</v>
      </c>
      <c r="JX12" s="31" t="str">
        <f>IF(JW12/(INDEX('Standards for Conversions'!$H$47:$H$73,MATCH(JV$3,'Standards for Conversions'!$A$47:$A$73,0)))=0,"",JW12/(INDEX('Standards for Conversions'!$H$47:$H$73,MATCH(JV$3,'Standards for Conversions'!$A$47:$A$73,0))))</f>
        <v/>
      </c>
      <c r="JY12" s="33" t="s">
        <v>98</v>
      </c>
      <c r="JZ12" s="33">
        <v>243.75</v>
      </c>
      <c r="KA12" s="33">
        <v>900</v>
      </c>
      <c r="KB12" s="31">
        <f>IF(KA12/(INDEX('Standards for Conversions'!$H$47:$H$73,MATCH(JZ$3,'Standards for Conversions'!$A$47:$A$73,0)))=0,"",KA12/(INDEX('Standards for Conversions'!$H$47:$H$73,MATCH(JZ$3,'Standards for Conversions'!$A$47:$A$73,0))))</f>
        <v>137.39030318501781</v>
      </c>
      <c r="KC12" s="33" t="s">
        <v>98</v>
      </c>
      <c r="KF12" s="31" t="str">
        <f>IF(KE12/(INDEX('Standards for Conversions'!$H$47:$H$73,MATCH(KD$3,'Standards for Conversions'!$A$47:$A$73,0)))=0,"",KE12/(INDEX('Standards for Conversions'!$H$47:$H$73,MATCH(KD$3,'Standards for Conversions'!$A$47:$A$73,0))))</f>
        <v/>
      </c>
      <c r="KG12" s="33" t="s">
        <v>98</v>
      </c>
      <c r="KJ12" s="31" t="str">
        <f>IF(KI12/(INDEX('Standards for Conversions'!$H$47:$H$73,MATCH(KH$3,'Standards for Conversions'!$A$47:$A$73,0)))=0,"",KI12/(INDEX('Standards for Conversions'!$H$47:$H$73,MATCH(KH$3,'Standards for Conversions'!$A$47:$A$73,0))))</f>
        <v/>
      </c>
      <c r="KK12" s="33" t="s">
        <v>98</v>
      </c>
      <c r="KN12" s="31" t="str">
        <f>IF(KM12/(INDEX('Standards for Conversions'!$H$47:$H$73,MATCH(KL$3,'Standards for Conversions'!$A$47:$A$73,0)))=0,"",KM12/(INDEX('Standards for Conversions'!$H$47:$H$73,MATCH(KL$3,'Standards for Conversions'!$A$47:$A$73,0))))</f>
        <v/>
      </c>
      <c r="KO12" s="33" t="s">
        <v>98</v>
      </c>
      <c r="KP12" s="33">
        <v>552.5</v>
      </c>
      <c r="KQ12" s="33">
        <v>700</v>
      </c>
      <c r="KR12" s="31">
        <f>IF(KQ12/(INDEX('Standards for Conversions'!$H$47:$H$73,MATCH(KP$3,'Standards for Conversions'!$A$47:$A$73,0)))=0,"",KQ12/(INDEX('Standards for Conversions'!$H$47:$H$73,MATCH(KP$3,'Standards for Conversions'!$A$47:$A$73,0))))</f>
        <v>94.261308334057517</v>
      </c>
      <c r="KS12" s="33" t="s">
        <v>98</v>
      </c>
      <c r="KV12" s="31" t="str">
        <f>IF(KU12/(INDEX('Standards for Conversions'!$H$47:$H$73,MATCH(KT$3,'Standards for Conversions'!$A$47:$A$73,0)))=0,"",KU12/(INDEX('Standards for Conversions'!$H$47:$H$73,MATCH(KT$3,'Standards for Conversions'!$A$47:$A$73,0))))</f>
        <v/>
      </c>
      <c r="KW12" s="33" t="s">
        <v>98</v>
      </c>
      <c r="KZ12" s="31" t="str">
        <f>IF(KY12/(INDEX('Standards for Conversions'!$H$47:$H$73,MATCH(KX$3,'Standards for Conversions'!$A$47:$A$73,0)))=0,"",KY12/(INDEX('Standards for Conversions'!$H$47:$H$73,MATCH(KX$3,'Standards for Conversions'!$A$47:$A$73,0))))</f>
        <v/>
      </c>
      <c r="LA12" s="33" t="s">
        <v>98</v>
      </c>
      <c r="LD12" s="31" t="str">
        <f>IF(LC12/(INDEX('Standards for Conversions'!$H$47:$H$73,MATCH(LB$3,'Standards for Conversions'!$A$47:$A$73,0)))=0,"",LC12/(INDEX('Standards for Conversions'!$H$47:$H$73,MATCH(LB$3,'Standards for Conversions'!$A$47:$A$73,0))))</f>
        <v/>
      </c>
      <c r="LE12" s="33" t="s">
        <v>98</v>
      </c>
      <c r="LF12" s="33">
        <v>682.5</v>
      </c>
      <c r="LG12" s="33">
        <v>1530</v>
      </c>
      <c r="LH12" s="31">
        <f>IF(LG12/(INDEX('Standards for Conversions'!$H$47:$H$73,MATCH(LF$3,'Standards for Conversions'!$A$47:$A$73,0)))=0,"",LG12/(INDEX('Standards for Conversions'!$H$47:$H$73,MATCH(LF$3,'Standards for Conversions'!$A$47:$A$73,0))))</f>
        <v>186.07334709307375</v>
      </c>
      <c r="LL12" s="31" t="str">
        <f>IF(LK12/(INDEX('Standards for Conversions'!$H$47:$H$73,MATCH(LJ$3,'Standards for Conversions'!$A$47:$A$73,0)))=0,"",LK12/(INDEX('Standards for Conversions'!$H$47:$H$73,MATCH(LJ$3,'Standards for Conversions'!$A$47:$A$73,0))))</f>
        <v/>
      </c>
      <c r="LO12" s="31" t="str">
        <f>IF(LN12/(INDEX('Standards for Conversions'!$H$47:$H$73,MATCH(LM$3,'Standards for Conversions'!$A$47:$A$73,0)))=0,"",LN12/(INDEX('Standards for Conversions'!$H$47:$H$73,MATCH(LM$3,'Standards for Conversions'!$A$47:$A$73,0))))</f>
        <v/>
      </c>
      <c r="LR12" s="31" t="str">
        <f>IF(LQ12/(INDEX('Standards for Conversions'!$H$47:$H$73,MATCH(LP$3,'Standards for Conversions'!$A$47:$A$73,0)))=0,"",LQ12/(INDEX('Standards for Conversions'!$H$47:$H$73,MATCH(LP$3,'Standards for Conversions'!$A$47:$A$73,0))))</f>
        <v/>
      </c>
      <c r="LV12" s="31" t="str">
        <f>IF(LU12/(INDEX('Standards for Conversions'!$H$47:$H$73,MATCH(LT$3,'Standards for Conversions'!$A$47:$A$73,0)))=0,"",LU12/(INDEX('Standards for Conversions'!$H$47:$H$73,MATCH(LT$3,'Standards for Conversions'!$A$47:$A$73,0))))</f>
        <v/>
      </c>
      <c r="LY12" s="31" t="str">
        <f>IF(LX12/(INDEX('Standards for Conversions'!$H$47:$H$73,MATCH(LW$3,'Standards for Conversions'!$A$47:$A$73,0)))=0,"",LX12/(INDEX('Standards for Conversions'!$H$47:$H$73,MATCH(LW$3,'Standards for Conversions'!$A$47:$A$73,0))))</f>
        <v/>
      </c>
      <c r="MB12" s="31" t="str">
        <f>IF(MA12/(INDEX('Standards for Conversions'!$H$47:$H$73,MATCH(LZ$3,'Standards for Conversions'!$A$47:$A$73,0)))=0,"",MA12/(INDEX('Standards for Conversions'!$H$47:$H$73,MATCH(LZ$3,'Standards for Conversions'!$A$47:$A$73,0))))</f>
        <v/>
      </c>
      <c r="ME12" s="31" t="str">
        <f>IF(MD12/(INDEX('Standards for Conversions'!$H$47:$H$73,MATCH(MC$3,'Standards for Conversions'!$A$47:$A$73,0)))=0,"",MD12/(INDEX('Standards for Conversions'!$H$47:$H$73,MATCH(MC$3,'Standards for Conversions'!$A$47:$A$73,0))))</f>
        <v/>
      </c>
      <c r="MH12" s="31" t="str">
        <f>IF(MG12/(INDEX('Standards for Conversions'!$H$47:$H$73,MATCH(MF$3,'Standards for Conversions'!$A$47:$A$73,0)))=0,"",MG12/(INDEX('Standards for Conversions'!$H$47:$H$73,MATCH(MF$3,'Standards for Conversions'!$A$47:$A$73,0))))</f>
        <v/>
      </c>
      <c r="MK12" s="31" t="str">
        <f>IF(MJ12/(INDEX('Standards for Conversions'!$H$47:$H$73,MATCH(MI$3,'Standards for Conversions'!$A$47:$A$73,0)))=0,"",MJ12/(INDEX('Standards for Conversions'!$H$47:$H$73,MATCH(MI$3,'Standards for Conversions'!$A$47:$A$73,0))))</f>
        <v/>
      </c>
      <c r="MN12" s="31" t="str">
        <f>IF(MM12/(INDEX('Standards for Conversions'!$H$47:$H$73,MATCH(ML$3,'Standards for Conversions'!$A$47:$A$73,0)))=0,"",MM12/(INDEX('Standards for Conversions'!$H$47:$H$73,MATCH(ML$3,'Standards for Conversions'!$A$47:$A$73,0))))</f>
        <v/>
      </c>
      <c r="MR12" s="31" t="str">
        <f>IF(MQ12/(INDEX('Standards for Conversions'!$H$47:$H$73,MATCH(MP$3,'Standards for Conversions'!$A$47:$A$73,0)))=0,"",MQ12/(INDEX('Standards for Conversions'!$H$47:$H$73,MATCH(MP$3,'Standards for Conversions'!$A$47:$A$73,0))))</f>
        <v/>
      </c>
      <c r="NE12" s="33" t="s">
        <v>98</v>
      </c>
      <c r="NF12" s="33">
        <v>1674</v>
      </c>
      <c r="NG12" s="33">
        <v>883</v>
      </c>
      <c r="NH12" s="33">
        <v>758</v>
      </c>
      <c r="NI12" s="33">
        <v>395</v>
      </c>
    </row>
    <row r="13" spans="1:373" s="33" customFormat="1" x14ac:dyDescent="0.3">
      <c r="A13" s="102" t="s">
        <v>68</v>
      </c>
      <c r="B13" s="10" t="s">
        <v>399</v>
      </c>
      <c r="C13" s="7"/>
      <c r="D13" s="7"/>
      <c r="E13" s="31" t="str">
        <f>IF(D13/(INDEX('Standards for Conversions'!$H$34:$H$73,MATCH(C$3,'Standards for Conversions'!$A$34:$A$73,0)))=0,"",D13/(INDEX('Standards for Conversions'!$H$34:$H$73,MATCH(C$3,'Standards for Conversions'!$A$34:$A$73,0))))</f>
        <v/>
      </c>
      <c r="F13" s="10" t="s">
        <v>399</v>
      </c>
      <c r="G13" s="7"/>
      <c r="H13" s="7"/>
      <c r="I13" s="31" t="str">
        <f>IF(H13/(INDEX('Standards for Conversions'!$H$34:$H$73,MATCH(G$3,'Standards for Conversions'!$A$34:$A$73,0)))=0,"",H13/(INDEX('Standards for Conversions'!$H$34:$H$73,MATCH(G$3,'Standards for Conversions'!$A$34:$A$73,0))))</f>
        <v/>
      </c>
      <c r="J13" s="6" t="s">
        <v>374</v>
      </c>
      <c r="K13" s="9">
        <v>4931</v>
      </c>
      <c r="L13" s="9">
        <v>90000</v>
      </c>
      <c r="M13" s="31">
        <f>IF(L13/(INDEX('Standards for Conversions'!$H$34:$H$73,MATCH(K$3,'Standards for Conversions'!$A$34:$A$73,0)))=0,"",L13/(INDEX('Standards for Conversions'!$H$34:$H$73,MATCH(K$3,'Standards for Conversions'!$A$34:$A$73,0))))</f>
        <v>17778.800675675673</v>
      </c>
      <c r="N13" s="10" t="s">
        <v>399</v>
      </c>
      <c r="O13" s="7"/>
      <c r="P13" s="7"/>
      <c r="Q13" s="31" t="str">
        <f>IF(P13/(INDEX('Standards for Conversions'!$H$34:$H$73,MATCH(O$3,'Standards for Conversions'!$A$34:$A$73,0)))=0,"",P13/(INDEX('Standards for Conversions'!$H$34:$H$73,MATCH(O$3,'Standards for Conversions'!$A$34:$A$73,0))))</f>
        <v/>
      </c>
      <c r="R13" s="10" t="s">
        <v>399</v>
      </c>
      <c r="S13" s="7"/>
      <c r="T13" s="7"/>
      <c r="U13" s="31" t="str">
        <f>IF(T13/(INDEX('Standards for Conversions'!$H$34:$H$73,MATCH(S$3,'Standards for Conversions'!$A$34:$A$73,0)))=0,"",T13/(INDEX('Standards for Conversions'!$H$34:$H$73,MATCH(S$3,'Standards for Conversions'!$A$34:$A$73,0))))</f>
        <v/>
      </c>
      <c r="V13" s="10" t="s">
        <v>399</v>
      </c>
      <c r="W13" s="7"/>
      <c r="X13" s="7"/>
      <c r="Y13" s="31" t="str">
        <f>IF(X13/(INDEX('Standards for Conversions'!$H$34:$H$73,MATCH(W$3,'Standards for Conversions'!$A$34:$A$73,0)))=0,"",X13/(INDEX('Standards for Conversions'!$H$34:$H$73,MATCH(W$3,'Standards for Conversions'!$A$34:$A$73,0))))</f>
        <v/>
      </c>
      <c r="Z13" s="6" t="s">
        <v>374</v>
      </c>
      <c r="AA13" s="9">
        <v>5000</v>
      </c>
      <c r="AB13" s="9">
        <v>75000</v>
      </c>
      <c r="AC13" s="31">
        <f>IF(AB13/(INDEX('Standards for Conversions'!$H$34:$H$73,MATCH(AA$3,'Standards for Conversions'!$A$34:$A$73,0)))=0,"",AB13/(INDEX('Standards for Conversions'!$H$34:$H$73,MATCH(AA$3,'Standards for Conversions'!$A$34:$A$73,0))))</f>
        <v>14450.436419136176</v>
      </c>
      <c r="AD13" s="10" t="s">
        <v>399</v>
      </c>
      <c r="AE13" s="7"/>
      <c r="AF13" s="7"/>
      <c r="AG13" s="31" t="str">
        <f>IF(AF13/(INDEX('Standards for Conversions'!$H$34:$H$73,MATCH(AE$3,'Standards for Conversions'!$A$34:$A$73,0)))=0,"",AF13/(INDEX('Standards for Conversions'!$H$34:$H$73,MATCH(AE$3,'Standards for Conversions'!$A$34:$A$73,0))))</f>
        <v/>
      </c>
      <c r="AH13" s="10" t="s">
        <v>399</v>
      </c>
      <c r="AI13" s="7"/>
      <c r="AJ13" s="7"/>
      <c r="AK13" s="31" t="str">
        <f>IF(AJ13/(INDEX('Standards for Conversions'!$H$34:$H$73,MATCH(AI$3,'Standards for Conversions'!$A$34:$A$73,0)))=0,"",AJ13/(INDEX('Standards for Conversions'!$H$34:$H$73,MATCH(AI$3,'Standards for Conversions'!$A$34:$A$73,0))))</f>
        <v/>
      </c>
      <c r="AL13" s="10" t="s">
        <v>399</v>
      </c>
      <c r="AM13" s="7"/>
      <c r="AN13" s="7"/>
      <c r="AO13" s="31" t="str">
        <f>IF(AN13/(INDEX('Standards for Conversions'!$H$34:$H$73,MATCH(AM$3,'Standards for Conversions'!$A$34:$A$73,0)))=0,"",AN13/(INDEX('Standards for Conversions'!$H$34:$H$73,MATCH(AM$3,'Standards for Conversions'!$A$34:$A$73,0))))</f>
        <v/>
      </c>
      <c r="AP13" s="6" t="s">
        <v>374</v>
      </c>
      <c r="AQ13" s="9">
        <v>4200</v>
      </c>
      <c r="AR13" s="9">
        <v>56000</v>
      </c>
      <c r="AS13" s="31">
        <f>IF(AR13/(INDEX('Standards for Conversions'!$H$34:$H$73,MATCH(AQ$3,'Standards for Conversions'!$A$34:$A$73,0)))=0,"",AR13/(INDEX('Standards for Conversions'!$H$34:$H$73,MATCH(AQ$3,'Standards for Conversions'!$A$34:$A$73,0))))</f>
        <v>10007.112482257175</v>
      </c>
      <c r="AT13" s="10" t="s">
        <v>399</v>
      </c>
      <c r="AU13" s="7"/>
      <c r="AV13" s="7"/>
      <c r="AW13" s="31" t="str">
        <f>IF(AV13/(INDEX('Standards for Conversions'!$H$34:$H$73,MATCH(AU$3,'Standards for Conversions'!$A$34:$A$73,0)))=0,"",AV13/(INDEX('Standards for Conversions'!$H$34:$H$73,MATCH(AU$3,'Standards for Conversions'!$A$34:$A$73,0))))</f>
        <v/>
      </c>
      <c r="AX13" s="10" t="s">
        <v>399</v>
      </c>
      <c r="AY13" s="7"/>
      <c r="AZ13" s="7"/>
      <c r="BA13" s="31" t="str">
        <f>IF(AZ13/(INDEX('Standards for Conversions'!$H$34:$H$73,MATCH(AY$3,'Standards for Conversions'!$A$34:$A$73,0)))=0,"",AZ13/(INDEX('Standards for Conversions'!$H$34:$H$73,MATCH(AY$3,'Standards for Conversions'!$A$34:$A$73,0))))</f>
        <v/>
      </c>
      <c r="BB13" s="10" t="s">
        <v>399</v>
      </c>
      <c r="BC13" s="7"/>
      <c r="BD13" s="7"/>
      <c r="BE13" s="31" t="str">
        <f>IF(BD13/(INDEX('Standards for Conversions'!$H$34:$H$73,MATCH(BC$3,'Standards for Conversions'!$A$34:$A$73,0)))=0,"",BD13/(INDEX('Standards for Conversions'!$H$34:$H$73,MATCH(BC$3,'Standards for Conversions'!$A$34:$A$73,0))))</f>
        <v/>
      </c>
      <c r="BF13" s="6" t="s">
        <v>374</v>
      </c>
      <c r="BG13" s="9">
        <v>6000</v>
      </c>
      <c r="BH13" s="9">
        <v>140000</v>
      </c>
      <c r="BI13" s="31">
        <f>IF(BH13/(INDEX('Standards for Conversions'!$H$34:$H$73,MATCH(BG$3,'Standards for Conversions'!$A$34:$A$73,0)))=0,"",BH13/(INDEX('Standards for Conversions'!$H$34:$H$73,MATCH(BG$3,'Standards for Conversions'!$A$34:$A$73,0))))</f>
        <v>25995.964594015237</v>
      </c>
      <c r="BJ13" s="10" t="s">
        <v>399</v>
      </c>
      <c r="BK13" s="7">
        <f>1.75*5000</f>
        <v>8750</v>
      </c>
      <c r="BL13" s="7">
        <v>19000</v>
      </c>
      <c r="BM13" s="31">
        <f>IF(BL13/(INDEX('Standards for Conversions'!$H$34:$H$73,MATCH(BK$3,'Standards for Conversions'!$A$34:$A$73,0)))=0,"",BL13/(INDEX('Standards for Conversions'!$H$34:$H$73,MATCH(BK$3,'Standards for Conversions'!$A$34:$A$73,0))))</f>
        <v>3528.0237663306393</v>
      </c>
      <c r="BN13" s="10" t="s">
        <v>399</v>
      </c>
      <c r="BO13" s="7"/>
      <c r="BP13" s="7"/>
      <c r="BQ13" s="31" t="str">
        <f>IF(BP13/(INDEX('Standards for Conversions'!$H$34:$H$73,MATCH(BO$3,'Standards for Conversions'!$A$34:$A$73,0)))=0,"",BP13/(INDEX('Standards for Conversions'!$H$34:$H$73,MATCH(BO$3,'Standards for Conversions'!$A$34:$A$73,0))))</f>
        <v/>
      </c>
      <c r="BR13" s="10" t="s">
        <v>399</v>
      </c>
      <c r="BS13" s="7"/>
      <c r="BT13" s="7"/>
      <c r="BU13" s="31" t="str">
        <f>IF(BT13/(INDEX('Standards for Conversions'!$H$34:$H$73,MATCH(BS$3,'Standards for Conversions'!$A$34:$A$73,0)))=0,"",BT13/(INDEX('Standards for Conversions'!$H$34:$H$73,MATCH(BS$3,'Standards for Conversions'!$A$34:$A$73,0))))</f>
        <v/>
      </c>
      <c r="BV13" s="6" t="s">
        <v>374</v>
      </c>
      <c r="BW13" s="9">
        <v>2000</v>
      </c>
      <c r="BX13" s="9">
        <v>40000</v>
      </c>
      <c r="BY13" s="31">
        <f>IF(BX13/(INDEX('Standards for Conversions'!$H$34:$H$73,MATCH(BW$3,'Standards for Conversions'!$A$34:$A$73,0)))=0,"",BX13/(INDEX('Standards for Conversions'!$H$34:$H$73,MATCH(BW$3,'Standards for Conversions'!$A$34:$A$73,0))))</f>
        <v>7122.5301265896105</v>
      </c>
      <c r="BZ13" s="10" t="s">
        <v>399</v>
      </c>
      <c r="CA13" s="7">
        <f>1.75*5000</f>
        <v>8750</v>
      </c>
      <c r="CB13" s="7">
        <v>19000</v>
      </c>
      <c r="CC13" s="31">
        <f>IF(CB13/(INDEX('Standards for Conversions'!$H$34:$H$73,MATCH(CA$3,'Standards for Conversions'!$A$34:$A$73,0)))=0,"",CB13/(INDEX('Standards for Conversions'!$H$34:$H$73,MATCH(CA$3,'Standards for Conversions'!$A$34:$A$73,0))))</f>
        <v>3383.201810130065</v>
      </c>
      <c r="CD13" s="10" t="s">
        <v>399</v>
      </c>
      <c r="CE13" s="7"/>
      <c r="CF13" s="7"/>
      <c r="CG13" s="31" t="str">
        <f>IF(CF13/(INDEX('Standards for Conversions'!$H$34:$H$73,MATCH(CE$3,'Standards for Conversions'!$A$34:$A$73,0)))=0,"",CF13/(INDEX('Standards for Conversions'!$H$34:$H$73,MATCH(CE$3,'Standards for Conversions'!$A$34:$A$73,0))))</f>
        <v/>
      </c>
      <c r="CH13" s="10" t="s">
        <v>399</v>
      </c>
      <c r="CI13" s="7"/>
      <c r="CJ13" s="7"/>
      <c r="CK13" s="31" t="str">
        <f>IF(CJ13/(INDEX('Standards for Conversions'!$H$34:$H$73,MATCH(CI$3,'Standards for Conversions'!$A$34:$A$73,0)))=0,"",CJ13/(INDEX('Standards for Conversions'!$H$34:$H$73,MATCH(CI$3,'Standards for Conversions'!$A$34:$A$73,0))))</f>
        <v/>
      </c>
      <c r="CL13" s="6" t="s">
        <v>374</v>
      </c>
      <c r="CM13" s="9">
        <v>1300</v>
      </c>
      <c r="CN13" s="9">
        <v>39000</v>
      </c>
      <c r="CO13" s="31">
        <f>IF(CN13/(INDEX('Standards for Conversions'!$H$34:$H$73,MATCH(CM$3,'Standards for Conversions'!$A$34:$A$73,0)))=0,"",CN13/(INDEX('Standards for Conversions'!$H$34:$H$73,MATCH(CM$3,'Standards for Conversions'!$A$34:$A$73,0))))</f>
        <v>6771.0616363952377</v>
      </c>
      <c r="CP13" s="10" t="s">
        <v>399</v>
      </c>
      <c r="CQ13" s="7">
        <f>1.75*5000</f>
        <v>8750</v>
      </c>
      <c r="CR13" s="7">
        <v>19000</v>
      </c>
      <c r="CS13" s="31">
        <f>IF(CR13/(INDEX('Standards for Conversions'!$H$34:$H$73,MATCH(CQ$3,'Standards for Conversions'!$A$34:$A$73,0)))=0,"",CR13/(INDEX('Standards for Conversions'!$H$34:$H$73,MATCH(CQ$3,'Standards for Conversions'!$A$34:$A$73,0))))</f>
        <v>3298.7223356797313</v>
      </c>
      <c r="CT13" s="10" t="s">
        <v>399</v>
      </c>
      <c r="CU13" s="7"/>
      <c r="CV13" s="7"/>
      <c r="CW13" s="31" t="str">
        <f>IF(CV13/(INDEX('Standards for Conversions'!$H$34:$H$73,MATCH(CU$3,'Standards for Conversions'!$A$34:$A$73,0)))=0,"",CV13/(INDEX('Standards for Conversions'!$H$34:$H$73,MATCH(CU$3,'Standards for Conversions'!$A$34:$A$73,0))))</f>
        <v/>
      </c>
      <c r="CX13" s="10" t="s">
        <v>399</v>
      </c>
      <c r="CY13" s="7"/>
      <c r="CZ13" s="7"/>
      <c r="DA13" s="31" t="str">
        <f>IF(CZ13/(INDEX('Standards for Conversions'!$H$34:$H$73,MATCH(CY$3,'Standards for Conversions'!$A$34:$A$73,0)))=0,"",CZ13/(INDEX('Standards for Conversions'!$H$34:$H$73,MATCH(CY$3,'Standards for Conversions'!$A$34:$A$73,0))))</f>
        <v/>
      </c>
      <c r="DB13" s="10" t="s">
        <v>399</v>
      </c>
      <c r="DC13" s="9"/>
      <c r="DD13" s="9"/>
      <c r="DE13" s="31" t="str">
        <f>IF(DD13/(INDEX('Standards for Conversions'!$H$34:$H$73,MATCH(DC$3,'Standards for Conversions'!$A$34:$A$73,0)))=0,"",DD13/(INDEX('Standards for Conversions'!$H$34:$H$73,MATCH(DC$3,'Standards for Conversions'!$A$34:$A$73,0))))</f>
        <v/>
      </c>
      <c r="DF13" s="10" t="s">
        <v>399</v>
      </c>
      <c r="DG13" s="7">
        <f>1.75*15230</f>
        <v>26652.5</v>
      </c>
      <c r="DH13" s="7">
        <v>40000</v>
      </c>
      <c r="DI13" s="31">
        <f>IF(DH13/(INDEX('Standards for Conversions'!$H$34:$H$73,MATCH(DG$3,'Standards for Conversions'!$A$34:$A$73,0)))=0,"",DH13/(INDEX('Standards for Conversions'!$H$34:$H$73,MATCH(DG$3,'Standards for Conversions'!$A$34:$A$73,0))))</f>
        <v>7080.1845253613747</v>
      </c>
      <c r="DJ13" s="10" t="s">
        <v>399</v>
      </c>
      <c r="DK13" s="7"/>
      <c r="DL13" s="7"/>
      <c r="DM13" s="31" t="str">
        <f>IF(DL13/(INDEX('Standards for Conversions'!$H$34:$H$73,MATCH(DK$3,'Standards for Conversions'!$A$34:$A$73,0)))=0,"",DL13/(INDEX('Standards for Conversions'!$H$34:$H$73,MATCH(DK$3,'Standards for Conversions'!$A$34:$A$73,0))))</f>
        <v/>
      </c>
      <c r="DN13" s="10" t="s">
        <v>399</v>
      </c>
      <c r="DO13" s="7"/>
      <c r="DP13" s="7"/>
      <c r="DQ13" s="31" t="str">
        <f>IF(DP13/(INDEX('Standards for Conversions'!$H$34:$H$73,MATCH(DO$3,'Standards for Conversions'!$A$34:$A$73,0)))=0,"",DP13/(INDEX('Standards for Conversions'!$H$34:$H$73,MATCH(DO$3,'Standards for Conversions'!$A$34:$A$73,0))))</f>
        <v/>
      </c>
      <c r="DR13" s="10" t="s">
        <v>399</v>
      </c>
      <c r="DS13" s="9">
        <f>1.75*23000</f>
        <v>40250</v>
      </c>
      <c r="DT13" s="9">
        <v>70000</v>
      </c>
      <c r="DU13" s="31">
        <f>IF(DT13/(INDEX('Standards for Conversions'!$H$34:$H$73,MATCH(DS$3,'Standards for Conversions'!$A$34:$A$73,0)))=0,"",DT13/(INDEX('Standards for Conversions'!$H$34:$H$73,MATCH(DS$3,'Standards for Conversions'!$A$34:$A$73,0))))</f>
        <v>12256.934275513455</v>
      </c>
      <c r="DV13" s="10" t="s">
        <v>399</v>
      </c>
      <c r="DW13" s="7">
        <f>1.75*200</f>
        <v>350</v>
      </c>
      <c r="DX13" s="7">
        <v>600</v>
      </c>
      <c r="DY13" s="31">
        <f>IF(DX13/(INDEX('Standards for Conversions'!$H$34:$H$73,MATCH(DW$3,'Standards for Conversions'!$A$34:$A$73,0)))=0,"",DX13/(INDEX('Standards for Conversions'!$H$34:$H$73,MATCH(DW$3,'Standards for Conversions'!$A$34:$A$73,0))))</f>
        <v>105.0594366472582</v>
      </c>
      <c r="DZ13" s="10" t="s">
        <v>399</v>
      </c>
      <c r="EA13" s="7"/>
      <c r="EB13" s="7"/>
      <c r="EC13" s="31" t="str">
        <f>IF(EB13/(INDEX('Standards for Conversions'!$H$34:$H$73,MATCH(EA$3,'Standards for Conversions'!$A$34:$A$73,0)))=0,"",EB13/(INDEX('Standards for Conversions'!$H$34:$H$73,MATCH(EA$3,'Standards for Conversions'!$A$34:$A$73,0))))</f>
        <v/>
      </c>
      <c r="ED13" s="10" t="s">
        <v>399</v>
      </c>
      <c r="EE13" s="7"/>
      <c r="EF13" s="7"/>
      <c r="EG13" s="31" t="str">
        <f>IF(EF13/(INDEX('Standards for Conversions'!$H$34:$H$73,MATCH(EE$3,'Standards for Conversions'!$A$34:$A$73,0)))=0,"",EF13/(INDEX('Standards for Conversions'!$H$34:$H$73,MATCH(EE$3,'Standards for Conversions'!$A$34:$A$73,0))))</f>
        <v/>
      </c>
      <c r="EH13" s="10" t="s">
        <v>399</v>
      </c>
      <c r="EI13" s="9">
        <f>1.75*23406</f>
        <v>40960.5</v>
      </c>
      <c r="EJ13" s="9">
        <v>59260</v>
      </c>
      <c r="EK13" s="31">
        <f>IF(EJ13/(INDEX('Standards for Conversions'!$H$34:$H$73,MATCH(EI$3,'Standards for Conversions'!$A$34:$A$73,0)))=0,"",EJ13/(INDEX('Standards for Conversions'!$H$34:$H$73,MATCH(EI$3,'Standards for Conversions'!$A$34:$A$73,0))))</f>
        <v>10363.823357883606</v>
      </c>
      <c r="EL13" s="10" t="s">
        <v>399</v>
      </c>
      <c r="EM13" s="7">
        <f>1.75*10</f>
        <v>17.5</v>
      </c>
      <c r="EN13" s="7">
        <v>30</v>
      </c>
      <c r="EO13" s="31">
        <f>IF(EN13/(INDEX('Standards for Conversions'!$H$34:$H$73,MATCH(EM$3,'Standards for Conversions'!$A$34:$A$73,0)))=0,"",EN13/(INDEX('Standards for Conversions'!$H$34:$H$73,MATCH(EM$3,'Standards for Conversions'!$A$34:$A$73,0))))</f>
        <v>5.2466199921786734</v>
      </c>
      <c r="EP13" s="10" t="s">
        <v>399</v>
      </c>
      <c r="EQ13" s="7"/>
      <c r="ER13" s="7"/>
      <c r="ES13" s="31" t="str">
        <f>IF(ER13/(INDEX('Standards for Conversions'!$H$34:$H$73,MATCH(EQ$3,'Standards for Conversions'!$A$34:$A$73,0)))=0,"",ER13/(INDEX('Standards for Conversions'!$H$34:$H$73,MATCH(EQ$3,'Standards for Conversions'!$A$34:$A$73,0))))</f>
        <v/>
      </c>
      <c r="ET13" s="10" t="s">
        <v>399</v>
      </c>
      <c r="EU13" s="7"/>
      <c r="EV13" s="7"/>
      <c r="EW13" s="31" t="str">
        <f>IF(EV13/(INDEX('Standards for Conversions'!$H$34:$H$73,MATCH(EU$3,'Standards for Conversions'!$A$34:$A$73,0)))=0,"",EV13/(INDEX('Standards for Conversions'!$H$34:$H$73,MATCH(EU$3,'Standards for Conversions'!$A$34:$A$73,0))))</f>
        <v/>
      </c>
      <c r="EX13" s="10" t="s">
        <v>399</v>
      </c>
      <c r="EY13" s="9">
        <f>1.75*16781</f>
        <v>29366.75</v>
      </c>
      <c r="EZ13" s="9">
        <v>41955</v>
      </c>
      <c r="FA13" s="31">
        <f>IF(EZ13/(INDEX('Standards for Conversions'!$H$34:$H$73,MATCH(EY$3,'Standards for Conversions'!$A$34:$A$73,0)))=0,"",EZ13/(INDEX('Standards for Conversions'!$H$34:$H$73,MATCH(EY$3,'Standards for Conversions'!$A$34:$A$73,0))))</f>
        <v>7186.3862346017631</v>
      </c>
      <c r="FB13" s="10" t="s">
        <v>399</v>
      </c>
      <c r="FC13" s="7">
        <f>1.75*344</f>
        <v>602</v>
      </c>
      <c r="FD13" s="7">
        <v>6035</v>
      </c>
      <c r="FE13" s="31">
        <f>IF(FD13/(INDEX('Standards for Conversions'!$H$34:$H$73,MATCH(FC$3,'Standards for Conversions'!$A$34:$A$73,0)))=0,"",FD13/(INDEX('Standards for Conversions'!$H$34:$H$73,MATCH(FC$3,'Standards for Conversions'!$A$34:$A$73,0))))</f>
        <v>1033.7228203032212</v>
      </c>
      <c r="FF13" s="10" t="s">
        <v>399</v>
      </c>
      <c r="FG13" s="7"/>
      <c r="FH13" s="7"/>
      <c r="FI13" s="31" t="str">
        <f>IF(FH13/(INDEX('Standards for Conversions'!$H$34:$H$73,MATCH(FG$3,'Standards for Conversions'!$A$34:$A$73,0)))=0,"",FH13/(INDEX('Standards for Conversions'!$H$34:$H$73,MATCH(FG$3,'Standards for Conversions'!$A$34:$A$73,0))))</f>
        <v/>
      </c>
      <c r="FJ13" s="10" t="s">
        <v>399</v>
      </c>
      <c r="FK13" s="7"/>
      <c r="FL13" s="7"/>
      <c r="FM13" s="31" t="str">
        <f>IF(FL13/(INDEX('Standards for Conversions'!$H$34:$H$73,MATCH(FK$3,'Standards for Conversions'!$A$34:$A$73,0)))=0,"",FL13/(INDEX('Standards for Conversions'!$H$34:$H$73,MATCH(FK$3,'Standards for Conversions'!$A$34:$A$73,0))))</f>
        <v/>
      </c>
      <c r="FN13" s="10" t="s">
        <v>399</v>
      </c>
      <c r="FO13" s="9">
        <f>1.75*15000</f>
        <v>26250</v>
      </c>
      <c r="FP13" s="9">
        <v>40000</v>
      </c>
      <c r="FQ13" s="31">
        <f>IF(FP13/(INDEX('Standards for Conversions'!$H$34:$H$73,MATCH(FO$3,'Standards for Conversions'!$A$34:$A$73,0)))=0,"",FP13/(INDEX('Standards for Conversions'!$H$34:$H$73,MATCH(FO$3,'Standards for Conversions'!$A$34:$A$73,0))))</f>
        <v>6859.9873989745365</v>
      </c>
      <c r="FR13" s="10" t="s">
        <v>399</v>
      </c>
      <c r="FS13" s="7">
        <f>1.75*1000</f>
        <v>1750</v>
      </c>
      <c r="FT13" s="7">
        <v>3000</v>
      </c>
      <c r="FU13" s="31">
        <f>IF(FT13/(INDEX('Standards for Conversions'!$H$34:$H$73,MATCH(FS$3,'Standards for Conversions'!$A$34:$A$73,0)))=0,"",FT13/(INDEX('Standards for Conversions'!$H$34:$H$73,MATCH(FS$3,'Standards for Conversions'!$A$34:$A$73,0))))</f>
        <v>514.49905492309017</v>
      </c>
      <c r="FV13" s="10" t="s">
        <v>399</v>
      </c>
      <c r="FW13" s="7"/>
      <c r="FX13" s="7"/>
      <c r="FY13" s="31" t="str">
        <f>IF(FX13/(INDEX('Standards for Conversions'!$H$34:$H$73,MATCH(FW$3,'Standards for Conversions'!$A$34:$A$73,0)))=0,"",FX13/(INDEX('Standards for Conversions'!$H$34:$H$73,MATCH(FW$3,'Standards for Conversions'!$A$34:$A$73,0))))</f>
        <v/>
      </c>
      <c r="FZ13" s="10" t="s">
        <v>399</v>
      </c>
      <c r="GA13" s="7"/>
      <c r="GB13" s="7"/>
      <c r="GC13" s="31" t="str">
        <f>IF(GB13/(INDEX('Standards for Conversions'!$H$34:$H$73,MATCH(GA$3,'Standards for Conversions'!$A$34:$A$73,0)))=0,"",GB13/(INDEX('Standards for Conversions'!$H$34:$H$73,MATCH(GA$3,'Standards for Conversions'!$A$34:$A$73,0))))</f>
        <v/>
      </c>
      <c r="GD13" s="10" t="s">
        <v>399</v>
      </c>
      <c r="GE13" s="9">
        <f>1.75*18834</f>
        <v>32959.5</v>
      </c>
      <c r="GF13" s="9">
        <v>45880</v>
      </c>
      <c r="GG13" s="31">
        <f>IF(GF13/(INDEX('Standards for Conversions'!$H$34:$H$73,MATCH(GE$3,'Standards for Conversions'!$A$34:$A$73,0)))=0,"",GF13/(INDEX('Standards for Conversions'!$H$34:$H$73,MATCH(GE$3,'Standards for Conversions'!$A$34:$A$73,0))))</f>
        <v>7547.8408762057879</v>
      </c>
      <c r="GH13" s="10" t="s">
        <v>399</v>
      </c>
      <c r="GI13" s="7">
        <f>1.75*1500</f>
        <v>2625</v>
      </c>
      <c r="GJ13" s="7">
        <v>4500</v>
      </c>
      <c r="GK13" s="31">
        <f>IF(GJ13/(INDEX('Standards for Conversions'!$H$34:$H$73,MATCH(GI$3,'Standards for Conversions'!$A$34:$A$73,0)))=0,"",GJ13/(INDEX('Standards for Conversions'!$H$34:$H$73,MATCH(GI$3,'Standards for Conversions'!$A$34:$A$73,0))))</f>
        <v>740.3069734726688</v>
      </c>
      <c r="GL13" s="10" t="s">
        <v>399</v>
      </c>
      <c r="GM13" s="7"/>
      <c r="GN13" s="7"/>
      <c r="GO13" s="31" t="str">
        <f>IF(GN13/(INDEX('Standards for Conversions'!$H$34:$H$73,MATCH(GM$3,'Standards for Conversions'!$A$34:$A$73,0)))=0,"",GN13/(INDEX('Standards for Conversions'!$H$34:$H$73,MATCH(GM$3,'Standards for Conversions'!$A$34:$A$73,0))))</f>
        <v/>
      </c>
      <c r="GP13" s="10" t="s">
        <v>399</v>
      </c>
      <c r="GQ13" s="7"/>
      <c r="GR13" s="7"/>
      <c r="GS13" s="31" t="str">
        <f>IF(GR13/(INDEX('Standards for Conversions'!$H$34:$H$73,MATCH(GQ$3,'Standards for Conversions'!$A$34:$A$73,0)))=0,"",GR13/(INDEX('Standards for Conversions'!$H$34:$H$73,MATCH(GQ$3,'Standards for Conversions'!$A$34:$A$73,0))))</f>
        <v/>
      </c>
      <c r="GT13" s="10" t="s">
        <v>399</v>
      </c>
      <c r="GU13" s="9">
        <f>1.75*9000</f>
        <v>15750</v>
      </c>
      <c r="GV13" s="9">
        <v>27000</v>
      </c>
      <c r="GW13" s="31">
        <f>IF(GV13/(INDEX('Standards for Conversions'!$H$34:$H$73,MATCH(GU$3,'Standards for Conversions'!$A$34:$A$73,0)))=0,"",GV13/(INDEX('Standards for Conversions'!$H$34:$H$73,MATCH(GU$3,'Standards for Conversions'!$A$34:$A$73,0))))</f>
        <v>4150.2923763795952</v>
      </c>
      <c r="GX13" s="10" t="s">
        <v>399</v>
      </c>
      <c r="GY13" s="7">
        <f>1.75*2200</f>
        <v>3850</v>
      </c>
      <c r="GZ13" s="7">
        <v>9000</v>
      </c>
      <c r="HA13" s="31">
        <f>IF(GZ13/(INDEX('Standards for Conversions'!$H$34:$H$73,MATCH(GY$3,'Standards for Conversions'!$A$34:$A$73,0)))=0,"",GZ13/(INDEX('Standards for Conversions'!$H$34:$H$73,MATCH(GY$3,'Standards for Conversions'!$A$34:$A$73,0))))</f>
        <v>1383.4307921265317</v>
      </c>
      <c r="HB13" s="10" t="s">
        <v>399</v>
      </c>
      <c r="HC13" s="7"/>
      <c r="HD13" s="7"/>
      <c r="HE13" s="31" t="str">
        <f>IF(HD13/(INDEX('Standards for Conversions'!$H$34:$H$73,MATCH(HC$3,'Standards for Conversions'!$A$34:$A$73,0)))=0,"",HD13/(INDEX('Standards for Conversions'!$H$34:$H$73,MATCH(HC$3,'Standards for Conversions'!$A$34:$A$73,0))))</f>
        <v/>
      </c>
      <c r="HF13" s="10" t="s">
        <v>399</v>
      </c>
      <c r="HG13" s="7"/>
      <c r="HH13" s="7"/>
      <c r="HI13" s="31" t="str">
        <f>IF(HH13/(INDEX('Standards for Conversions'!$H$34:$H$73,MATCH(HG$3,'Standards for Conversions'!$A$34:$A$73,0)))=0,"",HH13/(INDEX('Standards for Conversions'!$H$34:$H$73,MATCH(HG$3,'Standards for Conversions'!$A$34:$A$73,0))))</f>
        <v/>
      </c>
      <c r="HJ13" s="10" t="s">
        <v>399</v>
      </c>
      <c r="HK13" s="9">
        <f>1.75*8000</f>
        <v>14000</v>
      </c>
      <c r="HL13" s="9">
        <v>24000</v>
      </c>
      <c r="HM13" s="31">
        <f>IF(HL13/(INDEX('Standards for Conversions'!$H$34:$H$73,MATCH(HK$3,'Standards for Conversions'!$A$34:$A$73,0)))=0,"",HL13/(INDEX('Standards for Conversions'!$H$34:$H$73,MATCH(HK$3,'Standards for Conversions'!$A$34:$A$73,0))))</f>
        <v>3633.2525853828097</v>
      </c>
      <c r="HN13" s="10" t="s">
        <v>399</v>
      </c>
      <c r="HO13" s="7">
        <f>1.75*3000</f>
        <v>5250</v>
      </c>
      <c r="HP13" s="7">
        <v>10000</v>
      </c>
      <c r="HQ13" s="31">
        <f>IF(HP13/(INDEX('Standards for Conversions'!$H$34:$H$73,MATCH(HO$3,'Standards for Conversions'!$A$34:$A$73,0)))=0,"",HP13/(INDEX('Standards for Conversions'!$H$34:$H$73,MATCH(HO$3,'Standards for Conversions'!$A$34:$A$73,0))))</f>
        <v>1513.855243909504</v>
      </c>
      <c r="HR13" s="33" t="s">
        <v>98</v>
      </c>
      <c r="HU13" s="31" t="str">
        <f>IF(HT13/(INDEX('Standards for Conversions'!$H$47:$H$73,MATCH(HS$3,'Standards for Conversions'!$A$47:$A$73,0)))=0,"",HT13/(INDEX('Standards for Conversions'!$H$47:$H$73,MATCH(HS$3,'Standards for Conversions'!$A$47:$A$73,0))))</f>
        <v/>
      </c>
      <c r="HV13" s="33" t="s">
        <v>98</v>
      </c>
      <c r="HY13" s="31" t="str">
        <f>IF(HX13/(INDEX('Standards for Conversions'!$H$47:$H$73,MATCH(HW$3,'Standards for Conversions'!$A$47:$A$73,0)))=0,"",HX13/(INDEX('Standards for Conversions'!$H$47:$H$73,MATCH(HW$3,'Standards for Conversions'!$A$47:$A$73,0))))</f>
        <v/>
      </c>
      <c r="HZ13" s="33">
        <v>17500</v>
      </c>
      <c r="IA13" s="33">
        <v>28000</v>
      </c>
      <c r="IB13" s="31">
        <f>IF(IA13/(INDEX('Standards for Conversions'!$H$47:$H$73,MATCH(HZ$3,'Standards for Conversions'!$A$47:$A$73,0)))=0,"",IA13/(INDEX('Standards for Conversions'!$H$47:$H$73,MATCH(HZ$3,'Standards for Conversions'!$A$47:$A$73,0))))</f>
        <v>4066.8715419599666</v>
      </c>
      <c r="IC13" s="33" t="s">
        <v>98</v>
      </c>
      <c r="ID13" s="33">
        <v>7000</v>
      </c>
      <c r="IE13" s="33">
        <v>12000</v>
      </c>
      <c r="IF13" s="31">
        <f>IF(IE13/(INDEX('Standards for Conversions'!$H$47:$H$73,MATCH(ID$3,'Standards for Conversions'!$A$47:$A$73,0)))=0,"",IE13/(INDEX('Standards for Conversions'!$H$47:$H$73,MATCH(ID$3,'Standards for Conversions'!$A$47:$A$73,0))))</f>
        <v>1742.9449465542716</v>
      </c>
      <c r="IG13" s="33" t="s">
        <v>98</v>
      </c>
      <c r="IJ13" s="31" t="str">
        <f>IF(II13/(INDEX('Standards for Conversions'!$H$47:$H$73,MATCH(IH$3,'Standards for Conversions'!$A$47:$A$73,0)))=0,"",II13/(INDEX('Standards for Conversions'!$H$47:$H$73,MATCH(IH$3,'Standards for Conversions'!$A$47:$A$73,0))))</f>
        <v/>
      </c>
      <c r="IK13" s="33" t="s">
        <v>98</v>
      </c>
      <c r="IN13" s="31" t="str">
        <f>IF(IM13/(INDEX('Standards for Conversions'!$H$47:$H$73,MATCH(IL$3,'Standards for Conversions'!$A$47:$A$73,0)))=0,"",IM13/(INDEX('Standards for Conversions'!$H$47:$H$73,MATCH(IL$3,'Standards for Conversions'!$A$47:$A$73,0))))</f>
        <v/>
      </c>
      <c r="IO13" s="33" t="s">
        <v>98</v>
      </c>
      <c r="IP13" s="33">
        <v>8050</v>
      </c>
      <c r="IQ13" s="33">
        <v>13860</v>
      </c>
      <c r="IR13" s="31">
        <f>IF(IQ13/(INDEX('Standards for Conversions'!$H$47:$H$73,MATCH(IP$3,'Standards for Conversions'!$A$47:$A$73,0)))=0,"",IQ13/(INDEX('Standards for Conversions'!$H$47:$H$73,MATCH(IP$3,'Standards for Conversions'!$A$47:$A$73,0))))</f>
        <v>2004.2977627748326</v>
      </c>
      <c r="IS13" s="33" t="s">
        <v>98</v>
      </c>
      <c r="IT13" s="33">
        <v>19839.75</v>
      </c>
      <c r="IU13" s="33">
        <v>34021</v>
      </c>
      <c r="IV13" s="31">
        <f>IF(IU13/(INDEX('Standards for Conversions'!$H$47:$H$73,MATCH(IT$3,'Standards for Conversions'!$A$47:$A$73,0)))=0,"",IU13/(INDEX('Standards for Conversions'!$H$47:$H$73,MATCH(IT$3,'Standards for Conversions'!$A$47:$A$73,0))))</f>
        <v>4919.7845734027833</v>
      </c>
      <c r="IW13" s="33" t="s">
        <v>98</v>
      </c>
      <c r="IZ13" s="31" t="str">
        <f>IF(IY13/(INDEX('Standards for Conversions'!$H$47:$H$73,MATCH(IX$3,'Standards for Conversions'!$A$47:$A$73,0)))=0,"",IY13/(INDEX('Standards for Conversions'!$H$47:$H$73,MATCH(IX$3,'Standards for Conversions'!$A$47:$A$73,0))))</f>
        <v/>
      </c>
      <c r="JA13" s="33" t="s">
        <v>98</v>
      </c>
      <c r="JD13" s="31" t="str">
        <f>IF(JC13/(INDEX('Standards for Conversions'!$H$47:$H$73,MATCH(JB$3,'Standards for Conversions'!$A$47:$A$73,0)))=0,"",JC13/(INDEX('Standards for Conversions'!$H$47:$H$73,MATCH(JB$3,'Standards for Conversions'!$A$47:$A$73,0))))</f>
        <v/>
      </c>
      <c r="JE13" s="33" t="s">
        <v>98</v>
      </c>
      <c r="JF13" s="33">
        <v>8750</v>
      </c>
      <c r="JG13" s="33">
        <v>17500</v>
      </c>
      <c r="JH13" s="31">
        <f>IF(JG13/(INDEX('Standards for Conversions'!$H$47:$H$73,MATCH(JF$3,'Standards for Conversions'!$A$47:$A$73,0)))=0,"",JG13/(INDEX('Standards for Conversions'!$H$47:$H$73,MATCH(JF$3,'Standards for Conversions'!$A$47:$A$73,0))))</f>
        <v>2830.8034421077023</v>
      </c>
      <c r="JI13" s="33" t="s">
        <v>98</v>
      </c>
      <c r="JJ13" s="33">
        <v>1155</v>
      </c>
      <c r="JK13" s="33">
        <v>2030</v>
      </c>
      <c r="JL13" s="31">
        <f>IF(JK13/(INDEX('Standards for Conversions'!$H$47:$H$73,MATCH(JJ$3,'Standards for Conversions'!$A$47:$A$73,0)))=0,"",JK13/(INDEX('Standards for Conversions'!$H$47:$H$73,MATCH(JJ$3,'Standards for Conversions'!$A$47:$A$73,0))))</f>
        <v>328.37319928449347</v>
      </c>
      <c r="JM13" s="33" t="s">
        <v>98</v>
      </c>
      <c r="JP13" s="31" t="str">
        <f>IF(JO13/(INDEX('Standards for Conversions'!$H$47:$H$73,MATCH(JN$3,'Standards for Conversions'!$A$47:$A$73,0)))=0,"",JO13/(INDEX('Standards for Conversions'!$H$47:$H$73,MATCH(JN$3,'Standards for Conversions'!$A$47:$A$73,0))))</f>
        <v/>
      </c>
      <c r="JQ13" s="33" t="s">
        <v>98</v>
      </c>
      <c r="JT13" s="31" t="str">
        <f>IF(JS13/(INDEX('Standards for Conversions'!$H$47:$H$73,MATCH(JR$3,'Standards for Conversions'!$A$47:$A$73,0)))=0,"",JS13/(INDEX('Standards for Conversions'!$H$47:$H$73,MATCH(JR$3,'Standards for Conversions'!$A$47:$A$73,0))))</f>
        <v/>
      </c>
      <c r="JU13" s="33" t="s">
        <v>98</v>
      </c>
      <c r="JV13" s="33">
        <v>10500</v>
      </c>
      <c r="JW13" s="33">
        <v>19000</v>
      </c>
      <c r="JX13" s="31">
        <f>IF(JW13/(INDEX('Standards for Conversions'!$H$47:$H$73,MATCH(JV$3,'Standards for Conversions'!$A$47:$A$73,0)))=0,"",JW13/(INDEX('Standards for Conversions'!$H$47:$H$73,MATCH(JV$3,'Standards for Conversions'!$A$47:$A$73,0))))</f>
        <v>2900.4619561281538</v>
      </c>
      <c r="JY13" s="33" t="s">
        <v>98</v>
      </c>
      <c r="JZ13" s="33">
        <v>1400</v>
      </c>
      <c r="KA13" s="33">
        <v>2500</v>
      </c>
      <c r="KB13" s="31">
        <f>IF(KA13/(INDEX('Standards for Conversions'!$H$47:$H$73,MATCH(JZ$3,'Standards for Conversions'!$A$47:$A$73,0)))=0,"",KA13/(INDEX('Standards for Conversions'!$H$47:$H$73,MATCH(JZ$3,'Standards for Conversions'!$A$47:$A$73,0))))</f>
        <v>381.63973106949391</v>
      </c>
      <c r="KC13" s="33" t="s">
        <v>98</v>
      </c>
      <c r="KF13" s="31" t="str">
        <f>IF(KE13/(INDEX('Standards for Conversions'!$H$47:$H$73,MATCH(KD$3,'Standards for Conversions'!$A$47:$A$73,0)))=0,"",KE13/(INDEX('Standards for Conversions'!$H$47:$H$73,MATCH(KD$3,'Standards for Conversions'!$A$47:$A$73,0))))</f>
        <v/>
      </c>
      <c r="KG13" s="33" t="s">
        <v>98</v>
      </c>
      <c r="KJ13" s="31" t="str">
        <f>IF(KI13/(INDEX('Standards for Conversions'!$H$47:$H$73,MATCH(KH$3,'Standards for Conversions'!$A$47:$A$73,0)))=0,"",KI13/(INDEX('Standards for Conversions'!$H$47:$H$73,MATCH(KH$3,'Standards for Conversions'!$A$47:$A$73,0))))</f>
        <v/>
      </c>
      <c r="KK13" s="33" t="s">
        <v>98</v>
      </c>
      <c r="KL13" s="33">
        <v>8750</v>
      </c>
      <c r="KM13" s="33">
        <v>18000</v>
      </c>
      <c r="KN13" s="31">
        <f>IF(KM13/(INDEX('Standards for Conversions'!$H$47:$H$73,MATCH(KL$3,'Standards for Conversions'!$A$47:$A$73,0)))=0,"",KM13/(INDEX('Standards for Conversions'!$H$47:$H$73,MATCH(KL$3,'Standards for Conversions'!$A$47:$A$73,0))))</f>
        <v>2423.8622143043362</v>
      </c>
      <c r="KO13" s="33" t="s">
        <v>98</v>
      </c>
      <c r="KP13" s="33">
        <v>3885</v>
      </c>
      <c r="KQ13" s="33">
        <v>9200</v>
      </c>
      <c r="KR13" s="31">
        <f>IF(KQ13/(INDEX('Standards for Conversions'!$H$47:$H$73,MATCH(KP$3,'Standards for Conversions'!$A$47:$A$73,0)))=0,"",KQ13/(INDEX('Standards for Conversions'!$H$47:$H$73,MATCH(KP$3,'Standards for Conversions'!$A$47:$A$73,0))))</f>
        <v>1238.8629095333274</v>
      </c>
      <c r="KS13" s="33" t="s">
        <v>98</v>
      </c>
      <c r="KV13" s="31" t="str">
        <f>IF(KU13/(INDEX('Standards for Conversions'!$H$47:$H$73,MATCH(KT$3,'Standards for Conversions'!$A$47:$A$73,0)))=0,"",KU13/(INDEX('Standards for Conversions'!$H$47:$H$73,MATCH(KT$3,'Standards for Conversions'!$A$47:$A$73,0))))</f>
        <v/>
      </c>
      <c r="KW13" s="33" t="s">
        <v>98</v>
      </c>
      <c r="KZ13" s="31" t="str">
        <f>IF(KY13/(INDEX('Standards for Conversions'!$H$47:$H$73,MATCH(KX$3,'Standards for Conversions'!$A$47:$A$73,0)))=0,"",KY13/(INDEX('Standards for Conversions'!$H$47:$H$73,MATCH(KX$3,'Standards for Conversions'!$A$47:$A$73,0))))</f>
        <v/>
      </c>
      <c r="LA13" s="33" t="s">
        <v>98</v>
      </c>
      <c r="LB13" s="33">
        <v>24069.5</v>
      </c>
      <c r="LC13" s="33">
        <v>45000</v>
      </c>
      <c r="LD13" s="31">
        <f>IF(LC13/(INDEX('Standards for Conversions'!$H$47:$H$73,MATCH(LB$3,'Standards for Conversions'!$A$47:$A$73,0)))=0,"",LC13/(INDEX('Standards for Conversions'!$H$47:$H$73,MATCH(LB$3,'Standards for Conversions'!$A$47:$A$73,0))))</f>
        <v>5472.7455027374626</v>
      </c>
      <c r="LE13" s="33" t="s">
        <v>98</v>
      </c>
      <c r="LF13" s="33">
        <v>6335</v>
      </c>
      <c r="LG13" s="33">
        <v>13900</v>
      </c>
      <c r="LH13" s="31">
        <f>IF(LG13/(INDEX('Standards for Conversions'!$H$47:$H$73,MATCH(LF$3,'Standards for Conversions'!$A$47:$A$73,0)))=0,"",LG13/(INDEX('Standards for Conversions'!$H$47:$H$73,MATCH(LF$3,'Standards for Conversions'!$A$47:$A$73,0))))</f>
        <v>1690.4702775122387</v>
      </c>
      <c r="LL13" s="31" t="str">
        <f>IF(LK13/(INDEX('Standards for Conversions'!$H$47:$H$73,MATCH(LJ$3,'Standards for Conversions'!$A$47:$A$73,0)))=0,"",LK13/(INDEX('Standards for Conversions'!$H$47:$H$73,MATCH(LJ$3,'Standards for Conversions'!$A$47:$A$73,0))))</f>
        <v/>
      </c>
      <c r="LO13" s="31" t="str">
        <f>IF(LN13/(INDEX('Standards for Conversions'!$H$47:$H$73,MATCH(LM$3,'Standards for Conversions'!$A$47:$A$73,0)))=0,"",LN13/(INDEX('Standards for Conversions'!$H$47:$H$73,MATCH(LM$3,'Standards for Conversions'!$A$47:$A$73,0))))</f>
        <v/>
      </c>
      <c r="LR13" s="31" t="str">
        <f>IF(LQ13/(INDEX('Standards for Conversions'!$H$47:$H$73,MATCH(LP$3,'Standards for Conversions'!$A$47:$A$73,0)))=0,"",LQ13/(INDEX('Standards for Conversions'!$H$47:$H$73,MATCH(LP$3,'Standards for Conversions'!$A$47:$A$73,0))))</f>
        <v/>
      </c>
      <c r="LV13" s="31" t="str">
        <f>IF(LU13/(INDEX('Standards for Conversions'!$H$47:$H$73,MATCH(LT$3,'Standards for Conversions'!$A$47:$A$73,0)))=0,"",LU13/(INDEX('Standards for Conversions'!$H$47:$H$73,MATCH(LT$3,'Standards for Conversions'!$A$47:$A$73,0))))</f>
        <v/>
      </c>
      <c r="LY13" s="31" t="str">
        <f>IF(LX13/(INDEX('Standards for Conversions'!$H$47:$H$73,MATCH(LW$3,'Standards for Conversions'!$A$47:$A$73,0)))=0,"",LX13/(INDEX('Standards for Conversions'!$H$47:$H$73,MATCH(LW$3,'Standards for Conversions'!$A$47:$A$73,0))))</f>
        <v/>
      </c>
      <c r="MB13" s="31" t="str">
        <f>IF(MA13/(INDEX('Standards for Conversions'!$H$47:$H$73,MATCH(LZ$3,'Standards for Conversions'!$A$47:$A$73,0)))=0,"",MA13/(INDEX('Standards for Conversions'!$H$47:$H$73,MATCH(LZ$3,'Standards for Conversions'!$A$47:$A$73,0))))</f>
        <v/>
      </c>
      <c r="ME13" s="31" t="str">
        <f>IF(MD13/(INDEX('Standards for Conversions'!$H$47:$H$73,MATCH(MC$3,'Standards for Conversions'!$A$47:$A$73,0)))=0,"",MD13/(INDEX('Standards for Conversions'!$H$47:$H$73,MATCH(MC$3,'Standards for Conversions'!$A$47:$A$73,0))))</f>
        <v/>
      </c>
      <c r="MH13" s="31" t="str">
        <f>IF(MG13/(INDEX('Standards for Conversions'!$H$47:$H$73,MATCH(MF$3,'Standards for Conversions'!$A$47:$A$73,0)))=0,"",MG13/(INDEX('Standards for Conversions'!$H$47:$H$73,MATCH(MF$3,'Standards for Conversions'!$A$47:$A$73,0))))</f>
        <v/>
      </c>
      <c r="MK13" s="31" t="str">
        <f>IF(MJ13/(INDEX('Standards for Conversions'!$H$47:$H$73,MATCH(MI$3,'Standards for Conversions'!$A$47:$A$73,0)))=0,"",MJ13/(INDEX('Standards for Conversions'!$H$47:$H$73,MATCH(MI$3,'Standards for Conversions'!$A$47:$A$73,0))))</f>
        <v/>
      </c>
      <c r="MN13" s="31" t="str">
        <f>IF(MM13/(INDEX('Standards for Conversions'!$H$47:$H$73,MATCH(ML$3,'Standards for Conversions'!$A$47:$A$73,0)))=0,"",MM13/(INDEX('Standards for Conversions'!$H$47:$H$73,MATCH(ML$3,'Standards for Conversions'!$A$47:$A$73,0))))</f>
        <v/>
      </c>
      <c r="MR13" s="31" t="str">
        <f>IF(MQ13/(INDEX('Standards for Conversions'!$H$47:$H$73,MATCH(MP$3,'Standards for Conversions'!$A$47:$A$73,0)))=0,"",MQ13/(INDEX('Standards for Conversions'!$H$47:$H$73,MATCH(MP$3,'Standards for Conversions'!$A$47:$A$73,0))))</f>
        <v/>
      </c>
      <c r="NE13" s="33" t="s">
        <v>98</v>
      </c>
      <c r="NF13" s="33">
        <v>4755</v>
      </c>
      <c r="NG13" s="33">
        <v>1790</v>
      </c>
      <c r="NH13" s="33">
        <v>837</v>
      </c>
      <c r="NI13" s="33">
        <v>209</v>
      </c>
    </row>
    <row r="14" spans="1:373" s="33" customFormat="1" x14ac:dyDescent="0.3">
      <c r="A14" s="102" t="s">
        <v>156</v>
      </c>
      <c r="B14" s="10" t="s">
        <v>399</v>
      </c>
      <c r="C14" s="9"/>
      <c r="D14" s="9"/>
      <c r="E14" s="31" t="str">
        <f>IF(D14/(INDEX('Standards for Conversions'!$H$34:$H$73,MATCH(C$3,'Standards for Conversions'!$A$34:$A$73,0)))=0,"",D14/(INDEX('Standards for Conversions'!$H$34:$H$73,MATCH(C$3,'Standards for Conversions'!$A$34:$A$73,0))))</f>
        <v/>
      </c>
      <c r="F14" s="10" t="s">
        <v>399</v>
      </c>
      <c r="G14" s="9"/>
      <c r="H14" s="9"/>
      <c r="I14" s="31" t="str">
        <f>IF(H14/(INDEX('Standards for Conversions'!$H$34:$H$73,MATCH(G$3,'Standards for Conversions'!$A$34:$A$73,0)))=0,"",H14/(INDEX('Standards for Conversions'!$H$34:$H$73,MATCH(G$3,'Standards for Conversions'!$A$34:$A$73,0))))</f>
        <v/>
      </c>
      <c r="J14" s="10" t="s">
        <v>399</v>
      </c>
      <c r="K14" s="9"/>
      <c r="L14" s="9"/>
      <c r="M14" s="31" t="str">
        <f>IF(L14/(INDEX('Standards for Conversions'!$H$34:$H$73,MATCH(K$3,'Standards for Conversions'!$A$34:$A$73,0)))=0,"",L14/(INDEX('Standards for Conversions'!$H$34:$H$73,MATCH(K$3,'Standards for Conversions'!$A$34:$A$73,0))))</f>
        <v/>
      </c>
      <c r="N14" s="10" t="s">
        <v>399</v>
      </c>
      <c r="O14" s="9"/>
      <c r="P14" s="9"/>
      <c r="Q14" s="31" t="str">
        <f>IF(P14/(INDEX('Standards for Conversions'!$H$34:$H$73,MATCH(O$3,'Standards for Conversions'!$A$34:$A$73,0)))=0,"",P14/(INDEX('Standards for Conversions'!$H$34:$H$73,MATCH(O$3,'Standards for Conversions'!$A$34:$A$73,0))))</f>
        <v/>
      </c>
      <c r="R14" s="10" t="s">
        <v>399</v>
      </c>
      <c r="S14" s="9"/>
      <c r="T14" s="9"/>
      <c r="U14" s="31" t="str">
        <f>IF(T14/(INDEX('Standards for Conversions'!$H$34:$H$73,MATCH(S$3,'Standards for Conversions'!$A$34:$A$73,0)))=0,"",T14/(INDEX('Standards for Conversions'!$H$34:$H$73,MATCH(S$3,'Standards for Conversions'!$A$34:$A$73,0))))</f>
        <v/>
      </c>
      <c r="V14" s="10" t="s">
        <v>399</v>
      </c>
      <c r="W14" s="9"/>
      <c r="X14" s="9"/>
      <c r="Y14" s="31" t="str">
        <f>IF(X14/(INDEX('Standards for Conversions'!$H$34:$H$73,MATCH(W$3,'Standards for Conversions'!$A$34:$A$73,0)))=0,"",X14/(INDEX('Standards for Conversions'!$H$34:$H$73,MATCH(W$3,'Standards for Conversions'!$A$34:$A$73,0))))</f>
        <v/>
      </c>
      <c r="Z14" s="10" t="s">
        <v>399</v>
      </c>
      <c r="AA14" s="9"/>
      <c r="AB14" s="9"/>
      <c r="AC14" s="31" t="str">
        <f>IF(AB14/(INDEX('Standards for Conversions'!$H$34:$H$73,MATCH(AA$3,'Standards for Conversions'!$A$34:$A$73,0)))=0,"",AB14/(INDEX('Standards for Conversions'!$H$34:$H$73,MATCH(AA$3,'Standards for Conversions'!$A$34:$A$73,0))))</f>
        <v/>
      </c>
      <c r="AD14" s="10" t="s">
        <v>399</v>
      </c>
      <c r="AE14" s="9"/>
      <c r="AF14" s="9"/>
      <c r="AG14" s="31" t="str">
        <f>IF(AF14/(INDEX('Standards for Conversions'!$H$34:$H$73,MATCH(AE$3,'Standards for Conversions'!$A$34:$A$73,0)))=0,"",AF14/(INDEX('Standards for Conversions'!$H$34:$H$73,MATCH(AE$3,'Standards for Conversions'!$A$34:$A$73,0))))</f>
        <v/>
      </c>
      <c r="AH14" s="10" t="s">
        <v>399</v>
      </c>
      <c r="AI14" s="9"/>
      <c r="AJ14" s="9"/>
      <c r="AK14" s="31" t="str">
        <f>IF(AJ14/(INDEX('Standards for Conversions'!$H$34:$H$73,MATCH(AI$3,'Standards for Conversions'!$A$34:$A$73,0)))=0,"",AJ14/(INDEX('Standards for Conversions'!$H$34:$H$73,MATCH(AI$3,'Standards for Conversions'!$A$34:$A$73,0))))</f>
        <v/>
      </c>
      <c r="AL14" s="10" t="s">
        <v>399</v>
      </c>
      <c r="AM14" s="9"/>
      <c r="AN14" s="9"/>
      <c r="AO14" s="31" t="str">
        <f>IF(AN14/(INDEX('Standards for Conversions'!$H$34:$H$73,MATCH(AM$3,'Standards for Conversions'!$A$34:$A$73,0)))=0,"",AN14/(INDEX('Standards for Conversions'!$H$34:$H$73,MATCH(AM$3,'Standards for Conversions'!$A$34:$A$73,0))))</f>
        <v/>
      </c>
      <c r="AP14" s="10" t="s">
        <v>399</v>
      </c>
      <c r="AQ14" s="9"/>
      <c r="AR14" s="9"/>
      <c r="AS14" s="31" t="str">
        <f>IF(AR14/(INDEX('Standards for Conversions'!$H$34:$H$73,MATCH(AQ$3,'Standards for Conversions'!$A$34:$A$73,0)))=0,"",AR14/(INDEX('Standards for Conversions'!$H$34:$H$73,MATCH(AQ$3,'Standards for Conversions'!$A$34:$A$73,0))))</f>
        <v/>
      </c>
      <c r="AT14" s="10" t="s">
        <v>399</v>
      </c>
      <c r="AU14" s="9"/>
      <c r="AV14" s="9"/>
      <c r="AW14" s="31" t="str">
        <f>IF(AV14/(INDEX('Standards for Conversions'!$H$34:$H$73,MATCH(AU$3,'Standards for Conversions'!$A$34:$A$73,0)))=0,"",AV14/(INDEX('Standards for Conversions'!$H$34:$H$73,MATCH(AU$3,'Standards for Conversions'!$A$34:$A$73,0))))</f>
        <v/>
      </c>
      <c r="AX14" s="10" t="s">
        <v>399</v>
      </c>
      <c r="AY14" s="9"/>
      <c r="AZ14" s="9"/>
      <c r="BA14" s="31" t="str">
        <f>IF(AZ14/(INDEX('Standards for Conversions'!$H$34:$H$73,MATCH(AY$3,'Standards for Conversions'!$A$34:$A$73,0)))=0,"",AZ14/(INDEX('Standards for Conversions'!$H$34:$H$73,MATCH(AY$3,'Standards for Conversions'!$A$34:$A$73,0))))</f>
        <v/>
      </c>
      <c r="BB14" s="10" t="s">
        <v>399</v>
      </c>
      <c r="BC14" s="9"/>
      <c r="BD14" s="9"/>
      <c r="BE14" s="31" t="str">
        <f>IF(BD14/(INDEX('Standards for Conversions'!$H$34:$H$73,MATCH(BC$3,'Standards for Conversions'!$A$34:$A$73,0)))=0,"",BD14/(INDEX('Standards for Conversions'!$H$34:$H$73,MATCH(BC$3,'Standards for Conversions'!$A$34:$A$73,0))))</f>
        <v/>
      </c>
      <c r="BF14" s="10" t="s">
        <v>399</v>
      </c>
      <c r="BG14" s="9"/>
      <c r="BH14" s="9"/>
      <c r="BI14" s="31" t="str">
        <f>IF(BH14/(INDEX('Standards for Conversions'!$H$34:$H$73,MATCH(BG$3,'Standards for Conversions'!$A$34:$A$73,0)))=0,"",BH14/(INDEX('Standards for Conversions'!$H$34:$H$73,MATCH(BG$3,'Standards for Conversions'!$A$34:$A$73,0))))</f>
        <v/>
      </c>
      <c r="BJ14" s="10" t="s">
        <v>399</v>
      </c>
      <c r="BK14" s="9"/>
      <c r="BL14" s="9"/>
      <c r="BM14" s="31" t="str">
        <f>IF(BL14/(INDEX('Standards for Conversions'!$H$34:$H$73,MATCH(BK$3,'Standards for Conversions'!$A$34:$A$73,0)))=0,"",BL14/(INDEX('Standards for Conversions'!$H$34:$H$73,MATCH(BK$3,'Standards for Conversions'!$A$34:$A$73,0))))</f>
        <v/>
      </c>
      <c r="BN14" s="10" t="s">
        <v>399</v>
      </c>
      <c r="BO14" s="9"/>
      <c r="BP14" s="9"/>
      <c r="BQ14" s="31" t="str">
        <f>IF(BP14/(INDEX('Standards for Conversions'!$H$34:$H$73,MATCH(BO$3,'Standards for Conversions'!$A$34:$A$73,0)))=0,"",BP14/(INDEX('Standards for Conversions'!$H$34:$H$73,MATCH(BO$3,'Standards for Conversions'!$A$34:$A$73,0))))</f>
        <v/>
      </c>
      <c r="BR14" s="10" t="s">
        <v>399</v>
      </c>
      <c r="BS14" s="9"/>
      <c r="BT14" s="9"/>
      <c r="BU14" s="31" t="str">
        <f>IF(BT14/(INDEX('Standards for Conversions'!$H$34:$H$73,MATCH(BS$3,'Standards for Conversions'!$A$34:$A$73,0)))=0,"",BT14/(INDEX('Standards for Conversions'!$H$34:$H$73,MATCH(BS$3,'Standards for Conversions'!$A$34:$A$73,0))))</f>
        <v/>
      </c>
      <c r="BV14" s="10" t="s">
        <v>399</v>
      </c>
      <c r="BW14" s="9"/>
      <c r="BX14" s="9"/>
      <c r="BY14" s="31" t="str">
        <f>IF(BX14/(INDEX('Standards for Conversions'!$H$34:$H$73,MATCH(BW$3,'Standards for Conversions'!$A$34:$A$73,0)))=0,"",BX14/(INDEX('Standards for Conversions'!$H$34:$H$73,MATCH(BW$3,'Standards for Conversions'!$A$34:$A$73,0))))</f>
        <v/>
      </c>
      <c r="BZ14" s="10" t="s">
        <v>399</v>
      </c>
      <c r="CA14" s="9"/>
      <c r="CB14" s="9"/>
      <c r="CC14" s="31" t="str">
        <f>IF(CB14/(INDEX('Standards for Conversions'!$H$34:$H$73,MATCH(CA$3,'Standards for Conversions'!$A$34:$A$73,0)))=0,"",CB14/(INDEX('Standards for Conversions'!$H$34:$H$73,MATCH(CA$3,'Standards for Conversions'!$A$34:$A$73,0))))</f>
        <v/>
      </c>
      <c r="CD14" s="10" t="s">
        <v>399</v>
      </c>
      <c r="CE14" s="9"/>
      <c r="CF14" s="9"/>
      <c r="CG14" s="31" t="str">
        <f>IF(CF14/(INDEX('Standards for Conversions'!$H$34:$H$73,MATCH(CE$3,'Standards for Conversions'!$A$34:$A$73,0)))=0,"",CF14/(INDEX('Standards for Conversions'!$H$34:$H$73,MATCH(CE$3,'Standards for Conversions'!$A$34:$A$73,0))))</f>
        <v/>
      </c>
      <c r="CH14" s="10" t="s">
        <v>399</v>
      </c>
      <c r="CI14" s="9"/>
      <c r="CJ14" s="9"/>
      <c r="CK14" s="31" t="str">
        <f>IF(CJ14/(INDEX('Standards for Conversions'!$H$34:$H$73,MATCH(CI$3,'Standards for Conversions'!$A$34:$A$73,0)))=0,"",CJ14/(INDEX('Standards for Conversions'!$H$34:$H$73,MATCH(CI$3,'Standards for Conversions'!$A$34:$A$73,0))))</f>
        <v/>
      </c>
      <c r="CL14" s="10" t="s">
        <v>399</v>
      </c>
      <c r="CM14" s="9"/>
      <c r="CN14" s="9"/>
      <c r="CO14" s="31" t="str">
        <f>IF(CN14/(INDEX('Standards for Conversions'!$H$34:$H$73,MATCH(CM$3,'Standards for Conversions'!$A$34:$A$73,0)))=0,"",CN14/(INDEX('Standards for Conversions'!$H$34:$H$73,MATCH(CM$3,'Standards for Conversions'!$A$34:$A$73,0))))</f>
        <v/>
      </c>
      <c r="CP14" s="10" t="s">
        <v>399</v>
      </c>
      <c r="CQ14" s="9"/>
      <c r="CR14" s="9"/>
      <c r="CS14" s="31" t="str">
        <f>IF(CR14/(INDEX('Standards for Conversions'!$H$34:$H$73,MATCH(CQ$3,'Standards for Conversions'!$A$34:$A$73,0)))=0,"",CR14/(INDEX('Standards for Conversions'!$H$34:$H$73,MATCH(CQ$3,'Standards for Conversions'!$A$34:$A$73,0))))</f>
        <v/>
      </c>
      <c r="CT14" s="10" t="s">
        <v>399</v>
      </c>
      <c r="CU14" s="9"/>
      <c r="CV14" s="9"/>
      <c r="CW14" s="31" t="str">
        <f>IF(CV14/(INDEX('Standards for Conversions'!$H$34:$H$73,MATCH(CU$3,'Standards for Conversions'!$A$34:$A$73,0)))=0,"",CV14/(INDEX('Standards for Conversions'!$H$34:$H$73,MATCH(CU$3,'Standards for Conversions'!$A$34:$A$73,0))))</f>
        <v/>
      </c>
      <c r="CX14" s="10" t="s">
        <v>399</v>
      </c>
      <c r="CY14" s="9"/>
      <c r="CZ14" s="9"/>
      <c r="DA14" s="31" t="str">
        <f>IF(CZ14/(INDEX('Standards for Conversions'!$H$34:$H$73,MATCH(CY$3,'Standards for Conversions'!$A$34:$A$73,0)))=0,"",CZ14/(INDEX('Standards for Conversions'!$H$34:$H$73,MATCH(CY$3,'Standards for Conversions'!$A$34:$A$73,0))))</f>
        <v/>
      </c>
      <c r="DB14" s="10" t="s">
        <v>399</v>
      </c>
      <c r="DC14" s="9"/>
      <c r="DD14" s="9"/>
      <c r="DE14" s="31" t="str">
        <f>IF(DD14/(INDEX('Standards for Conversions'!$H$34:$H$73,MATCH(DC$3,'Standards for Conversions'!$A$34:$A$73,0)))=0,"",DD14/(INDEX('Standards for Conversions'!$H$34:$H$73,MATCH(DC$3,'Standards for Conversions'!$A$34:$A$73,0))))</f>
        <v/>
      </c>
      <c r="DF14" s="10" t="s">
        <v>399</v>
      </c>
      <c r="DG14" s="9"/>
      <c r="DH14" s="9"/>
      <c r="DI14" s="31" t="str">
        <f>IF(DH14/(INDEX('Standards for Conversions'!$H$34:$H$73,MATCH(DG$3,'Standards for Conversions'!$A$34:$A$73,0)))=0,"",DH14/(INDEX('Standards for Conversions'!$H$34:$H$73,MATCH(DG$3,'Standards for Conversions'!$A$34:$A$73,0))))</f>
        <v/>
      </c>
      <c r="DJ14" s="10" t="s">
        <v>399</v>
      </c>
      <c r="DK14" s="9"/>
      <c r="DL14" s="9"/>
      <c r="DM14" s="31" t="str">
        <f>IF(DL14/(INDEX('Standards for Conversions'!$H$34:$H$73,MATCH(DK$3,'Standards for Conversions'!$A$34:$A$73,0)))=0,"",DL14/(INDEX('Standards for Conversions'!$H$34:$H$73,MATCH(DK$3,'Standards for Conversions'!$A$34:$A$73,0))))</f>
        <v/>
      </c>
      <c r="DN14" s="10" t="s">
        <v>399</v>
      </c>
      <c r="DO14" s="9"/>
      <c r="DP14" s="9"/>
      <c r="DQ14" s="31" t="str">
        <f>IF(DP14/(INDEX('Standards for Conversions'!$H$34:$H$73,MATCH(DO$3,'Standards for Conversions'!$A$34:$A$73,0)))=0,"",DP14/(INDEX('Standards for Conversions'!$H$34:$H$73,MATCH(DO$3,'Standards for Conversions'!$A$34:$A$73,0))))</f>
        <v/>
      </c>
      <c r="DR14" s="10" t="s">
        <v>399</v>
      </c>
      <c r="DS14" s="9"/>
      <c r="DT14" s="9"/>
      <c r="DU14" s="31" t="str">
        <f>IF(DT14/(INDEX('Standards for Conversions'!$H$34:$H$73,MATCH(DS$3,'Standards for Conversions'!$A$34:$A$73,0)))=0,"",DT14/(INDEX('Standards for Conversions'!$H$34:$H$73,MATCH(DS$3,'Standards for Conversions'!$A$34:$A$73,0))))</f>
        <v/>
      </c>
      <c r="DV14" s="10" t="s">
        <v>399</v>
      </c>
      <c r="DW14" s="9"/>
      <c r="DX14" s="9"/>
      <c r="DY14" s="31" t="str">
        <f>IF(DX14/(INDEX('Standards for Conversions'!$H$34:$H$73,MATCH(DW$3,'Standards for Conversions'!$A$34:$A$73,0)))=0,"",DX14/(INDEX('Standards for Conversions'!$H$34:$H$73,MATCH(DW$3,'Standards for Conversions'!$A$34:$A$73,0))))</f>
        <v/>
      </c>
      <c r="DZ14" s="10" t="s">
        <v>399</v>
      </c>
      <c r="EA14" s="9"/>
      <c r="EB14" s="9"/>
      <c r="EC14" s="31" t="str">
        <f>IF(EB14/(INDEX('Standards for Conversions'!$H$34:$H$73,MATCH(EA$3,'Standards for Conversions'!$A$34:$A$73,0)))=0,"",EB14/(INDEX('Standards for Conversions'!$H$34:$H$73,MATCH(EA$3,'Standards for Conversions'!$A$34:$A$73,0))))</f>
        <v/>
      </c>
      <c r="ED14" s="10" t="s">
        <v>399</v>
      </c>
      <c r="EE14" s="9"/>
      <c r="EF14" s="9"/>
      <c r="EG14" s="31" t="str">
        <f>IF(EF14/(INDEX('Standards for Conversions'!$H$34:$H$73,MATCH(EE$3,'Standards for Conversions'!$A$34:$A$73,0)))=0,"",EF14/(INDEX('Standards for Conversions'!$H$34:$H$73,MATCH(EE$3,'Standards for Conversions'!$A$34:$A$73,0))))</f>
        <v/>
      </c>
      <c r="EH14" s="10" t="s">
        <v>399</v>
      </c>
      <c r="EI14" s="9"/>
      <c r="EJ14" s="9"/>
      <c r="EK14" s="31" t="str">
        <f>IF(EJ14/(INDEX('Standards for Conversions'!$H$34:$H$73,MATCH(EI$3,'Standards for Conversions'!$A$34:$A$73,0)))=0,"",EJ14/(INDEX('Standards for Conversions'!$H$34:$H$73,MATCH(EI$3,'Standards for Conversions'!$A$34:$A$73,0))))</f>
        <v/>
      </c>
      <c r="EL14" s="10" t="s">
        <v>399</v>
      </c>
      <c r="EM14" s="9"/>
      <c r="EN14" s="9"/>
      <c r="EO14" s="31" t="str">
        <f>IF(EN14/(INDEX('Standards for Conversions'!$H$34:$H$73,MATCH(EM$3,'Standards for Conversions'!$A$34:$A$73,0)))=0,"",EN14/(INDEX('Standards for Conversions'!$H$34:$H$73,MATCH(EM$3,'Standards for Conversions'!$A$34:$A$73,0))))</f>
        <v/>
      </c>
      <c r="EP14" s="10" t="s">
        <v>399</v>
      </c>
      <c r="EQ14" s="9"/>
      <c r="ER14" s="9"/>
      <c r="ES14" s="31" t="str">
        <f>IF(ER14/(INDEX('Standards for Conversions'!$H$34:$H$73,MATCH(EQ$3,'Standards for Conversions'!$A$34:$A$73,0)))=0,"",ER14/(INDEX('Standards for Conversions'!$H$34:$H$73,MATCH(EQ$3,'Standards for Conversions'!$A$34:$A$73,0))))</f>
        <v/>
      </c>
      <c r="ET14" s="10" t="s">
        <v>399</v>
      </c>
      <c r="EU14" s="9"/>
      <c r="EV14" s="9"/>
      <c r="EW14" s="31" t="str">
        <f>IF(EV14/(INDEX('Standards for Conversions'!$H$34:$H$73,MATCH(EU$3,'Standards for Conversions'!$A$34:$A$73,0)))=0,"",EV14/(INDEX('Standards for Conversions'!$H$34:$H$73,MATCH(EU$3,'Standards for Conversions'!$A$34:$A$73,0))))</f>
        <v/>
      </c>
      <c r="EX14" s="10" t="s">
        <v>399</v>
      </c>
      <c r="EY14" s="9"/>
      <c r="EZ14" s="9"/>
      <c r="FA14" s="31" t="str">
        <f>IF(EZ14/(INDEX('Standards for Conversions'!$H$34:$H$73,MATCH(EY$3,'Standards for Conversions'!$A$34:$A$73,0)))=0,"",EZ14/(INDEX('Standards for Conversions'!$H$34:$H$73,MATCH(EY$3,'Standards for Conversions'!$A$34:$A$73,0))))</f>
        <v/>
      </c>
      <c r="FB14" s="10" t="s">
        <v>399</v>
      </c>
      <c r="FC14" s="9"/>
      <c r="FD14" s="9"/>
      <c r="FE14" s="31" t="str">
        <f>IF(FD14/(INDEX('Standards for Conversions'!$H$34:$H$73,MATCH(FC$3,'Standards for Conversions'!$A$34:$A$73,0)))=0,"",FD14/(INDEX('Standards for Conversions'!$H$34:$H$73,MATCH(FC$3,'Standards for Conversions'!$A$34:$A$73,0))))</f>
        <v/>
      </c>
      <c r="FF14" s="10" t="s">
        <v>399</v>
      </c>
      <c r="FG14" s="9"/>
      <c r="FH14" s="9"/>
      <c r="FI14" s="31" t="str">
        <f>IF(FH14/(INDEX('Standards for Conversions'!$H$34:$H$73,MATCH(FG$3,'Standards for Conversions'!$A$34:$A$73,0)))=0,"",FH14/(INDEX('Standards for Conversions'!$H$34:$H$73,MATCH(FG$3,'Standards for Conversions'!$A$34:$A$73,0))))</f>
        <v/>
      </c>
      <c r="FJ14" s="10" t="s">
        <v>399</v>
      </c>
      <c r="FK14" s="9"/>
      <c r="FL14" s="9"/>
      <c r="FM14" s="31" t="str">
        <f>IF(FL14/(INDEX('Standards for Conversions'!$H$34:$H$73,MATCH(FK$3,'Standards for Conversions'!$A$34:$A$73,0)))=0,"",FL14/(INDEX('Standards for Conversions'!$H$34:$H$73,MATCH(FK$3,'Standards for Conversions'!$A$34:$A$73,0))))</f>
        <v/>
      </c>
      <c r="FN14" s="10" t="s">
        <v>399</v>
      </c>
      <c r="FO14" s="9"/>
      <c r="FP14" s="9"/>
      <c r="FQ14" s="31" t="str">
        <f>IF(FP14/(INDEX('Standards for Conversions'!$H$34:$H$73,MATCH(FO$3,'Standards for Conversions'!$A$34:$A$73,0)))=0,"",FP14/(INDEX('Standards for Conversions'!$H$34:$H$73,MATCH(FO$3,'Standards for Conversions'!$A$34:$A$73,0))))</f>
        <v/>
      </c>
      <c r="FR14" s="10" t="s">
        <v>399</v>
      </c>
      <c r="FS14" s="9">
        <f>1.75*110</f>
        <v>192.5</v>
      </c>
      <c r="FT14" s="9">
        <v>1000</v>
      </c>
      <c r="FU14" s="31">
        <f>IF(FT14/(INDEX('Standards for Conversions'!$H$34:$H$73,MATCH(FS$3,'Standards for Conversions'!$A$34:$A$73,0)))=0,"",FT14/(INDEX('Standards for Conversions'!$H$34:$H$73,MATCH(FS$3,'Standards for Conversions'!$A$34:$A$73,0))))</f>
        <v>171.49968497436339</v>
      </c>
      <c r="FV14" s="10" t="s">
        <v>399</v>
      </c>
      <c r="FW14" s="9"/>
      <c r="FX14" s="9"/>
      <c r="FY14" s="31" t="str">
        <f>IF(FX14/(INDEX('Standards for Conversions'!$H$34:$H$73,MATCH(FW$3,'Standards for Conversions'!$A$34:$A$73,0)))=0,"",FX14/(INDEX('Standards for Conversions'!$H$34:$H$73,MATCH(FW$3,'Standards for Conversions'!$A$34:$A$73,0))))</f>
        <v/>
      </c>
      <c r="FZ14" s="10" t="s">
        <v>399</v>
      </c>
      <c r="GA14" s="9"/>
      <c r="GB14" s="9"/>
      <c r="GC14" s="31" t="str">
        <f>IF(GB14/(INDEX('Standards for Conversions'!$H$34:$H$73,MATCH(GA$3,'Standards for Conversions'!$A$34:$A$73,0)))=0,"",GB14/(INDEX('Standards for Conversions'!$H$34:$H$73,MATCH(GA$3,'Standards for Conversions'!$A$34:$A$73,0))))</f>
        <v/>
      </c>
      <c r="GD14" s="10" t="s">
        <v>399</v>
      </c>
      <c r="GE14" s="9"/>
      <c r="GF14" s="9"/>
      <c r="GG14" s="31" t="str">
        <f>IF(GF14/(INDEX('Standards for Conversions'!$H$34:$H$73,MATCH(GE$3,'Standards for Conversions'!$A$34:$A$73,0)))=0,"",GF14/(INDEX('Standards for Conversions'!$H$34:$H$73,MATCH(GE$3,'Standards for Conversions'!$A$34:$A$73,0))))</f>
        <v/>
      </c>
      <c r="GH14" s="10" t="s">
        <v>399</v>
      </c>
      <c r="GI14" s="9">
        <f>1.75*120</f>
        <v>210</v>
      </c>
      <c r="GJ14" s="9">
        <v>1500</v>
      </c>
      <c r="GK14" s="31">
        <f>IF(GJ14/(INDEX('Standards for Conversions'!$H$34:$H$73,MATCH(GI$3,'Standards for Conversions'!$A$34:$A$73,0)))=0,"",GJ14/(INDEX('Standards for Conversions'!$H$34:$H$73,MATCH(GI$3,'Standards for Conversions'!$A$34:$A$73,0))))</f>
        <v>246.76899115755626</v>
      </c>
      <c r="GL14" s="10" t="s">
        <v>399</v>
      </c>
      <c r="GM14" s="9"/>
      <c r="GN14" s="9"/>
      <c r="GO14" s="31" t="str">
        <f>IF(GN14/(INDEX('Standards for Conversions'!$H$34:$H$73,MATCH(GM$3,'Standards for Conversions'!$A$34:$A$73,0)))=0,"",GN14/(INDEX('Standards for Conversions'!$H$34:$H$73,MATCH(GM$3,'Standards for Conversions'!$A$34:$A$73,0))))</f>
        <v/>
      </c>
      <c r="GP14" s="10" t="s">
        <v>399</v>
      </c>
      <c r="GQ14" s="9"/>
      <c r="GR14" s="9"/>
      <c r="GS14" s="31" t="str">
        <f>IF(GR14/(INDEX('Standards for Conversions'!$H$34:$H$73,MATCH(GQ$3,'Standards for Conversions'!$A$34:$A$73,0)))=0,"",GR14/(INDEX('Standards for Conversions'!$H$34:$H$73,MATCH(GQ$3,'Standards for Conversions'!$A$34:$A$73,0))))</f>
        <v/>
      </c>
      <c r="GT14" s="10" t="s">
        <v>399</v>
      </c>
      <c r="GU14" s="9"/>
      <c r="GV14" s="9"/>
      <c r="GW14" s="31" t="str">
        <f>IF(GV14/(INDEX('Standards for Conversions'!$H$34:$H$73,MATCH(GU$3,'Standards for Conversions'!$A$34:$A$73,0)))=0,"",GV14/(INDEX('Standards for Conversions'!$H$34:$H$73,MATCH(GU$3,'Standards for Conversions'!$A$34:$A$73,0))))</f>
        <v/>
      </c>
      <c r="GX14" s="10" t="s">
        <v>399</v>
      </c>
      <c r="GY14" s="9">
        <f>1.75*15</f>
        <v>26.25</v>
      </c>
      <c r="GZ14" s="9">
        <v>150</v>
      </c>
      <c r="HA14" s="31">
        <f>IF(GZ14/(INDEX('Standards for Conversions'!$H$34:$H$73,MATCH(GY$3,'Standards for Conversions'!$A$34:$A$73,0)))=0,"",GZ14/(INDEX('Standards for Conversions'!$H$34:$H$73,MATCH(GY$3,'Standards for Conversions'!$A$34:$A$73,0))))</f>
        <v>23.057179868775528</v>
      </c>
      <c r="HB14" s="10" t="s">
        <v>399</v>
      </c>
      <c r="HC14" s="9"/>
      <c r="HD14" s="9"/>
      <c r="HE14" s="31" t="str">
        <f>IF(HD14/(INDEX('Standards for Conversions'!$H$34:$H$73,MATCH(HC$3,'Standards for Conversions'!$A$34:$A$73,0)))=0,"",HD14/(INDEX('Standards for Conversions'!$H$34:$H$73,MATCH(HC$3,'Standards for Conversions'!$A$34:$A$73,0))))</f>
        <v/>
      </c>
      <c r="HF14" s="10" t="s">
        <v>399</v>
      </c>
      <c r="HG14" s="9"/>
      <c r="HH14" s="9"/>
      <c r="HI14" s="31" t="str">
        <f>IF(HH14/(INDEX('Standards for Conversions'!$H$34:$H$73,MATCH(HG$3,'Standards for Conversions'!$A$34:$A$73,0)))=0,"",HH14/(INDEX('Standards for Conversions'!$H$34:$H$73,MATCH(HG$3,'Standards for Conversions'!$A$34:$A$73,0))))</f>
        <v/>
      </c>
      <c r="HJ14" s="10" t="s">
        <v>399</v>
      </c>
      <c r="HK14" s="9"/>
      <c r="HL14" s="9"/>
      <c r="HM14" s="31" t="str">
        <f>IF(HL14/(INDEX('Standards for Conversions'!$H$34:$H$73,MATCH(HK$3,'Standards for Conversions'!$A$34:$A$73,0)))=0,"",HL14/(INDEX('Standards for Conversions'!$H$34:$H$73,MATCH(HK$3,'Standards for Conversions'!$A$34:$A$73,0))))</f>
        <v/>
      </c>
      <c r="HN14" s="10" t="s">
        <v>399</v>
      </c>
      <c r="HO14" s="9">
        <f>1.75*50</f>
        <v>87.5</v>
      </c>
      <c r="HP14" s="9">
        <v>450</v>
      </c>
      <c r="HQ14" s="31">
        <f>IF(HP14/(INDEX('Standards for Conversions'!$H$34:$H$73,MATCH(HO$3,'Standards for Conversions'!$A$34:$A$73,0)))=0,"",HP14/(INDEX('Standards for Conversions'!$H$34:$H$73,MATCH(HO$3,'Standards for Conversions'!$A$34:$A$73,0))))</f>
        <v>68.123485975927679</v>
      </c>
      <c r="HR14" s="33" t="s">
        <v>399</v>
      </c>
      <c r="HU14" s="31" t="str">
        <f>IF(HT14/(INDEX('Standards for Conversions'!$H$47:$H$73,MATCH(HS$3,'Standards for Conversions'!$A$47:$A$73,0)))=0,"",HT14/(INDEX('Standards for Conversions'!$H$47:$H$73,MATCH(HS$3,'Standards for Conversions'!$A$47:$A$73,0))))</f>
        <v/>
      </c>
      <c r="HV14" s="33" t="s">
        <v>399</v>
      </c>
      <c r="HY14" s="31" t="str">
        <f>IF(HX14/(INDEX('Standards for Conversions'!$H$47:$H$73,MATCH(HW$3,'Standards for Conversions'!$A$47:$A$73,0)))=0,"",HX14/(INDEX('Standards for Conversions'!$H$47:$H$73,MATCH(HW$3,'Standards for Conversions'!$A$47:$A$73,0))))</f>
        <v/>
      </c>
      <c r="IB14" s="31" t="str">
        <f>IF(IA14/(INDEX('Standards for Conversions'!$H$47:$H$73,MATCH(HZ$3,'Standards for Conversions'!$A$47:$A$73,0)))=0,"",IA14/(INDEX('Standards for Conversions'!$H$47:$H$73,MATCH(HZ$3,'Standards for Conversions'!$A$47:$A$73,0))))</f>
        <v/>
      </c>
      <c r="IC14" s="33" t="s">
        <v>399</v>
      </c>
      <c r="ID14" s="33">
        <f>1.75*60</f>
        <v>105</v>
      </c>
      <c r="IE14" s="33">
        <v>500</v>
      </c>
      <c r="IF14" s="31">
        <f>IF(IE14/(INDEX('Standards for Conversions'!$H$47:$H$73,MATCH(ID$3,'Standards for Conversions'!$A$47:$A$73,0)))=0,"",IE14/(INDEX('Standards for Conversions'!$H$47:$H$73,MATCH(ID$3,'Standards for Conversions'!$A$47:$A$73,0))))</f>
        <v>72.622706106427984</v>
      </c>
      <c r="IG14" s="33" t="s">
        <v>98</v>
      </c>
      <c r="IJ14" s="31" t="str">
        <f>IF(II14/(INDEX('Standards for Conversions'!$H$47:$H$73,MATCH(IH$3,'Standards for Conversions'!$A$47:$A$73,0)))=0,"",II14/(INDEX('Standards for Conversions'!$H$47:$H$73,MATCH(IH$3,'Standards for Conversions'!$A$47:$A$73,0))))</f>
        <v/>
      </c>
      <c r="IK14" s="33" t="s">
        <v>98</v>
      </c>
      <c r="IN14" s="31" t="str">
        <f>IF(IM14/(INDEX('Standards for Conversions'!$H$47:$H$73,MATCH(IL$3,'Standards for Conversions'!$A$47:$A$73,0)))=0,"",IM14/(INDEX('Standards for Conversions'!$H$47:$H$73,MATCH(IL$3,'Standards for Conversions'!$A$47:$A$73,0))))</f>
        <v/>
      </c>
      <c r="IO14" s="33" t="s">
        <v>98</v>
      </c>
      <c r="IR14" s="31" t="str">
        <f>IF(IQ14/(INDEX('Standards for Conversions'!$H$47:$H$73,MATCH(IP$3,'Standards for Conversions'!$A$47:$A$73,0)))=0,"",IQ14/(INDEX('Standards for Conversions'!$H$47:$H$73,MATCH(IP$3,'Standards for Conversions'!$A$47:$A$73,0))))</f>
        <v/>
      </c>
      <c r="IS14" s="33" t="s">
        <v>98</v>
      </c>
      <c r="IT14" s="33">
        <v>495.625</v>
      </c>
      <c r="IU14" s="33">
        <v>1444</v>
      </c>
      <c r="IV14" s="31">
        <f>IF(IU14/(INDEX('Standards for Conversions'!$H$47:$H$73,MATCH(IT$3,'Standards for Conversions'!$A$47:$A$73,0)))=0,"",IU14/(INDEX('Standards for Conversions'!$H$47:$H$73,MATCH(IT$3,'Standards for Conversions'!$A$47:$A$73,0))))</f>
        <v>208.81716951276033</v>
      </c>
      <c r="IW14" s="33" t="s">
        <v>98</v>
      </c>
      <c r="IZ14" s="31" t="str">
        <f>IF(IY14/(INDEX('Standards for Conversions'!$H$47:$H$73,MATCH(IX$3,'Standards for Conversions'!$A$47:$A$73,0)))=0,"",IY14/(INDEX('Standards for Conversions'!$H$47:$H$73,MATCH(IX$3,'Standards for Conversions'!$A$47:$A$73,0))))</f>
        <v/>
      </c>
      <c r="JA14" s="33" t="s">
        <v>98</v>
      </c>
      <c r="JD14" s="31" t="str">
        <f>IF(JC14/(INDEX('Standards for Conversions'!$H$47:$H$73,MATCH(JB$3,'Standards for Conversions'!$A$47:$A$73,0)))=0,"",JC14/(INDEX('Standards for Conversions'!$H$47:$H$73,MATCH(JB$3,'Standards for Conversions'!$A$47:$A$73,0))))</f>
        <v/>
      </c>
      <c r="JE14" s="33" t="s">
        <v>98</v>
      </c>
      <c r="JH14" s="31" t="str">
        <f>IF(JG14/(INDEX('Standards for Conversions'!$H$47:$H$73,MATCH(JF$3,'Standards for Conversions'!$A$47:$A$73,0)))=0,"",JG14/(INDEX('Standards for Conversions'!$H$47:$H$73,MATCH(JF$3,'Standards for Conversions'!$A$47:$A$73,0))))</f>
        <v/>
      </c>
      <c r="JI14" s="33" t="s">
        <v>98</v>
      </c>
      <c r="JJ14" s="33">
        <v>1950</v>
      </c>
      <c r="JK14" s="33">
        <v>4900</v>
      </c>
      <c r="JL14" s="31">
        <f>IF(JK14/(INDEX('Standards for Conversions'!$H$47:$H$73,MATCH(JJ$3,'Standards for Conversions'!$A$47:$A$73,0)))=0,"",JK14/(INDEX('Standards for Conversions'!$H$47:$H$73,MATCH(JJ$3,'Standards for Conversions'!$A$47:$A$73,0))))</f>
        <v>792.62496379015658</v>
      </c>
      <c r="JM14" s="33" t="s">
        <v>98</v>
      </c>
      <c r="JP14" s="31" t="str">
        <f>IF(JO14/(INDEX('Standards for Conversions'!$H$47:$H$73,MATCH(JN$3,'Standards for Conversions'!$A$47:$A$73,0)))=0,"",JO14/(INDEX('Standards for Conversions'!$H$47:$H$73,MATCH(JN$3,'Standards for Conversions'!$A$47:$A$73,0))))</f>
        <v/>
      </c>
      <c r="JQ14" s="33" t="s">
        <v>98</v>
      </c>
      <c r="JT14" s="31" t="str">
        <f>IF(JS14/(INDEX('Standards for Conversions'!$H$47:$H$73,MATCH(JR$3,'Standards for Conversions'!$A$47:$A$73,0)))=0,"",JS14/(INDEX('Standards for Conversions'!$H$47:$H$73,MATCH(JR$3,'Standards for Conversions'!$A$47:$A$73,0))))</f>
        <v/>
      </c>
      <c r="JU14" s="33" t="s">
        <v>98</v>
      </c>
      <c r="JX14" s="31" t="str">
        <f>IF(JW14/(INDEX('Standards for Conversions'!$H$47:$H$73,MATCH(JV$3,'Standards for Conversions'!$A$47:$A$73,0)))=0,"",JW14/(INDEX('Standards for Conversions'!$H$47:$H$73,MATCH(JV$3,'Standards for Conversions'!$A$47:$A$73,0))))</f>
        <v/>
      </c>
      <c r="JY14" s="33" t="s">
        <v>98</v>
      </c>
      <c r="JZ14" s="33">
        <v>2437.5</v>
      </c>
      <c r="KA14" s="33">
        <v>5500</v>
      </c>
      <c r="KB14" s="31">
        <f>IF(KA14/(INDEX('Standards for Conversions'!$H$47:$H$73,MATCH(JZ$3,'Standards for Conversions'!$A$47:$A$73,0)))=0,"",KA14/(INDEX('Standards for Conversions'!$H$47:$H$73,MATCH(JZ$3,'Standards for Conversions'!$A$47:$A$73,0))))</f>
        <v>839.60740835288664</v>
      </c>
      <c r="KC14" s="33" t="s">
        <v>98</v>
      </c>
      <c r="KF14" s="31" t="str">
        <f>IF(KE14/(INDEX('Standards for Conversions'!$H$47:$H$73,MATCH(KD$3,'Standards for Conversions'!$A$47:$A$73,0)))=0,"",KE14/(INDEX('Standards for Conversions'!$H$47:$H$73,MATCH(KD$3,'Standards for Conversions'!$A$47:$A$73,0))))</f>
        <v/>
      </c>
      <c r="KG14" s="33" t="s">
        <v>98</v>
      </c>
      <c r="KJ14" s="31" t="str">
        <f>IF(KI14/(INDEX('Standards for Conversions'!$H$47:$H$73,MATCH(KH$3,'Standards for Conversions'!$A$47:$A$73,0)))=0,"",KI14/(INDEX('Standards for Conversions'!$H$47:$H$73,MATCH(KH$3,'Standards for Conversions'!$A$47:$A$73,0))))</f>
        <v/>
      </c>
      <c r="KK14" s="33" t="s">
        <v>98</v>
      </c>
      <c r="KN14" s="31" t="str">
        <f>IF(KM14/(INDEX('Standards for Conversions'!$H$47:$H$73,MATCH(KL$3,'Standards for Conversions'!$A$47:$A$73,0)))=0,"",KM14/(INDEX('Standards for Conversions'!$H$47:$H$73,MATCH(KL$3,'Standards for Conversions'!$A$47:$A$73,0))))</f>
        <v/>
      </c>
      <c r="KO14" s="33" t="s">
        <v>98</v>
      </c>
      <c r="KP14" s="33">
        <v>2925</v>
      </c>
      <c r="KQ14" s="33">
        <v>7000</v>
      </c>
      <c r="KR14" s="31">
        <f>IF(KQ14/(INDEX('Standards for Conversions'!$H$47:$H$73,MATCH(KP$3,'Standards for Conversions'!$A$47:$A$73,0)))=0,"",KQ14/(INDEX('Standards for Conversions'!$H$47:$H$73,MATCH(KP$3,'Standards for Conversions'!$A$47:$A$73,0))))</f>
        <v>942.61308334057526</v>
      </c>
      <c r="KS14" s="33" t="s">
        <v>98</v>
      </c>
      <c r="KV14" s="31" t="str">
        <f>IF(KU14/(INDEX('Standards for Conversions'!$H$47:$H$73,MATCH(KT$3,'Standards for Conversions'!$A$47:$A$73,0)))=0,"",KU14/(INDEX('Standards for Conversions'!$H$47:$H$73,MATCH(KT$3,'Standards for Conversions'!$A$47:$A$73,0))))</f>
        <v/>
      </c>
      <c r="KW14" s="33" t="s">
        <v>98</v>
      </c>
      <c r="KZ14" s="31" t="str">
        <f>IF(KY14/(INDEX('Standards for Conversions'!$H$47:$H$73,MATCH(KX$3,'Standards for Conversions'!$A$47:$A$73,0)))=0,"",KY14/(INDEX('Standards for Conversions'!$H$47:$H$73,MATCH(KX$3,'Standards for Conversions'!$A$47:$A$73,0))))</f>
        <v/>
      </c>
      <c r="LA14" s="33" t="s">
        <v>98</v>
      </c>
      <c r="LD14" s="31" t="str">
        <f>IF(LC14/(INDEX('Standards for Conversions'!$H$47:$H$73,MATCH(LB$3,'Standards for Conversions'!$A$47:$A$73,0)))=0,"",LC14/(INDEX('Standards for Conversions'!$H$47:$H$73,MATCH(LB$3,'Standards for Conversions'!$A$47:$A$73,0))))</f>
        <v/>
      </c>
      <c r="LE14" s="33" t="s">
        <v>98</v>
      </c>
      <c r="LF14" s="33">
        <v>1787.5</v>
      </c>
      <c r="LG14" s="33">
        <v>5500</v>
      </c>
      <c r="LH14" s="31">
        <f>IF(LG14/(INDEX('Standards for Conversions'!$H$47:$H$73,MATCH(LF$3,'Standards for Conversions'!$A$47:$A$73,0)))=0,"",LG14/(INDEX('Standards for Conversions'!$H$47:$H$73,MATCH(LF$3,'Standards for Conversions'!$A$47:$A$73,0))))</f>
        <v>668.89111700124545</v>
      </c>
      <c r="LL14" s="31" t="str">
        <f>IF(LK14/(INDEX('Standards for Conversions'!$H$47:$H$73,MATCH(LJ$3,'Standards for Conversions'!$A$47:$A$73,0)))=0,"",LK14/(INDEX('Standards for Conversions'!$H$47:$H$73,MATCH(LJ$3,'Standards for Conversions'!$A$47:$A$73,0))))</f>
        <v/>
      </c>
      <c r="LO14" s="31" t="str">
        <f>IF(LN14/(INDEX('Standards for Conversions'!$H$47:$H$73,MATCH(LM$3,'Standards for Conversions'!$A$47:$A$73,0)))=0,"",LN14/(INDEX('Standards for Conversions'!$H$47:$H$73,MATCH(LM$3,'Standards for Conversions'!$A$47:$A$73,0))))</f>
        <v/>
      </c>
      <c r="LR14" s="31" t="str">
        <f>IF(LQ14/(INDEX('Standards for Conversions'!$H$47:$H$73,MATCH(LP$3,'Standards for Conversions'!$A$47:$A$73,0)))=0,"",LQ14/(INDEX('Standards for Conversions'!$H$47:$H$73,MATCH(LP$3,'Standards for Conversions'!$A$47:$A$73,0))))</f>
        <v/>
      </c>
      <c r="LV14" s="31" t="str">
        <f>IF(LU14/(INDEX('Standards for Conversions'!$H$47:$H$73,MATCH(LT$3,'Standards for Conversions'!$A$47:$A$73,0)))=0,"",LU14/(INDEX('Standards for Conversions'!$H$47:$H$73,MATCH(LT$3,'Standards for Conversions'!$A$47:$A$73,0))))</f>
        <v/>
      </c>
      <c r="LY14" s="31" t="str">
        <f>IF(LX14/(INDEX('Standards for Conversions'!$H$47:$H$73,MATCH(LW$3,'Standards for Conversions'!$A$47:$A$73,0)))=0,"",LX14/(INDEX('Standards for Conversions'!$H$47:$H$73,MATCH(LW$3,'Standards for Conversions'!$A$47:$A$73,0))))</f>
        <v/>
      </c>
      <c r="MB14" s="31" t="str">
        <f>IF(MA14/(INDEX('Standards for Conversions'!$H$47:$H$73,MATCH(LZ$3,'Standards for Conversions'!$A$47:$A$73,0)))=0,"",MA14/(INDEX('Standards for Conversions'!$H$47:$H$73,MATCH(LZ$3,'Standards for Conversions'!$A$47:$A$73,0))))</f>
        <v/>
      </c>
      <c r="ME14" s="31" t="str">
        <f>IF(MD14/(INDEX('Standards for Conversions'!$H$47:$H$73,MATCH(MC$3,'Standards for Conversions'!$A$47:$A$73,0)))=0,"",MD14/(INDEX('Standards for Conversions'!$H$47:$H$73,MATCH(MC$3,'Standards for Conversions'!$A$47:$A$73,0))))</f>
        <v/>
      </c>
      <c r="MH14" s="31" t="str">
        <f>IF(MG14/(INDEX('Standards for Conversions'!$H$47:$H$73,MATCH(MF$3,'Standards for Conversions'!$A$47:$A$73,0)))=0,"",MG14/(INDEX('Standards for Conversions'!$H$47:$H$73,MATCH(MF$3,'Standards for Conversions'!$A$47:$A$73,0))))</f>
        <v/>
      </c>
      <c r="MK14" s="31" t="str">
        <f>IF(MJ14/(INDEX('Standards for Conversions'!$H$47:$H$73,MATCH(MI$3,'Standards for Conversions'!$A$47:$A$73,0)))=0,"",MJ14/(INDEX('Standards for Conversions'!$H$47:$H$73,MATCH(MI$3,'Standards for Conversions'!$A$47:$A$73,0))))</f>
        <v/>
      </c>
      <c r="MN14" s="31" t="str">
        <f>IF(MM14/(INDEX('Standards for Conversions'!$H$47:$H$73,MATCH(ML$3,'Standards for Conversions'!$A$47:$A$73,0)))=0,"",MM14/(INDEX('Standards for Conversions'!$H$47:$H$73,MATCH(ML$3,'Standards for Conversions'!$A$47:$A$73,0))))</f>
        <v/>
      </c>
      <c r="MR14" s="31" t="str">
        <f>IF(MQ14/(INDEX('Standards for Conversions'!$H$47:$H$73,MATCH(MP$3,'Standards for Conversions'!$A$47:$A$73,0)))=0,"",MQ14/(INDEX('Standards for Conversions'!$H$47:$H$73,MATCH(MP$3,'Standards for Conversions'!$A$47:$A$73,0))))</f>
        <v/>
      </c>
      <c r="NE14" s="33" t="s">
        <v>98</v>
      </c>
      <c r="NF14" s="33">
        <v>6192</v>
      </c>
      <c r="NG14" s="33">
        <v>3127</v>
      </c>
      <c r="NH14" s="33">
        <v>5076</v>
      </c>
      <c r="NI14" s="33">
        <v>2376</v>
      </c>
    </row>
    <row r="15" spans="1:373" s="33" customFormat="1" x14ac:dyDescent="0.3">
      <c r="A15" s="104" t="s">
        <v>198</v>
      </c>
      <c r="B15" s="10" t="s">
        <v>399</v>
      </c>
      <c r="C15" s="9"/>
      <c r="D15" s="9"/>
      <c r="E15" s="31" t="str">
        <f>IF(D15/(INDEX('Standards for Conversions'!$H$34:$H$73,MATCH(C$3,'Standards for Conversions'!$A$34:$A$73,0)))=0,"",D15/(INDEX('Standards for Conversions'!$H$34:$H$73,MATCH(C$3,'Standards for Conversions'!$A$34:$A$73,0))))</f>
        <v/>
      </c>
      <c r="F15" s="10" t="s">
        <v>399</v>
      </c>
      <c r="G15" s="9"/>
      <c r="H15" s="9"/>
      <c r="I15" s="31" t="str">
        <f>IF(H15/(INDEX('Standards for Conversions'!$H$34:$H$73,MATCH(G$3,'Standards for Conversions'!$A$34:$A$73,0)))=0,"",H15/(INDEX('Standards for Conversions'!$H$34:$H$73,MATCH(G$3,'Standards for Conversions'!$A$34:$A$73,0))))</f>
        <v/>
      </c>
      <c r="J15" s="10" t="s">
        <v>399</v>
      </c>
      <c r="K15" s="9"/>
      <c r="L15" s="9"/>
      <c r="M15" s="31" t="str">
        <f>IF(L15/(INDEX('Standards for Conversions'!$H$34:$H$73,MATCH(K$3,'Standards for Conversions'!$A$34:$A$73,0)))=0,"",L15/(INDEX('Standards for Conversions'!$H$34:$H$73,MATCH(K$3,'Standards for Conversions'!$A$34:$A$73,0))))</f>
        <v/>
      </c>
      <c r="N15" s="10" t="s">
        <v>399</v>
      </c>
      <c r="O15" s="9"/>
      <c r="P15" s="9"/>
      <c r="Q15" s="31" t="str">
        <f>IF(P15/(INDEX('Standards for Conversions'!$H$34:$H$73,MATCH(O$3,'Standards for Conversions'!$A$34:$A$73,0)))=0,"",P15/(INDEX('Standards for Conversions'!$H$34:$H$73,MATCH(O$3,'Standards for Conversions'!$A$34:$A$73,0))))</f>
        <v/>
      </c>
      <c r="R15" s="10" t="s">
        <v>399</v>
      </c>
      <c r="S15" s="9"/>
      <c r="T15" s="9"/>
      <c r="U15" s="31" t="str">
        <f>IF(T15/(INDEX('Standards for Conversions'!$H$34:$H$73,MATCH(S$3,'Standards for Conversions'!$A$34:$A$73,0)))=0,"",T15/(INDEX('Standards for Conversions'!$H$34:$H$73,MATCH(S$3,'Standards for Conversions'!$A$34:$A$73,0))))</f>
        <v/>
      </c>
      <c r="V15" s="10" t="s">
        <v>399</v>
      </c>
      <c r="W15" s="9"/>
      <c r="X15" s="9"/>
      <c r="Y15" s="31" t="str">
        <f>IF(X15/(INDEX('Standards for Conversions'!$H$34:$H$73,MATCH(W$3,'Standards for Conversions'!$A$34:$A$73,0)))=0,"",X15/(INDEX('Standards for Conversions'!$H$34:$H$73,MATCH(W$3,'Standards for Conversions'!$A$34:$A$73,0))))</f>
        <v/>
      </c>
      <c r="Z15" s="10" t="s">
        <v>399</v>
      </c>
      <c r="AA15" s="9"/>
      <c r="AB15" s="9"/>
      <c r="AC15" s="31" t="str">
        <f>IF(AB15/(INDEX('Standards for Conversions'!$H$34:$H$73,MATCH(AA$3,'Standards for Conversions'!$A$34:$A$73,0)))=0,"",AB15/(INDEX('Standards for Conversions'!$H$34:$H$73,MATCH(AA$3,'Standards for Conversions'!$A$34:$A$73,0))))</f>
        <v/>
      </c>
      <c r="AD15" s="10" t="s">
        <v>399</v>
      </c>
      <c r="AE15" s="9"/>
      <c r="AF15" s="9"/>
      <c r="AG15" s="31" t="str">
        <f>IF(AF15/(INDEX('Standards for Conversions'!$H$34:$H$73,MATCH(AE$3,'Standards for Conversions'!$A$34:$A$73,0)))=0,"",AF15/(INDEX('Standards for Conversions'!$H$34:$H$73,MATCH(AE$3,'Standards for Conversions'!$A$34:$A$73,0))))</f>
        <v/>
      </c>
      <c r="AH15" s="10" t="s">
        <v>399</v>
      </c>
      <c r="AI15" s="9"/>
      <c r="AJ15" s="9"/>
      <c r="AK15" s="31" t="str">
        <f>IF(AJ15/(INDEX('Standards for Conversions'!$H$34:$H$73,MATCH(AI$3,'Standards for Conversions'!$A$34:$A$73,0)))=0,"",AJ15/(INDEX('Standards for Conversions'!$H$34:$H$73,MATCH(AI$3,'Standards for Conversions'!$A$34:$A$73,0))))</f>
        <v/>
      </c>
      <c r="AL15" s="10" t="s">
        <v>399</v>
      </c>
      <c r="AM15" s="9"/>
      <c r="AN15" s="9"/>
      <c r="AO15" s="31" t="str">
        <f>IF(AN15/(INDEX('Standards for Conversions'!$H$34:$H$73,MATCH(AM$3,'Standards for Conversions'!$A$34:$A$73,0)))=0,"",AN15/(INDEX('Standards for Conversions'!$H$34:$H$73,MATCH(AM$3,'Standards for Conversions'!$A$34:$A$73,0))))</f>
        <v/>
      </c>
      <c r="AP15" s="10" t="s">
        <v>399</v>
      </c>
      <c r="AQ15" s="9"/>
      <c r="AR15" s="9"/>
      <c r="AS15" s="31" t="str">
        <f>IF(AR15/(INDEX('Standards for Conversions'!$H$34:$H$73,MATCH(AQ$3,'Standards for Conversions'!$A$34:$A$73,0)))=0,"",AR15/(INDEX('Standards for Conversions'!$H$34:$H$73,MATCH(AQ$3,'Standards for Conversions'!$A$34:$A$73,0))))</f>
        <v/>
      </c>
      <c r="AT15" s="10" t="s">
        <v>399</v>
      </c>
      <c r="AU15" s="9"/>
      <c r="AV15" s="9"/>
      <c r="AW15" s="31" t="str">
        <f>IF(AV15/(INDEX('Standards for Conversions'!$H$34:$H$73,MATCH(AU$3,'Standards for Conversions'!$A$34:$A$73,0)))=0,"",AV15/(INDEX('Standards for Conversions'!$H$34:$H$73,MATCH(AU$3,'Standards for Conversions'!$A$34:$A$73,0))))</f>
        <v/>
      </c>
      <c r="AX15" s="10" t="s">
        <v>399</v>
      </c>
      <c r="AY15" s="9"/>
      <c r="AZ15" s="9"/>
      <c r="BA15" s="31" t="str">
        <f>IF(AZ15/(INDEX('Standards for Conversions'!$H$34:$H$73,MATCH(AY$3,'Standards for Conversions'!$A$34:$A$73,0)))=0,"",AZ15/(INDEX('Standards for Conversions'!$H$34:$H$73,MATCH(AY$3,'Standards for Conversions'!$A$34:$A$73,0))))</f>
        <v/>
      </c>
      <c r="BB15" s="10" t="s">
        <v>399</v>
      </c>
      <c r="BC15" s="9"/>
      <c r="BD15" s="9"/>
      <c r="BE15" s="31" t="str">
        <f>IF(BD15/(INDEX('Standards for Conversions'!$H$34:$H$73,MATCH(BC$3,'Standards for Conversions'!$A$34:$A$73,0)))=0,"",BD15/(INDEX('Standards for Conversions'!$H$34:$H$73,MATCH(BC$3,'Standards for Conversions'!$A$34:$A$73,0))))</f>
        <v/>
      </c>
      <c r="BF15" s="10" t="s">
        <v>399</v>
      </c>
      <c r="BG15" s="9"/>
      <c r="BH15" s="9"/>
      <c r="BI15" s="31" t="str">
        <f>IF(BH15/(INDEX('Standards for Conversions'!$H$34:$H$73,MATCH(BG$3,'Standards for Conversions'!$A$34:$A$73,0)))=0,"",BH15/(INDEX('Standards for Conversions'!$H$34:$H$73,MATCH(BG$3,'Standards for Conversions'!$A$34:$A$73,0))))</f>
        <v/>
      </c>
      <c r="BJ15" s="10" t="s">
        <v>399</v>
      </c>
      <c r="BK15" s="9"/>
      <c r="BL15" s="9"/>
      <c r="BM15" s="31" t="str">
        <f>IF(BL15/(INDEX('Standards for Conversions'!$H$34:$H$73,MATCH(BK$3,'Standards for Conversions'!$A$34:$A$73,0)))=0,"",BL15/(INDEX('Standards for Conversions'!$H$34:$H$73,MATCH(BK$3,'Standards for Conversions'!$A$34:$A$73,0))))</f>
        <v/>
      </c>
      <c r="BN15" s="10" t="s">
        <v>399</v>
      </c>
      <c r="BO15" s="9"/>
      <c r="BP15" s="9"/>
      <c r="BQ15" s="31" t="str">
        <f>IF(BP15/(INDEX('Standards for Conversions'!$H$34:$H$73,MATCH(BO$3,'Standards for Conversions'!$A$34:$A$73,0)))=0,"",BP15/(INDEX('Standards for Conversions'!$H$34:$H$73,MATCH(BO$3,'Standards for Conversions'!$A$34:$A$73,0))))</f>
        <v/>
      </c>
      <c r="BR15" s="10" t="s">
        <v>399</v>
      </c>
      <c r="BS15" s="9"/>
      <c r="BT15" s="9"/>
      <c r="BU15" s="31" t="str">
        <f>IF(BT15/(INDEX('Standards for Conversions'!$H$34:$H$73,MATCH(BS$3,'Standards for Conversions'!$A$34:$A$73,0)))=0,"",BT15/(INDEX('Standards for Conversions'!$H$34:$H$73,MATCH(BS$3,'Standards for Conversions'!$A$34:$A$73,0))))</f>
        <v/>
      </c>
      <c r="BV15" s="10" t="s">
        <v>399</v>
      </c>
      <c r="BW15" s="9"/>
      <c r="BX15" s="9"/>
      <c r="BY15" s="31" t="str">
        <f>IF(BX15/(INDEX('Standards for Conversions'!$H$34:$H$73,MATCH(BW$3,'Standards for Conversions'!$A$34:$A$73,0)))=0,"",BX15/(INDEX('Standards for Conversions'!$H$34:$H$73,MATCH(BW$3,'Standards for Conversions'!$A$34:$A$73,0))))</f>
        <v/>
      </c>
      <c r="BZ15" s="10" t="s">
        <v>399</v>
      </c>
      <c r="CA15" s="9"/>
      <c r="CB15" s="9"/>
      <c r="CC15" s="31" t="str">
        <f>IF(CB15/(INDEX('Standards for Conversions'!$H$34:$H$73,MATCH(CA$3,'Standards for Conversions'!$A$34:$A$73,0)))=0,"",CB15/(INDEX('Standards for Conversions'!$H$34:$H$73,MATCH(CA$3,'Standards for Conversions'!$A$34:$A$73,0))))</f>
        <v/>
      </c>
      <c r="CD15" s="10" t="s">
        <v>399</v>
      </c>
      <c r="CE15" s="9"/>
      <c r="CF15" s="9"/>
      <c r="CG15" s="31" t="str">
        <f>IF(CF15/(INDEX('Standards for Conversions'!$H$34:$H$73,MATCH(CE$3,'Standards for Conversions'!$A$34:$A$73,0)))=0,"",CF15/(INDEX('Standards for Conversions'!$H$34:$H$73,MATCH(CE$3,'Standards for Conversions'!$A$34:$A$73,0))))</f>
        <v/>
      </c>
      <c r="CH15" s="10" t="s">
        <v>399</v>
      </c>
      <c r="CI15" s="9"/>
      <c r="CJ15" s="9"/>
      <c r="CK15" s="31" t="str">
        <f>IF(CJ15/(INDEX('Standards for Conversions'!$H$34:$H$73,MATCH(CI$3,'Standards for Conversions'!$A$34:$A$73,0)))=0,"",CJ15/(INDEX('Standards for Conversions'!$H$34:$H$73,MATCH(CI$3,'Standards for Conversions'!$A$34:$A$73,0))))</f>
        <v/>
      </c>
      <c r="CL15" s="10" t="s">
        <v>399</v>
      </c>
      <c r="CM15" s="9"/>
      <c r="CN15" s="9"/>
      <c r="CO15" s="31" t="str">
        <f>IF(CN15/(INDEX('Standards for Conversions'!$H$34:$H$73,MATCH(CM$3,'Standards for Conversions'!$A$34:$A$73,0)))=0,"",CN15/(INDEX('Standards for Conversions'!$H$34:$H$73,MATCH(CM$3,'Standards for Conversions'!$A$34:$A$73,0))))</f>
        <v/>
      </c>
      <c r="CP15" s="10" t="s">
        <v>399</v>
      </c>
      <c r="CQ15" s="9"/>
      <c r="CR15" s="9"/>
      <c r="CS15" s="31" t="str">
        <f>IF(CR15/(INDEX('Standards for Conversions'!$H$34:$H$73,MATCH(CQ$3,'Standards for Conversions'!$A$34:$A$73,0)))=0,"",CR15/(INDEX('Standards for Conversions'!$H$34:$H$73,MATCH(CQ$3,'Standards for Conversions'!$A$34:$A$73,0))))</f>
        <v/>
      </c>
      <c r="CT15" s="10" t="s">
        <v>399</v>
      </c>
      <c r="CU15" s="9"/>
      <c r="CV15" s="9"/>
      <c r="CW15" s="31" t="str">
        <f>IF(CV15/(INDEX('Standards for Conversions'!$H$34:$H$73,MATCH(CU$3,'Standards for Conversions'!$A$34:$A$73,0)))=0,"",CV15/(INDEX('Standards for Conversions'!$H$34:$H$73,MATCH(CU$3,'Standards for Conversions'!$A$34:$A$73,0))))</f>
        <v/>
      </c>
      <c r="CX15" s="10" t="s">
        <v>399</v>
      </c>
      <c r="CY15" s="9">
        <f>1.75*262</f>
        <v>458.5</v>
      </c>
      <c r="CZ15" s="9">
        <v>1500</v>
      </c>
      <c r="DA15" s="31">
        <f>IF(CZ15/(INDEX('Standards for Conversions'!$H$34:$H$73,MATCH(CY$3,'Standards for Conversions'!$A$34:$A$73,0)))=0,"",CZ15/(INDEX('Standards for Conversions'!$H$34:$H$73,MATCH(CY$3,'Standards for Conversions'!$A$34:$A$73,0))))</f>
        <v>265.50691970105152</v>
      </c>
      <c r="DB15" s="10" t="s">
        <v>399</v>
      </c>
      <c r="DC15" s="9"/>
      <c r="DD15" s="9"/>
      <c r="DE15" s="31" t="str">
        <f>IF(DD15/(INDEX('Standards for Conversions'!$H$34:$H$73,MATCH(DC$3,'Standards for Conversions'!$A$34:$A$73,0)))=0,"",DD15/(INDEX('Standards for Conversions'!$H$34:$H$73,MATCH(DC$3,'Standards for Conversions'!$A$34:$A$73,0))))</f>
        <v/>
      </c>
      <c r="DF15" s="10" t="s">
        <v>399</v>
      </c>
      <c r="DG15" s="9"/>
      <c r="DH15" s="9"/>
      <c r="DI15" s="31" t="str">
        <f>IF(DH15/(INDEX('Standards for Conversions'!$H$34:$H$73,MATCH(DG$3,'Standards for Conversions'!$A$34:$A$73,0)))=0,"",DH15/(INDEX('Standards for Conversions'!$H$34:$H$73,MATCH(DG$3,'Standards for Conversions'!$A$34:$A$73,0))))</f>
        <v/>
      </c>
      <c r="DJ15" s="10" t="s">
        <v>399</v>
      </c>
      <c r="DK15" s="9"/>
      <c r="DL15" s="9"/>
      <c r="DM15" s="31" t="str">
        <f>IF(DL15/(INDEX('Standards for Conversions'!$H$34:$H$73,MATCH(DK$3,'Standards for Conversions'!$A$34:$A$73,0)))=0,"",DL15/(INDEX('Standards for Conversions'!$H$34:$H$73,MATCH(DK$3,'Standards for Conversions'!$A$34:$A$73,0))))</f>
        <v/>
      </c>
      <c r="DN15" s="10" t="s">
        <v>399</v>
      </c>
      <c r="DO15" s="9">
        <f>1.75*500</f>
        <v>875</v>
      </c>
      <c r="DP15" s="9">
        <v>3000</v>
      </c>
      <c r="DQ15" s="31">
        <f>IF(DP15/(INDEX('Standards for Conversions'!$H$34:$H$73,MATCH(DO$3,'Standards for Conversions'!$A$34:$A$73,0)))=0,"",DP15/(INDEX('Standards for Conversions'!$H$34:$H$73,MATCH(DO$3,'Standards for Conversions'!$A$34:$A$73,0))))</f>
        <v>525.29718323629095</v>
      </c>
      <c r="DR15" s="10" t="s">
        <v>399</v>
      </c>
      <c r="DS15" s="9"/>
      <c r="DT15" s="9"/>
      <c r="DU15" s="31" t="str">
        <f>IF(DT15/(INDEX('Standards for Conversions'!$H$34:$H$73,MATCH(DS$3,'Standards for Conversions'!$A$34:$A$73,0)))=0,"",DT15/(INDEX('Standards for Conversions'!$H$34:$H$73,MATCH(DS$3,'Standards for Conversions'!$A$34:$A$73,0))))</f>
        <v/>
      </c>
      <c r="DV15" s="10" t="s">
        <v>399</v>
      </c>
      <c r="DW15" s="9"/>
      <c r="DX15" s="9"/>
      <c r="DY15" s="31" t="str">
        <f>IF(DX15/(INDEX('Standards for Conversions'!$H$34:$H$73,MATCH(DW$3,'Standards for Conversions'!$A$34:$A$73,0)))=0,"",DX15/(INDEX('Standards for Conversions'!$H$34:$H$73,MATCH(DW$3,'Standards for Conversions'!$A$34:$A$73,0))))</f>
        <v/>
      </c>
      <c r="DZ15" s="10" t="s">
        <v>399</v>
      </c>
      <c r="EA15" s="9"/>
      <c r="EB15" s="9"/>
      <c r="EC15" s="31" t="str">
        <f>IF(EB15/(INDEX('Standards for Conversions'!$H$34:$H$73,MATCH(EA$3,'Standards for Conversions'!$A$34:$A$73,0)))=0,"",EB15/(INDEX('Standards for Conversions'!$H$34:$H$73,MATCH(EA$3,'Standards for Conversions'!$A$34:$A$73,0))))</f>
        <v/>
      </c>
      <c r="ED15" s="10" t="s">
        <v>399</v>
      </c>
      <c r="EE15" s="9">
        <f>1.75*250</f>
        <v>437.5</v>
      </c>
      <c r="EF15" s="9">
        <v>1680</v>
      </c>
      <c r="EG15" s="31">
        <f>IF(EF15/(INDEX('Standards for Conversions'!$H$34:$H$73,MATCH(EE$3,'Standards for Conversions'!$A$34:$A$73,0)))=0,"",EF15/(INDEX('Standards for Conversions'!$H$34:$H$73,MATCH(EE$3,'Standards for Conversions'!$A$34:$A$73,0))))</f>
        <v>293.81071956200572</v>
      </c>
      <c r="EH15" s="10" t="s">
        <v>399</v>
      </c>
      <c r="EI15" s="9"/>
      <c r="EJ15" s="9"/>
      <c r="EK15" s="31" t="str">
        <f>IF(EJ15/(INDEX('Standards for Conversions'!$H$34:$H$73,MATCH(EI$3,'Standards for Conversions'!$A$34:$A$73,0)))=0,"",EJ15/(INDEX('Standards for Conversions'!$H$34:$H$73,MATCH(EI$3,'Standards for Conversions'!$A$34:$A$73,0))))</f>
        <v/>
      </c>
      <c r="EL15" s="10" t="s">
        <v>399</v>
      </c>
      <c r="EM15" s="9"/>
      <c r="EN15" s="9"/>
      <c r="EO15" s="31" t="str">
        <f>IF(EN15/(INDEX('Standards for Conversions'!$H$34:$H$73,MATCH(EM$3,'Standards for Conversions'!$A$34:$A$73,0)))=0,"",EN15/(INDEX('Standards for Conversions'!$H$34:$H$73,MATCH(EM$3,'Standards for Conversions'!$A$34:$A$73,0))))</f>
        <v/>
      </c>
      <c r="EP15" s="10" t="s">
        <v>399</v>
      </c>
      <c r="EQ15" s="9"/>
      <c r="ER15" s="9"/>
      <c r="ES15" s="31" t="str">
        <f>IF(ER15/(INDEX('Standards for Conversions'!$H$34:$H$73,MATCH(EQ$3,'Standards for Conversions'!$A$34:$A$73,0)))=0,"",ER15/(INDEX('Standards for Conversions'!$H$34:$H$73,MATCH(EQ$3,'Standards for Conversions'!$A$34:$A$73,0))))</f>
        <v/>
      </c>
      <c r="ET15" s="10" t="s">
        <v>399</v>
      </c>
      <c r="EU15" s="9">
        <f>1.75*20</f>
        <v>35</v>
      </c>
      <c r="EV15" s="9">
        <v>85</v>
      </c>
      <c r="EW15" s="31">
        <f>IF(EV15/(INDEX('Standards for Conversions'!$H$34:$H$73,MATCH(EU$3,'Standards for Conversions'!$A$34:$A$73,0)))=0,"",EV15/(INDEX('Standards for Conversions'!$H$34:$H$73,MATCH(EU$3,'Standards for Conversions'!$A$34:$A$73,0))))</f>
        <v>14.559476342298888</v>
      </c>
      <c r="EX15" s="10" t="s">
        <v>399</v>
      </c>
      <c r="EY15" s="9"/>
      <c r="EZ15" s="9"/>
      <c r="FA15" s="31" t="str">
        <f>IF(EZ15/(INDEX('Standards for Conversions'!$H$34:$H$73,MATCH(EY$3,'Standards for Conversions'!$A$34:$A$73,0)))=0,"",EZ15/(INDEX('Standards for Conversions'!$H$34:$H$73,MATCH(EY$3,'Standards for Conversions'!$A$34:$A$73,0))))</f>
        <v/>
      </c>
      <c r="FB15" s="10" t="s">
        <v>399</v>
      </c>
      <c r="FC15" s="9"/>
      <c r="FD15" s="9"/>
      <c r="FE15" s="31" t="str">
        <f>IF(FD15/(INDEX('Standards for Conversions'!$H$34:$H$73,MATCH(FC$3,'Standards for Conversions'!$A$34:$A$73,0)))=0,"",FD15/(INDEX('Standards for Conversions'!$H$34:$H$73,MATCH(FC$3,'Standards for Conversions'!$A$34:$A$73,0))))</f>
        <v/>
      </c>
      <c r="FF15" s="10" t="s">
        <v>399</v>
      </c>
      <c r="FG15" s="9"/>
      <c r="FH15" s="9"/>
      <c r="FI15" s="31" t="str">
        <f>IF(FH15/(INDEX('Standards for Conversions'!$H$34:$H$73,MATCH(FG$3,'Standards for Conversions'!$A$34:$A$73,0)))=0,"",FH15/(INDEX('Standards for Conversions'!$H$34:$H$73,MATCH(FG$3,'Standards for Conversions'!$A$34:$A$73,0))))</f>
        <v/>
      </c>
      <c r="FJ15" s="10" t="s">
        <v>399</v>
      </c>
      <c r="FK15" s="9"/>
      <c r="FL15" s="9"/>
      <c r="FM15" s="31" t="str">
        <f>IF(FL15/(INDEX('Standards for Conversions'!$H$34:$H$73,MATCH(FK$3,'Standards for Conversions'!$A$34:$A$73,0)))=0,"",FL15/(INDEX('Standards for Conversions'!$H$34:$H$73,MATCH(FK$3,'Standards for Conversions'!$A$34:$A$73,0))))</f>
        <v/>
      </c>
      <c r="FN15" s="10" t="s">
        <v>399</v>
      </c>
      <c r="FO15" s="9"/>
      <c r="FP15" s="9"/>
      <c r="FQ15" s="31" t="str">
        <f>IF(FP15/(INDEX('Standards for Conversions'!$H$34:$H$73,MATCH(FO$3,'Standards for Conversions'!$A$34:$A$73,0)))=0,"",FP15/(INDEX('Standards for Conversions'!$H$34:$H$73,MATCH(FO$3,'Standards for Conversions'!$A$34:$A$73,0))))</f>
        <v/>
      </c>
      <c r="FR15" s="10" t="s">
        <v>399</v>
      </c>
      <c r="FS15" s="9"/>
      <c r="FT15" s="9"/>
      <c r="FU15" s="31" t="str">
        <f>IF(FT15/(INDEX('Standards for Conversions'!$H$34:$H$73,MATCH(FS$3,'Standards for Conversions'!$A$34:$A$73,0)))=0,"",FT15/(INDEX('Standards for Conversions'!$H$34:$H$73,MATCH(FS$3,'Standards for Conversions'!$A$34:$A$73,0))))</f>
        <v/>
      </c>
      <c r="FV15" s="10" t="s">
        <v>399</v>
      </c>
      <c r="FW15" s="9"/>
      <c r="FX15" s="9"/>
      <c r="FY15" s="31" t="str">
        <f>IF(FX15/(INDEX('Standards for Conversions'!$H$34:$H$73,MATCH(FW$3,'Standards for Conversions'!$A$34:$A$73,0)))=0,"",FX15/(INDEX('Standards for Conversions'!$H$34:$H$73,MATCH(FW$3,'Standards for Conversions'!$A$34:$A$73,0))))</f>
        <v/>
      </c>
      <c r="FZ15" s="10" t="s">
        <v>399</v>
      </c>
      <c r="GA15" s="9">
        <f>1.75*50</f>
        <v>87.5</v>
      </c>
      <c r="GB15" s="9">
        <v>500</v>
      </c>
      <c r="GC15" s="31">
        <f>IF(GB15/(INDEX('Standards for Conversions'!$H$34:$H$73,MATCH(GA$3,'Standards for Conversions'!$A$34:$A$73,0)))=0,"",GB15/(INDEX('Standards for Conversions'!$H$34:$H$73,MATCH(GA$3,'Standards for Conversions'!$A$34:$A$73,0))))</f>
        <v>82.256330385852081</v>
      </c>
      <c r="GD15" s="10" t="s">
        <v>399</v>
      </c>
      <c r="GE15" s="9"/>
      <c r="GF15" s="9"/>
      <c r="GG15" s="31" t="str">
        <f>IF(GF15/(INDEX('Standards for Conversions'!$H$34:$H$73,MATCH(GE$3,'Standards for Conversions'!$A$34:$A$73,0)))=0,"",GF15/(INDEX('Standards for Conversions'!$H$34:$H$73,MATCH(GE$3,'Standards for Conversions'!$A$34:$A$73,0))))</f>
        <v/>
      </c>
      <c r="GH15" s="10" t="s">
        <v>399</v>
      </c>
      <c r="GI15" s="9"/>
      <c r="GJ15" s="9"/>
      <c r="GK15" s="31" t="str">
        <f>IF(GJ15/(INDEX('Standards for Conversions'!$H$34:$H$73,MATCH(GI$3,'Standards for Conversions'!$A$34:$A$73,0)))=0,"",GJ15/(INDEX('Standards for Conversions'!$H$34:$H$73,MATCH(GI$3,'Standards for Conversions'!$A$34:$A$73,0))))</f>
        <v/>
      </c>
      <c r="GL15" s="10" t="s">
        <v>399</v>
      </c>
      <c r="GM15" s="9"/>
      <c r="GN15" s="9"/>
      <c r="GO15" s="31" t="str">
        <f>IF(GN15/(INDEX('Standards for Conversions'!$H$34:$H$73,MATCH(GM$3,'Standards for Conversions'!$A$34:$A$73,0)))=0,"",GN15/(INDEX('Standards for Conversions'!$H$34:$H$73,MATCH(GM$3,'Standards for Conversions'!$A$34:$A$73,0))))</f>
        <v/>
      </c>
      <c r="GP15" s="10" t="s">
        <v>399</v>
      </c>
      <c r="GQ15" s="9">
        <f>1.75*55</f>
        <v>96.25</v>
      </c>
      <c r="GR15" s="9">
        <v>550</v>
      </c>
      <c r="GS15" s="31">
        <f>IF(GR15/(INDEX('Standards for Conversions'!$H$34:$H$73,MATCH(GQ$3,'Standards for Conversions'!$A$34:$A$73,0)))=0,"",GR15/(INDEX('Standards for Conversions'!$H$34:$H$73,MATCH(GQ$3,'Standards for Conversions'!$A$34:$A$73,0))))</f>
        <v>84.542992852176937</v>
      </c>
      <c r="GT15" s="10" t="s">
        <v>399</v>
      </c>
      <c r="GU15" s="9"/>
      <c r="GV15" s="9"/>
      <c r="GW15" s="31" t="str">
        <f>IF(GV15/(INDEX('Standards for Conversions'!$H$34:$H$73,MATCH(GU$3,'Standards for Conversions'!$A$34:$A$73,0)))=0,"",GV15/(INDEX('Standards for Conversions'!$H$34:$H$73,MATCH(GU$3,'Standards for Conversions'!$A$34:$A$73,0))))</f>
        <v/>
      </c>
      <c r="GX15" s="10" t="s">
        <v>399</v>
      </c>
      <c r="GY15" s="9"/>
      <c r="GZ15" s="9"/>
      <c r="HA15" s="31" t="str">
        <f>IF(GZ15/(INDEX('Standards for Conversions'!$H$34:$H$73,MATCH(GY$3,'Standards for Conversions'!$A$34:$A$73,0)))=0,"",GZ15/(INDEX('Standards for Conversions'!$H$34:$H$73,MATCH(GY$3,'Standards for Conversions'!$A$34:$A$73,0))))</f>
        <v/>
      </c>
      <c r="HB15" s="10" t="s">
        <v>399</v>
      </c>
      <c r="HC15" s="9"/>
      <c r="HD15" s="9"/>
      <c r="HE15" s="31" t="str">
        <f>IF(HD15/(INDEX('Standards for Conversions'!$H$34:$H$73,MATCH(HC$3,'Standards for Conversions'!$A$34:$A$73,0)))=0,"",HD15/(INDEX('Standards for Conversions'!$H$34:$H$73,MATCH(HC$3,'Standards for Conversions'!$A$34:$A$73,0))))</f>
        <v/>
      </c>
      <c r="HF15" s="10" t="s">
        <v>399</v>
      </c>
      <c r="HG15" s="9"/>
      <c r="HH15" s="9"/>
      <c r="HI15" s="31" t="str">
        <f>IF(HH15/(INDEX('Standards for Conversions'!$H$34:$H$73,MATCH(HG$3,'Standards for Conversions'!$A$34:$A$73,0)))=0,"",HH15/(INDEX('Standards for Conversions'!$H$34:$H$73,MATCH(HG$3,'Standards for Conversions'!$A$34:$A$73,0))))</f>
        <v/>
      </c>
      <c r="HJ15" s="10" t="s">
        <v>399</v>
      </c>
      <c r="HK15" s="9"/>
      <c r="HL15" s="9"/>
      <c r="HM15" s="31" t="str">
        <f>IF(HL15/(INDEX('Standards for Conversions'!$H$34:$H$73,MATCH(HK$3,'Standards for Conversions'!$A$34:$A$73,0)))=0,"",HL15/(INDEX('Standards for Conversions'!$H$34:$H$73,MATCH(HK$3,'Standards for Conversions'!$A$34:$A$73,0))))</f>
        <v/>
      </c>
      <c r="HN15" s="10" t="s">
        <v>399</v>
      </c>
      <c r="HO15" s="9"/>
      <c r="HP15" s="9"/>
      <c r="HQ15" s="31" t="str">
        <f>IF(HP15/(INDEX('Standards for Conversions'!$H$34:$H$73,MATCH(HO$3,'Standards for Conversions'!$A$34:$A$73,0)))=0,"",HP15/(INDEX('Standards for Conversions'!$H$34:$H$73,MATCH(HO$3,'Standards for Conversions'!$A$34:$A$73,0))))</f>
        <v/>
      </c>
      <c r="HR15" s="33" t="s">
        <v>399</v>
      </c>
      <c r="HU15" s="31" t="str">
        <f>IF(HT15/(INDEX('Standards for Conversions'!$H$47:$H$73,MATCH(HS$3,'Standards for Conversions'!$A$47:$A$73,0)))=0,"",HT15/(INDEX('Standards for Conversions'!$H$47:$H$73,MATCH(HS$3,'Standards for Conversions'!$A$47:$A$73,0))))</f>
        <v/>
      </c>
      <c r="HV15" s="33" t="s">
        <v>399</v>
      </c>
      <c r="HY15" s="31" t="str">
        <f>IF(HX15/(INDEX('Standards for Conversions'!$H$47:$H$73,MATCH(HW$3,'Standards for Conversions'!$A$47:$A$73,0)))=0,"",HX15/(INDEX('Standards for Conversions'!$H$47:$H$73,MATCH(HW$3,'Standards for Conversions'!$A$47:$A$73,0))))</f>
        <v/>
      </c>
      <c r="IB15" s="31" t="str">
        <f>IF(IA15/(INDEX('Standards for Conversions'!$H$47:$H$73,MATCH(HZ$3,'Standards for Conversions'!$A$47:$A$73,0)))=0,"",IA15/(INDEX('Standards for Conversions'!$H$47:$H$73,MATCH(HZ$3,'Standards for Conversions'!$A$47:$A$73,0))))</f>
        <v/>
      </c>
      <c r="IC15" s="33" t="s">
        <v>399</v>
      </c>
      <c r="IF15" s="31" t="str">
        <f>IF(IE15/(INDEX('Standards for Conversions'!$H$47:$H$73,MATCH(ID$3,'Standards for Conversions'!$A$47:$A$73,0)))=0,"",IE15/(INDEX('Standards for Conversions'!$H$47:$H$73,MATCH(ID$3,'Standards for Conversions'!$A$47:$A$73,0))))</f>
        <v/>
      </c>
      <c r="IG15" s="33" t="s">
        <v>399</v>
      </c>
      <c r="IJ15" s="31" t="str">
        <f>IF(II15/(INDEX('Standards for Conversions'!$H$47:$H$73,MATCH(IH$3,'Standards for Conversions'!$A$47:$A$73,0)))=0,"",II15/(INDEX('Standards for Conversions'!$H$47:$H$73,MATCH(IH$3,'Standards for Conversions'!$A$47:$A$73,0))))</f>
        <v/>
      </c>
      <c r="IK15" s="33" t="s">
        <v>399</v>
      </c>
      <c r="IL15" s="33">
        <f>1.75*20</f>
        <v>35</v>
      </c>
      <c r="IM15" s="33">
        <v>180</v>
      </c>
      <c r="IN15" s="31">
        <f>IF(IM15/(INDEX('Standards for Conversions'!$H$47:$H$73,MATCH(IL$3,'Standards for Conversions'!$A$47:$A$73,0)))=0,"",IM15/(INDEX('Standards for Conversions'!$H$47:$H$73,MATCH(IL$3,'Standards for Conversions'!$A$47:$A$73,0))))</f>
        <v>26.029841074997826</v>
      </c>
      <c r="IR15" s="31" t="str">
        <f>IF(IQ15/(INDEX('Standards for Conversions'!$H$47:$H$73,MATCH(IP$3,'Standards for Conversions'!$A$47:$A$73,0)))=0,"",IQ15/(INDEX('Standards for Conversions'!$H$47:$H$73,MATCH(IP$3,'Standards for Conversions'!$A$47:$A$73,0))))</f>
        <v/>
      </c>
      <c r="IV15" s="31" t="str">
        <f>IF(IU15/(INDEX('Standards for Conversions'!$H$47:$H$73,MATCH(IT$3,'Standards for Conversions'!$A$47:$A$73,0)))=0,"",IU15/(INDEX('Standards for Conversions'!$H$47:$H$73,MATCH(IT$3,'Standards for Conversions'!$A$47:$A$73,0))))</f>
        <v/>
      </c>
      <c r="IZ15" s="31" t="str">
        <f>IF(IY15/(INDEX('Standards for Conversions'!$H$47:$H$73,MATCH(IX$3,'Standards for Conversions'!$A$47:$A$73,0)))=0,"",IY15/(INDEX('Standards for Conversions'!$H$47:$H$73,MATCH(IX$3,'Standards for Conversions'!$A$47:$A$73,0))))</f>
        <v/>
      </c>
      <c r="JD15" s="31" t="str">
        <f>IF(JC15/(INDEX('Standards for Conversions'!$H$47:$H$73,MATCH(JB$3,'Standards for Conversions'!$A$47:$A$73,0)))=0,"",JC15/(INDEX('Standards for Conversions'!$H$47:$H$73,MATCH(JB$3,'Standards for Conversions'!$A$47:$A$73,0))))</f>
        <v/>
      </c>
      <c r="JH15" s="31" t="str">
        <f>IF(JG15/(INDEX('Standards for Conversions'!$H$47:$H$73,MATCH(JF$3,'Standards for Conversions'!$A$47:$A$73,0)))=0,"",JG15/(INDEX('Standards for Conversions'!$H$47:$H$73,MATCH(JF$3,'Standards for Conversions'!$A$47:$A$73,0))))</f>
        <v/>
      </c>
      <c r="JL15" s="31" t="str">
        <f>IF(JK15/(INDEX('Standards for Conversions'!$H$47:$H$73,MATCH(JJ$3,'Standards for Conversions'!$A$47:$A$73,0)))=0,"",JK15/(INDEX('Standards for Conversions'!$H$47:$H$73,MATCH(JJ$3,'Standards for Conversions'!$A$47:$A$73,0))))</f>
        <v/>
      </c>
      <c r="JP15" s="31" t="str">
        <f>IF(JO15/(INDEX('Standards for Conversions'!$H$47:$H$73,MATCH(JN$3,'Standards for Conversions'!$A$47:$A$73,0)))=0,"",JO15/(INDEX('Standards for Conversions'!$H$47:$H$73,MATCH(JN$3,'Standards for Conversions'!$A$47:$A$73,0))))</f>
        <v/>
      </c>
      <c r="JT15" s="31" t="str">
        <f>IF(JS15/(INDEX('Standards for Conversions'!$H$47:$H$73,MATCH(JR$3,'Standards for Conversions'!$A$47:$A$73,0)))=0,"",JS15/(INDEX('Standards for Conversions'!$H$47:$H$73,MATCH(JR$3,'Standards for Conversions'!$A$47:$A$73,0))))</f>
        <v/>
      </c>
      <c r="JX15" s="31" t="str">
        <f>IF(JW15/(INDEX('Standards for Conversions'!$H$47:$H$73,MATCH(JV$3,'Standards for Conversions'!$A$47:$A$73,0)))=0,"",JW15/(INDEX('Standards for Conversions'!$H$47:$H$73,MATCH(JV$3,'Standards for Conversions'!$A$47:$A$73,0))))</f>
        <v/>
      </c>
      <c r="KB15" s="31" t="str">
        <f>IF(KA15/(INDEX('Standards for Conversions'!$H$47:$H$73,MATCH(JZ$3,'Standards for Conversions'!$A$47:$A$73,0)))=0,"",KA15/(INDEX('Standards for Conversions'!$H$47:$H$73,MATCH(JZ$3,'Standards for Conversions'!$A$47:$A$73,0))))</f>
        <v/>
      </c>
      <c r="KF15" s="31" t="str">
        <f>IF(KE15/(INDEX('Standards for Conversions'!$H$47:$H$73,MATCH(KD$3,'Standards for Conversions'!$A$47:$A$73,0)))=0,"",KE15/(INDEX('Standards for Conversions'!$H$47:$H$73,MATCH(KD$3,'Standards for Conversions'!$A$47:$A$73,0))))</f>
        <v/>
      </c>
      <c r="KJ15" s="31" t="str">
        <f>IF(KI15/(INDEX('Standards for Conversions'!$H$47:$H$73,MATCH(KH$3,'Standards for Conversions'!$A$47:$A$73,0)))=0,"",KI15/(INDEX('Standards for Conversions'!$H$47:$H$73,MATCH(KH$3,'Standards for Conversions'!$A$47:$A$73,0))))</f>
        <v/>
      </c>
      <c r="KN15" s="31" t="str">
        <f>IF(KM15/(INDEX('Standards for Conversions'!$H$47:$H$73,MATCH(KL$3,'Standards for Conversions'!$A$47:$A$73,0)))=0,"",KM15/(INDEX('Standards for Conversions'!$H$47:$H$73,MATCH(KL$3,'Standards for Conversions'!$A$47:$A$73,0))))</f>
        <v/>
      </c>
      <c r="KR15" s="31" t="str">
        <f>IF(KQ15/(INDEX('Standards for Conversions'!$H$47:$H$73,MATCH(KP$3,'Standards for Conversions'!$A$47:$A$73,0)))=0,"",KQ15/(INDEX('Standards for Conversions'!$H$47:$H$73,MATCH(KP$3,'Standards for Conversions'!$A$47:$A$73,0))))</f>
        <v/>
      </c>
      <c r="KV15" s="31" t="str">
        <f>IF(KU15/(INDEX('Standards for Conversions'!$H$47:$H$73,MATCH(KT$3,'Standards for Conversions'!$A$47:$A$73,0)))=0,"",KU15/(INDEX('Standards for Conversions'!$H$47:$H$73,MATCH(KT$3,'Standards for Conversions'!$A$47:$A$73,0))))</f>
        <v/>
      </c>
      <c r="KZ15" s="31" t="str">
        <f>IF(KY15/(INDEX('Standards for Conversions'!$H$47:$H$73,MATCH(KX$3,'Standards for Conversions'!$A$47:$A$73,0)))=0,"",KY15/(INDEX('Standards for Conversions'!$H$47:$H$73,MATCH(KX$3,'Standards for Conversions'!$A$47:$A$73,0))))</f>
        <v/>
      </c>
      <c r="LD15" s="31" t="str">
        <f>IF(LC15/(INDEX('Standards for Conversions'!$H$47:$H$73,MATCH(LB$3,'Standards for Conversions'!$A$47:$A$73,0)))=0,"",LC15/(INDEX('Standards for Conversions'!$H$47:$H$73,MATCH(LB$3,'Standards for Conversions'!$A$47:$A$73,0))))</f>
        <v/>
      </c>
      <c r="LH15" s="31" t="str">
        <f>IF(LG15/(INDEX('Standards for Conversions'!$H$47:$H$73,MATCH(LF$3,'Standards for Conversions'!$A$47:$A$73,0)))=0,"",LG15/(INDEX('Standards for Conversions'!$H$47:$H$73,MATCH(LF$3,'Standards for Conversions'!$A$47:$A$73,0))))</f>
        <v/>
      </c>
      <c r="LL15" s="31" t="str">
        <f>IF(LK15/(INDEX('Standards for Conversions'!$H$47:$H$73,MATCH(LJ$3,'Standards for Conversions'!$A$47:$A$73,0)))=0,"",LK15/(INDEX('Standards for Conversions'!$H$47:$H$73,MATCH(LJ$3,'Standards for Conversions'!$A$47:$A$73,0))))</f>
        <v/>
      </c>
      <c r="LO15" s="31" t="str">
        <f>IF(LN15/(INDEX('Standards for Conversions'!$H$47:$H$73,MATCH(LM$3,'Standards for Conversions'!$A$47:$A$73,0)))=0,"",LN15/(INDEX('Standards for Conversions'!$H$47:$H$73,MATCH(LM$3,'Standards for Conversions'!$A$47:$A$73,0))))</f>
        <v/>
      </c>
      <c r="LR15" s="31" t="str">
        <f>IF(LQ15/(INDEX('Standards for Conversions'!$H$47:$H$73,MATCH(LP$3,'Standards for Conversions'!$A$47:$A$73,0)))=0,"",LQ15/(INDEX('Standards for Conversions'!$H$47:$H$73,MATCH(LP$3,'Standards for Conversions'!$A$47:$A$73,0))))</f>
        <v/>
      </c>
      <c r="LV15" s="31" t="str">
        <f>IF(LU15/(INDEX('Standards for Conversions'!$H$47:$H$73,MATCH(LT$3,'Standards for Conversions'!$A$47:$A$73,0)))=0,"",LU15/(INDEX('Standards for Conversions'!$H$47:$H$73,MATCH(LT$3,'Standards for Conversions'!$A$47:$A$73,0))))</f>
        <v/>
      </c>
      <c r="LY15" s="31" t="str">
        <f>IF(LX15/(INDEX('Standards for Conversions'!$H$47:$H$73,MATCH(LW$3,'Standards for Conversions'!$A$47:$A$73,0)))=0,"",LX15/(INDEX('Standards for Conversions'!$H$47:$H$73,MATCH(LW$3,'Standards for Conversions'!$A$47:$A$73,0))))</f>
        <v/>
      </c>
      <c r="MB15" s="31" t="str">
        <f>IF(MA15/(INDEX('Standards for Conversions'!$H$47:$H$73,MATCH(LZ$3,'Standards for Conversions'!$A$47:$A$73,0)))=0,"",MA15/(INDEX('Standards for Conversions'!$H$47:$H$73,MATCH(LZ$3,'Standards for Conversions'!$A$47:$A$73,0))))</f>
        <v/>
      </c>
      <c r="ME15" s="31" t="str">
        <f>IF(MD15/(INDEX('Standards for Conversions'!$H$47:$H$73,MATCH(MC$3,'Standards for Conversions'!$A$47:$A$73,0)))=0,"",MD15/(INDEX('Standards for Conversions'!$H$47:$H$73,MATCH(MC$3,'Standards for Conversions'!$A$47:$A$73,0))))</f>
        <v/>
      </c>
      <c r="MH15" s="31" t="str">
        <f>IF(MG15/(INDEX('Standards for Conversions'!$H$47:$H$73,MATCH(MF$3,'Standards for Conversions'!$A$47:$A$73,0)))=0,"",MG15/(INDEX('Standards for Conversions'!$H$47:$H$73,MATCH(MF$3,'Standards for Conversions'!$A$47:$A$73,0))))</f>
        <v/>
      </c>
      <c r="MK15" s="31" t="str">
        <f>IF(MJ15/(INDEX('Standards for Conversions'!$H$47:$H$73,MATCH(MI$3,'Standards for Conversions'!$A$47:$A$73,0)))=0,"",MJ15/(INDEX('Standards for Conversions'!$H$47:$H$73,MATCH(MI$3,'Standards for Conversions'!$A$47:$A$73,0))))</f>
        <v/>
      </c>
      <c r="MN15" s="31" t="str">
        <f>IF(MM15/(INDEX('Standards for Conversions'!$H$47:$H$73,MATCH(ML$3,'Standards for Conversions'!$A$47:$A$73,0)))=0,"",MM15/(INDEX('Standards for Conversions'!$H$47:$H$73,MATCH(ML$3,'Standards for Conversions'!$A$47:$A$73,0))))</f>
        <v/>
      </c>
      <c r="MR15" s="31" t="str">
        <f>IF(MQ15/(INDEX('Standards for Conversions'!$H$47:$H$73,MATCH(MP$3,'Standards for Conversions'!$A$47:$A$73,0)))=0,"",MQ15/(INDEX('Standards for Conversions'!$H$47:$H$73,MATCH(MP$3,'Standards for Conversions'!$A$47:$A$73,0))))</f>
        <v/>
      </c>
    </row>
    <row r="16" spans="1:373" s="33" customFormat="1" x14ac:dyDescent="0.3">
      <c r="A16" s="104" t="s">
        <v>199</v>
      </c>
      <c r="B16" s="10" t="s">
        <v>399</v>
      </c>
      <c r="C16" s="7"/>
      <c r="D16" s="7"/>
      <c r="E16" s="31" t="str">
        <f>IF(D16/(INDEX('Standards for Conversions'!$H$34:$H$73,MATCH(C$3,'Standards for Conversions'!$A$34:$A$73,0)))=0,"",D16/(INDEX('Standards for Conversions'!$H$34:$H$73,MATCH(C$3,'Standards for Conversions'!$A$34:$A$73,0))))</f>
        <v/>
      </c>
      <c r="F16" s="10" t="s">
        <v>399</v>
      </c>
      <c r="G16" s="7"/>
      <c r="H16" s="7"/>
      <c r="I16" s="31" t="str">
        <f>IF(H16/(INDEX('Standards for Conversions'!$H$34:$H$73,MATCH(G$3,'Standards for Conversions'!$A$34:$A$73,0)))=0,"",H16/(INDEX('Standards for Conversions'!$H$34:$H$73,MATCH(G$3,'Standards for Conversions'!$A$34:$A$73,0))))</f>
        <v/>
      </c>
      <c r="J16" s="10" t="s">
        <v>399</v>
      </c>
      <c r="K16" s="9"/>
      <c r="L16" s="9"/>
      <c r="M16" s="31" t="str">
        <f>IF(L16/(INDEX('Standards for Conversions'!$H$34:$H$73,MATCH(K$3,'Standards for Conversions'!$A$34:$A$73,0)))=0,"",L16/(INDEX('Standards for Conversions'!$H$34:$H$73,MATCH(K$3,'Standards for Conversions'!$A$34:$A$73,0))))</f>
        <v/>
      </c>
      <c r="N16" s="6" t="s">
        <v>374</v>
      </c>
      <c r="O16" s="7">
        <v>27</v>
      </c>
      <c r="P16" s="7">
        <v>350</v>
      </c>
      <c r="Q16" s="31">
        <f>IF(P16/(INDEX('Standards for Conversions'!$H$34:$H$73,MATCH(O$3,'Standards for Conversions'!$A$34:$A$73,0)))=0,"",P16/(INDEX('Standards for Conversions'!$H$34:$H$73,MATCH(O$3,'Standards for Conversions'!$A$34:$A$73,0))))</f>
        <v>69.139780405405389</v>
      </c>
      <c r="R16" s="10" t="s">
        <v>399</v>
      </c>
      <c r="S16" s="7"/>
      <c r="T16" s="7"/>
      <c r="U16" s="31" t="str">
        <f>IF(T16/(INDEX('Standards for Conversions'!$H$34:$H$73,MATCH(S$3,'Standards for Conversions'!$A$34:$A$73,0)))=0,"",T16/(INDEX('Standards for Conversions'!$H$34:$H$73,MATCH(S$3,'Standards for Conversions'!$A$34:$A$73,0))))</f>
        <v/>
      </c>
      <c r="V16" s="10" t="s">
        <v>399</v>
      </c>
      <c r="W16" s="7"/>
      <c r="X16" s="7"/>
      <c r="Y16" s="31" t="str">
        <f>IF(X16/(INDEX('Standards for Conversions'!$H$34:$H$73,MATCH(W$3,'Standards for Conversions'!$A$34:$A$73,0)))=0,"",X16/(INDEX('Standards for Conversions'!$H$34:$H$73,MATCH(W$3,'Standards for Conversions'!$A$34:$A$73,0))))</f>
        <v/>
      </c>
      <c r="Z16" s="10" t="s">
        <v>399</v>
      </c>
      <c r="AA16" s="9"/>
      <c r="AB16" s="9"/>
      <c r="AC16" s="31" t="str">
        <f>IF(AB16/(INDEX('Standards for Conversions'!$H$34:$H$73,MATCH(AA$3,'Standards for Conversions'!$A$34:$A$73,0)))=0,"",AB16/(INDEX('Standards for Conversions'!$H$34:$H$73,MATCH(AA$3,'Standards for Conversions'!$A$34:$A$73,0))))</f>
        <v/>
      </c>
      <c r="AD16" s="6" t="s">
        <v>374</v>
      </c>
      <c r="AE16" s="7">
        <v>50</v>
      </c>
      <c r="AF16" s="7">
        <v>700</v>
      </c>
      <c r="AG16" s="31">
        <f>IF(AF16/(INDEX('Standards for Conversions'!$H$34:$H$73,MATCH(AE$3,'Standards for Conversions'!$A$34:$A$73,0)))=0,"",AF16/(INDEX('Standards for Conversions'!$H$34:$H$73,MATCH(AE$3,'Standards for Conversions'!$A$34:$A$73,0))))</f>
        <v>134.87073991193765</v>
      </c>
      <c r="AH16" s="10" t="s">
        <v>399</v>
      </c>
      <c r="AI16" s="7"/>
      <c r="AJ16" s="7"/>
      <c r="AK16" s="31" t="str">
        <f>IF(AJ16/(INDEX('Standards for Conversions'!$H$34:$H$73,MATCH(AI$3,'Standards for Conversions'!$A$34:$A$73,0)))=0,"",AJ16/(INDEX('Standards for Conversions'!$H$34:$H$73,MATCH(AI$3,'Standards for Conversions'!$A$34:$A$73,0))))</f>
        <v/>
      </c>
      <c r="AL16" s="10" t="s">
        <v>399</v>
      </c>
      <c r="AM16" s="7"/>
      <c r="AN16" s="7"/>
      <c r="AO16" s="31" t="str">
        <f>IF(AN16/(INDEX('Standards for Conversions'!$H$34:$H$73,MATCH(AM$3,'Standards for Conversions'!$A$34:$A$73,0)))=0,"",AN16/(INDEX('Standards for Conversions'!$H$34:$H$73,MATCH(AM$3,'Standards for Conversions'!$A$34:$A$73,0))))</f>
        <v/>
      </c>
      <c r="AP16" s="10" t="s">
        <v>399</v>
      </c>
      <c r="AQ16" s="9"/>
      <c r="AR16" s="9"/>
      <c r="AS16" s="31" t="str">
        <f>IF(AR16/(INDEX('Standards for Conversions'!$H$34:$H$73,MATCH(AQ$3,'Standards for Conversions'!$A$34:$A$73,0)))=0,"",AR16/(INDEX('Standards for Conversions'!$H$34:$H$73,MATCH(AQ$3,'Standards for Conversions'!$A$34:$A$73,0))))</f>
        <v/>
      </c>
      <c r="AT16" s="6" t="s">
        <v>374</v>
      </c>
      <c r="AU16" s="7">
        <v>15</v>
      </c>
      <c r="AV16" s="7">
        <v>250</v>
      </c>
      <c r="AW16" s="31">
        <f>IF(AV16/(INDEX('Standards for Conversions'!$H$34:$H$73,MATCH(AU$3,'Standards for Conversions'!$A$34:$A$73,0)))=0,"",AV16/(INDEX('Standards for Conversions'!$H$34:$H$73,MATCH(AU$3,'Standards for Conversions'!$A$34:$A$73,0))))</f>
        <v>44.674609295790958</v>
      </c>
      <c r="AX16" s="10" t="s">
        <v>399</v>
      </c>
      <c r="AY16" s="7"/>
      <c r="AZ16" s="7"/>
      <c r="BA16" s="31" t="str">
        <f>IF(AZ16/(INDEX('Standards for Conversions'!$H$34:$H$73,MATCH(AY$3,'Standards for Conversions'!$A$34:$A$73,0)))=0,"",AZ16/(INDEX('Standards for Conversions'!$H$34:$H$73,MATCH(AY$3,'Standards for Conversions'!$A$34:$A$73,0))))</f>
        <v/>
      </c>
      <c r="BB16" s="10" t="s">
        <v>399</v>
      </c>
      <c r="BC16" s="7"/>
      <c r="BD16" s="7"/>
      <c r="BE16" s="31" t="str">
        <f>IF(BD16/(INDEX('Standards for Conversions'!$H$34:$H$73,MATCH(BC$3,'Standards for Conversions'!$A$34:$A$73,0)))=0,"",BD16/(INDEX('Standards for Conversions'!$H$34:$H$73,MATCH(BC$3,'Standards for Conversions'!$A$34:$A$73,0))))</f>
        <v/>
      </c>
      <c r="BF16" s="10" t="s">
        <v>399</v>
      </c>
      <c r="BG16" s="9"/>
      <c r="BH16" s="9"/>
      <c r="BI16" s="31" t="str">
        <f>IF(BH16/(INDEX('Standards for Conversions'!$H$34:$H$73,MATCH(BG$3,'Standards for Conversions'!$A$34:$A$73,0)))=0,"",BH16/(INDEX('Standards for Conversions'!$H$34:$H$73,MATCH(BG$3,'Standards for Conversions'!$A$34:$A$73,0))))</f>
        <v/>
      </c>
      <c r="BJ16" s="6" t="s">
        <v>374</v>
      </c>
      <c r="BK16" s="7">
        <v>5</v>
      </c>
      <c r="BL16" s="7">
        <v>100</v>
      </c>
      <c r="BM16" s="31">
        <f>IF(BL16/(INDEX('Standards for Conversions'!$H$34:$H$73,MATCH(BK$3,'Standards for Conversions'!$A$34:$A$73,0)))=0,"",BL16/(INDEX('Standards for Conversions'!$H$34:$H$73,MATCH(BK$3,'Standards for Conversions'!$A$34:$A$73,0))))</f>
        <v>18.568546138582313</v>
      </c>
      <c r="BN16" s="10" t="s">
        <v>399</v>
      </c>
      <c r="BO16" s="7"/>
      <c r="BP16" s="7"/>
      <c r="BQ16" s="31" t="str">
        <f>IF(BP16/(INDEX('Standards for Conversions'!$H$34:$H$73,MATCH(BO$3,'Standards for Conversions'!$A$34:$A$73,0)))=0,"",BP16/(INDEX('Standards for Conversions'!$H$34:$H$73,MATCH(BO$3,'Standards for Conversions'!$A$34:$A$73,0))))</f>
        <v/>
      </c>
      <c r="BR16" s="10" t="s">
        <v>399</v>
      </c>
      <c r="BS16" s="7"/>
      <c r="BT16" s="7"/>
      <c r="BU16" s="31" t="str">
        <f>IF(BT16/(INDEX('Standards for Conversions'!$H$34:$H$73,MATCH(BS$3,'Standards for Conversions'!$A$34:$A$73,0)))=0,"",BT16/(INDEX('Standards for Conversions'!$H$34:$H$73,MATCH(BS$3,'Standards for Conversions'!$A$34:$A$73,0))))</f>
        <v/>
      </c>
      <c r="BV16" s="10" t="s">
        <v>399</v>
      </c>
      <c r="BW16" s="9"/>
      <c r="BX16" s="9"/>
      <c r="BY16" s="31" t="str">
        <f>IF(BX16/(INDEX('Standards for Conversions'!$H$34:$H$73,MATCH(BW$3,'Standards for Conversions'!$A$34:$A$73,0)))=0,"",BX16/(INDEX('Standards for Conversions'!$H$34:$H$73,MATCH(BW$3,'Standards for Conversions'!$A$34:$A$73,0))))</f>
        <v/>
      </c>
      <c r="BZ16" s="6" t="s">
        <v>374</v>
      </c>
      <c r="CA16" s="7">
        <v>5</v>
      </c>
      <c r="CB16" s="7">
        <v>100</v>
      </c>
      <c r="CC16" s="31">
        <f>IF(CB16/(INDEX('Standards for Conversions'!$H$34:$H$73,MATCH(CA$3,'Standards for Conversions'!$A$34:$A$73,0)))=0,"",CB16/(INDEX('Standards for Conversions'!$H$34:$H$73,MATCH(CA$3,'Standards for Conversions'!$A$34:$A$73,0))))</f>
        <v>17.806325316474027</v>
      </c>
      <c r="CD16" s="10" t="s">
        <v>399</v>
      </c>
      <c r="CE16" s="7"/>
      <c r="CF16" s="7"/>
      <c r="CG16" s="31" t="str">
        <f>IF(CF16/(INDEX('Standards for Conversions'!$H$34:$H$73,MATCH(CE$3,'Standards for Conversions'!$A$34:$A$73,0)))=0,"",CF16/(INDEX('Standards for Conversions'!$H$34:$H$73,MATCH(CE$3,'Standards for Conversions'!$A$34:$A$73,0))))</f>
        <v/>
      </c>
      <c r="CH16" s="10" t="s">
        <v>399</v>
      </c>
      <c r="CI16" s="7"/>
      <c r="CJ16" s="7"/>
      <c r="CK16" s="31" t="str">
        <f>IF(CJ16/(INDEX('Standards for Conversions'!$H$34:$H$73,MATCH(CI$3,'Standards for Conversions'!$A$34:$A$73,0)))=0,"",CJ16/(INDEX('Standards for Conversions'!$H$34:$H$73,MATCH(CI$3,'Standards for Conversions'!$A$34:$A$73,0))))</f>
        <v/>
      </c>
      <c r="CL16" s="10" t="s">
        <v>399</v>
      </c>
      <c r="CM16" s="9"/>
      <c r="CN16" s="9"/>
      <c r="CO16" s="31" t="str">
        <f>IF(CN16/(INDEX('Standards for Conversions'!$H$34:$H$73,MATCH(CM$3,'Standards for Conversions'!$A$34:$A$73,0)))=0,"",CN16/(INDEX('Standards for Conversions'!$H$34:$H$73,MATCH(CM$3,'Standards for Conversions'!$A$34:$A$73,0))))</f>
        <v/>
      </c>
      <c r="CP16" s="10" t="s">
        <v>399</v>
      </c>
      <c r="CQ16" s="7">
        <f>1.63*250</f>
        <v>407.5</v>
      </c>
      <c r="CR16" s="7">
        <v>400</v>
      </c>
      <c r="CS16" s="31">
        <f>IF(CR16/(INDEX('Standards for Conversions'!$H$34:$H$73,MATCH(CQ$3,'Standards for Conversions'!$A$34:$A$73,0)))=0,"",CR16/(INDEX('Standards for Conversions'!$H$34:$H$73,MATCH(CQ$3,'Standards for Conversions'!$A$34:$A$73,0))))</f>
        <v>69.446786014310135</v>
      </c>
      <c r="CT16" s="10" t="s">
        <v>399</v>
      </c>
      <c r="CU16" s="7"/>
      <c r="CV16" s="7"/>
      <c r="CW16" s="31" t="str">
        <f>IF(CV16/(INDEX('Standards for Conversions'!$H$34:$H$73,MATCH(CU$3,'Standards for Conversions'!$A$34:$A$73,0)))=0,"",CV16/(INDEX('Standards for Conversions'!$H$34:$H$73,MATCH(CU$3,'Standards for Conversions'!$A$34:$A$73,0))))</f>
        <v/>
      </c>
      <c r="CX16" s="10" t="s">
        <v>399</v>
      </c>
      <c r="CY16" s="7"/>
      <c r="CZ16" s="7"/>
      <c r="DA16" s="31" t="str">
        <f>IF(CZ16/(INDEX('Standards for Conversions'!$H$34:$H$73,MATCH(CY$3,'Standards for Conversions'!$A$34:$A$73,0)))=0,"",CZ16/(INDEX('Standards for Conversions'!$H$34:$H$73,MATCH(CY$3,'Standards for Conversions'!$A$34:$A$73,0))))</f>
        <v/>
      </c>
      <c r="DB16" s="10" t="s">
        <v>399</v>
      </c>
      <c r="DC16" s="9"/>
      <c r="DD16" s="9"/>
      <c r="DE16" s="31" t="str">
        <f>IF(DD16/(INDEX('Standards for Conversions'!$H$34:$H$73,MATCH(DC$3,'Standards for Conversions'!$A$34:$A$73,0)))=0,"",DD16/(INDEX('Standards for Conversions'!$H$34:$H$73,MATCH(DC$3,'Standards for Conversions'!$A$34:$A$73,0))))</f>
        <v/>
      </c>
      <c r="DF16" s="10" t="s">
        <v>399</v>
      </c>
      <c r="DG16" s="7">
        <f>1.63*393</f>
        <v>640.58999999999992</v>
      </c>
      <c r="DH16" s="7">
        <v>1100</v>
      </c>
      <c r="DI16" s="31">
        <f>IF(DH16/(INDEX('Standards for Conversions'!$H$34:$H$73,MATCH(DG$3,'Standards for Conversions'!$A$34:$A$73,0)))=0,"",DH16/(INDEX('Standards for Conversions'!$H$34:$H$73,MATCH(DG$3,'Standards for Conversions'!$A$34:$A$73,0))))</f>
        <v>194.7050744474378</v>
      </c>
      <c r="DJ16" s="10" t="s">
        <v>399</v>
      </c>
      <c r="DK16" s="7"/>
      <c r="DL16" s="7"/>
      <c r="DM16" s="31" t="str">
        <f>IF(DL16/(INDEX('Standards for Conversions'!$H$34:$H$73,MATCH(DK$3,'Standards for Conversions'!$A$34:$A$73,0)))=0,"",DL16/(INDEX('Standards for Conversions'!$H$34:$H$73,MATCH(DK$3,'Standards for Conversions'!$A$34:$A$73,0))))</f>
        <v/>
      </c>
      <c r="DN16" s="10" t="s">
        <v>399</v>
      </c>
      <c r="DO16" s="7"/>
      <c r="DP16" s="7"/>
      <c r="DQ16" s="31" t="str">
        <f>IF(DP16/(INDEX('Standards for Conversions'!$H$34:$H$73,MATCH(DO$3,'Standards for Conversions'!$A$34:$A$73,0)))=0,"",DP16/(INDEX('Standards for Conversions'!$H$34:$H$73,MATCH(DO$3,'Standards for Conversions'!$A$34:$A$73,0))))</f>
        <v/>
      </c>
      <c r="DR16" s="10" t="s">
        <v>399</v>
      </c>
      <c r="DS16" s="9"/>
      <c r="DT16" s="9"/>
      <c r="DU16" s="31" t="str">
        <f>IF(DT16/(INDEX('Standards for Conversions'!$H$34:$H$73,MATCH(DS$3,'Standards for Conversions'!$A$34:$A$73,0)))=0,"",DT16/(INDEX('Standards for Conversions'!$H$34:$H$73,MATCH(DS$3,'Standards for Conversions'!$A$34:$A$73,0))))</f>
        <v/>
      </c>
      <c r="DV16" s="10" t="s">
        <v>399</v>
      </c>
      <c r="DW16" s="7">
        <f>1.63*700</f>
        <v>1141</v>
      </c>
      <c r="DX16" s="7">
        <v>1500</v>
      </c>
      <c r="DY16" s="31">
        <f>IF(DX16/(INDEX('Standards for Conversions'!$H$34:$H$73,MATCH(DW$3,'Standards for Conversions'!$A$34:$A$73,0)))=0,"",DX16/(INDEX('Standards for Conversions'!$H$34:$H$73,MATCH(DW$3,'Standards for Conversions'!$A$34:$A$73,0))))</f>
        <v>262.64859161814547</v>
      </c>
      <c r="DZ16" s="10" t="s">
        <v>399</v>
      </c>
      <c r="EA16" s="7"/>
      <c r="EB16" s="7"/>
      <c r="EC16" s="31" t="str">
        <f>IF(EB16/(INDEX('Standards for Conversions'!$H$34:$H$73,MATCH(EA$3,'Standards for Conversions'!$A$34:$A$73,0)))=0,"",EB16/(INDEX('Standards for Conversions'!$H$34:$H$73,MATCH(EA$3,'Standards for Conversions'!$A$34:$A$73,0))))</f>
        <v/>
      </c>
      <c r="ED16" s="10" t="s">
        <v>399</v>
      </c>
      <c r="EE16" s="7"/>
      <c r="EF16" s="7"/>
      <c r="EG16" s="31" t="str">
        <f>IF(EF16/(INDEX('Standards for Conversions'!$H$34:$H$73,MATCH(EE$3,'Standards for Conversions'!$A$34:$A$73,0)))=0,"",EF16/(INDEX('Standards for Conversions'!$H$34:$H$73,MATCH(EE$3,'Standards for Conversions'!$A$34:$A$73,0))))</f>
        <v/>
      </c>
      <c r="EH16" s="10" t="s">
        <v>399</v>
      </c>
      <c r="EI16" s="9"/>
      <c r="EJ16" s="9"/>
      <c r="EK16" s="31" t="str">
        <f>IF(EJ16/(INDEX('Standards for Conversions'!$H$34:$H$73,MATCH(EI$3,'Standards for Conversions'!$A$34:$A$73,0)))=0,"",EJ16/(INDEX('Standards for Conversions'!$H$34:$H$73,MATCH(EI$3,'Standards for Conversions'!$A$34:$A$73,0))))</f>
        <v/>
      </c>
      <c r="EL16" s="10" t="s">
        <v>399</v>
      </c>
      <c r="EM16" s="7">
        <f>1.63*27</f>
        <v>44.01</v>
      </c>
      <c r="EN16" s="7">
        <v>70</v>
      </c>
      <c r="EO16" s="31">
        <f>IF(EN16/(INDEX('Standards for Conversions'!$H$34:$H$73,MATCH(EM$3,'Standards for Conversions'!$A$34:$A$73,0)))=0,"",EN16/(INDEX('Standards for Conversions'!$H$34:$H$73,MATCH(EM$3,'Standards for Conversions'!$A$34:$A$73,0))))</f>
        <v>12.242113315083571</v>
      </c>
      <c r="EP16" s="10" t="s">
        <v>399</v>
      </c>
      <c r="EQ16" s="7"/>
      <c r="ER16" s="7"/>
      <c r="ES16" s="31" t="str">
        <f>IF(ER16/(INDEX('Standards for Conversions'!$H$34:$H$73,MATCH(EQ$3,'Standards for Conversions'!$A$34:$A$73,0)))=0,"",ER16/(INDEX('Standards for Conversions'!$H$34:$H$73,MATCH(EQ$3,'Standards for Conversions'!$A$34:$A$73,0))))</f>
        <v/>
      </c>
      <c r="ET16" s="10" t="s">
        <v>399</v>
      </c>
      <c r="EU16" s="7"/>
      <c r="EV16" s="7"/>
      <c r="EW16" s="31" t="str">
        <f>IF(EV16/(INDEX('Standards for Conversions'!$H$34:$H$73,MATCH(EU$3,'Standards for Conversions'!$A$34:$A$73,0)))=0,"",EV16/(INDEX('Standards for Conversions'!$H$34:$H$73,MATCH(EU$3,'Standards for Conversions'!$A$34:$A$73,0))))</f>
        <v/>
      </c>
      <c r="EX16" s="10" t="s">
        <v>399</v>
      </c>
      <c r="EY16" s="9"/>
      <c r="EZ16" s="9"/>
      <c r="FA16" s="31" t="str">
        <f>IF(EZ16/(INDEX('Standards for Conversions'!$H$34:$H$73,MATCH(EY$3,'Standards for Conversions'!$A$34:$A$73,0)))=0,"",EZ16/(INDEX('Standards for Conversions'!$H$34:$H$73,MATCH(EY$3,'Standards for Conversions'!$A$34:$A$73,0))))</f>
        <v/>
      </c>
      <c r="FB16" s="10" t="s">
        <v>399</v>
      </c>
      <c r="FC16" s="7">
        <f>1.63*16</f>
        <v>26.08</v>
      </c>
      <c r="FD16" s="7">
        <v>45</v>
      </c>
      <c r="FE16" s="31">
        <f>IF(FD16/(INDEX('Standards for Conversions'!$H$34:$H$73,MATCH(FC$3,'Standards for Conversions'!$A$34:$A$73,0)))=0,"",FD16/(INDEX('Standards for Conversions'!$H$34:$H$73,MATCH(FC$3,'Standards for Conversions'!$A$34:$A$73,0))))</f>
        <v>7.7079580635699996</v>
      </c>
      <c r="FF16" s="10" t="s">
        <v>399</v>
      </c>
      <c r="FG16" s="7"/>
      <c r="FH16" s="7"/>
      <c r="FI16" s="31" t="str">
        <f>IF(FH16/(INDEX('Standards for Conversions'!$H$34:$H$73,MATCH(FG$3,'Standards for Conversions'!$A$34:$A$73,0)))=0,"",FH16/(INDEX('Standards for Conversions'!$H$34:$H$73,MATCH(FG$3,'Standards for Conversions'!$A$34:$A$73,0))))</f>
        <v/>
      </c>
      <c r="FJ16" s="10" t="s">
        <v>399</v>
      </c>
      <c r="FK16" s="7"/>
      <c r="FL16" s="7"/>
      <c r="FM16" s="31" t="str">
        <f>IF(FL16/(INDEX('Standards for Conversions'!$H$34:$H$73,MATCH(FK$3,'Standards for Conversions'!$A$34:$A$73,0)))=0,"",FL16/(INDEX('Standards for Conversions'!$H$34:$H$73,MATCH(FK$3,'Standards for Conversions'!$A$34:$A$73,0))))</f>
        <v/>
      </c>
      <c r="FN16" s="10" t="s">
        <v>399</v>
      </c>
      <c r="FO16" s="9"/>
      <c r="FP16" s="9"/>
      <c r="FQ16" s="31" t="str">
        <f>IF(FP16/(INDEX('Standards for Conversions'!$H$34:$H$73,MATCH(FO$3,'Standards for Conversions'!$A$34:$A$73,0)))=0,"",FP16/(INDEX('Standards for Conversions'!$H$34:$H$73,MATCH(FO$3,'Standards for Conversions'!$A$34:$A$73,0))))</f>
        <v/>
      </c>
      <c r="FR16" s="10" t="s">
        <v>399</v>
      </c>
      <c r="FS16" s="7">
        <f>1.63*100</f>
        <v>163</v>
      </c>
      <c r="FT16" s="7">
        <v>250</v>
      </c>
      <c r="FU16" s="31">
        <f>IF(FT16/(INDEX('Standards for Conversions'!$H$34:$H$73,MATCH(FS$3,'Standards for Conversions'!$A$34:$A$73,0)))=0,"",FT16/(INDEX('Standards for Conversions'!$H$34:$H$73,MATCH(FS$3,'Standards for Conversions'!$A$34:$A$73,0))))</f>
        <v>42.874921243590848</v>
      </c>
      <c r="FV16" s="10" t="s">
        <v>399</v>
      </c>
      <c r="FW16" s="7"/>
      <c r="FX16" s="7"/>
      <c r="FY16" s="31" t="str">
        <f>IF(FX16/(INDEX('Standards for Conversions'!$H$34:$H$73,MATCH(FW$3,'Standards for Conversions'!$A$34:$A$73,0)))=0,"",FX16/(INDEX('Standards for Conversions'!$H$34:$H$73,MATCH(FW$3,'Standards for Conversions'!$A$34:$A$73,0))))</f>
        <v/>
      </c>
      <c r="FZ16" s="10" t="s">
        <v>399</v>
      </c>
      <c r="GA16" s="7"/>
      <c r="GB16" s="7"/>
      <c r="GC16" s="31" t="str">
        <f>IF(GB16/(INDEX('Standards for Conversions'!$H$34:$H$73,MATCH(GA$3,'Standards for Conversions'!$A$34:$A$73,0)))=0,"",GB16/(INDEX('Standards for Conversions'!$H$34:$H$73,MATCH(GA$3,'Standards for Conversions'!$A$34:$A$73,0))))</f>
        <v/>
      </c>
      <c r="GD16" s="10" t="s">
        <v>399</v>
      </c>
      <c r="GE16" s="9"/>
      <c r="GF16" s="9"/>
      <c r="GG16" s="31" t="str">
        <f>IF(GF16/(INDEX('Standards for Conversions'!$H$34:$H$73,MATCH(GE$3,'Standards for Conversions'!$A$34:$A$73,0)))=0,"",GF16/(INDEX('Standards for Conversions'!$H$34:$H$73,MATCH(GE$3,'Standards for Conversions'!$A$34:$A$73,0))))</f>
        <v/>
      </c>
      <c r="GH16" s="10" t="s">
        <v>399</v>
      </c>
      <c r="GI16" s="7">
        <f>1.63*20</f>
        <v>32.599999999999994</v>
      </c>
      <c r="GJ16" s="7">
        <v>65</v>
      </c>
      <c r="GK16" s="31">
        <f>IF(GJ16/(INDEX('Standards for Conversions'!$H$34:$H$73,MATCH(GI$3,'Standards for Conversions'!$A$34:$A$73,0)))=0,"",GJ16/(INDEX('Standards for Conversions'!$H$34:$H$73,MATCH(GI$3,'Standards for Conversions'!$A$34:$A$73,0))))</f>
        <v>10.693322950160772</v>
      </c>
      <c r="GL16" s="10" t="s">
        <v>399</v>
      </c>
      <c r="GM16" s="7"/>
      <c r="GN16" s="7"/>
      <c r="GO16" s="31" t="str">
        <f>IF(GN16/(INDEX('Standards for Conversions'!$H$34:$H$73,MATCH(GM$3,'Standards for Conversions'!$A$34:$A$73,0)))=0,"",GN16/(INDEX('Standards for Conversions'!$H$34:$H$73,MATCH(GM$3,'Standards for Conversions'!$A$34:$A$73,0))))</f>
        <v/>
      </c>
      <c r="GP16" s="10" t="s">
        <v>399</v>
      </c>
      <c r="GQ16" s="7"/>
      <c r="GR16" s="7"/>
      <c r="GS16" s="31" t="str">
        <f>IF(GR16/(INDEX('Standards for Conversions'!$H$34:$H$73,MATCH(GQ$3,'Standards for Conversions'!$A$34:$A$73,0)))=0,"",GR16/(INDEX('Standards for Conversions'!$H$34:$H$73,MATCH(GQ$3,'Standards for Conversions'!$A$34:$A$73,0))))</f>
        <v/>
      </c>
      <c r="GT16" s="10" t="s">
        <v>399</v>
      </c>
      <c r="GU16" s="9"/>
      <c r="GV16" s="9"/>
      <c r="GW16" s="31" t="str">
        <f>IF(GV16/(INDEX('Standards for Conversions'!$H$34:$H$73,MATCH(GU$3,'Standards for Conversions'!$A$34:$A$73,0)))=0,"",GV16/(INDEX('Standards for Conversions'!$H$34:$H$73,MATCH(GU$3,'Standards for Conversions'!$A$34:$A$73,0))))</f>
        <v/>
      </c>
      <c r="GX16" s="10" t="s">
        <v>399</v>
      </c>
      <c r="GY16" s="7">
        <f>1.63*70</f>
        <v>114.1</v>
      </c>
      <c r="GZ16" s="7">
        <v>300</v>
      </c>
      <c r="HA16" s="31">
        <f>IF(GZ16/(INDEX('Standards for Conversions'!$H$34:$H$73,MATCH(GY$3,'Standards for Conversions'!$A$34:$A$73,0)))=0,"",GZ16/(INDEX('Standards for Conversions'!$H$34:$H$73,MATCH(GY$3,'Standards for Conversions'!$A$34:$A$73,0))))</f>
        <v>46.114359737551055</v>
      </c>
      <c r="HB16" s="10" t="s">
        <v>399</v>
      </c>
      <c r="HC16" s="7"/>
      <c r="HD16" s="7"/>
      <c r="HE16" s="31" t="str">
        <f>IF(HD16/(INDEX('Standards for Conversions'!$H$34:$H$73,MATCH(HC$3,'Standards for Conversions'!$A$34:$A$73,0)))=0,"",HD16/(INDEX('Standards for Conversions'!$H$34:$H$73,MATCH(HC$3,'Standards for Conversions'!$A$34:$A$73,0))))</f>
        <v/>
      </c>
      <c r="HF16" s="10" t="s">
        <v>399</v>
      </c>
      <c r="HG16" s="7"/>
      <c r="HH16" s="7"/>
      <c r="HI16" s="31" t="str">
        <f>IF(HH16/(INDEX('Standards for Conversions'!$H$34:$H$73,MATCH(HG$3,'Standards for Conversions'!$A$34:$A$73,0)))=0,"",HH16/(INDEX('Standards for Conversions'!$H$34:$H$73,MATCH(HG$3,'Standards for Conversions'!$A$34:$A$73,0))))</f>
        <v/>
      </c>
      <c r="HJ16" s="10" t="s">
        <v>399</v>
      </c>
      <c r="HK16" s="9"/>
      <c r="HL16" s="9"/>
      <c r="HM16" s="31" t="str">
        <f>IF(HL16/(INDEX('Standards for Conversions'!$H$34:$H$73,MATCH(HK$3,'Standards for Conversions'!$A$34:$A$73,0)))=0,"",HL16/(INDEX('Standards for Conversions'!$H$34:$H$73,MATCH(HK$3,'Standards for Conversions'!$A$34:$A$73,0))))</f>
        <v/>
      </c>
      <c r="HN16" s="10" t="s">
        <v>399</v>
      </c>
      <c r="HO16" s="7">
        <f>1.63*50</f>
        <v>81.5</v>
      </c>
      <c r="HP16" s="7">
        <v>250</v>
      </c>
      <c r="HQ16" s="31">
        <f>IF(HP16/(INDEX('Standards for Conversions'!$H$34:$H$73,MATCH(HO$3,'Standards for Conversions'!$A$34:$A$73,0)))=0,"",HP16/(INDEX('Standards for Conversions'!$H$34:$H$73,MATCH(HO$3,'Standards for Conversions'!$A$34:$A$73,0))))</f>
        <v>37.846381097737599</v>
      </c>
      <c r="HR16" s="33" t="s">
        <v>98</v>
      </c>
      <c r="HU16" s="31" t="str">
        <f>IF(HT16/(INDEX('Standards for Conversions'!$H$47:$H$73,MATCH(HS$3,'Standards for Conversions'!$A$47:$A$73,0)))=0,"",HT16/(INDEX('Standards for Conversions'!$H$47:$H$73,MATCH(HS$3,'Standards for Conversions'!$A$47:$A$73,0))))</f>
        <v/>
      </c>
      <c r="HV16" s="33" t="s">
        <v>98</v>
      </c>
      <c r="HY16" s="31" t="str">
        <f>IF(HX16/(INDEX('Standards for Conversions'!$H$47:$H$73,MATCH(HW$3,'Standards for Conversions'!$A$47:$A$73,0)))=0,"",HX16/(INDEX('Standards for Conversions'!$H$47:$H$73,MATCH(HW$3,'Standards for Conversions'!$A$47:$A$73,0))))</f>
        <v/>
      </c>
      <c r="IB16" s="31" t="str">
        <f>IF(IA16/(INDEX('Standards for Conversions'!$H$47:$H$73,MATCH(HZ$3,'Standards for Conversions'!$A$47:$A$73,0)))=0,"",IA16/(INDEX('Standards for Conversions'!$H$47:$H$73,MATCH(HZ$3,'Standards for Conversions'!$A$47:$A$73,0))))</f>
        <v/>
      </c>
      <c r="IC16" s="33" t="s">
        <v>98</v>
      </c>
      <c r="ID16" s="33">
        <v>97.5</v>
      </c>
      <c r="IE16" s="33">
        <v>250</v>
      </c>
      <c r="IF16" s="31">
        <f>IF(IE16/(INDEX('Standards for Conversions'!$H$47:$H$73,MATCH(ID$3,'Standards for Conversions'!$A$47:$A$73,0)))=0,"",IE16/(INDEX('Standards for Conversions'!$H$47:$H$73,MATCH(ID$3,'Standards for Conversions'!$A$47:$A$73,0))))</f>
        <v>36.311353053213992</v>
      </c>
      <c r="IG16" s="33" t="s">
        <v>98</v>
      </c>
      <c r="IJ16" s="31" t="str">
        <f>IF(II16/(INDEX('Standards for Conversions'!$H$47:$H$73,MATCH(IH$3,'Standards for Conversions'!$A$47:$A$73,0)))=0,"",II16/(INDEX('Standards for Conversions'!$H$47:$H$73,MATCH(IH$3,'Standards for Conversions'!$A$47:$A$73,0))))</f>
        <v/>
      </c>
      <c r="IK16" s="33" t="s">
        <v>98</v>
      </c>
      <c r="IN16" s="31" t="str">
        <f>IF(IM16/(INDEX('Standards for Conversions'!$H$47:$H$73,MATCH(IL$3,'Standards for Conversions'!$A$47:$A$73,0)))=0,"",IM16/(INDEX('Standards for Conversions'!$H$47:$H$73,MATCH(IL$3,'Standards for Conversions'!$A$47:$A$73,0))))</f>
        <v/>
      </c>
      <c r="IO16" s="33" t="s">
        <v>98</v>
      </c>
      <c r="IR16" s="31" t="str">
        <f>IF(IQ16/(INDEX('Standards for Conversions'!$H$47:$H$73,MATCH(IP$3,'Standards for Conversions'!$A$47:$A$73,0)))=0,"",IQ16/(INDEX('Standards for Conversions'!$H$47:$H$73,MATCH(IP$3,'Standards for Conversions'!$A$47:$A$73,0))))</f>
        <v/>
      </c>
      <c r="IS16" s="33" t="s">
        <v>98</v>
      </c>
      <c r="IT16" s="33">
        <v>13</v>
      </c>
      <c r="IU16" s="33">
        <v>15</v>
      </c>
      <c r="IV16" s="31">
        <f>IF(IU16/(INDEX('Standards for Conversions'!$H$47:$H$73,MATCH(IT$3,'Standards for Conversions'!$A$47:$A$73,0)))=0,"",IU16/(INDEX('Standards for Conversions'!$H$47:$H$73,MATCH(IT$3,'Standards for Conversions'!$A$47:$A$73,0))))</f>
        <v>2.1691534229164855</v>
      </c>
      <c r="IW16" s="33" t="s">
        <v>98</v>
      </c>
      <c r="IZ16" s="31" t="str">
        <f>IF(IY16/(INDEX('Standards for Conversions'!$H$47:$H$73,MATCH(IX$3,'Standards for Conversions'!$A$47:$A$73,0)))=0,"",IY16/(INDEX('Standards for Conversions'!$H$47:$H$73,MATCH(IX$3,'Standards for Conversions'!$A$47:$A$73,0))))</f>
        <v/>
      </c>
      <c r="JA16" s="33" t="s">
        <v>98</v>
      </c>
      <c r="JD16" s="31" t="str">
        <f>IF(JC16/(INDEX('Standards for Conversions'!$H$47:$H$73,MATCH(JB$3,'Standards for Conversions'!$A$47:$A$73,0)))=0,"",JC16/(INDEX('Standards for Conversions'!$H$47:$H$73,MATCH(JB$3,'Standards for Conversions'!$A$47:$A$73,0))))</f>
        <v/>
      </c>
      <c r="JE16" s="33" t="s">
        <v>98</v>
      </c>
      <c r="JH16" s="31" t="str">
        <f>IF(JG16/(INDEX('Standards for Conversions'!$H$47:$H$73,MATCH(JF$3,'Standards for Conversions'!$A$47:$A$73,0)))=0,"",JG16/(INDEX('Standards for Conversions'!$H$47:$H$73,MATCH(JF$3,'Standards for Conversions'!$A$47:$A$73,0))))</f>
        <v/>
      </c>
      <c r="JI16" s="33" t="s">
        <v>98</v>
      </c>
      <c r="JJ16" s="33">
        <v>29.25</v>
      </c>
      <c r="JK16" s="33">
        <v>50</v>
      </c>
      <c r="JL16" s="31">
        <f>IF(JK16/(INDEX('Standards for Conversions'!$H$47:$H$73,MATCH(JJ$3,'Standards for Conversions'!$A$47:$A$73,0)))=0,"",JK16/(INDEX('Standards for Conversions'!$H$47:$H$73,MATCH(JJ$3,'Standards for Conversions'!$A$47:$A$73,0))))</f>
        <v>8.0880098345934339</v>
      </c>
      <c r="JM16" s="33" t="s">
        <v>98</v>
      </c>
      <c r="JP16" s="31" t="str">
        <f>IF(JO16/(INDEX('Standards for Conversions'!$H$47:$H$73,MATCH(JN$3,'Standards for Conversions'!$A$47:$A$73,0)))=0,"",JO16/(INDEX('Standards for Conversions'!$H$47:$H$73,MATCH(JN$3,'Standards for Conversions'!$A$47:$A$73,0))))</f>
        <v/>
      </c>
      <c r="JQ16" s="33" t="s">
        <v>98</v>
      </c>
      <c r="JT16" s="31" t="str">
        <f>IF(JS16/(INDEX('Standards for Conversions'!$H$47:$H$73,MATCH(JR$3,'Standards for Conversions'!$A$47:$A$73,0)))=0,"",JS16/(INDEX('Standards for Conversions'!$H$47:$H$73,MATCH(JR$3,'Standards for Conversions'!$A$47:$A$73,0))))</f>
        <v/>
      </c>
      <c r="JU16" s="33" t="s">
        <v>98</v>
      </c>
      <c r="JX16" s="31" t="str">
        <f>IF(JW16/(INDEX('Standards for Conversions'!$H$47:$H$73,MATCH(JV$3,'Standards for Conversions'!$A$47:$A$73,0)))=0,"",JW16/(INDEX('Standards for Conversions'!$H$47:$H$73,MATCH(JV$3,'Standards for Conversions'!$A$47:$A$73,0))))</f>
        <v/>
      </c>
      <c r="JY16" s="33" t="s">
        <v>98</v>
      </c>
      <c r="JZ16" s="33">
        <v>40.625</v>
      </c>
      <c r="KA16" s="33">
        <v>70</v>
      </c>
      <c r="KB16" s="31">
        <f>IF(KA16/(INDEX('Standards for Conversions'!$H$47:$H$73,MATCH(JZ$3,'Standards for Conversions'!$A$47:$A$73,0)))=0,"",KA16/(INDEX('Standards for Conversions'!$H$47:$H$73,MATCH(JZ$3,'Standards for Conversions'!$A$47:$A$73,0))))</f>
        <v>10.68591246994583</v>
      </c>
      <c r="KC16" s="33" t="s">
        <v>98</v>
      </c>
      <c r="KF16" s="31" t="str">
        <f>IF(KE16/(INDEX('Standards for Conversions'!$H$47:$H$73,MATCH(KD$3,'Standards for Conversions'!$A$47:$A$73,0)))=0,"",KE16/(INDEX('Standards for Conversions'!$H$47:$H$73,MATCH(KD$3,'Standards for Conversions'!$A$47:$A$73,0))))</f>
        <v/>
      </c>
      <c r="KG16" s="33" t="s">
        <v>98</v>
      </c>
      <c r="KJ16" s="31" t="str">
        <f>IF(KI16/(INDEX('Standards for Conversions'!$H$47:$H$73,MATCH(KH$3,'Standards for Conversions'!$A$47:$A$73,0)))=0,"",KI16/(INDEX('Standards for Conversions'!$H$47:$H$73,MATCH(KH$3,'Standards for Conversions'!$A$47:$A$73,0))))</f>
        <v/>
      </c>
      <c r="KK16" s="33" t="s">
        <v>98</v>
      </c>
      <c r="KN16" s="31" t="str">
        <f>IF(KM16/(INDEX('Standards for Conversions'!$H$47:$H$73,MATCH(KL$3,'Standards for Conversions'!$A$47:$A$73,0)))=0,"",KM16/(INDEX('Standards for Conversions'!$H$47:$H$73,MATCH(KL$3,'Standards for Conversions'!$A$47:$A$73,0))))</f>
        <v/>
      </c>
      <c r="KO16" s="33" t="s">
        <v>98</v>
      </c>
      <c r="KP16" s="33">
        <v>40.625</v>
      </c>
      <c r="KQ16" s="33">
        <v>60</v>
      </c>
      <c r="KR16" s="31">
        <f>IF(KQ16/(INDEX('Standards for Conversions'!$H$47:$H$73,MATCH(KP$3,'Standards for Conversions'!$A$47:$A$73,0)))=0,"",KQ16/(INDEX('Standards for Conversions'!$H$47:$H$73,MATCH(KP$3,'Standards for Conversions'!$A$47:$A$73,0))))</f>
        <v>8.0795407143477878</v>
      </c>
      <c r="KS16" s="33" t="s">
        <v>98</v>
      </c>
      <c r="KV16" s="31" t="str">
        <f>IF(KU16/(INDEX('Standards for Conversions'!$H$47:$H$73,MATCH(KT$3,'Standards for Conversions'!$A$47:$A$73,0)))=0,"",KU16/(INDEX('Standards for Conversions'!$H$47:$H$73,MATCH(KT$3,'Standards for Conversions'!$A$47:$A$73,0))))</f>
        <v/>
      </c>
      <c r="KW16" s="33" t="s">
        <v>98</v>
      </c>
      <c r="KZ16" s="31" t="str">
        <f>IF(KY16/(INDEX('Standards for Conversions'!$H$47:$H$73,MATCH(KX$3,'Standards for Conversions'!$A$47:$A$73,0)))=0,"",KY16/(INDEX('Standards for Conversions'!$H$47:$H$73,MATCH(KX$3,'Standards for Conversions'!$A$47:$A$73,0))))</f>
        <v/>
      </c>
      <c r="LA16" s="33" t="s">
        <v>98</v>
      </c>
      <c r="LD16" s="31" t="str">
        <f>IF(LC16/(INDEX('Standards for Conversions'!$H$47:$H$73,MATCH(LB$3,'Standards for Conversions'!$A$47:$A$73,0)))=0,"",LC16/(INDEX('Standards for Conversions'!$H$47:$H$73,MATCH(LB$3,'Standards for Conversions'!$A$47:$A$73,0))))</f>
        <v/>
      </c>
      <c r="LE16" s="33" t="s">
        <v>98</v>
      </c>
      <c r="LF16" s="33">
        <v>45.5</v>
      </c>
      <c r="LG16" s="33">
        <v>85</v>
      </c>
      <c r="LH16" s="31">
        <f>IF(LG16/(INDEX('Standards for Conversions'!$H$47:$H$73,MATCH(LF$3,'Standards for Conversions'!$A$47:$A$73,0)))=0,"",LG16/(INDEX('Standards for Conversions'!$H$47:$H$73,MATCH(LF$3,'Standards for Conversions'!$A$47:$A$73,0))))</f>
        <v>10.33740817183743</v>
      </c>
      <c r="LL16" s="31" t="str">
        <f>IF(LK16/(INDEX('Standards for Conversions'!$H$47:$H$73,MATCH(LJ$3,'Standards for Conversions'!$A$47:$A$73,0)))=0,"",LK16/(INDEX('Standards for Conversions'!$H$47:$H$73,MATCH(LJ$3,'Standards for Conversions'!$A$47:$A$73,0))))</f>
        <v/>
      </c>
      <c r="LO16" s="31" t="str">
        <f>IF(LN16/(INDEX('Standards for Conversions'!$H$47:$H$73,MATCH(LM$3,'Standards for Conversions'!$A$47:$A$73,0)))=0,"",LN16/(INDEX('Standards for Conversions'!$H$47:$H$73,MATCH(LM$3,'Standards for Conversions'!$A$47:$A$73,0))))</f>
        <v/>
      </c>
      <c r="LR16" s="31" t="str">
        <f>IF(LQ16/(INDEX('Standards for Conversions'!$H$47:$H$73,MATCH(LP$3,'Standards for Conversions'!$A$47:$A$73,0)))=0,"",LQ16/(INDEX('Standards for Conversions'!$H$47:$H$73,MATCH(LP$3,'Standards for Conversions'!$A$47:$A$73,0))))</f>
        <v/>
      </c>
      <c r="LV16" s="31" t="str">
        <f>IF(LU16/(INDEX('Standards for Conversions'!$H$47:$H$73,MATCH(LT$3,'Standards for Conversions'!$A$47:$A$73,0)))=0,"",LU16/(INDEX('Standards for Conversions'!$H$47:$H$73,MATCH(LT$3,'Standards for Conversions'!$A$47:$A$73,0))))</f>
        <v/>
      </c>
      <c r="LY16" s="31" t="str">
        <f>IF(LX16/(INDEX('Standards for Conversions'!$H$47:$H$73,MATCH(LW$3,'Standards for Conversions'!$A$47:$A$73,0)))=0,"",LX16/(INDEX('Standards for Conversions'!$H$47:$H$73,MATCH(LW$3,'Standards for Conversions'!$A$47:$A$73,0))))</f>
        <v/>
      </c>
      <c r="MB16" s="31" t="str">
        <f>IF(MA16/(INDEX('Standards for Conversions'!$H$47:$H$73,MATCH(LZ$3,'Standards for Conversions'!$A$47:$A$73,0)))=0,"",MA16/(INDEX('Standards for Conversions'!$H$47:$H$73,MATCH(LZ$3,'Standards for Conversions'!$A$47:$A$73,0))))</f>
        <v/>
      </c>
      <c r="ME16" s="31" t="str">
        <f>IF(MD16/(INDEX('Standards for Conversions'!$H$47:$H$73,MATCH(MC$3,'Standards for Conversions'!$A$47:$A$73,0)))=0,"",MD16/(INDEX('Standards for Conversions'!$H$47:$H$73,MATCH(MC$3,'Standards for Conversions'!$A$47:$A$73,0))))</f>
        <v/>
      </c>
      <c r="MH16" s="31" t="str">
        <f>IF(MG16/(INDEX('Standards for Conversions'!$H$47:$H$73,MATCH(MF$3,'Standards for Conversions'!$A$47:$A$73,0)))=0,"",MG16/(INDEX('Standards for Conversions'!$H$47:$H$73,MATCH(MF$3,'Standards for Conversions'!$A$47:$A$73,0))))</f>
        <v/>
      </c>
      <c r="MK16" s="31" t="str">
        <f>IF(MJ16/(INDEX('Standards for Conversions'!$H$47:$H$73,MATCH(MI$3,'Standards for Conversions'!$A$47:$A$73,0)))=0,"",MJ16/(INDEX('Standards for Conversions'!$H$47:$H$73,MATCH(MI$3,'Standards for Conversions'!$A$47:$A$73,0))))</f>
        <v/>
      </c>
      <c r="MN16" s="31" t="str">
        <f>IF(MM16/(INDEX('Standards for Conversions'!$H$47:$H$73,MATCH(ML$3,'Standards for Conversions'!$A$47:$A$73,0)))=0,"",MM16/(INDEX('Standards for Conversions'!$H$47:$H$73,MATCH(ML$3,'Standards for Conversions'!$A$47:$A$73,0))))</f>
        <v/>
      </c>
      <c r="MR16" s="31" t="str">
        <f>IF(MQ16/(INDEX('Standards for Conversions'!$H$47:$H$73,MATCH(MP$3,'Standards for Conversions'!$A$47:$A$73,0)))=0,"",MQ16/(INDEX('Standards for Conversions'!$H$47:$H$73,MATCH(MP$3,'Standards for Conversions'!$A$47:$A$73,0))))</f>
        <v/>
      </c>
    </row>
    <row r="17" spans="1:373" s="33" customFormat="1" x14ac:dyDescent="0.3">
      <c r="A17" s="104" t="s">
        <v>200</v>
      </c>
      <c r="B17" s="10" t="s">
        <v>399</v>
      </c>
      <c r="C17" s="7"/>
      <c r="D17" s="7"/>
      <c r="E17" s="31" t="str">
        <f>IF(D17/(INDEX('Standards for Conversions'!$H$34:$H$73,MATCH(C$3,'Standards for Conversions'!$A$34:$A$73,0)))=0,"",D17/(INDEX('Standards for Conversions'!$H$34:$H$73,MATCH(C$3,'Standards for Conversions'!$A$34:$A$73,0))))</f>
        <v/>
      </c>
      <c r="F17" s="6" t="s">
        <v>374</v>
      </c>
      <c r="G17" s="7">
        <v>30</v>
      </c>
      <c r="H17" s="7">
        <v>800</v>
      </c>
      <c r="I17" s="31">
        <f>IF(H17/(INDEX('Standards for Conversions'!$H$34:$H$73,MATCH(G$3,'Standards for Conversions'!$A$34:$A$73,0)))=0,"",H17/(INDEX('Standards for Conversions'!$H$34:$H$73,MATCH(G$3,'Standards for Conversions'!$A$34:$A$73,0))))</f>
        <v>158.03378378378378</v>
      </c>
      <c r="J17" s="6" t="s">
        <v>374</v>
      </c>
      <c r="K17" s="9">
        <v>2000</v>
      </c>
      <c r="L17" s="9">
        <v>18000</v>
      </c>
      <c r="M17" s="31">
        <f>IF(L17/(INDEX('Standards for Conversions'!$H$34:$H$73,MATCH(K$3,'Standards for Conversions'!$A$34:$A$73,0)))=0,"",L17/(INDEX('Standards for Conversions'!$H$34:$H$73,MATCH(K$3,'Standards for Conversions'!$A$34:$A$73,0))))</f>
        <v>3555.7601351351345</v>
      </c>
      <c r="N17" s="10" t="s">
        <v>399</v>
      </c>
      <c r="O17" s="7"/>
      <c r="P17" s="7"/>
      <c r="Q17" s="31" t="str">
        <f>IF(P17/(INDEX('Standards for Conversions'!$H$34:$H$73,MATCH(O$3,'Standards for Conversions'!$A$34:$A$73,0)))=0,"",P17/(INDEX('Standards for Conversions'!$H$34:$H$73,MATCH(O$3,'Standards for Conversions'!$A$34:$A$73,0))))</f>
        <v/>
      </c>
      <c r="R17" s="10" t="s">
        <v>399</v>
      </c>
      <c r="S17" s="7"/>
      <c r="T17" s="7"/>
      <c r="U17" s="31" t="str">
        <f>IF(T17/(INDEX('Standards for Conversions'!$H$34:$H$73,MATCH(S$3,'Standards for Conversions'!$A$34:$A$73,0)))=0,"",T17/(INDEX('Standards for Conversions'!$H$34:$H$73,MATCH(S$3,'Standards for Conversions'!$A$34:$A$73,0))))</f>
        <v/>
      </c>
      <c r="V17" s="6" t="s">
        <v>374</v>
      </c>
      <c r="W17" s="7">
        <v>40</v>
      </c>
      <c r="X17" s="7">
        <v>1000</v>
      </c>
      <c r="Y17" s="31">
        <f>IF(X17/(INDEX('Standards for Conversions'!$H$34:$H$73,MATCH(W$3,'Standards for Conversions'!$A$34:$A$73,0)))=0,"",X17/(INDEX('Standards for Conversions'!$H$34:$H$73,MATCH(W$3,'Standards for Conversions'!$A$34:$A$73,0))))</f>
        <v>192.67248558848235</v>
      </c>
      <c r="Z17" s="6" t="s">
        <v>374</v>
      </c>
      <c r="AA17" s="9">
        <v>2000</v>
      </c>
      <c r="AB17" s="9">
        <v>18000</v>
      </c>
      <c r="AC17" s="31">
        <f>IF(AB17/(INDEX('Standards for Conversions'!$H$34:$H$73,MATCH(AA$3,'Standards for Conversions'!$A$34:$A$73,0)))=0,"",AB17/(INDEX('Standards for Conversions'!$H$34:$H$73,MATCH(AA$3,'Standards for Conversions'!$A$34:$A$73,0))))</f>
        <v>3468.1047405926824</v>
      </c>
      <c r="AD17" s="10" t="s">
        <v>399</v>
      </c>
      <c r="AE17" s="7"/>
      <c r="AF17" s="7"/>
      <c r="AG17" s="31" t="str">
        <f>IF(AF17/(INDEX('Standards for Conversions'!$H$34:$H$73,MATCH(AE$3,'Standards for Conversions'!$A$34:$A$73,0)))=0,"",AF17/(INDEX('Standards for Conversions'!$H$34:$H$73,MATCH(AE$3,'Standards for Conversions'!$A$34:$A$73,0))))</f>
        <v/>
      </c>
      <c r="AH17" s="10" t="s">
        <v>399</v>
      </c>
      <c r="AI17" s="7"/>
      <c r="AJ17" s="7"/>
      <c r="AK17" s="31" t="str">
        <f>IF(AJ17/(INDEX('Standards for Conversions'!$H$34:$H$73,MATCH(AI$3,'Standards for Conversions'!$A$34:$A$73,0)))=0,"",AJ17/(INDEX('Standards for Conversions'!$H$34:$H$73,MATCH(AI$3,'Standards for Conversions'!$A$34:$A$73,0))))</f>
        <v/>
      </c>
      <c r="AL17" s="6" t="s">
        <v>374</v>
      </c>
      <c r="AM17" s="7">
        <v>40</v>
      </c>
      <c r="AN17" s="7">
        <v>800</v>
      </c>
      <c r="AO17" s="31">
        <f>IF(AN17/(INDEX('Standards for Conversions'!$H$34:$H$73,MATCH(AM$3,'Standards for Conversions'!$A$34:$A$73,0)))=0,"",AN17/(INDEX('Standards for Conversions'!$H$34:$H$73,MATCH(AM$3,'Standards for Conversions'!$A$34:$A$73,0))))</f>
        <v>142.95874974653108</v>
      </c>
      <c r="AP17" s="6" t="s">
        <v>374</v>
      </c>
      <c r="AQ17" s="9">
        <v>1000</v>
      </c>
      <c r="AR17" s="9">
        <v>9000</v>
      </c>
      <c r="AS17" s="31">
        <f>IF(AR17/(INDEX('Standards for Conversions'!$H$34:$H$73,MATCH(AQ$3,'Standards for Conversions'!$A$34:$A$73,0)))=0,"",AR17/(INDEX('Standards for Conversions'!$H$34:$H$73,MATCH(AQ$3,'Standards for Conversions'!$A$34:$A$73,0))))</f>
        <v>1608.2859346484747</v>
      </c>
      <c r="AT17" s="10" t="s">
        <v>399</v>
      </c>
      <c r="AU17" s="7"/>
      <c r="AV17" s="7"/>
      <c r="AW17" s="31" t="str">
        <f>IF(AV17/(INDEX('Standards for Conversions'!$H$34:$H$73,MATCH(AU$3,'Standards for Conversions'!$A$34:$A$73,0)))=0,"",AV17/(INDEX('Standards for Conversions'!$H$34:$H$73,MATCH(AU$3,'Standards for Conversions'!$A$34:$A$73,0))))</f>
        <v/>
      </c>
      <c r="AX17" s="10" t="s">
        <v>399</v>
      </c>
      <c r="AY17" s="7"/>
      <c r="AZ17" s="7"/>
      <c r="BA17" s="31" t="str">
        <f>IF(AZ17/(INDEX('Standards for Conversions'!$H$34:$H$73,MATCH(AY$3,'Standards for Conversions'!$A$34:$A$73,0)))=0,"",AZ17/(INDEX('Standards for Conversions'!$H$34:$H$73,MATCH(AY$3,'Standards for Conversions'!$A$34:$A$73,0))))</f>
        <v/>
      </c>
      <c r="BB17" s="6" t="s">
        <v>374</v>
      </c>
      <c r="BC17" s="7">
        <v>20</v>
      </c>
      <c r="BD17" s="7">
        <v>500</v>
      </c>
      <c r="BE17" s="31">
        <f>IF(BD17/(INDEX('Standards for Conversions'!$H$34:$H$73,MATCH(BC$3,'Standards for Conversions'!$A$34:$A$73,0)))=0,"",BD17/(INDEX('Standards for Conversions'!$H$34:$H$73,MATCH(BC$3,'Standards for Conversions'!$A$34:$A$73,0))))</f>
        <v>92.842730692911559</v>
      </c>
      <c r="BF17" s="6" t="s">
        <v>374</v>
      </c>
      <c r="BG17" s="9">
        <v>350</v>
      </c>
      <c r="BH17" s="9">
        <v>5000</v>
      </c>
      <c r="BI17" s="31">
        <f>IF(BH17/(INDEX('Standards for Conversions'!$H$34:$H$73,MATCH(BG$3,'Standards for Conversions'!$A$34:$A$73,0)))=0,"",BH17/(INDEX('Standards for Conversions'!$H$34:$H$73,MATCH(BG$3,'Standards for Conversions'!$A$34:$A$73,0))))</f>
        <v>928.42730692911562</v>
      </c>
      <c r="BJ17" s="10" t="s">
        <v>399</v>
      </c>
      <c r="BK17" s="7"/>
      <c r="BL17" s="7"/>
      <c r="BM17" s="31" t="str">
        <f>IF(BL17/(INDEX('Standards for Conversions'!$H$34:$H$73,MATCH(BK$3,'Standards for Conversions'!$A$34:$A$73,0)))=0,"",BL17/(INDEX('Standards for Conversions'!$H$34:$H$73,MATCH(BK$3,'Standards for Conversions'!$A$34:$A$73,0))))</f>
        <v/>
      </c>
      <c r="BN17" s="10" t="s">
        <v>399</v>
      </c>
      <c r="BO17" s="7"/>
      <c r="BP17" s="7"/>
      <c r="BQ17" s="31" t="str">
        <f>IF(BP17/(INDEX('Standards for Conversions'!$H$34:$H$73,MATCH(BO$3,'Standards for Conversions'!$A$34:$A$73,0)))=0,"",BP17/(INDEX('Standards for Conversions'!$H$34:$H$73,MATCH(BO$3,'Standards for Conversions'!$A$34:$A$73,0))))</f>
        <v/>
      </c>
      <c r="BR17" s="6" t="s">
        <v>374</v>
      </c>
      <c r="BS17" s="7">
        <v>40</v>
      </c>
      <c r="BT17" s="7">
        <v>1200</v>
      </c>
      <c r="BU17" s="31">
        <f>IF(BT17/(INDEX('Standards for Conversions'!$H$34:$H$73,MATCH(BS$3,'Standards for Conversions'!$A$34:$A$73,0)))=0,"",BT17/(INDEX('Standards for Conversions'!$H$34:$H$73,MATCH(BS$3,'Standards for Conversions'!$A$34:$A$73,0))))</f>
        <v>213.67590379768833</v>
      </c>
      <c r="BV17" s="10" t="s">
        <v>399</v>
      </c>
      <c r="BW17" s="9"/>
      <c r="BX17" s="9"/>
      <c r="BY17" s="31" t="str">
        <f>IF(BX17/(INDEX('Standards for Conversions'!$H$34:$H$73,MATCH(BW$3,'Standards for Conversions'!$A$34:$A$73,0)))=0,"",BX17/(INDEX('Standards for Conversions'!$H$34:$H$73,MATCH(BW$3,'Standards for Conversions'!$A$34:$A$73,0))))</f>
        <v/>
      </c>
      <c r="BZ17" s="10" t="s">
        <v>399</v>
      </c>
      <c r="CA17" s="7"/>
      <c r="CB17" s="7"/>
      <c r="CC17" s="31" t="str">
        <f>IF(CB17/(INDEX('Standards for Conversions'!$H$34:$H$73,MATCH(CA$3,'Standards for Conversions'!$A$34:$A$73,0)))=0,"",CB17/(INDEX('Standards for Conversions'!$H$34:$H$73,MATCH(CA$3,'Standards for Conversions'!$A$34:$A$73,0))))</f>
        <v/>
      </c>
      <c r="CD17" s="10" t="s">
        <v>399</v>
      </c>
      <c r="CE17" s="7"/>
      <c r="CF17" s="7"/>
      <c r="CG17" s="31" t="str">
        <f>IF(CF17/(INDEX('Standards for Conversions'!$H$34:$H$73,MATCH(CE$3,'Standards for Conversions'!$A$34:$A$73,0)))=0,"",CF17/(INDEX('Standards for Conversions'!$H$34:$H$73,MATCH(CE$3,'Standards for Conversions'!$A$34:$A$73,0))))</f>
        <v/>
      </c>
      <c r="CH17" s="6" t="s">
        <v>374</v>
      </c>
      <c r="CI17" s="7">
        <v>15</v>
      </c>
      <c r="CJ17" s="7">
        <v>450</v>
      </c>
      <c r="CK17" s="31">
        <f>IF(CJ17/(INDEX('Standards for Conversions'!$H$34:$H$73,MATCH(CI$3,'Standards for Conversions'!$A$34:$A$73,0)))=0,"",CJ17/(INDEX('Standards for Conversions'!$H$34:$H$73,MATCH(CI$3,'Standards for Conversions'!$A$34:$A$73,0))))</f>
        <v>78.127634266098894</v>
      </c>
      <c r="CL17" s="10" t="s">
        <v>399</v>
      </c>
      <c r="CM17" s="9"/>
      <c r="CN17" s="9"/>
      <c r="CO17" s="31" t="str">
        <f>IF(CN17/(INDEX('Standards for Conversions'!$H$34:$H$73,MATCH(CM$3,'Standards for Conversions'!$A$34:$A$73,0)))=0,"",CN17/(INDEX('Standards for Conversions'!$H$34:$H$73,MATCH(CM$3,'Standards for Conversions'!$A$34:$A$73,0))))</f>
        <v/>
      </c>
      <c r="CP17" s="10" t="s">
        <v>399</v>
      </c>
      <c r="CQ17" s="7">
        <f>1.63*5000</f>
        <v>8149.9999999999991</v>
      </c>
      <c r="CR17" s="7">
        <v>12000</v>
      </c>
      <c r="CS17" s="31">
        <f>IF(CR17/(INDEX('Standards for Conversions'!$H$34:$H$73,MATCH(CQ$3,'Standards for Conversions'!$A$34:$A$73,0)))=0,"",CR17/(INDEX('Standards for Conversions'!$H$34:$H$73,MATCH(CQ$3,'Standards for Conversions'!$A$34:$A$73,0))))</f>
        <v>2083.4035804293039</v>
      </c>
      <c r="CT17" s="10" t="s">
        <v>399</v>
      </c>
      <c r="CU17" s="7"/>
      <c r="CV17" s="7"/>
      <c r="CW17" s="31" t="str">
        <f>IF(CV17/(INDEX('Standards for Conversions'!$H$34:$H$73,MATCH(CU$3,'Standards for Conversions'!$A$34:$A$73,0)))=0,"",CV17/(INDEX('Standards for Conversions'!$H$34:$H$73,MATCH(CU$3,'Standards for Conversions'!$A$34:$A$73,0))))</f>
        <v/>
      </c>
      <c r="CX17" s="6" t="s">
        <v>374</v>
      </c>
      <c r="CY17" s="7">
        <v>15</v>
      </c>
      <c r="CZ17" s="7">
        <v>300</v>
      </c>
      <c r="DA17" s="31">
        <f>IF(CZ17/(INDEX('Standards for Conversions'!$H$34:$H$73,MATCH(CY$3,'Standards for Conversions'!$A$34:$A$73,0)))=0,"",CZ17/(INDEX('Standards for Conversions'!$H$34:$H$73,MATCH(CY$3,'Standards for Conversions'!$A$34:$A$73,0))))</f>
        <v>53.101383940210312</v>
      </c>
      <c r="DB17" s="10" t="s">
        <v>399</v>
      </c>
      <c r="DC17" s="9"/>
      <c r="DD17" s="9"/>
      <c r="DE17" s="31" t="str">
        <f>IF(DD17/(INDEX('Standards for Conversions'!$H$34:$H$73,MATCH(DC$3,'Standards for Conversions'!$A$34:$A$73,0)))=0,"",DD17/(INDEX('Standards for Conversions'!$H$34:$H$73,MATCH(DC$3,'Standards for Conversions'!$A$34:$A$73,0))))</f>
        <v/>
      </c>
      <c r="DF17" s="10" t="s">
        <v>399</v>
      </c>
      <c r="DG17" s="7">
        <f>1.63*12000</f>
        <v>19560</v>
      </c>
      <c r="DH17" s="7">
        <v>24000</v>
      </c>
      <c r="DI17" s="31">
        <f>IF(DH17/(INDEX('Standards for Conversions'!$H$34:$H$73,MATCH(DG$3,'Standards for Conversions'!$A$34:$A$73,0)))=0,"",DH17/(INDEX('Standards for Conversions'!$H$34:$H$73,MATCH(DG$3,'Standards for Conversions'!$A$34:$A$73,0))))</f>
        <v>4248.1107152168242</v>
      </c>
      <c r="DJ17" s="10" t="s">
        <v>399</v>
      </c>
      <c r="DK17" s="7"/>
      <c r="DL17" s="7"/>
      <c r="DM17" s="31" t="str">
        <f>IF(DL17/(INDEX('Standards for Conversions'!$H$34:$H$73,MATCH(DK$3,'Standards for Conversions'!$A$34:$A$73,0)))=0,"",DL17/(INDEX('Standards for Conversions'!$H$34:$H$73,MATCH(DK$3,'Standards for Conversions'!$A$34:$A$73,0))))</f>
        <v/>
      </c>
      <c r="DN17" s="6" t="s">
        <v>374</v>
      </c>
      <c r="DO17" s="7">
        <v>400</v>
      </c>
      <c r="DP17" s="7">
        <v>8000</v>
      </c>
      <c r="DQ17" s="31">
        <f>IF(DP17/(INDEX('Standards for Conversions'!$H$34:$H$73,MATCH(DO$3,'Standards for Conversions'!$A$34:$A$73,0)))=0,"",DP17/(INDEX('Standards for Conversions'!$H$34:$H$73,MATCH(DO$3,'Standards for Conversions'!$A$34:$A$73,0))))</f>
        <v>1400.7924886301091</v>
      </c>
      <c r="DR17" s="10" t="s">
        <v>399</v>
      </c>
      <c r="DS17" s="9">
        <f>1.63*8400</f>
        <v>13692</v>
      </c>
      <c r="DT17" s="9">
        <v>12000</v>
      </c>
      <c r="DU17" s="31">
        <f>IF(DT17/(INDEX('Standards for Conversions'!$H$34:$H$73,MATCH(DS$3,'Standards for Conversions'!$A$34:$A$73,0)))=0,"",DT17/(INDEX('Standards for Conversions'!$H$34:$H$73,MATCH(DS$3,'Standards for Conversions'!$A$34:$A$73,0))))</f>
        <v>2101.1887329451638</v>
      </c>
      <c r="DV17" s="10" t="s">
        <v>399</v>
      </c>
      <c r="DW17" s="7">
        <f>1.63*4200</f>
        <v>6846</v>
      </c>
      <c r="DX17" s="7">
        <v>6000</v>
      </c>
      <c r="DY17" s="31">
        <f>IF(DX17/(INDEX('Standards for Conversions'!$H$34:$H$73,MATCH(DW$3,'Standards for Conversions'!$A$34:$A$73,0)))=0,"",DX17/(INDEX('Standards for Conversions'!$H$34:$H$73,MATCH(DW$3,'Standards for Conversions'!$A$34:$A$73,0))))</f>
        <v>1050.5943664725819</v>
      </c>
      <c r="DZ17" s="10" t="s">
        <v>399</v>
      </c>
      <c r="EA17" s="7"/>
      <c r="EB17" s="7"/>
      <c r="EC17" s="31" t="str">
        <f>IF(EB17/(INDEX('Standards for Conversions'!$H$34:$H$73,MATCH(EA$3,'Standards for Conversions'!$A$34:$A$73,0)))=0,"",EB17/(INDEX('Standards for Conversions'!$H$34:$H$73,MATCH(EA$3,'Standards for Conversions'!$A$34:$A$73,0))))</f>
        <v/>
      </c>
      <c r="ED17" s="10" t="s">
        <v>399</v>
      </c>
      <c r="EE17" s="7">
        <f>1.63*150</f>
        <v>244.49999999999997</v>
      </c>
      <c r="EF17" s="7">
        <v>290</v>
      </c>
      <c r="EG17" s="31">
        <f>IF(EF17/(INDEX('Standards for Conversions'!$H$34:$H$73,MATCH(EE$3,'Standards for Conversions'!$A$34:$A$73,0)))=0,"",EF17/(INDEX('Standards for Conversions'!$H$34:$H$73,MATCH(EE$3,'Standards for Conversions'!$A$34:$A$73,0))))</f>
        <v>50.717326591060505</v>
      </c>
      <c r="EH17" s="10" t="s">
        <v>399</v>
      </c>
      <c r="EI17" s="9">
        <f>1.63*5750</f>
        <v>9372.5</v>
      </c>
      <c r="EJ17" s="9">
        <v>10590</v>
      </c>
      <c r="EK17" s="31">
        <f>IF(EJ17/(INDEX('Standards for Conversions'!$H$34:$H$73,MATCH(EI$3,'Standards for Conversions'!$A$34:$A$73,0)))=0,"",EJ17/(INDEX('Standards for Conversions'!$H$34:$H$73,MATCH(EI$3,'Standards for Conversions'!$A$34:$A$73,0))))</f>
        <v>1852.0568572390716</v>
      </c>
      <c r="EL17" s="10" t="s">
        <v>399</v>
      </c>
      <c r="EM17" s="7">
        <f>1.63*1676</f>
        <v>2731.8799999999997</v>
      </c>
      <c r="EN17" s="7">
        <v>3100</v>
      </c>
      <c r="EO17" s="31">
        <f>IF(EN17/(INDEX('Standards for Conversions'!$H$34:$H$73,MATCH(EM$3,'Standards for Conversions'!$A$34:$A$73,0)))=0,"",EN17/(INDEX('Standards for Conversions'!$H$34:$H$73,MATCH(EM$3,'Standards for Conversions'!$A$34:$A$73,0))))</f>
        <v>542.15073252512957</v>
      </c>
      <c r="EP17" s="10" t="s">
        <v>399</v>
      </c>
      <c r="EQ17" s="7"/>
      <c r="ER17" s="7"/>
      <c r="ES17" s="31" t="str">
        <f>IF(ER17/(INDEX('Standards for Conversions'!$H$34:$H$73,MATCH(EQ$3,'Standards for Conversions'!$A$34:$A$73,0)))=0,"",ER17/(INDEX('Standards for Conversions'!$H$34:$H$73,MATCH(EQ$3,'Standards for Conversions'!$A$34:$A$73,0))))</f>
        <v/>
      </c>
      <c r="ET17" s="10" t="s">
        <v>399</v>
      </c>
      <c r="EU17" s="7">
        <f>1.63*230</f>
        <v>374.9</v>
      </c>
      <c r="EV17" s="7">
        <v>180</v>
      </c>
      <c r="EW17" s="31">
        <f>IF(EV17/(INDEX('Standards for Conversions'!$H$34:$H$73,MATCH(EU$3,'Standards for Conversions'!$A$34:$A$73,0)))=0,"",EV17/(INDEX('Standards for Conversions'!$H$34:$H$73,MATCH(EU$3,'Standards for Conversions'!$A$34:$A$73,0))))</f>
        <v>30.831832254279998</v>
      </c>
      <c r="EX17" s="10" t="s">
        <v>399</v>
      </c>
      <c r="EY17" s="9">
        <f>1.63*4348</f>
        <v>7087.24</v>
      </c>
      <c r="EZ17" s="9">
        <v>9150</v>
      </c>
      <c r="FA17" s="31">
        <f>IF(EZ17/(INDEX('Standards for Conversions'!$H$34:$H$73,MATCH(EY$3,'Standards for Conversions'!$A$34:$A$73,0)))=0,"",EZ17/(INDEX('Standards for Conversions'!$H$34:$H$73,MATCH(EY$3,'Standards for Conversions'!$A$34:$A$73,0))))</f>
        <v>1567.2848062592332</v>
      </c>
      <c r="FB17" s="10" t="s">
        <v>399</v>
      </c>
      <c r="FC17" s="7">
        <f>1.63*1365</f>
        <v>2224.9499999999998</v>
      </c>
      <c r="FD17" s="7">
        <v>2385</v>
      </c>
      <c r="FE17" s="31">
        <f>IF(FD17/(INDEX('Standards for Conversions'!$H$34:$H$73,MATCH(FC$3,'Standards for Conversions'!$A$34:$A$73,0)))=0,"",FD17/(INDEX('Standards for Conversions'!$H$34:$H$73,MATCH(FC$3,'Standards for Conversions'!$A$34:$A$73,0))))</f>
        <v>408.52177736920999</v>
      </c>
      <c r="FF17" s="10" t="s">
        <v>399</v>
      </c>
      <c r="FG17" s="7"/>
      <c r="FH17" s="7"/>
      <c r="FI17" s="31" t="str">
        <f>IF(FH17/(INDEX('Standards for Conversions'!$H$34:$H$73,MATCH(FG$3,'Standards for Conversions'!$A$34:$A$73,0)))=0,"",FH17/(INDEX('Standards for Conversions'!$H$34:$H$73,MATCH(FG$3,'Standards for Conversions'!$A$34:$A$73,0))))</f>
        <v/>
      </c>
      <c r="FJ17" s="10" t="s">
        <v>399</v>
      </c>
      <c r="FK17" s="7">
        <f>1.63*250</f>
        <v>407.5</v>
      </c>
      <c r="FL17" s="7">
        <v>900</v>
      </c>
      <c r="FM17" s="31">
        <f>IF(FL17/(INDEX('Standards for Conversions'!$H$34:$H$73,MATCH(FK$3,'Standards for Conversions'!$A$34:$A$73,0)))=0,"",FL17/(INDEX('Standards for Conversions'!$H$34:$H$73,MATCH(FK$3,'Standards for Conversions'!$A$34:$A$73,0))))</f>
        <v>154.34971647692706</v>
      </c>
      <c r="FN17" s="10" t="s">
        <v>399</v>
      </c>
      <c r="FO17" s="9">
        <f>1.63*3500</f>
        <v>5705</v>
      </c>
      <c r="FP17" s="9">
        <v>7000</v>
      </c>
      <c r="FQ17" s="31">
        <f>IF(FP17/(INDEX('Standards for Conversions'!$H$34:$H$73,MATCH(FO$3,'Standards for Conversions'!$A$34:$A$73,0)))=0,"",FP17/(INDEX('Standards for Conversions'!$H$34:$H$73,MATCH(FO$3,'Standards for Conversions'!$A$34:$A$73,0))))</f>
        <v>1200.4977948205437</v>
      </c>
      <c r="FR17" s="10" t="s">
        <v>399</v>
      </c>
      <c r="FS17" s="7">
        <f>1.63*2000</f>
        <v>3260</v>
      </c>
      <c r="FT17" s="7">
        <v>4000</v>
      </c>
      <c r="FU17" s="31">
        <f>IF(FT17/(INDEX('Standards for Conversions'!$H$34:$H$73,MATCH(FS$3,'Standards for Conversions'!$A$34:$A$73,0)))=0,"",FT17/(INDEX('Standards for Conversions'!$H$34:$H$73,MATCH(FS$3,'Standards for Conversions'!$A$34:$A$73,0))))</f>
        <v>685.99873989745356</v>
      </c>
      <c r="FV17" s="10" t="s">
        <v>399</v>
      </c>
      <c r="FW17" s="7"/>
      <c r="FX17" s="7"/>
      <c r="FY17" s="31" t="str">
        <f>IF(FX17/(INDEX('Standards for Conversions'!$H$34:$H$73,MATCH(FW$3,'Standards for Conversions'!$A$34:$A$73,0)))=0,"",FX17/(INDEX('Standards for Conversions'!$H$34:$H$73,MATCH(FW$3,'Standards for Conversions'!$A$34:$A$73,0))))</f>
        <v/>
      </c>
      <c r="FZ17" s="10" t="s">
        <v>399</v>
      </c>
      <c r="GA17" s="7">
        <f>1.63*100</f>
        <v>163</v>
      </c>
      <c r="GB17" s="7">
        <v>250</v>
      </c>
      <c r="GC17" s="31">
        <f>IF(GB17/(INDEX('Standards for Conversions'!$H$34:$H$73,MATCH(GA$3,'Standards for Conversions'!$A$34:$A$73,0)))=0,"",GB17/(INDEX('Standards for Conversions'!$H$34:$H$73,MATCH(GA$3,'Standards for Conversions'!$A$34:$A$73,0))))</f>
        <v>41.128165192926041</v>
      </c>
      <c r="GD17" s="10" t="s">
        <v>399</v>
      </c>
      <c r="GE17" s="9">
        <f>1.63*2530</f>
        <v>4123.8999999999996</v>
      </c>
      <c r="GF17" s="9">
        <v>5230</v>
      </c>
      <c r="GG17" s="31">
        <f>IF(GF17/(INDEX('Standards for Conversions'!$H$34:$H$73,MATCH(GE$3,'Standards for Conversions'!$A$34:$A$73,0)))=0,"",GF17/(INDEX('Standards for Conversions'!$H$34:$H$73,MATCH(GE$3,'Standards for Conversions'!$A$34:$A$73,0))))</f>
        <v>860.40121583601285</v>
      </c>
      <c r="GH17" s="10" t="s">
        <v>399</v>
      </c>
      <c r="GI17" s="7">
        <f>1.63*1700</f>
        <v>2771</v>
      </c>
      <c r="GJ17" s="7">
        <v>3400</v>
      </c>
      <c r="GK17" s="31">
        <f>IF(GJ17/(INDEX('Standards for Conversions'!$H$34:$H$73,MATCH(GI$3,'Standards for Conversions'!$A$34:$A$73,0)))=0,"",GJ17/(INDEX('Standards for Conversions'!$H$34:$H$73,MATCH(GI$3,'Standards for Conversions'!$A$34:$A$73,0))))</f>
        <v>559.34304662379418</v>
      </c>
      <c r="GL17" s="10" t="s">
        <v>399</v>
      </c>
      <c r="GM17" s="7"/>
      <c r="GN17" s="7"/>
      <c r="GO17" s="31" t="str">
        <f>IF(GN17/(INDEX('Standards for Conversions'!$H$34:$H$73,MATCH(GM$3,'Standards for Conversions'!$A$34:$A$73,0)))=0,"",GN17/(INDEX('Standards for Conversions'!$H$34:$H$73,MATCH(GM$3,'Standards for Conversions'!$A$34:$A$73,0))))</f>
        <v/>
      </c>
      <c r="GP17" s="10" t="s">
        <v>399</v>
      </c>
      <c r="GQ17" s="7">
        <f>1.63*100</f>
        <v>163</v>
      </c>
      <c r="GR17" s="7">
        <v>250</v>
      </c>
      <c r="GS17" s="31">
        <f>IF(GR17/(INDEX('Standards for Conversions'!$H$34:$H$73,MATCH(GQ$3,'Standards for Conversions'!$A$34:$A$73,0)))=0,"",GR17/(INDEX('Standards for Conversions'!$H$34:$H$73,MATCH(GQ$3,'Standards for Conversions'!$A$34:$A$73,0))))</f>
        <v>38.428633114625882</v>
      </c>
      <c r="GT17" s="10" t="s">
        <v>399</v>
      </c>
      <c r="GU17" s="9">
        <f>1.63*1200</f>
        <v>1955.9999999999998</v>
      </c>
      <c r="GV17" s="9">
        <v>3000</v>
      </c>
      <c r="GW17" s="31">
        <f>IF(GV17/(INDEX('Standards for Conversions'!$H$34:$H$73,MATCH(GU$3,'Standards for Conversions'!$A$34:$A$73,0)))=0,"",GV17/(INDEX('Standards for Conversions'!$H$34:$H$73,MATCH(GU$3,'Standards for Conversions'!$A$34:$A$73,0))))</f>
        <v>461.14359737551058</v>
      </c>
      <c r="GX17" s="10" t="s">
        <v>399</v>
      </c>
      <c r="GY17" s="7">
        <f>1.63*2500</f>
        <v>4074.9999999999995</v>
      </c>
      <c r="GZ17" s="7">
        <v>7000</v>
      </c>
      <c r="HA17" s="31">
        <f>IF(GZ17/(INDEX('Standards for Conversions'!$H$34:$H$73,MATCH(GY$3,'Standards for Conversions'!$A$34:$A$73,0)))=0,"",GZ17/(INDEX('Standards for Conversions'!$H$34:$H$73,MATCH(GY$3,'Standards for Conversions'!$A$34:$A$73,0))))</f>
        <v>1076.0017272095247</v>
      </c>
      <c r="HB17" s="10" t="s">
        <v>399</v>
      </c>
      <c r="HC17" s="7"/>
      <c r="HD17" s="7"/>
      <c r="HE17" s="31" t="str">
        <f>IF(HD17/(INDEX('Standards for Conversions'!$H$34:$H$73,MATCH(HC$3,'Standards for Conversions'!$A$34:$A$73,0)))=0,"",HD17/(INDEX('Standards for Conversions'!$H$34:$H$73,MATCH(HC$3,'Standards for Conversions'!$A$34:$A$73,0))))</f>
        <v/>
      </c>
      <c r="HF17" s="10" t="s">
        <v>399</v>
      </c>
      <c r="HG17" s="7">
        <f>1.63*150</f>
        <v>244.49999999999997</v>
      </c>
      <c r="HH17" s="7">
        <v>400</v>
      </c>
      <c r="HI17" s="31">
        <f>IF(HH17/(INDEX('Standards for Conversions'!$H$34:$H$73,MATCH(HG$3,'Standards for Conversions'!$A$34:$A$73,0)))=0,"",HH17/(INDEX('Standards for Conversions'!$H$34:$H$73,MATCH(HG$3,'Standards for Conversions'!$A$34:$A$73,0))))</f>
        <v>60.55420975638016</v>
      </c>
      <c r="HJ17" s="10" t="s">
        <v>399</v>
      </c>
      <c r="HK17" s="9">
        <f>1.63*1500</f>
        <v>2445</v>
      </c>
      <c r="HL17" s="9">
        <v>3200</v>
      </c>
      <c r="HM17" s="31">
        <f>IF(HL17/(INDEX('Standards for Conversions'!$H$34:$H$73,MATCH(HK$3,'Standards for Conversions'!$A$34:$A$73,0)))=0,"",HL17/(INDEX('Standards for Conversions'!$H$34:$H$73,MATCH(HK$3,'Standards for Conversions'!$A$34:$A$73,0))))</f>
        <v>484.43367805104128</v>
      </c>
      <c r="HN17" s="10" t="s">
        <v>399</v>
      </c>
      <c r="HO17" s="7">
        <f>1.63*3000</f>
        <v>4890</v>
      </c>
      <c r="HP17" s="7">
        <v>8000</v>
      </c>
      <c r="HQ17" s="31">
        <f>IF(HP17/(INDEX('Standards for Conversions'!$H$34:$H$73,MATCH(HO$3,'Standards for Conversions'!$A$34:$A$73,0)))=0,"",HP17/(INDEX('Standards for Conversions'!$H$34:$H$73,MATCH(HO$3,'Standards for Conversions'!$A$34:$A$73,0))))</f>
        <v>1211.0841951276032</v>
      </c>
      <c r="HR17" s="33" t="s">
        <v>98</v>
      </c>
      <c r="HU17" s="31" t="str">
        <f>IF(HT17/(INDEX('Standards for Conversions'!$H$47:$H$73,MATCH(HS$3,'Standards for Conversions'!$A$47:$A$73,0)))=0,"",HT17/(INDEX('Standards for Conversions'!$H$47:$H$73,MATCH(HS$3,'Standards for Conversions'!$A$47:$A$73,0))))</f>
        <v/>
      </c>
      <c r="HV17" s="33" t="s">
        <v>98</v>
      </c>
      <c r="HW17" s="33">
        <v>325</v>
      </c>
      <c r="HX17" s="33">
        <v>600</v>
      </c>
      <c r="HY17" s="31">
        <f>IF(HX17/(INDEX('Standards for Conversions'!$H$47:$H$73,MATCH(HW$3,'Standards for Conversions'!$A$47:$A$73,0)))=0,"",HX17/(INDEX('Standards for Conversions'!$H$47:$H$73,MATCH(HW$3,'Standards for Conversions'!$A$47:$A$73,0))))</f>
        <v>87.147247327713572</v>
      </c>
      <c r="HZ17" s="33">
        <v>2275</v>
      </c>
      <c r="IA17" s="33">
        <v>3000</v>
      </c>
      <c r="IB17" s="31">
        <f>IF(IA17/(INDEX('Standards for Conversions'!$H$47:$H$73,MATCH(HZ$3,'Standards for Conversions'!$A$47:$A$73,0)))=0,"",IA17/(INDEX('Standards for Conversions'!$H$47:$H$73,MATCH(HZ$3,'Standards for Conversions'!$A$47:$A$73,0))))</f>
        <v>435.7362366385679</v>
      </c>
      <c r="IC17" s="33" t="s">
        <v>98</v>
      </c>
      <c r="ID17" s="33">
        <v>4062.5</v>
      </c>
      <c r="IE17" s="33">
        <v>7000</v>
      </c>
      <c r="IF17" s="31">
        <f>IF(IE17/(INDEX('Standards for Conversions'!$H$47:$H$73,MATCH(ID$3,'Standards for Conversions'!$A$47:$A$73,0)))=0,"",IE17/(INDEX('Standards for Conversions'!$H$47:$H$73,MATCH(ID$3,'Standards for Conversions'!$A$47:$A$73,0))))</f>
        <v>1016.7178854899917</v>
      </c>
      <c r="IG17" s="33" t="s">
        <v>98</v>
      </c>
      <c r="IJ17" s="31" t="str">
        <f>IF(II17/(INDEX('Standards for Conversions'!$H$47:$H$73,MATCH(IH$3,'Standards for Conversions'!$A$47:$A$73,0)))=0,"",II17/(INDEX('Standards for Conversions'!$H$47:$H$73,MATCH(IH$3,'Standards for Conversions'!$A$47:$A$73,0))))</f>
        <v/>
      </c>
      <c r="IK17" s="33" t="s">
        <v>98</v>
      </c>
      <c r="IN17" s="31" t="str">
        <f>IF(IM17/(INDEX('Standards for Conversions'!$H$47:$H$73,MATCH(IL$3,'Standards for Conversions'!$A$47:$A$73,0)))=0,"",IM17/(INDEX('Standards for Conversions'!$H$47:$H$73,MATCH(IL$3,'Standards for Conversions'!$A$47:$A$73,0))))</f>
        <v/>
      </c>
      <c r="IO17" s="33" t="s">
        <v>98</v>
      </c>
      <c r="IP17" s="33">
        <v>650</v>
      </c>
      <c r="IQ17" s="33">
        <v>1100</v>
      </c>
      <c r="IR17" s="31">
        <f>IF(IQ17/(INDEX('Standards for Conversions'!$H$47:$H$73,MATCH(IP$3,'Standards for Conversions'!$A$47:$A$73,0)))=0,"",IQ17/(INDEX('Standards for Conversions'!$H$47:$H$73,MATCH(IP$3,'Standards for Conversions'!$A$47:$A$73,0))))</f>
        <v>159.07125101387561</v>
      </c>
      <c r="IS17" s="33" t="s">
        <v>98</v>
      </c>
      <c r="IT17" s="33">
        <v>3347.5</v>
      </c>
      <c r="IU17" s="33">
        <v>4328</v>
      </c>
      <c r="IV17" s="31">
        <f>IF(IU17/(INDEX('Standards for Conversions'!$H$47:$H$73,MATCH(IT$3,'Standards for Conversions'!$A$47:$A$73,0)))=0,"",IU17/(INDEX('Standards for Conversions'!$H$47:$H$73,MATCH(IT$3,'Standards for Conversions'!$A$47:$A$73,0))))</f>
        <v>625.87306762550327</v>
      </c>
      <c r="IW17" s="33" t="s">
        <v>98</v>
      </c>
      <c r="IZ17" s="31" t="str">
        <f>IF(IY17/(INDEX('Standards for Conversions'!$H$47:$H$73,MATCH(IX$3,'Standards for Conversions'!$A$47:$A$73,0)))=0,"",IY17/(INDEX('Standards for Conversions'!$H$47:$H$73,MATCH(IX$3,'Standards for Conversions'!$A$47:$A$73,0))))</f>
        <v/>
      </c>
      <c r="JA17" s="33" t="s">
        <v>98</v>
      </c>
      <c r="JB17" s="33">
        <v>406.25</v>
      </c>
      <c r="JC17" s="33">
        <v>900</v>
      </c>
      <c r="JD17" s="31">
        <f>IF(JC17/(INDEX('Standards for Conversions'!$H$47:$H$73,MATCH(JB$3,'Standards for Conversions'!$A$47:$A$73,0)))=0,"",JC17/(INDEX('Standards for Conversions'!$H$47:$H$73,MATCH(JB$3,'Standards for Conversions'!$A$47:$A$73,0))))</f>
        <v>145.58417702268181</v>
      </c>
      <c r="JE17" s="33" t="s">
        <v>98</v>
      </c>
      <c r="JF17" s="33">
        <v>3575</v>
      </c>
      <c r="JG17" s="33">
        <v>4000</v>
      </c>
      <c r="JH17" s="31">
        <f>IF(JG17/(INDEX('Standards for Conversions'!$H$47:$H$73,MATCH(JF$3,'Standards for Conversions'!$A$47:$A$73,0)))=0,"",JG17/(INDEX('Standards for Conversions'!$H$47:$H$73,MATCH(JF$3,'Standards for Conversions'!$A$47:$A$73,0))))</f>
        <v>647.04078676747474</v>
      </c>
      <c r="JI17" s="33" t="s">
        <v>98</v>
      </c>
      <c r="JJ17" s="33">
        <v>7637.5</v>
      </c>
      <c r="JK17" s="33">
        <v>10800</v>
      </c>
      <c r="JL17" s="31">
        <f>IF(JK17/(INDEX('Standards for Conversions'!$H$47:$H$73,MATCH(JJ$3,'Standards for Conversions'!$A$47:$A$73,0)))=0,"",JK17/(INDEX('Standards for Conversions'!$H$47:$H$73,MATCH(JJ$3,'Standards for Conversions'!$A$47:$A$73,0))))</f>
        <v>1747.0101242721819</v>
      </c>
      <c r="JM17" s="33" t="s">
        <v>98</v>
      </c>
      <c r="JP17" s="31" t="str">
        <f>IF(JO17/(INDEX('Standards for Conversions'!$H$47:$H$73,MATCH(JN$3,'Standards for Conversions'!$A$47:$A$73,0)))=0,"",JO17/(INDEX('Standards for Conversions'!$H$47:$H$73,MATCH(JN$3,'Standards for Conversions'!$A$47:$A$73,0))))</f>
        <v/>
      </c>
      <c r="JQ17" s="33" t="s">
        <v>98</v>
      </c>
      <c r="JR17" s="33">
        <v>487.5</v>
      </c>
      <c r="JS17" s="33">
        <v>1000</v>
      </c>
      <c r="JT17" s="31">
        <f>IF(JS17/(INDEX('Standards for Conversions'!$H$47:$H$73,MATCH(JR$3,'Standards for Conversions'!$A$47:$A$73,0)))=0,"",JS17/(INDEX('Standards for Conversions'!$H$47:$H$73,MATCH(JR$3,'Standards for Conversions'!$A$47:$A$73,0))))</f>
        <v>152.65589242779757</v>
      </c>
      <c r="JU17" s="33" t="s">
        <v>98</v>
      </c>
      <c r="JV17" s="33">
        <v>3250</v>
      </c>
      <c r="JW17" s="33">
        <v>4000</v>
      </c>
      <c r="JX17" s="31">
        <f>IF(JW17/(INDEX('Standards for Conversions'!$H$47:$H$73,MATCH(JV$3,'Standards for Conversions'!$A$47:$A$73,0)))=0,"",JW17/(INDEX('Standards for Conversions'!$H$47:$H$73,MATCH(JV$3,'Standards for Conversions'!$A$47:$A$73,0))))</f>
        <v>610.62356971119027</v>
      </c>
      <c r="JY17" s="33" t="s">
        <v>98</v>
      </c>
      <c r="JZ17" s="33">
        <v>4875</v>
      </c>
      <c r="KA17" s="33">
        <v>7000</v>
      </c>
      <c r="KB17" s="31">
        <f>IF(KA17/(INDEX('Standards for Conversions'!$H$47:$H$73,MATCH(JZ$3,'Standards for Conversions'!$A$47:$A$73,0)))=0,"",KA17/(INDEX('Standards for Conversions'!$H$47:$H$73,MATCH(JZ$3,'Standards for Conversions'!$A$47:$A$73,0))))</f>
        <v>1068.5912469945829</v>
      </c>
      <c r="KC17" s="33" t="s">
        <v>98</v>
      </c>
      <c r="KF17" s="31" t="str">
        <f>IF(KE17/(INDEX('Standards for Conversions'!$H$47:$H$73,MATCH(KD$3,'Standards for Conversions'!$A$47:$A$73,0)))=0,"",KE17/(INDEX('Standards for Conversions'!$H$47:$H$73,MATCH(KD$3,'Standards for Conversions'!$A$47:$A$73,0))))</f>
        <v/>
      </c>
      <c r="KG17" s="33" t="s">
        <v>98</v>
      </c>
      <c r="KH17" s="33">
        <v>650</v>
      </c>
      <c r="KI17" s="33">
        <v>1200</v>
      </c>
      <c r="KJ17" s="31">
        <f>IF(KI17/(INDEX('Standards for Conversions'!$H$47:$H$73,MATCH(KH$3,'Standards for Conversions'!$A$47:$A$73,0)))=0,"",KI17/(INDEX('Standards for Conversions'!$H$47:$H$73,MATCH(KH$3,'Standards for Conversions'!$A$47:$A$73,0))))</f>
        <v>161.59081428695575</v>
      </c>
      <c r="KK17" s="33" t="s">
        <v>98</v>
      </c>
      <c r="KL17" s="33">
        <v>2925</v>
      </c>
      <c r="KM17" s="33">
        <v>4500</v>
      </c>
      <c r="KN17" s="31">
        <f>IF(KM17/(INDEX('Standards for Conversions'!$H$47:$H$73,MATCH(KL$3,'Standards for Conversions'!$A$47:$A$73,0)))=0,"",KM17/(INDEX('Standards for Conversions'!$H$47:$H$73,MATCH(KL$3,'Standards for Conversions'!$A$47:$A$73,0))))</f>
        <v>605.96555357608406</v>
      </c>
      <c r="KO17" s="33" t="s">
        <v>98</v>
      </c>
      <c r="KP17" s="33">
        <v>5362.5</v>
      </c>
      <c r="KQ17" s="33">
        <v>7280</v>
      </c>
      <c r="KR17" s="31">
        <f>IF(KQ17/(INDEX('Standards for Conversions'!$H$47:$H$73,MATCH(KP$3,'Standards for Conversions'!$A$47:$A$73,0)))=0,"",KQ17/(INDEX('Standards for Conversions'!$H$47:$H$73,MATCH(KP$3,'Standards for Conversions'!$A$47:$A$73,0))))</f>
        <v>980.31760667419826</v>
      </c>
      <c r="KS17" s="33" t="s">
        <v>98</v>
      </c>
      <c r="KV17" s="31" t="str">
        <f>IF(KU17/(INDEX('Standards for Conversions'!$H$47:$H$73,MATCH(KT$3,'Standards for Conversions'!$A$47:$A$73,0)))=0,"",KU17/(INDEX('Standards for Conversions'!$H$47:$H$73,MATCH(KT$3,'Standards for Conversions'!$A$47:$A$73,0))))</f>
        <v/>
      </c>
      <c r="KW17" s="33" t="s">
        <v>98</v>
      </c>
      <c r="KX17" s="33">
        <v>812.5</v>
      </c>
      <c r="KY17" s="33">
        <v>1700</v>
      </c>
      <c r="KZ17" s="31">
        <f>IF(KY17/(INDEX('Standards for Conversions'!$H$47:$H$73,MATCH(KX$3,'Standards for Conversions'!$A$47:$A$73,0)))=0,"",KY17/(INDEX('Standards for Conversions'!$H$47:$H$73,MATCH(KX$3,'Standards for Conversions'!$A$47:$A$73,0))))</f>
        <v>206.7481634367486</v>
      </c>
      <c r="LA17" s="33" t="s">
        <v>98</v>
      </c>
      <c r="LB17" s="33">
        <v>2145</v>
      </c>
      <c r="LC17" s="33">
        <v>3150</v>
      </c>
      <c r="LD17" s="31">
        <f>IF(LC17/(INDEX('Standards for Conversions'!$H$47:$H$73,MATCH(LB$3,'Standards for Conversions'!$A$47:$A$73,0)))=0,"",LC17/(INDEX('Standards for Conversions'!$H$47:$H$73,MATCH(LB$3,'Standards for Conversions'!$A$47:$A$73,0))))</f>
        <v>383.09218519162243</v>
      </c>
      <c r="LE17" s="33" t="s">
        <v>98</v>
      </c>
      <c r="LF17" s="33">
        <v>8515</v>
      </c>
      <c r="LG17" s="33">
        <v>12320</v>
      </c>
      <c r="LH17" s="31">
        <f>IF(LG17/(INDEX('Standards for Conversions'!$H$47:$H$73,MATCH(LF$3,'Standards for Conversions'!$A$47:$A$73,0)))=0,"",LG17/(INDEX('Standards for Conversions'!$H$47:$H$73,MATCH(LF$3,'Standards for Conversions'!$A$47:$A$73,0))))</f>
        <v>1498.3161020827899</v>
      </c>
      <c r="LL17" s="31" t="str">
        <f>IF(LK17/(INDEX('Standards for Conversions'!$H$47:$H$73,MATCH(LJ$3,'Standards for Conversions'!$A$47:$A$73,0)))=0,"",LK17/(INDEX('Standards for Conversions'!$H$47:$H$73,MATCH(LJ$3,'Standards for Conversions'!$A$47:$A$73,0))))</f>
        <v/>
      </c>
      <c r="LO17" s="31" t="str">
        <f>IF(LN17/(INDEX('Standards for Conversions'!$H$47:$H$73,MATCH(LM$3,'Standards for Conversions'!$A$47:$A$73,0)))=0,"",LN17/(INDEX('Standards for Conversions'!$H$47:$H$73,MATCH(LM$3,'Standards for Conversions'!$A$47:$A$73,0))))</f>
        <v/>
      </c>
      <c r="LR17" s="31" t="str">
        <f>IF(LQ17/(INDEX('Standards for Conversions'!$H$47:$H$73,MATCH(LP$3,'Standards for Conversions'!$A$47:$A$73,0)))=0,"",LQ17/(INDEX('Standards for Conversions'!$H$47:$H$73,MATCH(LP$3,'Standards for Conversions'!$A$47:$A$73,0))))</f>
        <v/>
      </c>
      <c r="LV17" s="31" t="str">
        <f>IF(LU17/(INDEX('Standards for Conversions'!$H$47:$H$73,MATCH(LT$3,'Standards for Conversions'!$A$47:$A$73,0)))=0,"",LU17/(INDEX('Standards for Conversions'!$H$47:$H$73,MATCH(LT$3,'Standards for Conversions'!$A$47:$A$73,0))))</f>
        <v/>
      </c>
      <c r="LY17" s="31" t="str">
        <f>IF(LX17/(INDEX('Standards for Conversions'!$H$47:$H$73,MATCH(LW$3,'Standards for Conversions'!$A$47:$A$73,0)))=0,"",LX17/(INDEX('Standards for Conversions'!$H$47:$H$73,MATCH(LW$3,'Standards for Conversions'!$A$47:$A$73,0))))</f>
        <v/>
      </c>
      <c r="MB17" s="31" t="str">
        <f>IF(MA17/(INDEX('Standards for Conversions'!$H$47:$H$73,MATCH(LZ$3,'Standards for Conversions'!$A$47:$A$73,0)))=0,"",MA17/(INDEX('Standards for Conversions'!$H$47:$H$73,MATCH(LZ$3,'Standards for Conversions'!$A$47:$A$73,0))))</f>
        <v/>
      </c>
      <c r="ME17" s="31" t="str">
        <f>IF(MD17/(INDEX('Standards for Conversions'!$H$47:$H$73,MATCH(MC$3,'Standards for Conversions'!$A$47:$A$73,0)))=0,"",MD17/(INDEX('Standards for Conversions'!$H$47:$H$73,MATCH(MC$3,'Standards for Conversions'!$A$47:$A$73,0))))</f>
        <v/>
      </c>
      <c r="MH17" s="31" t="str">
        <f>IF(MG17/(INDEX('Standards for Conversions'!$H$47:$H$73,MATCH(MF$3,'Standards for Conversions'!$A$47:$A$73,0)))=0,"",MG17/(INDEX('Standards for Conversions'!$H$47:$H$73,MATCH(MF$3,'Standards for Conversions'!$A$47:$A$73,0))))</f>
        <v/>
      </c>
      <c r="MK17" s="31" t="str">
        <f>IF(MJ17/(INDEX('Standards for Conversions'!$H$47:$H$73,MATCH(MI$3,'Standards for Conversions'!$A$47:$A$73,0)))=0,"",MJ17/(INDEX('Standards for Conversions'!$H$47:$H$73,MATCH(MI$3,'Standards for Conversions'!$A$47:$A$73,0))))</f>
        <v/>
      </c>
      <c r="MN17" s="31" t="str">
        <f>IF(MM17/(INDEX('Standards for Conversions'!$H$47:$H$73,MATCH(ML$3,'Standards for Conversions'!$A$47:$A$73,0)))=0,"",MM17/(INDEX('Standards for Conversions'!$H$47:$H$73,MATCH(ML$3,'Standards for Conversions'!$A$47:$A$73,0))))</f>
        <v/>
      </c>
      <c r="MR17" s="31" t="str">
        <f>IF(MQ17/(INDEX('Standards for Conversions'!$H$47:$H$73,MATCH(MP$3,'Standards for Conversions'!$A$47:$A$73,0)))=0,"",MQ17/(INDEX('Standards for Conversions'!$H$47:$H$73,MATCH(MP$3,'Standards for Conversions'!$A$47:$A$73,0))))</f>
        <v/>
      </c>
    </row>
    <row r="18" spans="1:373" s="33" customFormat="1" x14ac:dyDescent="0.3">
      <c r="A18" s="104" t="s">
        <v>179</v>
      </c>
      <c r="B18" s="10" t="s">
        <v>399</v>
      </c>
      <c r="C18" s="7"/>
      <c r="D18" s="7"/>
      <c r="E18" s="31" t="str">
        <f>IF(D18/(INDEX('Standards for Conversions'!$H$34:$H$73,MATCH(C$3,'Standards for Conversions'!$A$34:$A$73,0)))=0,"",D18/(INDEX('Standards for Conversions'!$H$34:$H$73,MATCH(C$3,'Standards for Conversions'!$A$34:$A$73,0))))</f>
        <v/>
      </c>
      <c r="F18" s="10" t="s">
        <v>399</v>
      </c>
      <c r="G18" s="7"/>
      <c r="H18" s="7"/>
      <c r="I18" s="31" t="str">
        <f>IF(H18/(INDEX('Standards for Conversions'!$H$34:$H$73,MATCH(G$3,'Standards for Conversions'!$A$34:$A$73,0)))=0,"",H18/(INDEX('Standards for Conversions'!$H$34:$H$73,MATCH(G$3,'Standards for Conversions'!$A$34:$A$73,0))))</f>
        <v/>
      </c>
      <c r="J18" s="10" t="s">
        <v>399</v>
      </c>
      <c r="K18" s="9"/>
      <c r="L18" s="9"/>
      <c r="M18" s="31" t="str">
        <f>IF(L18/(INDEX('Standards for Conversions'!$H$34:$H$73,MATCH(K$3,'Standards for Conversions'!$A$34:$A$73,0)))=0,"",L18/(INDEX('Standards for Conversions'!$H$34:$H$73,MATCH(K$3,'Standards for Conversions'!$A$34:$A$73,0))))</f>
        <v/>
      </c>
      <c r="N18" s="10" t="s">
        <v>399</v>
      </c>
      <c r="O18" s="7"/>
      <c r="P18" s="7"/>
      <c r="Q18" s="31" t="str">
        <f>IF(P18/(INDEX('Standards for Conversions'!$H$34:$H$73,MATCH(O$3,'Standards for Conversions'!$A$34:$A$73,0)))=0,"",P18/(INDEX('Standards for Conversions'!$H$34:$H$73,MATCH(O$3,'Standards for Conversions'!$A$34:$A$73,0))))</f>
        <v/>
      </c>
      <c r="R18" s="10" t="s">
        <v>399</v>
      </c>
      <c r="S18" s="7"/>
      <c r="T18" s="7"/>
      <c r="U18" s="31" t="str">
        <f>IF(T18/(INDEX('Standards for Conversions'!$H$34:$H$73,MATCH(S$3,'Standards for Conversions'!$A$34:$A$73,0)))=0,"",T18/(INDEX('Standards for Conversions'!$H$34:$H$73,MATCH(S$3,'Standards for Conversions'!$A$34:$A$73,0))))</f>
        <v/>
      </c>
      <c r="V18" s="10" t="s">
        <v>399</v>
      </c>
      <c r="W18" s="7"/>
      <c r="X18" s="7"/>
      <c r="Y18" s="31" t="str">
        <f>IF(X18/(INDEX('Standards for Conversions'!$H$34:$H$73,MATCH(W$3,'Standards for Conversions'!$A$34:$A$73,0)))=0,"",X18/(INDEX('Standards for Conversions'!$H$34:$H$73,MATCH(W$3,'Standards for Conversions'!$A$34:$A$73,0))))</f>
        <v/>
      </c>
      <c r="Z18" s="10" t="s">
        <v>399</v>
      </c>
      <c r="AA18" s="9"/>
      <c r="AB18" s="9"/>
      <c r="AC18" s="31" t="str">
        <f>IF(AB18/(INDEX('Standards for Conversions'!$H$34:$H$73,MATCH(AA$3,'Standards for Conversions'!$A$34:$A$73,0)))=0,"",AB18/(INDEX('Standards for Conversions'!$H$34:$H$73,MATCH(AA$3,'Standards for Conversions'!$A$34:$A$73,0))))</f>
        <v/>
      </c>
      <c r="AD18" s="10" t="s">
        <v>399</v>
      </c>
      <c r="AE18" s="7"/>
      <c r="AF18" s="7"/>
      <c r="AG18" s="31" t="str">
        <f>IF(AF18/(INDEX('Standards for Conversions'!$H$34:$H$73,MATCH(AE$3,'Standards for Conversions'!$A$34:$A$73,0)))=0,"",AF18/(INDEX('Standards for Conversions'!$H$34:$H$73,MATCH(AE$3,'Standards for Conversions'!$A$34:$A$73,0))))</f>
        <v/>
      </c>
      <c r="AH18" s="10" t="s">
        <v>399</v>
      </c>
      <c r="AI18" s="7"/>
      <c r="AJ18" s="7"/>
      <c r="AK18" s="31" t="str">
        <f>IF(AJ18/(INDEX('Standards for Conversions'!$H$34:$H$73,MATCH(AI$3,'Standards for Conversions'!$A$34:$A$73,0)))=0,"",AJ18/(INDEX('Standards for Conversions'!$H$34:$H$73,MATCH(AI$3,'Standards for Conversions'!$A$34:$A$73,0))))</f>
        <v/>
      </c>
      <c r="AL18" s="10" t="s">
        <v>399</v>
      </c>
      <c r="AM18" s="7"/>
      <c r="AN18" s="7"/>
      <c r="AO18" s="31" t="str">
        <f>IF(AN18/(INDEX('Standards for Conversions'!$H$34:$H$73,MATCH(AM$3,'Standards for Conversions'!$A$34:$A$73,0)))=0,"",AN18/(INDEX('Standards for Conversions'!$H$34:$H$73,MATCH(AM$3,'Standards for Conversions'!$A$34:$A$73,0))))</f>
        <v/>
      </c>
      <c r="AP18" s="10" t="s">
        <v>399</v>
      </c>
      <c r="AQ18" s="9"/>
      <c r="AR18" s="9"/>
      <c r="AS18" s="31" t="str">
        <f>IF(AR18/(INDEX('Standards for Conversions'!$H$34:$H$73,MATCH(AQ$3,'Standards for Conversions'!$A$34:$A$73,0)))=0,"",AR18/(INDEX('Standards for Conversions'!$H$34:$H$73,MATCH(AQ$3,'Standards for Conversions'!$A$34:$A$73,0))))</f>
        <v/>
      </c>
      <c r="AT18" s="10" t="s">
        <v>399</v>
      </c>
      <c r="AU18" s="7"/>
      <c r="AV18" s="7"/>
      <c r="AW18" s="31" t="str">
        <f>IF(AV18/(INDEX('Standards for Conversions'!$H$34:$H$73,MATCH(AU$3,'Standards for Conversions'!$A$34:$A$73,0)))=0,"",AV18/(INDEX('Standards for Conversions'!$H$34:$H$73,MATCH(AU$3,'Standards for Conversions'!$A$34:$A$73,0))))</f>
        <v/>
      </c>
      <c r="AX18" s="10" t="s">
        <v>399</v>
      </c>
      <c r="AY18" s="7"/>
      <c r="AZ18" s="7"/>
      <c r="BA18" s="31" t="str">
        <f>IF(AZ18/(INDEX('Standards for Conversions'!$H$34:$H$73,MATCH(AY$3,'Standards for Conversions'!$A$34:$A$73,0)))=0,"",AZ18/(INDEX('Standards for Conversions'!$H$34:$H$73,MATCH(AY$3,'Standards for Conversions'!$A$34:$A$73,0))))</f>
        <v/>
      </c>
      <c r="BB18" s="10" t="s">
        <v>399</v>
      </c>
      <c r="BC18" s="7"/>
      <c r="BD18" s="7"/>
      <c r="BE18" s="31" t="str">
        <f>IF(BD18/(INDEX('Standards for Conversions'!$H$34:$H$73,MATCH(BC$3,'Standards for Conversions'!$A$34:$A$73,0)))=0,"",BD18/(INDEX('Standards for Conversions'!$H$34:$H$73,MATCH(BC$3,'Standards for Conversions'!$A$34:$A$73,0))))</f>
        <v/>
      </c>
      <c r="BF18" s="10" t="s">
        <v>399</v>
      </c>
      <c r="BG18" s="9"/>
      <c r="BH18" s="9"/>
      <c r="BI18" s="31" t="str">
        <f>IF(BH18/(INDEX('Standards for Conversions'!$H$34:$H$73,MATCH(BG$3,'Standards for Conversions'!$A$34:$A$73,0)))=0,"",BH18/(INDEX('Standards for Conversions'!$H$34:$H$73,MATCH(BG$3,'Standards for Conversions'!$A$34:$A$73,0))))</f>
        <v/>
      </c>
      <c r="BJ18" s="10" t="s">
        <v>399</v>
      </c>
      <c r="BK18" s="7"/>
      <c r="BL18" s="7"/>
      <c r="BM18" s="31" t="str">
        <f>IF(BL18/(INDEX('Standards for Conversions'!$H$34:$H$73,MATCH(BK$3,'Standards for Conversions'!$A$34:$A$73,0)))=0,"",BL18/(INDEX('Standards for Conversions'!$H$34:$H$73,MATCH(BK$3,'Standards for Conversions'!$A$34:$A$73,0))))</f>
        <v/>
      </c>
      <c r="BN18" s="10" t="s">
        <v>399</v>
      </c>
      <c r="BO18" s="7"/>
      <c r="BP18" s="7"/>
      <c r="BQ18" s="31" t="str">
        <f>IF(BP18/(INDEX('Standards for Conversions'!$H$34:$H$73,MATCH(BO$3,'Standards for Conversions'!$A$34:$A$73,0)))=0,"",BP18/(INDEX('Standards for Conversions'!$H$34:$H$73,MATCH(BO$3,'Standards for Conversions'!$A$34:$A$73,0))))</f>
        <v/>
      </c>
      <c r="BR18" s="10" t="s">
        <v>399</v>
      </c>
      <c r="BS18" s="7"/>
      <c r="BT18" s="7"/>
      <c r="BU18" s="31" t="str">
        <f>IF(BT18/(INDEX('Standards for Conversions'!$H$34:$H$73,MATCH(BS$3,'Standards for Conversions'!$A$34:$A$73,0)))=0,"",BT18/(INDEX('Standards for Conversions'!$H$34:$H$73,MATCH(BS$3,'Standards for Conversions'!$A$34:$A$73,0))))</f>
        <v/>
      </c>
      <c r="BV18" s="10" t="s">
        <v>399</v>
      </c>
      <c r="BW18" s="9"/>
      <c r="BX18" s="9"/>
      <c r="BY18" s="31" t="str">
        <f>IF(BX18/(INDEX('Standards for Conversions'!$H$34:$H$73,MATCH(BW$3,'Standards for Conversions'!$A$34:$A$73,0)))=0,"",BX18/(INDEX('Standards for Conversions'!$H$34:$H$73,MATCH(BW$3,'Standards for Conversions'!$A$34:$A$73,0))))</f>
        <v/>
      </c>
      <c r="BZ18" s="10" t="s">
        <v>399</v>
      </c>
      <c r="CA18" s="7"/>
      <c r="CB18" s="7"/>
      <c r="CC18" s="31" t="str">
        <f>IF(CB18/(INDEX('Standards for Conversions'!$H$34:$H$73,MATCH(CA$3,'Standards for Conversions'!$A$34:$A$73,0)))=0,"",CB18/(INDEX('Standards for Conversions'!$H$34:$H$73,MATCH(CA$3,'Standards for Conversions'!$A$34:$A$73,0))))</f>
        <v/>
      </c>
      <c r="CD18" s="10" t="s">
        <v>399</v>
      </c>
      <c r="CE18" s="7"/>
      <c r="CF18" s="7"/>
      <c r="CG18" s="31" t="str">
        <f>IF(CF18/(INDEX('Standards for Conversions'!$H$34:$H$73,MATCH(CE$3,'Standards for Conversions'!$A$34:$A$73,0)))=0,"",CF18/(INDEX('Standards for Conversions'!$H$34:$H$73,MATCH(CE$3,'Standards for Conversions'!$A$34:$A$73,0))))</f>
        <v/>
      </c>
      <c r="CH18" s="10" t="s">
        <v>399</v>
      </c>
      <c r="CI18" s="7"/>
      <c r="CJ18" s="7"/>
      <c r="CK18" s="31" t="str">
        <f>IF(CJ18/(INDEX('Standards for Conversions'!$H$34:$H$73,MATCH(CI$3,'Standards for Conversions'!$A$34:$A$73,0)))=0,"",CJ18/(INDEX('Standards for Conversions'!$H$34:$H$73,MATCH(CI$3,'Standards for Conversions'!$A$34:$A$73,0))))</f>
        <v/>
      </c>
      <c r="CL18" s="10" t="s">
        <v>399</v>
      </c>
      <c r="CM18" s="9"/>
      <c r="CN18" s="9"/>
      <c r="CO18" s="31" t="str">
        <f>IF(CN18/(INDEX('Standards for Conversions'!$H$34:$H$73,MATCH(CM$3,'Standards for Conversions'!$A$34:$A$73,0)))=0,"",CN18/(INDEX('Standards for Conversions'!$H$34:$H$73,MATCH(CM$3,'Standards for Conversions'!$A$34:$A$73,0))))</f>
        <v/>
      </c>
      <c r="CP18" s="10" t="s">
        <v>399</v>
      </c>
      <c r="CQ18" s="7">
        <f>1.63*413</f>
        <v>673.18999999999994</v>
      </c>
      <c r="CR18" s="7">
        <v>850</v>
      </c>
      <c r="CS18" s="31">
        <f>IF(CR18/(INDEX('Standards for Conversions'!$H$34:$H$73,MATCH(CQ$3,'Standards for Conversions'!$A$34:$A$73,0)))=0,"",CR18/(INDEX('Standards for Conversions'!$H$34:$H$73,MATCH(CQ$3,'Standards for Conversions'!$A$34:$A$73,0))))</f>
        <v>147.57442028040902</v>
      </c>
      <c r="CT18" s="10" t="s">
        <v>399</v>
      </c>
      <c r="CU18" s="7"/>
      <c r="CV18" s="7"/>
      <c r="CW18" s="31" t="str">
        <f>IF(CV18/(INDEX('Standards for Conversions'!$H$34:$H$73,MATCH(CU$3,'Standards for Conversions'!$A$34:$A$73,0)))=0,"",CV18/(INDEX('Standards for Conversions'!$H$34:$H$73,MATCH(CU$3,'Standards for Conversions'!$A$34:$A$73,0))))</f>
        <v/>
      </c>
      <c r="CX18" s="10" t="s">
        <v>399</v>
      </c>
      <c r="CY18" s="7"/>
      <c r="CZ18" s="7"/>
      <c r="DA18" s="31" t="str">
        <f>IF(CZ18/(INDEX('Standards for Conversions'!$H$34:$H$73,MATCH(CY$3,'Standards for Conversions'!$A$34:$A$73,0)))=0,"",CZ18/(INDEX('Standards for Conversions'!$H$34:$H$73,MATCH(CY$3,'Standards for Conversions'!$A$34:$A$73,0))))</f>
        <v/>
      </c>
      <c r="DB18" s="10" t="s">
        <v>399</v>
      </c>
      <c r="DC18" s="9">
        <f>1.63*350</f>
        <v>570.5</v>
      </c>
      <c r="DD18" s="9">
        <v>1600</v>
      </c>
      <c r="DE18" s="31">
        <f>IF(DD18/(INDEX('Standards for Conversions'!$H$34:$H$73,MATCH(DC$3,'Standards for Conversions'!$A$34:$A$73,0)))=0,"",DD18/(INDEX('Standards for Conversions'!$H$34:$H$73,MATCH(DC$3,'Standards for Conversions'!$A$34:$A$73,0))))</f>
        <v>283.207381014455</v>
      </c>
      <c r="DF18" s="10" t="s">
        <v>399</v>
      </c>
      <c r="DG18" s="7">
        <f>1.63*413</f>
        <v>673.18999999999994</v>
      </c>
      <c r="DH18" s="7">
        <v>850</v>
      </c>
      <c r="DI18" s="31">
        <f>IF(DH18/(INDEX('Standards for Conversions'!$H$34:$H$73,MATCH(DG$3,'Standards for Conversions'!$A$34:$A$73,0)))=0,"",DH18/(INDEX('Standards for Conversions'!$H$34:$H$73,MATCH(DG$3,'Standards for Conversions'!$A$34:$A$73,0))))</f>
        <v>150.45392116392921</v>
      </c>
      <c r="DJ18" s="10" t="s">
        <v>399</v>
      </c>
      <c r="DK18" s="7"/>
      <c r="DL18" s="7"/>
      <c r="DM18" s="31" t="str">
        <f>IF(DL18/(INDEX('Standards for Conversions'!$H$34:$H$73,MATCH(DK$3,'Standards for Conversions'!$A$34:$A$73,0)))=0,"",DL18/(INDEX('Standards for Conversions'!$H$34:$H$73,MATCH(DK$3,'Standards for Conversions'!$A$34:$A$73,0))))</f>
        <v/>
      </c>
      <c r="DN18" s="10" t="s">
        <v>399</v>
      </c>
      <c r="DO18" s="7"/>
      <c r="DP18" s="7"/>
      <c r="DQ18" s="31" t="str">
        <f>IF(DP18/(INDEX('Standards for Conversions'!$H$34:$H$73,MATCH(DO$3,'Standards for Conversions'!$A$34:$A$73,0)))=0,"",DP18/(INDEX('Standards for Conversions'!$H$34:$H$73,MATCH(DO$3,'Standards for Conversions'!$A$34:$A$73,0))))</f>
        <v/>
      </c>
      <c r="DR18" s="10" t="s">
        <v>399</v>
      </c>
      <c r="DS18" s="9">
        <f>1.63*700</f>
        <v>1141</v>
      </c>
      <c r="DT18" s="9">
        <v>3000</v>
      </c>
      <c r="DU18" s="31">
        <f>IF(DT18/(INDEX('Standards for Conversions'!$H$34:$H$73,MATCH(DS$3,'Standards for Conversions'!$A$34:$A$73,0)))=0,"",DT18/(INDEX('Standards for Conversions'!$H$34:$H$73,MATCH(DS$3,'Standards for Conversions'!$A$34:$A$73,0))))</f>
        <v>525.29718323629095</v>
      </c>
      <c r="DV18" s="10" t="s">
        <v>399</v>
      </c>
      <c r="DW18" s="7">
        <f>1.63*500</f>
        <v>815</v>
      </c>
      <c r="DX18" s="7">
        <v>1000</v>
      </c>
      <c r="DY18" s="31">
        <f>IF(DX18/(INDEX('Standards for Conversions'!$H$34:$H$73,MATCH(DW$3,'Standards for Conversions'!$A$34:$A$73,0)))=0,"",DX18/(INDEX('Standards for Conversions'!$H$34:$H$73,MATCH(DW$3,'Standards for Conversions'!$A$34:$A$73,0))))</f>
        <v>175.09906107876364</v>
      </c>
      <c r="DZ18" s="10" t="s">
        <v>399</v>
      </c>
      <c r="EA18" s="7"/>
      <c r="EB18" s="7"/>
      <c r="EC18" s="31" t="str">
        <f>IF(EB18/(INDEX('Standards for Conversions'!$H$34:$H$73,MATCH(EA$3,'Standards for Conversions'!$A$34:$A$73,0)))=0,"",EB18/(INDEX('Standards for Conversions'!$H$34:$H$73,MATCH(EA$3,'Standards for Conversions'!$A$34:$A$73,0))))</f>
        <v/>
      </c>
      <c r="ED18" s="10" t="s">
        <v>399</v>
      </c>
      <c r="EE18" s="7"/>
      <c r="EF18" s="7"/>
      <c r="EG18" s="31" t="str">
        <f>IF(EF18/(INDEX('Standards for Conversions'!$H$34:$H$73,MATCH(EE$3,'Standards for Conversions'!$A$34:$A$73,0)))=0,"",EF18/(INDEX('Standards for Conversions'!$H$34:$H$73,MATCH(EE$3,'Standards for Conversions'!$A$34:$A$73,0))))</f>
        <v/>
      </c>
      <c r="EH18" s="10" t="s">
        <v>399</v>
      </c>
      <c r="EI18" s="9">
        <f>1.63*680</f>
        <v>1108.3999999999999</v>
      </c>
      <c r="EJ18" s="9">
        <v>2340</v>
      </c>
      <c r="EK18" s="31">
        <f>IF(EJ18/(INDEX('Standards for Conversions'!$H$34:$H$73,MATCH(EI$3,'Standards for Conversions'!$A$34:$A$73,0)))=0,"",EJ18/(INDEX('Standards for Conversions'!$H$34:$H$73,MATCH(EI$3,'Standards for Conversions'!$A$34:$A$73,0))))</f>
        <v>409.23635938993652</v>
      </c>
      <c r="EL18" s="10" t="s">
        <v>399</v>
      </c>
      <c r="EM18" s="7"/>
      <c r="EN18" s="7"/>
      <c r="EO18" s="31" t="str">
        <f>IF(EN18/(INDEX('Standards for Conversions'!$H$34:$H$73,MATCH(EM$3,'Standards for Conversions'!$A$34:$A$73,0)))=0,"",EN18/(INDEX('Standards for Conversions'!$H$34:$H$73,MATCH(EM$3,'Standards for Conversions'!$A$34:$A$73,0))))</f>
        <v/>
      </c>
      <c r="EP18" s="10" t="s">
        <v>399</v>
      </c>
      <c r="EQ18" s="7"/>
      <c r="ER18" s="7"/>
      <c r="ES18" s="31" t="str">
        <f>IF(ER18/(INDEX('Standards for Conversions'!$H$34:$H$73,MATCH(EQ$3,'Standards for Conversions'!$A$34:$A$73,0)))=0,"",ER18/(INDEX('Standards for Conversions'!$H$34:$H$73,MATCH(EQ$3,'Standards for Conversions'!$A$34:$A$73,0))))</f>
        <v/>
      </c>
      <c r="ET18" s="10" t="s">
        <v>399</v>
      </c>
      <c r="EU18" s="7"/>
      <c r="EV18" s="7"/>
      <c r="EW18" s="31" t="str">
        <f>IF(EV18/(INDEX('Standards for Conversions'!$H$34:$H$73,MATCH(EU$3,'Standards for Conversions'!$A$34:$A$73,0)))=0,"",EV18/(INDEX('Standards for Conversions'!$H$34:$H$73,MATCH(EU$3,'Standards for Conversions'!$A$34:$A$73,0))))</f>
        <v/>
      </c>
      <c r="EX18" s="10" t="s">
        <v>399</v>
      </c>
      <c r="EY18" s="9">
        <f>1.63*518</f>
        <v>844.33999999999992</v>
      </c>
      <c r="EZ18" s="9">
        <v>1635</v>
      </c>
      <c r="FA18" s="31">
        <f>IF(EZ18/(INDEX('Standards for Conversions'!$H$34:$H$73,MATCH(EY$3,'Standards for Conversions'!$A$34:$A$73,0)))=0,"",EZ18/(INDEX('Standards for Conversions'!$H$34:$H$73,MATCH(EY$3,'Standards for Conversions'!$A$34:$A$73,0))))</f>
        <v>280.05580964304335</v>
      </c>
      <c r="FB18" s="10" t="s">
        <v>399</v>
      </c>
      <c r="FC18" s="7">
        <f>1.63*48</f>
        <v>78.239999999999995</v>
      </c>
      <c r="FD18" s="7">
        <v>155</v>
      </c>
      <c r="FE18" s="31">
        <f>IF(FD18/(INDEX('Standards for Conversions'!$H$34:$H$73,MATCH(FC$3,'Standards for Conversions'!$A$34:$A$73,0)))=0,"",FD18/(INDEX('Standards for Conversions'!$H$34:$H$73,MATCH(FC$3,'Standards for Conversions'!$A$34:$A$73,0))))</f>
        <v>26.549633330074442</v>
      </c>
      <c r="FF18" s="10" t="s">
        <v>399</v>
      </c>
      <c r="FG18" s="7"/>
      <c r="FH18" s="7"/>
      <c r="FI18" s="31" t="str">
        <f>IF(FH18/(INDEX('Standards for Conversions'!$H$34:$H$73,MATCH(FG$3,'Standards for Conversions'!$A$34:$A$73,0)))=0,"",FH18/(INDEX('Standards for Conversions'!$H$34:$H$73,MATCH(FG$3,'Standards for Conversions'!$A$34:$A$73,0))))</f>
        <v/>
      </c>
      <c r="FJ18" s="10" t="s">
        <v>399</v>
      </c>
      <c r="FK18" s="7"/>
      <c r="FL18" s="7"/>
      <c r="FM18" s="31" t="str">
        <f>IF(FL18/(INDEX('Standards for Conversions'!$H$34:$H$73,MATCH(FK$3,'Standards for Conversions'!$A$34:$A$73,0)))=0,"",FL18/(INDEX('Standards for Conversions'!$H$34:$H$73,MATCH(FK$3,'Standards for Conversions'!$A$34:$A$73,0))))</f>
        <v/>
      </c>
      <c r="FN18" s="10" t="s">
        <v>399</v>
      </c>
      <c r="FO18" s="9">
        <f>1.63*600</f>
        <v>977.99999999999989</v>
      </c>
      <c r="FP18" s="9">
        <v>2000</v>
      </c>
      <c r="FQ18" s="31">
        <f>IF(FP18/(INDEX('Standards for Conversions'!$H$34:$H$73,MATCH(FO$3,'Standards for Conversions'!$A$34:$A$73,0)))=0,"",FP18/(INDEX('Standards for Conversions'!$H$34:$H$73,MATCH(FO$3,'Standards for Conversions'!$A$34:$A$73,0))))</f>
        <v>342.99936994872678</v>
      </c>
      <c r="FR18" s="10" t="s">
        <v>399</v>
      </c>
      <c r="FS18" s="7">
        <f>1.63*50</f>
        <v>81.5</v>
      </c>
      <c r="FT18" s="7">
        <v>125</v>
      </c>
      <c r="FU18" s="31">
        <f>IF(FT18/(INDEX('Standards for Conversions'!$H$34:$H$73,MATCH(FS$3,'Standards for Conversions'!$A$34:$A$73,0)))=0,"",FT18/(INDEX('Standards for Conversions'!$H$34:$H$73,MATCH(FS$3,'Standards for Conversions'!$A$34:$A$73,0))))</f>
        <v>21.437460621795424</v>
      </c>
      <c r="FV18" s="10" t="s">
        <v>399</v>
      </c>
      <c r="FW18" s="7"/>
      <c r="FX18" s="7"/>
      <c r="FY18" s="31" t="str">
        <f>IF(FX18/(INDEX('Standards for Conversions'!$H$34:$H$73,MATCH(FW$3,'Standards for Conversions'!$A$34:$A$73,0)))=0,"",FX18/(INDEX('Standards for Conversions'!$H$34:$H$73,MATCH(FW$3,'Standards for Conversions'!$A$34:$A$73,0))))</f>
        <v/>
      </c>
      <c r="FZ18" s="10" t="s">
        <v>399</v>
      </c>
      <c r="GA18" s="7"/>
      <c r="GB18" s="7"/>
      <c r="GC18" s="31" t="str">
        <f>IF(GB18/(INDEX('Standards for Conversions'!$H$34:$H$73,MATCH(GA$3,'Standards for Conversions'!$A$34:$A$73,0)))=0,"",GB18/(INDEX('Standards for Conversions'!$H$34:$H$73,MATCH(GA$3,'Standards for Conversions'!$A$34:$A$73,0))))</f>
        <v/>
      </c>
      <c r="GD18" s="10" t="s">
        <v>399</v>
      </c>
      <c r="GE18" s="9">
        <f>1.63*225</f>
        <v>366.75</v>
      </c>
      <c r="GF18" s="9">
        <v>900</v>
      </c>
      <c r="GG18" s="31">
        <f>IF(GF18/(INDEX('Standards for Conversions'!$H$34:$H$73,MATCH(GE$3,'Standards for Conversions'!$A$34:$A$73,0)))=0,"",GF18/(INDEX('Standards for Conversions'!$H$34:$H$73,MATCH(GE$3,'Standards for Conversions'!$A$34:$A$73,0))))</f>
        <v>148.06139469453376</v>
      </c>
      <c r="GH18" s="10" t="s">
        <v>399</v>
      </c>
      <c r="GI18" s="7">
        <f>1.63*20</f>
        <v>32.599999999999994</v>
      </c>
      <c r="GJ18" s="7">
        <v>100</v>
      </c>
      <c r="GK18" s="31">
        <f>IF(GJ18/(INDEX('Standards for Conversions'!$H$34:$H$73,MATCH(GI$3,'Standards for Conversions'!$A$34:$A$73,0)))=0,"",GJ18/(INDEX('Standards for Conversions'!$H$34:$H$73,MATCH(GI$3,'Standards for Conversions'!$A$34:$A$73,0))))</f>
        <v>16.451266077170416</v>
      </c>
      <c r="GL18" s="10" t="s">
        <v>399</v>
      </c>
      <c r="GM18" s="7"/>
      <c r="GN18" s="7"/>
      <c r="GO18" s="31" t="str">
        <f>IF(GN18/(INDEX('Standards for Conversions'!$H$34:$H$73,MATCH(GM$3,'Standards for Conversions'!$A$34:$A$73,0)))=0,"",GN18/(INDEX('Standards for Conversions'!$H$34:$H$73,MATCH(GM$3,'Standards for Conversions'!$A$34:$A$73,0))))</f>
        <v/>
      </c>
      <c r="GP18" s="10" t="s">
        <v>399</v>
      </c>
      <c r="GQ18" s="7"/>
      <c r="GR18" s="7"/>
      <c r="GS18" s="31" t="str">
        <f>IF(GR18/(INDEX('Standards for Conversions'!$H$34:$H$73,MATCH(GQ$3,'Standards for Conversions'!$A$34:$A$73,0)))=0,"",GR18/(INDEX('Standards for Conversions'!$H$34:$H$73,MATCH(GQ$3,'Standards for Conversions'!$A$34:$A$73,0))))</f>
        <v/>
      </c>
      <c r="GT18" s="10" t="s">
        <v>399</v>
      </c>
      <c r="GU18" s="9">
        <f>1.63*250</f>
        <v>407.5</v>
      </c>
      <c r="GV18" s="9">
        <v>1200</v>
      </c>
      <c r="GW18" s="31">
        <f>IF(GV18/(INDEX('Standards for Conversions'!$H$34:$H$73,MATCH(GU$3,'Standards for Conversions'!$A$34:$A$73,0)))=0,"",GV18/(INDEX('Standards for Conversions'!$H$34:$H$73,MATCH(GU$3,'Standards for Conversions'!$A$34:$A$73,0))))</f>
        <v>184.45743895020422</v>
      </c>
      <c r="GX18" s="10" t="s">
        <v>399</v>
      </c>
      <c r="GY18" s="7">
        <f>1.63*50</f>
        <v>81.5</v>
      </c>
      <c r="GZ18" s="7">
        <v>150</v>
      </c>
      <c r="HA18" s="31">
        <f>IF(GZ18/(INDEX('Standards for Conversions'!$H$34:$H$73,MATCH(GY$3,'Standards for Conversions'!$A$34:$A$73,0)))=0,"",GZ18/(INDEX('Standards for Conversions'!$H$34:$H$73,MATCH(GY$3,'Standards for Conversions'!$A$34:$A$73,0))))</f>
        <v>23.057179868775528</v>
      </c>
      <c r="HB18" s="10" t="s">
        <v>399</v>
      </c>
      <c r="HC18" s="7"/>
      <c r="HD18" s="7"/>
      <c r="HE18" s="31" t="str">
        <f>IF(HD18/(INDEX('Standards for Conversions'!$H$34:$H$73,MATCH(HC$3,'Standards for Conversions'!$A$34:$A$73,0)))=0,"",HD18/(INDEX('Standards for Conversions'!$H$34:$H$73,MATCH(HC$3,'Standards for Conversions'!$A$34:$A$73,0))))</f>
        <v/>
      </c>
      <c r="HF18" s="10" t="s">
        <v>399</v>
      </c>
      <c r="HG18" s="7"/>
      <c r="HH18" s="7"/>
      <c r="HI18" s="31" t="str">
        <f>IF(HH18/(INDEX('Standards for Conversions'!$H$34:$H$73,MATCH(HG$3,'Standards for Conversions'!$A$34:$A$73,0)))=0,"",HH18/(INDEX('Standards for Conversions'!$H$34:$H$73,MATCH(HG$3,'Standards for Conversions'!$A$34:$A$73,0))))</f>
        <v/>
      </c>
      <c r="HJ18" s="10" t="s">
        <v>399</v>
      </c>
      <c r="HK18" s="9">
        <f>1.63*300</f>
        <v>488.99999999999994</v>
      </c>
      <c r="HL18" s="9">
        <v>1800</v>
      </c>
      <c r="HM18" s="31">
        <f>IF(HL18/(INDEX('Standards for Conversions'!$H$34:$H$73,MATCH(HK$3,'Standards for Conversions'!$A$34:$A$73,0)))=0,"",HL18/(INDEX('Standards for Conversions'!$H$34:$H$73,MATCH(HK$3,'Standards for Conversions'!$A$34:$A$73,0))))</f>
        <v>272.49394390371071</v>
      </c>
      <c r="HN18" s="10" t="s">
        <v>399</v>
      </c>
      <c r="HO18" s="7">
        <f>1.63*50</f>
        <v>81.5</v>
      </c>
      <c r="HP18" s="7">
        <v>150</v>
      </c>
      <c r="HQ18" s="31">
        <f>IF(HP18/(INDEX('Standards for Conversions'!$H$34:$H$73,MATCH(HO$3,'Standards for Conversions'!$A$34:$A$73,0)))=0,"",HP18/(INDEX('Standards for Conversions'!$H$34:$H$73,MATCH(HO$3,'Standards for Conversions'!$A$34:$A$73,0))))</f>
        <v>22.707828658642562</v>
      </c>
      <c r="HR18" s="33" t="s">
        <v>98</v>
      </c>
      <c r="HU18" s="31" t="str">
        <f>IF(HT18/(INDEX('Standards for Conversions'!$H$47:$H$73,MATCH(HS$3,'Standards for Conversions'!$A$47:$A$73,0)))=0,"",HT18/(INDEX('Standards for Conversions'!$H$47:$H$73,MATCH(HS$3,'Standards for Conversions'!$A$47:$A$73,0))))</f>
        <v/>
      </c>
      <c r="HV18" s="33" t="s">
        <v>98</v>
      </c>
      <c r="HY18" s="31" t="str">
        <f>IF(HX18/(INDEX('Standards for Conversions'!$H$47:$H$73,MATCH(HW$3,'Standards for Conversions'!$A$47:$A$73,0)))=0,"",HX18/(INDEX('Standards for Conversions'!$H$47:$H$73,MATCH(HW$3,'Standards for Conversions'!$A$47:$A$73,0))))</f>
        <v/>
      </c>
      <c r="HZ18" s="33">
        <v>568.75</v>
      </c>
      <c r="IA18" s="33">
        <v>2000</v>
      </c>
      <c r="IB18" s="31">
        <f>IF(IA18/(INDEX('Standards for Conversions'!$H$47:$H$73,MATCH(HZ$3,'Standards for Conversions'!$A$47:$A$73,0)))=0,"",IA18/(INDEX('Standards for Conversions'!$H$47:$H$73,MATCH(HZ$3,'Standards for Conversions'!$A$47:$A$73,0))))</f>
        <v>290.49082442571193</v>
      </c>
      <c r="IC18" s="33" t="s">
        <v>98</v>
      </c>
      <c r="ID18" s="33">
        <v>97.5</v>
      </c>
      <c r="IE18" s="33">
        <v>175</v>
      </c>
      <c r="IF18" s="31">
        <f>IF(IE18/(INDEX('Standards for Conversions'!$H$47:$H$73,MATCH(ID$3,'Standards for Conversions'!$A$47:$A$73,0)))=0,"",IE18/(INDEX('Standards for Conversions'!$H$47:$H$73,MATCH(ID$3,'Standards for Conversions'!$A$47:$A$73,0))))</f>
        <v>25.417947137249794</v>
      </c>
      <c r="IG18" s="33" t="s">
        <v>98</v>
      </c>
      <c r="IJ18" s="31" t="str">
        <f>IF(II18/(INDEX('Standards for Conversions'!$H$47:$H$73,MATCH(IH$3,'Standards for Conversions'!$A$47:$A$73,0)))=0,"",II18/(INDEX('Standards for Conversions'!$H$47:$H$73,MATCH(IH$3,'Standards for Conversions'!$A$47:$A$73,0))))</f>
        <v/>
      </c>
      <c r="IK18" s="33" t="s">
        <v>98</v>
      </c>
      <c r="IN18" s="31" t="str">
        <f>IF(IM18/(INDEX('Standards for Conversions'!$H$47:$H$73,MATCH(IL$3,'Standards for Conversions'!$A$47:$A$73,0)))=0,"",IM18/(INDEX('Standards for Conversions'!$H$47:$H$73,MATCH(IL$3,'Standards for Conversions'!$A$47:$A$73,0))))</f>
        <v/>
      </c>
      <c r="IO18" s="33" t="s">
        <v>98</v>
      </c>
      <c r="IP18" s="33">
        <v>650</v>
      </c>
      <c r="IQ18" s="33">
        <v>2400</v>
      </c>
      <c r="IR18" s="31">
        <f>IF(IQ18/(INDEX('Standards for Conversions'!$H$47:$H$73,MATCH(IP$3,'Standards for Conversions'!$A$47:$A$73,0)))=0,"",IQ18/(INDEX('Standards for Conversions'!$H$47:$H$73,MATCH(IP$3,'Standards for Conversions'!$A$47:$A$73,0))))</f>
        <v>347.06454766663768</v>
      </c>
      <c r="IS18" s="33" t="s">
        <v>98</v>
      </c>
      <c r="IT18" s="33">
        <v>624</v>
      </c>
      <c r="IU18" s="33">
        <v>1236</v>
      </c>
      <c r="IV18" s="31">
        <f>IF(IU18/(INDEX('Standards for Conversions'!$H$47:$H$73,MATCH(IT$3,'Standards for Conversions'!$A$47:$A$73,0)))=0,"",IU18/(INDEX('Standards for Conversions'!$H$47:$H$73,MATCH(IT$3,'Standards for Conversions'!$A$47:$A$73,0))))</f>
        <v>178.7382420483184</v>
      </c>
      <c r="IW18" s="33" t="s">
        <v>98</v>
      </c>
      <c r="IZ18" s="31" t="str">
        <f>IF(IY18/(INDEX('Standards for Conversions'!$H$47:$H$73,MATCH(IX$3,'Standards for Conversions'!$A$47:$A$73,0)))=0,"",IY18/(INDEX('Standards for Conversions'!$H$47:$H$73,MATCH(IX$3,'Standards for Conversions'!$A$47:$A$73,0))))</f>
        <v/>
      </c>
      <c r="JA18" s="33" t="s">
        <v>98</v>
      </c>
      <c r="JB18" s="33">
        <v>13</v>
      </c>
      <c r="JC18" s="33">
        <v>100</v>
      </c>
      <c r="JD18" s="31">
        <f>IF(JC18/(INDEX('Standards for Conversions'!$H$47:$H$73,MATCH(JB$3,'Standards for Conversions'!$A$47:$A$73,0)))=0,"",JC18/(INDEX('Standards for Conversions'!$H$47:$H$73,MATCH(JB$3,'Standards for Conversions'!$A$47:$A$73,0))))</f>
        <v>16.176019669186868</v>
      </c>
      <c r="JE18" s="33" t="s">
        <v>98</v>
      </c>
      <c r="JF18" s="33">
        <v>812.5</v>
      </c>
      <c r="JG18" s="33">
        <v>2500</v>
      </c>
      <c r="JH18" s="31">
        <f>IF(JG18/(INDEX('Standards for Conversions'!$H$47:$H$73,MATCH(JF$3,'Standards for Conversions'!$A$47:$A$73,0)))=0,"",JG18/(INDEX('Standards for Conversions'!$H$47:$H$73,MATCH(JF$3,'Standards for Conversions'!$A$47:$A$73,0))))</f>
        <v>404.40049172967173</v>
      </c>
      <c r="JI18" s="33" t="s">
        <v>98</v>
      </c>
      <c r="JJ18" s="33">
        <v>406.25</v>
      </c>
      <c r="JK18" s="33">
        <v>1000</v>
      </c>
      <c r="JL18" s="31">
        <f>IF(JK18/(INDEX('Standards for Conversions'!$H$47:$H$73,MATCH(JJ$3,'Standards for Conversions'!$A$47:$A$73,0)))=0,"",JK18/(INDEX('Standards for Conversions'!$H$47:$H$73,MATCH(JJ$3,'Standards for Conversions'!$A$47:$A$73,0))))</f>
        <v>161.76019669186869</v>
      </c>
      <c r="JM18" s="33" t="s">
        <v>98</v>
      </c>
      <c r="JP18" s="31" t="str">
        <f>IF(JO18/(INDEX('Standards for Conversions'!$H$47:$H$73,MATCH(JN$3,'Standards for Conversions'!$A$47:$A$73,0)))=0,"",JO18/(INDEX('Standards for Conversions'!$H$47:$H$73,MATCH(JN$3,'Standards for Conversions'!$A$47:$A$73,0))))</f>
        <v/>
      </c>
      <c r="JQ18" s="33" t="s">
        <v>98</v>
      </c>
      <c r="JT18" s="31" t="str">
        <f>IF(JS18/(INDEX('Standards for Conversions'!$H$47:$H$73,MATCH(JR$3,'Standards for Conversions'!$A$47:$A$73,0)))=0,"",JS18/(INDEX('Standards for Conversions'!$H$47:$H$73,MATCH(JR$3,'Standards for Conversions'!$A$47:$A$73,0))))</f>
        <v/>
      </c>
      <c r="JU18" s="33" t="s">
        <v>98</v>
      </c>
      <c r="JV18" s="33">
        <v>975</v>
      </c>
      <c r="JW18" s="33">
        <v>2500</v>
      </c>
      <c r="JX18" s="31">
        <f>IF(JW18/(INDEX('Standards for Conversions'!$H$47:$H$73,MATCH(JV$3,'Standards for Conversions'!$A$47:$A$73,0)))=0,"",JW18/(INDEX('Standards for Conversions'!$H$47:$H$73,MATCH(JV$3,'Standards for Conversions'!$A$47:$A$73,0))))</f>
        <v>381.63973106949391</v>
      </c>
      <c r="JY18" s="33" t="s">
        <v>98</v>
      </c>
      <c r="JZ18" s="33">
        <v>325</v>
      </c>
      <c r="KA18" s="33">
        <v>800</v>
      </c>
      <c r="KB18" s="31">
        <f>IF(KA18/(INDEX('Standards for Conversions'!$H$47:$H$73,MATCH(JZ$3,'Standards for Conversions'!$A$47:$A$73,0)))=0,"",KA18/(INDEX('Standards for Conversions'!$H$47:$H$73,MATCH(JZ$3,'Standards for Conversions'!$A$47:$A$73,0))))</f>
        <v>122.12471394223805</v>
      </c>
      <c r="KC18" s="33" t="s">
        <v>98</v>
      </c>
      <c r="KF18" s="31" t="str">
        <f>IF(KE18/(INDEX('Standards for Conversions'!$H$47:$H$73,MATCH(KD$3,'Standards for Conversions'!$A$47:$A$73,0)))=0,"",KE18/(INDEX('Standards for Conversions'!$H$47:$H$73,MATCH(KD$3,'Standards for Conversions'!$A$47:$A$73,0))))</f>
        <v/>
      </c>
      <c r="KG18" s="33" t="s">
        <v>98</v>
      </c>
      <c r="KJ18" s="31" t="str">
        <f>IF(KI18/(INDEX('Standards for Conversions'!$H$47:$H$73,MATCH(KH$3,'Standards for Conversions'!$A$47:$A$73,0)))=0,"",KI18/(INDEX('Standards for Conversions'!$H$47:$H$73,MATCH(KH$3,'Standards for Conversions'!$A$47:$A$73,0))))</f>
        <v/>
      </c>
      <c r="KK18" s="33" t="s">
        <v>98</v>
      </c>
      <c r="KL18" s="33">
        <v>812.5</v>
      </c>
      <c r="KM18" s="33">
        <v>2400</v>
      </c>
      <c r="KN18" s="31">
        <f>IF(KM18/(INDEX('Standards for Conversions'!$H$47:$H$73,MATCH(KL$3,'Standards for Conversions'!$A$47:$A$73,0)))=0,"",KM18/(INDEX('Standards for Conversions'!$H$47:$H$73,MATCH(KL$3,'Standards for Conversions'!$A$47:$A$73,0))))</f>
        <v>323.1816285739115</v>
      </c>
      <c r="KO18" s="33" t="s">
        <v>98</v>
      </c>
      <c r="KP18" s="33">
        <v>292.5</v>
      </c>
      <c r="KQ18" s="33">
        <v>700</v>
      </c>
      <c r="KR18" s="31">
        <f>IF(KQ18/(INDEX('Standards for Conversions'!$H$47:$H$73,MATCH(KP$3,'Standards for Conversions'!$A$47:$A$73,0)))=0,"",KQ18/(INDEX('Standards for Conversions'!$H$47:$H$73,MATCH(KP$3,'Standards for Conversions'!$A$47:$A$73,0))))</f>
        <v>94.261308334057517</v>
      </c>
      <c r="KS18" s="33" t="s">
        <v>98</v>
      </c>
      <c r="KV18" s="31" t="str">
        <f>IF(KU18/(INDEX('Standards for Conversions'!$H$47:$H$73,MATCH(KT$3,'Standards for Conversions'!$A$47:$A$73,0)))=0,"",KU18/(INDEX('Standards for Conversions'!$H$47:$H$73,MATCH(KT$3,'Standards for Conversions'!$A$47:$A$73,0))))</f>
        <v/>
      </c>
      <c r="KW18" s="33" t="s">
        <v>98</v>
      </c>
      <c r="KZ18" s="31" t="str">
        <f>IF(KY18/(INDEX('Standards for Conversions'!$H$47:$H$73,MATCH(KX$3,'Standards for Conversions'!$A$47:$A$73,0)))=0,"",KY18/(INDEX('Standards for Conversions'!$H$47:$H$73,MATCH(KX$3,'Standards for Conversions'!$A$47:$A$73,0))))</f>
        <v/>
      </c>
      <c r="LA18" s="33" t="s">
        <v>98</v>
      </c>
      <c r="LB18" s="33">
        <v>105.625</v>
      </c>
      <c r="LC18" s="33">
        <v>380</v>
      </c>
      <c r="LD18" s="31">
        <f>IF(LC18/(INDEX('Standards for Conversions'!$H$47:$H$73,MATCH(LB$3,'Standards for Conversions'!$A$47:$A$73,0)))=0,"",LC18/(INDEX('Standards for Conversions'!$H$47:$H$73,MATCH(LB$3,'Standards for Conversions'!$A$47:$A$73,0))))</f>
        <v>46.214295356449689</v>
      </c>
      <c r="LE18" s="33" t="s">
        <v>98</v>
      </c>
      <c r="LF18" s="33">
        <v>263.25</v>
      </c>
      <c r="LG18" s="33">
        <v>550</v>
      </c>
      <c r="LH18" s="31">
        <f>IF(LG18/(INDEX('Standards for Conversions'!$H$47:$H$73,MATCH(LF$3,'Standards for Conversions'!$A$47:$A$73,0)))=0,"",LG18/(INDEX('Standards for Conversions'!$H$47:$H$73,MATCH(LF$3,'Standards for Conversions'!$A$47:$A$73,0))))</f>
        <v>66.889111700124545</v>
      </c>
      <c r="LL18" s="31" t="str">
        <f>IF(LK18/(INDEX('Standards for Conversions'!$H$47:$H$73,MATCH(LJ$3,'Standards for Conversions'!$A$47:$A$73,0)))=0,"",LK18/(INDEX('Standards for Conversions'!$H$47:$H$73,MATCH(LJ$3,'Standards for Conversions'!$A$47:$A$73,0))))</f>
        <v/>
      </c>
      <c r="LO18" s="31" t="str">
        <f>IF(LN18/(INDEX('Standards for Conversions'!$H$47:$H$73,MATCH(LM$3,'Standards for Conversions'!$A$47:$A$73,0)))=0,"",LN18/(INDEX('Standards for Conversions'!$H$47:$H$73,MATCH(LM$3,'Standards for Conversions'!$A$47:$A$73,0))))</f>
        <v/>
      </c>
      <c r="LR18" s="31" t="str">
        <f>IF(LQ18/(INDEX('Standards for Conversions'!$H$47:$H$73,MATCH(LP$3,'Standards for Conversions'!$A$47:$A$73,0)))=0,"",LQ18/(INDEX('Standards for Conversions'!$H$47:$H$73,MATCH(LP$3,'Standards for Conversions'!$A$47:$A$73,0))))</f>
        <v/>
      </c>
      <c r="LV18" s="31" t="str">
        <f>IF(LU18/(INDEX('Standards for Conversions'!$H$47:$H$73,MATCH(LT$3,'Standards for Conversions'!$A$47:$A$73,0)))=0,"",LU18/(INDEX('Standards for Conversions'!$H$47:$H$73,MATCH(LT$3,'Standards for Conversions'!$A$47:$A$73,0))))</f>
        <v/>
      </c>
      <c r="LY18" s="31" t="str">
        <f>IF(LX18/(INDEX('Standards for Conversions'!$H$47:$H$73,MATCH(LW$3,'Standards for Conversions'!$A$47:$A$73,0)))=0,"",LX18/(INDEX('Standards for Conversions'!$H$47:$H$73,MATCH(LW$3,'Standards for Conversions'!$A$47:$A$73,0))))</f>
        <v/>
      </c>
      <c r="MB18" s="31" t="str">
        <f>IF(MA18/(INDEX('Standards for Conversions'!$H$47:$H$73,MATCH(LZ$3,'Standards for Conversions'!$A$47:$A$73,0)))=0,"",MA18/(INDEX('Standards for Conversions'!$H$47:$H$73,MATCH(LZ$3,'Standards for Conversions'!$A$47:$A$73,0))))</f>
        <v/>
      </c>
      <c r="ME18" s="31" t="str">
        <f>IF(MD18/(INDEX('Standards for Conversions'!$H$47:$H$73,MATCH(MC$3,'Standards for Conversions'!$A$47:$A$73,0)))=0,"",MD18/(INDEX('Standards for Conversions'!$H$47:$H$73,MATCH(MC$3,'Standards for Conversions'!$A$47:$A$73,0))))</f>
        <v/>
      </c>
      <c r="MH18" s="31" t="str">
        <f>IF(MG18/(INDEX('Standards for Conversions'!$H$47:$H$73,MATCH(MF$3,'Standards for Conversions'!$A$47:$A$73,0)))=0,"",MG18/(INDEX('Standards for Conversions'!$H$47:$H$73,MATCH(MF$3,'Standards for Conversions'!$A$47:$A$73,0))))</f>
        <v/>
      </c>
      <c r="MK18" s="31" t="str">
        <f>IF(MJ18/(INDEX('Standards for Conversions'!$H$47:$H$73,MATCH(MI$3,'Standards for Conversions'!$A$47:$A$73,0)))=0,"",MJ18/(INDEX('Standards for Conversions'!$H$47:$H$73,MATCH(MI$3,'Standards for Conversions'!$A$47:$A$73,0))))</f>
        <v/>
      </c>
      <c r="MN18" s="31" t="str">
        <f>IF(MM18/(INDEX('Standards for Conversions'!$H$47:$H$73,MATCH(ML$3,'Standards for Conversions'!$A$47:$A$73,0)))=0,"",MM18/(INDEX('Standards for Conversions'!$H$47:$H$73,MATCH(ML$3,'Standards for Conversions'!$A$47:$A$73,0))))</f>
        <v/>
      </c>
      <c r="MR18" s="31"/>
    </row>
    <row r="19" spans="1:373" s="33" customFormat="1" x14ac:dyDescent="0.3">
      <c r="A19" s="102" t="s">
        <v>69</v>
      </c>
      <c r="B19" s="10" t="s">
        <v>399</v>
      </c>
      <c r="C19" s="7"/>
      <c r="D19" s="7"/>
      <c r="E19" s="31" t="str">
        <f>IF(D19/(INDEX('Standards for Conversions'!$H$34:$H$73,MATCH(C$3,'Standards for Conversions'!$A$34:$A$73,0)))=0,"",D19/(INDEX('Standards for Conversions'!$H$34:$H$73,MATCH(C$3,'Standards for Conversions'!$A$34:$A$73,0))))</f>
        <v/>
      </c>
      <c r="F19" s="10" t="s">
        <v>399</v>
      </c>
      <c r="G19" s="7"/>
      <c r="H19" s="7"/>
      <c r="I19" s="31" t="str">
        <f>IF(H19/(INDEX('Standards for Conversions'!$H$34:$H$73,MATCH(G$3,'Standards for Conversions'!$A$34:$A$73,0)))=0,"",H19/(INDEX('Standards for Conversions'!$H$34:$H$73,MATCH(G$3,'Standards for Conversions'!$A$34:$A$73,0))))</f>
        <v/>
      </c>
      <c r="J19" s="6" t="s">
        <v>374</v>
      </c>
      <c r="K19" s="9">
        <v>660</v>
      </c>
      <c r="L19" s="9">
        <v>4500</v>
      </c>
      <c r="M19" s="31">
        <f>IF(L19/(INDEX('Standards for Conversions'!$H$34:$H$73,MATCH(K$3,'Standards for Conversions'!$A$34:$A$73,0)))=0,"",L19/(INDEX('Standards for Conversions'!$H$34:$H$73,MATCH(K$3,'Standards for Conversions'!$A$34:$A$73,0))))</f>
        <v>888.94003378378363</v>
      </c>
      <c r="N19" s="10" t="s">
        <v>399</v>
      </c>
      <c r="O19" s="7"/>
      <c r="P19" s="7"/>
      <c r="Q19" s="31" t="str">
        <f>IF(P19/(INDEX('Standards for Conversions'!$H$34:$H$73,MATCH(O$3,'Standards for Conversions'!$A$34:$A$73,0)))=0,"",P19/(INDEX('Standards for Conversions'!$H$34:$H$73,MATCH(O$3,'Standards for Conversions'!$A$34:$A$73,0))))</f>
        <v/>
      </c>
      <c r="R19" s="10" t="s">
        <v>399</v>
      </c>
      <c r="S19" s="7"/>
      <c r="T19" s="7"/>
      <c r="U19" s="31" t="str">
        <f>IF(T19/(INDEX('Standards for Conversions'!$H$34:$H$73,MATCH(S$3,'Standards for Conversions'!$A$34:$A$73,0)))=0,"",T19/(INDEX('Standards for Conversions'!$H$34:$H$73,MATCH(S$3,'Standards for Conversions'!$A$34:$A$73,0))))</f>
        <v/>
      </c>
      <c r="V19" s="10" t="s">
        <v>399</v>
      </c>
      <c r="W19" s="7"/>
      <c r="X19" s="7"/>
      <c r="Y19" s="31" t="str">
        <f>IF(X19/(INDEX('Standards for Conversions'!$H$34:$H$73,MATCH(W$3,'Standards for Conversions'!$A$34:$A$73,0)))=0,"",X19/(INDEX('Standards for Conversions'!$H$34:$H$73,MATCH(W$3,'Standards for Conversions'!$A$34:$A$73,0))))</f>
        <v/>
      </c>
      <c r="Z19" s="6" t="s">
        <v>374</v>
      </c>
      <c r="AA19" s="9">
        <v>500</v>
      </c>
      <c r="AB19" s="9">
        <v>3000</v>
      </c>
      <c r="AC19" s="31">
        <f>IF(AB19/(INDEX('Standards for Conversions'!$H$34:$H$73,MATCH(AA$3,'Standards for Conversions'!$A$34:$A$73,0)))=0,"",AB19/(INDEX('Standards for Conversions'!$H$34:$H$73,MATCH(AA$3,'Standards for Conversions'!$A$34:$A$73,0))))</f>
        <v>578.01745676544704</v>
      </c>
      <c r="AD19" s="10" t="s">
        <v>399</v>
      </c>
      <c r="AE19" s="7"/>
      <c r="AF19" s="7"/>
      <c r="AG19" s="31" t="str">
        <f>IF(AF19/(INDEX('Standards for Conversions'!$H$34:$H$73,MATCH(AE$3,'Standards for Conversions'!$A$34:$A$73,0)))=0,"",AF19/(INDEX('Standards for Conversions'!$H$34:$H$73,MATCH(AE$3,'Standards for Conversions'!$A$34:$A$73,0))))</f>
        <v/>
      </c>
      <c r="AH19" s="10" t="s">
        <v>399</v>
      </c>
      <c r="AI19" s="7"/>
      <c r="AJ19" s="7"/>
      <c r="AK19" s="31" t="str">
        <f>IF(AJ19/(INDEX('Standards for Conversions'!$H$34:$H$73,MATCH(AI$3,'Standards for Conversions'!$A$34:$A$73,0)))=0,"",AJ19/(INDEX('Standards for Conversions'!$H$34:$H$73,MATCH(AI$3,'Standards for Conversions'!$A$34:$A$73,0))))</f>
        <v/>
      </c>
      <c r="AL19" s="10" t="s">
        <v>399</v>
      </c>
      <c r="AM19" s="7"/>
      <c r="AN19" s="7"/>
      <c r="AO19" s="31" t="str">
        <f>IF(AN19/(INDEX('Standards for Conversions'!$H$34:$H$73,MATCH(AM$3,'Standards for Conversions'!$A$34:$A$73,0)))=0,"",AN19/(INDEX('Standards for Conversions'!$H$34:$H$73,MATCH(AM$3,'Standards for Conversions'!$A$34:$A$73,0))))</f>
        <v/>
      </c>
      <c r="AP19" s="6" t="s">
        <v>374</v>
      </c>
      <c r="AQ19" s="9">
        <v>200</v>
      </c>
      <c r="AR19" s="9">
        <v>1400</v>
      </c>
      <c r="AS19" s="31">
        <f>IF(AR19/(INDEX('Standards for Conversions'!$H$34:$H$73,MATCH(AQ$3,'Standards for Conversions'!$A$34:$A$73,0)))=0,"",AR19/(INDEX('Standards for Conversions'!$H$34:$H$73,MATCH(AQ$3,'Standards for Conversions'!$A$34:$A$73,0))))</f>
        <v>250.17781205642939</v>
      </c>
      <c r="AT19" s="10" t="s">
        <v>399</v>
      </c>
      <c r="AU19" s="7"/>
      <c r="AV19" s="7"/>
      <c r="AW19" s="31" t="str">
        <f>IF(AV19/(INDEX('Standards for Conversions'!$H$34:$H$73,MATCH(AU$3,'Standards for Conversions'!$A$34:$A$73,0)))=0,"",AV19/(INDEX('Standards for Conversions'!$H$34:$H$73,MATCH(AU$3,'Standards for Conversions'!$A$34:$A$73,0))))</f>
        <v/>
      </c>
      <c r="AX19" s="10" t="s">
        <v>399</v>
      </c>
      <c r="AY19" s="7"/>
      <c r="AZ19" s="7"/>
      <c r="BA19" s="31" t="str">
        <f>IF(AZ19/(INDEX('Standards for Conversions'!$H$34:$H$73,MATCH(AY$3,'Standards for Conversions'!$A$34:$A$73,0)))=0,"",AZ19/(INDEX('Standards for Conversions'!$H$34:$H$73,MATCH(AY$3,'Standards for Conversions'!$A$34:$A$73,0))))</f>
        <v/>
      </c>
      <c r="BB19" s="10" t="s">
        <v>399</v>
      </c>
      <c r="BC19" s="7"/>
      <c r="BD19" s="7"/>
      <c r="BE19" s="31" t="str">
        <f>IF(BD19/(INDEX('Standards for Conversions'!$H$34:$H$73,MATCH(BC$3,'Standards for Conversions'!$A$34:$A$73,0)))=0,"",BD19/(INDEX('Standards for Conversions'!$H$34:$H$73,MATCH(BC$3,'Standards for Conversions'!$A$34:$A$73,0))))</f>
        <v/>
      </c>
      <c r="BF19" s="6" t="s">
        <v>374</v>
      </c>
      <c r="BG19" s="9">
        <v>200</v>
      </c>
      <c r="BH19" s="9">
        <v>2000</v>
      </c>
      <c r="BI19" s="31">
        <f>IF(BH19/(INDEX('Standards for Conversions'!$H$34:$H$73,MATCH(BG$3,'Standards for Conversions'!$A$34:$A$73,0)))=0,"",BH19/(INDEX('Standards for Conversions'!$H$34:$H$73,MATCH(BG$3,'Standards for Conversions'!$A$34:$A$73,0))))</f>
        <v>371.37092277164624</v>
      </c>
      <c r="BJ19" s="10" t="s">
        <v>399</v>
      </c>
      <c r="BK19" s="7"/>
      <c r="BL19" s="7"/>
      <c r="BM19" s="31" t="str">
        <f>IF(BL19/(INDEX('Standards for Conversions'!$H$34:$H$73,MATCH(BK$3,'Standards for Conversions'!$A$34:$A$73,0)))=0,"",BL19/(INDEX('Standards for Conversions'!$H$34:$H$73,MATCH(BK$3,'Standards for Conversions'!$A$34:$A$73,0))))</f>
        <v/>
      </c>
      <c r="BN19" s="10" t="s">
        <v>399</v>
      </c>
      <c r="BO19" s="7"/>
      <c r="BP19" s="7"/>
      <c r="BQ19" s="31" t="str">
        <f>IF(BP19/(INDEX('Standards for Conversions'!$H$34:$H$73,MATCH(BO$3,'Standards for Conversions'!$A$34:$A$73,0)))=0,"",BP19/(INDEX('Standards for Conversions'!$H$34:$H$73,MATCH(BO$3,'Standards for Conversions'!$A$34:$A$73,0))))</f>
        <v/>
      </c>
      <c r="BR19" s="10" t="s">
        <v>399</v>
      </c>
      <c r="BS19" s="7"/>
      <c r="BT19" s="7"/>
      <c r="BU19" s="31" t="str">
        <f>IF(BT19/(INDEX('Standards for Conversions'!$H$34:$H$73,MATCH(BS$3,'Standards for Conversions'!$A$34:$A$73,0)))=0,"",BT19/(INDEX('Standards for Conversions'!$H$34:$H$73,MATCH(BS$3,'Standards for Conversions'!$A$34:$A$73,0))))</f>
        <v/>
      </c>
      <c r="BV19" s="6" t="s">
        <v>374</v>
      </c>
      <c r="BW19" s="9">
        <v>200</v>
      </c>
      <c r="BX19" s="9">
        <v>1400</v>
      </c>
      <c r="BY19" s="31">
        <f>IF(BX19/(INDEX('Standards for Conversions'!$H$34:$H$73,MATCH(BW$3,'Standards for Conversions'!$A$34:$A$73,0)))=0,"",BX19/(INDEX('Standards for Conversions'!$H$34:$H$73,MATCH(BW$3,'Standards for Conversions'!$A$34:$A$73,0))))</f>
        <v>249.28855443063637</v>
      </c>
      <c r="BZ19" s="10" t="s">
        <v>399</v>
      </c>
      <c r="CA19" s="7"/>
      <c r="CB19" s="7"/>
      <c r="CC19" s="31" t="str">
        <f>IF(CB19/(INDEX('Standards for Conversions'!$H$34:$H$73,MATCH(CA$3,'Standards for Conversions'!$A$34:$A$73,0)))=0,"",CB19/(INDEX('Standards for Conversions'!$H$34:$H$73,MATCH(CA$3,'Standards for Conversions'!$A$34:$A$73,0))))</f>
        <v/>
      </c>
      <c r="CD19" s="10" t="s">
        <v>399</v>
      </c>
      <c r="CE19" s="7"/>
      <c r="CF19" s="7"/>
      <c r="CG19" s="31" t="str">
        <f>IF(CF19/(INDEX('Standards for Conversions'!$H$34:$H$73,MATCH(CE$3,'Standards for Conversions'!$A$34:$A$73,0)))=0,"",CF19/(INDEX('Standards for Conversions'!$H$34:$H$73,MATCH(CE$3,'Standards for Conversions'!$A$34:$A$73,0))))</f>
        <v/>
      </c>
      <c r="CH19" s="10" t="s">
        <v>399</v>
      </c>
      <c r="CI19" s="7"/>
      <c r="CJ19" s="7"/>
      <c r="CK19" s="31" t="str">
        <f>IF(CJ19/(INDEX('Standards for Conversions'!$H$34:$H$73,MATCH(CI$3,'Standards for Conversions'!$A$34:$A$73,0)))=0,"",CJ19/(INDEX('Standards for Conversions'!$H$34:$H$73,MATCH(CI$3,'Standards for Conversions'!$A$34:$A$73,0))))</f>
        <v/>
      </c>
      <c r="CL19" s="10" t="s">
        <v>399</v>
      </c>
      <c r="CM19" s="9"/>
      <c r="CN19" s="9"/>
      <c r="CO19" s="31" t="str">
        <f>IF(CN19/(INDEX('Standards for Conversions'!$H$34:$H$73,MATCH(CM$3,'Standards for Conversions'!$A$34:$A$73,0)))=0,"",CN19/(INDEX('Standards for Conversions'!$H$34:$H$73,MATCH(CM$3,'Standards for Conversions'!$A$34:$A$73,0))))</f>
        <v/>
      </c>
      <c r="CP19" s="10" t="s">
        <v>399</v>
      </c>
      <c r="CQ19" s="7">
        <f>1.5*200</f>
        <v>300</v>
      </c>
      <c r="CR19" s="7">
        <v>600</v>
      </c>
      <c r="CS19" s="31">
        <f>IF(CR19/(INDEX('Standards for Conversions'!$H$34:$H$73,MATCH(CQ$3,'Standards for Conversions'!$A$34:$A$73,0)))=0,"",CR19/(INDEX('Standards for Conversions'!$H$34:$H$73,MATCH(CQ$3,'Standards for Conversions'!$A$34:$A$73,0))))</f>
        <v>104.17017902146519</v>
      </c>
      <c r="CT19" s="10" t="s">
        <v>399</v>
      </c>
      <c r="CU19" s="7"/>
      <c r="CV19" s="7"/>
      <c r="CW19" s="31" t="str">
        <f>IF(CV19/(INDEX('Standards for Conversions'!$H$34:$H$73,MATCH(CU$3,'Standards for Conversions'!$A$34:$A$73,0)))=0,"",CV19/(INDEX('Standards for Conversions'!$H$34:$H$73,MATCH(CU$3,'Standards for Conversions'!$A$34:$A$73,0))))</f>
        <v/>
      </c>
      <c r="CX19" s="10" t="s">
        <v>399</v>
      </c>
      <c r="CY19" s="7"/>
      <c r="CZ19" s="7"/>
      <c r="DA19" s="31" t="str">
        <f>IF(CZ19/(INDEX('Standards for Conversions'!$H$34:$H$73,MATCH(CY$3,'Standards for Conversions'!$A$34:$A$73,0)))=0,"",CZ19/(INDEX('Standards for Conversions'!$H$34:$H$73,MATCH(CY$3,'Standards for Conversions'!$A$34:$A$73,0))))</f>
        <v/>
      </c>
      <c r="DB19" s="10" t="s">
        <v>399</v>
      </c>
      <c r="DC19" s="9">
        <f>1.5*1500</f>
        <v>2250</v>
      </c>
      <c r="DD19" s="9">
        <v>1800</v>
      </c>
      <c r="DE19" s="31">
        <f>IF(DD19/(INDEX('Standards for Conversions'!$H$34:$H$73,MATCH(DC$3,'Standards for Conversions'!$A$34:$A$73,0)))=0,"",DD19/(INDEX('Standards for Conversions'!$H$34:$H$73,MATCH(DC$3,'Standards for Conversions'!$A$34:$A$73,0))))</f>
        <v>318.60830364126184</v>
      </c>
      <c r="DF19" s="10" t="s">
        <v>399</v>
      </c>
      <c r="DG19" s="7">
        <f>1.5*2981</f>
        <v>4471.5</v>
      </c>
      <c r="DH19" s="7">
        <v>5200</v>
      </c>
      <c r="DI19" s="31">
        <f>IF(DH19/(INDEX('Standards for Conversions'!$H$34:$H$73,MATCH(DG$3,'Standards for Conversions'!$A$34:$A$73,0)))=0,"",DH19/(INDEX('Standards for Conversions'!$H$34:$H$73,MATCH(DG$3,'Standards for Conversions'!$A$34:$A$73,0))))</f>
        <v>920.42398829697868</v>
      </c>
      <c r="DJ19" s="10" t="s">
        <v>399</v>
      </c>
      <c r="DK19" s="7"/>
      <c r="DL19" s="7"/>
      <c r="DM19" s="31" t="str">
        <f>IF(DL19/(INDEX('Standards for Conversions'!$H$34:$H$73,MATCH(DK$3,'Standards for Conversions'!$A$34:$A$73,0)))=0,"",DL19/(INDEX('Standards for Conversions'!$H$34:$H$73,MATCH(DK$3,'Standards for Conversions'!$A$34:$A$73,0))))</f>
        <v/>
      </c>
      <c r="DN19" s="10" t="s">
        <v>399</v>
      </c>
      <c r="DO19" s="7"/>
      <c r="DP19" s="7"/>
      <c r="DQ19" s="31" t="str">
        <f>IF(DP19/(INDEX('Standards for Conversions'!$H$34:$H$73,MATCH(DO$3,'Standards for Conversions'!$A$34:$A$73,0)))=0,"",DP19/(INDEX('Standards for Conversions'!$H$34:$H$73,MATCH(DO$3,'Standards for Conversions'!$A$34:$A$73,0))))</f>
        <v/>
      </c>
      <c r="DR19" s="10" t="s">
        <v>399</v>
      </c>
      <c r="DS19" s="9">
        <f>1.5*1500</f>
        <v>2250</v>
      </c>
      <c r="DT19" s="9">
        <v>1800</v>
      </c>
      <c r="DU19" s="31">
        <f>IF(DT19/(INDEX('Standards for Conversions'!$H$34:$H$73,MATCH(DS$3,'Standards for Conversions'!$A$34:$A$73,0)))=0,"",DT19/(INDEX('Standards for Conversions'!$H$34:$H$73,MATCH(DS$3,'Standards for Conversions'!$A$34:$A$73,0))))</f>
        <v>315.17830994177456</v>
      </c>
      <c r="DV19" s="10" t="s">
        <v>399</v>
      </c>
      <c r="DW19" s="7">
        <f>1.5*1000</f>
        <v>1500</v>
      </c>
      <c r="DX19" s="7">
        <v>2000</v>
      </c>
      <c r="DY19" s="31">
        <f>IF(DX19/(INDEX('Standards for Conversions'!$H$34:$H$73,MATCH(DW$3,'Standards for Conversions'!$A$34:$A$73,0)))=0,"",DX19/(INDEX('Standards for Conversions'!$H$34:$H$73,MATCH(DW$3,'Standards for Conversions'!$A$34:$A$73,0))))</f>
        <v>350.19812215752728</v>
      </c>
      <c r="DZ19" s="10" t="s">
        <v>399</v>
      </c>
      <c r="EA19" s="7"/>
      <c r="EB19" s="7"/>
      <c r="EC19" s="31" t="str">
        <f>IF(EB19/(INDEX('Standards for Conversions'!$H$34:$H$73,MATCH(EA$3,'Standards for Conversions'!$A$34:$A$73,0)))=0,"",EB19/(INDEX('Standards for Conversions'!$H$34:$H$73,MATCH(EA$3,'Standards for Conversions'!$A$34:$A$73,0))))</f>
        <v/>
      </c>
      <c r="ED19" s="10" t="s">
        <v>399</v>
      </c>
      <c r="EE19" s="7"/>
      <c r="EF19" s="7"/>
      <c r="EG19" s="31" t="str">
        <f>IF(EF19/(INDEX('Standards for Conversions'!$H$34:$H$73,MATCH(EE$3,'Standards for Conversions'!$A$34:$A$73,0)))=0,"",EF19/(INDEX('Standards for Conversions'!$H$34:$H$73,MATCH(EE$3,'Standards for Conversions'!$A$34:$A$73,0))))</f>
        <v/>
      </c>
      <c r="EH19" s="10" t="s">
        <v>399</v>
      </c>
      <c r="EI19" s="9">
        <f>1.5*1715</f>
        <v>2572.5</v>
      </c>
      <c r="EJ19" s="9">
        <v>1750</v>
      </c>
      <c r="EK19" s="31">
        <f>IF(EJ19/(INDEX('Standards for Conversions'!$H$34:$H$73,MATCH(EI$3,'Standards for Conversions'!$A$34:$A$73,0)))=0,"",EJ19/(INDEX('Standards for Conversions'!$H$34:$H$73,MATCH(EI$3,'Standards for Conversions'!$A$34:$A$73,0))))</f>
        <v>306.05283287708926</v>
      </c>
      <c r="EL19" s="10" t="s">
        <v>399</v>
      </c>
      <c r="EM19" s="7"/>
      <c r="EN19" s="7"/>
      <c r="EO19" s="31" t="str">
        <f>IF(EN19/(INDEX('Standards for Conversions'!$H$34:$H$73,MATCH(EM$3,'Standards for Conversions'!$A$34:$A$73,0)))=0,"",EN19/(INDEX('Standards for Conversions'!$H$34:$H$73,MATCH(EM$3,'Standards for Conversions'!$A$34:$A$73,0))))</f>
        <v/>
      </c>
      <c r="EP19" s="10" t="s">
        <v>399</v>
      </c>
      <c r="EQ19" s="7"/>
      <c r="ER19" s="7"/>
      <c r="ES19" s="31" t="str">
        <f>IF(ER19/(INDEX('Standards for Conversions'!$H$34:$H$73,MATCH(EQ$3,'Standards for Conversions'!$A$34:$A$73,0)))=0,"",ER19/(INDEX('Standards for Conversions'!$H$34:$H$73,MATCH(EQ$3,'Standards for Conversions'!$A$34:$A$73,0))))</f>
        <v/>
      </c>
      <c r="ET19" s="10" t="s">
        <v>399</v>
      </c>
      <c r="EU19" s="7"/>
      <c r="EV19" s="7"/>
      <c r="EW19" s="31" t="str">
        <f>IF(EV19/(INDEX('Standards for Conversions'!$H$34:$H$73,MATCH(EU$3,'Standards for Conversions'!$A$34:$A$73,0)))=0,"",EV19/(INDEX('Standards for Conversions'!$H$34:$H$73,MATCH(EU$3,'Standards for Conversions'!$A$34:$A$73,0))))</f>
        <v/>
      </c>
      <c r="EX19" s="10" t="s">
        <v>399</v>
      </c>
      <c r="EY19" s="9">
        <f>1.5*780</f>
        <v>1170</v>
      </c>
      <c r="EZ19" s="9">
        <v>1120</v>
      </c>
      <c r="FA19" s="31">
        <f>IF(EZ19/(INDEX('Standards for Conversions'!$H$34:$H$73,MATCH(EY$3,'Standards for Conversions'!$A$34:$A$73,0)))=0,"",EZ19/(INDEX('Standards for Conversions'!$H$34:$H$73,MATCH(EY$3,'Standards for Conversions'!$A$34:$A$73,0))))</f>
        <v>191.84251180440887</v>
      </c>
      <c r="FB19" s="10" t="s">
        <v>399</v>
      </c>
      <c r="FC19" s="7"/>
      <c r="FD19" s="7"/>
      <c r="FE19" s="31" t="str">
        <f>IF(FD19/(INDEX('Standards for Conversions'!$H$34:$H$73,MATCH(FC$3,'Standards for Conversions'!$A$34:$A$73,0)))=0,"",FD19/(INDEX('Standards for Conversions'!$H$34:$H$73,MATCH(FC$3,'Standards for Conversions'!$A$34:$A$73,0))))</f>
        <v/>
      </c>
      <c r="FF19" s="10" t="s">
        <v>399</v>
      </c>
      <c r="FG19" s="7"/>
      <c r="FH19" s="7"/>
      <c r="FI19" s="31" t="str">
        <f>IF(FH19/(INDEX('Standards for Conversions'!$H$34:$H$73,MATCH(FG$3,'Standards for Conversions'!$A$34:$A$73,0)))=0,"",FH19/(INDEX('Standards for Conversions'!$H$34:$H$73,MATCH(FG$3,'Standards for Conversions'!$A$34:$A$73,0))))</f>
        <v/>
      </c>
      <c r="FJ19" s="10" t="s">
        <v>399</v>
      </c>
      <c r="FK19" s="7"/>
      <c r="FL19" s="7"/>
      <c r="FM19" s="31" t="str">
        <f>IF(FL19/(INDEX('Standards for Conversions'!$H$34:$H$73,MATCH(FK$3,'Standards for Conversions'!$A$34:$A$73,0)))=0,"",FL19/(INDEX('Standards for Conversions'!$H$34:$H$73,MATCH(FK$3,'Standards for Conversions'!$A$34:$A$73,0))))</f>
        <v/>
      </c>
      <c r="FN19" s="10" t="s">
        <v>399</v>
      </c>
      <c r="FO19" s="9">
        <f>1.5*800</f>
        <v>1200</v>
      </c>
      <c r="FP19" s="9">
        <v>1200</v>
      </c>
      <c r="FQ19" s="31">
        <f>IF(FP19/(INDEX('Standards for Conversions'!$H$34:$H$73,MATCH(FO$3,'Standards for Conversions'!$A$34:$A$73,0)))=0,"",FP19/(INDEX('Standards for Conversions'!$H$34:$H$73,MATCH(FO$3,'Standards for Conversions'!$A$34:$A$73,0))))</f>
        <v>205.79962196923609</v>
      </c>
      <c r="FR19" s="10" t="s">
        <v>399</v>
      </c>
      <c r="FS19" s="7"/>
      <c r="FT19" s="7"/>
      <c r="FU19" s="31" t="str">
        <f>IF(FT19/(INDEX('Standards for Conversions'!$H$34:$H$73,MATCH(FS$3,'Standards for Conversions'!$A$34:$A$73,0)))=0,"",FT19/(INDEX('Standards for Conversions'!$H$34:$H$73,MATCH(FS$3,'Standards for Conversions'!$A$34:$A$73,0))))</f>
        <v/>
      </c>
      <c r="FV19" s="10" t="s">
        <v>399</v>
      </c>
      <c r="FW19" s="7"/>
      <c r="FX19" s="7"/>
      <c r="FY19" s="31" t="str">
        <f>IF(FX19/(INDEX('Standards for Conversions'!$H$34:$H$73,MATCH(FW$3,'Standards for Conversions'!$A$34:$A$73,0)))=0,"",FX19/(INDEX('Standards for Conversions'!$H$34:$H$73,MATCH(FW$3,'Standards for Conversions'!$A$34:$A$73,0))))</f>
        <v/>
      </c>
      <c r="FZ19" s="10" t="s">
        <v>399</v>
      </c>
      <c r="GA19" s="7"/>
      <c r="GB19" s="7"/>
      <c r="GC19" s="31" t="str">
        <f>IF(GB19/(INDEX('Standards for Conversions'!$H$34:$H$73,MATCH(GA$3,'Standards for Conversions'!$A$34:$A$73,0)))=0,"",GB19/(INDEX('Standards for Conversions'!$H$34:$H$73,MATCH(GA$3,'Standards for Conversions'!$A$34:$A$73,0))))</f>
        <v/>
      </c>
      <c r="GD19" s="10" t="s">
        <v>399</v>
      </c>
      <c r="GE19" s="9">
        <f>1.5*500</f>
        <v>750</v>
      </c>
      <c r="GF19" s="9">
        <v>1100</v>
      </c>
      <c r="GG19" s="31">
        <f>IF(GF19/(INDEX('Standards for Conversions'!$H$34:$H$73,MATCH(GE$3,'Standards for Conversions'!$A$34:$A$73,0)))=0,"",GF19/(INDEX('Standards for Conversions'!$H$34:$H$73,MATCH(GE$3,'Standards for Conversions'!$A$34:$A$73,0))))</f>
        <v>180.96392684887459</v>
      </c>
      <c r="GH19" s="10" t="s">
        <v>399</v>
      </c>
      <c r="GI19" s="7"/>
      <c r="GJ19" s="7"/>
      <c r="GK19" s="31" t="str">
        <f>IF(GJ19/(INDEX('Standards for Conversions'!$H$34:$H$73,MATCH(GI$3,'Standards for Conversions'!$A$34:$A$73,0)))=0,"",GJ19/(INDEX('Standards for Conversions'!$H$34:$H$73,MATCH(GI$3,'Standards for Conversions'!$A$34:$A$73,0))))</f>
        <v/>
      </c>
      <c r="GL19" s="10" t="s">
        <v>399</v>
      </c>
      <c r="GM19" s="7"/>
      <c r="GN19" s="7"/>
      <c r="GO19" s="31" t="str">
        <f>IF(GN19/(INDEX('Standards for Conversions'!$H$34:$H$73,MATCH(GM$3,'Standards for Conversions'!$A$34:$A$73,0)))=0,"",GN19/(INDEX('Standards for Conversions'!$H$34:$H$73,MATCH(GM$3,'Standards for Conversions'!$A$34:$A$73,0))))</f>
        <v/>
      </c>
      <c r="GP19" s="10" t="s">
        <v>399</v>
      </c>
      <c r="GQ19" s="7"/>
      <c r="GR19" s="7"/>
      <c r="GS19" s="31" t="str">
        <f>IF(GR19/(INDEX('Standards for Conversions'!$H$34:$H$73,MATCH(GQ$3,'Standards for Conversions'!$A$34:$A$73,0)))=0,"",GR19/(INDEX('Standards for Conversions'!$H$34:$H$73,MATCH(GQ$3,'Standards for Conversions'!$A$34:$A$73,0))))</f>
        <v/>
      </c>
      <c r="GT19" s="10" t="s">
        <v>399</v>
      </c>
      <c r="GU19" s="9">
        <f>1.5*500</f>
        <v>750</v>
      </c>
      <c r="GV19" s="9">
        <v>1000</v>
      </c>
      <c r="GW19" s="31">
        <f>IF(GV19/(INDEX('Standards for Conversions'!$H$34:$H$73,MATCH(GU$3,'Standards for Conversions'!$A$34:$A$73,0)))=0,"",GV19/(INDEX('Standards for Conversions'!$H$34:$H$73,MATCH(GU$3,'Standards for Conversions'!$A$34:$A$73,0))))</f>
        <v>153.71453245850353</v>
      </c>
      <c r="GX19" s="10" t="s">
        <v>399</v>
      </c>
      <c r="GY19" s="7"/>
      <c r="GZ19" s="7"/>
      <c r="HA19" s="31" t="str">
        <f>IF(GZ19/(INDEX('Standards for Conversions'!$H$34:$H$73,MATCH(GY$3,'Standards for Conversions'!$A$34:$A$73,0)))=0,"",GZ19/(INDEX('Standards for Conversions'!$H$34:$H$73,MATCH(GY$3,'Standards for Conversions'!$A$34:$A$73,0))))</f>
        <v/>
      </c>
      <c r="HB19" s="10" t="s">
        <v>399</v>
      </c>
      <c r="HC19" s="7"/>
      <c r="HD19" s="7"/>
      <c r="HE19" s="31" t="str">
        <f>IF(HD19/(INDEX('Standards for Conversions'!$H$34:$H$73,MATCH(HC$3,'Standards for Conversions'!$A$34:$A$73,0)))=0,"",HD19/(INDEX('Standards for Conversions'!$H$34:$H$73,MATCH(HC$3,'Standards for Conversions'!$A$34:$A$73,0))))</f>
        <v/>
      </c>
      <c r="HF19" s="10" t="s">
        <v>399</v>
      </c>
      <c r="HG19" s="7"/>
      <c r="HH19" s="7"/>
      <c r="HI19" s="31" t="str">
        <f>IF(HH19/(INDEX('Standards for Conversions'!$H$34:$H$73,MATCH(HG$3,'Standards for Conversions'!$A$34:$A$73,0)))=0,"",HH19/(INDEX('Standards for Conversions'!$H$34:$H$73,MATCH(HG$3,'Standards for Conversions'!$A$34:$A$73,0))))</f>
        <v/>
      </c>
      <c r="HJ19" s="10" t="s">
        <v>399</v>
      </c>
      <c r="HK19" s="9">
        <f>1.5*600</f>
        <v>900</v>
      </c>
      <c r="HL19" s="9">
        <v>1200</v>
      </c>
      <c r="HM19" s="31">
        <f>IF(HL19/(INDEX('Standards for Conversions'!$H$34:$H$73,MATCH(HK$3,'Standards for Conversions'!$A$34:$A$73,0)))=0,"",HL19/(INDEX('Standards for Conversions'!$H$34:$H$73,MATCH(HK$3,'Standards for Conversions'!$A$34:$A$73,0))))</f>
        <v>181.6626292691405</v>
      </c>
      <c r="HN19" s="10" t="s">
        <v>399</v>
      </c>
      <c r="HO19" s="7"/>
      <c r="HP19" s="7"/>
      <c r="HQ19" s="31" t="str">
        <f>IF(HP19/(INDEX('Standards for Conversions'!$H$34:$H$73,MATCH(HO$3,'Standards for Conversions'!$A$34:$A$73,0)))=0,"",HP19/(INDEX('Standards for Conversions'!$H$34:$H$73,MATCH(HO$3,'Standards for Conversions'!$A$34:$A$73,0))))</f>
        <v/>
      </c>
      <c r="HR19" s="33" t="s">
        <v>98</v>
      </c>
      <c r="HU19" s="31" t="str">
        <f>IF(HT19/(INDEX('Standards for Conversions'!$H$47:$H$73,MATCH(HS$3,'Standards for Conversions'!$A$47:$A$73,0)))=0,"",HT19/(INDEX('Standards for Conversions'!$H$47:$H$73,MATCH(HS$3,'Standards for Conversions'!$A$47:$A$73,0))))</f>
        <v/>
      </c>
      <c r="HV19" s="33" t="s">
        <v>98</v>
      </c>
      <c r="HY19" s="31" t="str">
        <f>IF(HX19/(INDEX('Standards for Conversions'!$H$47:$H$73,MATCH(HW$3,'Standards for Conversions'!$A$47:$A$73,0)))=0,"",HX19/(INDEX('Standards for Conversions'!$H$47:$H$73,MATCH(HW$3,'Standards for Conversions'!$A$47:$A$73,0))))</f>
        <v/>
      </c>
      <c r="HZ19" s="33">
        <v>1500</v>
      </c>
      <c r="IA19" s="33">
        <v>1800</v>
      </c>
      <c r="IB19" s="31">
        <f>IF(IA19/(INDEX('Standards for Conversions'!$H$47:$H$73,MATCH(HZ$3,'Standards for Conversions'!$A$47:$A$73,0)))=0,"",IA19/(INDEX('Standards for Conversions'!$H$47:$H$73,MATCH(HZ$3,'Standards for Conversions'!$A$47:$A$73,0))))</f>
        <v>261.44174198314073</v>
      </c>
      <c r="IC19" s="33" t="s">
        <v>98</v>
      </c>
      <c r="IF19" s="31" t="str">
        <f>IF(IE19/(INDEX('Standards for Conversions'!$H$47:$H$73,MATCH(ID$3,'Standards for Conversions'!$A$47:$A$73,0)))=0,"",IE19/(INDEX('Standards for Conversions'!$H$47:$H$73,MATCH(ID$3,'Standards for Conversions'!$A$47:$A$73,0))))</f>
        <v/>
      </c>
      <c r="IG19" s="33" t="s">
        <v>98</v>
      </c>
      <c r="IJ19" s="31" t="str">
        <f>IF(II19/(INDEX('Standards for Conversions'!$H$47:$H$73,MATCH(IH$3,'Standards for Conversions'!$A$47:$A$73,0)))=0,"",II19/(INDEX('Standards for Conversions'!$H$47:$H$73,MATCH(IH$3,'Standards for Conversions'!$A$47:$A$73,0))))</f>
        <v/>
      </c>
      <c r="IK19" s="33" t="s">
        <v>98</v>
      </c>
      <c r="IN19" s="31" t="str">
        <f>IF(IM19/(INDEX('Standards for Conversions'!$H$47:$H$73,MATCH(IL$3,'Standards for Conversions'!$A$47:$A$73,0)))=0,"",IM19/(INDEX('Standards for Conversions'!$H$47:$H$73,MATCH(IL$3,'Standards for Conversions'!$A$47:$A$73,0))))</f>
        <v/>
      </c>
      <c r="IO19" s="33" t="s">
        <v>98</v>
      </c>
      <c r="IP19" s="33">
        <v>379.5</v>
      </c>
      <c r="IQ19" s="33">
        <v>413</v>
      </c>
      <c r="IR19" s="31">
        <f>IF(IQ19/(INDEX('Standards for Conversions'!$H$47:$H$73,MATCH(IP$3,'Standards for Conversions'!$A$47:$A$73,0)))=0,"",IQ19/(INDEX('Standards for Conversions'!$H$47:$H$73,MATCH(IP$3,'Standards for Conversions'!$A$47:$A$73,0))))</f>
        <v>59.724024244300566</v>
      </c>
      <c r="IS19" s="33" t="s">
        <v>98</v>
      </c>
      <c r="IV19" s="31" t="str">
        <f>IF(IU19/(INDEX('Standards for Conversions'!$H$47:$H$73,MATCH(IT$3,'Standards for Conversions'!$A$47:$A$73,0)))=0,"",IU19/(INDEX('Standards for Conversions'!$H$47:$H$73,MATCH(IT$3,'Standards for Conversions'!$A$47:$A$73,0))))</f>
        <v/>
      </c>
      <c r="IW19" s="33" t="s">
        <v>98</v>
      </c>
      <c r="IZ19" s="31" t="str">
        <f>IF(IY19/(INDEX('Standards for Conversions'!$H$47:$H$73,MATCH(IX$3,'Standards for Conversions'!$A$47:$A$73,0)))=0,"",IY19/(INDEX('Standards for Conversions'!$H$47:$H$73,MATCH(IX$3,'Standards for Conversions'!$A$47:$A$73,0))))</f>
        <v/>
      </c>
      <c r="JA19" s="33" t="s">
        <v>98</v>
      </c>
      <c r="JD19" s="31" t="str">
        <f>IF(JC19/(INDEX('Standards for Conversions'!$H$47:$H$73,MATCH(JB$3,'Standards for Conversions'!$A$47:$A$73,0)))=0,"",JC19/(INDEX('Standards for Conversions'!$H$47:$H$73,MATCH(JB$3,'Standards for Conversions'!$A$47:$A$73,0))))</f>
        <v/>
      </c>
      <c r="JE19" s="33" t="s">
        <v>98</v>
      </c>
      <c r="JF19" s="33">
        <v>2100</v>
      </c>
      <c r="JG19" s="33">
        <v>3100</v>
      </c>
      <c r="JH19" s="31">
        <f>IF(JG19/(INDEX('Standards for Conversions'!$H$47:$H$73,MATCH(JF$3,'Standards for Conversions'!$A$47:$A$73,0)))=0,"",JG19/(INDEX('Standards for Conversions'!$H$47:$H$73,MATCH(JF$3,'Standards for Conversions'!$A$47:$A$73,0))))</f>
        <v>501.45660974479296</v>
      </c>
      <c r="JL19" s="31" t="str">
        <f>IF(JK19/(INDEX('Standards for Conversions'!$H$47:$H$73,MATCH(JJ$3,'Standards for Conversions'!$A$47:$A$73,0)))=0,"",JK19/(INDEX('Standards for Conversions'!$H$47:$H$73,MATCH(JJ$3,'Standards for Conversions'!$A$47:$A$73,0))))</f>
        <v/>
      </c>
      <c r="JM19" s="33" t="s">
        <v>98</v>
      </c>
      <c r="JP19" s="31" t="str">
        <f>IF(JO19/(INDEX('Standards for Conversions'!$H$47:$H$73,MATCH(JN$3,'Standards for Conversions'!$A$47:$A$73,0)))=0,"",JO19/(INDEX('Standards for Conversions'!$H$47:$H$73,MATCH(JN$3,'Standards for Conversions'!$A$47:$A$73,0))))</f>
        <v/>
      </c>
      <c r="JQ19" s="33" t="s">
        <v>98</v>
      </c>
      <c r="JT19" s="31" t="str">
        <f>IF(JS19/(INDEX('Standards for Conversions'!$H$47:$H$73,MATCH(JR$3,'Standards for Conversions'!$A$47:$A$73,0)))=0,"",JS19/(INDEX('Standards for Conversions'!$H$47:$H$73,MATCH(JR$3,'Standards for Conversions'!$A$47:$A$73,0))))</f>
        <v/>
      </c>
      <c r="JU19" s="33" t="s">
        <v>98</v>
      </c>
      <c r="JV19" s="33">
        <v>2250</v>
      </c>
      <c r="JW19" s="33">
        <v>3000</v>
      </c>
      <c r="JX19" s="31">
        <f>IF(JW19/(INDEX('Standards for Conversions'!$H$47:$H$73,MATCH(JV$3,'Standards for Conversions'!$A$47:$A$73,0)))=0,"",JW19/(INDEX('Standards for Conversions'!$H$47:$H$73,MATCH(JV$3,'Standards for Conversions'!$A$47:$A$73,0))))</f>
        <v>457.96767728339267</v>
      </c>
      <c r="JY19" s="33" t="s">
        <v>98</v>
      </c>
      <c r="KB19" s="31" t="str">
        <f>IF(KA19/(INDEX('Standards for Conversions'!$H$47:$H$73,MATCH(JZ$3,'Standards for Conversions'!$A$47:$A$73,0)))=0,"",KA19/(INDEX('Standards for Conversions'!$H$47:$H$73,MATCH(JZ$3,'Standards for Conversions'!$A$47:$A$73,0))))</f>
        <v/>
      </c>
      <c r="KC19" s="33" t="s">
        <v>98</v>
      </c>
      <c r="KF19" s="31" t="str">
        <f>IF(KE19/(INDEX('Standards for Conversions'!$H$47:$H$73,MATCH(KD$3,'Standards for Conversions'!$A$47:$A$73,0)))=0,"",KE19/(INDEX('Standards for Conversions'!$H$47:$H$73,MATCH(KD$3,'Standards for Conversions'!$A$47:$A$73,0))))</f>
        <v/>
      </c>
      <c r="KG19" s="33" t="s">
        <v>98</v>
      </c>
      <c r="KJ19" s="31" t="str">
        <f>IF(KI19/(INDEX('Standards for Conversions'!$H$47:$H$73,MATCH(KH$3,'Standards for Conversions'!$A$47:$A$73,0)))=0,"",KI19/(INDEX('Standards for Conversions'!$H$47:$H$73,MATCH(KH$3,'Standards for Conversions'!$A$47:$A$73,0))))</f>
        <v/>
      </c>
      <c r="KK19" s="33" t="s">
        <v>98</v>
      </c>
      <c r="KL19" s="33">
        <v>2100</v>
      </c>
      <c r="KM19" s="33">
        <v>4000</v>
      </c>
      <c r="KN19" s="31">
        <f>IF(KM19/(INDEX('Standards for Conversions'!$H$47:$H$73,MATCH(KL$3,'Standards for Conversions'!$A$47:$A$73,0)))=0,"",KM19/(INDEX('Standards for Conversions'!$H$47:$H$73,MATCH(KL$3,'Standards for Conversions'!$A$47:$A$73,0))))</f>
        <v>538.63604762318585</v>
      </c>
      <c r="KO19" s="33" t="s">
        <v>98</v>
      </c>
      <c r="KR19" s="31" t="str">
        <f>IF(KQ19/(INDEX('Standards for Conversions'!$H$47:$H$73,MATCH(KP$3,'Standards for Conversions'!$A$47:$A$73,0)))=0,"",KQ19/(INDEX('Standards for Conversions'!$H$47:$H$73,MATCH(KP$3,'Standards for Conversions'!$A$47:$A$73,0))))</f>
        <v/>
      </c>
      <c r="KS19" s="33" t="s">
        <v>98</v>
      </c>
      <c r="KV19" s="31" t="str">
        <f>IF(KU19/(INDEX('Standards for Conversions'!$H$47:$H$73,MATCH(KT$3,'Standards for Conversions'!$A$47:$A$73,0)))=0,"",KU19/(INDEX('Standards for Conversions'!$H$47:$H$73,MATCH(KT$3,'Standards for Conversions'!$A$47:$A$73,0))))</f>
        <v/>
      </c>
      <c r="KW19" s="33" t="s">
        <v>98</v>
      </c>
      <c r="KZ19" s="31" t="str">
        <f>IF(KY19/(INDEX('Standards for Conversions'!$H$47:$H$73,MATCH(KX$3,'Standards for Conversions'!$A$47:$A$73,0)))=0,"",KY19/(INDEX('Standards for Conversions'!$H$47:$H$73,MATCH(KX$3,'Standards for Conversions'!$A$47:$A$73,0))))</f>
        <v/>
      </c>
      <c r="LA19" s="33" t="s">
        <v>98</v>
      </c>
      <c r="LB19" s="33">
        <v>2389.5</v>
      </c>
      <c r="LC19" s="33">
        <v>3430</v>
      </c>
      <c r="LD19" s="31">
        <f>IF(LC19/(INDEX('Standards for Conversions'!$H$47:$H$73,MATCH(LB$3,'Standards for Conversions'!$A$47:$A$73,0)))=0,"",LC19/(INDEX('Standards for Conversions'!$H$47:$H$73,MATCH(LB$3,'Standards for Conversions'!$A$47:$A$73,0))))</f>
        <v>417.14482387532217</v>
      </c>
      <c r="LH19" s="31" t="str">
        <f>IF(LG19/(INDEX('Standards for Conversions'!$H$47:$H$73,MATCH(LF$3,'Standards for Conversions'!$A$47:$A$73,0)))=0,"",LG19/(INDEX('Standards for Conversions'!$H$47:$H$73,MATCH(LF$3,'Standards for Conversions'!$A$47:$A$73,0))))</f>
        <v/>
      </c>
      <c r="LL19" s="31" t="str">
        <f>IF(LK19/(INDEX('Standards for Conversions'!$H$47:$H$73,MATCH(LJ$3,'Standards for Conversions'!$A$47:$A$73,0)))=0,"",LK19/(INDEX('Standards for Conversions'!$H$47:$H$73,MATCH(LJ$3,'Standards for Conversions'!$A$47:$A$73,0))))</f>
        <v/>
      </c>
      <c r="LO19" s="31" t="str">
        <f>IF(LN19/(INDEX('Standards for Conversions'!$H$47:$H$73,MATCH(LM$3,'Standards for Conversions'!$A$47:$A$73,0)))=0,"",LN19/(INDEX('Standards for Conversions'!$H$47:$H$73,MATCH(LM$3,'Standards for Conversions'!$A$47:$A$73,0))))</f>
        <v/>
      </c>
      <c r="LR19" s="31" t="str">
        <f>IF(LQ19/(INDEX('Standards for Conversions'!$H$47:$H$73,MATCH(LP$3,'Standards for Conversions'!$A$47:$A$73,0)))=0,"",LQ19/(INDEX('Standards for Conversions'!$H$47:$H$73,MATCH(LP$3,'Standards for Conversions'!$A$47:$A$73,0))))</f>
        <v/>
      </c>
      <c r="LV19" s="31" t="str">
        <f>IF(LU19/(INDEX('Standards for Conversions'!$H$47:$H$73,MATCH(LT$3,'Standards for Conversions'!$A$47:$A$73,0)))=0,"",LU19/(INDEX('Standards for Conversions'!$H$47:$H$73,MATCH(LT$3,'Standards for Conversions'!$A$47:$A$73,0))))</f>
        <v/>
      </c>
      <c r="LY19" s="31" t="str">
        <f>IF(LX19/(INDEX('Standards for Conversions'!$H$47:$H$73,MATCH(LW$3,'Standards for Conversions'!$A$47:$A$73,0)))=0,"",LX19/(INDEX('Standards for Conversions'!$H$47:$H$73,MATCH(LW$3,'Standards for Conversions'!$A$47:$A$73,0))))</f>
        <v/>
      </c>
      <c r="MB19" s="31" t="str">
        <f>IF(MA19/(INDEX('Standards for Conversions'!$H$47:$H$73,MATCH(LZ$3,'Standards for Conversions'!$A$47:$A$73,0)))=0,"",MA19/(INDEX('Standards for Conversions'!$H$47:$H$73,MATCH(LZ$3,'Standards for Conversions'!$A$47:$A$73,0))))</f>
        <v/>
      </c>
      <c r="ME19" s="31" t="str">
        <f>IF(MD19/(INDEX('Standards for Conversions'!$H$47:$H$73,MATCH(MC$3,'Standards for Conversions'!$A$47:$A$73,0)))=0,"",MD19/(INDEX('Standards for Conversions'!$H$47:$H$73,MATCH(MC$3,'Standards for Conversions'!$A$47:$A$73,0))))</f>
        <v/>
      </c>
      <c r="MH19" s="31" t="str">
        <f>IF(MG19/(INDEX('Standards for Conversions'!$H$47:$H$73,MATCH(MF$3,'Standards for Conversions'!$A$47:$A$73,0)))=0,"",MG19/(INDEX('Standards for Conversions'!$H$47:$H$73,MATCH(MF$3,'Standards for Conversions'!$A$47:$A$73,0))))</f>
        <v/>
      </c>
      <c r="MK19" s="31" t="str">
        <f>IF(MJ19/(INDEX('Standards for Conversions'!$H$47:$H$73,MATCH(MI$3,'Standards for Conversions'!$A$47:$A$73,0)))=0,"",MJ19/(INDEX('Standards for Conversions'!$H$47:$H$73,MATCH(MI$3,'Standards for Conversions'!$A$47:$A$73,0))))</f>
        <v/>
      </c>
      <c r="MN19" s="31" t="str">
        <f>IF(MM19/(INDEX('Standards for Conversions'!$H$47:$H$73,MATCH(ML$3,'Standards for Conversions'!$A$47:$A$73,0)))=0,"",MM19/(INDEX('Standards for Conversions'!$H$47:$H$73,MATCH(ML$3,'Standards for Conversions'!$A$47:$A$73,0))))</f>
        <v/>
      </c>
      <c r="MR19" s="31" t="str">
        <f>IF(MQ19/(INDEX('Standards for Conversions'!$H$47:$H$73,MATCH(MP$3,'Standards for Conversions'!$A$47:$A$73,0)))=0,"",MQ19/(INDEX('Standards for Conversions'!$H$47:$H$73,MATCH(MP$3,'Standards for Conversions'!$A$47:$A$73,0))))</f>
        <v/>
      </c>
    </row>
    <row r="20" spans="1:373" s="33" customFormat="1" x14ac:dyDescent="0.3">
      <c r="A20" s="102" t="s">
        <v>157</v>
      </c>
      <c r="B20" s="10" t="s">
        <v>399</v>
      </c>
      <c r="C20" s="7"/>
      <c r="D20" s="7"/>
      <c r="E20" s="31" t="str">
        <f>IF(D20/(INDEX('Standards for Conversions'!$H$34:$H$73,MATCH(C$3,'Standards for Conversions'!$A$34:$A$73,0)))=0,"",D20/(INDEX('Standards for Conversions'!$H$34:$H$73,MATCH(C$3,'Standards for Conversions'!$A$34:$A$73,0))))</f>
        <v/>
      </c>
      <c r="F20" s="10" t="s">
        <v>399</v>
      </c>
      <c r="G20" s="7"/>
      <c r="H20" s="7"/>
      <c r="I20" s="31" t="str">
        <f>IF(H20/(INDEX('Standards for Conversions'!$H$34:$H$73,MATCH(G$3,'Standards for Conversions'!$A$34:$A$73,0)))=0,"",H20/(INDEX('Standards for Conversions'!$H$34:$H$73,MATCH(G$3,'Standards for Conversions'!$A$34:$A$73,0))))</f>
        <v/>
      </c>
      <c r="J20" s="6" t="s">
        <v>374</v>
      </c>
      <c r="K20" s="9">
        <v>324</v>
      </c>
      <c r="L20" s="9">
        <v>4000</v>
      </c>
      <c r="M20" s="31">
        <f>IF(L20/(INDEX('Standards for Conversions'!$H$34:$H$73,MATCH(K$3,'Standards for Conversions'!$A$34:$A$73,0)))=0,"",L20/(INDEX('Standards for Conversions'!$H$34:$H$73,MATCH(K$3,'Standards for Conversions'!$A$34:$A$73,0))))</f>
        <v>790.16891891891885</v>
      </c>
      <c r="N20" s="10" t="s">
        <v>399</v>
      </c>
      <c r="O20" s="7"/>
      <c r="P20" s="7"/>
      <c r="Q20" s="31" t="str">
        <f>IF(P20/(INDEX('Standards for Conversions'!$H$34:$H$73,MATCH(O$3,'Standards for Conversions'!$A$34:$A$73,0)))=0,"",P20/(INDEX('Standards for Conversions'!$H$34:$H$73,MATCH(O$3,'Standards for Conversions'!$A$34:$A$73,0))))</f>
        <v/>
      </c>
      <c r="R20" s="10" t="s">
        <v>399</v>
      </c>
      <c r="S20" s="7"/>
      <c r="T20" s="7"/>
      <c r="U20" s="31" t="str">
        <f>IF(T20/(INDEX('Standards for Conversions'!$H$34:$H$73,MATCH(S$3,'Standards for Conversions'!$A$34:$A$73,0)))=0,"",T20/(INDEX('Standards for Conversions'!$H$34:$H$73,MATCH(S$3,'Standards for Conversions'!$A$34:$A$73,0))))</f>
        <v/>
      </c>
      <c r="V20" s="10" t="s">
        <v>399</v>
      </c>
      <c r="W20" s="7"/>
      <c r="X20" s="7"/>
      <c r="Y20" s="31" t="str">
        <f>IF(X20/(INDEX('Standards for Conversions'!$H$34:$H$73,MATCH(W$3,'Standards for Conversions'!$A$34:$A$73,0)))=0,"",X20/(INDEX('Standards for Conversions'!$H$34:$H$73,MATCH(W$3,'Standards for Conversions'!$A$34:$A$73,0))))</f>
        <v/>
      </c>
      <c r="Z20" s="6" t="s">
        <v>374</v>
      </c>
      <c r="AA20" s="9">
        <v>350</v>
      </c>
      <c r="AB20" s="9">
        <v>5500</v>
      </c>
      <c r="AC20" s="31">
        <f>IF(AB20/(INDEX('Standards for Conversions'!$H$34:$H$73,MATCH(AA$3,'Standards for Conversions'!$A$34:$A$73,0)))=0,"",AB20/(INDEX('Standards for Conversions'!$H$34:$H$73,MATCH(AA$3,'Standards for Conversions'!$A$34:$A$73,0))))</f>
        <v>1059.698670736653</v>
      </c>
      <c r="AD20" s="10" t="s">
        <v>399</v>
      </c>
      <c r="AE20" s="7"/>
      <c r="AF20" s="7"/>
      <c r="AG20" s="31" t="str">
        <f>IF(AF20/(INDEX('Standards for Conversions'!$H$34:$H$73,MATCH(AE$3,'Standards for Conversions'!$A$34:$A$73,0)))=0,"",AF20/(INDEX('Standards for Conversions'!$H$34:$H$73,MATCH(AE$3,'Standards for Conversions'!$A$34:$A$73,0))))</f>
        <v/>
      </c>
      <c r="AH20" s="10" t="s">
        <v>399</v>
      </c>
      <c r="AI20" s="7"/>
      <c r="AJ20" s="7"/>
      <c r="AK20" s="31" t="str">
        <f>IF(AJ20/(INDEX('Standards for Conversions'!$H$34:$H$73,MATCH(AI$3,'Standards for Conversions'!$A$34:$A$73,0)))=0,"",AJ20/(INDEX('Standards for Conversions'!$H$34:$H$73,MATCH(AI$3,'Standards for Conversions'!$A$34:$A$73,0))))</f>
        <v/>
      </c>
      <c r="AL20" s="10" t="s">
        <v>399</v>
      </c>
      <c r="AM20" s="7"/>
      <c r="AN20" s="7"/>
      <c r="AO20" s="31" t="str">
        <f>IF(AN20/(INDEX('Standards for Conversions'!$H$34:$H$73,MATCH(AM$3,'Standards for Conversions'!$A$34:$A$73,0)))=0,"",AN20/(INDEX('Standards for Conversions'!$H$34:$H$73,MATCH(AM$3,'Standards for Conversions'!$A$34:$A$73,0))))</f>
        <v/>
      </c>
      <c r="AP20" s="6" t="s">
        <v>374</v>
      </c>
      <c r="AQ20" s="9">
        <v>100</v>
      </c>
      <c r="AR20" s="9">
        <v>2000</v>
      </c>
      <c r="AS20" s="31">
        <f>IF(AR20/(INDEX('Standards for Conversions'!$H$34:$H$73,MATCH(AQ$3,'Standards for Conversions'!$A$34:$A$73,0)))=0,"",AR20/(INDEX('Standards for Conversions'!$H$34:$H$73,MATCH(AQ$3,'Standards for Conversions'!$A$34:$A$73,0))))</f>
        <v>357.39687436632767</v>
      </c>
      <c r="AT20" s="10" t="s">
        <v>399</v>
      </c>
      <c r="AU20" s="7"/>
      <c r="AV20" s="7"/>
      <c r="AW20" s="31" t="str">
        <f>IF(AV20/(INDEX('Standards for Conversions'!$H$34:$H$73,MATCH(AU$3,'Standards for Conversions'!$A$34:$A$73,0)))=0,"",AV20/(INDEX('Standards for Conversions'!$H$34:$H$73,MATCH(AU$3,'Standards for Conversions'!$A$34:$A$73,0))))</f>
        <v/>
      </c>
      <c r="AX20" s="10" t="s">
        <v>399</v>
      </c>
      <c r="AY20" s="7"/>
      <c r="AZ20" s="7"/>
      <c r="BA20" s="31" t="str">
        <f>IF(AZ20/(INDEX('Standards for Conversions'!$H$34:$H$73,MATCH(AY$3,'Standards for Conversions'!$A$34:$A$73,0)))=0,"",AZ20/(INDEX('Standards for Conversions'!$H$34:$H$73,MATCH(AY$3,'Standards for Conversions'!$A$34:$A$73,0))))</f>
        <v/>
      </c>
      <c r="BB20" s="10" t="s">
        <v>399</v>
      </c>
      <c r="BC20" s="7"/>
      <c r="BD20" s="7"/>
      <c r="BE20" s="31" t="str">
        <f>IF(BD20/(INDEX('Standards for Conversions'!$H$34:$H$73,MATCH(BC$3,'Standards for Conversions'!$A$34:$A$73,0)))=0,"",BD20/(INDEX('Standards for Conversions'!$H$34:$H$73,MATCH(BC$3,'Standards for Conversions'!$A$34:$A$73,0))))</f>
        <v/>
      </c>
      <c r="BF20" s="6" t="s">
        <v>374</v>
      </c>
      <c r="BG20" s="9">
        <v>100</v>
      </c>
      <c r="BH20" s="9">
        <v>3000</v>
      </c>
      <c r="BI20" s="31">
        <f>IF(BH20/(INDEX('Standards for Conversions'!$H$34:$H$73,MATCH(BG$3,'Standards for Conversions'!$A$34:$A$73,0)))=0,"",BH20/(INDEX('Standards for Conversions'!$H$34:$H$73,MATCH(BG$3,'Standards for Conversions'!$A$34:$A$73,0))))</f>
        <v>557.05638415746932</v>
      </c>
      <c r="BJ20" s="10" t="s">
        <v>399</v>
      </c>
      <c r="BK20" s="7"/>
      <c r="BL20" s="7"/>
      <c r="BM20" s="31" t="str">
        <f>IF(BL20/(INDEX('Standards for Conversions'!$H$34:$H$73,MATCH(BK$3,'Standards for Conversions'!$A$34:$A$73,0)))=0,"",BL20/(INDEX('Standards for Conversions'!$H$34:$H$73,MATCH(BK$3,'Standards for Conversions'!$A$34:$A$73,0))))</f>
        <v/>
      </c>
      <c r="BN20" s="10" t="s">
        <v>399</v>
      </c>
      <c r="BO20" s="7"/>
      <c r="BP20" s="7"/>
      <c r="BQ20" s="31" t="str">
        <f>IF(BP20/(INDEX('Standards for Conversions'!$H$34:$H$73,MATCH(BO$3,'Standards for Conversions'!$A$34:$A$73,0)))=0,"",BP20/(INDEX('Standards for Conversions'!$H$34:$H$73,MATCH(BO$3,'Standards for Conversions'!$A$34:$A$73,0))))</f>
        <v/>
      </c>
      <c r="BR20" s="10" t="s">
        <v>399</v>
      </c>
      <c r="BS20" s="7"/>
      <c r="BT20" s="7"/>
      <c r="BU20" s="31" t="str">
        <f>IF(BT20/(INDEX('Standards for Conversions'!$H$34:$H$73,MATCH(BS$3,'Standards for Conversions'!$A$34:$A$73,0)))=0,"",BT20/(INDEX('Standards for Conversions'!$H$34:$H$73,MATCH(BS$3,'Standards for Conversions'!$A$34:$A$73,0))))</f>
        <v/>
      </c>
      <c r="BV20" s="6" t="s">
        <v>374</v>
      </c>
      <c r="BW20" s="9">
        <v>40</v>
      </c>
      <c r="BX20" s="9">
        <v>1200</v>
      </c>
      <c r="BY20" s="31">
        <f>IF(BX20/(INDEX('Standards for Conversions'!$H$34:$H$73,MATCH(BW$3,'Standards for Conversions'!$A$34:$A$73,0)))=0,"",BX20/(INDEX('Standards for Conversions'!$H$34:$H$73,MATCH(BW$3,'Standards for Conversions'!$A$34:$A$73,0))))</f>
        <v>213.67590379768833</v>
      </c>
      <c r="BZ20" s="10" t="s">
        <v>399</v>
      </c>
      <c r="CA20" s="7"/>
      <c r="CB20" s="7"/>
      <c r="CC20" s="31" t="str">
        <f>IF(CB20/(INDEX('Standards for Conversions'!$H$34:$H$73,MATCH(CA$3,'Standards for Conversions'!$A$34:$A$73,0)))=0,"",CB20/(INDEX('Standards for Conversions'!$H$34:$H$73,MATCH(CA$3,'Standards for Conversions'!$A$34:$A$73,0))))</f>
        <v/>
      </c>
      <c r="CD20" s="10" t="s">
        <v>399</v>
      </c>
      <c r="CE20" s="7"/>
      <c r="CF20" s="7"/>
      <c r="CG20" s="31" t="str">
        <f>IF(CF20/(INDEX('Standards for Conversions'!$H$34:$H$73,MATCH(CE$3,'Standards for Conversions'!$A$34:$A$73,0)))=0,"",CF20/(INDEX('Standards for Conversions'!$H$34:$H$73,MATCH(CE$3,'Standards for Conversions'!$A$34:$A$73,0))))</f>
        <v/>
      </c>
      <c r="CH20" s="10" t="s">
        <v>399</v>
      </c>
      <c r="CI20" s="7"/>
      <c r="CJ20" s="7"/>
      <c r="CK20" s="31" t="str">
        <f>IF(CJ20/(INDEX('Standards for Conversions'!$H$34:$H$73,MATCH(CI$3,'Standards for Conversions'!$A$34:$A$73,0)))=0,"",CJ20/(INDEX('Standards for Conversions'!$H$34:$H$73,MATCH(CI$3,'Standards for Conversions'!$A$34:$A$73,0))))</f>
        <v/>
      </c>
      <c r="CL20" s="6" t="s">
        <v>374</v>
      </c>
      <c r="CM20" s="9">
        <v>50</v>
      </c>
      <c r="CN20" s="9">
        <v>1500</v>
      </c>
      <c r="CO20" s="31">
        <f>IF(CN20/(INDEX('Standards for Conversions'!$H$34:$H$73,MATCH(CM$3,'Standards for Conversions'!$A$34:$A$73,0)))=0,"",CN20/(INDEX('Standards for Conversions'!$H$34:$H$73,MATCH(CM$3,'Standards for Conversions'!$A$34:$A$73,0))))</f>
        <v>260.42544755366299</v>
      </c>
      <c r="CP20" s="10" t="s">
        <v>399</v>
      </c>
      <c r="CQ20" s="7"/>
      <c r="CR20" s="7"/>
      <c r="CS20" s="31" t="str">
        <f>IF(CR20/(INDEX('Standards for Conversions'!$H$34:$H$73,MATCH(CQ$3,'Standards for Conversions'!$A$34:$A$73,0)))=0,"",CR20/(INDEX('Standards for Conversions'!$H$34:$H$73,MATCH(CQ$3,'Standards for Conversions'!$A$34:$A$73,0))))</f>
        <v/>
      </c>
      <c r="CT20" s="10" t="s">
        <v>399</v>
      </c>
      <c r="CU20" s="7"/>
      <c r="CV20" s="7"/>
      <c r="CW20" s="31" t="str">
        <f>IF(CV20/(INDEX('Standards for Conversions'!$H$34:$H$73,MATCH(CU$3,'Standards for Conversions'!$A$34:$A$73,0)))=0,"",CV20/(INDEX('Standards for Conversions'!$H$34:$H$73,MATCH(CU$3,'Standards for Conversions'!$A$34:$A$73,0))))</f>
        <v/>
      </c>
      <c r="CX20" s="10" t="s">
        <v>399</v>
      </c>
      <c r="CY20" s="7"/>
      <c r="CZ20" s="7"/>
      <c r="DA20" s="31" t="str">
        <f>IF(CZ20/(INDEX('Standards for Conversions'!$H$34:$H$73,MATCH(CY$3,'Standards for Conversions'!$A$34:$A$73,0)))=0,"",CZ20/(INDEX('Standards for Conversions'!$H$34:$H$73,MATCH(CY$3,'Standards for Conversions'!$A$34:$A$73,0))))</f>
        <v/>
      </c>
      <c r="DB20" s="10" t="s">
        <v>399</v>
      </c>
      <c r="DC20" s="9"/>
      <c r="DD20" s="9"/>
      <c r="DE20" s="31" t="str">
        <f>IF(DD20/(INDEX('Standards for Conversions'!$H$34:$H$73,MATCH(DC$3,'Standards for Conversions'!$A$34:$A$73,0)))=0,"",DD20/(INDEX('Standards for Conversions'!$H$34:$H$73,MATCH(DC$3,'Standards for Conversions'!$A$34:$A$73,0))))</f>
        <v/>
      </c>
      <c r="DF20" s="10" t="s">
        <v>399</v>
      </c>
      <c r="DG20" s="7"/>
      <c r="DH20" s="7"/>
      <c r="DI20" s="31" t="str">
        <f>IF(DH20/(INDEX('Standards for Conversions'!$H$34:$H$73,MATCH(DG$3,'Standards for Conversions'!$A$34:$A$73,0)))=0,"",DH20/(INDEX('Standards for Conversions'!$H$34:$H$73,MATCH(DG$3,'Standards for Conversions'!$A$34:$A$73,0))))</f>
        <v/>
      </c>
      <c r="DJ20" s="10" t="s">
        <v>399</v>
      </c>
      <c r="DK20" s="7"/>
      <c r="DL20" s="7"/>
      <c r="DM20" s="31" t="str">
        <f>IF(DL20/(INDEX('Standards for Conversions'!$H$34:$H$73,MATCH(DK$3,'Standards for Conversions'!$A$34:$A$73,0)))=0,"",DL20/(INDEX('Standards for Conversions'!$H$34:$H$73,MATCH(DK$3,'Standards for Conversions'!$A$34:$A$73,0))))</f>
        <v/>
      </c>
      <c r="DN20" s="10" t="s">
        <v>399</v>
      </c>
      <c r="DO20" s="7"/>
      <c r="DP20" s="7"/>
      <c r="DQ20" s="31" t="str">
        <f>IF(DP20/(INDEX('Standards for Conversions'!$H$34:$H$73,MATCH(DO$3,'Standards for Conversions'!$A$34:$A$73,0)))=0,"",DP20/(INDEX('Standards for Conversions'!$H$34:$H$73,MATCH(DO$3,'Standards for Conversions'!$A$34:$A$73,0))))</f>
        <v/>
      </c>
      <c r="DR20" s="10" t="s">
        <v>399</v>
      </c>
      <c r="DS20" s="9">
        <f>1.63*700</f>
        <v>1141</v>
      </c>
      <c r="DT20" s="9">
        <v>1400</v>
      </c>
      <c r="DU20" s="31">
        <f>IF(DT20/(INDEX('Standards for Conversions'!$H$34:$H$73,MATCH(DS$3,'Standards for Conversions'!$A$34:$A$73,0)))=0,"",DT20/(INDEX('Standards for Conversions'!$H$34:$H$73,MATCH(DS$3,'Standards for Conversions'!$A$34:$A$73,0))))</f>
        <v>245.13868551026911</v>
      </c>
      <c r="DV20" s="10" t="s">
        <v>399</v>
      </c>
      <c r="DW20" s="7"/>
      <c r="DX20" s="7"/>
      <c r="DY20" s="31" t="str">
        <f>IF(DX20/(INDEX('Standards for Conversions'!$H$34:$H$73,MATCH(DW$3,'Standards for Conversions'!$A$34:$A$73,0)))=0,"",DX20/(INDEX('Standards for Conversions'!$H$34:$H$73,MATCH(DW$3,'Standards for Conversions'!$A$34:$A$73,0))))</f>
        <v/>
      </c>
      <c r="DZ20" s="10" t="s">
        <v>399</v>
      </c>
      <c r="EA20" s="7"/>
      <c r="EB20" s="7"/>
      <c r="EC20" s="31" t="str">
        <f>IF(EB20/(INDEX('Standards for Conversions'!$H$34:$H$73,MATCH(EA$3,'Standards for Conversions'!$A$34:$A$73,0)))=0,"",EB20/(INDEX('Standards for Conversions'!$H$34:$H$73,MATCH(EA$3,'Standards for Conversions'!$A$34:$A$73,0))))</f>
        <v/>
      </c>
      <c r="ED20" s="10" t="s">
        <v>399</v>
      </c>
      <c r="EE20" s="7"/>
      <c r="EF20" s="7"/>
      <c r="EG20" s="31" t="str">
        <f>IF(EF20/(INDEX('Standards for Conversions'!$H$34:$H$73,MATCH(EE$3,'Standards for Conversions'!$A$34:$A$73,0)))=0,"",EF20/(INDEX('Standards for Conversions'!$H$34:$H$73,MATCH(EE$3,'Standards for Conversions'!$A$34:$A$73,0))))</f>
        <v/>
      </c>
      <c r="EH20" s="10" t="s">
        <v>399</v>
      </c>
      <c r="EI20" s="9">
        <f>1.63*311</f>
        <v>506.92999999999995</v>
      </c>
      <c r="EJ20" s="9">
        <v>830</v>
      </c>
      <c r="EK20" s="31">
        <f>IF(EJ20/(INDEX('Standards for Conversions'!$H$34:$H$73,MATCH(EI$3,'Standards for Conversions'!$A$34:$A$73,0)))=0,"",EJ20/(INDEX('Standards for Conversions'!$H$34:$H$73,MATCH(EI$3,'Standards for Conversions'!$A$34:$A$73,0))))</f>
        <v>145.15648645027662</v>
      </c>
      <c r="EL20" s="10" t="s">
        <v>399</v>
      </c>
      <c r="EM20" s="7"/>
      <c r="EN20" s="7"/>
      <c r="EO20" s="31" t="str">
        <f>IF(EN20/(INDEX('Standards for Conversions'!$H$34:$H$73,MATCH(EM$3,'Standards for Conversions'!$A$34:$A$73,0)))=0,"",EN20/(INDEX('Standards for Conversions'!$H$34:$H$73,MATCH(EM$3,'Standards for Conversions'!$A$34:$A$73,0))))</f>
        <v/>
      </c>
      <c r="EP20" s="10" t="s">
        <v>399</v>
      </c>
      <c r="EQ20" s="7"/>
      <c r="ER20" s="7"/>
      <c r="ES20" s="31" t="str">
        <f>IF(ER20/(INDEX('Standards for Conversions'!$H$34:$H$73,MATCH(EQ$3,'Standards for Conversions'!$A$34:$A$73,0)))=0,"",ER20/(INDEX('Standards for Conversions'!$H$34:$H$73,MATCH(EQ$3,'Standards for Conversions'!$A$34:$A$73,0))))</f>
        <v/>
      </c>
      <c r="ET20" s="10" t="s">
        <v>399</v>
      </c>
      <c r="EU20" s="7"/>
      <c r="EV20" s="7"/>
      <c r="EW20" s="31" t="str">
        <f>IF(EV20/(INDEX('Standards for Conversions'!$H$34:$H$73,MATCH(EU$3,'Standards for Conversions'!$A$34:$A$73,0)))=0,"",EV20/(INDEX('Standards for Conversions'!$H$34:$H$73,MATCH(EU$3,'Standards for Conversions'!$A$34:$A$73,0))))</f>
        <v/>
      </c>
      <c r="EX20" s="10" t="s">
        <v>399</v>
      </c>
      <c r="EY20" s="9">
        <f>1.63*845</f>
        <v>1377.35</v>
      </c>
      <c r="EZ20" s="9">
        <v>2515</v>
      </c>
      <c r="FA20" s="31">
        <f>IF(EZ20/(INDEX('Standards for Conversions'!$H$34:$H$73,MATCH(EY$3,'Standards for Conversions'!$A$34:$A$73,0)))=0,"",EZ20/(INDEX('Standards for Conversions'!$H$34:$H$73,MATCH(EY$3,'Standards for Conversions'!$A$34:$A$73,0))))</f>
        <v>430.78921177507885</v>
      </c>
      <c r="FB20" s="10" t="s">
        <v>399</v>
      </c>
      <c r="FC20" s="7"/>
      <c r="FD20" s="7"/>
      <c r="FE20" s="31" t="str">
        <f>IF(FD20/(INDEX('Standards for Conversions'!$H$34:$H$73,MATCH(FC$3,'Standards for Conversions'!$A$34:$A$73,0)))=0,"",FD20/(INDEX('Standards for Conversions'!$H$34:$H$73,MATCH(FC$3,'Standards for Conversions'!$A$34:$A$73,0))))</f>
        <v/>
      </c>
      <c r="FF20" s="10" t="s">
        <v>399</v>
      </c>
      <c r="FG20" s="7"/>
      <c r="FH20" s="7"/>
      <c r="FI20" s="31" t="str">
        <f>IF(FH20/(INDEX('Standards for Conversions'!$H$34:$H$73,MATCH(FG$3,'Standards for Conversions'!$A$34:$A$73,0)))=0,"",FH20/(INDEX('Standards for Conversions'!$H$34:$H$73,MATCH(FG$3,'Standards for Conversions'!$A$34:$A$73,0))))</f>
        <v/>
      </c>
      <c r="FJ20" s="10" t="s">
        <v>399</v>
      </c>
      <c r="FK20" s="7"/>
      <c r="FL20" s="7"/>
      <c r="FM20" s="31" t="str">
        <f>IF(FL20/(INDEX('Standards for Conversions'!$H$34:$H$73,MATCH(FK$3,'Standards for Conversions'!$A$34:$A$73,0)))=0,"",FL20/(INDEX('Standards for Conversions'!$H$34:$H$73,MATCH(FK$3,'Standards for Conversions'!$A$34:$A$73,0))))</f>
        <v/>
      </c>
      <c r="FN20" s="10" t="s">
        <v>399</v>
      </c>
      <c r="FO20" s="9">
        <f>1.63*900</f>
        <v>1467</v>
      </c>
      <c r="FP20" s="9">
        <v>2700</v>
      </c>
      <c r="FQ20" s="31">
        <f>IF(FP20/(INDEX('Standards for Conversions'!$H$34:$H$73,MATCH(FO$3,'Standards for Conversions'!$A$34:$A$73,0)))=0,"",FP20/(INDEX('Standards for Conversions'!$H$34:$H$73,MATCH(FO$3,'Standards for Conversions'!$A$34:$A$73,0))))</f>
        <v>463.0491494307812</v>
      </c>
      <c r="FR20" s="10" t="s">
        <v>399</v>
      </c>
      <c r="FS20" s="7"/>
      <c r="FT20" s="7"/>
      <c r="FU20" s="31" t="str">
        <f>IF(FT20/(INDEX('Standards for Conversions'!$H$34:$H$73,MATCH(FS$3,'Standards for Conversions'!$A$34:$A$73,0)))=0,"",FT20/(INDEX('Standards for Conversions'!$H$34:$H$73,MATCH(FS$3,'Standards for Conversions'!$A$34:$A$73,0))))</f>
        <v/>
      </c>
      <c r="FV20" s="10" t="s">
        <v>399</v>
      </c>
      <c r="FW20" s="7"/>
      <c r="FX20" s="7"/>
      <c r="FY20" s="31" t="str">
        <f>IF(FX20/(INDEX('Standards for Conversions'!$H$34:$H$73,MATCH(FW$3,'Standards for Conversions'!$A$34:$A$73,0)))=0,"",FX20/(INDEX('Standards for Conversions'!$H$34:$H$73,MATCH(FW$3,'Standards for Conversions'!$A$34:$A$73,0))))</f>
        <v/>
      </c>
      <c r="FZ20" s="10" t="s">
        <v>399</v>
      </c>
      <c r="GA20" s="7"/>
      <c r="GB20" s="7"/>
      <c r="GC20" s="31" t="str">
        <f>IF(GB20/(INDEX('Standards for Conversions'!$H$34:$H$73,MATCH(GA$3,'Standards for Conversions'!$A$34:$A$73,0)))=0,"",GB20/(INDEX('Standards for Conversions'!$H$34:$H$73,MATCH(GA$3,'Standards for Conversions'!$A$34:$A$73,0))))</f>
        <v/>
      </c>
      <c r="GD20" s="10" t="s">
        <v>399</v>
      </c>
      <c r="GE20" s="9">
        <f>1.63*250</f>
        <v>407.5</v>
      </c>
      <c r="GF20" s="9">
        <v>750</v>
      </c>
      <c r="GG20" s="31">
        <f>IF(GF20/(INDEX('Standards for Conversions'!$H$34:$H$73,MATCH(GE$3,'Standards for Conversions'!$A$34:$A$73,0)))=0,"",GF20/(INDEX('Standards for Conversions'!$H$34:$H$73,MATCH(GE$3,'Standards for Conversions'!$A$34:$A$73,0))))</f>
        <v>123.38449557877813</v>
      </c>
      <c r="GH20" s="10" t="s">
        <v>399</v>
      </c>
      <c r="GI20" s="7"/>
      <c r="GJ20" s="7"/>
      <c r="GK20" s="31" t="str">
        <f>IF(GJ20/(INDEX('Standards for Conversions'!$H$34:$H$73,MATCH(GI$3,'Standards for Conversions'!$A$34:$A$73,0)))=0,"",GJ20/(INDEX('Standards for Conversions'!$H$34:$H$73,MATCH(GI$3,'Standards for Conversions'!$A$34:$A$73,0))))</f>
        <v/>
      </c>
      <c r="GL20" s="10" t="s">
        <v>399</v>
      </c>
      <c r="GM20" s="7"/>
      <c r="GN20" s="7"/>
      <c r="GO20" s="31" t="str">
        <f>IF(GN20/(INDEX('Standards for Conversions'!$H$34:$H$73,MATCH(GM$3,'Standards for Conversions'!$A$34:$A$73,0)))=0,"",GN20/(INDEX('Standards for Conversions'!$H$34:$H$73,MATCH(GM$3,'Standards for Conversions'!$A$34:$A$73,0))))</f>
        <v/>
      </c>
      <c r="GP20" s="10" t="s">
        <v>399</v>
      </c>
      <c r="GQ20" s="7"/>
      <c r="GR20" s="7"/>
      <c r="GS20" s="31" t="str">
        <f>IF(GR20/(INDEX('Standards for Conversions'!$H$34:$H$73,MATCH(GQ$3,'Standards for Conversions'!$A$34:$A$73,0)))=0,"",GR20/(INDEX('Standards for Conversions'!$H$34:$H$73,MATCH(GQ$3,'Standards for Conversions'!$A$34:$A$73,0))))</f>
        <v/>
      </c>
      <c r="GT20" s="10" t="s">
        <v>399</v>
      </c>
      <c r="GU20" s="9">
        <f>1.63*125</f>
        <v>203.75</v>
      </c>
      <c r="GV20" s="9">
        <v>500</v>
      </c>
      <c r="GW20" s="31">
        <f>IF(GV20/(INDEX('Standards for Conversions'!$H$34:$H$73,MATCH(GU$3,'Standards for Conversions'!$A$34:$A$73,0)))=0,"",GV20/(INDEX('Standards for Conversions'!$H$34:$H$73,MATCH(GU$3,'Standards for Conversions'!$A$34:$A$73,0))))</f>
        <v>76.857266229251763</v>
      </c>
      <c r="GX20" s="10" t="s">
        <v>399</v>
      </c>
      <c r="GY20" s="7"/>
      <c r="GZ20" s="7"/>
      <c r="HA20" s="31" t="str">
        <f>IF(GZ20/(INDEX('Standards for Conversions'!$H$34:$H$73,MATCH(GY$3,'Standards for Conversions'!$A$34:$A$73,0)))=0,"",GZ20/(INDEX('Standards for Conversions'!$H$34:$H$73,MATCH(GY$3,'Standards for Conversions'!$A$34:$A$73,0))))</f>
        <v/>
      </c>
      <c r="HB20" s="10" t="s">
        <v>399</v>
      </c>
      <c r="HC20" s="7"/>
      <c r="HD20" s="7"/>
      <c r="HE20" s="31" t="str">
        <f>IF(HD20/(INDEX('Standards for Conversions'!$H$34:$H$73,MATCH(HC$3,'Standards for Conversions'!$A$34:$A$73,0)))=0,"",HD20/(INDEX('Standards for Conversions'!$H$34:$H$73,MATCH(HC$3,'Standards for Conversions'!$A$34:$A$73,0))))</f>
        <v/>
      </c>
      <c r="HF20" s="10" t="s">
        <v>399</v>
      </c>
      <c r="HG20" s="7"/>
      <c r="HH20" s="7"/>
      <c r="HI20" s="31" t="str">
        <f>IF(HH20/(INDEX('Standards for Conversions'!$H$34:$H$73,MATCH(HG$3,'Standards for Conversions'!$A$34:$A$73,0)))=0,"",HH20/(INDEX('Standards for Conversions'!$H$34:$H$73,MATCH(HG$3,'Standards for Conversions'!$A$34:$A$73,0))))</f>
        <v/>
      </c>
      <c r="HJ20" s="10" t="s">
        <v>399</v>
      </c>
      <c r="HK20" s="9">
        <f>1.63*300</f>
        <v>488.99999999999994</v>
      </c>
      <c r="HL20" s="9">
        <v>600</v>
      </c>
      <c r="HM20" s="31">
        <f>IF(HL20/(INDEX('Standards for Conversions'!$H$34:$H$73,MATCH(HK$3,'Standards for Conversions'!$A$34:$A$73,0)))=0,"",HL20/(INDEX('Standards for Conversions'!$H$34:$H$73,MATCH(HK$3,'Standards for Conversions'!$A$34:$A$73,0))))</f>
        <v>90.831314634570248</v>
      </c>
      <c r="HN20" s="10" t="s">
        <v>399</v>
      </c>
      <c r="HO20" s="7"/>
      <c r="HP20" s="7"/>
      <c r="HQ20" s="31" t="str">
        <f>IF(HP20/(INDEX('Standards for Conversions'!$H$34:$H$73,MATCH(HO$3,'Standards for Conversions'!$A$34:$A$73,0)))=0,"",HP20/(INDEX('Standards for Conversions'!$H$34:$H$73,MATCH(HO$3,'Standards for Conversions'!$A$34:$A$73,0))))</f>
        <v/>
      </c>
      <c r="HR20" s="33" t="s">
        <v>98</v>
      </c>
      <c r="HU20" s="31" t="str">
        <f>IF(HT20/(INDEX('Standards for Conversions'!$H$47:$H$73,MATCH(HS$3,'Standards for Conversions'!$A$47:$A$73,0)))=0,"",HT20/(INDEX('Standards for Conversions'!$H$47:$H$73,MATCH(HS$3,'Standards for Conversions'!$A$47:$A$73,0))))</f>
        <v/>
      </c>
      <c r="HV20" s="33" t="s">
        <v>98</v>
      </c>
      <c r="HY20" s="31" t="str">
        <f>IF(HX20/(INDEX('Standards for Conversions'!$H$47:$H$73,MATCH(HW$3,'Standards for Conversions'!$A$47:$A$73,0)))=0,"",HX20/(INDEX('Standards for Conversions'!$H$47:$H$73,MATCH(HW$3,'Standards for Conversions'!$A$47:$A$73,0))))</f>
        <v/>
      </c>
      <c r="HZ20" s="33">
        <v>650</v>
      </c>
      <c r="IA20" s="33">
        <v>800</v>
      </c>
      <c r="IB20" s="31">
        <f>IF(IA20/(INDEX('Standards for Conversions'!$H$47:$H$73,MATCH(HZ$3,'Standards for Conversions'!$A$47:$A$73,0)))=0,"",IA20/(INDEX('Standards for Conversions'!$H$47:$H$73,MATCH(HZ$3,'Standards for Conversions'!$A$47:$A$73,0))))</f>
        <v>116.19632977028476</v>
      </c>
      <c r="IC20" s="33" t="s">
        <v>98</v>
      </c>
      <c r="IF20" s="31" t="str">
        <f>IF(IE20/(INDEX('Standards for Conversions'!$H$47:$H$73,MATCH(ID$3,'Standards for Conversions'!$A$47:$A$73,0)))=0,"",IE20/(INDEX('Standards for Conversions'!$H$47:$H$73,MATCH(ID$3,'Standards for Conversions'!$A$47:$A$73,0))))</f>
        <v/>
      </c>
      <c r="IG20" s="33" t="s">
        <v>98</v>
      </c>
      <c r="IJ20" s="31" t="str">
        <f>IF(II20/(INDEX('Standards for Conversions'!$H$47:$H$73,MATCH(IH$3,'Standards for Conversions'!$A$47:$A$73,0)))=0,"",II20/(INDEX('Standards for Conversions'!$H$47:$H$73,MATCH(IH$3,'Standards for Conversions'!$A$47:$A$73,0))))</f>
        <v/>
      </c>
      <c r="IK20" s="33" t="s">
        <v>98</v>
      </c>
      <c r="IN20" s="31" t="str">
        <f>IF(IM20/(INDEX('Standards for Conversions'!$H$47:$H$73,MATCH(IL$3,'Standards for Conversions'!$A$47:$A$73,0)))=0,"",IM20/(INDEX('Standards for Conversions'!$H$47:$H$73,MATCH(IL$3,'Standards for Conversions'!$A$47:$A$73,0))))</f>
        <v/>
      </c>
      <c r="IO20" s="33" t="s">
        <v>98</v>
      </c>
      <c r="IP20" s="33">
        <v>719.875</v>
      </c>
      <c r="IQ20" s="33">
        <v>2161</v>
      </c>
      <c r="IR20" s="31">
        <f>IF(IQ20/(INDEX('Standards for Conversions'!$H$47:$H$73,MATCH(IP$3,'Standards for Conversions'!$A$47:$A$73,0)))=0,"",IQ20/(INDEX('Standards for Conversions'!$H$47:$H$73,MATCH(IP$3,'Standards for Conversions'!$A$47:$A$73,0))))</f>
        <v>312.50270312816832</v>
      </c>
      <c r="IS20" s="33" t="s">
        <v>98</v>
      </c>
      <c r="IV20" s="31" t="str">
        <f>IF(IU20/(INDEX('Standards for Conversions'!$H$47:$H$73,MATCH(IT$3,'Standards for Conversions'!$A$47:$A$73,0)))=0,"",IU20/(INDEX('Standards for Conversions'!$H$47:$H$73,MATCH(IT$3,'Standards for Conversions'!$A$47:$A$73,0))))</f>
        <v/>
      </c>
      <c r="IW20" s="33" t="s">
        <v>98</v>
      </c>
      <c r="IZ20" s="31" t="str">
        <f>IF(IY20/(INDEX('Standards for Conversions'!$H$47:$H$73,MATCH(IX$3,'Standards for Conversions'!$A$47:$A$73,0)))=0,"",IY20/(INDEX('Standards for Conversions'!$H$47:$H$73,MATCH(IX$3,'Standards for Conversions'!$A$47:$A$73,0))))</f>
        <v/>
      </c>
      <c r="JA20" s="33" t="s">
        <v>98</v>
      </c>
      <c r="JD20" s="31" t="str">
        <f>IF(JC20/(INDEX('Standards for Conversions'!$H$47:$H$73,MATCH(JB$3,'Standards for Conversions'!$A$47:$A$73,0)))=0,"",JC20/(INDEX('Standards for Conversions'!$H$47:$H$73,MATCH(JB$3,'Standards for Conversions'!$A$47:$A$73,0))))</f>
        <v/>
      </c>
      <c r="JE20" s="33" t="s">
        <v>98</v>
      </c>
      <c r="JF20" s="33">
        <v>812.5</v>
      </c>
      <c r="JG20" s="33">
        <v>1700</v>
      </c>
      <c r="JH20" s="31">
        <f>IF(JG20/(INDEX('Standards for Conversions'!$H$47:$H$73,MATCH(JF$3,'Standards for Conversions'!$A$47:$A$73,0)))=0,"",JG20/(INDEX('Standards for Conversions'!$H$47:$H$73,MATCH(JF$3,'Standards for Conversions'!$A$47:$A$73,0))))</f>
        <v>274.99233437617676</v>
      </c>
      <c r="JL20" s="31" t="str">
        <f>IF(JK20/(INDEX('Standards for Conversions'!$H$47:$H$73,MATCH(JJ$3,'Standards for Conversions'!$A$47:$A$73,0)))=0,"",JK20/(INDEX('Standards for Conversions'!$H$47:$H$73,MATCH(JJ$3,'Standards for Conversions'!$A$47:$A$73,0))))</f>
        <v/>
      </c>
      <c r="JM20" s="33" t="s">
        <v>98</v>
      </c>
      <c r="JP20" s="31" t="str">
        <f>IF(JO20/(INDEX('Standards for Conversions'!$H$47:$H$73,MATCH(JN$3,'Standards for Conversions'!$A$47:$A$73,0)))=0,"",JO20/(INDEX('Standards for Conversions'!$H$47:$H$73,MATCH(JN$3,'Standards for Conversions'!$A$47:$A$73,0))))</f>
        <v/>
      </c>
      <c r="JQ20" s="33" t="s">
        <v>98</v>
      </c>
      <c r="JT20" s="31" t="str">
        <f>IF(JS20/(INDEX('Standards for Conversions'!$H$47:$H$73,MATCH(JR$3,'Standards for Conversions'!$A$47:$A$73,0)))=0,"",JS20/(INDEX('Standards for Conversions'!$H$47:$H$73,MATCH(JR$3,'Standards for Conversions'!$A$47:$A$73,0))))</f>
        <v/>
      </c>
      <c r="JU20" s="33" t="s">
        <v>98</v>
      </c>
      <c r="JV20" s="33">
        <v>650</v>
      </c>
      <c r="JW20" s="33">
        <v>1500</v>
      </c>
      <c r="JX20" s="31">
        <f>IF(JW20/(INDEX('Standards for Conversions'!$H$47:$H$73,MATCH(JV$3,'Standards for Conversions'!$A$47:$A$73,0)))=0,"",JW20/(INDEX('Standards for Conversions'!$H$47:$H$73,MATCH(JV$3,'Standards for Conversions'!$A$47:$A$73,0))))</f>
        <v>228.98383864169634</v>
      </c>
      <c r="JY20" s="33" t="s">
        <v>98</v>
      </c>
      <c r="KB20" s="31" t="str">
        <f>IF(KA20/(INDEX('Standards for Conversions'!$H$47:$H$73,MATCH(JZ$3,'Standards for Conversions'!$A$47:$A$73,0)))=0,"",KA20/(INDEX('Standards for Conversions'!$H$47:$H$73,MATCH(JZ$3,'Standards for Conversions'!$A$47:$A$73,0))))</f>
        <v/>
      </c>
      <c r="KC20" s="33" t="s">
        <v>98</v>
      </c>
      <c r="KF20" s="31" t="str">
        <f>IF(KE20/(INDEX('Standards for Conversions'!$H$47:$H$73,MATCH(KD$3,'Standards for Conversions'!$A$47:$A$73,0)))=0,"",KE20/(INDEX('Standards for Conversions'!$H$47:$H$73,MATCH(KD$3,'Standards for Conversions'!$A$47:$A$73,0))))</f>
        <v/>
      </c>
      <c r="KG20" s="33" t="s">
        <v>98</v>
      </c>
      <c r="KJ20" s="31" t="str">
        <f>IF(KI20/(INDEX('Standards for Conversions'!$H$47:$H$73,MATCH(KH$3,'Standards for Conversions'!$A$47:$A$73,0)))=0,"",KI20/(INDEX('Standards for Conversions'!$H$47:$H$73,MATCH(KH$3,'Standards for Conversions'!$A$47:$A$73,0))))</f>
        <v/>
      </c>
      <c r="KK20" s="33" t="s">
        <v>98</v>
      </c>
      <c r="KL20" s="33">
        <v>682.5</v>
      </c>
      <c r="KM20" s="33">
        <v>1600</v>
      </c>
      <c r="KN20" s="31">
        <f>IF(KM20/(INDEX('Standards for Conversions'!$H$47:$H$73,MATCH(KL$3,'Standards for Conversions'!$A$47:$A$73,0)))=0,"",KM20/(INDEX('Standards for Conversions'!$H$47:$H$73,MATCH(KL$3,'Standards for Conversions'!$A$47:$A$73,0))))</f>
        <v>215.45441904927435</v>
      </c>
      <c r="KO20" s="33" t="s">
        <v>98</v>
      </c>
      <c r="KR20" s="31" t="str">
        <f>IF(KQ20/(INDEX('Standards for Conversions'!$H$47:$H$73,MATCH(KP$3,'Standards for Conversions'!$A$47:$A$73,0)))=0,"",KQ20/(INDEX('Standards for Conversions'!$H$47:$H$73,MATCH(KP$3,'Standards for Conversions'!$A$47:$A$73,0))))</f>
        <v/>
      </c>
      <c r="KS20" s="33" t="s">
        <v>98</v>
      </c>
      <c r="KV20" s="31" t="str">
        <f>IF(KU20/(INDEX('Standards for Conversions'!$H$47:$H$73,MATCH(KT$3,'Standards for Conversions'!$A$47:$A$73,0)))=0,"",KU20/(INDEX('Standards for Conversions'!$H$47:$H$73,MATCH(KT$3,'Standards for Conversions'!$A$47:$A$73,0))))</f>
        <v/>
      </c>
      <c r="KW20" s="33" t="s">
        <v>98</v>
      </c>
      <c r="KZ20" s="31" t="str">
        <f>IF(KY20/(INDEX('Standards for Conversions'!$H$47:$H$73,MATCH(KX$3,'Standards for Conversions'!$A$47:$A$73,0)))=0,"",KY20/(INDEX('Standards for Conversions'!$H$47:$H$73,MATCH(KX$3,'Standards for Conversions'!$A$47:$A$73,0))))</f>
        <v/>
      </c>
      <c r="LA20" s="33" t="s">
        <v>98</v>
      </c>
      <c r="LB20" s="33">
        <v>684.125</v>
      </c>
      <c r="LC20" s="33">
        <v>1250</v>
      </c>
      <c r="LD20" s="31">
        <f>IF(LC20/(INDEX('Standards for Conversions'!$H$47:$H$73,MATCH(LB$3,'Standards for Conversions'!$A$47:$A$73,0)))=0,"",LC20/(INDEX('Standards for Conversions'!$H$47:$H$73,MATCH(LB$3,'Standards for Conversions'!$A$47:$A$73,0))))</f>
        <v>152.02070840937398</v>
      </c>
      <c r="LH20" s="31" t="str">
        <f>IF(LG20/(INDEX('Standards for Conversions'!$H$47:$H$73,MATCH(LF$3,'Standards for Conversions'!$A$47:$A$73,0)))=0,"",LG20/(INDEX('Standards for Conversions'!$H$47:$H$73,MATCH(LF$3,'Standards for Conversions'!$A$47:$A$73,0))))</f>
        <v/>
      </c>
      <c r="LL20" s="31" t="str">
        <f>IF(LK20/(INDEX('Standards for Conversions'!$H$47:$H$73,MATCH(LJ$3,'Standards for Conversions'!$A$47:$A$73,0)))=0,"",LK20/(INDEX('Standards for Conversions'!$H$47:$H$73,MATCH(LJ$3,'Standards for Conversions'!$A$47:$A$73,0))))</f>
        <v/>
      </c>
      <c r="LO20" s="31" t="str">
        <f>IF(LN20/(INDEX('Standards for Conversions'!$H$47:$H$73,MATCH(LM$3,'Standards for Conversions'!$A$47:$A$73,0)))=0,"",LN20/(INDEX('Standards for Conversions'!$H$47:$H$73,MATCH(LM$3,'Standards for Conversions'!$A$47:$A$73,0))))</f>
        <v/>
      </c>
      <c r="LR20" s="31" t="str">
        <f>IF(LQ20/(INDEX('Standards for Conversions'!$H$47:$H$73,MATCH(LP$3,'Standards for Conversions'!$A$47:$A$73,0)))=0,"",LQ20/(INDEX('Standards for Conversions'!$H$47:$H$73,MATCH(LP$3,'Standards for Conversions'!$A$47:$A$73,0))))</f>
        <v/>
      </c>
      <c r="LV20" s="31" t="str">
        <f>IF(LU20/(INDEX('Standards for Conversions'!$H$47:$H$73,MATCH(LT$3,'Standards for Conversions'!$A$47:$A$73,0)))=0,"",LU20/(INDEX('Standards for Conversions'!$H$47:$H$73,MATCH(LT$3,'Standards for Conversions'!$A$47:$A$73,0))))</f>
        <v/>
      </c>
      <c r="LY20" s="31" t="str">
        <f>IF(LX20/(INDEX('Standards for Conversions'!$H$47:$H$73,MATCH(LW$3,'Standards for Conversions'!$A$47:$A$73,0)))=0,"",LX20/(INDEX('Standards for Conversions'!$H$47:$H$73,MATCH(LW$3,'Standards for Conversions'!$A$47:$A$73,0))))</f>
        <v/>
      </c>
      <c r="MB20" s="31" t="str">
        <f>IF(MA20/(INDEX('Standards for Conversions'!$H$47:$H$73,MATCH(LZ$3,'Standards for Conversions'!$A$47:$A$73,0)))=0,"",MA20/(INDEX('Standards for Conversions'!$H$47:$H$73,MATCH(LZ$3,'Standards for Conversions'!$A$47:$A$73,0))))</f>
        <v/>
      </c>
      <c r="ME20" s="31" t="str">
        <f>IF(MD20/(INDEX('Standards for Conversions'!$H$47:$H$73,MATCH(MC$3,'Standards for Conversions'!$A$47:$A$73,0)))=0,"",MD20/(INDEX('Standards for Conversions'!$H$47:$H$73,MATCH(MC$3,'Standards for Conversions'!$A$47:$A$73,0))))</f>
        <v/>
      </c>
      <c r="MH20" s="31" t="str">
        <f>IF(MG20/(INDEX('Standards for Conversions'!$H$47:$H$73,MATCH(MF$3,'Standards for Conversions'!$A$47:$A$73,0)))=0,"",MG20/(INDEX('Standards for Conversions'!$H$47:$H$73,MATCH(MF$3,'Standards for Conversions'!$A$47:$A$73,0))))</f>
        <v/>
      </c>
      <c r="MK20" s="31" t="str">
        <f>IF(MJ20/(INDEX('Standards for Conversions'!$H$47:$H$73,MATCH(MI$3,'Standards for Conversions'!$A$47:$A$73,0)))=0,"",MJ20/(INDEX('Standards for Conversions'!$H$47:$H$73,MATCH(MI$3,'Standards for Conversions'!$A$47:$A$73,0))))</f>
        <v/>
      </c>
      <c r="MN20" s="31" t="str">
        <f>IF(MM20/(INDEX('Standards for Conversions'!$H$47:$H$73,MATCH(ML$3,'Standards for Conversions'!$A$47:$A$73,0)))=0,"",MM20/(INDEX('Standards for Conversions'!$H$47:$H$73,MATCH(ML$3,'Standards for Conversions'!$A$47:$A$73,0))))</f>
        <v/>
      </c>
      <c r="MR20" s="31" t="str">
        <f>IF(MQ20/(INDEX('Standards for Conversions'!$H$47:$H$73,MATCH(MP$3,'Standards for Conversions'!$A$47:$A$73,0)))=0,"",MQ20/(INDEX('Standards for Conversions'!$H$47:$H$73,MATCH(MP$3,'Standards for Conversions'!$A$47:$A$73,0))))</f>
        <v/>
      </c>
    </row>
    <row r="21" spans="1:373" s="33" customFormat="1" x14ac:dyDescent="0.3">
      <c r="A21" s="102" t="s">
        <v>360</v>
      </c>
      <c r="B21" s="10" t="s">
        <v>399</v>
      </c>
      <c r="C21" s="7"/>
      <c r="D21" s="7"/>
      <c r="E21" s="31" t="str">
        <f>IF(D21/(INDEX('Standards for Conversions'!$H$34:$H$73,MATCH(C$3,'Standards for Conversions'!$A$34:$A$73,0)))=0,"",D21/(INDEX('Standards for Conversions'!$H$34:$H$73,MATCH(C$3,'Standards for Conversions'!$A$34:$A$73,0))))</f>
        <v/>
      </c>
      <c r="F21" s="10" t="s">
        <v>399</v>
      </c>
      <c r="G21" s="7"/>
      <c r="H21" s="7"/>
      <c r="I21" s="31" t="str">
        <f>IF(H21/(INDEX('Standards for Conversions'!$H$34:$H$73,MATCH(G$3,'Standards for Conversions'!$A$34:$A$73,0)))=0,"",H21/(INDEX('Standards for Conversions'!$H$34:$H$73,MATCH(G$3,'Standards for Conversions'!$A$34:$A$73,0))))</f>
        <v/>
      </c>
      <c r="J21" s="6" t="s">
        <v>374</v>
      </c>
      <c r="K21" s="9">
        <v>10</v>
      </c>
      <c r="L21" s="9">
        <v>250</v>
      </c>
      <c r="M21" s="31">
        <f>IF(L21/(INDEX('Standards for Conversions'!$H$34:$H$73,MATCH(K$3,'Standards for Conversions'!$A$34:$A$73,0)))=0,"",L21/(INDEX('Standards for Conversions'!$H$34:$H$73,MATCH(K$3,'Standards for Conversions'!$A$34:$A$73,0))))</f>
        <v>49.385557432432428</v>
      </c>
      <c r="N21" s="10" t="s">
        <v>399</v>
      </c>
      <c r="O21" s="7"/>
      <c r="P21" s="7"/>
      <c r="Q21" s="31" t="str">
        <f>IF(P21/(INDEX('Standards for Conversions'!$H$34:$H$73,MATCH(O$3,'Standards for Conversions'!$A$34:$A$73,0)))=0,"",P21/(INDEX('Standards for Conversions'!$H$34:$H$73,MATCH(O$3,'Standards for Conversions'!$A$34:$A$73,0))))</f>
        <v/>
      </c>
      <c r="R21" s="10" t="s">
        <v>399</v>
      </c>
      <c r="S21" s="7"/>
      <c r="T21" s="7"/>
      <c r="U21" s="31" t="str">
        <f>IF(T21/(INDEX('Standards for Conversions'!$H$34:$H$73,MATCH(S$3,'Standards for Conversions'!$A$34:$A$73,0)))=0,"",T21/(INDEX('Standards for Conversions'!$H$34:$H$73,MATCH(S$3,'Standards for Conversions'!$A$34:$A$73,0))))</f>
        <v/>
      </c>
      <c r="V21" s="10" t="s">
        <v>399</v>
      </c>
      <c r="W21" s="7"/>
      <c r="X21" s="7"/>
      <c r="Y21" s="31" t="str">
        <f>IF(X21/(INDEX('Standards for Conversions'!$H$34:$H$73,MATCH(W$3,'Standards for Conversions'!$A$34:$A$73,0)))=0,"",X21/(INDEX('Standards for Conversions'!$H$34:$H$73,MATCH(W$3,'Standards for Conversions'!$A$34:$A$73,0))))</f>
        <v/>
      </c>
      <c r="Z21" s="6" t="s">
        <v>374</v>
      </c>
      <c r="AA21" s="9">
        <v>15</v>
      </c>
      <c r="AB21" s="9">
        <v>400</v>
      </c>
      <c r="AC21" s="31">
        <f>IF(AB21/(INDEX('Standards for Conversions'!$H$34:$H$73,MATCH(AA$3,'Standards for Conversions'!$A$34:$A$73,0)))=0,"",AB21/(INDEX('Standards for Conversions'!$H$34:$H$73,MATCH(AA$3,'Standards for Conversions'!$A$34:$A$73,0))))</f>
        <v>77.068994235392935</v>
      </c>
      <c r="AD21" s="10" t="s">
        <v>399</v>
      </c>
      <c r="AE21" s="7"/>
      <c r="AF21" s="7"/>
      <c r="AG21" s="31" t="str">
        <f>IF(AF21/(INDEX('Standards for Conversions'!$H$34:$H$73,MATCH(AE$3,'Standards for Conversions'!$A$34:$A$73,0)))=0,"",AF21/(INDEX('Standards for Conversions'!$H$34:$H$73,MATCH(AE$3,'Standards for Conversions'!$A$34:$A$73,0))))</f>
        <v/>
      </c>
      <c r="AH21" s="10" t="s">
        <v>399</v>
      </c>
      <c r="AI21" s="7"/>
      <c r="AJ21" s="7"/>
      <c r="AK21" s="31" t="str">
        <f>IF(AJ21/(INDEX('Standards for Conversions'!$H$34:$H$73,MATCH(AI$3,'Standards for Conversions'!$A$34:$A$73,0)))=0,"",AJ21/(INDEX('Standards for Conversions'!$H$34:$H$73,MATCH(AI$3,'Standards for Conversions'!$A$34:$A$73,0))))</f>
        <v/>
      </c>
      <c r="AL21" s="10" t="s">
        <v>399</v>
      </c>
      <c r="AM21" s="7"/>
      <c r="AN21" s="7"/>
      <c r="AO21" s="31" t="str">
        <f>IF(AN21/(INDEX('Standards for Conversions'!$H$34:$H$73,MATCH(AM$3,'Standards for Conversions'!$A$34:$A$73,0)))=0,"",AN21/(INDEX('Standards for Conversions'!$H$34:$H$73,MATCH(AM$3,'Standards for Conversions'!$A$34:$A$73,0))))</f>
        <v/>
      </c>
      <c r="AP21" s="6" t="s">
        <v>374</v>
      </c>
      <c r="AQ21" s="9">
        <v>20</v>
      </c>
      <c r="AR21" s="9">
        <v>200</v>
      </c>
      <c r="AS21" s="31">
        <f>IF(AR21/(INDEX('Standards for Conversions'!$H$34:$H$73,MATCH(AQ$3,'Standards for Conversions'!$A$34:$A$73,0)))=0,"",AR21/(INDEX('Standards for Conversions'!$H$34:$H$73,MATCH(AQ$3,'Standards for Conversions'!$A$34:$A$73,0))))</f>
        <v>35.739687436632771</v>
      </c>
      <c r="AT21" s="10" t="s">
        <v>399</v>
      </c>
      <c r="AU21" s="7"/>
      <c r="AV21" s="7"/>
      <c r="AW21" s="31" t="str">
        <f>IF(AV21/(INDEX('Standards for Conversions'!$H$34:$H$73,MATCH(AU$3,'Standards for Conversions'!$A$34:$A$73,0)))=0,"",AV21/(INDEX('Standards for Conversions'!$H$34:$H$73,MATCH(AU$3,'Standards for Conversions'!$A$34:$A$73,0))))</f>
        <v/>
      </c>
      <c r="AX21" s="10" t="s">
        <v>399</v>
      </c>
      <c r="AY21" s="7"/>
      <c r="AZ21" s="7"/>
      <c r="BA21" s="31" t="str">
        <f>IF(AZ21/(INDEX('Standards for Conversions'!$H$34:$H$73,MATCH(AY$3,'Standards for Conversions'!$A$34:$A$73,0)))=0,"",AZ21/(INDEX('Standards for Conversions'!$H$34:$H$73,MATCH(AY$3,'Standards for Conversions'!$A$34:$A$73,0))))</f>
        <v/>
      </c>
      <c r="BB21" s="10" t="s">
        <v>399</v>
      </c>
      <c r="BC21" s="7"/>
      <c r="BD21" s="7"/>
      <c r="BE21" s="31" t="str">
        <f>IF(BD21/(INDEX('Standards for Conversions'!$H$34:$H$73,MATCH(BC$3,'Standards for Conversions'!$A$34:$A$73,0)))=0,"",BD21/(INDEX('Standards for Conversions'!$H$34:$H$73,MATCH(BC$3,'Standards for Conversions'!$A$34:$A$73,0))))</f>
        <v/>
      </c>
      <c r="BF21" s="6" t="s">
        <v>374</v>
      </c>
      <c r="BG21" s="9">
        <v>15</v>
      </c>
      <c r="BH21" s="9">
        <v>300</v>
      </c>
      <c r="BI21" s="31">
        <f>IF(BH21/(INDEX('Standards for Conversions'!$H$34:$H$73,MATCH(BG$3,'Standards for Conversions'!$A$34:$A$73,0)))=0,"",BH21/(INDEX('Standards for Conversions'!$H$34:$H$73,MATCH(BG$3,'Standards for Conversions'!$A$34:$A$73,0))))</f>
        <v>55.70563841574694</v>
      </c>
      <c r="BJ21" s="10" t="s">
        <v>399</v>
      </c>
      <c r="BK21" s="7"/>
      <c r="BL21" s="7"/>
      <c r="BM21" s="31" t="str">
        <f>IF(BL21/(INDEX('Standards for Conversions'!$H$34:$H$73,MATCH(BK$3,'Standards for Conversions'!$A$34:$A$73,0)))=0,"",BL21/(INDEX('Standards for Conversions'!$H$34:$H$73,MATCH(BK$3,'Standards for Conversions'!$A$34:$A$73,0))))</f>
        <v/>
      </c>
      <c r="BN21" s="10" t="s">
        <v>399</v>
      </c>
      <c r="BO21" s="7"/>
      <c r="BP21" s="7"/>
      <c r="BQ21" s="31" t="str">
        <f>IF(BP21/(INDEX('Standards for Conversions'!$H$34:$H$73,MATCH(BO$3,'Standards for Conversions'!$A$34:$A$73,0)))=0,"",BP21/(INDEX('Standards for Conversions'!$H$34:$H$73,MATCH(BO$3,'Standards for Conversions'!$A$34:$A$73,0))))</f>
        <v/>
      </c>
      <c r="BR21" s="10" t="s">
        <v>399</v>
      </c>
      <c r="BS21" s="7"/>
      <c r="BT21" s="7"/>
      <c r="BU21" s="31" t="str">
        <f>IF(BT21/(INDEX('Standards for Conversions'!$H$34:$H$73,MATCH(BS$3,'Standards for Conversions'!$A$34:$A$73,0)))=0,"",BT21/(INDEX('Standards for Conversions'!$H$34:$H$73,MATCH(BS$3,'Standards for Conversions'!$A$34:$A$73,0))))</f>
        <v/>
      </c>
      <c r="BV21" s="6" t="s">
        <v>374</v>
      </c>
      <c r="BW21" s="9">
        <v>20</v>
      </c>
      <c r="BX21" s="9">
        <v>400</v>
      </c>
      <c r="BY21" s="31">
        <f>IF(BX21/(INDEX('Standards for Conversions'!$H$34:$H$73,MATCH(BW$3,'Standards for Conversions'!$A$34:$A$73,0)))=0,"",BX21/(INDEX('Standards for Conversions'!$H$34:$H$73,MATCH(BW$3,'Standards for Conversions'!$A$34:$A$73,0))))</f>
        <v>71.225301265896107</v>
      </c>
      <c r="BZ21" s="10" t="s">
        <v>399</v>
      </c>
      <c r="CA21" s="7"/>
      <c r="CB21" s="7"/>
      <c r="CC21" s="31" t="str">
        <f>IF(CB21/(INDEX('Standards for Conversions'!$H$34:$H$73,MATCH(CA$3,'Standards for Conversions'!$A$34:$A$73,0)))=0,"",CB21/(INDEX('Standards for Conversions'!$H$34:$H$73,MATCH(CA$3,'Standards for Conversions'!$A$34:$A$73,0))))</f>
        <v/>
      </c>
      <c r="CD21" s="10" t="s">
        <v>399</v>
      </c>
      <c r="CE21" s="7"/>
      <c r="CF21" s="7"/>
      <c r="CG21" s="31" t="str">
        <f>IF(CF21/(INDEX('Standards for Conversions'!$H$34:$H$73,MATCH(CE$3,'Standards for Conversions'!$A$34:$A$73,0)))=0,"",CF21/(INDEX('Standards for Conversions'!$H$34:$H$73,MATCH(CE$3,'Standards for Conversions'!$A$34:$A$73,0))))</f>
        <v/>
      </c>
      <c r="CH21" s="10" t="s">
        <v>399</v>
      </c>
      <c r="CI21" s="7"/>
      <c r="CJ21" s="7"/>
      <c r="CK21" s="31" t="str">
        <f>IF(CJ21/(INDEX('Standards for Conversions'!$H$34:$H$73,MATCH(CI$3,'Standards for Conversions'!$A$34:$A$73,0)))=0,"",CJ21/(INDEX('Standards for Conversions'!$H$34:$H$73,MATCH(CI$3,'Standards for Conversions'!$A$34:$A$73,0))))</f>
        <v/>
      </c>
      <c r="CL21" s="6" t="s">
        <v>374</v>
      </c>
      <c r="CM21" s="9">
        <v>40</v>
      </c>
      <c r="CN21" s="9">
        <v>1600</v>
      </c>
      <c r="CO21" s="31">
        <f>IF(CN21/(INDEX('Standards for Conversions'!$H$34:$H$73,MATCH(CM$3,'Standards for Conversions'!$A$34:$A$73,0)))=0,"",CN21/(INDEX('Standards for Conversions'!$H$34:$H$73,MATCH(CM$3,'Standards for Conversions'!$A$34:$A$73,0))))</f>
        <v>277.78714405724054</v>
      </c>
      <c r="CP21" s="10" t="s">
        <v>399</v>
      </c>
      <c r="CQ21" s="7"/>
      <c r="CR21" s="7"/>
      <c r="CS21" s="31" t="str">
        <f>IF(CR21/(INDEX('Standards for Conversions'!$H$34:$H$73,MATCH(CQ$3,'Standards for Conversions'!$A$34:$A$73,0)))=0,"",CR21/(INDEX('Standards for Conversions'!$H$34:$H$73,MATCH(CQ$3,'Standards for Conversions'!$A$34:$A$73,0))))</f>
        <v/>
      </c>
      <c r="CT21" s="10" t="s">
        <v>399</v>
      </c>
      <c r="CU21" s="7"/>
      <c r="CV21" s="7"/>
      <c r="CW21" s="31" t="str">
        <f>IF(CV21/(INDEX('Standards for Conversions'!$H$34:$H$73,MATCH(CU$3,'Standards for Conversions'!$A$34:$A$73,0)))=0,"",CV21/(INDEX('Standards for Conversions'!$H$34:$H$73,MATCH(CU$3,'Standards for Conversions'!$A$34:$A$73,0))))</f>
        <v/>
      </c>
      <c r="CX21" s="10" t="s">
        <v>399</v>
      </c>
      <c r="CY21" s="7"/>
      <c r="CZ21" s="7"/>
      <c r="DA21" s="31" t="str">
        <f>IF(CZ21/(INDEX('Standards for Conversions'!$H$34:$H$73,MATCH(CY$3,'Standards for Conversions'!$A$34:$A$73,0)))=0,"",CZ21/(INDEX('Standards for Conversions'!$H$34:$H$73,MATCH(CY$3,'Standards for Conversions'!$A$34:$A$73,0))))</f>
        <v/>
      </c>
      <c r="DB21" s="10" t="s">
        <v>399</v>
      </c>
      <c r="DC21" s="9">
        <f>1.63*435</f>
        <v>709.05</v>
      </c>
      <c r="DD21" s="9">
        <v>1600</v>
      </c>
      <c r="DE21" s="31">
        <f>IF(DD21/(INDEX('Standards for Conversions'!$H$34:$H$73,MATCH(DC$3,'Standards for Conversions'!$A$34:$A$73,0)))=0,"",DD21/(INDEX('Standards for Conversions'!$H$34:$H$73,MATCH(DC$3,'Standards for Conversions'!$A$34:$A$73,0))))</f>
        <v>283.207381014455</v>
      </c>
      <c r="DF21" s="10" t="s">
        <v>399</v>
      </c>
      <c r="DG21" s="7"/>
      <c r="DH21" s="7"/>
      <c r="DI21" s="31" t="str">
        <f>IF(DH21/(INDEX('Standards for Conversions'!$H$34:$H$73,MATCH(DG$3,'Standards for Conversions'!$A$34:$A$73,0)))=0,"",DH21/(INDEX('Standards for Conversions'!$H$34:$H$73,MATCH(DG$3,'Standards for Conversions'!$A$34:$A$73,0))))</f>
        <v/>
      </c>
      <c r="DJ21" s="10" t="s">
        <v>399</v>
      </c>
      <c r="DK21" s="7"/>
      <c r="DL21" s="7"/>
      <c r="DM21" s="31" t="str">
        <f>IF(DL21/(INDEX('Standards for Conversions'!$H$34:$H$73,MATCH(DK$3,'Standards for Conversions'!$A$34:$A$73,0)))=0,"",DL21/(INDEX('Standards for Conversions'!$H$34:$H$73,MATCH(DK$3,'Standards for Conversions'!$A$34:$A$73,0))))</f>
        <v/>
      </c>
      <c r="DN21" s="10" t="s">
        <v>399</v>
      </c>
      <c r="DO21" s="7"/>
      <c r="DP21" s="7"/>
      <c r="DQ21" s="31" t="str">
        <f>IF(DP21/(INDEX('Standards for Conversions'!$H$34:$H$73,MATCH(DO$3,'Standards for Conversions'!$A$34:$A$73,0)))=0,"",DP21/(INDEX('Standards for Conversions'!$H$34:$H$73,MATCH(DO$3,'Standards for Conversions'!$A$34:$A$73,0))))</f>
        <v/>
      </c>
      <c r="DR21" s="10" t="s">
        <v>399</v>
      </c>
      <c r="DS21" s="9">
        <f>1.63*500</f>
        <v>815</v>
      </c>
      <c r="DT21" s="9">
        <v>1800</v>
      </c>
      <c r="DU21" s="31">
        <f>IF(DT21/(INDEX('Standards for Conversions'!$H$34:$H$73,MATCH(DS$3,'Standards for Conversions'!$A$34:$A$73,0)))=0,"",DT21/(INDEX('Standards for Conversions'!$H$34:$H$73,MATCH(DS$3,'Standards for Conversions'!$A$34:$A$73,0))))</f>
        <v>315.17830994177456</v>
      </c>
      <c r="DV21" s="10" t="s">
        <v>399</v>
      </c>
      <c r="DW21" s="7"/>
      <c r="DX21" s="7"/>
      <c r="DY21" s="31" t="str">
        <f>IF(DX21/(INDEX('Standards for Conversions'!$H$34:$H$73,MATCH(DW$3,'Standards for Conversions'!$A$34:$A$73,0)))=0,"",DX21/(INDEX('Standards for Conversions'!$H$34:$H$73,MATCH(DW$3,'Standards for Conversions'!$A$34:$A$73,0))))</f>
        <v/>
      </c>
      <c r="DZ21" s="10" t="s">
        <v>399</v>
      </c>
      <c r="EA21" s="7"/>
      <c r="EB21" s="7"/>
      <c r="EC21" s="31" t="str">
        <f>IF(EB21/(INDEX('Standards for Conversions'!$H$34:$H$73,MATCH(EA$3,'Standards for Conversions'!$A$34:$A$73,0)))=0,"",EB21/(INDEX('Standards for Conversions'!$H$34:$H$73,MATCH(EA$3,'Standards for Conversions'!$A$34:$A$73,0))))</f>
        <v/>
      </c>
      <c r="ED21" s="10" t="s">
        <v>399</v>
      </c>
      <c r="EE21" s="7"/>
      <c r="EF21" s="7"/>
      <c r="EG21" s="31" t="str">
        <f>IF(EF21/(INDEX('Standards for Conversions'!$H$34:$H$73,MATCH(EE$3,'Standards for Conversions'!$A$34:$A$73,0)))=0,"",EF21/(INDEX('Standards for Conversions'!$H$34:$H$73,MATCH(EE$3,'Standards for Conversions'!$A$34:$A$73,0))))</f>
        <v/>
      </c>
      <c r="EH21" s="10" t="s">
        <v>399</v>
      </c>
      <c r="EI21" s="9">
        <f>1.63*382</f>
        <v>622.66</v>
      </c>
      <c r="EJ21" s="9">
        <v>1060</v>
      </c>
      <c r="EK21" s="31">
        <f>IF(EJ21/(INDEX('Standards for Conversions'!$H$34:$H$73,MATCH(EI$3,'Standards for Conversions'!$A$34:$A$73,0)))=0,"",EJ21/(INDEX('Standards for Conversions'!$H$34:$H$73,MATCH(EI$3,'Standards for Conversions'!$A$34:$A$73,0))))</f>
        <v>185.38057305697978</v>
      </c>
      <c r="EL21" s="10" t="s">
        <v>399</v>
      </c>
      <c r="EM21" s="7"/>
      <c r="EN21" s="7"/>
      <c r="EO21" s="31" t="str">
        <f>IF(EN21/(INDEX('Standards for Conversions'!$H$34:$H$73,MATCH(EM$3,'Standards for Conversions'!$A$34:$A$73,0)))=0,"",EN21/(INDEX('Standards for Conversions'!$H$34:$H$73,MATCH(EM$3,'Standards for Conversions'!$A$34:$A$73,0))))</f>
        <v/>
      </c>
      <c r="EP21" s="10" t="s">
        <v>399</v>
      </c>
      <c r="EQ21" s="7"/>
      <c r="ER21" s="7"/>
      <c r="ES21" s="31" t="str">
        <f>IF(ER21/(INDEX('Standards for Conversions'!$H$34:$H$73,MATCH(EQ$3,'Standards for Conversions'!$A$34:$A$73,0)))=0,"",ER21/(INDEX('Standards for Conversions'!$H$34:$H$73,MATCH(EQ$3,'Standards for Conversions'!$A$34:$A$73,0))))</f>
        <v/>
      </c>
      <c r="ET21" s="10" t="s">
        <v>399</v>
      </c>
      <c r="EU21" s="7"/>
      <c r="EV21" s="7"/>
      <c r="EW21" s="31" t="str">
        <f>IF(EV21/(INDEX('Standards for Conversions'!$H$34:$H$73,MATCH(EU$3,'Standards for Conversions'!$A$34:$A$73,0)))=0,"",EV21/(INDEX('Standards for Conversions'!$H$34:$H$73,MATCH(EU$3,'Standards for Conversions'!$A$34:$A$73,0))))</f>
        <v/>
      </c>
      <c r="EX21" s="10" t="s">
        <v>399</v>
      </c>
      <c r="EY21" s="9">
        <f>1.63*241</f>
        <v>392.83</v>
      </c>
      <c r="EZ21" s="9">
        <v>820</v>
      </c>
      <c r="FA21" s="31">
        <f>IF(EZ21/(INDEX('Standards for Conversions'!$H$34:$H$73,MATCH(EY$3,'Standards for Conversions'!$A$34:$A$73,0)))=0,"",EZ21/(INDEX('Standards for Conversions'!$H$34:$H$73,MATCH(EY$3,'Standards for Conversions'!$A$34:$A$73,0))))</f>
        <v>140.45612471394222</v>
      </c>
      <c r="FB21" s="10" t="s">
        <v>399</v>
      </c>
      <c r="FC21" s="7"/>
      <c r="FD21" s="7"/>
      <c r="FE21" s="31" t="str">
        <f>IF(FD21/(INDEX('Standards for Conversions'!$H$34:$H$73,MATCH(FC$3,'Standards for Conversions'!$A$34:$A$73,0)))=0,"",FD21/(INDEX('Standards for Conversions'!$H$34:$H$73,MATCH(FC$3,'Standards for Conversions'!$A$34:$A$73,0))))</f>
        <v/>
      </c>
      <c r="FF21" s="10" t="s">
        <v>399</v>
      </c>
      <c r="FG21" s="7"/>
      <c r="FH21" s="7"/>
      <c r="FI21" s="31" t="str">
        <f>IF(FH21/(INDEX('Standards for Conversions'!$H$34:$H$73,MATCH(FG$3,'Standards for Conversions'!$A$34:$A$73,0)))=0,"",FH21/(INDEX('Standards for Conversions'!$H$34:$H$73,MATCH(FG$3,'Standards for Conversions'!$A$34:$A$73,0))))</f>
        <v/>
      </c>
      <c r="FJ21" s="10" t="s">
        <v>399</v>
      </c>
      <c r="FK21" s="7"/>
      <c r="FL21" s="7"/>
      <c r="FM21" s="31" t="str">
        <f>IF(FL21/(INDEX('Standards for Conversions'!$H$34:$H$73,MATCH(FK$3,'Standards for Conversions'!$A$34:$A$73,0)))=0,"",FL21/(INDEX('Standards for Conversions'!$H$34:$H$73,MATCH(FK$3,'Standards for Conversions'!$A$34:$A$73,0))))</f>
        <v/>
      </c>
      <c r="FN21" s="10" t="s">
        <v>399</v>
      </c>
      <c r="FO21" s="9">
        <f>1.63*250</f>
        <v>407.5</v>
      </c>
      <c r="FP21" s="9">
        <v>750</v>
      </c>
      <c r="FQ21" s="31">
        <f>IF(FP21/(INDEX('Standards for Conversions'!$H$34:$H$73,MATCH(FO$3,'Standards for Conversions'!$A$34:$A$73,0)))=0,"",FP21/(INDEX('Standards for Conversions'!$H$34:$H$73,MATCH(FO$3,'Standards for Conversions'!$A$34:$A$73,0))))</f>
        <v>128.62476373077254</v>
      </c>
      <c r="FR21" s="10" t="s">
        <v>399</v>
      </c>
      <c r="FS21" s="7"/>
      <c r="FT21" s="7"/>
      <c r="FU21" s="31" t="str">
        <f>IF(FT21/(INDEX('Standards for Conversions'!$H$34:$H$73,MATCH(FS$3,'Standards for Conversions'!$A$34:$A$73,0)))=0,"",FT21/(INDEX('Standards for Conversions'!$H$34:$H$73,MATCH(FS$3,'Standards for Conversions'!$A$34:$A$73,0))))</f>
        <v/>
      </c>
      <c r="FV21" s="10" t="s">
        <v>399</v>
      </c>
      <c r="FW21" s="7"/>
      <c r="FX21" s="7"/>
      <c r="FY21" s="31" t="str">
        <f>IF(FX21/(INDEX('Standards for Conversions'!$H$34:$H$73,MATCH(FW$3,'Standards for Conversions'!$A$34:$A$73,0)))=0,"",FX21/(INDEX('Standards for Conversions'!$H$34:$H$73,MATCH(FW$3,'Standards for Conversions'!$A$34:$A$73,0))))</f>
        <v/>
      </c>
      <c r="FZ21" s="10" t="s">
        <v>399</v>
      </c>
      <c r="GA21" s="7"/>
      <c r="GB21" s="7"/>
      <c r="GC21" s="31" t="str">
        <f>IF(GB21/(INDEX('Standards for Conversions'!$H$34:$H$73,MATCH(GA$3,'Standards for Conversions'!$A$34:$A$73,0)))=0,"",GB21/(INDEX('Standards for Conversions'!$H$34:$H$73,MATCH(GA$3,'Standards for Conversions'!$A$34:$A$73,0))))</f>
        <v/>
      </c>
      <c r="GD21" s="10" t="s">
        <v>399</v>
      </c>
      <c r="GE21" s="9">
        <f>1.63*100</f>
        <v>163</v>
      </c>
      <c r="GF21" s="9">
        <v>350</v>
      </c>
      <c r="GG21" s="31">
        <f>IF(GF21/(INDEX('Standards for Conversions'!$H$34:$H$73,MATCH(GE$3,'Standards for Conversions'!$A$34:$A$73,0)))=0,"",GF21/(INDEX('Standards for Conversions'!$H$34:$H$73,MATCH(GE$3,'Standards for Conversions'!$A$34:$A$73,0))))</f>
        <v>57.579431270096464</v>
      </c>
      <c r="GH21" s="10" t="s">
        <v>399</v>
      </c>
      <c r="GI21" s="7"/>
      <c r="GJ21" s="7"/>
      <c r="GK21" s="31" t="str">
        <f>IF(GJ21/(INDEX('Standards for Conversions'!$H$34:$H$73,MATCH(GI$3,'Standards for Conversions'!$A$34:$A$73,0)))=0,"",GJ21/(INDEX('Standards for Conversions'!$H$34:$H$73,MATCH(GI$3,'Standards for Conversions'!$A$34:$A$73,0))))</f>
        <v/>
      </c>
      <c r="GL21" s="10" t="s">
        <v>399</v>
      </c>
      <c r="GM21" s="7"/>
      <c r="GN21" s="7"/>
      <c r="GO21" s="31" t="str">
        <f>IF(GN21/(INDEX('Standards for Conversions'!$H$34:$H$73,MATCH(GM$3,'Standards for Conversions'!$A$34:$A$73,0)))=0,"",GN21/(INDEX('Standards for Conversions'!$H$34:$H$73,MATCH(GM$3,'Standards for Conversions'!$A$34:$A$73,0))))</f>
        <v/>
      </c>
      <c r="GP21" s="10" t="s">
        <v>399</v>
      </c>
      <c r="GQ21" s="7"/>
      <c r="GR21" s="7"/>
      <c r="GS21" s="31" t="str">
        <f>IF(GR21/(INDEX('Standards for Conversions'!$H$34:$H$73,MATCH(GQ$3,'Standards for Conversions'!$A$34:$A$73,0)))=0,"",GR21/(INDEX('Standards for Conversions'!$H$34:$H$73,MATCH(GQ$3,'Standards for Conversions'!$A$34:$A$73,0))))</f>
        <v/>
      </c>
      <c r="GT21" s="10" t="s">
        <v>399</v>
      </c>
      <c r="GU21" s="9">
        <f>1.63*100</f>
        <v>163</v>
      </c>
      <c r="GV21" s="9">
        <v>350</v>
      </c>
      <c r="GW21" s="31">
        <f>IF(GV21/(INDEX('Standards for Conversions'!$H$34:$H$73,MATCH(GU$3,'Standards for Conversions'!$A$34:$A$73,0)))=0,"",GV21/(INDEX('Standards for Conversions'!$H$34:$H$73,MATCH(GU$3,'Standards for Conversions'!$A$34:$A$73,0))))</f>
        <v>53.800086360476236</v>
      </c>
      <c r="GX21" s="10" t="s">
        <v>399</v>
      </c>
      <c r="GY21" s="7"/>
      <c r="GZ21" s="7"/>
      <c r="HA21" s="31" t="str">
        <f>IF(GZ21/(INDEX('Standards for Conversions'!$H$34:$H$73,MATCH(GY$3,'Standards for Conversions'!$A$34:$A$73,0)))=0,"",GZ21/(INDEX('Standards for Conversions'!$H$34:$H$73,MATCH(GY$3,'Standards for Conversions'!$A$34:$A$73,0))))</f>
        <v/>
      </c>
      <c r="HB21" s="10" t="s">
        <v>399</v>
      </c>
      <c r="HC21" s="7"/>
      <c r="HD21" s="7"/>
      <c r="HE21" s="31" t="str">
        <f>IF(HD21/(INDEX('Standards for Conversions'!$H$34:$H$73,MATCH(HC$3,'Standards for Conversions'!$A$34:$A$73,0)))=0,"",HD21/(INDEX('Standards for Conversions'!$H$34:$H$73,MATCH(HC$3,'Standards for Conversions'!$A$34:$A$73,0))))</f>
        <v/>
      </c>
      <c r="HF21" s="10" t="s">
        <v>399</v>
      </c>
      <c r="HG21" s="7"/>
      <c r="HH21" s="7"/>
      <c r="HI21" s="31" t="str">
        <f>IF(HH21/(INDEX('Standards for Conversions'!$H$34:$H$73,MATCH(HG$3,'Standards for Conversions'!$A$34:$A$73,0)))=0,"",HH21/(INDEX('Standards for Conversions'!$H$34:$H$73,MATCH(HG$3,'Standards for Conversions'!$A$34:$A$73,0))))</f>
        <v/>
      </c>
      <c r="HJ21" s="10" t="s">
        <v>399</v>
      </c>
      <c r="HK21" s="9">
        <f>1.63*150</f>
        <v>244.49999999999997</v>
      </c>
      <c r="HL21" s="9">
        <v>550</v>
      </c>
      <c r="HM21" s="31">
        <f>IF(HL21/(INDEX('Standards for Conversions'!$H$34:$H$73,MATCH(HK$3,'Standards for Conversions'!$A$34:$A$73,0)))=0,"",HL21/(INDEX('Standards for Conversions'!$H$34:$H$73,MATCH(HK$3,'Standards for Conversions'!$A$34:$A$73,0))))</f>
        <v>83.26203841502273</v>
      </c>
      <c r="HN21" s="10" t="s">
        <v>399</v>
      </c>
      <c r="HO21" s="7"/>
      <c r="HP21" s="7"/>
      <c r="HQ21" s="31" t="str">
        <f>IF(HP21/(INDEX('Standards for Conversions'!$H$34:$H$73,MATCH(HO$3,'Standards for Conversions'!$A$34:$A$73,0)))=0,"",HP21/(INDEX('Standards for Conversions'!$H$34:$H$73,MATCH(HO$3,'Standards for Conversions'!$A$34:$A$73,0))))</f>
        <v/>
      </c>
      <c r="HR21" s="33" t="s">
        <v>98</v>
      </c>
      <c r="HU21" s="31" t="str">
        <f>IF(HT21/(INDEX('Standards for Conversions'!$H$47:$H$73,MATCH(HS$3,'Standards for Conversions'!$A$47:$A$73,0)))=0,"",HT21/(INDEX('Standards for Conversions'!$H$47:$H$73,MATCH(HS$3,'Standards for Conversions'!$A$47:$A$73,0))))</f>
        <v/>
      </c>
      <c r="HV21" s="33" t="s">
        <v>98</v>
      </c>
      <c r="HY21" s="31" t="str">
        <f>IF(HX21/(INDEX('Standards for Conversions'!$H$47:$H$73,MATCH(HW$3,'Standards for Conversions'!$A$47:$A$73,0)))=0,"",HX21/(INDEX('Standards for Conversions'!$H$47:$H$73,MATCH(HW$3,'Standards for Conversions'!$A$47:$A$73,0))))</f>
        <v/>
      </c>
      <c r="HZ21" s="33">
        <v>325</v>
      </c>
      <c r="IA21" s="33">
        <v>600</v>
      </c>
      <c r="IB21" s="31">
        <f>IF(IA21/(INDEX('Standards for Conversions'!$H$47:$H$73,MATCH(HZ$3,'Standards for Conversions'!$A$47:$A$73,0)))=0,"",IA21/(INDEX('Standards for Conversions'!$H$47:$H$73,MATCH(HZ$3,'Standards for Conversions'!$A$47:$A$73,0))))</f>
        <v>87.147247327713572</v>
      </c>
      <c r="IC21" s="33" t="s">
        <v>98</v>
      </c>
      <c r="IF21" s="31" t="str">
        <f>IF(IE21/(INDEX('Standards for Conversions'!$H$47:$H$73,MATCH(ID$3,'Standards for Conversions'!$A$47:$A$73,0)))=0,"",IE21/(INDEX('Standards for Conversions'!$H$47:$H$73,MATCH(ID$3,'Standards for Conversions'!$A$47:$A$73,0))))</f>
        <v/>
      </c>
      <c r="IG21" s="33" t="s">
        <v>98</v>
      </c>
      <c r="IJ21" s="31" t="str">
        <f>IF(II21/(INDEX('Standards for Conversions'!$H$47:$H$73,MATCH(IH$3,'Standards for Conversions'!$A$47:$A$73,0)))=0,"",II21/(INDEX('Standards for Conversions'!$H$47:$H$73,MATCH(IH$3,'Standards for Conversions'!$A$47:$A$73,0))))</f>
        <v/>
      </c>
      <c r="IK21" s="33" t="s">
        <v>98</v>
      </c>
      <c r="IN21" s="31" t="str">
        <f>IF(IM21/(INDEX('Standards for Conversions'!$H$47:$H$73,MATCH(IL$3,'Standards for Conversions'!$A$47:$A$73,0)))=0,"",IM21/(INDEX('Standards for Conversions'!$H$47:$H$73,MATCH(IL$3,'Standards for Conversions'!$A$47:$A$73,0))))</f>
        <v/>
      </c>
      <c r="IO21" s="33" t="s">
        <v>98</v>
      </c>
      <c r="IP21" s="33">
        <v>406.25</v>
      </c>
      <c r="IQ21" s="33">
        <v>700</v>
      </c>
      <c r="IR21" s="31">
        <f>IF(IQ21/(INDEX('Standards for Conversions'!$H$47:$H$73,MATCH(IP$3,'Standards for Conversions'!$A$47:$A$73,0)))=0,"",IQ21/(INDEX('Standards for Conversions'!$H$47:$H$73,MATCH(IP$3,'Standards for Conversions'!$A$47:$A$73,0))))</f>
        <v>101.22715973610265</v>
      </c>
      <c r="IS21" s="33" t="s">
        <v>98</v>
      </c>
      <c r="IV21" s="31" t="str">
        <f>IF(IU21/(INDEX('Standards for Conversions'!$H$47:$H$73,MATCH(IT$3,'Standards for Conversions'!$A$47:$A$73,0)))=0,"",IU21/(INDEX('Standards for Conversions'!$H$47:$H$73,MATCH(IT$3,'Standards for Conversions'!$A$47:$A$73,0))))</f>
        <v/>
      </c>
      <c r="IW21" s="33" t="s">
        <v>98</v>
      </c>
      <c r="IZ21" s="31" t="str">
        <f>IF(IY21/(INDEX('Standards for Conversions'!$H$47:$H$73,MATCH(IX$3,'Standards for Conversions'!$A$47:$A$73,0)))=0,"",IY21/(INDEX('Standards for Conversions'!$H$47:$H$73,MATCH(IX$3,'Standards for Conversions'!$A$47:$A$73,0))))</f>
        <v/>
      </c>
      <c r="JA21" s="33" t="s">
        <v>98</v>
      </c>
      <c r="JD21" s="31" t="str">
        <f>IF(JC21/(INDEX('Standards for Conversions'!$H$47:$H$73,MATCH(JB$3,'Standards for Conversions'!$A$47:$A$73,0)))=0,"",JC21/(INDEX('Standards for Conversions'!$H$47:$H$73,MATCH(JB$3,'Standards for Conversions'!$A$47:$A$73,0))))</f>
        <v/>
      </c>
      <c r="JE21" s="33" t="s">
        <v>98</v>
      </c>
      <c r="JF21" s="33">
        <v>325</v>
      </c>
      <c r="JG21" s="33">
        <v>600</v>
      </c>
      <c r="JH21" s="31">
        <f>IF(JG21/(INDEX('Standards for Conversions'!$H$47:$H$73,MATCH(JF$3,'Standards for Conversions'!$A$47:$A$73,0)))=0,"",JG21/(INDEX('Standards for Conversions'!$H$47:$H$73,MATCH(JF$3,'Standards for Conversions'!$A$47:$A$73,0))))</f>
        <v>97.056118015121214</v>
      </c>
      <c r="JL21" s="31" t="str">
        <f>IF(JK21/(INDEX('Standards for Conversions'!$H$47:$H$73,MATCH(JJ$3,'Standards for Conversions'!$A$47:$A$73,0)))=0,"",JK21/(INDEX('Standards for Conversions'!$H$47:$H$73,MATCH(JJ$3,'Standards for Conversions'!$A$47:$A$73,0))))</f>
        <v/>
      </c>
      <c r="JM21" s="33" t="s">
        <v>98</v>
      </c>
      <c r="JP21" s="31" t="str">
        <f>IF(JO21/(INDEX('Standards for Conversions'!$H$47:$H$73,MATCH(JN$3,'Standards for Conversions'!$A$47:$A$73,0)))=0,"",JO21/(INDEX('Standards for Conversions'!$H$47:$H$73,MATCH(JN$3,'Standards for Conversions'!$A$47:$A$73,0))))</f>
        <v/>
      </c>
      <c r="JQ21" s="33" t="s">
        <v>98</v>
      </c>
      <c r="JT21" s="31" t="str">
        <f>IF(JS21/(INDEX('Standards for Conversions'!$H$47:$H$73,MATCH(JR$3,'Standards for Conversions'!$A$47:$A$73,0)))=0,"",JS21/(INDEX('Standards for Conversions'!$H$47:$H$73,MATCH(JR$3,'Standards for Conversions'!$A$47:$A$73,0))))</f>
        <v/>
      </c>
      <c r="JU21" s="33" t="s">
        <v>98</v>
      </c>
      <c r="JV21" s="33">
        <v>243.75</v>
      </c>
      <c r="JW21" s="33">
        <v>500</v>
      </c>
      <c r="JX21" s="31">
        <f>IF(JW21/(INDEX('Standards for Conversions'!$H$47:$H$73,MATCH(JV$3,'Standards for Conversions'!$A$47:$A$73,0)))=0,"",JW21/(INDEX('Standards for Conversions'!$H$47:$H$73,MATCH(JV$3,'Standards for Conversions'!$A$47:$A$73,0))))</f>
        <v>76.327946213898784</v>
      </c>
      <c r="JY21" s="33" t="s">
        <v>98</v>
      </c>
      <c r="KB21" s="31" t="str">
        <f>IF(KA21/(INDEX('Standards for Conversions'!$H$47:$H$73,MATCH(JZ$3,'Standards for Conversions'!$A$47:$A$73,0)))=0,"",KA21/(INDEX('Standards for Conversions'!$H$47:$H$73,MATCH(JZ$3,'Standards for Conversions'!$A$47:$A$73,0))))</f>
        <v/>
      </c>
      <c r="KC21" s="33" t="s">
        <v>98</v>
      </c>
      <c r="KF21" s="31" t="str">
        <f>IF(KE21/(INDEX('Standards for Conversions'!$H$47:$H$73,MATCH(KD$3,'Standards for Conversions'!$A$47:$A$73,0)))=0,"",KE21/(INDEX('Standards for Conversions'!$H$47:$H$73,MATCH(KD$3,'Standards for Conversions'!$A$47:$A$73,0))))</f>
        <v/>
      </c>
      <c r="KG21" s="33" t="s">
        <v>98</v>
      </c>
      <c r="KJ21" s="31" t="str">
        <f>IF(KI21/(INDEX('Standards for Conversions'!$H$47:$H$73,MATCH(KH$3,'Standards for Conversions'!$A$47:$A$73,0)))=0,"",KI21/(INDEX('Standards for Conversions'!$H$47:$H$73,MATCH(KH$3,'Standards for Conversions'!$A$47:$A$73,0))))</f>
        <v/>
      </c>
      <c r="KK21" s="33" t="s">
        <v>98</v>
      </c>
      <c r="KL21" s="33">
        <v>260</v>
      </c>
      <c r="KM21" s="33">
        <v>600</v>
      </c>
      <c r="KN21" s="31">
        <f>IF(KM21/(INDEX('Standards for Conversions'!$H$47:$H$73,MATCH(KL$3,'Standards for Conversions'!$A$47:$A$73,0)))=0,"",KM21/(INDEX('Standards for Conversions'!$H$47:$H$73,MATCH(KL$3,'Standards for Conversions'!$A$47:$A$73,0))))</f>
        <v>80.795407143477874</v>
      </c>
      <c r="KO21" s="33" t="s">
        <v>98</v>
      </c>
      <c r="KR21" s="31" t="str">
        <f>IF(KQ21/(INDEX('Standards for Conversions'!$H$47:$H$73,MATCH(KP$3,'Standards for Conversions'!$A$47:$A$73,0)))=0,"",KQ21/(INDEX('Standards for Conversions'!$H$47:$H$73,MATCH(KP$3,'Standards for Conversions'!$A$47:$A$73,0))))</f>
        <v/>
      </c>
      <c r="KS21" s="33" t="s">
        <v>98</v>
      </c>
      <c r="KV21" s="31" t="str">
        <f>IF(KU21/(INDEX('Standards for Conversions'!$H$47:$H$73,MATCH(KT$3,'Standards for Conversions'!$A$47:$A$73,0)))=0,"",KU21/(INDEX('Standards for Conversions'!$H$47:$H$73,MATCH(KT$3,'Standards for Conversions'!$A$47:$A$73,0))))</f>
        <v/>
      </c>
      <c r="KW21" s="33" t="s">
        <v>98</v>
      </c>
      <c r="KZ21" s="31" t="str">
        <f>IF(KY21/(INDEX('Standards for Conversions'!$H$47:$H$73,MATCH(KX$3,'Standards for Conversions'!$A$47:$A$73,0)))=0,"",KY21/(INDEX('Standards for Conversions'!$H$47:$H$73,MATCH(KX$3,'Standards for Conversions'!$A$47:$A$73,0))))</f>
        <v/>
      </c>
      <c r="LA21" s="33" t="s">
        <v>98</v>
      </c>
      <c r="LB21" s="33">
        <v>263.25</v>
      </c>
      <c r="LC21" s="33">
        <v>735</v>
      </c>
      <c r="LD21" s="31">
        <f>IF(LC21/(INDEX('Standards for Conversions'!$H$47:$H$73,MATCH(LB$3,'Standards for Conversions'!$A$47:$A$73,0)))=0,"",LC21/(INDEX('Standards for Conversions'!$H$47:$H$73,MATCH(LB$3,'Standards for Conversions'!$A$47:$A$73,0))))</f>
        <v>89.388176544711897</v>
      </c>
      <c r="LH21" s="31" t="str">
        <f>IF(LG21/(INDEX('Standards for Conversions'!$H$47:$H$73,MATCH(LF$3,'Standards for Conversions'!$A$47:$A$73,0)))=0,"",LG21/(INDEX('Standards for Conversions'!$H$47:$H$73,MATCH(LF$3,'Standards for Conversions'!$A$47:$A$73,0))))</f>
        <v/>
      </c>
      <c r="LL21" s="31" t="str">
        <f>IF(LK21/(INDEX('Standards for Conversions'!$H$47:$H$73,MATCH(LJ$3,'Standards for Conversions'!$A$47:$A$73,0)))=0,"",LK21/(INDEX('Standards for Conversions'!$H$47:$H$73,MATCH(LJ$3,'Standards for Conversions'!$A$47:$A$73,0))))</f>
        <v/>
      </c>
      <c r="LO21" s="31" t="str">
        <f>IF(LN21/(INDEX('Standards for Conversions'!$H$47:$H$73,MATCH(LM$3,'Standards for Conversions'!$A$47:$A$73,0)))=0,"",LN21/(INDEX('Standards for Conversions'!$H$47:$H$73,MATCH(LM$3,'Standards for Conversions'!$A$47:$A$73,0))))</f>
        <v/>
      </c>
      <c r="LR21" s="31" t="str">
        <f>IF(LQ21/(INDEX('Standards for Conversions'!$H$47:$H$73,MATCH(LP$3,'Standards for Conversions'!$A$47:$A$73,0)))=0,"",LQ21/(INDEX('Standards for Conversions'!$H$47:$H$73,MATCH(LP$3,'Standards for Conversions'!$A$47:$A$73,0))))</f>
        <v/>
      </c>
      <c r="LV21" s="31" t="str">
        <f>IF(LU21/(INDEX('Standards for Conversions'!$H$47:$H$73,MATCH(LT$3,'Standards for Conversions'!$A$47:$A$73,0)))=0,"",LU21/(INDEX('Standards for Conversions'!$H$47:$H$73,MATCH(LT$3,'Standards for Conversions'!$A$47:$A$73,0))))</f>
        <v/>
      </c>
      <c r="LY21" s="31" t="str">
        <f>IF(LX21/(INDEX('Standards for Conversions'!$H$47:$H$73,MATCH(LW$3,'Standards for Conversions'!$A$47:$A$73,0)))=0,"",LX21/(INDEX('Standards for Conversions'!$H$47:$H$73,MATCH(LW$3,'Standards for Conversions'!$A$47:$A$73,0))))</f>
        <v/>
      </c>
      <c r="MB21" s="31" t="str">
        <f>IF(MA21/(INDEX('Standards for Conversions'!$H$47:$H$73,MATCH(LZ$3,'Standards for Conversions'!$A$47:$A$73,0)))=0,"",MA21/(INDEX('Standards for Conversions'!$H$47:$H$73,MATCH(LZ$3,'Standards for Conversions'!$A$47:$A$73,0))))</f>
        <v/>
      </c>
      <c r="ME21" s="31" t="str">
        <f>IF(MD21/(INDEX('Standards for Conversions'!$H$47:$H$73,MATCH(MC$3,'Standards for Conversions'!$A$47:$A$73,0)))=0,"",MD21/(INDEX('Standards for Conversions'!$H$47:$H$73,MATCH(MC$3,'Standards for Conversions'!$A$47:$A$73,0))))</f>
        <v/>
      </c>
      <c r="MH21" s="31" t="str">
        <f>IF(MG21/(INDEX('Standards for Conversions'!$H$47:$H$73,MATCH(MF$3,'Standards for Conversions'!$A$47:$A$73,0)))=0,"",MG21/(INDEX('Standards for Conversions'!$H$47:$H$73,MATCH(MF$3,'Standards for Conversions'!$A$47:$A$73,0))))</f>
        <v/>
      </c>
      <c r="MK21" s="31" t="str">
        <f>IF(MJ21/(INDEX('Standards for Conversions'!$H$47:$H$73,MATCH(MI$3,'Standards for Conversions'!$A$47:$A$73,0)))=0,"",MJ21/(INDEX('Standards for Conversions'!$H$47:$H$73,MATCH(MI$3,'Standards for Conversions'!$A$47:$A$73,0))))</f>
        <v/>
      </c>
      <c r="MN21" s="31" t="str">
        <f>IF(MM21/(INDEX('Standards for Conversions'!$H$47:$H$73,MATCH(ML$3,'Standards for Conversions'!$A$47:$A$73,0)))=0,"",MM21/(INDEX('Standards for Conversions'!$H$47:$H$73,MATCH(ML$3,'Standards for Conversions'!$A$47:$A$73,0))))</f>
        <v/>
      </c>
      <c r="MR21" s="31" t="str">
        <f>IF(MQ21/(INDEX('Standards for Conversions'!$H$47:$H$73,MATCH(MP$3,'Standards for Conversions'!$A$47:$A$73,0)))=0,"",MQ21/(INDEX('Standards for Conversions'!$H$47:$H$73,MATCH(MP$3,'Standards for Conversions'!$A$47:$A$73,0))))</f>
        <v/>
      </c>
    </row>
    <row r="22" spans="1:373" s="33" customFormat="1" x14ac:dyDescent="0.3">
      <c r="A22" s="102" t="s">
        <v>205</v>
      </c>
      <c r="B22" s="10"/>
      <c r="C22" s="7"/>
      <c r="D22" s="7"/>
      <c r="E22" s="31" t="str">
        <f>IF(D22/(INDEX('Standards for Conversions'!$H$34:$H$73,MATCH(C$3,'Standards for Conversions'!$A$34:$A$73,0)))=0,"",D22/(INDEX('Standards for Conversions'!$H$34:$H$73,MATCH(C$3,'Standards for Conversions'!$A$34:$A$73,0))))</f>
        <v/>
      </c>
      <c r="F22" s="10"/>
      <c r="G22" s="7"/>
      <c r="H22" s="7"/>
      <c r="I22" s="31" t="str">
        <f>IF(H22/(INDEX('Standards for Conversions'!$H$34:$H$73,MATCH(G$3,'Standards for Conversions'!$A$34:$A$73,0)))=0,"",H22/(INDEX('Standards for Conversions'!$H$34:$H$73,MATCH(G$3,'Standards for Conversions'!$A$34:$A$73,0))))</f>
        <v/>
      </c>
      <c r="J22" s="10"/>
      <c r="K22" s="9"/>
      <c r="L22" s="9"/>
      <c r="M22" s="31" t="str">
        <f>IF(L22/(INDEX('Standards for Conversions'!$H$34:$H$73,MATCH(K$3,'Standards for Conversions'!$A$34:$A$73,0)))=0,"",L22/(INDEX('Standards for Conversions'!$H$34:$H$73,MATCH(K$3,'Standards for Conversions'!$A$34:$A$73,0))))</f>
        <v/>
      </c>
      <c r="N22" s="10"/>
      <c r="O22" s="7"/>
      <c r="P22" s="7"/>
      <c r="Q22" s="31" t="str">
        <f>IF(P22/(INDEX('Standards for Conversions'!$H$34:$H$73,MATCH(O$3,'Standards for Conversions'!$A$34:$A$73,0)))=0,"",P22/(INDEX('Standards for Conversions'!$H$34:$H$73,MATCH(O$3,'Standards for Conversions'!$A$34:$A$73,0))))</f>
        <v/>
      </c>
      <c r="R22" s="10"/>
      <c r="S22" s="7"/>
      <c r="T22" s="7"/>
      <c r="U22" s="31" t="str">
        <f>IF(T22/(INDEX('Standards for Conversions'!$H$34:$H$73,MATCH(S$3,'Standards for Conversions'!$A$34:$A$73,0)))=0,"",T22/(INDEX('Standards for Conversions'!$H$34:$H$73,MATCH(S$3,'Standards for Conversions'!$A$34:$A$73,0))))</f>
        <v/>
      </c>
      <c r="V22" s="10"/>
      <c r="W22" s="7"/>
      <c r="X22" s="7"/>
      <c r="Y22" s="31" t="str">
        <f>IF(X22/(INDEX('Standards for Conversions'!$H$34:$H$73,MATCH(W$3,'Standards for Conversions'!$A$34:$A$73,0)))=0,"",X22/(INDEX('Standards for Conversions'!$H$34:$H$73,MATCH(W$3,'Standards for Conversions'!$A$34:$A$73,0))))</f>
        <v/>
      </c>
      <c r="Z22" s="10"/>
      <c r="AA22" s="9"/>
      <c r="AB22" s="9"/>
      <c r="AC22" s="31" t="str">
        <f>IF(AB22/(INDEX('Standards for Conversions'!$H$34:$H$73,MATCH(AA$3,'Standards for Conversions'!$A$34:$A$73,0)))=0,"",AB22/(INDEX('Standards for Conversions'!$H$34:$H$73,MATCH(AA$3,'Standards for Conversions'!$A$34:$A$73,0))))</f>
        <v/>
      </c>
      <c r="AD22" s="10"/>
      <c r="AE22" s="7"/>
      <c r="AF22" s="7"/>
      <c r="AG22" s="31" t="str">
        <f>IF(AF22/(INDEX('Standards for Conversions'!$H$34:$H$73,MATCH(AE$3,'Standards for Conversions'!$A$34:$A$73,0)))=0,"",AF22/(INDEX('Standards for Conversions'!$H$34:$H$73,MATCH(AE$3,'Standards for Conversions'!$A$34:$A$73,0))))</f>
        <v/>
      </c>
      <c r="AH22" s="10"/>
      <c r="AI22" s="7"/>
      <c r="AJ22" s="7"/>
      <c r="AK22" s="31" t="str">
        <f>IF(AJ22/(INDEX('Standards for Conversions'!$H$34:$H$73,MATCH(AI$3,'Standards for Conversions'!$A$34:$A$73,0)))=0,"",AJ22/(INDEX('Standards for Conversions'!$H$34:$H$73,MATCH(AI$3,'Standards for Conversions'!$A$34:$A$73,0))))</f>
        <v/>
      </c>
      <c r="AL22" s="10"/>
      <c r="AM22" s="7"/>
      <c r="AN22" s="7"/>
      <c r="AO22" s="31" t="str">
        <f>IF(AN22/(INDEX('Standards for Conversions'!$H$34:$H$73,MATCH(AM$3,'Standards for Conversions'!$A$34:$A$73,0)))=0,"",AN22/(INDEX('Standards for Conversions'!$H$34:$H$73,MATCH(AM$3,'Standards for Conversions'!$A$34:$A$73,0))))</f>
        <v/>
      </c>
      <c r="AP22" s="10"/>
      <c r="AQ22" s="9"/>
      <c r="AR22" s="9"/>
      <c r="AS22" s="31" t="str">
        <f>IF(AR22/(INDEX('Standards for Conversions'!$H$34:$H$73,MATCH(AQ$3,'Standards for Conversions'!$A$34:$A$73,0)))=0,"",AR22/(INDEX('Standards for Conversions'!$H$34:$H$73,MATCH(AQ$3,'Standards for Conversions'!$A$34:$A$73,0))))</f>
        <v/>
      </c>
      <c r="AT22" s="10"/>
      <c r="AU22" s="7"/>
      <c r="AV22" s="7"/>
      <c r="AW22" s="31" t="str">
        <f>IF(AV22/(INDEX('Standards for Conversions'!$H$34:$H$73,MATCH(AU$3,'Standards for Conversions'!$A$34:$A$73,0)))=0,"",AV22/(INDEX('Standards for Conversions'!$H$34:$H$73,MATCH(AU$3,'Standards for Conversions'!$A$34:$A$73,0))))</f>
        <v/>
      </c>
      <c r="AX22" s="10"/>
      <c r="AY22" s="7"/>
      <c r="AZ22" s="7"/>
      <c r="BA22" s="31" t="str">
        <f>IF(AZ22/(INDEX('Standards for Conversions'!$H$34:$H$73,MATCH(AY$3,'Standards for Conversions'!$A$34:$A$73,0)))=0,"",AZ22/(INDEX('Standards for Conversions'!$H$34:$H$73,MATCH(AY$3,'Standards for Conversions'!$A$34:$A$73,0))))</f>
        <v/>
      </c>
      <c r="BB22" s="10"/>
      <c r="BC22" s="7"/>
      <c r="BD22" s="7"/>
      <c r="BE22" s="31" t="str">
        <f>IF(BD22/(INDEX('Standards for Conversions'!$H$34:$H$73,MATCH(BC$3,'Standards for Conversions'!$A$34:$A$73,0)))=0,"",BD22/(INDEX('Standards for Conversions'!$H$34:$H$73,MATCH(BC$3,'Standards for Conversions'!$A$34:$A$73,0))))</f>
        <v/>
      </c>
      <c r="BF22" s="10"/>
      <c r="BG22" s="9"/>
      <c r="BH22" s="9"/>
      <c r="BI22" s="31" t="str">
        <f>IF(BH22/(INDEX('Standards for Conversions'!$H$34:$H$73,MATCH(BG$3,'Standards for Conversions'!$A$34:$A$73,0)))=0,"",BH22/(INDEX('Standards for Conversions'!$H$34:$H$73,MATCH(BG$3,'Standards for Conversions'!$A$34:$A$73,0))))</f>
        <v/>
      </c>
      <c r="BJ22" s="10"/>
      <c r="BK22" s="7"/>
      <c r="BL22" s="7"/>
      <c r="BM22" s="31" t="str">
        <f>IF(BL22/(INDEX('Standards for Conversions'!$H$34:$H$73,MATCH(BK$3,'Standards for Conversions'!$A$34:$A$73,0)))=0,"",BL22/(INDEX('Standards for Conversions'!$H$34:$H$73,MATCH(BK$3,'Standards for Conversions'!$A$34:$A$73,0))))</f>
        <v/>
      </c>
      <c r="BN22" s="10"/>
      <c r="BO22" s="7"/>
      <c r="BP22" s="7"/>
      <c r="BQ22" s="31" t="str">
        <f>IF(BP22/(INDEX('Standards for Conversions'!$H$34:$H$73,MATCH(BO$3,'Standards for Conversions'!$A$34:$A$73,0)))=0,"",BP22/(INDEX('Standards for Conversions'!$H$34:$H$73,MATCH(BO$3,'Standards for Conversions'!$A$34:$A$73,0))))</f>
        <v/>
      </c>
      <c r="BR22" s="10"/>
      <c r="BS22" s="7"/>
      <c r="BT22" s="7"/>
      <c r="BU22" s="31" t="str">
        <f>IF(BT22/(INDEX('Standards for Conversions'!$H$34:$H$73,MATCH(BS$3,'Standards for Conversions'!$A$34:$A$73,0)))=0,"",BT22/(INDEX('Standards for Conversions'!$H$34:$H$73,MATCH(BS$3,'Standards for Conversions'!$A$34:$A$73,0))))</f>
        <v/>
      </c>
      <c r="BV22" s="10"/>
      <c r="BW22" s="9"/>
      <c r="BX22" s="9"/>
      <c r="BY22" s="31" t="str">
        <f>IF(BX22/(INDEX('Standards for Conversions'!$H$34:$H$73,MATCH(BW$3,'Standards for Conversions'!$A$34:$A$73,0)))=0,"",BX22/(INDEX('Standards for Conversions'!$H$34:$H$73,MATCH(BW$3,'Standards for Conversions'!$A$34:$A$73,0))))</f>
        <v/>
      </c>
      <c r="BZ22" s="10"/>
      <c r="CA22" s="7"/>
      <c r="CB22" s="7"/>
      <c r="CC22" s="31" t="str">
        <f>IF(CB22/(INDEX('Standards for Conversions'!$H$34:$H$73,MATCH(CA$3,'Standards for Conversions'!$A$34:$A$73,0)))=0,"",CB22/(INDEX('Standards for Conversions'!$H$34:$H$73,MATCH(CA$3,'Standards for Conversions'!$A$34:$A$73,0))))</f>
        <v/>
      </c>
      <c r="CD22" s="10"/>
      <c r="CE22" s="7"/>
      <c r="CF22" s="7"/>
      <c r="CG22" s="31" t="str">
        <f>IF(CF22/(INDEX('Standards for Conversions'!$H$34:$H$73,MATCH(CE$3,'Standards for Conversions'!$A$34:$A$73,0)))=0,"",CF22/(INDEX('Standards for Conversions'!$H$34:$H$73,MATCH(CE$3,'Standards for Conversions'!$A$34:$A$73,0))))</f>
        <v/>
      </c>
      <c r="CH22" s="10"/>
      <c r="CI22" s="7"/>
      <c r="CJ22" s="7"/>
      <c r="CK22" s="31" t="str">
        <f>IF(CJ22/(INDEX('Standards for Conversions'!$H$34:$H$73,MATCH(CI$3,'Standards for Conversions'!$A$34:$A$73,0)))=0,"",CJ22/(INDEX('Standards for Conversions'!$H$34:$H$73,MATCH(CI$3,'Standards for Conversions'!$A$34:$A$73,0))))</f>
        <v/>
      </c>
      <c r="CL22" s="10"/>
      <c r="CM22" s="9"/>
      <c r="CN22" s="9"/>
      <c r="CO22" s="31" t="str">
        <f>IF(CN22/(INDEX('Standards for Conversions'!$H$34:$H$73,MATCH(CM$3,'Standards for Conversions'!$A$34:$A$73,0)))=0,"",CN22/(INDEX('Standards for Conversions'!$H$34:$H$73,MATCH(CM$3,'Standards for Conversions'!$A$34:$A$73,0))))</f>
        <v/>
      </c>
      <c r="CP22" s="10"/>
      <c r="CQ22" s="7"/>
      <c r="CR22" s="7"/>
      <c r="CS22" s="31" t="str">
        <f>IF(CR22/(INDEX('Standards for Conversions'!$H$34:$H$73,MATCH(CQ$3,'Standards for Conversions'!$A$34:$A$73,0)))=0,"",CR22/(INDEX('Standards for Conversions'!$H$34:$H$73,MATCH(CQ$3,'Standards for Conversions'!$A$34:$A$73,0))))</f>
        <v/>
      </c>
      <c r="CT22" s="10"/>
      <c r="CU22" s="7"/>
      <c r="CV22" s="7"/>
      <c r="CW22" s="31" t="str">
        <f>IF(CV22/(INDEX('Standards for Conversions'!$H$34:$H$73,MATCH(CU$3,'Standards for Conversions'!$A$34:$A$73,0)))=0,"",CV22/(INDEX('Standards for Conversions'!$H$34:$H$73,MATCH(CU$3,'Standards for Conversions'!$A$34:$A$73,0))))</f>
        <v/>
      </c>
      <c r="CX22" s="10"/>
      <c r="CY22" s="7"/>
      <c r="CZ22" s="7"/>
      <c r="DA22" s="31" t="str">
        <f>IF(CZ22/(INDEX('Standards for Conversions'!$H$34:$H$73,MATCH(CY$3,'Standards for Conversions'!$A$34:$A$73,0)))=0,"",CZ22/(INDEX('Standards for Conversions'!$H$34:$H$73,MATCH(CY$3,'Standards for Conversions'!$A$34:$A$73,0))))</f>
        <v/>
      </c>
      <c r="DB22" s="10"/>
      <c r="DC22" s="9"/>
      <c r="DD22" s="9"/>
      <c r="DE22" s="31" t="str">
        <f>IF(DD22/(INDEX('Standards for Conversions'!$H$34:$H$73,MATCH(DC$3,'Standards for Conversions'!$A$34:$A$73,0)))=0,"",DD22/(INDEX('Standards for Conversions'!$H$34:$H$73,MATCH(DC$3,'Standards for Conversions'!$A$34:$A$73,0))))</f>
        <v/>
      </c>
      <c r="DF22" s="10"/>
      <c r="DG22" s="7"/>
      <c r="DH22" s="7"/>
      <c r="DI22" s="31" t="str">
        <f>IF(DH22/(INDEX('Standards for Conversions'!$H$34:$H$73,MATCH(DG$3,'Standards for Conversions'!$A$34:$A$73,0)))=0,"",DH22/(INDEX('Standards for Conversions'!$H$34:$H$73,MATCH(DG$3,'Standards for Conversions'!$A$34:$A$73,0))))</f>
        <v/>
      </c>
      <c r="DJ22" s="10"/>
      <c r="DK22" s="7"/>
      <c r="DL22" s="7"/>
      <c r="DM22" s="31" t="str">
        <f>IF(DL22/(INDEX('Standards for Conversions'!$H$34:$H$73,MATCH(DK$3,'Standards for Conversions'!$A$34:$A$73,0)))=0,"",DL22/(INDEX('Standards for Conversions'!$H$34:$H$73,MATCH(DK$3,'Standards for Conversions'!$A$34:$A$73,0))))</f>
        <v/>
      </c>
      <c r="DN22" s="10"/>
      <c r="DO22" s="7"/>
      <c r="DP22" s="7"/>
      <c r="DQ22" s="31" t="str">
        <f>IF(DP22/(INDEX('Standards for Conversions'!$H$34:$H$73,MATCH(DO$3,'Standards for Conversions'!$A$34:$A$73,0)))=0,"",DP22/(INDEX('Standards for Conversions'!$H$34:$H$73,MATCH(DO$3,'Standards for Conversions'!$A$34:$A$73,0))))</f>
        <v/>
      </c>
      <c r="DR22" s="10"/>
      <c r="DS22" s="9"/>
      <c r="DT22" s="9"/>
      <c r="DU22" s="31" t="str">
        <f>IF(DT22/(INDEX('Standards for Conversions'!$H$34:$H$73,MATCH(DS$3,'Standards for Conversions'!$A$34:$A$73,0)))=0,"",DT22/(INDEX('Standards for Conversions'!$H$34:$H$73,MATCH(DS$3,'Standards for Conversions'!$A$34:$A$73,0))))</f>
        <v/>
      </c>
      <c r="DV22" s="10"/>
      <c r="DW22" s="7"/>
      <c r="DX22" s="7"/>
      <c r="DY22" s="31" t="str">
        <f>IF(DX22/(INDEX('Standards for Conversions'!$H$34:$H$73,MATCH(DW$3,'Standards for Conversions'!$A$34:$A$73,0)))=0,"",DX22/(INDEX('Standards for Conversions'!$H$34:$H$73,MATCH(DW$3,'Standards for Conversions'!$A$34:$A$73,0))))</f>
        <v/>
      </c>
      <c r="DZ22" s="10"/>
      <c r="EA22" s="7"/>
      <c r="EB22" s="7"/>
      <c r="EC22" s="31" t="str">
        <f>IF(EB22/(INDEX('Standards for Conversions'!$H$34:$H$73,MATCH(EA$3,'Standards for Conversions'!$A$34:$A$73,0)))=0,"",EB22/(INDEX('Standards for Conversions'!$H$34:$H$73,MATCH(EA$3,'Standards for Conversions'!$A$34:$A$73,0))))</f>
        <v/>
      </c>
      <c r="ED22" s="10"/>
      <c r="EE22" s="7"/>
      <c r="EF22" s="7"/>
      <c r="EG22" s="31" t="str">
        <f>IF(EF22/(INDEX('Standards for Conversions'!$H$34:$H$73,MATCH(EE$3,'Standards for Conversions'!$A$34:$A$73,0)))=0,"",EF22/(INDEX('Standards for Conversions'!$H$34:$H$73,MATCH(EE$3,'Standards for Conversions'!$A$34:$A$73,0))))</f>
        <v/>
      </c>
      <c r="EH22" s="10"/>
      <c r="EI22" s="9"/>
      <c r="EJ22" s="9"/>
      <c r="EK22" s="31" t="str">
        <f>IF(EJ22/(INDEX('Standards for Conversions'!$H$34:$H$73,MATCH(EI$3,'Standards for Conversions'!$A$34:$A$73,0)))=0,"",EJ22/(INDEX('Standards for Conversions'!$H$34:$H$73,MATCH(EI$3,'Standards for Conversions'!$A$34:$A$73,0))))</f>
        <v/>
      </c>
      <c r="EL22" s="10"/>
      <c r="EM22" s="7"/>
      <c r="EN22" s="7"/>
      <c r="EO22" s="31" t="str">
        <f>IF(EN22/(INDEX('Standards for Conversions'!$H$34:$H$73,MATCH(EM$3,'Standards for Conversions'!$A$34:$A$73,0)))=0,"",EN22/(INDEX('Standards for Conversions'!$H$34:$H$73,MATCH(EM$3,'Standards for Conversions'!$A$34:$A$73,0))))</f>
        <v/>
      </c>
      <c r="EP22" s="10"/>
      <c r="EQ22" s="7"/>
      <c r="ER22" s="7"/>
      <c r="ES22" s="31" t="str">
        <f>IF(ER22/(INDEX('Standards for Conversions'!$H$34:$H$73,MATCH(EQ$3,'Standards for Conversions'!$A$34:$A$73,0)))=0,"",ER22/(INDEX('Standards for Conversions'!$H$34:$H$73,MATCH(EQ$3,'Standards for Conversions'!$A$34:$A$73,0))))</f>
        <v/>
      </c>
      <c r="ET22" s="10"/>
      <c r="EU22" s="7"/>
      <c r="EV22" s="7"/>
      <c r="EW22" s="31" t="str">
        <f>IF(EV22/(INDEX('Standards for Conversions'!$H$34:$H$73,MATCH(EU$3,'Standards for Conversions'!$A$34:$A$73,0)))=0,"",EV22/(INDEX('Standards for Conversions'!$H$34:$H$73,MATCH(EU$3,'Standards for Conversions'!$A$34:$A$73,0))))</f>
        <v/>
      </c>
      <c r="EX22" s="10"/>
      <c r="EY22" s="9"/>
      <c r="EZ22" s="9"/>
      <c r="FA22" s="31" t="str">
        <f>IF(EZ22/(INDEX('Standards for Conversions'!$H$34:$H$73,MATCH(EY$3,'Standards for Conversions'!$A$34:$A$73,0)))=0,"",EZ22/(INDEX('Standards for Conversions'!$H$34:$H$73,MATCH(EY$3,'Standards for Conversions'!$A$34:$A$73,0))))</f>
        <v/>
      </c>
      <c r="FB22" s="10"/>
      <c r="FC22" s="7"/>
      <c r="FD22" s="7"/>
      <c r="FE22" s="31" t="str">
        <f>IF(FD22/(INDEX('Standards for Conversions'!$H$34:$H$73,MATCH(FC$3,'Standards for Conversions'!$A$34:$A$73,0)))=0,"",FD22/(INDEX('Standards for Conversions'!$H$34:$H$73,MATCH(FC$3,'Standards for Conversions'!$A$34:$A$73,0))))</f>
        <v/>
      </c>
      <c r="FF22" s="10"/>
      <c r="FG22" s="7"/>
      <c r="FH22" s="7"/>
      <c r="FI22" s="31" t="str">
        <f>IF(FH22/(INDEX('Standards for Conversions'!$H$34:$H$73,MATCH(FG$3,'Standards for Conversions'!$A$34:$A$73,0)))=0,"",FH22/(INDEX('Standards for Conversions'!$H$34:$H$73,MATCH(FG$3,'Standards for Conversions'!$A$34:$A$73,0))))</f>
        <v/>
      </c>
      <c r="FJ22" s="10"/>
      <c r="FK22" s="7"/>
      <c r="FL22" s="7"/>
      <c r="FM22" s="31" t="str">
        <f>IF(FL22/(INDEX('Standards for Conversions'!$H$34:$H$73,MATCH(FK$3,'Standards for Conversions'!$A$34:$A$73,0)))=0,"",FL22/(INDEX('Standards for Conversions'!$H$34:$H$73,MATCH(FK$3,'Standards for Conversions'!$A$34:$A$73,0))))</f>
        <v/>
      </c>
      <c r="FN22" s="10"/>
      <c r="FO22" s="9"/>
      <c r="FP22" s="9"/>
      <c r="FQ22" s="31" t="str">
        <f>IF(FP22/(INDEX('Standards for Conversions'!$H$34:$H$73,MATCH(FO$3,'Standards for Conversions'!$A$34:$A$73,0)))=0,"",FP22/(INDEX('Standards for Conversions'!$H$34:$H$73,MATCH(FO$3,'Standards for Conversions'!$A$34:$A$73,0))))</f>
        <v/>
      </c>
      <c r="FR22" s="10"/>
      <c r="FS22" s="7"/>
      <c r="FT22" s="7"/>
      <c r="FU22" s="31" t="str">
        <f>IF(FT22/(INDEX('Standards for Conversions'!$H$34:$H$73,MATCH(FS$3,'Standards for Conversions'!$A$34:$A$73,0)))=0,"",FT22/(INDEX('Standards for Conversions'!$H$34:$H$73,MATCH(FS$3,'Standards for Conversions'!$A$34:$A$73,0))))</f>
        <v/>
      </c>
      <c r="FV22" s="10"/>
      <c r="FW22" s="7"/>
      <c r="FX22" s="7"/>
      <c r="FY22" s="31" t="str">
        <f>IF(FX22/(INDEX('Standards for Conversions'!$H$34:$H$73,MATCH(FW$3,'Standards for Conversions'!$A$34:$A$73,0)))=0,"",FX22/(INDEX('Standards for Conversions'!$H$34:$H$73,MATCH(FW$3,'Standards for Conversions'!$A$34:$A$73,0))))</f>
        <v/>
      </c>
      <c r="FZ22" s="10"/>
      <c r="GA22" s="7"/>
      <c r="GB22" s="7"/>
      <c r="GC22" s="31" t="str">
        <f>IF(GB22/(INDEX('Standards for Conversions'!$H$34:$H$73,MATCH(GA$3,'Standards for Conversions'!$A$34:$A$73,0)))=0,"",GB22/(INDEX('Standards for Conversions'!$H$34:$H$73,MATCH(GA$3,'Standards for Conversions'!$A$34:$A$73,0))))</f>
        <v/>
      </c>
      <c r="GD22" s="10"/>
      <c r="GE22" s="9"/>
      <c r="GF22" s="9"/>
      <c r="GG22" s="31" t="str">
        <f>IF(GF22/(INDEX('Standards for Conversions'!$H$34:$H$73,MATCH(GE$3,'Standards for Conversions'!$A$34:$A$73,0)))=0,"",GF22/(INDEX('Standards for Conversions'!$H$34:$H$73,MATCH(GE$3,'Standards for Conversions'!$A$34:$A$73,0))))</f>
        <v/>
      </c>
      <c r="GH22" s="10"/>
      <c r="GI22" s="7"/>
      <c r="GJ22" s="7"/>
      <c r="GK22" s="31" t="str">
        <f>IF(GJ22/(INDEX('Standards for Conversions'!$H$34:$H$73,MATCH(GI$3,'Standards for Conversions'!$A$34:$A$73,0)))=0,"",GJ22/(INDEX('Standards for Conversions'!$H$34:$H$73,MATCH(GI$3,'Standards for Conversions'!$A$34:$A$73,0))))</f>
        <v/>
      </c>
      <c r="GL22" s="10"/>
      <c r="GM22" s="7"/>
      <c r="GN22" s="7"/>
      <c r="GO22" s="31" t="str">
        <f>IF(GN22/(INDEX('Standards for Conversions'!$H$34:$H$73,MATCH(GM$3,'Standards for Conversions'!$A$34:$A$73,0)))=0,"",GN22/(INDEX('Standards for Conversions'!$H$34:$H$73,MATCH(GM$3,'Standards for Conversions'!$A$34:$A$73,0))))</f>
        <v/>
      </c>
      <c r="GP22" s="10"/>
      <c r="GQ22" s="7"/>
      <c r="GR22" s="7"/>
      <c r="GS22" s="31" t="str">
        <f>IF(GR22/(INDEX('Standards for Conversions'!$H$34:$H$73,MATCH(GQ$3,'Standards for Conversions'!$A$34:$A$73,0)))=0,"",GR22/(INDEX('Standards for Conversions'!$H$34:$H$73,MATCH(GQ$3,'Standards for Conversions'!$A$34:$A$73,0))))</f>
        <v/>
      </c>
      <c r="GT22" s="10"/>
      <c r="GU22" s="9"/>
      <c r="GV22" s="9"/>
      <c r="GW22" s="31" t="str">
        <f>IF(GV22/(INDEX('Standards for Conversions'!$H$34:$H$73,MATCH(GU$3,'Standards for Conversions'!$A$34:$A$73,0)))=0,"",GV22/(INDEX('Standards for Conversions'!$H$34:$H$73,MATCH(GU$3,'Standards for Conversions'!$A$34:$A$73,0))))</f>
        <v/>
      </c>
      <c r="GX22" s="10"/>
      <c r="GY22" s="7"/>
      <c r="GZ22" s="7"/>
      <c r="HA22" s="31" t="str">
        <f>IF(GZ22/(INDEX('Standards for Conversions'!$H$34:$H$73,MATCH(GY$3,'Standards for Conversions'!$A$34:$A$73,0)))=0,"",GZ22/(INDEX('Standards for Conversions'!$H$34:$H$73,MATCH(GY$3,'Standards for Conversions'!$A$34:$A$73,0))))</f>
        <v/>
      </c>
      <c r="HB22" s="10"/>
      <c r="HC22" s="7"/>
      <c r="HD22" s="7"/>
      <c r="HE22" s="31" t="str">
        <f>IF(HD22/(INDEX('Standards for Conversions'!$H$34:$H$73,MATCH(HC$3,'Standards for Conversions'!$A$34:$A$73,0)))=0,"",HD22/(INDEX('Standards for Conversions'!$H$34:$H$73,MATCH(HC$3,'Standards for Conversions'!$A$34:$A$73,0))))</f>
        <v/>
      </c>
      <c r="HF22" s="10"/>
      <c r="HG22" s="7"/>
      <c r="HH22" s="7"/>
      <c r="HI22" s="31" t="str">
        <f>IF(HH22/(INDEX('Standards for Conversions'!$H$34:$H$73,MATCH(HG$3,'Standards for Conversions'!$A$34:$A$73,0)))=0,"",HH22/(INDEX('Standards for Conversions'!$H$34:$H$73,MATCH(HG$3,'Standards for Conversions'!$A$34:$A$73,0))))</f>
        <v/>
      </c>
      <c r="HJ22" s="10"/>
      <c r="HK22" s="9"/>
      <c r="HL22" s="9"/>
      <c r="HM22" s="31" t="str">
        <f>IF(HL22/(INDEX('Standards for Conversions'!$H$34:$H$73,MATCH(HK$3,'Standards for Conversions'!$A$34:$A$73,0)))=0,"",HL22/(INDEX('Standards for Conversions'!$H$34:$H$73,MATCH(HK$3,'Standards for Conversions'!$A$34:$A$73,0))))</f>
        <v/>
      </c>
      <c r="HN22" s="10"/>
      <c r="HO22" s="7"/>
      <c r="HP22" s="7"/>
      <c r="HQ22" s="31" t="str">
        <f>IF(HP22/(INDEX('Standards for Conversions'!$H$34:$H$73,MATCH(HO$3,'Standards for Conversions'!$A$34:$A$73,0)))=0,"",HP22/(INDEX('Standards for Conversions'!$H$34:$H$73,MATCH(HO$3,'Standards for Conversions'!$A$34:$A$73,0))))</f>
        <v/>
      </c>
      <c r="HU22" s="31" t="str">
        <f>IF(HT22/(INDEX('Standards for Conversions'!$H$47:$H$73,MATCH(HS$3,'Standards for Conversions'!$A$47:$A$73,0)))=0,"",HT22/(INDEX('Standards for Conversions'!$H$47:$H$73,MATCH(HS$3,'Standards for Conversions'!$A$47:$A$73,0))))</f>
        <v/>
      </c>
      <c r="HY22" s="31" t="str">
        <f>IF(HX22/(INDEX('Standards for Conversions'!$H$47:$H$73,MATCH(HW$3,'Standards for Conversions'!$A$47:$A$73,0)))=0,"",HX22/(INDEX('Standards for Conversions'!$H$47:$H$73,MATCH(HW$3,'Standards for Conversions'!$A$47:$A$73,0))))</f>
        <v/>
      </c>
      <c r="IB22" s="31" t="str">
        <f>IF(IA22/(INDEX('Standards for Conversions'!$H$47:$H$73,MATCH(HZ$3,'Standards for Conversions'!$A$47:$A$73,0)))=0,"",IA22/(INDEX('Standards for Conversions'!$H$47:$H$73,MATCH(HZ$3,'Standards for Conversions'!$A$47:$A$73,0))))</f>
        <v/>
      </c>
      <c r="IF22" s="31" t="str">
        <f>IF(IE22/(INDEX('Standards for Conversions'!$H$47:$H$73,MATCH(ID$3,'Standards for Conversions'!$A$47:$A$73,0)))=0,"",IE22/(INDEX('Standards for Conversions'!$H$47:$H$73,MATCH(ID$3,'Standards for Conversions'!$A$47:$A$73,0))))</f>
        <v/>
      </c>
      <c r="IJ22" s="31" t="str">
        <f>IF(II22/(INDEX('Standards for Conversions'!$H$47:$H$73,MATCH(IH$3,'Standards for Conversions'!$A$47:$A$73,0)))=0,"",II22/(INDEX('Standards for Conversions'!$H$47:$H$73,MATCH(IH$3,'Standards for Conversions'!$A$47:$A$73,0))))</f>
        <v/>
      </c>
      <c r="IN22" s="31" t="str">
        <f>IF(IM22/(INDEX('Standards for Conversions'!$H$47:$H$73,MATCH(IL$3,'Standards for Conversions'!$A$47:$A$73,0)))=0,"",IM22/(INDEX('Standards for Conversions'!$H$47:$H$73,MATCH(IL$3,'Standards for Conversions'!$A$47:$A$73,0))))</f>
        <v/>
      </c>
      <c r="IR22" s="31" t="str">
        <f>IF(IQ22/(INDEX('Standards for Conversions'!$H$47:$H$73,MATCH(IP$3,'Standards for Conversions'!$A$47:$A$73,0)))=0,"",IQ22/(INDEX('Standards for Conversions'!$H$47:$H$73,MATCH(IP$3,'Standards for Conversions'!$A$47:$A$73,0))))</f>
        <v/>
      </c>
      <c r="IV22" s="31" t="str">
        <f>IF(IU22/(INDEX('Standards for Conversions'!$H$47:$H$73,MATCH(IT$3,'Standards for Conversions'!$A$47:$A$73,0)))=0,"",IU22/(INDEX('Standards for Conversions'!$H$47:$H$73,MATCH(IT$3,'Standards for Conversions'!$A$47:$A$73,0))))</f>
        <v/>
      </c>
      <c r="IZ22" s="31" t="str">
        <f>IF(IY22/(INDEX('Standards for Conversions'!$H$47:$H$73,MATCH(IX$3,'Standards for Conversions'!$A$47:$A$73,0)))=0,"",IY22/(INDEX('Standards for Conversions'!$H$47:$H$73,MATCH(IX$3,'Standards for Conversions'!$A$47:$A$73,0))))</f>
        <v/>
      </c>
      <c r="JD22" s="31" t="str">
        <f>IF(JC22/(INDEX('Standards for Conversions'!$H$47:$H$73,MATCH(JB$3,'Standards for Conversions'!$A$47:$A$73,0)))=0,"",JC22/(INDEX('Standards for Conversions'!$H$47:$H$73,MATCH(JB$3,'Standards for Conversions'!$A$47:$A$73,0))))</f>
        <v/>
      </c>
      <c r="JH22" s="31" t="str">
        <f>IF(JG22/(INDEX('Standards for Conversions'!$H$47:$H$73,MATCH(JF$3,'Standards for Conversions'!$A$47:$A$73,0)))=0,"",JG22/(INDEX('Standards for Conversions'!$H$47:$H$73,MATCH(JF$3,'Standards for Conversions'!$A$47:$A$73,0))))</f>
        <v/>
      </c>
      <c r="JL22" s="31" t="str">
        <f>IF(JK22/(INDEX('Standards for Conversions'!$H$47:$H$73,MATCH(JJ$3,'Standards for Conversions'!$A$47:$A$73,0)))=0,"",JK22/(INDEX('Standards for Conversions'!$H$47:$H$73,MATCH(JJ$3,'Standards for Conversions'!$A$47:$A$73,0))))</f>
        <v/>
      </c>
      <c r="JP22" s="31" t="str">
        <f>IF(JO22/(INDEX('Standards for Conversions'!$H$47:$H$73,MATCH(JN$3,'Standards for Conversions'!$A$47:$A$73,0)))=0,"",JO22/(INDEX('Standards for Conversions'!$H$47:$H$73,MATCH(JN$3,'Standards for Conversions'!$A$47:$A$73,0))))</f>
        <v/>
      </c>
      <c r="JT22" s="31" t="str">
        <f>IF(JS22/(INDEX('Standards for Conversions'!$H$47:$H$73,MATCH(JR$3,'Standards for Conversions'!$A$47:$A$73,0)))=0,"",JS22/(INDEX('Standards for Conversions'!$H$47:$H$73,MATCH(JR$3,'Standards for Conversions'!$A$47:$A$73,0))))</f>
        <v/>
      </c>
      <c r="JX22" s="31" t="str">
        <f>IF(JW22/(INDEX('Standards for Conversions'!$H$47:$H$73,MATCH(JV$3,'Standards for Conversions'!$A$47:$A$73,0)))=0,"",JW22/(INDEX('Standards for Conversions'!$H$47:$H$73,MATCH(JV$3,'Standards for Conversions'!$A$47:$A$73,0))))</f>
        <v/>
      </c>
      <c r="KB22" s="31" t="str">
        <f>IF(KA22/(INDEX('Standards for Conversions'!$H$47:$H$73,MATCH(JZ$3,'Standards for Conversions'!$A$47:$A$73,0)))=0,"",KA22/(INDEX('Standards for Conversions'!$H$47:$H$73,MATCH(JZ$3,'Standards for Conversions'!$A$47:$A$73,0))))</f>
        <v/>
      </c>
      <c r="KF22" s="31" t="str">
        <f>IF(KE22/(INDEX('Standards for Conversions'!$H$47:$H$73,MATCH(KD$3,'Standards for Conversions'!$A$47:$A$73,0)))=0,"",KE22/(INDEX('Standards for Conversions'!$H$47:$H$73,MATCH(KD$3,'Standards for Conversions'!$A$47:$A$73,0))))</f>
        <v/>
      </c>
      <c r="KJ22" s="31" t="str">
        <f>IF(KI22/(INDEX('Standards for Conversions'!$H$47:$H$73,MATCH(KH$3,'Standards for Conversions'!$A$47:$A$73,0)))=0,"",KI22/(INDEX('Standards for Conversions'!$H$47:$H$73,MATCH(KH$3,'Standards for Conversions'!$A$47:$A$73,0))))</f>
        <v/>
      </c>
      <c r="KN22" s="31" t="str">
        <f>IF(KM22/(INDEX('Standards for Conversions'!$H$47:$H$73,MATCH(KL$3,'Standards for Conversions'!$A$47:$A$73,0)))=0,"",KM22/(INDEX('Standards for Conversions'!$H$47:$H$73,MATCH(KL$3,'Standards for Conversions'!$A$47:$A$73,0))))</f>
        <v/>
      </c>
      <c r="KR22" s="31" t="str">
        <f>IF(KQ22/(INDEX('Standards for Conversions'!$H$47:$H$73,MATCH(KP$3,'Standards for Conversions'!$A$47:$A$73,0)))=0,"",KQ22/(INDEX('Standards for Conversions'!$H$47:$H$73,MATCH(KP$3,'Standards for Conversions'!$A$47:$A$73,0))))</f>
        <v/>
      </c>
      <c r="KV22" s="31" t="str">
        <f>IF(KU22/(INDEX('Standards for Conversions'!$H$47:$H$73,MATCH(KT$3,'Standards for Conversions'!$A$47:$A$73,0)))=0,"",KU22/(INDEX('Standards for Conversions'!$H$47:$H$73,MATCH(KT$3,'Standards for Conversions'!$A$47:$A$73,0))))</f>
        <v/>
      </c>
      <c r="KZ22" s="31" t="str">
        <f>IF(KY22/(INDEX('Standards for Conversions'!$H$47:$H$73,MATCH(KX$3,'Standards for Conversions'!$A$47:$A$73,0)))=0,"",KY22/(INDEX('Standards for Conversions'!$H$47:$H$73,MATCH(KX$3,'Standards for Conversions'!$A$47:$A$73,0))))</f>
        <v/>
      </c>
      <c r="LD22" s="31" t="str">
        <f>IF(LC22/(INDEX('Standards for Conversions'!$H$47:$H$73,MATCH(LB$3,'Standards for Conversions'!$A$47:$A$73,0)))=0,"",LC22/(INDEX('Standards for Conversions'!$H$47:$H$73,MATCH(LB$3,'Standards for Conversions'!$A$47:$A$73,0))))</f>
        <v/>
      </c>
      <c r="LH22" s="31" t="str">
        <f>IF(LG22/(INDEX('Standards for Conversions'!$H$47:$H$73,MATCH(LF$3,'Standards for Conversions'!$A$47:$A$73,0)))=0,"",LG22/(INDEX('Standards for Conversions'!$H$47:$H$73,MATCH(LF$3,'Standards for Conversions'!$A$47:$A$73,0))))</f>
        <v/>
      </c>
      <c r="LL22" s="31" t="str">
        <f>IF(LK22/(INDEX('Standards for Conversions'!$H$47:$H$73,MATCH(LJ$3,'Standards for Conversions'!$A$47:$A$73,0)))=0,"",LK22/(INDEX('Standards for Conversions'!$H$47:$H$73,MATCH(LJ$3,'Standards for Conversions'!$A$47:$A$73,0))))</f>
        <v/>
      </c>
      <c r="LO22" s="31" t="str">
        <f>IF(LN22/(INDEX('Standards for Conversions'!$H$47:$H$73,MATCH(LM$3,'Standards for Conversions'!$A$47:$A$73,0)))=0,"",LN22/(INDEX('Standards for Conversions'!$H$47:$H$73,MATCH(LM$3,'Standards for Conversions'!$A$47:$A$73,0))))</f>
        <v/>
      </c>
      <c r="LR22" s="31" t="str">
        <f>IF(LQ22/(INDEX('Standards for Conversions'!$H$47:$H$73,MATCH(LP$3,'Standards for Conversions'!$A$47:$A$73,0)))=0,"",LQ22/(INDEX('Standards for Conversions'!$H$47:$H$73,MATCH(LP$3,'Standards for Conversions'!$A$47:$A$73,0))))</f>
        <v/>
      </c>
      <c r="LV22" s="31" t="str">
        <f>IF(LU22/(INDEX('Standards for Conversions'!$H$47:$H$73,MATCH(LT$3,'Standards for Conversions'!$A$47:$A$73,0)))=0,"",LU22/(INDEX('Standards for Conversions'!$H$47:$H$73,MATCH(LT$3,'Standards for Conversions'!$A$47:$A$73,0))))</f>
        <v/>
      </c>
      <c r="LY22" s="31" t="str">
        <f>IF(LX22/(INDEX('Standards for Conversions'!$H$47:$H$73,MATCH(LW$3,'Standards for Conversions'!$A$47:$A$73,0)))=0,"",LX22/(INDEX('Standards for Conversions'!$H$47:$H$73,MATCH(LW$3,'Standards for Conversions'!$A$47:$A$73,0))))</f>
        <v/>
      </c>
      <c r="MB22" s="31" t="str">
        <f>IF(MA22/(INDEX('Standards for Conversions'!$H$47:$H$73,MATCH(LZ$3,'Standards for Conversions'!$A$47:$A$73,0)))=0,"",MA22/(INDEX('Standards for Conversions'!$H$47:$H$73,MATCH(LZ$3,'Standards for Conversions'!$A$47:$A$73,0))))</f>
        <v/>
      </c>
      <c r="ME22" s="31" t="str">
        <f>IF(MD22/(INDEX('Standards for Conversions'!$H$47:$H$73,MATCH(MC$3,'Standards for Conversions'!$A$47:$A$73,0)))=0,"",MD22/(INDEX('Standards for Conversions'!$H$47:$H$73,MATCH(MC$3,'Standards for Conversions'!$A$47:$A$73,0))))</f>
        <v/>
      </c>
      <c r="MH22" s="31" t="str">
        <f>IF(MG22/(INDEX('Standards for Conversions'!$H$47:$H$73,MATCH(MF$3,'Standards for Conversions'!$A$47:$A$73,0)))=0,"",MG22/(INDEX('Standards for Conversions'!$H$47:$H$73,MATCH(MF$3,'Standards for Conversions'!$A$47:$A$73,0))))</f>
        <v/>
      </c>
      <c r="MK22" s="31" t="str">
        <f>IF(MJ22/(INDEX('Standards for Conversions'!$H$47:$H$73,MATCH(MI$3,'Standards for Conversions'!$A$47:$A$73,0)))=0,"",MJ22/(INDEX('Standards for Conversions'!$H$47:$H$73,MATCH(MI$3,'Standards for Conversions'!$A$47:$A$73,0))))</f>
        <v/>
      </c>
      <c r="MN22" s="31" t="str">
        <f>IF(MM22/(INDEX('Standards for Conversions'!$H$47:$H$73,MATCH(ML$3,'Standards for Conversions'!$A$47:$A$73,0)))=0,"",MM22/(INDEX('Standards for Conversions'!$H$47:$H$73,MATCH(ML$3,'Standards for Conversions'!$A$47:$A$73,0))))</f>
        <v/>
      </c>
      <c r="MR22" s="31" t="str">
        <f>IF(MQ22/(INDEX('Standards for Conversions'!$H$47:$H$73,MATCH(MP$3,'Standards for Conversions'!$A$47:$A$73,0)))=0,"",MQ22/(INDEX('Standards for Conversions'!$H$47:$H$73,MATCH(MP$3,'Standards for Conversions'!$A$47:$A$73,0))))</f>
        <v/>
      </c>
      <c r="NE22" s="33" t="s">
        <v>98</v>
      </c>
      <c r="NF22" s="33">
        <v>5811</v>
      </c>
      <c r="NG22" s="33">
        <v>1984</v>
      </c>
      <c r="NH22" s="33">
        <v>2749</v>
      </c>
      <c r="NI22" s="33">
        <v>987</v>
      </c>
    </row>
    <row r="23" spans="1:373" hidden="1" x14ac:dyDescent="0.3">
      <c r="A23" s="103" t="s">
        <v>206</v>
      </c>
      <c r="B23" s="10" t="s">
        <v>38</v>
      </c>
      <c r="C23" s="7"/>
      <c r="D23" s="7"/>
      <c r="E23" s="31" t="str">
        <f>IF(D23/(INDEX('Standards for Conversions'!$H$34:$H$73,MATCH(C$3,'Standards for Conversions'!$A$34:$A$73,0)))=0,"",D23/(INDEX('Standards for Conversions'!$H$34:$H$73,MATCH(C$3,'Standards for Conversions'!$A$34:$A$73,0))))</f>
        <v/>
      </c>
      <c r="F23" s="10" t="s">
        <v>38</v>
      </c>
      <c r="G23" s="7"/>
      <c r="H23" s="7"/>
      <c r="I23" s="31" t="str">
        <f>IF(H23/(INDEX('Standards for Conversions'!$H$34:$H$73,MATCH(G$3,'Standards for Conversions'!$A$34:$A$73,0)))=0,"",H23/(INDEX('Standards for Conversions'!$H$34:$H$73,MATCH(G$3,'Standards for Conversions'!$A$34:$A$73,0))))</f>
        <v/>
      </c>
      <c r="J23" s="10" t="s">
        <v>38</v>
      </c>
      <c r="K23" s="9"/>
      <c r="L23" s="9"/>
      <c r="M23" s="31" t="str">
        <f>IF(L23/(INDEX('Standards for Conversions'!$H$34:$H$73,MATCH(K$3,'Standards for Conversions'!$A$34:$A$73,0)))=0,"",L23/(INDEX('Standards for Conversions'!$H$34:$H$73,MATCH(K$3,'Standards for Conversions'!$A$34:$A$73,0))))</f>
        <v/>
      </c>
      <c r="N23" s="10" t="s">
        <v>42</v>
      </c>
      <c r="O23" s="7"/>
      <c r="P23" s="7"/>
      <c r="Q23" s="31" t="str">
        <f>IF(P23/(INDEX('Standards for Conversions'!$H$34:$H$73,MATCH(O$3,'Standards for Conversions'!$A$34:$A$73,0)))=0,"",P23/(INDEX('Standards for Conversions'!$H$34:$H$73,MATCH(O$3,'Standards for Conversions'!$A$34:$A$73,0))))</f>
        <v/>
      </c>
      <c r="R23" s="10" t="s">
        <v>38</v>
      </c>
      <c r="S23" s="7"/>
      <c r="T23" s="7"/>
      <c r="U23" s="31" t="str">
        <f>IF(T23/(INDEX('Standards for Conversions'!$H$34:$H$73,MATCH(S$3,'Standards for Conversions'!$A$34:$A$73,0)))=0,"",T23/(INDEX('Standards for Conversions'!$H$34:$H$73,MATCH(S$3,'Standards for Conversions'!$A$34:$A$73,0))))</f>
        <v/>
      </c>
      <c r="V23" s="10" t="s">
        <v>38</v>
      </c>
      <c r="W23" s="7"/>
      <c r="X23" s="7"/>
      <c r="Y23" s="31" t="str">
        <f>IF(X23/(INDEX('Standards for Conversions'!$H$34:$H$73,MATCH(W$3,'Standards for Conversions'!$A$34:$A$73,0)))=0,"",X23/(INDEX('Standards for Conversions'!$H$34:$H$73,MATCH(W$3,'Standards for Conversions'!$A$34:$A$73,0))))</f>
        <v/>
      </c>
      <c r="Z23" s="10" t="s">
        <v>38</v>
      </c>
      <c r="AA23" s="9"/>
      <c r="AB23" s="9"/>
      <c r="AC23" s="31" t="str">
        <f>IF(AB23/(INDEX('Standards for Conversions'!$H$34:$H$73,MATCH(AA$3,'Standards for Conversions'!$A$34:$A$73,0)))=0,"",AB23/(INDEX('Standards for Conversions'!$H$34:$H$73,MATCH(AA$3,'Standards for Conversions'!$A$34:$A$73,0))))</f>
        <v/>
      </c>
      <c r="AD23" s="10" t="s">
        <v>42</v>
      </c>
      <c r="AE23" s="7"/>
      <c r="AF23" s="7"/>
      <c r="AG23" s="31" t="str">
        <f>IF(AF23/(INDEX('Standards for Conversions'!$H$34:$H$73,MATCH(AE$3,'Standards for Conversions'!$A$34:$A$73,0)))=0,"",AF23/(INDEX('Standards for Conversions'!$H$34:$H$73,MATCH(AE$3,'Standards for Conversions'!$A$34:$A$73,0))))</f>
        <v/>
      </c>
      <c r="AH23" s="10" t="s">
        <v>38</v>
      </c>
      <c r="AI23" s="7"/>
      <c r="AJ23" s="7"/>
      <c r="AK23" s="31" t="str">
        <f>IF(AJ23/(INDEX('Standards for Conversions'!$H$34:$H$73,MATCH(AI$3,'Standards for Conversions'!$A$34:$A$73,0)))=0,"",AJ23/(INDEX('Standards for Conversions'!$H$34:$H$73,MATCH(AI$3,'Standards for Conversions'!$A$34:$A$73,0))))</f>
        <v/>
      </c>
      <c r="AL23" s="10" t="s">
        <v>38</v>
      </c>
      <c r="AM23" s="7"/>
      <c r="AN23" s="7"/>
      <c r="AO23" s="31" t="str">
        <f>IF(AN23/(INDEX('Standards for Conversions'!$H$34:$H$73,MATCH(AM$3,'Standards for Conversions'!$A$34:$A$73,0)))=0,"",AN23/(INDEX('Standards for Conversions'!$H$34:$H$73,MATCH(AM$3,'Standards for Conversions'!$A$34:$A$73,0))))</f>
        <v/>
      </c>
      <c r="AP23" s="10" t="s">
        <v>38</v>
      </c>
      <c r="AQ23" s="9"/>
      <c r="AR23" s="9"/>
      <c r="AS23" s="31" t="str">
        <f>IF(AR23/(INDEX('Standards for Conversions'!$H$34:$H$73,MATCH(AQ$3,'Standards for Conversions'!$A$34:$A$73,0)))=0,"",AR23/(INDEX('Standards for Conversions'!$H$34:$H$73,MATCH(AQ$3,'Standards for Conversions'!$A$34:$A$73,0))))</f>
        <v/>
      </c>
      <c r="AT23" s="10" t="s">
        <v>42</v>
      </c>
      <c r="AU23" s="7"/>
      <c r="AV23" s="7"/>
      <c r="AW23" s="31" t="str">
        <f>IF(AV23/(INDEX('Standards for Conversions'!$H$34:$H$73,MATCH(AU$3,'Standards for Conversions'!$A$34:$A$73,0)))=0,"",AV23/(INDEX('Standards for Conversions'!$H$34:$H$73,MATCH(AU$3,'Standards for Conversions'!$A$34:$A$73,0))))</f>
        <v/>
      </c>
      <c r="AX23" s="10" t="s">
        <v>38</v>
      </c>
      <c r="AY23" s="7"/>
      <c r="AZ23" s="7"/>
      <c r="BA23" s="31" t="str">
        <f>IF(AZ23/(INDEX('Standards for Conversions'!$H$34:$H$73,MATCH(AY$3,'Standards for Conversions'!$A$34:$A$73,0)))=0,"",AZ23/(INDEX('Standards for Conversions'!$H$34:$H$73,MATCH(AY$3,'Standards for Conversions'!$A$34:$A$73,0))))</f>
        <v/>
      </c>
      <c r="BB23" s="10" t="s">
        <v>38</v>
      </c>
      <c r="BC23" s="7"/>
      <c r="BD23" s="7"/>
      <c r="BE23" s="31" t="str">
        <f>IF(BD23/(INDEX('Standards for Conversions'!$H$34:$H$73,MATCH(BC$3,'Standards for Conversions'!$A$34:$A$73,0)))=0,"",BD23/(INDEX('Standards for Conversions'!$H$34:$H$73,MATCH(BC$3,'Standards for Conversions'!$A$34:$A$73,0))))</f>
        <v/>
      </c>
      <c r="BF23" s="10" t="s">
        <v>38</v>
      </c>
      <c r="BG23" s="9"/>
      <c r="BH23" s="9"/>
      <c r="BI23" s="31" t="str">
        <f>IF(BH23/(INDEX('Standards for Conversions'!$H$34:$H$73,MATCH(BG$3,'Standards for Conversions'!$A$34:$A$73,0)))=0,"",BH23/(INDEX('Standards for Conversions'!$H$34:$H$73,MATCH(BG$3,'Standards for Conversions'!$A$34:$A$73,0))))</f>
        <v/>
      </c>
      <c r="BJ23" s="10" t="s">
        <v>42</v>
      </c>
      <c r="BK23" s="7"/>
      <c r="BL23" s="7"/>
      <c r="BM23" s="31" t="str">
        <f>IF(BL23/(INDEX('Standards for Conversions'!$H$34:$H$73,MATCH(BK$3,'Standards for Conversions'!$A$34:$A$73,0)))=0,"",BL23/(INDEX('Standards for Conversions'!$H$34:$H$73,MATCH(BK$3,'Standards for Conversions'!$A$34:$A$73,0))))</f>
        <v/>
      </c>
      <c r="BN23" s="10" t="s">
        <v>38</v>
      </c>
      <c r="BO23" s="7"/>
      <c r="BP23" s="7"/>
      <c r="BQ23" s="31" t="str">
        <f>IF(BP23/(INDEX('Standards for Conversions'!$H$34:$H$73,MATCH(BO$3,'Standards for Conversions'!$A$34:$A$73,0)))=0,"",BP23/(INDEX('Standards for Conversions'!$H$34:$H$73,MATCH(BO$3,'Standards for Conversions'!$A$34:$A$73,0))))</f>
        <v/>
      </c>
      <c r="BR23" s="10" t="s">
        <v>38</v>
      </c>
      <c r="BS23" s="7"/>
      <c r="BT23" s="7"/>
      <c r="BU23" s="31" t="str">
        <f>IF(BT23/(INDEX('Standards for Conversions'!$H$34:$H$73,MATCH(BS$3,'Standards for Conversions'!$A$34:$A$73,0)))=0,"",BT23/(INDEX('Standards for Conversions'!$H$34:$H$73,MATCH(BS$3,'Standards for Conversions'!$A$34:$A$73,0))))</f>
        <v/>
      </c>
      <c r="BV23" s="10" t="s">
        <v>38</v>
      </c>
      <c r="BW23" s="9"/>
      <c r="BX23" s="9"/>
      <c r="BY23" s="31" t="str">
        <f>IF(BX23/(INDEX('Standards for Conversions'!$H$34:$H$73,MATCH(BW$3,'Standards for Conversions'!$A$34:$A$73,0)))=0,"",BX23/(INDEX('Standards for Conversions'!$H$34:$H$73,MATCH(BW$3,'Standards for Conversions'!$A$34:$A$73,0))))</f>
        <v/>
      </c>
      <c r="BZ23" s="10" t="s">
        <v>42</v>
      </c>
      <c r="CA23" s="7"/>
      <c r="CB23" s="7"/>
      <c r="CC23" s="31" t="str">
        <f>IF(CB23/(INDEX('Standards for Conversions'!$H$34:$H$73,MATCH(CA$3,'Standards for Conversions'!$A$34:$A$73,0)))=0,"",CB23/(INDEX('Standards for Conversions'!$H$34:$H$73,MATCH(CA$3,'Standards for Conversions'!$A$34:$A$73,0))))</f>
        <v/>
      </c>
      <c r="CD23" s="10" t="s">
        <v>38</v>
      </c>
      <c r="CE23" s="7"/>
      <c r="CF23" s="7"/>
      <c r="CG23" s="31" t="str">
        <f>IF(CF23/(INDEX('Standards for Conversions'!$H$34:$H$73,MATCH(CE$3,'Standards for Conversions'!$A$34:$A$73,0)))=0,"",CF23/(INDEX('Standards for Conversions'!$H$34:$H$73,MATCH(CE$3,'Standards for Conversions'!$A$34:$A$73,0))))</f>
        <v/>
      </c>
      <c r="CH23" s="10" t="s">
        <v>38</v>
      </c>
      <c r="CI23" s="7"/>
      <c r="CJ23" s="7"/>
      <c r="CK23" s="31" t="str">
        <f>IF(CJ23/(INDEX('Standards for Conversions'!$H$34:$H$73,MATCH(CI$3,'Standards for Conversions'!$A$34:$A$73,0)))=0,"",CJ23/(INDEX('Standards for Conversions'!$H$34:$H$73,MATCH(CI$3,'Standards for Conversions'!$A$34:$A$73,0))))</f>
        <v/>
      </c>
      <c r="CL23" s="10" t="s">
        <v>38</v>
      </c>
      <c r="CM23" s="9"/>
      <c r="CN23" s="9"/>
      <c r="CO23" s="31" t="str">
        <f>IF(CN23/(INDEX('Standards for Conversions'!$H$34:$H$73,MATCH(CM$3,'Standards for Conversions'!$A$34:$A$73,0)))=0,"",CN23/(INDEX('Standards for Conversions'!$H$34:$H$73,MATCH(CM$3,'Standards for Conversions'!$A$34:$A$73,0))))</f>
        <v/>
      </c>
      <c r="CP23" s="10" t="s">
        <v>42</v>
      </c>
      <c r="CQ23" s="7"/>
      <c r="CR23" s="7"/>
      <c r="CS23" s="31" t="str">
        <f>IF(CR23/(INDEX('Standards for Conversions'!$H$34:$H$73,MATCH(CQ$3,'Standards for Conversions'!$A$34:$A$73,0)))=0,"",CR23/(INDEX('Standards for Conversions'!$H$34:$H$73,MATCH(CQ$3,'Standards for Conversions'!$A$34:$A$73,0))))</f>
        <v/>
      </c>
      <c r="CT23" s="10" t="s">
        <v>38</v>
      </c>
      <c r="CU23" s="7"/>
      <c r="CV23" s="7"/>
      <c r="CW23" s="31" t="str">
        <f>IF(CV23/(INDEX('Standards for Conversions'!$H$34:$H$73,MATCH(CU$3,'Standards for Conversions'!$A$34:$A$73,0)))=0,"",CV23/(INDEX('Standards for Conversions'!$H$34:$H$73,MATCH(CU$3,'Standards for Conversions'!$A$34:$A$73,0))))</f>
        <v/>
      </c>
      <c r="CX23" s="10" t="s">
        <v>38</v>
      </c>
      <c r="CY23" s="7"/>
      <c r="CZ23" s="7"/>
      <c r="DA23" s="31" t="str">
        <f>IF(CZ23/(INDEX('Standards for Conversions'!$H$34:$H$73,MATCH(CY$3,'Standards for Conversions'!$A$34:$A$73,0)))=0,"",CZ23/(INDEX('Standards for Conversions'!$H$34:$H$73,MATCH(CY$3,'Standards for Conversions'!$A$34:$A$73,0))))</f>
        <v/>
      </c>
      <c r="DB23" s="10" t="s">
        <v>38</v>
      </c>
      <c r="DC23" s="9"/>
      <c r="DD23" s="9"/>
      <c r="DE23" s="31" t="str">
        <f>IF(DD23/(INDEX('Standards for Conversions'!$H$34:$H$73,MATCH(DC$3,'Standards for Conversions'!$A$34:$A$73,0)))=0,"",DD23/(INDEX('Standards for Conversions'!$H$34:$H$73,MATCH(DC$3,'Standards for Conversions'!$A$34:$A$73,0))))</f>
        <v/>
      </c>
      <c r="DF23" s="10" t="s">
        <v>42</v>
      </c>
      <c r="DG23" s="7"/>
      <c r="DH23" s="7"/>
      <c r="DI23" s="31" t="str">
        <f>IF(DH23/(INDEX('Standards for Conversions'!$H$34:$H$73,MATCH(DG$3,'Standards for Conversions'!$A$34:$A$73,0)))=0,"",DH23/(INDEX('Standards for Conversions'!$H$34:$H$73,MATCH(DG$3,'Standards for Conversions'!$A$34:$A$73,0))))</f>
        <v/>
      </c>
      <c r="DJ23" s="10" t="s">
        <v>38</v>
      </c>
      <c r="DK23" s="7"/>
      <c r="DL23" s="7"/>
      <c r="DM23" s="31" t="str">
        <f>IF(DL23/(INDEX('Standards for Conversions'!$H$34:$H$73,MATCH(DK$3,'Standards for Conversions'!$A$34:$A$73,0)))=0,"",DL23/(INDEX('Standards for Conversions'!$H$34:$H$73,MATCH(DK$3,'Standards for Conversions'!$A$34:$A$73,0))))</f>
        <v/>
      </c>
      <c r="DN23" s="10" t="s">
        <v>38</v>
      </c>
      <c r="DO23" s="7"/>
      <c r="DP23" s="7"/>
      <c r="DQ23" s="31" t="str">
        <f>IF(DP23/(INDEX('Standards for Conversions'!$H$34:$H$73,MATCH(DO$3,'Standards for Conversions'!$A$34:$A$73,0)))=0,"",DP23/(INDEX('Standards for Conversions'!$H$34:$H$73,MATCH(DO$3,'Standards for Conversions'!$A$34:$A$73,0))))</f>
        <v/>
      </c>
      <c r="DR23" s="10" t="s">
        <v>38</v>
      </c>
      <c r="DS23" s="9"/>
      <c r="DT23" s="9"/>
      <c r="DU23" s="31" t="str">
        <f>IF(DT23/(INDEX('Standards for Conversions'!$H$34:$H$73,MATCH(DS$3,'Standards for Conversions'!$A$34:$A$73,0)))=0,"",DT23/(INDEX('Standards for Conversions'!$H$34:$H$73,MATCH(DS$3,'Standards for Conversions'!$A$34:$A$73,0))))</f>
        <v/>
      </c>
      <c r="DV23" s="10" t="s">
        <v>42</v>
      </c>
      <c r="DW23" s="7"/>
      <c r="DX23" s="7"/>
      <c r="DY23" s="31" t="str">
        <f>IF(DX23/(INDEX('Standards for Conversions'!$H$34:$H$73,MATCH(DW$3,'Standards for Conversions'!$A$34:$A$73,0)))=0,"",DX23/(INDEX('Standards for Conversions'!$H$34:$H$73,MATCH(DW$3,'Standards for Conversions'!$A$34:$A$73,0))))</f>
        <v/>
      </c>
      <c r="DZ23" s="10" t="s">
        <v>38</v>
      </c>
      <c r="EA23" s="7"/>
      <c r="EB23" s="7"/>
      <c r="EC23" s="31" t="str">
        <f>IF(EB23/(INDEX('Standards for Conversions'!$H$34:$H$73,MATCH(EA$3,'Standards for Conversions'!$A$34:$A$73,0)))=0,"",EB23/(INDEX('Standards for Conversions'!$H$34:$H$73,MATCH(EA$3,'Standards for Conversions'!$A$34:$A$73,0))))</f>
        <v/>
      </c>
      <c r="ED23" s="10" t="s">
        <v>38</v>
      </c>
      <c r="EE23" s="7"/>
      <c r="EF23" s="7"/>
      <c r="EG23" s="31" t="str">
        <f>IF(EF23/(INDEX('Standards for Conversions'!$H$34:$H$73,MATCH(EE$3,'Standards for Conversions'!$A$34:$A$73,0)))=0,"",EF23/(INDEX('Standards for Conversions'!$H$34:$H$73,MATCH(EE$3,'Standards for Conversions'!$A$34:$A$73,0))))</f>
        <v/>
      </c>
      <c r="EH23" s="10" t="s">
        <v>38</v>
      </c>
      <c r="EI23" s="9"/>
      <c r="EJ23" s="9"/>
      <c r="EK23" s="31" t="str">
        <f>IF(EJ23/(INDEX('Standards for Conversions'!$H$34:$H$73,MATCH(EI$3,'Standards for Conversions'!$A$34:$A$73,0)))=0,"",EJ23/(INDEX('Standards for Conversions'!$H$34:$H$73,MATCH(EI$3,'Standards for Conversions'!$A$34:$A$73,0))))</f>
        <v/>
      </c>
      <c r="EL23" s="10" t="s">
        <v>42</v>
      </c>
      <c r="EM23" s="7"/>
      <c r="EN23" s="7"/>
      <c r="EO23" s="31" t="str">
        <f>IF(EN23/(INDEX('Standards for Conversions'!$H$34:$H$73,MATCH(EM$3,'Standards for Conversions'!$A$34:$A$73,0)))=0,"",EN23/(INDEX('Standards for Conversions'!$H$34:$H$73,MATCH(EM$3,'Standards for Conversions'!$A$34:$A$73,0))))</f>
        <v/>
      </c>
      <c r="EP23" s="10" t="s">
        <v>38</v>
      </c>
      <c r="EQ23" s="7"/>
      <c r="ER23" s="7"/>
      <c r="ES23" s="31" t="str">
        <f>IF(ER23/(INDEX('Standards for Conversions'!$H$34:$H$73,MATCH(EQ$3,'Standards for Conversions'!$A$34:$A$73,0)))=0,"",ER23/(INDEX('Standards for Conversions'!$H$34:$H$73,MATCH(EQ$3,'Standards for Conversions'!$A$34:$A$73,0))))</f>
        <v/>
      </c>
      <c r="ET23" s="10" t="s">
        <v>38</v>
      </c>
      <c r="EU23" s="7"/>
      <c r="EV23" s="7"/>
      <c r="EW23" s="31" t="str">
        <f>IF(EV23/(INDEX('Standards for Conversions'!$H$34:$H$73,MATCH(EU$3,'Standards for Conversions'!$A$34:$A$73,0)))=0,"",EV23/(INDEX('Standards for Conversions'!$H$34:$H$73,MATCH(EU$3,'Standards for Conversions'!$A$34:$A$73,0))))</f>
        <v/>
      </c>
      <c r="EX23" s="10" t="s">
        <v>38</v>
      </c>
      <c r="EY23" s="9"/>
      <c r="EZ23" s="9"/>
      <c r="FA23" s="31" t="str">
        <f>IF(EZ23/(INDEX('Standards for Conversions'!$H$34:$H$73,MATCH(EY$3,'Standards for Conversions'!$A$34:$A$73,0)))=0,"",EZ23/(INDEX('Standards for Conversions'!$H$34:$H$73,MATCH(EY$3,'Standards for Conversions'!$A$34:$A$73,0))))</f>
        <v/>
      </c>
      <c r="FB23" s="10" t="s">
        <v>42</v>
      </c>
      <c r="FC23" s="7"/>
      <c r="FD23" s="7"/>
      <c r="FE23" s="31" t="str">
        <f>IF(FD23/(INDEX('Standards for Conversions'!$H$34:$H$73,MATCH(FC$3,'Standards for Conversions'!$A$34:$A$73,0)))=0,"",FD23/(INDEX('Standards for Conversions'!$H$34:$H$73,MATCH(FC$3,'Standards for Conversions'!$A$34:$A$73,0))))</f>
        <v/>
      </c>
      <c r="FF23" s="10" t="s">
        <v>38</v>
      </c>
      <c r="FG23" s="7"/>
      <c r="FH23" s="7"/>
      <c r="FI23" s="31" t="str">
        <f>IF(FH23/(INDEX('Standards for Conversions'!$H$34:$H$73,MATCH(FG$3,'Standards for Conversions'!$A$34:$A$73,0)))=0,"",FH23/(INDEX('Standards for Conversions'!$H$34:$H$73,MATCH(FG$3,'Standards for Conversions'!$A$34:$A$73,0))))</f>
        <v/>
      </c>
      <c r="FJ23" s="10" t="s">
        <v>38</v>
      </c>
      <c r="FK23" s="7"/>
      <c r="FL23" s="7"/>
      <c r="FM23" s="31" t="str">
        <f>IF(FL23/(INDEX('Standards for Conversions'!$H$34:$H$73,MATCH(FK$3,'Standards for Conversions'!$A$34:$A$73,0)))=0,"",FL23/(INDEX('Standards for Conversions'!$H$34:$H$73,MATCH(FK$3,'Standards for Conversions'!$A$34:$A$73,0))))</f>
        <v/>
      </c>
      <c r="FN23" s="10" t="s">
        <v>38</v>
      </c>
      <c r="FO23" s="9"/>
      <c r="FP23" s="9"/>
      <c r="FQ23" s="31" t="str">
        <f>IF(FP23/(INDEX('Standards for Conversions'!$H$34:$H$73,MATCH(FO$3,'Standards for Conversions'!$A$34:$A$73,0)))=0,"",FP23/(INDEX('Standards for Conversions'!$H$34:$H$73,MATCH(FO$3,'Standards for Conversions'!$A$34:$A$73,0))))</f>
        <v/>
      </c>
      <c r="FR23" s="10" t="s">
        <v>42</v>
      </c>
      <c r="FS23" s="7"/>
      <c r="FT23" s="7"/>
      <c r="FU23" s="31" t="str">
        <f>IF(FT23/(INDEX('Standards for Conversions'!$H$34:$H$73,MATCH(FS$3,'Standards for Conversions'!$A$34:$A$73,0)))=0,"",FT23/(INDEX('Standards for Conversions'!$H$34:$H$73,MATCH(FS$3,'Standards for Conversions'!$A$34:$A$73,0))))</f>
        <v/>
      </c>
      <c r="FV23" s="10" t="s">
        <v>38</v>
      </c>
      <c r="FW23" s="7"/>
      <c r="FX23" s="7"/>
      <c r="FY23" s="31" t="str">
        <f>IF(FX23/(INDEX('Standards for Conversions'!$H$34:$H$73,MATCH(FW$3,'Standards for Conversions'!$A$34:$A$73,0)))=0,"",FX23/(INDEX('Standards for Conversions'!$H$34:$H$73,MATCH(FW$3,'Standards for Conversions'!$A$34:$A$73,0))))</f>
        <v/>
      </c>
      <c r="FZ23" s="10" t="s">
        <v>38</v>
      </c>
      <c r="GA23" s="7"/>
      <c r="GB23" s="7"/>
      <c r="GC23" s="31" t="str">
        <f>IF(GB23/(INDEX('Standards for Conversions'!$H$34:$H$73,MATCH(GA$3,'Standards for Conversions'!$A$34:$A$73,0)))=0,"",GB23/(INDEX('Standards for Conversions'!$H$34:$H$73,MATCH(GA$3,'Standards for Conversions'!$A$34:$A$73,0))))</f>
        <v/>
      </c>
      <c r="GD23" s="10" t="s">
        <v>38</v>
      </c>
      <c r="GE23" s="9"/>
      <c r="GF23" s="9"/>
      <c r="GG23" s="31" t="str">
        <f>IF(GF23/(INDEX('Standards for Conversions'!$H$34:$H$73,MATCH(GE$3,'Standards for Conversions'!$A$34:$A$73,0)))=0,"",GF23/(INDEX('Standards for Conversions'!$H$34:$H$73,MATCH(GE$3,'Standards for Conversions'!$A$34:$A$73,0))))</f>
        <v/>
      </c>
      <c r="GH23" s="10" t="s">
        <v>42</v>
      </c>
      <c r="GI23" s="7"/>
      <c r="GJ23" s="7"/>
      <c r="GK23" s="31" t="str">
        <f>IF(GJ23/(INDEX('Standards for Conversions'!$H$34:$H$73,MATCH(GI$3,'Standards for Conversions'!$A$34:$A$73,0)))=0,"",GJ23/(INDEX('Standards for Conversions'!$H$34:$H$73,MATCH(GI$3,'Standards for Conversions'!$A$34:$A$73,0))))</f>
        <v/>
      </c>
      <c r="GL23" s="10" t="s">
        <v>38</v>
      </c>
      <c r="GM23" s="7"/>
      <c r="GN23" s="7"/>
      <c r="GO23" s="31" t="str">
        <f>IF(GN23/(INDEX('Standards for Conversions'!$H$34:$H$73,MATCH(GM$3,'Standards for Conversions'!$A$34:$A$73,0)))=0,"",GN23/(INDEX('Standards for Conversions'!$H$34:$H$73,MATCH(GM$3,'Standards for Conversions'!$A$34:$A$73,0))))</f>
        <v/>
      </c>
      <c r="GP23" s="10" t="s">
        <v>38</v>
      </c>
      <c r="GQ23" s="7"/>
      <c r="GR23" s="7"/>
      <c r="GS23" s="31" t="str">
        <f>IF(GR23/(INDEX('Standards for Conversions'!$H$34:$H$73,MATCH(GQ$3,'Standards for Conversions'!$A$34:$A$73,0)))=0,"",GR23/(INDEX('Standards for Conversions'!$H$34:$H$73,MATCH(GQ$3,'Standards for Conversions'!$A$34:$A$73,0))))</f>
        <v/>
      </c>
      <c r="GT23" s="10" t="s">
        <v>38</v>
      </c>
      <c r="GU23" s="9"/>
      <c r="GV23" s="9"/>
      <c r="GW23" s="31" t="str">
        <f>IF(GV23/(INDEX('Standards for Conversions'!$H$34:$H$73,MATCH(GU$3,'Standards for Conversions'!$A$34:$A$73,0)))=0,"",GV23/(INDEX('Standards for Conversions'!$H$34:$H$73,MATCH(GU$3,'Standards for Conversions'!$A$34:$A$73,0))))</f>
        <v/>
      </c>
      <c r="GX23" s="10" t="s">
        <v>42</v>
      </c>
      <c r="GY23" s="7"/>
      <c r="GZ23" s="7"/>
      <c r="HA23" s="31" t="str">
        <f>IF(GZ23/(INDEX('Standards for Conversions'!$H$34:$H$73,MATCH(GY$3,'Standards for Conversions'!$A$34:$A$73,0)))=0,"",GZ23/(INDEX('Standards for Conversions'!$H$34:$H$73,MATCH(GY$3,'Standards for Conversions'!$A$34:$A$73,0))))</f>
        <v/>
      </c>
      <c r="HB23" s="10" t="s">
        <v>38</v>
      </c>
      <c r="HC23" s="7"/>
      <c r="HD23" s="7"/>
      <c r="HE23" s="31" t="str">
        <f>IF(HD23/(INDEX('Standards for Conversions'!$H$34:$H$73,MATCH(HC$3,'Standards for Conversions'!$A$34:$A$73,0)))=0,"",HD23/(INDEX('Standards for Conversions'!$H$34:$H$73,MATCH(HC$3,'Standards for Conversions'!$A$34:$A$73,0))))</f>
        <v/>
      </c>
      <c r="HF23" s="10" t="s">
        <v>38</v>
      </c>
      <c r="HG23" s="7"/>
      <c r="HH23" s="7"/>
      <c r="HI23" s="31" t="str">
        <f>IF(HH23/(INDEX('Standards for Conversions'!$H$34:$H$73,MATCH(HG$3,'Standards for Conversions'!$A$34:$A$73,0)))=0,"",HH23/(INDEX('Standards for Conversions'!$H$34:$H$73,MATCH(HG$3,'Standards for Conversions'!$A$34:$A$73,0))))</f>
        <v/>
      </c>
      <c r="HJ23" s="10" t="s">
        <v>38</v>
      </c>
      <c r="HK23" s="9"/>
      <c r="HL23" s="9"/>
      <c r="HM23" s="31" t="str">
        <f>IF(HL23/(INDEX('Standards for Conversions'!$H$34:$H$73,MATCH(HK$3,'Standards for Conversions'!$A$34:$A$73,0)))=0,"",HL23/(INDEX('Standards for Conversions'!$H$34:$H$73,MATCH(HK$3,'Standards for Conversions'!$A$34:$A$73,0))))</f>
        <v/>
      </c>
      <c r="HN23" s="10" t="s">
        <v>42</v>
      </c>
      <c r="HO23" s="7"/>
      <c r="HP23" s="7"/>
      <c r="HQ23" s="31" t="str">
        <f>IF(HP23/(INDEX('Standards for Conversions'!$H$34:$H$73,MATCH(HO$3,'Standards for Conversions'!$A$34:$A$73,0)))=0,"",HP23/(INDEX('Standards for Conversions'!$H$34:$H$73,MATCH(HO$3,'Standards for Conversions'!$A$34:$A$73,0))))</f>
        <v/>
      </c>
      <c r="HR23" s="33" t="s">
        <v>38</v>
      </c>
      <c r="HU23" s="31" t="str">
        <f>IF(HT23/(INDEX('Standards for Conversions'!$H$47:$H$73,MATCH(HS$3,'Standards for Conversions'!$A$47:$A$73,0)))=0,"",HT23/(INDEX('Standards for Conversions'!$H$47:$H$73,MATCH(HS$3,'Standards for Conversions'!$A$47:$A$73,0))))</f>
        <v/>
      </c>
      <c r="HV23" s="33" t="s">
        <v>38</v>
      </c>
      <c r="HY23" s="31" t="str">
        <f>IF(HX23/(INDEX('Standards for Conversions'!$H$47:$H$73,MATCH(HW$3,'Standards for Conversions'!$A$47:$A$73,0)))=0,"",HX23/(INDEX('Standards for Conversions'!$H$47:$H$73,MATCH(HW$3,'Standards for Conversions'!$A$47:$A$73,0))))</f>
        <v/>
      </c>
      <c r="HZ23" s="33">
        <v>6</v>
      </c>
      <c r="IA23" s="33">
        <v>150</v>
      </c>
      <c r="IB23" s="31">
        <f>IF(IA23/(INDEX('Standards for Conversions'!$H$47:$H$73,MATCH(HZ$3,'Standards for Conversions'!$A$47:$A$73,0)))=0,"",IA23/(INDEX('Standards for Conversions'!$H$47:$H$73,MATCH(HZ$3,'Standards for Conversions'!$A$47:$A$73,0))))</f>
        <v>21.786811831928393</v>
      </c>
      <c r="IC23" s="33" t="s">
        <v>42</v>
      </c>
      <c r="ID23" s="29">
        <v>100</v>
      </c>
      <c r="IE23" s="29">
        <v>700</v>
      </c>
      <c r="IF23" s="31">
        <f>IF(IE23/(INDEX('Standards for Conversions'!$H$47:$H$73,MATCH(ID$3,'Standards for Conversions'!$A$47:$A$73,0)))=0,"",IE23/(INDEX('Standards for Conversions'!$H$47:$H$73,MATCH(ID$3,'Standards for Conversions'!$A$47:$A$73,0))))</f>
        <v>101.67178854899917</v>
      </c>
      <c r="IG23" s="33" t="s">
        <v>42</v>
      </c>
      <c r="IJ23" s="31" t="str">
        <f>IF(II23/(INDEX('Standards for Conversions'!$H$47:$H$73,MATCH(IH$3,'Standards for Conversions'!$A$47:$A$73,0)))=0,"",II23/(INDEX('Standards for Conversions'!$H$47:$H$73,MATCH(IH$3,'Standards for Conversions'!$A$47:$A$73,0))))</f>
        <v/>
      </c>
      <c r="IK23" s="33" t="s">
        <v>42</v>
      </c>
      <c r="IN23" s="31" t="str">
        <f>IF(IM23/(INDEX('Standards for Conversions'!$H$47:$H$73,MATCH(IL$3,'Standards for Conversions'!$A$47:$A$73,0)))=0,"",IM23/(INDEX('Standards for Conversions'!$H$47:$H$73,MATCH(IL$3,'Standards for Conversions'!$A$47:$A$73,0))))</f>
        <v/>
      </c>
      <c r="IO23" s="33" t="s">
        <v>42</v>
      </c>
      <c r="IR23" s="31" t="str">
        <f>IF(IQ23/(INDEX('Standards for Conversions'!$H$47:$H$73,MATCH(IP$3,'Standards for Conversions'!$A$47:$A$73,0)))=0,"",IQ23/(INDEX('Standards for Conversions'!$H$47:$H$73,MATCH(IP$3,'Standards for Conversions'!$A$47:$A$73,0))))</f>
        <v/>
      </c>
      <c r="IS23" s="33" t="s">
        <v>42</v>
      </c>
      <c r="IT23" s="29">
        <v>5</v>
      </c>
      <c r="IU23" s="29">
        <v>174</v>
      </c>
      <c r="IV23" s="31">
        <f>IF(IU23/(INDEX('Standards for Conversions'!$H$47:$H$73,MATCH(IT$3,'Standards for Conversions'!$A$47:$A$73,0)))=0,"",IU23/(INDEX('Standards for Conversions'!$H$47:$H$73,MATCH(IT$3,'Standards for Conversions'!$A$47:$A$73,0))))</f>
        <v>25.162179705831232</v>
      </c>
      <c r="IW23" s="33" t="s">
        <v>42</v>
      </c>
      <c r="IZ23" s="31" t="str">
        <f>IF(IY23/(INDEX('Standards for Conversions'!$H$47:$H$73,MATCH(IX$3,'Standards for Conversions'!$A$47:$A$73,0)))=0,"",IY23/(INDEX('Standards for Conversions'!$H$47:$H$73,MATCH(IX$3,'Standards for Conversions'!$A$47:$A$73,0))))</f>
        <v/>
      </c>
      <c r="JA23" s="33" t="s">
        <v>42</v>
      </c>
      <c r="JD23" s="31" t="str">
        <f>IF(JC23/(INDEX('Standards for Conversions'!$H$47:$H$73,MATCH(JB$3,'Standards for Conversions'!$A$47:$A$73,0)))=0,"",JC23/(INDEX('Standards for Conversions'!$H$47:$H$73,MATCH(JB$3,'Standards for Conversions'!$A$47:$A$73,0))))</f>
        <v/>
      </c>
      <c r="JE23" s="33" t="s">
        <v>42</v>
      </c>
      <c r="JF23" s="29">
        <v>18</v>
      </c>
      <c r="JG23" s="29">
        <v>100</v>
      </c>
      <c r="JH23" s="31">
        <f>IF(JG23/(INDEX('Standards for Conversions'!$H$47:$H$73,MATCH(JF$3,'Standards for Conversions'!$A$47:$A$73,0)))=0,"",JG23/(INDEX('Standards for Conversions'!$H$47:$H$73,MATCH(JF$3,'Standards for Conversions'!$A$47:$A$73,0))))</f>
        <v>16.176019669186868</v>
      </c>
      <c r="JI23" s="48" t="s">
        <v>42</v>
      </c>
      <c r="JJ23" s="29">
        <v>15</v>
      </c>
      <c r="JK23" s="29">
        <v>400</v>
      </c>
      <c r="JL23" s="31">
        <f>IF(JK23/(INDEX('Standards for Conversions'!$H$47:$H$73,MATCH(JJ$3,'Standards for Conversions'!$A$47:$A$73,0)))=0,"",JK23/(INDEX('Standards for Conversions'!$H$47:$H$73,MATCH(JJ$3,'Standards for Conversions'!$A$47:$A$73,0))))</f>
        <v>64.704078676747471</v>
      </c>
      <c r="JM23" s="33" t="s">
        <v>42</v>
      </c>
      <c r="JP23" s="31" t="str">
        <f>IF(JO23/(INDEX('Standards for Conversions'!$H$47:$H$73,MATCH(JN$3,'Standards for Conversions'!$A$47:$A$73,0)))=0,"",JO23/(INDEX('Standards for Conversions'!$H$47:$H$73,MATCH(JN$3,'Standards for Conversions'!$A$47:$A$73,0))))</f>
        <v/>
      </c>
      <c r="JQ23" s="33" t="s">
        <v>42</v>
      </c>
      <c r="JT23" s="31" t="str">
        <f>IF(JS23/(INDEX('Standards for Conversions'!$H$47:$H$73,MATCH(JR$3,'Standards for Conversions'!$A$47:$A$73,0)))=0,"",JS23/(INDEX('Standards for Conversions'!$H$47:$H$73,MATCH(JR$3,'Standards for Conversions'!$A$47:$A$73,0))))</f>
        <v/>
      </c>
      <c r="JU23" s="33" t="s">
        <v>42</v>
      </c>
      <c r="JV23" s="29">
        <v>20</v>
      </c>
      <c r="JW23" s="29">
        <v>120</v>
      </c>
      <c r="JX23" s="31">
        <f>IF(JW23/(INDEX('Standards for Conversions'!$H$47:$H$73,MATCH(JV$3,'Standards for Conversions'!$A$47:$A$73,0)))=0,"",JW23/(INDEX('Standards for Conversions'!$H$47:$H$73,MATCH(JV$3,'Standards for Conversions'!$A$47:$A$73,0))))</f>
        <v>18.318707091335707</v>
      </c>
      <c r="JY23" s="33" t="s">
        <v>42</v>
      </c>
      <c r="JZ23" s="29">
        <v>20</v>
      </c>
      <c r="KA23" s="29">
        <v>600</v>
      </c>
      <c r="KB23" s="31">
        <f>IF(KA23/(INDEX('Standards for Conversions'!$H$47:$H$73,MATCH(JZ$3,'Standards for Conversions'!$A$47:$A$73,0)))=0,"",KA23/(INDEX('Standards for Conversions'!$H$47:$H$73,MATCH(JZ$3,'Standards for Conversions'!$A$47:$A$73,0))))</f>
        <v>91.593535456678538</v>
      </c>
      <c r="KC23" s="33" t="s">
        <v>42</v>
      </c>
      <c r="KF23" s="31" t="str">
        <f>IF(KE23/(INDEX('Standards for Conversions'!$H$47:$H$73,MATCH(KD$3,'Standards for Conversions'!$A$47:$A$73,0)))=0,"",KE23/(INDEX('Standards for Conversions'!$H$47:$H$73,MATCH(KD$3,'Standards for Conversions'!$A$47:$A$73,0))))</f>
        <v/>
      </c>
      <c r="KG23" s="33" t="s">
        <v>42</v>
      </c>
      <c r="KJ23" s="31" t="str">
        <f>IF(KI23/(INDEX('Standards for Conversions'!$H$47:$H$73,MATCH(KH$3,'Standards for Conversions'!$A$47:$A$73,0)))=0,"",KI23/(INDEX('Standards for Conversions'!$H$47:$H$73,MATCH(KH$3,'Standards for Conversions'!$A$47:$A$73,0))))</f>
        <v/>
      </c>
      <c r="KK23" s="33" t="s">
        <v>42</v>
      </c>
      <c r="KL23" s="29">
        <v>18</v>
      </c>
      <c r="KM23" s="29">
        <v>100</v>
      </c>
      <c r="KN23" s="31">
        <f>IF(KM23/(INDEX('Standards for Conversions'!$H$47:$H$73,MATCH(KL$3,'Standards for Conversions'!$A$47:$A$73,0)))=0,"",KM23/(INDEX('Standards for Conversions'!$H$47:$H$73,MATCH(KL$3,'Standards for Conversions'!$A$47:$A$73,0))))</f>
        <v>13.465901190579647</v>
      </c>
      <c r="KO23" s="33" t="s">
        <v>42</v>
      </c>
      <c r="KP23" s="29">
        <v>18</v>
      </c>
      <c r="KQ23" s="29">
        <v>500</v>
      </c>
      <c r="KR23" s="31">
        <f>IF(KQ23/(INDEX('Standards for Conversions'!$H$47:$H$73,MATCH(KP$3,'Standards for Conversions'!$A$47:$A$73,0)))=0,"",KQ23/(INDEX('Standards for Conversions'!$H$47:$H$73,MATCH(KP$3,'Standards for Conversions'!$A$47:$A$73,0))))</f>
        <v>67.329505952898231</v>
      </c>
      <c r="KS23" s="33" t="s">
        <v>42</v>
      </c>
      <c r="KV23" s="31" t="str">
        <f>IF(KU23/(INDEX('Standards for Conversions'!$H$47:$H$73,MATCH(KT$3,'Standards for Conversions'!$A$47:$A$73,0)))=0,"",KU23/(INDEX('Standards for Conversions'!$H$47:$H$73,MATCH(KT$3,'Standards for Conversions'!$A$47:$A$73,0))))</f>
        <v/>
      </c>
      <c r="KW23" s="33" t="s">
        <v>42</v>
      </c>
      <c r="KZ23" s="31" t="str">
        <f>IF(KY23/(INDEX('Standards for Conversions'!$H$47:$H$73,MATCH(KX$3,'Standards for Conversions'!$A$47:$A$73,0)))=0,"",KY23/(INDEX('Standards for Conversions'!$H$47:$H$73,MATCH(KX$3,'Standards for Conversions'!$A$47:$A$73,0))))</f>
        <v/>
      </c>
      <c r="LA23" s="33" t="s">
        <v>42</v>
      </c>
      <c r="LD23" s="31" t="str">
        <f>IF(LC23/(INDEX('Standards for Conversions'!$H$47:$H$73,MATCH(LB$3,'Standards for Conversions'!$A$47:$A$73,0)))=0,"",LC23/(INDEX('Standards for Conversions'!$H$47:$H$73,MATCH(LB$3,'Standards for Conversions'!$A$47:$A$73,0))))</f>
        <v/>
      </c>
      <c r="LE23" s="48" t="s">
        <v>42</v>
      </c>
      <c r="LF23" s="29">
        <v>10</v>
      </c>
      <c r="LG23" s="29">
        <v>565</v>
      </c>
      <c r="LH23" s="31">
        <f>IF(LG23/(INDEX('Standards for Conversions'!$H$47:$H$73,MATCH(LF$3,'Standards for Conversions'!$A$47:$A$73,0)))=0,"",LG23/(INDEX('Standards for Conversions'!$H$47:$H$73,MATCH(LF$3,'Standards for Conversions'!$A$47:$A$73,0))))</f>
        <v>68.713360201037034</v>
      </c>
      <c r="LI23" s="33"/>
      <c r="LL23" s="31" t="str">
        <f>IF(LK23/(INDEX('Standards for Conversions'!$H$47:$H$73,MATCH(LJ$3,'Standards for Conversions'!$A$47:$A$73,0)))=0,"",LK23/(INDEX('Standards for Conversions'!$H$47:$H$73,MATCH(LJ$3,'Standards for Conversions'!$A$47:$A$73,0))))</f>
        <v/>
      </c>
      <c r="LO23" s="31" t="str">
        <f>IF(LN23/(INDEX('Standards for Conversions'!$H$47:$H$73,MATCH(LM$3,'Standards for Conversions'!$A$47:$A$73,0)))=0,"",LN23/(INDEX('Standards for Conversions'!$H$47:$H$73,MATCH(LM$3,'Standards for Conversions'!$A$47:$A$73,0))))</f>
        <v/>
      </c>
      <c r="LR23" s="31" t="str">
        <f>IF(LQ23/(INDEX('Standards for Conversions'!$H$47:$H$73,MATCH(LP$3,'Standards for Conversions'!$A$47:$A$73,0)))=0,"",LQ23/(INDEX('Standards for Conversions'!$H$47:$H$73,MATCH(LP$3,'Standards for Conversions'!$A$47:$A$73,0))))</f>
        <v/>
      </c>
      <c r="LS23" s="33"/>
      <c r="LV23" s="31" t="str">
        <f>IF(LU23/(INDEX('Standards for Conversions'!$H$47:$H$73,MATCH(LT$3,'Standards for Conversions'!$A$47:$A$73,0)))=0,"",LU23/(INDEX('Standards for Conversions'!$H$47:$H$73,MATCH(LT$3,'Standards for Conversions'!$A$47:$A$73,0))))</f>
        <v/>
      </c>
      <c r="LY23" s="31" t="str">
        <f>IF(LX23/(INDEX('Standards for Conversions'!$H$47:$H$73,MATCH(LW$3,'Standards for Conversions'!$A$47:$A$73,0)))=0,"",LX23/(INDEX('Standards for Conversions'!$H$47:$H$73,MATCH(LW$3,'Standards for Conversions'!$A$47:$A$73,0))))</f>
        <v/>
      </c>
      <c r="MB23" s="31" t="str">
        <f>IF(MA23/(INDEX('Standards for Conversions'!$H$47:$H$73,MATCH(LZ$3,'Standards for Conversions'!$A$47:$A$73,0)))=0,"",MA23/(INDEX('Standards for Conversions'!$H$47:$H$73,MATCH(LZ$3,'Standards for Conversions'!$A$47:$A$73,0))))</f>
        <v/>
      </c>
      <c r="ME23" s="31" t="str">
        <f>IF(MD23/(INDEX('Standards for Conversions'!$H$47:$H$73,MATCH(MC$3,'Standards for Conversions'!$A$47:$A$73,0)))=0,"",MD23/(INDEX('Standards for Conversions'!$H$47:$H$73,MATCH(MC$3,'Standards for Conversions'!$A$47:$A$73,0))))</f>
        <v/>
      </c>
      <c r="MH23" s="31" t="str">
        <f>IF(MG23/(INDEX('Standards for Conversions'!$H$47:$H$73,MATCH(MF$3,'Standards for Conversions'!$A$47:$A$73,0)))=0,"",MG23/(INDEX('Standards for Conversions'!$H$47:$H$73,MATCH(MF$3,'Standards for Conversions'!$A$47:$A$73,0))))</f>
        <v/>
      </c>
      <c r="MK23" s="31" t="str">
        <f>IF(MJ23/(INDEX('Standards for Conversions'!$H$47:$H$73,MATCH(MI$3,'Standards for Conversions'!$A$47:$A$73,0)))=0,"",MJ23/(INDEX('Standards for Conversions'!$H$47:$H$73,MATCH(MI$3,'Standards for Conversions'!$A$47:$A$73,0))))</f>
        <v/>
      </c>
      <c r="MN23" s="31" t="str">
        <f>IF(MM23/(INDEX('Standards for Conversions'!$H$47:$H$73,MATCH(ML$3,'Standards for Conversions'!$A$47:$A$73,0)))=0,"",MM23/(INDEX('Standards for Conversions'!$H$47:$H$73,MATCH(ML$3,'Standards for Conversions'!$A$47:$A$73,0))))</f>
        <v/>
      </c>
      <c r="MR23" s="31" t="str">
        <f>IF(MQ23/(INDEX('Standards for Conversions'!$H$47:$H$73,MATCH(MP$3,'Standards for Conversions'!$A$47:$A$73,0)))=0,"",MQ23/(INDEX('Standards for Conversions'!$H$47:$H$73,MATCH(MP$3,'Standards for Conversions'!$A$47:$A$73,0))))</f>
        <v/>
      </c>
      <c r="MZ23" s="33"/>
      <c r="NE23" s="33"/>
    </row>
    <row r="24" spans="1:373" hidden="1" x14ac:dyDescent="0.3">
      <c r="A24" s="103" t="s">
        <v>207</v>
      </c>
      <c r="B24" s="10" t="s">
        <v>38</v>
      </c>
      <c r="C24" s="7"/>
      <c r="D24" s="7"/>
      <c r="E24" s="31" t="str">
        <f>IF(D24/(INDEX('Standards for Conversions'!$H$34:$H$73,MATCH(C$3,'Standards for Conversions'!$A$34:$A$73,0)))=0,"",D24/(INDEX('Standards for Conversions'!$H$34:$H$73,MATCH(C$3,'Standards for Conversions'!$A$34:$A$73,0))))</f>
        <v/>
      </c>
      <c r="F24" s="10" t="s">
        <v>38</v>
      </c>
      <c r="G24" s="7"/>
      <c r="H24" s="7"/>
      <c r="I24" s="31" t="str">
        <f>IF(H24/(INDEX('Standards for Conversions'!$H$34:$H$73,MATCH(G$3,'Standards for Conversions'!$A$34:$A$73,0)))=0,"",H24/(INDEX('Standards for Conversions'!$H$34:$H$73,MATCH(G$3,'Standards for Conversions'!$A$34:$A$73,0))))</f>
        <v/>
      </c>
      <c r="J24" s="10" t="s">
        <v>38</v>
      </c>
      <c r="K24" s="9"/>
      <c r="L24" s="9"/>
      <c r="M24" s="31" t="str">
        <f>IF(L24/(INDEX('Standards for Conversions'!$H$34:$H$73,MATCH(K$3,'Standards for Conversions'!$A$34:$A$73,0)))=0,"",L24/(INDEX('Standards for Conversions'!$H$34:$H$73,MATCH(K$3,'Standards for Conversions'!$A$34:$A$73,0))))</f>
        <v/>
      </c>
      <c r="N24" s="10" t="s">
        <v>38</v>
      </c>
      <c r="O24" s="7"/>
      <c r="P24" s="7"/>
      <c r="Q24" s="31" t="str">
        <f>IF(P24/(INDEX('Standards for Conversions'!$H$34:$H$73,MATCH(O$3,'Standards for Conversions'!$A$34:$A$73,0)))=0,"",P24/(INDEX('Standards for Conversions'!$H$34:$H$73,MATCH(O$3,'Standards for Conversions'!$A$34:$A$73,0))))</f>
        <v/>
      </c>
      <c r="R24" s="10" t="s">
        <v>38</v>
      </c>
      <c r="S24" s="7"/>
      <c r="T24" s="7"/>
      <c r="U24" s="31" t="str">
        <f>IF(T24/(INDEX('Standards for Conversions'!$H$34:$H$73,MATCH(S$3,'Standards for Conversions'!$A$34:$A$73,0)))=0,"",T24/(INDEX('Standards for Conversions'!$H$34:$H$73,MATCH(S$3,'Standards for Conversions'!$A$34:$A$73,0))))</f>
        <v/>
      </c>
      <c r="V24" s="10" t="s">
        <v>38</v>
      </c>
      <c r="W24" s="7"/>
      <c r="X24" s="7"/>
      <c r="Y24" s="31" t="str">
        <f>IF(X24/(INDEX('Standards for Conversions'!$H$34:$H$73,MATCH(W$3,'Standards for Conversions'!$A$34:$A$73,0)))=0,"",X24/(INDEX('Standards for Conversions'!$H$34:$H$73,MATCH(W$3,'Standards for Conversions'!$A$34:$A$73,0))))</f>
        <v/>
      </c>
      <c r="Z24" s="10" t="s">
        <v>38</v>
      </c>
      <c r="AA24" s="9"/>
      <c r="AB24" s="9"/>
      <c r="AC24" s="31" t="str">
        <f>IF(AB24/(INDEX('Standards for Conversions'!$H$34:$H$73,MATCH(AA$3,'Standards for Conversions'!$A$34:$A$73,0)))=0,"",AB24/(INDEX('Standards for Conversions'!$H$34:$H$73,MATCH(AA$3,'Standards for Conversions'!$A$34:$A$73,0))))</f>
        <v/>
      </c>
      <c r="AD24" s="10" t="s">
        <v>38</v>
      </c>
      <c r="AE24" s="7"/>
      <c r="AF24" s="7"/>
      <c r="AG24" s="31" t="str">
        <f>IF(AF24/(INDEX('Standards for Conversions'!$H$34:$H$73,MATCH(AE$3,'Standards for Conversions'!$A$34:$A$73,0)))=0,"",AF24/(INDEX('Standards for Conversions'!$H$34:$H$73,MATCH(AE$3,'Standards for Conversions'!$A$34:$A$73,0))))</f>
        <v/>
      </c>
      <c r="AH24" s="10" t="s">
        <v>38</v>
      </c>
      <c r="AI24" s="7"/>
      <c r="AJ24" s="7"/>
      <c r="AK24" s="31" t="str">
        <f>IF(AJ24/(INDEX('Standards for Conversions'!$H$34:$H$73,MATCH(AI$3,'Standards for Conversions'!$A$34:$A$73,0)))=0,"",AJ24/(INDEX('Standards for Conversions'!$H$34:$H$73,MATCH(AI$3,'Standards for Conversions'!$A$34:$A$73,0))))</f>
        <v/>
      </c>
      <c r="AL24" s="10" t="s">
        <v>38</v>
      </c>
      <c r="AM24" s="7"/>
      <c r="AN24" s="7"/>
      <c r="AO24" s="31" t="str">
        <f>IF(AN24/(INDEX('Standards for Conversions'!$H$34:$H$73,MATCH(AM$3,'Standards for Conversions'!$A$34:$A$73,0)))=0,"",AN24/(INDEX('Standards for Conversions'!$H$34:$H$73,MATCH(AM$3,'Standards for Conversions'!$A$34:$A$73,0))))</f>
        <v/>
      </c>
      <c r="AP24" s="10" t="s">
        <v>38</v>
      </c>
      <c r="AQ24" s="9"/>
      <c r="AR24" s="9"/>
      <c r="AS24" s="31" t="str">
        <f>IF(AR24/(INDEX('Standards for Conversions'!$H$34:$H$73,MATCH(AQ$3,'Standards for Conversions'!$A$34:$A$73,0)))=0,"",AR24/(INDEX('Standards for Conversions'!$H$34:$H$73,MATCH(AQ$3,'Standards for Conversions'!$A$34:$A$73,0))))</f>
        <v/>
      </c>
      <c r="AT24" s="10" t="s">
        <v>38</v>
      </c>
      <c r="AU24" s="7"/>
      <c r="AV24" s="7"/>
      <c r="AW24" s="31" t="str">
        <f>IF(AV24/(INDEX('Standards for Conversions'!$H$34:$H$73,MATCH(AU$3,'Standards for Conversions'!$A$34:$A$73,0)))=0,"",AV24/(INDEX('Standards for Conversions'!$H$34:$H$73,MATCH(AU$3,'Standards for Conversions'!$A$34:$A$73,0))))</f>
        <v/>
      </c>
      <c r="AX24" s="10" t="s">
        <v>38</v>
      </c>
      <c r="AY24" s="7"/>
      <c r="AZ24" s="7"/>
      <c r="BA24" s="31" t="str">
        <f>IF(AZ24/(INDEX('Standards for Conversions'!$H$34:$H$73,MATCH(AY$3,'Standards for Conversions'!$A$34:$A$73,0)))=0,"",AZ24/(INDEX('Standards for Conversions'!$H$34:$H$73,MATCH(AY$3,'Standards for Conversions'!$A$34:$A$73,0))))</f>
        <v/>
      </c>
      <c r="BB24" s="10" t="s">
        <v>38</v>
      </c>
      <c r="BC24" s="7"/>
      <c r="BD24" s="7"/>
      <c r="BE24" s="31" t="str">
        <f>IF(BD24/(INDEX('Standards for Conversions'!$H$34:$H$73,MATCH(BC$3,'Standards for Conversions'!$A$34:$A$73,0)))=0,"",BD24/(INDEX('Standards for Conversions'!$H$34:$H$73,MATCH(BC$3,'Standards for Conversions'!$A$34:$A$73,0))))</f>
        <v/>
      </c>
      <c r="BF24" s="10" t="s">
        <v>38</v>
      </c>
      <c r="BG24" s="9"/>
      <c r="BH24" s="9"/>
      <c r="BI24" s="31" t="str">
        <f>IF(BH24/(INDEX('Standards for Conversions'!$H$34:$H$73,MATCH(BG$3,'Standards for Conversions'!$A$34:$A$73,0)))=0,"",BH24/(INDEX('Standards for Conversions'!$H$34:$H$73,MATCH(BG$3,'Standards for Conversions'!$A$34:$A$73,0))))</f>
        <v/>
      </c>
      <c r="BJ24" s="10" t="s">
        <v>38</v>
      </c>
      <c r="BK24" s="7"/>
      <c r="BL24" s="7"/>
      <c r="BM24" s="31" t="str">
        <f>IF(BL24/(INDEX('Standards for Conversions'!$H$34:$H$73,MATCH(BK$3,'Standards for Conversions'!$A$34:$A$73,0)))=0,"",BL24/(INDEX('Standards for Conversions'!$H$34:$H$73,MATCH(BK$3,'Standards for Conversions'!$A$34:$A$73,0))))</f>
        <v/>
      </c>
      <c r="BN24" s="10" t="s">
        <v>38</v>
      </c>
      <c r="BO24" s="7"/>
      <c r="BP24" s="7"/>
      <c r="BQ24" s="31" t="str">
        <f>IF(BP24/(INDEX('Standards for Conversions'!$H$34:$H$73,MATCH(BO$3,'Standards for Conversions'!$A$34:$A$73,0)))=0,"",BP24/(INDEX('Standards for Conversions'!$H$34:$H$73,MATCH(BO$3,'Standards for Conversions'!$A$34:$A$73,0))))</f>
        <v/>
      </c>
      <c r="BR24" s="10" t="s">
        <v>38</v>
      </c>
      <c r="BS24" s="7"/>
      <c r="BT24" s="7"/>
      <c r="BU24" s="31" t="str">
        <f>IF(BT24/(INDEX('Standards for Conversions'!$H$34:$H$73,MATCH(BS$3,'Standards for Conversions'!$A$34:$A$73,0)))=0,"",BT24/(INDEX('Standards for Conversions'!$H$34:$H$73,MATCH(BS$3,'Standards for Conversions'!$A$34:$A$73,0))))</f>
        <v/>
      </c>
      <c r="BV24" s="10" t="s">
        <v>38</v>
      </c>
      <c r="BW24" s="9"/>
      <c r="BX24" s="9"/>
      <c r="BY24" s="31" t="str">
        <f>IF(BX24/(INDEX('Standards for Conversions'!$H$34:$H$73,MATCH(BW$3,'Standards for Conversions'!$A$34:$A$73,0)))=0,"",BX24/(INDEX('Standards for Conversions'!$H$34:$H$73,MATCH(BW$3,'Standards for Conversions'!$A$34:$A$73,0))))</f>
        <v/>
      </c>
      <c r="BZ24" s="10" t="s">
        <v>38</v>
      </c>
      <c r="CA24" s="7"/>
      <c r="CB24" s="7"/>
      <c r="CC24" s="31" t="str">
        <f>IF(CB24/(INDEX('Standards for Conversions'!$H$34:$H$73,MATCH(CA$3,'Standards for Conversions'!$A$34:$A$73,0)))=0,"",CB24/(INDEX('Standards for Conversions'!$H$34:$H$73,MATCH(CA$3,'Standards for Conversions'!$A$34:$A$73,0))))</f>
        <v/>
      </c>
      <c r="CD24" s="10" t="s">
        <v>38</v>
      </c>
      <c r="CE24" s="7"/>
      <c r="CF24" s="7"/>
      <c r="CG24" s="31" t="str">
        <f>IF(CF24/(INDEX('Standards for Conversions'!$H$34:$H$73,MATCH(CE$3,'Standards for Conversions'!$A$34:$A$73,0)))=0,"",CF24/(INDEX('Standards for Conversions'!$H$34:$H$73,MATCH(CE$3,'Standards for Conversions'!$A$34:$A$73,0))))</f>
        <v/>
      </c>
      <c r="CH24" s="10" t="s">
        <v>38</v>
      </c>
      <c r="CI24" s="7"/>
      <c r="CJ24" s="7"/>
      <c r="CK24" s="31" t="str">
        <f>IF(CJ24/(INDEX('Standards for Conversions'!$H$34:$H$73,MATCH(CI$3,'Standards for Conversions'!$A$34:$A$73,0)))=0,"",CJ24/(INDEX('Standards for Conversions'!$H$34:$H$73,MATCH(CI$3,'Standards for Conversions'!$A$34:$A$73,0))))</f>
        <v/>
      </c>
      <c r="CL24" s="10" t="s">
        <v>38</v>
      </c>
      <c r="CM24" s="9"/>
      <c r="CN24" s="9"/>
      <c r="CO24" s="31" t="str">
        <f>IF(CN24/(INDEX('Standards for Conversions'!$H$34:$H$73,MATCH(CM$3,'Standards for Conversions'!$A$34:$A$73,0)))=0,"",CN24/(INDEX('Standards for Conversions'!$H$34:$H$73,MATCH(CM$3,'Standards for Conversions'!$A$34:$A$73,0))))</f>
        <v/>
      </c>
      <c r="CP24" s="10" t="s">
        <v>38</v>
      </c>
      <c r="CQ24" s="7"/>
      <c r="CR24" s="7"/>
      <c r="CS24" s="31" t="str">
        <f>IF(CR24/(INDEX('Standards for Conversions'!$H$34:$H$73,MATCH(CQ$3,'Standards for Conversions'!$A$34:$A$73,0)))=0,"",CR24/(INDEX('Standards for Conversions'!$H$34:$H$73,MATCH(CQ$3,'Standards for Conversions'!$A$34:$A$73,0))))</f>
        <v/>
      </c>
      <c r="CT24" s="10" t="s">
        <v>38</v>
      </c>
      <c r="CU24" s="7"/>
      <c r="CV24" s="7"/>
      <c r="CW24" s="31" t="str">
        <f>IF(CV24/(INDEX('Standards for Conversions'!$H$34:$H$73,MATCH(CU$3,'Standards for Conversions'!$A$34:$A$73,0)))=0,"",CV24/(INDEX('Standards for Conversions'!$H$34:$H$73,MATCH(CU$3,'Standards for Conversions'!$A$34:$A$73,0))))</f>
        <v/>
      </c>
      <c r="CX24" s="10" t="s">
        <v>38</v>
      </c>
      <c r="CY24" s="7"/>
      <c r="CZ24" s="7"/>
      <c r="DA24" s="31" t="str">
        <f>IF(CZ24/(INDEX('Standards for Conversions'!$H$34:$H$73,MATCH(CY$3,'Standards for Conversions'!$A$34:$A$73,0)))=0,"",CZ24/(INDEX('Standards for Conversions'!$H$34:$H$73,MATCH(CY$3,'Standards for Conversions'!$A$34:$A$73,0))))</f>
        <v/>
      </c>
      <c r="DB24" s="10" t="s">
        <v>38</v>
      </c>
      <c r="DC24" s="9"/>
      <c r="DD24" s="9"/>
      <c r="DE24" s="31" t="str">
        <f>IF(DD24/(INDEX('Standards for Conversions'!$H$34:$H$73,MATCH(DC$3,'Standards for Conversions'!$A$34:$A$73,0)))=0,"",DD24/(INDEX('Standards for Conversions'!$H$34:$H$73,MATCH(DC$3,'Standards for Conversions'!$A$34:$A$73,0))))</f>
        <v/>
      </c>
      <c r="DF24" s="10" t="s">
        <v>38</v>
      </c>
      <c r="DG24" s="7"/>
      <c r="DH24" s="7"/>
      <c r="DI24" s="31" t="str">
        <f>IF(DH24/(INDEX('Standards for Conversions'!$H$34:$H$73,MATCH(DG$3,'Standards for Conversions'!$A$34:$A$73,0)))=0,"",DH24/(INDEX('Standards for Conversions'!$H$34:$H$73,MATCH(DG$3,'Standards for Conversions'!$A$34:$A$73,0))))</f>
        <v/>
      </c>
      <c r="DJ24" s="10" t="s">
        <v>38</v>
      </c>
      <c r="DK24" s="7"/>
      <c r="DL24" s="7"/>
      <c r="DM24" s="31" t="str">
        <f>IF(DL24/(INDEX('Standards for Conversions'!$H$34:$H$73,MATCH(DK$3,'Standards for Conversions'!$A$34:$A$73,0)))=0,"",DL24/(INDEX('Standards for Conversions'!$H$34:$H$73,MATCH(DK$3,'Standards for Conversions'!$A$34:$A$73,0))))</f>
        <v/>
      </c>
      <c r="DN24" s="10" t="s">
        <v>38</v>
      </c>
      <c r="DO24" s="7"/>
      <c r="DP24" s="7"/>
      <c r="DQ24" s="31" t="str">
        <f>IF(DP24/(INDEX('Standards for Conversions'!$H$34:$H$73,MATCH(DO$3,'Standards for Conversions'!$A$34:$A$73,0)))=0,"",DP24/(INDEX('Standards for Conversions'!$H$34:$H$73,MATCH(DO$3,'Standards for Conversions'!$A$34:$A$73,0))))</f>
        <v/>
      </c>
      <c r="DR24" s="10" t="s">
        <v>38</v>
      </c>
      <c r="DS24" s="9"/>
      <c r="DT24" s="9"/>
      <c r="DU24" s="31" t="str">
        <f>IF(DT24/(INDEX('Standards for Conversions'!$H$34:$H$73,MATCH(DS$3,'Standards for Conversions'!$A$34:$A$73,0)))=0,"",DT24/(INDEX('Standards for Conversions'!$H$34:$H$73,MATCH(DS$3,'Standards for Conversions'!$A$34:$A$73,0))))</f>
        <v/>
      </c>
      <c r="DV24" s="10" t="s">
        <v>38</v>
      </c>
      <c r="DW24" s="7"/>
      <c r="DX24" s="7"/>
      <c r="DY24" s="31" t="str">
        <f>IF(DX24/(INDEX('Standards for Conversions'!$H$34:$H$73,MATCH(DW$3,'Standards for Conversions'!$A$34:$A$73,0)))=0,"",DX24/(INDEX('Standards for Conversions'!$H$34:$H$73,MATCH(DW$3,'Standards for Conversions'!$A$34:$A$73,0))))</f>
        <v/>
      </c>
      <c r="DZ24" s="10" t="s">
        <v>38</v>
      </c>
      <c r="EA24" s="7"/>
      <c r="EB24" s="7"/>
      <c r="EC24" s="31" t="str">
        <f>IF(EB24/(INDEX('Standards for Conversions'!$H$34:$H$73,MATCH(EA$3,'Standards for Conversions'!$A$34:$A$73,0)))=0,"",EB24/(INDEX('Standards for Conversions'!$H$34:$H$73,MATCH(EA$3,'Standards for Conversions'!$A$34:$A$73,0))))</f>
        <v/>
      </c>
      <c r="ED24" s="10" t="s">
        <v>38</v>
      </c>
      <c r="EE24" s="7"/>
      <c r="EF24" s="7"/>
      <c r="EG24" s="31" t="str">
        <f>IF(EF24/(INDEX('Standards for Conversions'!$H$34:$H$73,MATCH(EE$3,'Standards for Conversions'!$A$34:$A$73,0)))=0,"",EF24/(INDEX('Standards for Conversions'!$H$34:$H$73,MATCH(EE$3,'Standards for Conversions'!$A$34:$A$73,0))))</f>
        <v/>
      </c>
      <c r="EH24" s="10" t="s">
        <v>38</v>
      </c>
      <c r="EI24" s="9"/>
      <c r="EJ24" s="9"/>
      <c r="EK24" s="31" t="str">
        <f>IF(EJ24/(INDEX('Standards for Conversions'!$H$34:$H$73,MATCH(EI$3,'Standards for Conversions'!$A$34:$A$73,0)))=0,"",EJ24/(INDEX('Standards for Conversions'!$H$34:$H$73,MATCH(EI$3,'Standards for Conversions'!$A$34:$A$73,0))))</f>
        <v/>
      </c>
      <c r="EL24" s="10" t="s">
        <v>38</v>
      </c>
      <c r="EM24" s="7"/>
      <c r="EN24" s="7"/>
      <c r="EO24" s="31" t="str">
        <f>IF(EN24/(INDEX('Standards for Conversions'!$H$34:$H$73,MATCH(EM$3,'Standards for Conversions'!$A$34:$A$73,0)))=0,"",EN24/(INDEX('Standards for Conversions'!$H$34:$H$73,MATCH(EM$3,'Standards for Conversions'!$A$34:$A$73,0))))</f>
        <v/>
      </c>
      <c r="EP24" s="10" t="s">
        <v>38</v>
      </c>
      <c r="EQ24" s="7"/>
      <c r="ER24" s="7"/>
      <c r="ES24" s="31" t="str">
        <f>IF(ER24/(INDEX('Standards for Conversions'!$H$34:$H$73,MATCH(EQ$3,'Standards for Conversions'!$A$34:$A$73,0)))=0,"",ER24/(INDEX('Standards for Conversions'!$H$34:$H$73,MATCH(EQ$3,'Standards for Conversions'!$A$34:$A$73,0))))</f>
        <v/>
      </c>
      <c r="ET24" s="10" t="s">
        <v>38</v>
      </c>
      <c r="EU24" s="7"/>
      <c r="EV24" s="7"/>
      <c r="EW24" s="31" t="str">
        <f>IF(EV24/(INDEX('Standards for Conversions'!$H$34:$H$73,MATCH(EU$3,'Standards for Conversions'!$A$34:$A$73,0)))=0,"",EV24/(INDEX('Standards for Conversions'!$H$34:$H$73,MATCH(EU$3,'Standards for Conversions'!$A$34:$A$73,0))))</f>
        <v/>
      </c>
      <c r="EX24" s="10" t="s">
        <v>38</v>
      </c>
      <c r="EY24" s="9"/>
      <c r="EZ24" s="9"/>
      <c r="FA24" s="31" t="str">
        <f>IF(EZ24/(INDEX('Standards for Conversions'!$H$34:$H$73,MATCH(EY$3,'Standards for Conversions'!$A$34:$A$73,0)))=0,"",EZ24/(INDEX('Standards for Conversions'!$H$34:$H$73,MATCH(EY$3,'Standards for Conversions'!$A$34:$A$73,0))))</f>
        <v/>
      </c>
      <c r="FB24" s="10" t="s">
        <v>38</v>
      </c>
      <c r="FC24" s="7"/>
      <c r="FD24" s="7"/>
      <c r="FE24" s="31" t="str">
        <f>IF(FD24/(INDEX('Standards for Conversions'!$H$34:$H$73,MATCH(FC$3,'Standards for Conversions'!$A$34:$A$73,0)))=0,"",FD24/(INDEX('Standards for Conversions'!$H$34:$H$73,MATCH(FC$3,'Standards for Conversions'!$A$34:$A$73,0))))</f>
        <v/>
      </c>
      <c r="FF24" s="10" t="s">
        <v>38</v>
      </c>
      <c r="FG24" s="7"/>
      <c r="FH24" s="7"/>
      <c r="FI24" s="31" t="str">
        <f>IF(FH24/(INDEX('Standards for Conversions'!$H$34:$H$73,MATCH(FG$3,'Standards for Conversions'!$A$34:$A$73,0)))=0,"",FH24/(INDEX('Standards for Conversions'!$H$34:$H$73,MATCH(FG$3,'Standards for Conversions'!$A$34:$A$73,0))))</f>
        <v/>
      </c>
      <c r="FJ24" s="10" t="s">
        <v>38</v>
      </c>
      <c r="FK24" s="7"/>
      <c r="FL24" s="7"/>
      <c r="FM24" s="31" t="str">
        <f>IF(FL24/(INDEX('Standards for Conversions'!$H$34:$H$73,MATCH(FK$3,'Standards for Conversions'!$A$34:$A$73,0)))=0,"",FL24/(INDEX('Standards for Conversions'!$H$34:$H$73,MATCH(FK$3,'Standards for Conversions'!$A$34:$A$73,0))))</f>
        <v/>
      </c>
      <c r="FN24" s="10" t="s">
        <v>38</v>
      </c>
      <c r="FO24" s="9"/>
      <c r="FP24" s="9"/>
      <c r="FQ24" s="31" t="str">
        <f>IF(FP24/(INDEX('Standards for Conversions'!$H$34:$H$73,MATCH(FO$3,'Standards for Conversions'!$A$34:$A$73,0)))=0,"",FP24/(INDEX('Standards for Conversions'!$H$34:$H$73,MATCH(FO$3,'Standards for Conversions'!$A$34:$A$73,0))))</f>
        <v/>
      </c>
      <c r="FR24" s="10" t="s">
        <v>38</v>
      </c>
      <c r="FS24" s="7"/>
      <c r="FT24" s="7"/>
      <c r="FU24" s="31" t="str">
        <f>IF(FT24/(INDEX('Standards for Conversions'!$H$34:$H$73,MATCH(FS$3,'Standards for Conversions'!$A$34:$A$73,0)))=0,"",FT24/(INDEX('Standards for Conversions'!$H$34:$H$73,MATCH(FS$3,'Standards for Conversions'!$A$34:$A$73,0))))</f>
        <v/>
      </c>
      <c r="FV24" s="10" t="s">
        <v>38</v>
      </c>
      <c r="FW24" s="7"/>
      <c r="FX24" s="7"/>
      <c r="FY24" s="31" t="str">
        <f>IF(FX24/(INDEX('Standards for Conversions'!$H$34:$H$73,MATCH(FW$3,'Standards for Conversions'!$A$34:$A$73,0)))=0,"",FX24/(INDEX('Standards for Conversions'!$H$34:$H$73,MATCH(FW$3,'Standards for Conversions'!$A$34:$A$73,0))))</f>
        <v/>
      </c>
      <c r="FZ24" s="10" t="s">
        <v>38</v>
      </c>
      <c r="GA24" s="7"/>
      <c r="GB24" s="7"/>
      <c r="GC24" s="31" t="str">
        <f>IF(GB24/(INDEX('Standards for Conversions'!$H$34:$H$73,MATCH(GA$3,'Standards for Conversions'!$A$34:$A$73,0)))=0,"",GB24/(INDEX('Standards for Conversions'!$H$34:$H$73,MATCH(GA$3,'Standards for Conversions'!$A$34:$A$73,0))))</f>
        <v/>
      </c>
      <c r="GD24" s="10" t="s">
        <v>38</v>
      </c>
      <c r="GE24" s="9"/>
      <c r="GF24" s="9"/>
      <c r="GG24" s="31" t="str">
        <f>IF(GF24/(INDEX('Standards for Conversions'!$H$34:$H$73,MATCH(GE$3,'Standards for Conversions'!$A$34:$A$73,0)))=0,"",GF24/(INDEX('Standards for Conversions'!$H$34:$H$73,MATCH(GE$3,'Standards for Conversions'!$A$34:$A$73,0))))</f>
        <v/>
      </c>
      <c r="GH24" s="10" t="s">
        <v>38</v>
      </c>
      <c r="GI24" s="7"/>
      <c r="GJ24" s="7"/>
      <c r="GK24" s="31" t="str">
        <f>IF(GJ24/(INDEX('Standards for Conversions'!$H$34:$H$73,MATCH(GI$3,'Standards for Conversions'!$A$34:$A$73,0)))=0,"",GJ24/(INDEX('Standards for Conversions'!$H$34:$H$73,MATCH(GI$3,'Standards for Conversions'!$A$34:$A$73,0))))</f>
        <v/>
      </c>
      <c r="GL24" s="10" t="s">
        <v>38</v>
      </c>
      <c r="GM24" s="7"/>
      <c r="GN24" s="7"/>
      <c r="GO24" s="31" t="str">
        <f>IF(GN24/(INDEX('Standards for Conversions'!$H$34:$H$73,MATCH(GM$3,'Standards for Conversions'!$A$34:$A$73,0)))=0,"",GN24/(INDEX('Standards for Conversions'!$H$34:$H$73,MATCH(GM$3,'Standards for Conversions'!$A$34:$A$73,0))))</f>
        <v/>
      </c>
      <c r="GP24" s="10" t="s">
        <v>38</v>
      </c>
      <c r="GQ24" s="7"/>
      <c r="GR24" s="7"/>
      <c r="GS24" s="31" t="str">
        <f>IF(GR24/(INDEX('Standards for Conversions'!$H$34:$H$73,MATCH(GQ$3,'Standards for Conversions'!$A$34:$A$73,0)))=0,"",GR24/(INDEX('Standards for Conversions'!$H$34:$H$73,MATCH(GQ$3,'Standards for Conversions'!$A$34:$A$73,0))))</f>
        <v/>
      </c>
      <c r="GT24" s="10" t="s">
        <v>38</v>
      </c>
      <c r="GU24" s="9"/>
      <c r="GV24" s="9"/>
      <c r="GW24" s="31" t="str">
        <f>IF(GV24/(INDEX('Standards for Conversions'!$H$34:$H$73,MATCH(GU$3,'Standards for Conversions'!$A$34:$A$73,0)))=0,"",GV24/(INDEX('Standards for Conversions'!$H$34:$H$73,MATCH(GU$3,'Standards for Conversions'!$A$34:$A$73,0))))</f>
        <v/>
      </c>
      <c r="GX24" s="10" t="s">
        <v>38</v>
      </c>
      <c r="GY24" s="7"/>
      <c r="GZ24" s="7"/>
      <c r="HA24" s="31" t="str">
        <f>IF(GZ24/(INDEX('Standards for Conversions'!$H$34:$H$73,MATCH(GY$3,'Standards for Conversions'!$A$34:$A$73,0)))=0,"",GZ24/(INDEX('Standards for Conversions'!$H$34:$H$73,MATCH(GY$3,'Standards for Conversions'!$A$34:$A$73,0))))</f>
        <v/>
      </c>
      <c r="HB24" s="10" t="s">
        <v>38</v>
      </c>
      <c r="HC24" s="7"/>
      <c r="HD24" s="7"/>
      <c r="HE24" s="31" t="str">
        <f>IF(HD24/(INDEX('Standards for Conversions'!$H$34:$H$73,MATCH(HC$3,'Standards for Conversions'!$A$34:$A$73,0)))=0,"",HD24/(INDEX('Standards for Conversions'!$H$34:$H$73,MATCH(HC$3,'Standards for Conversions'!$A$34:$A$73,0))))</f>
        <v/>
      </c>
      <c r="HF24" s="10" t="s">
        <v>38</v>
      </c>
      <c r="HG24" s="7"/>
      <c r="HH24" s="7"/>
      <c r="HI24" s="31" t="str">
        <f>IF(HH24/(INDEX('Standards for Conversions'!$H$34:$H$73,MATCH(HG$3,'Standards for Conversions'!$A$34:$A$73,0)))=0,"",HH24/(INDEX('Standards for Conversions'!$H$34:$H$73,MATCH(HG$3,'Standards for Conversions'!$A$34:$A$73,0))))</f>
        <v/>
      </c>
      <c r="HJ24" s="10" t="s">
        <v>38</v>
      </c>
      <c r="HK24" s="9"/>
      <c r="HL24" s="9"/>
      <c r="HM24" s="31" t="str">
        <f>IF(HL24/(INDEX('Standards for Conversions'!$H$34:$H$73,MATCH(HK$3,'Standards for Conversions'!$A$34:$A$73,0)))=0,"",HL24/(INDEX('Standards for Conversions'!$H$34:$H$73,MATCH(HK$3,'Standards for Conversions'!$A$34:$A$73,0))))</f>
        <v/>
      </c>
      <c r="HN24" s="10" t="s">
        <v>38</v>
      </c>
      <c r="HO24" s="7"/>
      <c r="HP24" s="7"/>
      <c r="HQ24" s="31" t="str">
        <f>IF(HP24/(INDEX('Standards for Conversions'!$H$34:$H$73,MATCH(HO$3,'Standards for Conversions'!$A$34:$A$73,0)))=0,"",HP24/(INDEX('Standards for Conversions'!$H$34:$H$73,MATCH(HO$3,'Standards for Conversions'!$A$34:$A$73,0))))</f>
        <v/>
      </c>
      <c r="HR24" s="33" t="s">
        <v>38</v>
      </c>
      <c r="HU24" s="31" t="str">
        <f>IF(HT24/(INDEX('Standards for Conversions'!$H$47:$H$73,MATCH(HS$3,'Standards for Conversions'!$A$47:$A$73,0)))=0,"",HT24/(INDEX('Standards for Conversions'!$H$47:$H$73,MATCH(HS$3,'Standards for Conversions'!$A$47:$A$73,0))))</f>
        <v/>
      </c>
      <c r="HV24" s="33" t="s">
        <v>38</v>
      </c>
      <c r="HY24" s="31" t="str">
        <f>IF(HX24/(INDEX('Standards for Conversions'!$H$47:$H$73,MATCH(HW$3,'Standards for Conversions'!$A$47:$A$73,0)))=0,"",HX24/(INDEX('Standards for Conversions'!$H$47:$H$73,MATCH(HW$3,'Standards for Conversions'!$A$47:$A$73,0))))</f>
        <v/>
      </c>
      <c r="HZ24" s="33"/>
      <c r="IA24" s="33"/>
      <c r="IB24" s="31" t="str">
        <f>IF(IA24/(INDEX('Standards for Conversions'!$H$47:$H$73,MATCH(HZ$3,'Standards for Conversions'!$A$47:$A$73,0)))=0,"",IA24/(INDEX('Standards for Conversions'!$H$47:$H$73,MATCH(HZ$3,'Standards for Conversions'!$A$47:$A$73,0))))</f>
        <v/>
      </c>
      <c r="IC24" s="33" t="s">
        <v>38</v>
      </c>
      <c r="ID24" s="29">
        <v>5</v>
      </c>
      <c r="IE24" s="29">
        <v>400</v>
      </c>
      <c r="IF24" s="31">
        <f>IF(IE24/(INDEX('Standards for Conversions'!$H$47:$H$73,MATCH(ID$3,'Standards for Conversions'!$A$47:$A$73,0)))=0,"",IE24/(INDEX('Standards for Conversions'!$H$47:$H$73,MATCH(ID$3,'Standards for Conversions'!$A$47:$A$73,0))))</f>
        <v>58.098164885142381</v>
      </c>
      <c r="IG24" s="33" t="s">
        <v>38</v>
      </c>
      <c r="IJ24" s="31" t="str">
        <f>IF(II24/(INDEX('Standards for Conversions'!$H$47:$H$73,MATCH(IH$3,'Standards for Conversions'!$A$47:$A$73,0)))=0,"",II24/(INDEX('Standards for Conversions'!$H$47:$H$73,MATCH(IH$3,'Standards for Conversions'!$A$47:$A$73,0))))</f>
        <v/>
      </c>
      <c r="IK24" s="33" t="s">
        <v>38</v>
      </c>
      <c r="IN24" s="31" t="str">
        <f>IF(IM24/(INDEX('Standards for Conversions'!$H$47:$H$73,MATCH(IL$3,'Standards for Conversions'!$A$47:$A$73,0)))=0,"",IM24/(INDEX('Standards for Conversions'!$H$47:$H$73,MATCH(IL$3,'Standards for Conversions'!$A$47:$A$73,0))))</f>
        <v/>
      </c>
      <c r="IO24" s="33" t="s">
        <v>38</v>
      </c>
      <c r="IR24" s="31" t="str">
        <f>IF(IQ24/(INDEX('Standards for Conversions'!$H$47:$H$73,MATCH(IP$3,'Standards for Conversions'!$A$47:$A$73,0)))=0,"",IQ24/(INDEX('Standards for Conversions'!$H$47:$H$73,MATCH(IP$3,'Standards for Conversions'!$A$47:$A$73,0))))</f>
        <v/>
      </c>
      <c r="IS24" s="33" t="s">
        <v>38</v>
      </c>
      <c r="IV24" s="31" t="str">
        <f>IF(IU24/(INDEX('Standards for Conversions'!$H$47:$H$73,MATCH(IT$3,'Standards for Conversions'!$A$47:$A$73,0)))=0,"",IU24/(INDEX('Standards for Conversions'!$H$47:$H$73,MATCH(IT$3,'Standards for Conversions'!$A$47:$A$73,0))))</f>
        <v/>
      </c>
      <c r="IW24" s="33" t="s">
        <v>38</v>
      </c>
      <c r="IZ24" s="31" t="str">
        <f>IF(IY24/(INDEX('Standards for Conversions'!$H$47:$H$73,MATCH(IX$3,'Standards for Conversions'!$A$47:$A$73,0)))=0,"",IY24/(INDEX('Standards for Conversions'!$H$47:$H$73,MATCH(IX$3,'Standards for Conversions'!$A$47:$A$73,0))))</f>
        <v/>
      </c>
      <c r="JA24" s="33" t="s">
        <v>38</v>
      </c>
      <c r="JD24" s="31" t="str">
        <f>IF(JC24/(INDEX('Standards for Conversions'!$H$47:$H$73,MATCH(JB$3,'Standards for Conversions'!$A$47:$A$73,0)))=0,"",JC24/(INDEX('Standards for Conversions'!$H$47:$H$73,MATCH(JB$3,'Standards for Conversions'!$A$47:$A$73,0))))</f>
        <v/>
      </c>
      <c r="JE24" s="33" t="s">
        <v>38</v>
      </c>
      <c r="JH24" s="31" t="str">
        <f>IF(JG24/(INDEX('Standards for Conversions'!$H$47:$H$73,MATCH(JF$3,'Standards for Conversions'!$A$47:$A$73,0)))=0,"",JG24/(INDEX('Standards for Conversions'!$H$47:$H$73,MATCH(JF$3,'Standards for Conversions'!$A$47:$A$73,0))))</f>
        <v/>
      </c>
      <c r="JI24" s="48" t="s">
        <v>38</v>
      </c>
      <c r="JJ24" s="29">
        <v>3</v>
      </c>
      <c r="JK24" s="29">
        <v>150</v>
      </c>
      <c r="JL24" s="31">
        <f>IF(JK24/(INDEX('Standards for Conversions'!$H$47:$H$73,MATCH(JJ$3,'Standards for Conversions'!$A$47:$A$73,0)))=0,"",JK24/(INDEX('Standards for Conversions'!$H$47:$H$73,MATCH(JJ$3,'Standards for Conversions'!$A$47:$A$73,0))))</f>
        <v>24.264029503780304</v>
      </c>
      <c r="JM24" s="33" t="s">
        <v>38</v>
      </c>
      <c r="JP24" s="31" t="str">
        <f>IF(JO24/(INDEX('Standards for Conversions'!$H$47:$H$73,MATCH(JN$3,'Standards for Conversions'!$A$47:$A$73,0)))=0,"",JO24/(INDEX('Standards for Conversions'!$H$47:$H$73,MATCH(JN$3,'Standards for Conversions'!$A$47:$A$73,0))))</f>
        <v/>
      </c>
      <c r="JQ24" s="33" t="s">
        <v>38</v>
      </c>
      <c r="JT24" s="31" t="str">
        <f>IF(JS24/(INDEX('Standards for Conversions'!$H$47:$H$73,MATCH(JR$3,'Standards for Conversions'!$A$47:$A$73,0)))=0,"",JS24/(INDEX('Standards for Conversions'!$H$47:$H$73,MATCH(JR$3,'Standards for Conversions'!$A$47:$A$73,0))))</f>
        <v/>
      </c>
      <c r="JU24" s="33" t="s">
        <v>38</v>
      </c>
      <c r="JX24" s="31" t="str">
        <f>IF(JW24/(INDEX('Standards for Conversions'!$H$47:$H$73,MATCH(JV$3,'Standards for Conversions'!$A$47:$A$73,0)))=0,"",JW24/(INDEX('Standards for Conversions'!$H$47:$H$73,MATCH(JV$3,'Standards for Conversions'!$A$47:$A$73,0))))</f>
        <v/>
      </c>
      <c r="JY24" s="33" t="s">
        <v>38</v>
      </c>
      <c r="JZ24" s="29">
        <v>4</v>
      </c>
      <c r="KA24" s="29">
        <v>200</v>
      </c>
      <c r="KB24" s="31">
        <f>IF(KA24/(INDEX('Standards for Conversions'!$H$47:$H$73,MATCH(JZ$3,'Standards for Conversions'!$A$47:$A$73,0)))=0,"",KA24/(INDEX('Standards for Conversions'!$H$47:$H$73,MATCH(JZ$3,'Standards for Conversions'!$A$47:$A$73,0))))</f>
        <v>30.531178485559511</v>
      </c>
      <c r="KC24" s="33" t="s">
        <v>38</v>
      </c>
      <c r="KF24" s="31" t="str">
        <f>IF(KE24/(INDEX('Standards for Conversions'!$H$47:$H$73,MATCH(KD$3,'Standards for Conversions'!$A$47:$A$73,0)))=0,"",KE24/(INDEX('Standards for Conversions'!$H$47:$H$73,MATCH(KD$3,'Standards for Conversions'!$A$47:$A$73,0))))</f>
        <v/>
      </c>
      <c r="KG24" s="33" t="s">
        <v>38</v>
      </c>
      <c r="KJ24" s="31" t="str">
        <f>IF(KI24/(INDEX('Standards for Conversions'!$H$47:$H$73,MATCH(KH$3,'Standards for Conversions'!$A$47:$A$73,0)))=0,"",KI24/(INDEX('Standards for Conversions'!$H$47:$H$73,MATCH(KH$3,'Standards for Conversions'!$A$47:$A$73,0))))</f>
        <v/>
      </c>
      <c r="KK24" s="33" t="s">
        <v>38</v>
      </c>
      <c r="KN24" s="31" t="str">
        <f>IF(KM24/(INDEX('Standards for Conversions'!$H$47:$H$73,MATCH(KL$3,'Standards for Conversions'!$A$47:$A$73,0)))=0,"",KM24/(INDEX('Standards for Conversions'!$H$47:$H$73,MATCH(KL$3,'Standards for Conversions'!$A$47:$A$73,0))))</f>
        <v/>
      </c>
      <c r="KO24" s="33" t="s">
        <v>38</v>
      </c>
      <c r="KP24" s="29">
        <v>3</v>
      </c>
      <c r="KQ24" s="29">
        <v>150</v>
      </c>
      <c r="KR24" s="31">
        <f>IF(KQ24/(INDEX('Standards for Conversions'!$H$47:$H$73,MATCH(KP$3,'Standards for Conversions'!$A$47:$A$73,0)))=0,"",KQ24/(INDEX('Standards for Conversions'!$H$47:$H$73,MATCH(KP$3,'Standards for Conversions'!$A$47:$A$73,0))))</f>
        <v>20.198851785869469</v>
      </c>
      <c r="KS24" s="33" t="s">
        <v>38</v>
      </c>
      <c r="KV24" s="31" t="str">
        <f>IF(KU24/(INDEX('Standards for Conversions'!$H$47:$H$73,MATCH(KT$3,'Standards for Conversions'!$A$47:$A$73,0)))=0,"",KU24/(INDEX('Standards for Conversions'!$H$47:$H$73,MATCH(KT$3,'Standards for Conversions'!$A$47:$A$73,0))))</f>
        <v/>
      </c>
      <c r="KW24" s="33" t="s">
        <v>38</v>
      </c>
      <c r="KZ24" s="31" t="str">
        <f>IF(KY24/(INDEX('Standards for Conversions'!$H$47:$H$73,MATCH(KX$3,'Standards for Conversions'!$A$47:$A$73,0)))=0,"",KY24/(INDEX('Standards for Conversions'!$H$47:$H$73,MATCH(KX$3,'Standards for Conversions'!$A$47:$A$73,0))))</f>
        <v/>
      </c>
      <c r="LA24" s="33" t="s">
        <v>45</v>
      </c>
      <c r="LD24" s="31" t="str">
        <f>IF(LC24/(INDEX('Standards for Conversions'!$H$47:$H$73,MATCH(LB$3,'Standards for Conversions'!$A$47:$A$73,0)))=0,"",LC24/(INDEX('Standards for Conversions'!$H$47:$H$73,MATCH(LB$3,'Standards for Conversions'!$A$47:$A$73,0))))</f>
        <v/>
      </c>
      <c r="LE24" s="48" t="s">
        <v>45</v>
      </c>
      <c r="LF24" s="29">
        <v>2</v>
      </c>
      <c r="LG24" s="29">
        <v>60</v>
      </c>
      <c r="LH24" s="31">
        <f>IF(LG24/(INDEX('Standards for Conversions'!$H$47:$H$73,MATCH(LF$3,'Standards for Conversions'!$A$47:$A$73,0)))=0,"",LG24/(INDEX('Standards for Conversions'!$H$47:$H$73,MATCH(LF$3,'Standards for Conversions'!$A$47:$A$73,0))))</f>
        <v>7.2969940036499503</v>
      </c>
      <c r="LI24" s="33"/>
      <c r="LL24" s="31" t="str">
        <f>IF(LK24/(INDEX('Standards for Conversions'!$H$47:$H$73,MATCH(LJ$3,'Standards for Conversions'!$A$47:$A$73,0)))=0,"",LK24/(INDEX('Standards for Conversions'!$H$47:$H$73,MATCH(LJ$3,'Standards for Conversions'!$A$47:$A$73,0))))</f>
        <v/>
      </c>
      <c r="LO24" s="31" t="str">
        <f>IF(LN24/(INDEX('Standards for Conversions'!$H$47:$H$73,MATCH(LM$3,'Standards for Conversions'!$A$47:$A$73,0)))=0,"",LN24/(INDEX('Standards for Conversions'!$H$47:$H$73,MATCH(LM$3,'Standards for Conversions'!$A$47:$A$73,0))))</f>
        <v/>
      </c>
      <c r="LR24" s="31" t="str">
        <f>IF(LQ24/(INDEX('Standards for Conversions'!$H$47:$H$73,MATCH(LP$3,'Standards for Conversions'!$A$47:$A$73,0)))=0,"",LQ24/(INDEX('Standards for Conversions'!$H$47:$H$73,MATCH(LP$3,'Standards for Conversions'!$A$47:$A$73,0))))</f>
        <v/>
      </c>
      <c r="LS24" s="33"/>
      <c r="LV24" s="31" t="str">
        <f>IF(LU24/(INDEX('Standards for Conversions'!$H$47:$H$73,MATCH(LT$3,'Standards for Conversions'!$A$47:$A$73,0)))=0,"",LU24/(INDEX('Standards for Conversions'!$H$47:$H$73,MATCH(LT$3,'Standards for Conversions'!$A$47:$A$73,0))))</f>
        <v/>
      </c>
      <c r="LY24" s="31" t="str">
        <f>IF(LX24/(INDEX('Standards for Conversions'!$H$47:$H$73,MATCH(LW$3,'Standards for Conversions'!$A$47:$A$73,0)))=0,"",LX24/(INDEX('Standards for Conversions'!$H$47:$H$73,MATCH(LW$3,'Standards for Conversions'!$A$47:$A$73,0))))</f>
        <v/>
      </c>
      <c r="MB24" s="31" t="str">
        <f>IF(MA24/(INDEX('Standards for Conversions'!$H$47:$H$73,MATCH(LZ$3,'Standards for Conversions'!$A$47:$A$73,0)))=0,"",MA24/(INDEX('Standards for Conversions'!$H$47:$H$73,MATCH(LZ$3,'Standards for Conversions'!$A$47:$A$73,0))))</f>
        <v/>
      </c>
      <c r="ME24" s="31" t="str">
        <f>IF(MD24/(INDEX('Standards for Conversions'!$H$47:$H$73,MATCH(MC$3,'Standards for Conversions'!$A$47:$A$73,0)))=0,"",MD24/(INDEX('Standards for Conversions'!$H$47:$H$73,MATCH(MC$3,'Standards for Conversions'!$A$47:$A$73,0))))</f>
        <v/>
      </c>
      <c r="MH24" s="31" t="str">
        <f>IF(MG24/(INDEX('Standards for Conversions'!$H$47:$H$73,MATCH(MF$3,'Standards for Conversions'!$A$47:$A$73,0)))=0,"",MG24/(INDEX('Standards for Conversions'!$H$47:$H$73,MATCH(MF$3,'Standards for Conversions'!$A$47:$A$73,0))))</f>
        <v/>
      </c>
      <c r="MK24" s="31" t="str">
        <f>IF(MJ24/(INDEX('Standards for Conversions'!$H$47:$H$73,MATCH(MI$3,'Standards for Conversions'!$A$47:$A$73,0)))=0,"",MJ24/(INDEX('Standards for Conversions'!$H$47:$H$73,MATCH(MI$3,'Standards for Conversions'!$A$47:$A$73,0))))</f>
        <v/>
      </c>
      <c r="MN24" s="31" t="str">
        <f>IF(MM24/(INDEX('Standards for Conversions'!$H$47:$H$73,MATCH(ML$3,'Standards for Conversions'!$A$47:$A$73,0)))=0,"",MM24/(INDEX('Standards for Conversions'!$H$47:$H$73,MATCH(ML$3,'Standards for Conversions'!$A$47:$A$73,0))))</f>
        <v/>
      </c>
      <c r="MR24" s="31" t="str">
        <f>IF(MQ24/(INDEX('Standards for Conversions'!$H$47:$H$73,MATCH(MP$3,'Standards for Conversions'!$A$47:$A$73,0)))=0,"",MQ24/(INDEX('Standards for Conversions'!$H$47:$H$73,MATCH(MP$3,'Standards for Conversions'!$A$47:$A$73,0))))</f>
        <v/>
      </c>
      <c r="MZ24" s="33"/>
      <c r="NE24" s="33"/>
    </row>
    <row r="25" spans="1:373" hidden="1" x14ac:dyDescent="0.3">
      <c r="A25" s="105" t="s">
        <v>332</v>
      </c>
      <c r="C25" s="7"/>
      <c r="D25" s="7"/>
      <c r="E25" s="31" t="str">
        <f>IF(D25/(INDEX('Standards for Conversions'!$H$34:$H$73,MATCH(C$3,'Standards for Conversions'!$A$34:$A$73,0)))=0,"",D25/(INDEX('Standards for Conversions'!$H$34:$H$73,MATCH(C$3,'Standards for Conversions'!$A$34:$A$73,0))))</f>
        <v/>
      </c>
      <c r="G25" s="7"/>
      <c r="H25" s="7"/>
      <c r="I25" s="31" t="str">
        <f>IF(H25/(INDEX('Standards for Conversions'!$H$34:$H$73,MATCH(G$3,'Standards for Conversions'!$A$34:$A$73,0)))=0,"",H25/(INDEX('Standards for Conversions'!$H$34:$H$73,MATCH(G$3,'Standards for Conversions'!$A$34:$A$73,0))))</f>
        <v/>
      </c>
      <c r="K25" s="9"/>
      <c r="L25" s="9"/>
      <c r="M25" s="31" t="str">
        <f>IF(L25/(INDEX('Standards for Conversions'!$H$34:$H$73,MATCH(K$3,'Standards for Conversions'!$A$34:$A$73,0)))=0,"",L25/(INDEX('Standards for Conversions'!$H$34:$H$73,MATCH(K$3,'Standards for Conversions'!$A$34:$A$73,0))))</f>
        <v/>
      </c>
      <c r="O25" s="7"/>
      <c r="P25" s="7"/>
      <c r="Q25" s="31" t="str">
        <f>IF(P25/(INDEX('Standards for Conversions'!$H$34:$H$73,MATCH(O$3,'Standards for Conversions'!$A$34:$A$73,0)))=0,"",P25/(INDEX('Standards for Conversions'!$H$34:$H$73,MATCH(O$3,'Standards for Conversions'!$A$34:$A$73,0))))</f>
        <v/>
      </c>
      <c r="S25" s="7"/>
      <c r="T25" s="7"/>
      <c r="U25" s="31" t="str">
        <f>IF(T25/(INDEX('Standards for Conversions'!$H$34:$H$73,MATCH(S$3,'Standards for Conversions'!$A$34:$A$73,0)))=0,"",T25/(INDEX('Standards for Conversions'!$H$34:$H$73,MATCH(S$3,'Standards for Conversions'!$A$34:$A$73,0))))</f>
        <v/>
      </c>
      <c r="W25" s="7"/>
      <c r="X25" s="7"/>
      <c r="Y25" s="31" t="str">
        <f>IF(X25/(INDEX('Standards for Conversions'!$H$34:$H$73,MATCH(W$3,'Standards for Conversions'!$A$34:$A$73,0)))=0,"",X25/(INDEX('Standards for Conversions'!$H$34:$H$73,MATCH(W$3,'Standards for Conversions'!$A$34:$A$73,0))))</f>
        <v/>
      </c>
      <c r="AA25" s="9"/>
      <c r="AB25" s="9"/>
      <c r="AC25" s="31" t="str">
        <f>IF(AB25/(INDEX('Standards for Conversions'!$H$34:$H$73,MATCH(AA$3,'Standards for Conversions'!$A$34:$A$73,0)))=0,"",AB25/(INDEX('Standards for Conversions'!$H$34:$H$73,MATCH(AA$3,'Standards for Conversions'!$A$34:$A$73,0))))</f>
        <v/>
      </c>
      <c r="AE25" s="7"/>
      <c r="AF25" s="7"/>
      <c r="AG25" s="31" t="str">
        <f>IF(AF25/(INDEX('Standards for Conversions'!$H$34:$H$73,MATCH(AE$3,'Standards for Conversions'!$A$34:$A$73,0)))=0,"",AF25/(INDEX('Standards for Conversions'!$H$34:$H$73,MATCH(AE$3,'Standards for Conversions'!$A$34:$A$73,0))))</f>
        <v/>
      </c>
      <c r="AI25" s="7"/>
      <c r="AJ25" s="7"/>
      <c r="AK25" s="31" t="str">
        <f>IF(AJ25/(INDEX('Standards for Conversions'!$H$34:$H$73,MATCH(AI$3,'Standards for Conversions'!$A$34:$A$73,0)))=0,"",AJ25/(INDEX('Standards for Conversions'!$H$34:$H$73,MATCH(AI$3,'Standards for Conversions'!$A$34:$A$73,0))))</f>
        <v/>
      </c>
      <c r="AM25" s="7"/>
      <c r="AN25" s="7"/>
      <c r="AO25" s="31" t="str">
        <f>IF(AN25/(INDEX('Standards for Conversions'!$H$34:$H$73,MATCH(AM$3,'Standards for Conversions'!$A$34:$A$73,0)))=0,"",AN25/(INDEX('Standards for Conversions'!$H$34:$H$73,MATCH(AM$3,'Standards for Conversions'!$A$34:$A$73,0))))</f>
        <v/>
      </c>
      <c r="AQ25" s="9"/>
      <c r="AR25" s="9"/>
      <c r="AS25" s="31" t="str">
        <f>IF(AR25/(INDEX('Standards for Conversions'!$H$34:$H$73,MATCH(AQ$3,'Standards for Conversions'!$A$34:$A$73,0)))=0,"",AR25/(INDEX('Standards for Conversions'!$H$34:$H$73,MATCH(AQ$3,'Standards for Conversions'!$A$34:$A$73,0))))</f>
        <v/>
      </c>
      <c r="AU25" s="7"/>
      <c r="AV25" s="7"/>
      <c r="AW25" s="31" t="str">
        <f>IF(AV25/(INDEX('Standards for Conversions'!$H$34:$H$73,MATCH(AU$3,'Standards for Conversions'!$A$34:$A$73,0)))=0,"",AV25/(INDEX('Standards for Conversions'!$H$34:$H$73,MATCH(AU$3,'Standards for Conversions'!$A$34:$A$73,0))))</f>
        <v/>
      </c>
      <c r="AY25" s="7"/>
      <c r="AZ25" s="7"/>
      <c r="BA25" s="31" t="str">
        <f>IF(AZ25/(INDEX('Standards for Conversions'!$H$34:$H$73,MATCH(AY$3,'Standards for Conversions'!$A$34:$A$73,0)))=0,"",AZ25/(INDEX('Standards for Conversions'!$H$34:$H$73,MATCH(AY$3,'Standards for Conversions'!$A$34:$A$73,0))))</f>
        <v/>
      </c>
      <c r="BC25" s="7"/>
      <c r="BD25" s="7"/>
      <c r="BE25" s="31" t="str">
        <f>IF(BD25/(INDEX('Standards for Conversions'!$H$34:$H$73,MATCH(BC$3,'Standards for Conversions'!$A$34:$A$73,0)))=0,"",BD25/(INDEX('Standards for Conversions'!$H$34:$H$73,MATCH(BC$3,'Standards for Conversions'!$A$34:$A$73,0))))</f>
        <v/>
      </c>
      <c r="BG25" s="9"/>
      <c r="BH25" s="9"/>
      <c r="BI25" s="31" t="str">
        <f>IF(BH25/(INDEX('Standards for Conversions'!$H$34:$H$73,MATCH(BG$3,'Standards for Conversions'!$A$34:$A$73,0)))=0,"",BH25/(INDEX('Standards for Conversions'!$H$34:$H$73,MATCH(BG$3,'Standards for Conversions'!$A$34:$A$73,0))))</f>
        <v/>
      </c>
      <c r="BK25" s="7"/>
      <c r="BL25" s="7"/>
      <c r="BM25" s="31" t="str">
        <f>IF(BL25/(INDEX('Standards for Conversions'!$H$34:$H$73,MATCH(BK$3,'Standards for Conversions'!$A$34:$A$73,0)))=0,"",BL25/(INDEX('Standards for Conversions'!$H$34:$H$73,MATCH(BK$3,'Standards for Conversions'!$A$34:$A$73,0))))</f>
        <v/>
      </c>
      <c r="BO25" s="7"/>
      <c r="BP25" s="7"/>
      <c r="BQ25" s="31" t="str">
        <f>IF(BP25/(INDEX('Standards for Conversions'!$H$34:$H$73,MATCH(BO$3,'Standards for Conversions'!$A$34:$A$73,0)))=0,"",BP25/(INDEX('Standards for Conversions'!$H$34:$H$73,MATCH(BO$3,'Standards for Conversions'!$A$34:$A$73,0))))</f>
        <v/>
      </c>
      <c r="BS25" s="7"/>
      <c r="BT25" s="7"/>
      <c r="BU25" s="31" t="str">
        <f>IF(BT25/(INDEX('Standards for Conversions'!$H$34:$H$73,MATCH(BS$3,'Standards for Conversions'!$A$34:$A$73,0)))=0,"",BT25/(INDEX('Standards for Conversions'!$H$34:$H$73,MATCH(BS$3,'Standards for Conversions'!$A$34:$A$73,0))))</f>
        <v/>
      </c>
      <c r="BW25" s="9"/>
      <c r="BX25" s="9"/>
      <c r="BY25" s="31" t="str">
        <f>IF(BX25/(INDEX('Standards for Conversions'!$H$34:$H$73,MATCH(BW$3,'Standards for Conversions'!$A$34:$A$73,0)))=0,"",BX25/(INDEX('Standards for Conversions'!$H$34:$H$73,MATCH(BW$3,'Standards for Conversions'!$A$34:$A$73,0))))</f>
        <v/>
      </c>
      <c r="CA25" s="7"/>
      <c r="CB25" s="7"/>
      <c r="CC25" s="31" t="str">
        <f>IF(CB25/(INDEX('Standards for Conversions'!$H$34:$H$73,MATCH(CA$3,'Standards for Conversions'!$A$34:$A$73,0)))=0,"",CB25/(INDEX('Standards for Conversions'!$H$34:$H$73,MATCH(CA$3,'Standards for Conversions'!$A$34:$A$73,0))))</f>
        <v/>
      </c>
      <c r="CE25" s="7"/>
      <c r="CF25" s="7"/>
      <c r="CG25" s="31" t="str">
        <f>IF(CF25/(INDEX('Standards for Conversions'!$H$34:$H$73,MATCH(CE$3,'Standards for Conversions'!$A$34:$A$73,0)))=0,"",CF25/(INDEX('Standards for Conversions'!$H$34:$H$73,MATCH(CE$3,'Standards for Conversions'!$A$34:$A$73,0))))</f>
        <v/>
      </c>
      <c r="CI25" s="7"/>
      <c r="CJ25" s="7"/>
      <c r="CK25" s="31" t="str">
        <f>IF(CJ25/(INDEX('Standards for Conversions'!$H$34:$H$73,MATCH(CI$3,'Standards for Conversions'!$A$34:$A$73,0)))=0,"",CJ25/(INDEX('Standards for Conversions'!$H$34:$H$73,MATCH(CI$3,'Standards for Conversions'!$A$34:$A$73,0))))</f>
        <v/>
      </c>
      <c r="CM25" s="9"/>
      <c r="CN25" s="9"/>
      <c r="CO25" s="31" t="str">
        <f>IF(CN25/(INDEX('Standards for Conversions'!$H$34:$H$73,MATCH(CM$3,'Standards for Conversions'!$A$34:$A$73,0)))=0,"",CN25/(INDEX('Standards for Conversions'!$H$34:$H$73,MATCH(CM$3,'Standards for Conversions'!$A$34:$A$73,0))))</f>
        <v/>
      </c>
      <c r="CQ25" s="7"/>
      <c r="CR25" s="7"/>
      <c r="CS25" s="31" t="str">
        <f>IF(CR25/(INDEX('Standards for Conversions'!$H$34:$H$73,MATCH(CQ$3,'Standards for Conversions'!$A$34:$A$73,0)))=0,"",CR25/(INDEX('Standards for Conversions'!$H$34:$H$73,MATCH(CQ$3,'Standards for Conversions'!$A$34:$A$73,0))))</f>
        <v/>
      </c>
      <c r="CU25" s="7"/>
      <c r="CV25" s="7"/>
      <c r="CW25" s="31" t="str">
        <f>IF(CV25/(INDEX('Standards for Conversions'!$H$34:$H$73,MATCH(CU$3,'Standards for Conversions'!$A$34:$A$73,0)))=0,"",CV25/(INDEX('Standards for Conversions'!$H$34:$H$73,MATCH(CU$3,'Standards for Conversions'!$A$34:$A$73,0))))</f>
        <v/>
      </c>
      <c r="CY25" s="7"/>
      <c r="CZ25" s="7"/>
      <c r="DA25" s="31" t="str">
        <f>IF(CZ25/(INDEX('Standards for Conversions'!$H$34:$H$73,MATCH(CY$3,'Standards for Conversions'!$A$34:$A$73,0)))=0,"",CZ25/(INDEX('Standards for Conversions'!$H$34:$H$73,MATCH(CY$3,'Standards for Conversions'!$A$34:$A$73,0))))</f>
        <v/>
      </c>
      <c r="DC25" s="9"/>
      <c r="DD25" s="9"/>
      <c r="DE25" s="31" t="str">
        <f>IF(DD25/(INDEX('Standards for Conversions'!$H$34:$H$73,MATCH(DC$3,'Standards for Conversions'!$A$34:$A$73,0)))=0,"",DD25/(INDEX('Standards for Conversions'!$H$34:$H$73,MATCH(DC$3,'Standards for Conversions'!$A$34:$A$73,0))))</f>
        <v/>
      </c>
      <c r="DG25" s="7"/>
      <c r="DH25" s="7"/>
      <c r="DI25" s="31" t="str">
        <f>IF(DH25/(INDEX('Standards for Conversions'!$H$34:$H$73,MATCH(DG$3,'Standards for Conversions'!$A$34:$A$73,0)))=0,"",DH25/(INDEX('Standards for Conversions'!$H$34:$H$73,MATCH(DG$3,'Standards for Conversions'!$A$34:$A$73,0))))</f>
        <v/>
      </c>
      <c r="DK25" s="7"/>
      <c r="DL25" s="7"/>
      <c r="DM25" s="31" t="str">
        <f>IF(DL25/(INDEX('Standards for Conversions'!$H$34:$H$73,MATCH(DK$3,'Standards for Conversions'!$A$34:$A$73,0)))=0,"",DL25/(INDEX('Standards for Conversions'!$H$34:$H$73,MATCH(DK$3,'Standards for Conversions'!$A$34:$A$73,0))))</f>
        <v/>
      </c>
      <c r="DO25" s="7"/>
      <c r="DP25" s="7"/>
      <c r="DQ25" s="31" t="str">
        <f>IF(DP25/(INDEX('Standards for Conversions'!$H$34:$H$73,MATCH(DO$3,'Standards for Conversions'!$A$34:$A$73,0)))=0,"",DP25/(INDEX('Standards for Conversions'!$H$34:$H$73,MATCH(DO$3,'Standards for Conversions'!$A$34:$A$73,0))))</f>
        <v/>
      </c>
      <c r="DS25" s="9"/>
      <c r="DT25" s="9"/>
      <c r="DU25" s="31" t="str">
        <f>IF(DT25/(INDEX('Standards for Conversions'!$H$34:$H$73,MATCH(DS$3,'Standards for Conversions'!$A$34:$A$73,0)))=0,"",DT25/(INDEX('Standards for Conversions'!$H$34:$H$73,MATCH(DS$3,'Standards for Conversions'!$A$34:$A$73,0))))</f>
        <v/>
      </c>
      <c r="DW25" s="7"/>
      <c r="DX25" s="7"/>
      <c r="DY25" s="31" t="str">
        <f>IF(DX25/(INDEX('Standards for Conversions'!$H$34:$H$73,MATCH(DW$3,'Standards for Conversions'!$A$34:$A$73,0)))=0,"",DX25/(INDEX('Standards for Conversions'!$H$34:$H$73,MATCH(DW$3,'Standards for Conversions'!$A$34:$A$73,0))))</f>
        <v/>
      </c>
      <c r="EA25" s="7"/>
      <c r="EB25" s="7"/>
      <c r="EC25" s="31" t="str">
        <f>IF(EB25/(INDEX('Standards for Conversions'!$H$34:$H$73,MATCH(EA$3,'Standards for Conversions'!$A$34:$A$73,0)))=0,"",EB25/(INDEX('Standards for Conversions'!$H$34:$H$73,MATCH(EA$3,'Standards for Conversions'!$A$34:$A$73,0))))</f>
        <v/>
      </c>
      <c r="EE25" s="7"/>
      <c r="EF25" s="7"/>
      <c r="EG25" s="31" t="str">
        <f>IF(EF25/(INDEX('Standards for Conversions'!$H$34:$H$73,MATCH(EE$3,'Standards for Conversions'!$A$34:$A$73,0)))=0,"",EF25/(INDEX('Standards for Conversions'!$H$34:$H$73,MATCH(EE$3,'Standards for Conversions'!$A$34:$A$73,0))))</f>
        <v/>
      </c>
      <c r="EI25" s="9"/>
      <c r="EJ25" s="9"/>
      <c r="EK25" s="31" t="str">
        <f>IF(EJ25/(INDEX('Standards for Conversions'!$H$34:$H$73,MATCH(EI$3,'Standards for Conversions'!$A$34:$A$73,0)))=0,"",EJ25/(INDEX('Standards for Conversions'!$H$34:$H$73,MATCH(EI$3,'Standards for Conversions'!$A$34:$A$73,0))))</f>
        <v/>
      </c>
      <c r="EM25" s="7"/>
      <c r="EN25" s="7"/>
      <c r="EO25" s="31" t="str">
        <f>IF(EN25/(INDEX('Standards for Conversions'!$H$34:$H$73,MATCH(EM$3,'Standards for Conversions'!$A$34:$A$73,0)))=0,"",EN25/(INDEX('Standards for Conversions'!$H$34:$H$73,MATCH(EM$3,'Standards for Conversions'!$A$34:$A$73,0))))</f>
        <v/>
      </c>
      <c r="EQ25" s="7"/>
      <c r="ER25" s="7"/>
      <c r="ES25" s="31" t="str">
        <f>IF(ER25/(INDEX('Standards for Conversions'!$H$34:$H$73,MATCH(EQ$3,'Standards for Conversions'!$A$34:$A$73,0)))=0,"",ER25/(INDEX('Standards for Conversions'!$H$34:$H$73,MATCH(EQ$3,'Standards for Conversions'!$A$34:$A$73,0))))</f>
        <v/>
      </c>
      <c r="EU25" s="7"/>
      <c r="EV25" s="7"/>
      <c r="EW25" s="31" t="str">
        <f>IF(EV25/(INDEX('Standards for Conversions'!$H$34:$H$73,MATCH(EU$3,'Standards for Conversions'!$A$34:$A$73,0)))=0,"",EV25/(INDEX('Standards for Conversions'!$H$34:$H$73,MATCH(EU$3,'Standards for Conversions'!$A$34:$A$73,0))))</f>
        <v/>
      </c>
      <c r="EY25" s="9"/>
      <c r="EZ25" s="9"/>
      <c r="FA25" s="31" t="str">
        <f>IF(EZ25/(INDEX('Standards for Conversions'!$H$34:$H$73,MATCH(EY$3,'Standards for Conversions'!$A$34:$A$73,0)))=0,"",EZ25/(INDEX('Standards for Conversions'!$H$34:$H$73,MATCH(EY$3,'Standards for Conversions'!$A$34:$A$73,0))))</f>
        <v/>
      </c>
      <c r="FC25" s="7"/>
      <c r="FD25" s="7"/>
      <c r="FE25" s="31" t="str">
        <f>IF(FD25/(INDEX('Standards for Conversions'!$H$34:$H$73,MATCH(FC$3,'Standards for Conversions'!$A$34:$A$73,0)))=0,"",FD25/(INDEX('Standards for Conversions'!$H$34:$H$73,MATCH(FC$3,'Standards for Conversions'!$A$34:$A$73,0))))</f>
        <v/>
      </c>
      <c r="FG25" s="7"/>
      <c r="FH25" s="7"/>
      <c r="FI25" s="31" t="str">
        <f>IF(FH25/(INDEX('Standards for Conversions'!$H$34:$H$73,MATCH(FG$3,'Standards for Conversions'!$A$34:$A$73,0)))=0,"",FH25/(INDEX('Standards for Conversions'!$H$34:$H$73,MATCH(FG$3,'Standards for Conversions'!$A$34:$A$73,0))))</f>
        <v/>
      </c>
      <c r="FK25" s="7"/>
      <c r="FL25" s="7"/>
      <c r="FM25" s="31" t="str">
        <f>IF(FL25/(INDEX('Standards for Conversions'!$H$34:$H$73,MATCH(FK$3,'Standards for Conversions'!$A$34:$A$73,0)))=0,"",FL25/(INDEX('Standards for Conversions'!$H$34:$H$73,MATCH(FK$3,'Standards for Conversions'!$A$34:$A$73,0))))</f>
        <v/>
      </c>
      <c r="FO25" s="9"/>
      <c r="FP25" s="9"/>
      <c r="FQ25" s="31" t="str">
        <f>IF(FP25/(INDEX('Standards for Conversions'!$H$34:$H$73,MATCH(FO$3,'Standards for Conversions'!$A$34:$A$73,0)))=0,"",FP25/(INDEX('Standards for Conversions'!$H$34:$H$73,MATCH(FO$3,'Standards for Conversions'!$A$34:$A$73,0))))</f>
        <v/>
      </c>
      <c r="FS25" s="7"/>
      <c r="FT25" s="7"/>
      <c r="FU25" s="31" t="str">
        <f>IF(FT25/(INDEX('Standards for Conversions'!$H$34:$H$73,MATCH(FS$3,'Standards for Conversions'!$A$34:$A$73,0)))=0,"",FT25/(INDEX('Standards for Conversions'!$H$34:$H$73,MATCH(FS$3,'Standards for Conversions'!$A$34:$A$73,0))))</f>
        <v/>
      </c>
      <c r="FW25" s="7"/>
      <c r="FX25" s="7"/>
      <c r="FY25" s="31" t="str">
        <f>IF(FX25/(INDEX('Standards for Conversions'!$H$34:$H$73,MATCH(FW$3,'Standards for Conversions'!$A$34:$A$73,0)))=0,"",FX25/(INDEX('Standards for Conversions'!$H$34:$H$73,MATCH(FW$3,'Standards for Conversions'!$A$34:$A$73,0))))</f>
        <v/>
      </c>
      <c r="GA25" s="7"/>
      <c r="GB25" s="7"/>
      <c r="GC25" s="31" t="str">
        <f>IF(GB25/(INDEX('Standards for Conversions'!$H$34:$H$73,MATCH(GA$3,'Standards for Conversions'!$A$34:$A$73,0)))=0,"",GB25/(INDEX('Standards for Conversions'!$H$34:$H$73,MATCH(GA$3,'Standards for Conversions'!$A$34:$A$73,0))))</f>
        <v/>
      </c>
      <c r="GE25" s="9"/>
      <c r="GF25" s="9"/>
      <c r="GG25" s="31" t="str">
        <f>IF(GF25/(INDEX('Standards for Conversions'!$H$34:$H$73,MATCH(GE$3,'Standards for Conversions'!$A$34:$A$73,0)))=0,"",GF25/(INDEX('Standards for Conversions'!$H$34:$H$73,MATCH(GE$3,'Standards for Conversions'!$A$34:$A$73,0))))</f>
        <v/>
      </c>
      <c r="GI25" s="7"/>
      <c r="GJ25" s="7"/>
      <c r="GK25" s="31" t="str">
        <f>IF(GJ25/(INDEX('Standards for Conversions'!$H$34:$H$73,MATCH(GI$3,'Standards for Conversions'!$A$34:$A$73,0)))=0,"",GJ25/(INDEX('Standards for Conversions'!$H$34:$H$73,MATCH(GI$3,'Standards for Conversions'!$A$34:$A$73,0))))</f>
        <v/>
      </c>
      <c r="GM25" s="7"/>
      <c r="GN25" s="7"/>
      <c r="GO25" s="31" t="str">
        <f>IF(GN25/(INDEX('Standards for Conversions'!$H$34:$H$73,MATCH(GM$3,'Standards for Conversions'!$A$34:$A$73,0)))=0,"",GN25/(INDEX('Standards for Conversions'!$H$34:$H$73,MATCH(GM$3,'Standards for Conversions'!$A$34:$A$73,0))))</f>
        <v/>
      </c>
      <c r="GQ25" s="7"/>
      <c r="GR25" s="7"/>
      <c r="GS25" s="31" t="str">
        <f>IF(GR25/(INDEX('Standards for Conversions'!$H$34:$H$73,MATCH(GQ$3,'Standards for Conversions'!$A$34:$A$73,0)))=0,"",GR25/(INDEX('Standards for Conversions'!$H$34:$H$73,MATCH(GQ$3,'Standards for Conversions'!$A$34:$A$73,0))))</f>
        <v/>
      </c>
      <c r="GU25" s="9"/>
      <c r="GV25" s="9"/>
      <c r="GW25" s="31" t="str">
        <f>IF(GV25/(INDEX('Standards for Conversions'!$H$34:$H$73,MATCH(GU$3,'Standards for Conversions'!$A$34:$A$73,0)))=0,"",GV25/(INDEX('Standards for Conversions'!$H$34:$H$73,MATCH(GU$3,'Standards for Conversions'!$A$34:$A$73,0))))</f>
        <v/>
      </c>
      <c r="GY25" s="7"/>
      <c r="GZ25" s="7"/>
      <c r="HA25" s="31" t="str">
        <f>IF(GZ25/(INDEX('Standards for Conversions'!$H$34:$H$73,MATCH(GY$3,'Standards for Conversions'!$A$34:$A$73,0)))=0,"",GZ25/(INDEX('Standards for Conversions'!$H$34:$H$73,MATCH(GY$3,'Standards for Conversions'!$A$34:$A$73,0))))</f>
        <v/>
      </c>
      <c r="HC25" s="7"/>
      <c r="HD25" s="7"/>
      <c r="HE25" s="31" t="str">
        <f>IF(HD25/(INDEX('Standards for Conversions'!$H$34:$H$73,MATCH(HC$3,'Standards for Conversions'!$A$34:$A$73,0)))=0,"",HD25/(INDEX('Standards for Conversions'!$H$34:$H$73,MATCH(HC$3,'Standards for Conversions'!$A$34:$A$73,0))))</f>
        <v/>
      </c>
      <c r="HG25" s="7"/>
      <c r="HH25" s="7"/>
      <c r="HI25" s="31" t="str">
        <f>IF(HH25/(INDEX('Standards for Conversions'!$H$34:$H$73,MATCH(HG$3,'Standards for Conversions'!$A$34:$A$73,0)))=0,"",HH25/(INDEX('Standards for Conversions'!$H$34:$H$73,MATCH(HG$3,'Standards for Conversions'!$A$34:$A$73,0))))</f>
        <v/>
      </c>
      <c r="HK25" s="9"/>
      <c r="HL25" s="9"/>
      <c r="HM25" s="31" t="str">
        <f>IF(HL25/(INDEX('Standards for Conversions'!$H$34:$H$73,MATCH(HK$3,'Standards for Conversions'!$A$34:$A$73,0)))=0,"",HL25/(INDEX('Standards for Conversions'!$H$34:$H$73,MATCH(HK$3,'Standards for Conversions'!$A$34:$A$73,0))))</f>
        <v/>
      </c>
      <c r="HO25" s="7"/>
      <c r="HP25" s="7"/>
      <c r="HQ25" s="31" t="str">
        <f>IF(HP25/(INDEX('Standards for Conversions'!$H$34:$H$73,MATCH(HO$3,'Standards for Conversions'!$A$34:$A$73,0)))=0,"",HP25/(INDEX('Standards for Conversions'!$H$34:$H$73,MATCH(HO$3,'Standards for Conversions'!$A$34:$A$73,0))))</f>
        <v/>
      </c>
      <c r="HU25" s="31" t="str">
        <f>IF(HT25/(INDEX('Standards for Conversions'!$H$47:$H$73,MATCH(HS$3,'Standards for Conversions'!$A$47:$A$73,0)))=0,"",HT25/(INDEX('Standards for Conversions'!$H$47:$H$73,MATCH(HS$3,'Standards for Conversions'!$A$47:$A$73,0))))</f>
        <v/>
      </c>
      <c r="HY25" s="31" t="str">
        <f>IF(HX25/(INDEX('Standards for Conversions'!$H$47:$H$73,MATCH(HW$3,'Standards for Conversions'!$A$47:$A$73,0)))=0,"",HX25/(INDEX('Standards for Conversions'!$H$47:$H$73,MATCH(HW$3,'Standards for Conversions'!$A$47:$A$73,0))))</f>
        <v/>
      </c>
      <c r="HZ25" s="33"/>
      <c r="IA25" s="33"/>
      <c r="IB25" s="31" t="str">
        <f>IF(IA25/(INDEX('Standards for Conversions'!$H$47:$H$73,MATCH(HZ$3,'Standards for Conversions'!$A$47:$A$73,0)))=0,"",IA25/(INDEX('Standards for Conversions'!$H$47:$H$73,MATCH(HZ$3,'Standards for Conversions'!$A$47:$A$73,0))))</f>
        <v/>
      </c>
      <c r="IF25" s="31" t="str">
        <f>IF(IE25/(INDEX('Standards for Conversions'!$H$47:$H$73,MATCH(ID$3,'Standards for Conversions'!$A$47:$A$73,0)))=0,"",IE25/(INDEX('Standards for Conversions'!$H$47:$H$73,MATCH(ID$3,'Standards for Conversions'!$A$47:$A$73,0))))</f>
        <v/>
      </c>
      <c r="IJ25" s="31" t="str">
        <f>IF(II25/(INDEX('Standards for Conversions'!$H$47:$H$73,MATCH(IH$3,'Standards for Conversions'!$A$47:$A$73,0)))=0,"",II25/(INDEX('Standards for Conversions'!$H$47:$H$73,MATCH(IH$3,'Standards for Conversions'!$A$47:$A$73,0))))</f>
        <v/>
      </c>
      <c r="IN25" s="31" t="str">
        <f>IF(IM25/(INDEX('Standards for Conversions'!$H$47:$H$73,MATCH(IL$3,'Standards for Conversions'!$A$47:$A$73,0)))=0,"",IM25/(INDEX('Standards for Conversions'!$H$47:$H$73,MATCH(IL$3,'Standards for Conversions'!$A$47:$A$73,0))))</f>
        <v/>
      </c>
      <c r="IR25" s="31" t="str">
        <f>IF(IQ25/(INDEX('Standards for Conversions'!$H$47:$H$73,MATCH(IP$3,'Standards for Conversions'!$A$47:$A$73,0)))=0,"",IQ25/(INDEX('Standards for Conversions'!$H$47:$H$73,MATCH(IP$3,'Standards for Conversions'!$A$47:$A$73,0))))</f>
        <v/>
      </c>
      <c r="IV25" s="31" t="str">
        <f>IF(IU25/(INDEX('Standards for Conversions'!$H$47:$H$73,MATCH(IT$3,'Standards for Conversions'!$A$47:$A$73,0)))=0,"",IU25/(INDEX('Standards for Conversions'!$H$47:$H$73,MATCH(IT$3,'Standards for Conversions'!$A$47:$A$73,0))))</f>
        <v/>
      </c>
      <c r="IZ25" s="31" t="str">
        <f>IF(IY25/(INDEX('Standards for Conversions'!$H$47:$H$73,MATCH(IX$3,'Standards for Conversions'!$A$47:$A$73,0)))=0,"",IY25/(INDEX('Standards for Conversions'!$H$47:$H$73,MATCH(IX$3,'Standards for Conversions'!$A$47:$A$73,0))))</f>
        <v/>
      </c>
      <c r="JA25" s="33"/>
      <c r="JD25" s="31" t="str">
        <f>IF(JC25/(INDEX('Standards for Conversions'!$H$47:$H$73,MATCH(JB$3,'Standards for Conversions'!$A$47:$A$73,0)))=0,"",JC25/(INDEX('Standards for Conversions'!$H$47:$H$73,MATCH(JB$3,'Standards for Conversions'!$A$47:$A$73,0))))</f>
        <v/>
      </c>
      <c r="JE25" s="33"/>
      <c r="JH25" s="31" t="str">
        <f>IF(JG25/(INDEX('Standards for Conversions'!$H$47:$H$73,MATCH(JF$3,'Standards for Conversions'!$A$47:$A$73,0)))=0,"",JG25/(INDEX('Standards for Conversions'!$H$47:$H$73,MATCH(JF$3,'Standards for Conversions'!$A$47:$A$73,0))))</f>
        <v/>
      </c>
      <c r="JL25" s="31" t="str">
        <f>IF(JK25/(INDEX('Standards for Conversions'!$H$47:$H$73,MATCH(JJ$3,'Standards for Conversions'!$A$47:$A$73,0)))=0,"",JK25/(INDEX('Standards for Conversions'!$H$47:$H$73,MATCH(JJ$3,'Standards for Conversions'!$A$47:$A$73,0))))</f>
        <v/>
      </c>
      <c r="JP25" s="31" t="str">
        <f>IF(JO25/(INDEX('Standards for Conversions'!$H$47:$H$73,MATCH(JN$3,'Standards for Conversions'!$A$47:$A$73,0)))=0,"",JO25/(INDEX('Standards for Conversions'!$H$47:$H$73,MATCH(JN$3,'Standards for Conversions'!$A$47:$A$73,0))))</f>
        <v/>
      </c>
      <c r="JT25" s="31" t="str">
        <f>IF(JS25/(INDEX('Standards for Conversions'!$H$47:$H$73,MATCH(JR$3,'Standards for Conversions'!$A$47:$A$73,0)))=0,"",JS25/(INDEX('Standards for Conversions'!$H$47:$H$73,MATCH(JR$3,'Standards for Conversions'!$A$47:$A$73,0))))</f>
        <v/>
      </c>
      <c r="JX25" s="31" t="str">
        <f>IF(JW25/(INDEX('Standards for Conversions'!$H$47:$H$73,MATCH(JV$3,'Standards for Conversions'!$A$47:$A$73,0)))=0,"",JW25/(INDEX('Standards for Conversions'!$H$47:$H$73,MATCH(JV$3,'Standards for Conversions'!$A$47:$A$73,0))))</f>
        <v/>
      </c>
      <c r="KB25" s="31" t="str">
        <f>IF(KA25/(INDEX('Standards for Conversions'!$H$47:$H$73,MATCH(JZ$3,'Standards for Conversions'!$A$47:$A$73,0)))=0,"",KA25/(INDEX('Standards for Conversions'!$H$47:$H$73,MATCH(JZ$3,'Standards for Conversions'!$A$47:$A$73,0))))</f>
        <v/>
      </c>
      <c r="KF25" s="31" t="str">
        <f>IF(KE25/(INDEX('Standards for Conversions'!$H$47:$H$73,MATCH(KD$3,'Standards for Conversions'!$A$47:$A$73,0)))=0,"",KE25/(INDEX('Standards for Conversions'!$H$47:$H$73,MATCH(KD$3,'Standards for Conversions'!$A$47:$A$73,0))))</f>
        <v/>
      </c>
      <c r="KJ25" s="31" t="str">
        <f>IF(KI25/(INDEX('Standards for Conversions'!$H$47:$H$73,MATCH(KH$3,'Standards for Conversions'!$A$47:$A$73,0)))=0,"",KI25/(INDEX('Standards for Conversions'!$H$47:$H$73,MATCH(KH$3,'Standards for Conversions'!$A$47:$A$73,0))))</f>
        <v/>
      </c>
      <c r="KN25" s="31" t="str">
        <f>IF(KM25/(INDEX('Standards for Conversions'!$H$47:$H$73,MATCH(KL$3,'Standards for Conversions'!$A$47:$A$73,0)))=0,"",KM25/(INDEX('Standards for Conversions'!$H$47:$H$73,MATCH(KL$3,'Standards for Conversions'!$A$47:$A$73,0))))</f>
        <v/>
      </c>
      <c r="KR25" s="31" t="str">
        <f>IF(KQ25/(INDEX('Standards for Conversions'!$H$47:$H$73,MATCH(KP$3,'Standards for Conversions'!$A$47:$A$73,0)))=0,"",KQ25/(INDEX('Standards for Conversions'!$H$47:$H$73,MATCH(KP$3,'Standards for Conversions'!$A$47:$A$73,0))))</f>
        <v/>
      </c>
      <c r="KV25" s="31" t="str">
        <f>IF(KU25/(INDEX('Standards for Conversions'!$H$47:$H$73,MATCH(KT$3,'Standards for Conversions'!$A$47:$A$73,0)))=0,"",KU25/(INDEX('Standards for Conversions'!$H$47:$H$73,MATCH(KT$3,'Standards for Conversions'!$A$47:$A$73,0))))</f>
        <v/>
      </c>
      <c r="KW25" s="33"/>
      <c r="KZ25" s="31" t="str">
        <f>IF(KY25/(INDEX('Standards for Conversions'!$H$47:$H$73,MATCH(KX$3,'Standards for Conversions'!$A$47:$A$73,0)))=0,"",KY25/(INDEX('Standards for Conversions'!$H$47:$H$73,MATCH(KX$3,'Standards for Conversions'!$A$47:$A$73,0))))</f>
        <v/>
      </c>
      <c r="LD25" s="31" t="str">
        <f>IF(LC25/(INDEX('Standards for Conversions'!$H$47:$H$73,MATCH(LB$3,'Standards for Conversions'!$A$47:$A$73,0)))=0,"",LC25/(INDEX('Standards for Conversions'!$H$47:$H$73,MATCH(LB$3,'Standards for Conversions'!$A$47:$A$73,0))))</f>
        <v/>
      </c>
      <c r="LH25" s="31" t="str">
        <f>IF(LG25/(INDEX('Standards for Conversions'!$H$47:$H$73,MATCH(LF$3,'Standards for Conversions'!$A$47:$A$73,0)))=0,"",LG25/(INDEX('Standards for Conversions'!$H$47:$H$73,MATCH(LF$3,'Standards for Conversions'!$A$47:$A$73,0))))</f>
        <v/>
      </c>
      <c r="LI25" s="33"/>
      <c r="LL25" s="31" t="str">
        <f>IF(LK25/(INDEX('Standards for Conversions'!$H$47:$H$73,MATCH(LJ$3,'Standards for Conversions'!$A$47:$A$73,0)))=0,"",LK25/(INDEX('Standards for Conversions'!$H$47:$H$73,MATCH(LJ$3,'Standards for Conversions'!$A$47:$A$73,0))))</f>
        <v/>
      </c>
      <c r="LO25" s="31" t="str">
        <f>IF(LN25/(INDEX('Standards for Conversions'!$H$47:$H$73,MATCH(LM$3,'Standards for Conversions'!$A$47:$A$73,0)))=0,"",LN25/(INDEX('Standards for Conversions'!$H$47:$H$73,MATCH(LM$3,'Standards for Conversions'!$A$47:$A$73,0))))</f>
        <v/>
      </c>
      <c r="LR25" s="31" t="str">
        <f>IF(LQ25/(INDEX('Standards for Conversions'!$H$47:$H$73,MATCH(LP$3,'Standards for Conversions'!$A$47:$A$73,0)))=0,"",LQ25/(INDEX('Standards for Conversions'!$H$47:$H$73,MATCH(LP$3,'Standards for Conversions'!$A$47:$A$73,0))))</f>
        <v/>
      </c>
      <c r="LS25" s="33"/>
      <c r="LV25" s="31" t="str">
        <f>IF(LU25/(INDEX('Standards for Conversions'!$H$47:$H$73,MATCH(LT$3,'Standards for Conversions'!$A$47:$A$73,0)))=0,"",LU25/(INDEX('Standards for Conversions'!$H$47:$H$73,MATCH(LT$3,'Standards for Conversions'!$A$47:$A$73,0))))</f>
        <v/>
      </c>
      <c r="LY25" s="31" t="str">
        <f>IF(LX25/(INDEX('Standards for Conversions'!$H$47:$H$73,MATCH(LW$3,'Standards for Conversions'!$A$47:$A$73,0)))=0,"",LX25/(INDEX('Standards for Conversions'!$H$47:$H$73,MATCH(LW$3,'Standards for Conversions'!$A$47:$A$73,0))))</f>
        <v/>
      </c>
      <c r="MB25" s="31" t="str">
        <f>IF(MA25/(INDEX('Standards for Conversions'!$H$47:$H$73,MATCH(LZ$3,'Standards for Conversions'!$A$47:$A$73,0)))=0,"",MA25/(INDEX('Standards for Conversions'!$H$47:$H$73,MATCH(LZ$3,'Standards for Conversions'!$A$47:$A$73,0))))</f>
        <v/>
      </c>
      <c r="ME25" s="31" t="str">
        <f>IF(MD25/(INDEX('Standards for Conversions'!$H$47:$H$73,MATCH(MC$3,'Standards for Conversions'!$A$47:$A$73,0)))=0,"",MD25/(INDEX('Standards for Conversions'!$H$47:$H$73,MATCH(MC$3,'Standards for Conversions'!$A$47:$A$73,0))))</f>
        <v/>
      </c>
      <c r="MH25" s="31" t="str">
        <f>IF(MG25/(INDEX('Standards for Conversions'!$H$47:$H$73,MATCH(MF$3,'Standards for Conversions'!$A$47:$A$73,0)))=0,"",MG25/(INDEX('Standards for Conversions'!$H$47:$H$73,MATCH(MF$3,'Standards for Conversions'!$A$47:$A$73,0))))</f>
        <v/>
      </c>
      <c r="MK25" s="31" t="str">
        <f>IF(MJ25/(INDEX('Standards for Conversions'!$H$47:$H$73,MATCH(MI$3,'Standards for Conversions'!$A$47:$A$73,0)))=0,"",MJ25/(INDEX('Standards for Conversions'!$H$47:$H$73,MATCH(MI$3,'Standards for Conversions'!$A$47:$A$73,0))))</f>
        <v/>
      </c>
      <c r="MN25" s="31" t="str">
        <f>IF(MM25/(INDEX('Standards for Conversions'!$H$47:$H$73,MATCH(ML$3,'Standards for Conversions'!$A$47:$A$73,0)))=0,"",MM25/(INDEX('Standards for Conversions'!$H$47:$H$73,MATCH(ML$3,'Standards for Conversions'!$A$47:$A$73,0))))</f>
        <v/>
      </c>
      <c r="MR25" s="31" t="str">
        <f>IF(MQ25/(INDEX('Standards for Conversions'!$H$47:$H$73,MATCH(MP$3,'Standards for Conversions'!$A$47:$A$73,0)))=0,"",MQ25/(INDEX('Standards for Conversions'!$H$47:$H$73,MATCH(MP$3,'Standards for Conversions'!$A$47:$A$73,0))))</f>
        <v/>
      </c>
      <c r="MZ25" s="33"/>
      <c r="NE25" s="33" t="s">
        <v>98</v>
      </c>
      <c r="NF25" s="29">
        <v>318</v>
      </c>
      <c r="NG25" s="29">
        <v>2033</v>
      </c>
      <c r="NH25" s="29">
        <v>262</v>
      </c>
      <c r="NI25" s="29">
        <v>1951</v>
      </c>
    </row>
    <row r="26" spans="1:373" hidden="1" x14ac:dyDescent="0.3">
      <c r="A26" s="103" t="s">
        <v>209</v>
      </c>
      <c r="B26" s="10" t="s">
        <v>45</v>
      </c>
      <c r="C26" s="7"/>
      <c r="D26" s="7"/>
      <c r="E26" s="31" t="str">
        <f>IF(D26/(INDEX('Standards for Conversions'!$H$34:$H$73,MATCH(C$3,'Standards for Conversions'!$A$34:$A$73,0)))=0,"",D26/(INDEX('Standards for Conversions'!$H$34:$H$73,MATCH(C$3,'Standards for Conversions'!$A$34:$A$73,0))))</f>
        <v/>
      </c>
      <c r="F26" s="10" t="s">
        <v>45</v>
      </c>
      <c r="G26" s="7"/>
      <c r="H26" s="7"/>
      <c r="I26" s="31" t="str">
        <f>IF(H26/(INDEX('Standards for Conversions'!$H$34:$H$73,MATCH(G$3,'Standards for Conversions'!$A$34:$A$73,0)))=0,"",H26/(INDEX('Standards for Conversions'!$H$34:$H$73,MATCH(G$3,'Standards for Conversions'!$A$34:$A$73,0))))</f>
        <v/>
      </c>
      <c r="J26" s="10" t="s">
        <v>45</v>
      </c>
      <c r="K26" s="9"/>
      <c r="L26" s="9"/>
      <c r="M26" s="31" t="str">
        <f>IF(L26/(INDEX('Standards for Conversions'!$H$34:$H$73,MATCH(K$3,'Standards for Conversions'!$A$34:$A$73,0)))=0,"",L26/(INDEX('Standards for Conversions'!$H$34:$H$73,MATCH(K$3,'Standards for Conversions'!$A$34:$A$73,0))))</f>
        <v/>
      </c>
      <c r="N26" s="10" t="s">
        <v>45</v>
      </c>
      <c r="O26" s="7"/>
      <c r="P26" s="7"/>
      <c r="Q26" s="31" t="str">
        <f>IF(P26/(INDEX('Standards for Conversions'!$H$34:$H$73,MATCH(O$3,'Standards for Conversions'!$A$34:$A$73,0)))=0,"",P26/(INDEX('Standards for Conversions'!$H$34:$H$73,MATCH(O$3,'Standards for Conversions'!$A$34:$A$73,0))))</f>
        <v/>
      </c>
      <c r="R26" s="10" t="s">
        <v>45</v>
      </c>
      <c r="S26" s="7"/>
      <c r="T26" s="7"/>
      <c r="U26" s="31" t="str">
        <f>IF(T26/(INDEX('Standards for Conversions'!$H$34:$H$73,MATCH(S$3,'Standards for Conversions'!$A$34:$A$73,0)))=0,"",T26/(INDEX('Standards for Conversions'!$H$34:$H$73,MATCH(S$3,'Standards for Conversions'!$A$34:$A$73,0))))</f>
        <v/>
      </c>
      <c r="V26" s="10" t="s">
        <v>45</v>
      </c>
      <c r="W26" s="7"/>
      <c r="X26" s="7"/>
      <c r="Y26" s="31" t="str">
        <f>IF(X26/(INDEX('Standards for Conversions'!$H$34:$H$73,MATCH(W$3,'Standards for Conversions'!$A$34:$A$73,0)))=0,"",X26/(INDEX('Standards for Conversions'!$H$34:$H$73,MATCH(W$3,'Standards for Conversions'!$A$34:$A$73,0))))</f>
        <v/>
      </c>
      <c r="Z26" s="10" t="s">
        <v>45</v>
      </c>
      <c r="AA26" s="9"/>
      <c r="AB26" s="9"/>
      <c r="AC26" s="31" t="str">
        <f>IF(AB26/(INDEX('Standards for Conversions'!$H$34:$H$73,MATCH(AA$3,'Standards for Conversions'!$A$34:$A$73,0)))=0,"",AB26/(INDEX('Standards for Conversions'!$H$34:$H$73,MATCH(AA$3,'Standards for Conversions'!$A$34:$A$73,0))))</f>
        <v/>
      </c>
      <c r="AD26" s="10" t="s">
        <v>45</v>
      </c>
      <c r="AE26" s="7"/>
      <c r="AF26" s="7"/>
      <c r="AG26" s="31" t="str">
        <f>IF(AF26/(INDEX('Standards for Conversions'!$H$34:$H$73,MATCH(AE$3,'Standards for Conversions'!$A$34:$A$73,0)))=0,"",AF26/(INDEX('Standards for Conversions'!$H$34:$H$73,MATCH(AE$3,'Standards for Conversions'!$A$34:$A$73,0))))</f>
        <v/>
      </c>
      <c r="AH26" s="10" t="s">
        <v>45</v>
      </c>
      <c r="AI26" s="7"/>
      <c r="AJ26" s="7"/>
      <c r="AK26" s="31" t="str">
        <f>IF(AJ26/(INDEX('Standards for Conversions'!$H$34:$H$73,MATCH(AI$3,'Standards for Conversions'!$A$34:$A$73,0)))=0,"",AJ26/(INDEX('Standards for Conversions'!$H$34:$H$73,MATCH(AI$3,'Standards for Conversions'!$A$34:$A$73,0))))</f>
        <v/>
      </c>
      <c r="AL26" s="10" t="s">
        <v>45</v>
      </c>
      <c r="AM26" s="7"/>
      <c r="AN26" s="7"/>
      <c r="AO26" s="31" t="str">
        <f>IF(AN26/(INDEX('Standards for Conversions'!$H$34:$H$73,MATCH(AM$3,'Standards for Conversions'!$A$34:$A$73,0)))=0,"",AN26/(INDEX('Standards for Conversions'!$H$34:$H$73,MATCH(AM$3,'Standards for Conversions'!$A$34:$A$73,0))))</f>
        <v/>
      </c>
      <c r="AP26" s="10" t="s">
        <v>45</v>
      </c>
      <c r="AQ26" s="9"/>
      <c r="AR26" s="9"/>
      <c r="AS26" s="31" t="str">
        <f>IF(AR26/(INDEX('Standards for Conversions'!$H$34:$H$73,MATCH(AQ$3,'Standards for Conversions'!$A$34:$A$73,0)))=0,"",AR26/(INDEX('Standards for Conversions'!$H$34:$H$73,MATCH(AQ$3,'Standards for Conversions'!$A$34:$A$73,0))))</f>
        <v/>
      </c>
      <c r="AT26" s="10" t="s">
        <v>45</v>
      </c>
      <c r="AU26" s="7"/>
      <c r="AV26" s="7"/>
      <c r="AW26" s="31" t="str">
        <f>IF(AV26/(INDEX('Standards for Conversions'!$H$34:$H$73,MATCH(AU$3,'Standards for Conversions'!$A$34:$A$73,0)))=0,"",AV26/(INDEX('Standards for Conversions'!$H$34:$H$73,MATCH(AU$3,'Standards for Conversions'!$A$34:$A$73,0))))</f>
        <v/>
      </c>
      <c r="AX26" s="10" t="s">
        <v>45</v>
      </c>
      <c r="AY26" s="7"/>
      <c r="AZ26" s="7"/>
      <c r="BA26" s="31" t="str">
        <f>IF(AZ26/(INDEX('Standards for Conversions'!$H$34:$H$73,MATCH(AY$3,'Standards for Conversions'!$A$34:$A$73,0)))=0,"",AZ26/(INDEX('Standards for Conversions'!$H$34:$H$73,MATCH(AY$3,'Standards for Conversions'!$A$34:$A$73,0))))</f>
        <v/>
      </c>
      <c r="BB26" s="10" t="s">
        <v>45</v>
      </c>
      <c r="BC26" s="7"/>
      <c r="BD26" s="7"/>
      <c r="BE26" s="31" t="str">
        <f>IF(BD26/(INDEX('Standards for Conversions'!$H$34:$H$73,MATCH(BC$3,'Standards for Conversions'!$A$34:$A$73,0)))=0,"",BD26/(INDEX('Standards for Conversions'!$H$34:$H$73,MATCH(BC$3,'Standards for Conversions'!$A$34:$A$73,0))))</f>
        <v/>
      </c>
      <c r="BF26" s="10" t="s">
        <v>45</v>
      </c>
      <c r="BG26" s="9"/>
      <c r="BH26" s="9"/>
      <c r="BI26" s="31" t="str">
        <f>IF(BH26/(INDEX('Standards for Conversions'!$H$34:$H$73,MATCH(BG$3,'Standards for Conversions'!$A$34:$A$73,0)))=0,"",BH26/(INDEX('Standards for Conversions'!$H$34:$H$73,MATCH(BG$3,'Standards for Conversions'!$A$34:$A$73,0))))</f>
        <v/>
      </c>
      <c r="BJ26" s="10" t="s">
        <v>45</v>
      </c>
      <c r="BK26" s="7"/>
      <c r="BL26" s="7"/>
      <c r="BM26" s="31" t="str">
        <f>IF(BL26/(INDEX('Standards for Conversions'!$H$34:$H$73,MATCH(BK$3,'Standards for Conversions'!$A$34:$A$73,0)))=0,"",BL26/(INDEX('Standards for Conversions'!$H$34:$H$73,MATCH(BK$3,'Standards for Conversions'!$A$34:$A$73,0))))</f>
        <v/>
      </c>
      <c r="BN26" s="10" t="s">
        <v>45</v>
      </c>
      <c r="BO26" s="7"/>
      <c r="BP26" s="7"/>
      <c r="BQ26" s="31" t="str">
        <f>IF(BP26/(INDEX('Standards for Conversions'!$H$34:$H$73,MATCH(BO$3,'Standards for Conversions'!$A$34:$A$73,0)))=0,"",BP26/(INDEX('Standards for Conversions'!$H$34:$H$73,MATCH(BO$3,'Standards for Conversions'!$A$34:$A$73,0))))</f>
        <v/>
      </c>
      <c r="BR26" s="10" t="s">
        <v>45</v>
      </c>
      <c r="BS26" s="7"/>
      <c r="BT26" s="7"/>
      <c r="BU26" s="31" t="str">
        <f>IF(BT26/(INDEX('Standards for Conversions'!$H$34:$H$73,MATCH(BS$3,'Standards for Conversions'!$A$34:$A$73,0)))=0,"",BT26/(INDEX('Standards for Conversions'!$H$34:$H$73,MATCH(BS$3,'Standards for Conversions'!$A$34:$A$73,0))))</f>
        <v/>
      </c>
      <c r="BV26" s="10" t="s">
        <v>45</v>
      </c>
      <c r="BW26" s="9"/>
      <c r="BX26" s="9"/>
      <c r="BY26" s="31" t="str">
        <f>IF(BX26/(INDEX('Standards for Conversions'!$H$34:$H$73,MATCH(BW$3,'Standards for Conversions'!$A$34:$A$73,0)))=0,"",BX26/(INDEX('Standards for Conversions'!$H$34:$H$73,MATCH(BW$3,'Standards for Conversions'!$A$34:$A$73,0))))</f>
        <v/>
      </c>
      <c r="BZ26" s="10" t="s">
        <v>45</v>
      </c>
      <c r="CA26" s="7"/>
      <c r="CB26" s="7"/>
      <c r="CC26" s="31" t="str">
        <f>IF(CB26/(INDEX('Standards for Conversions'!$H$34:$H$73,MATCH(CA$3,'Standards for Conversions'!$A$34:$A$73,0)))=0,"",CB26/(INDEX('Standards for Conversions'!$H$34:$H$73,MATCH(CA$3,'Standards for Conversions'!$A$34:$A$73,0))))</f>
        <v/>
      </c>
      <c r="CD26" s="10" t="s">
        <v>45</v>
      </c>
      <c r="CE26" s="7"/>
      <c r="CF26" s="7"/>
      <c r="CG26" s="31" t="str">
        <f>IF(CF26/(INDEX('Standards for Conversions'!$H$34:$H$73,MATCH(CE$3,'Standards for Conversions'!$A$34:$A$73,0)))=0,"",CF26/(INDEX('Standards for Conversions'!$H$34:$H$73,MATCH(CE$3,'Standards for Conversions'!$A$34:$A$73,0))))</f>
        <v/>
      </c>
      <c r="CH26" s="10" t="s">
        <v>45</v>
      </c>
      <c r="CI26" s="7"/>
      <c r="CJ26" s="7"/>
      <c r="CK26" s="31" t="str">
        <f>IF(CJ26/(INDEX('Standards for Conversions'!$H$34:$H$73,MATCH(CI$3,'Standards for Conversions'!$A$34:$A$73,0)))=0,"",CJ26/(INDEX('Standards for Conversions'!$H$34:$H$73,MATCH(CI$3,'Standards for Conversions'!$A$34:$A$73,0))))</f>
        <v/>
      </c>
      <c r="CL26" s="10" t="s">
        <v>45</v>
      </c>
      <c r="CM26" s="9"/>
      <c r="CN26" s="9"/>
      <c r="CO26" s="31" t="str">
        <f>IF(CN26/(INDEX('Standards for Conversions'!$H$34:$H$73,MATCH(CM$3,'Standards for Conversions'!$A$34:$A$73,0)))=0,"",CN26/(INDEX('Standards for Conversions'!$H$34:$H$73,MATCH(CM$3,'Standards for Conversions'!$A$34:$A$73,0))))</f>
        <v/>
      </c>
      <c r="CP26" s="10" t="s">
        <v>45</v>
      </c>
      <c r="CQ26" s="7"/>
      <c r="CR26" s="7"/>
      <c r="CS26" s="31" t="str">
        <f>IF(CR26/(INDEX('Standards for Conversions'!$H$34:$H$73,MATCH(CQ$3,'Standards for Conversions'!$A$34:$A$73,0)))=0,"",CR26/(INDEX('Standards for Conversions'!$H$34:$H$73,MATCH(CQ$3,'Standards for Conversions'!$A$34:$A$73,0))))</f>
        <v/>
      </c>
      <c r="CT26" s="10" t="s">
        <v>45</v>
      </c>
      <c r="CU26" s="7"/>
      <c r="CV26" s="7"/>
      <c r="CW26" s="31" t="str">
        <f>IF(CV26/(INDEX('Standards for Conversions'!$H$34:$H$73,MATCH(CU$3,'Standards for Conversions'!$A$34:$A$73,0)))=0,"",CV26/(INDEX('Standards for Conversions'!$H$34:$H$73,MATCH(CU$3,'Standards for Conversions'!$A$34:$A$73,0))))</f>
        <v/>
      </c>
      <c r="CX26" s="10" t="s">
        <v>45</v>
      </c>
      <c r="CY26" s="7"/>
      <c r="CZ26" s="7"/>
      <c r="DA26" s="31" t="str">
        <f>IF(CZ26/(INDEX('Standards for Conversions'!$H$34:$H$73,MATCH(CY$3,'Standards for Conversions'!$A$34:$A$73,0)))=0,"",CZ26/(INDEX('Standards for Conversions'!$H$34:$H$73,MATCH(CY$3,'Standards for Conversions'!$A$34:$A$73,0))))</f>
        <v/>
      </c>
      <c r="DB26" s="10" t="s">
        <v>45</v>
      </c>
      <c r="DC26" s="9"/>
      <c r="DD26" s="9"/>
      <c r="DE26" s="31" t="str">
        <f>IF(DD26/(INDEX('Standards for Conversions'!$H$34:$H$73,MATCH(DC$3,'Standards for Conversions'!$A$34:$A$73,0)))=0,"",DD26/(INDEX('Standards for Conversions'!$H$34:$H$73,MATCH(DC$3,'Standards for Conversions'!$A$34:$A$73,0))))</f>
        <v/>
      </c>
      <c r="DF26" s="10" t="s">
        <v>45</v>
      </c>
      <c r="DG26" s="7"/>
      <c r="DH26" s="7"/>
      <c r="DI26" s="31" t="str">
        <f>IF(DH26/(INDEX('Standards for Conversions'!$H$34:$H$73,MATCH(DG$3,'Standards for Conversions'!$A$34:$A$73,0)))=0,"",DH26/(INDEX('Standards for Conversions'!$H$34:$H$73,MATCH(DG$3,'Standards for Conversions'!$A$34:$A$73,0))))</f>
        <v/>
      </c>
      <c r="DJ26" s="10" t="s">
        <v>45</v>
      </c>
      <c r="DK26" s="7"/>
      <c r="DL26" s="7"/>
      <c r="DM26" s="31" t="str">
        <f>IF(DL26/(INDEX('Standards for Conversions'!$H$34:$H$73,MATCH(DK$3,'Standards for Conversions'!$A$34:$A$73,0)))=0,"",DL26/(INDEX('Standards for Conversions'!$H$34:$H$73,MATCH(DK$3,'Standards for Conversions'!$A$34:$A$73,0))))</f>
        <v/>
      </c>
      <c r="DN26" s="10" t="s">
        <v>45</v>
      </c>
      <c r="DO26" s="7"/>
      <c r="DP26" s="7"/>
      <c r="DQ26" s="31" t="str">
        <f>IF(DP26/(INDEX('Standards for Conversions'!$H$34:$H$73,MATCH(DO$3,'Standards for Conversions'!$A$34:$A$73,0)))=0,"",DP26/(INDEX('Standards for Conversions'!$H$34:$H$73,MATCH(DO$3,'Standards for Conversions'!$A$34:$A$73,0))))</f>
        <v/>
      </c>
      <c r="DR26" s="10" t="s">
        <v>45</v>
      </c>
      <c r="DS26" s="9"/>
      <c r="DT26" s="9"/>
      <c r="DU26" s="31" t="str">
        <f>IF(DT26/(INDEX('Standards for Conversions'!$H$34:$H$73,MATCH(DS$3,'Standards for Conversions'!$A$34:$A$73,0)))=0,"",DT26/(INDEX('Standards for Conversions'!$H$34:$H$73,MATCH(DS$3,'Standards for Conversions'!$A$34:$A$73,0))))</f>
        <v/>
      </c>
      <c r="DV26" s="10" t="s">
        <v>45</v>
      </c>
      <c r="DW26" s="7"/>
      <c r="DX26" s="7"/>
      <c r="DY26" s="31" t="str">
        <f>IF(DX26/(INDEX('Standards for Conversions'!$H$34:$H$73,MATCH(DW$3,'Standards for Conversions'!$A$34:$A$73,0)))=0,"",DX26/(INDEX('Standards for Conversions'!$H$34:$H$73,MATCH(DW$3,'Standards for Conversions'!$A$34:$A$73,0))))</f>
        <v/>
      </c>
      <c r="DZ26" s="10" t="s">
        <v>45</v>
      </c>
      <c r="EA26" s="7"/>
      <c r="EB26" s="7"/>
      <c r="EC26" s="31" t="str">
        <f>IF(EB26/(INDEX('Standards for Conversions'!$H$34:$H$73,MATCH(EA$3,'Standards for Conversions'!$A$34:$A$73,0)))=0,"",EB26/(INDEX('Standards for Conversions'!$H$34:$H$73,MATCH(EA$3,'Standards for Conversions'!$A$34:$A$73,0))))</f>
        <v/>
      </c>
      <c r="ED26" s="10" t="s">
        <v>45</v>
      </c>
      <c r="EE26" s="7"/>
      <c r="EF26" s="7"/>
      <c r="EG26" s="31" t="str">
        <f>IF(EF26/(INDEX('Standards for Conversions'!$H$34:$H$73,MATCH(EE$3,'Standards for Conversions'!$A$34:$A$73,0)))=0,"",EF26/(INDEX('Standards for Conversions'!$H$34:$H$73,MATCH(EE$3,'Standards for Conversions'!$A$34:$A$73,0))))</f>
        <v/>
      </c>
      <c r="EH26" s="10" t="s">
        <v>45</v>
      </c>
      <c r="EI26" s="9"/>
      <c r="EJ26" s="9"/>
      <c r="EK26" s="31" t="str">
        <f>IF(EJ26/(INDEX('Standards for Conversions'!$H$34:$H$73,MATCH(EI$3,'Standards for Conversions'!$A$34:$A$73,0)))=0,"",EJ26/(INDEX('Standards for Conversions'!$H$34:$H$73,MATCH(EI$3,'Standards for Conversions'!$A$34:$A$73,0))))</f>
        <v/>
      </c>
      <c r="EL26" s="10" t="s">
        <v>45</v>
      </c>
      <c r="EM26" s="7"/>
      <c r="EN26" s="7"/>
      <c r="EO26" s="31" t="str">
        <f>IF(EN26/(INDEX('Standards for Conversions'!$H$34:$H$73,MATCH(EM$3,'Standards for Conversions'!$A$34:$A$73,0)))=0,"",EN26/(INDEX('Standards for Conversions'!$H$34:$H$73,MATCH(EM$3,'Standards for Conversions'!$A$34:$A$73,0))))</f>
        <v/>
      </c>
      <c r="EP26" s="10" t="s">
        <v>45</v>
      </c>
      <c r="EQ26" s="7"/>
      <c r="ER26" s="7"/>
      <c r="ES26" s="31" t="str">
        <f>IF(ER26/(INDEX('Standards for Conversions'!$H$34:$H$73,MATCH(EQ$3,'Standards for Conversions'!$A$34:$A$73,0)))=0,"",ER26/(INDEX('Standards for Conversions'!$H$34:$H$73,MATCH(EQ$3,'Standards for Conversions'!$A$34:$A$73,0))))</f>
        <v/>
      </c>
      <c r="ET26" s="10" t="s">
        <v>45</v>
      </c>
      <c r="EU26" s="7"/>
      <c r="EV26" s="7"/>
      <c r="EW26" s="31" t="str">
        <f>IF(EV26/(INDEX('Standards for Conversions'!$H$34:$H$73,MATCH(EU$3,'Standards for Conversions'!$A$34:$A$73,0)))=0,"",EV26/(INDEX('Standards for Conversions'!$H$34:$H$73,MATCH(EU$3,'Standards for Conversions'!$A$34:$A$73,0))))</f>
        <v/>
      </c>
      <c r="EX26" s="10" t="s">
        <v>45</v>
      </c>
      <c r="EY26" s="9"/>
      <c r="EZ26" s="9"/>
      <c r="FA26" s="31" t="str">
        <f>IF(EZ26/(INDEX('Standards for Conversions'!$H$34:$H$73,MATCH(EY$3,'Standards for Conversions'!$A$34:$A$73,0)))=0,"",EZ26/(INDEX('Standards for Conversions'!$H$34:$H$73,MATCH(EY$3,'Standards for Conversions'!$A$34:$A$73,0))))</f>
        <v/>
      </c>
      <c r="FB26" s="10" t="s">
        <v>45</v>
      </c>
      <c r="FC26" s="7"/>
      <c r="FD26" s="7"/>
      <c r="FE26" s="31" t="str">
        <f>IF(FD26/(INDEX('Standards for Conversions'!$H$34:$H$73,MATCH(FC$3,'Standards for Conversions'!$A$34:$A$73,0)))=0,"",FD26/(INDEX('Standards for Conversions'!$H$34:$H$73,MATCH(FC$3,'Standards for Conversions'!$A$34:$A$73,0))))</f>
        <v/>
      </c>
      <c r="FF26" s="10" t="s">
        <v>45</v>
      </c>
      <c r="FG26" s="7"/>
      <c r="FH26" s="7"/>
      <c r="FI26" s="31" t="str">
        <f>IF(FH26/(INDEX('Standards for Conversions'!$H$34:$H$73,MATCH(FG$3,'Standards for Conversions'!$A$34:$A$73,0)))=0,"",FH26/(INDEX('Standards for Conversions'!$H$34:$H$73,MATCH(FG$3,'Standards for Conversions'!$A$34:$A$73,0))))</f>
        <v/>
      </c>
      <c r="FJ26" s="10" t="s">
        <v>45</v>
      </c>
      <c r="FK26" s="7"/>
      <c r="FL26" s="7"/>
      <c r="FM26" s="31" t="str">
        <f>IF(FL26/(INDEX('Standards for Conversions'!$H$34:$H$73,MATCH(FK$3,'Standards for Conversions'!$A$34:$A$73,0)))=0,"",FL26/(INDEX('Standards for Conversions'!$H$34:$H$73,MATCH(FK$3,'Standards for Conversions'!$A$34:$A$73,0))))</f>
        <v/>
      </c>
      <c r="FN26" s="10" t="s">
        <v>45</v>
      </c>
      <c r="FO26" s="9"/>
      <c r="FP26" s="9"/>
      <c r="FQ26" s="31" t="str">
        <f>IF(FP26/(INDEX('Standards for Conversions'!$H$34:$H$73,MATCH(FO$3,'Standards for Conversions'!$A$34:$A$73,0)))=0,"",FP26/(INDEX('Standards for Conversions'!$H$34:$H$73,MATCH(FO$3,'Standards for Conversions'!$A$34:$A$73,0))))</f>
        <v/>
      </c>
      <c r="FR26" s="10" t="s">
        <v>45</v>
      </c>
      <c r="FS26" s="7"/>
      <c r="FT26" s="7"/>
      <c r="FU26" s="31" t="str">
        <f>IF(FT26/(INDEX('Standards for Conversions'!$H$34:$H$73,MATCH(FS$3,'Standards for Conversions'!$A$34:$A$73,0)))=0,"",FT26/(INDEX('Standards for Conversions'!$H$34:$H$73,MATCH(FS$3,'Standards for Conversions'!$A$34:$A$73,0))))</f>
        <v/>
      </c>
      <c r="FV26" s="10" t="s">
        <v>45</v>
      </c>
      <c r="FW26" s="7"/>
      <c r="FX26" s="7"/>
      <c r="FY26" s="31" t="str">
        <f>IF(FX26/(INDEX('Standards for Conversions'!$H$34:$H$73,MATCH(FW$3,'Standards for Conversions'!$A$34:$A$73,0)))=0,"",FX26/(INDEX('Standards for Conversions'!$H$34:$H$73,MATCH(FW$3,'Standards for Conversions'!$A$34:$A$73,0))))</f>
        <v/>
      </c>
      <c r="FZ26" s="10" t="s">
        <v>45</v>
      </c>
      <c r="GA26" s="7"/>
      <c r="GB26" s="7"/>
      <c r="GC26" s="31" t="str">
        <f>IF(GB26/(INDEX('Standards for Conversions'!$H$34:$H$73,MATCH(GA$3,'Standards for Conversions'!$A$34:$A$73,0)))=0,"",GB26/(INDEX('Standards for Conversions'!$H$34:$H$73,MATCH(GA$3,'Standards for Conversions'!$A$34:$A$73,0))))</f>
        <v/>
      </c>
      <c r="GD26" s="10" t="s">
        <v>45</v>
      </c>
      <c r="GE26" s="9"/>
      <c r="GF26" s="9"/>
      <c r="GG26" s="31" t="str">
        <f>IF(GF26/(INDEX('Standards for Conversions'!$H$34:$H$73,MATCH(GE$3,'Standards for Conversions'!$A$34:$A$73,0)))=0,"",GF26/(INDEX('Standards for Conversions'!$H$34:$H$73,MATCH(GE$3,'Standards for Conversions'!$A$34:$A$73,0))))</f>
        <v/>
      </c>
      <c r="GH26" s="10" t="s">
        <v>45</v>
      </c>
      <c r="GI26" s="7"/>
      <c r="GJ26" s="7"/>
      <c r="GK26" s="31" t="str">
        <f>IF(GJ26/(INDEX('Standards for Conversions'!$H$34:$H$73,MATCH(GI$3,'Standards for Conversions'!$A$34:$A$73,0)))=0,"",GJ26/(INDEX('Standards for Conversions'!$H$34:$H$73,MATCH(GI$3,'Standards for Conversions'!$A$34:$A$73,0))))</f>
        <v/>
      </c>
      <c r="GL26" s="10" t="s">
        <v>45</v>
      </c>
      <c r="GM26" s="7"/>
      <c r="GN26" s="7"/>
      <c r="GO26" s="31" t="str">
        <f>IF(GN26/(INDEX('Standards for Conversions'!$H$34:$H$73,MATCH(GM$3,'Standards for Conversions'!$A$34:$A$73,0)))=0,"",GN26/(INDEX('Standards for Conversions'!$H$34:$H$73,MATCH(GM$3,'Standards for Conversions'!$A$34:$A$73,0))))</f>
        <v/>
      </c>
      <c r="GP26" s="10" t="s">
        <v>45</v>
      </c>
      <c r="GQ26" s="7"/>
      <c r="GR26" s="7"/>
      <c r="GS26" s="31" t="str">
        <f>IF(GR26/(INDEX('Standards for Conversions'!$H$34:$H$73,MATCH(GQ$3,'Standards for Conversions'!$A$34:$A$73,0)))=0,"",GR26/(INDEX('Standards for Conversions'!$H$34:$H$73,MATCH(GQ$3,'Standards for Conversions'!$A$34:$A$73,0))))</f>
        <v/>
      </c>
      <c r="GT26" s="10" t="s">
        <v>45</v>
      </c>
      <c r="GU26" s="9"/>
      <c r="GV26" s="9"/>
      <c r="GW26" s="31" t="str">
        <f>IF(GV26/(INDEX('Standards for Conversions'!$H$34:$H$73,MATCH(GU$3,'Standards for Conversions'!$A$34:$A$73,0)))=0,"",GV26/(INDEX('Standards for Conversions'!$H$34:$H$73,MATCH(GU$3,'Standards for Conversions'!$A$34:$A$73,0))))</f>
        <v/>
      </c>
      <c r="GX26" s="10" t="s">
        <v>45</v>
      </c>
      <c r="GY26" s="7"/>
      <c r="GZ26" s="7"/>
      <c r="HA26" s="31" t="str">
        <f>IF(GZ26/(INDEX('Standards for Conversions'!$H$34:$H$73,MATCH(GY$3,'Standards for Conversions'!$A$34:$A$73,0)))=0,"",GZ26/(INDEX('Standards for Conversions'!$H$34:$H$73,MATCH(GY$3,'Standards for Conversions'!$A$34:$A$73,0))))</f>
        <v/>
      </c>
      <c r="HB26" s="10" t="s">
        <v>45</v>
      </c>
      <c r="HC26" s="7"/>
      <c r="HD26" s="7"/>
      <c r="HE26" s="31" t="str">
        <f>IF(HD26/(INDEX('Standards for Conversions'!$H$34:$H$73,MATCH(HC$3,'Standards for Conversions'!$A$34:$A$73,0)))=0,"",HD26/(INDEX('Standards for Conversions'!$H$34:$H$73,MATCH(HC$3,'Standards for Conversions'!$A$34:$A$73,0))))</f>
        <v/>
      </c>
      <c r="HF26" s="10" t="s">
        <v>45</v>
      </c>
      <c r="HG26" s="7"/>
      <c r="HH26" s="7"/>
      <c r="HI26" s="31" t="str">
        <f>IF(HH26/(INDEX('Standards for Conversions'!$H$34:$H$73,MATCH(HG$3,'Standards for Conversions'!$A$34:$A$73,0)))=0,"",HH26/(INDEX('Standards for Conversions'!$H$34:$H$73,MATCH(HG$3,'Standards for Conversions'!$A$34:$A$73,0))))</f>
        <v/>
      </c>
      <c r="HJ26" s="10" t="s">
        <v>45</v>
      </c>
      <c r="HK26" s="9"/>
      <c r="HL26" s="9"/>
      <c r="HM26" s="31" t="str">
        <f>IF(HL26/(INDEX('Standards for Conversions'!$H$34:$H$73,MATCH(HK$3,'Standards for Conversions'!$A$34:$A$73,0)))=0,"",HL26/(INDEX('Standards for Conversions'!$H$34:$H$73,MATCH(HK$3,'Standards for Conversions'!$A$34:$A$73,0))))</f>
        <v/>
      </c>
      <c r="HN26" s="10" t="s">
        <v>45</v>
      </c>
      <c r="HO26" s="7"/>
      <c r="HP26" s="7"/>
      <c r="HQ26" s="31" t="str">
        <f>IF(HP26/(INDEX('Standards for Conversions'!$H$34:$H$73,MATCH(HO$3,'Standards for Conversions'!$A$34:$A$73,0)))=0,"",HP26/(INDEX('Standards for Conversions'!$H$34:$H$73,MATCH(HO$3,'Standards for Conversions'!$A$34:$A$73,0))))</f>
        <v/>
      </c>
      <c r="HR26" s="33" t="s">
        <v>45</v>
      </c>
      <c r="HU26" s="31" t="str">
        <f>IF(HT26/(INDEX('Standards for Conversions'!$H$47:$H$73,MATCH(HS$3,'Standards for Conversions'!$A$47:$A$73,0)))=0,"",HT26/(INDEX('Standards for Conversions'!$H$47:$H$73,MATCH(HS$3,'Standards for Conversions'!$A$47:$A$73,0))))</f>
        <v/>
      </c>
      <c r="HV26" s="33" t="s">
        <v>45</v>
      </c>
      <c r="HY26" s="31" t="str">
        <f>IF(HX26/(INDEX('Standards for Conversions'!$H$47:$H$73,MATCH(HW$3,'Standards for Conversions'!$A$47:$A$73,0)))=0,"",HX26/(INDEX('Standards for Conversions'!$H$47:$H$73,MATCH(HW$3,'Standards for Conversions'!$A$47:$A$73,0))))</f>
        <v/>
      </c>
      <c r="HZ26" s="33"/>
      <c r="IA26" s="33"/>
      <c r="IB26" s="31" t="str">
        <f>IF(IA26/(INDEX('Standards for Conversions'!$H$47:$H$73,MATCH(HZ$3,'Standards for Conversions'!$A$47:$A$73,0)))=0,"",IA26/(INDEX('Standards for Conversions'!$H$47:$H$73,MATCH(HZ$3,'Standards for Conversions'!$A$47:$A$73,0))))</f>
        <v/>
      </c>
      <c r="IC26" s="33" t="s">
        <v>45</v>
      </c>
      <c r="ID26" s="29">
        <v>12</v>
      </c>
      <c r="IE26" s="29">
        <v>400</v>
      </c>
      <c r="IF26" s="31">
        <f>IF(IE26/(INDEX('Standards for Conversions'!$H$47:$H$73,MATCH(ID$3,'Standards for Conversions'!$A$47:$A$73,0)))=0,"",IE26/(INDEX('Standards for Conversions'!$H$47:$H$73,MATCH(ID$3,'Standards for Conversions'!$A$47:$A$73,0))))</f>
        <v>58.098164885142381</v>
      </c>
      <c r="IG26" s="33" t="s">
        <v>45</v>
      </c>
      <c r="IJ26" s="31" t="str">
        <f>IF(II26/(INDEX('Standards for Conversions'!$H$47:$H$73,MATCH(IH$3,'Standards for Conversions'!$A$47:$A$73,0)))=0,"",II26/(INDEX('Standards for Conversions'!$H$47:$H$73,MATCH(IH$3,'Standards for Conversions'!$A$47:$A$73,0))))</f>
        <v/>
      </c>
      <c r="IK26" s="33" t="s">
        <v>45</v>
      </c>
      <c r="IN26" s="31" t="str">
        <f>IF(IM26/(INDEX('Standards for Conversions'!$H$47:$H$73,MATCH(IL$3,'Standards for Conversions'!$A$47:$A$73,0)))=0,"",IM26/(INDEX('Standards for Conversions'!$H$47:$H$73,MATCH(IL$3,'Standards for Conversions'!$A$47:$A$73,0))))</f>
        <v/>
      </c>
      <c r="IO26" s="33" t="s">
        <v>45</v>
      </c>
      <c r="IR26" s="31" t="str">
        <f>IF(IQ26/(INDEX('Standards for Conversions'!$H$47:$H$73,MATCH(IP$3,'Standards for Conversions'!$A$47:$A$73,0)))=0,"",IQ26/(INDEX('Standards for Conversions'!$H$47:$H$73,MATCH(IP$3,'Standards for Conversions'!$A$47:$A$73,0))))</f>
        <v/>
      </c>
      <c r="IS26" s="33" t="s">
        <v>45</v>
      </c>
      <c r="IT26" s="29">
        <v>4</v>
      </c>
      <c r="IU26" s="29">
        <v>119</v>
      </c>
      <c r="IV26" s="31">
        <f>IF(IU26/(INDEX('Standards for Conversions'!$H$47:$H$73,MATCH(IT$3,'Standards for Conversions'!$A$47:$A$73,0)))=0,"",IU26/(INDEX('Standards for Conversions'!$H$47:$H$73,MATCH(IT$3,'Standards for Conversions'!$A$47:$A$73,0))))</f>
        <v>17.20861715513745</v>
      </c>
      <c r="IW26" s="33" t="s">
        <v>45</v>
      </c>
      <c r="IZ26" s="31" t="str">
        <f>IF(IY26/(INDEX('Standards for Conversions'!$H$47:$H$73,MATCH(IX$3,'Standards for Conversions'!$A$47:$A$73,0)))=0,"",IY26/(INDEX('Standards for Conversions'!$H$47:$H$73,MATCH(IX$3,'Standards for Conversions'!$A$47:$A$73,0))))</f>
        <v/>
      </c>
      <c r="JA26" s="33" t="s">
        <v>45</v>
      </c>
      <c r="JD26" s="31" t="str">
        <f>IF(JC26/(INDEX('Standards for Conversions'!$H$47:$H$73,MATCH(JB$3,'Standards for Conversions'!$A$47:$A$73,0)))=0,"",JC26/(INDEX('Standards for Conversions'!$H$47:$H$73,MATCH(JB$3,'Standards for Conversions'!$A$47:$A$73,0))))</f>
        <v/>
      </c>
      <c r="JE26" s="33" t="s">
        <v>45</v>
      </c>
      <c r="JH26" s="31" t="str">
        <f>IF(JG26/(INDEX('Standards for Conversions'!$H$47:$H$73,MATCH(JF$3,'Standards for Conversions'!$A$47:$A$73,0)))=0,"",JG26/(INDEX('Standards for Conversions'!$H$47:$H$73,MATCH(JF$3,'Standards for Conversions'!$A$47:$A$73,0))))</f>
        <v/>
      </c>
      <c r="JI26" s="48" t="s">
        <v>45</v>
      </c>
      <c r="JJ26" s="29">
        <v>15</v>
      </c>
      <c r="JK26" s="29">
        <v>600</v>
      </c>
      <c r="JL26" s="31">
        <f>IF(JK26/(INDEX('Standards for Conversions'!$H$47:$H$73,MATCH(JJ$3,'Standards for Conversions'!$A$47:$A$73,0)))=0,"",JK26/(INDEX('Standards for Conversions'!$H$47:$H$73,MATCH(JJ$3,'Standards for Conversions'!$A$47:$A$73,0))))</f>
        <v>97.056118015121214</v>
      </c>
      <c r="JM26" s="33" t="s">
        <v>47</v>
      </c>
      <c r="JP26" s="31" t="str">
        <f>IF(JO26/(INDEX('Standards for Conversions'!$H$47:$H$73,MATCH(JN$3,'Standards for Conversions'!$A$47:$A$73,0)))=0,"",JO26/(INDEX('Standards for Conversions'!$H$47:$H$73,MATCH(JN$3,'Standards for Conversions'!$A$47:$A$73,0))))</f>
        <v/>
      </c>
      <c r="JQ26" s="33" t="s">
        <v>47</v>
      </c>
      <c r="JT26" s="31" t="str">
        <f>IF(JS26/(INDEX('Standards for Conversions'!$H$47:$H$73,MATCH(JR$3,'Standards for Conversions'!$A$47:$A$73,0)))=0,"",JS26/(INDEX('Standards for Conversions'!$H$47:$H$73,MATCH(JR$3,'Standards for Conversions'!$A$47:$A$73,0))))</f>
        <v/>
      </c>
      <c r="JU26" s="33" t="s">
        <v>47</v>
      </c>
      <c r="JX26" s="31" t="str">
        <f>IF(JW26/(INDEX('Standards for Conversions'!$H$47:$H$73,MATCH(JV$3,'Standards for Conversions'!$A$47:$A$73,0)))=0,"",JW26/(INDEX('Standards for Conversions'!$H$47:$H$73,MATCH(JV$3,'Standards for Conversions'!$A$47:$A$73,0))))</f>
        <v/>
      </c>
      <c r="JY26" s="33" t="s">
        <v>47</v>
      </c>
      <c r="JZ26" s="29">
        <v>50</v>
      </c>
      <c r="KA26" s="29">
        <v>500</v>
      </c>
      <c r="KB26" s="31">
        <f>IF(KA26/(INDEX('Standards for Conversions'!$H$47:$H$73,MATCH(JZ$3,'Standards for Conversions'!$A$47:$A$73,0)))=0,"",KA26/(INDEX('Standards for Conversions'!$H$47:$H$73,MATCH(JZ$3,'Standards for Conversions'!$A$47:$A$73,0))))</f>
        <v>76.327946213898784</v>
      </c>
      <c r="KC26" s="33" t="s">
        <v>47</v>
      </c>
      <c r="KF26" s="31" t="str">
        <f>IF(KE26/(INDEX('Standards for Conversions'!$H$47:$H$73,MATCH(KD$3,'Standards for Conversions'!$A$47:$A$73,0)))=0,"",KE26/(INDEX('Standards for Conversions'!$H$47:$H$73,MATCH(KD$3,'Standards for Conversions'!$A$47:$A$73,0))))</f>
        <v/>
      </c>
      <c r="KG26" s="33" t="s">
        <v>47</v>
      </c>
      <c r="KJ26" s="31" t="str">
        <f>IF(KI26/(INDEX('Standards for Conversions'!$H$47:$H$73,MATCH(KH$3,'Standards for Conversions'!$A$47:$A$73,0)))=0,"",KI26/(INDEX('Standards for Conversions'!$H$47:$H$73,MATCH(KH$3,'Standards for Conversions'!$A$47:$A$73,0))))</f>
        <v/>
      </c>
      <c r="KK26" s="33" t="s">
        <v>47</v>
      </c>
      <c r="KN26" s="31" t="str">
        <f>IF(KM26/(INDEX('Standards for Conversions'!$H$47:$H$73,MATCH(KL$3,'Standards for Conversions'!$A$47:$A$73,0)))=0,"",KM26/(INDEX('Standards for Conversions'!$H$47:$H$73,MATCH(KL$3,'Standards for Conversions'!$A$47:$A$73,0))))</f>
        <v/>
      </c>
      <c r="KO26" s="48" t="s">
        <v>47</v>
      </c>
      <c r="KP26" s="29">
        <v>40</v>
      </c>
      <c r="KQ26" s="29">
        <v>450</v>
      </c>
      <c r="KR26" s="31">
        <f>IF(KQ26/(INDEX('Standards for Conversions'!$H$47:$H$73,MATCH(KP$3,'Standards for Conversions'!$A$47:$A$73,0)))=0,"",KQ26/(INDEX('Standards for Conversions'!$H$47:$H$73,MATCH(KP$3,'Standards for Conversions'!$A$47:$A$73,0))))</f>
        <v>60.596555357608409</v>
      </c>
      <c r="KS26" s="33" t="s">
        <v>45</v>
      </c>
      <c r="KV26" s="31" t="str">
        <f>IF(KU26/(INDEX('Standards for Conversions'!$H$47:$H$73,MATCH(KT$3,'Standards for Conversions'!$A$47:$A$73,0)))=0,"",KU26/(INDEX('Standards for Conversions'!$H$47:$H$73,MATCH(KT$3,'Standards for Conversions'!$A$47:$A$73,0))))</f>
        <v/>
      </c>
      <c r="KW26" s="33" t="s">
        <v>45</v>
      </c>
      <c r="KZ26" s="31" t="str">
        <f>IF(KY26/(INDEX('Standards for Conversions'!$H$47:$H$73,MATCH(KX$3,'Standards for Conversions'!$A$47:$A$73,0)))=0,"",KY26/(INDEX('Standards for Conversions'!$H$47:$H$73,MATCH(KX$3,'Standards for Conversions'!$A$47:$A$73,0))))</f>
        <v/>
      </c>
      <c r="LA26" s="33" t="s">
        <v>91</v>
      </c>
      <c r="LD26" s="31" t="str">
        <f>IF(LC26/(INDEX('Standards for Conversions'!$H$47:$H$73,MATCH(LB$3,'Standards for Conversions'!$A$47:$A$73,0)))=0,"",LC26/(INDEX('Standards for Conversions'!$H$47:$H$73,MATCH(LB$3,'Standards for Conversions'!$A$47:$A$73,0))))</f>
        <v/>
      </c>
      <c r="LE26" s="48" t="s">
        <v>91</v>
      </c>
      <c r="LF26" s="29">
        <v>3</v>
      </c>
      <c r="LG26" s="29">
        <v>110</v>
      </c>
      <c r="LH26" s="31">
        <f>IF(LG26/(INDEX('Standards for Conversions'!$H$47:$H$73,MATCH(LF$3,'Standards for Conversions'!$A$47:$A$73,0)))=0,"",LG26/(INDEX('Standards for Conversions'!$H$47:$H$73,MATCH(LF$3,'Standards for Conversions'!$A$47:$A$73,0))))</f>
        <v>13.37782234002491</v>
      </c>
      <c r="LI26" s="33"/>
      <c r="LL26" s="31" t="str">
        <f>IF(LK26/(INDEX('Standards for Conversions'!$H$47:$H$73,MATCH(LJ$3,'Standards for Conversions'!$A$47:$A$73,0)))=0,"",LK26/(INDEX('Standards for Conversions'!$H$47:$H$73,MATCH(LJ$3,'Standards for Conversions'!$A$47:$A$73,0))))</f>
        <v/>
      </c>
      <c r="LO26" s="31" t="str">
        <f>IF(LN26/(INDEX('Standards for Conversions'!$H$47:$H$73,MATCH(LM$3,'Standards for Conversions'!$A$47:$A$73,0)))=0,"",LN26/(INDEX('Standards for Conversions'!$H$47:$H$73,MATCH(LM$3,'Standards for Conversions'!$A$47:$A$73,0))))</f>
        <v/>
      </c>
      <c r="LR26" s="31" t="str">
        <f>IF(LQ26/(INDEX('Standards for Conversions'!$H$47:$H$73,MATCH(LP$3,'Standards for Conversions'!$A$47:$A$73,0)))=0,"",LQ26/(INDEX('Standards for Conversions'!$H$47:$H$73,MATCH(LP$3,'Standards for Conversions'!$A$47:$A$73,0))))</f>
        <v/>
      </c>
      <c r="LS26" s="33"/>
      <c r="LV26" s="31" t="str">
        <f>IF(LU26/(INDEX('Standards for Conversions'!$H$47:$H$73,MATCH(LT$3,'Standards for Conversions'!$A$47:$A$73,0)))=0,"",LU26/(INDEX('Standards for Conversions'!$H$47:$H$73,MATCH(LT$3,'Standards for Conversions'!$A$47:$A$73,0))))</f>
        <v/>
      </c>
      <c r="LY26" s="31" t="str">
        <f>IF(LX26/(INDEX('Standards for Conversions'!$H$47:$H$73,MATCH(LW$3,'Standards for Conversions'!$A$47:$A$73,0)))=0,"",LX26/(INDEX('Standards for Conversions'!$H$47:$H$73,MATCH(LW$3,'Standards for Conversions'!$A$47:$A$73,0))))</f>
        <v/>
      </c>
      <c r="MB26" s="31" t="str">
        <f>IF(MA26/(INDEX('Standards for Conversions'!$H$47:$H$73,MATCH(LZ$3,'Standards for Conversions'!$A$47:$A$73,0)))=0,"",MA26/(INDEX('Standards for Conversions'!$H$47:$H$73,MATCH(LZ$3,'Standards for Conversions'!$A$47:$A$73,0))))</f>
        <v/>
      </c>
      <c r="ME26" s="31" t="str">
        <f>IF(MD26/(INDEX('Standards for Conversions'!$H$47:$H$73,MATCH(MC$3,'Standards for Conversions'!$A$47:$A$73,0)))=0,"",MD26/(INDEX('Standards for Conversions'!$H$47:$H$73,MATCH(MC$3,'Standards for Conversions'!$A$47:$A$73,0))))</f>
        <v/>
      </c>
      <c r="MH26" s="31" t="str">
        <f>IF(MG26/(INDEX('Standards for Conversions'!$H$47:$H$73,MATCH(MF$3,'Standards for Conversions'!$A$47:$A$73,0)))=0,"",MG26/(INDEX('Standards for Conversions'!$H$47:$H$73,MATCH(MF$3,'Standards for Conversions'!$A$47:$A$73,0))))</f>
        <v/>
      </c>
      <c r="MK26" s="31" t="str">
        <f>IF(MJ26/(INDEX('Standards for Conversions'!$H$47:$H$73,MATCH(MI$3,'Standards for Conversions'!$A$47:$A$73,0)))=0,"",MJ26/(INDEX('Standards for Conversions'!$H$47:$H$73,MATCH(MI$3,'Standards for Conversions'!$A$47:$A$73,0))))</f>
        <v/>
      </c>
      <c r="MN26" s="31" t="str">
        <f>IF(MM26/(INDEX('Standards for Conversions'!$H$47:$H$73,MATCH(ML$3,'Standards for Conversions'!$A$47:$A$73,0)))=0,"",MM26/(INDEX('Standards for Conversions'!$H$47:$H$73,MATCH(ML$3,'Standards for Conversions'!$A$47:$A$73,0))))</f>
        <v/>
      </c>
      <c r="MR26" s="31" t="str">
        <f>IF(MQ26/(INDEX('Standards for Conversions'!$H$47:$H$73,MATCH(MP$3,'Standards for Conversions'!$A$47:$A$73,0)))=0,"",MQ26/(INDEX('Standards for Conversions'!$H$47:$H$73,MATCH(MP$3,'Standards for Conversions'!$A$47:$A$73,0))))</f>
        <v/>
      </c>
      <c r="MZ26" s="33"/>
      <c r="NE26" s="33"/>
    </row>
    <row r="27" spans="1:373" hidden="1" x14ac:dyDescent="0.3">
      <c r="A27" s="103" t="s">
        <v>210</v>
      </c>
      <c r="C27" s="7"/>
      <c r="D27" s="7"/>
      <c r="E27" s="31" t="str">
        <f>IF(D27/(INDEX('Standards for Conversions'!$H$34:$H$73,MATCH(C$3,'Standards for Conversions'!$A$34:$A$73,0)))=0,"",D27/(INDEX('Standards for Conversions'!$H$34:$H$73,MATCH(C$3,'Standards for Conversions'!$A$34:$A$73,0))))</f>
        <v/>
      </c>
      <c r="G27" s="7"/>
      <c r="H27" s="7"/>
      <c r="I27" s="31" t="str">
        <f>IF(H27/(INDEX('Standards for Conversions'!$H$34:$H$73,MATCH(G$3,'Standards for Conversions'!$A$34:$A$73,0)))=0,"",H27/(INDEX('Standards for Conversions'!$H$34:$H$73,MATCH(G$3,'Standards for Conversions'!$A$34:$A$73,0))))</f>
        <v/>
      </c>
      <c r="K27" s="9"/>
      <c r="L27" s="9"/>
      <c r="M27" s="31" t="str">
        <f>IF(L27/(INDEX('Standards for Conversions'!$H$34:$H$73,MATCH(K$3,'Standards for Conversions'!$A$34:$A$73,0)))=0,"",L27/(INDEX('Standards for Conversions'!$H$34:$H$73,MATCH(K$3,'Standards for Conversions'!$A$34:$A$73,0))))</f>
        <v/>
      </c>
      <c r="O27" s="7"/>
      <c r="P27" s="7"/>
      <c r="Q27" s="31" t="str">
        <f>IF(P27/(INDEX('Standards for Conversions'!$H$34:$H$73,MATCH(O$3,'Standards for Conversions'!$A$34:$A$73,0)))=0,"",P27/(INDEX('Standards for Conversions'!$H$34:$H$73,MATCH(O$3,'Standards for Conversions'!$A$34:$A$73,0))))</f>
        <v/>
      </c>
      <c r="S27" s="7"/>
      <c r="T27" s="7"/>
      <c r="U27" s="31" t="str">
        <f>IF(T27/(INDEX('Standards for Conversions'!$H$34:$H$73,MATCH(S$3,'Standards for Conversions'!$A$34:$A$73,0)))=0,"",T27/(INDEX('Standards for Conversions'!$H$34:$H$73,MATCH(S$3,'Standards for Conversions'!$A$34:$A$73,0))))</f>
        <v/>
      </c>
      <c r="W27" s="7"/>
      <c r="X27" s="7"/>
      <c r="Y27" s="31" t="str">
        <f>IF(X27/(INDEX('Standards for Conversions'!$H$34:$H$73,MATCH(W$3,'Standards for Conversions'!$A$34:$A$73,0)))=0,"",X27/(INDEX('Standards for Conversions'!$H$34:$H$73,MATCH(W$3,'Standards for Conversions'!$A$34:$A$73,0))))</f>
        <v/>
      </c>
      <c r="AA27" s="9"/>
      <c r="AB27" s="9"/>
      <c r="AC27" s="31" t="str">
        <f>IF(AB27/(INDEX('Standards for Conversions'!$H$34:$H$73,MATCH(AA$3,'Standards for Conversions'!$A$34:$A$73,0)))=0,"",AB27/(INDEX('Standards for Conversions'!$H$34:$H$73,MATCH(AA$3,'Standards for Conversions'!$A$34:$A$73,0))))</f>
        <v/>
      </c>
      <c r="AE27" s="7"/>
      <c r="AF27" s="7"/>
      <c r="AG27" s="31" t="str">
        <f>IF(AF27/(INDEX('Standards for Conversions'!$H$34:$H$73,MATCH(AE$3,'Standards for Conversions'!$A$34:$A$73,0)))=0,"",AF27/(INDEX('Standards for Conversions'!$H$34:$H$73,MATCH(AE$3,'Standards for Conversions'!$A$34:$A$73,0))))</f>
        <v/>
      </c>
      <c r="AI27" s="7"/>
      <c r="AJ27" s="7"/>
      <c r="AK27" s="31" t="str">
        <f>IF(AJ27/(INDEX('Standards for Conversions'!$H$34:$H$73,MATCH(AI$3,'Standards for Conversions'!$A$34:$A$73,0)))=0,"",AJ27/(INDEX('Standards for Conversions'!$H$34:$H$73,MATCH(AI$3,'Standards for Conversions'!$A$34:$A$73,0))))</f>
        <v/>
      </c>
      <c r="AM27" s="7"/>
      <c r="AN27" s="7"/>
      <c r="AO27" s="31" t="str">
        <f>IF(AN27/(INDEX('Standards for Conversions'!$H$34:$H$73,MATCH(AM$3,'Standards for Conversions'!$A$34:$A$73,0)))=0,"",AN27/(INDEX('Standards for Conversions'!$H$34:$H$73,MATCH(AM$3,'Standards for Conversions'!$A$34:$A$73,0))))</f>
        <v/>
      </c>
      <c r="AQ27" s="9"/>
      <c r="AR27" s="9"/>
      <c r="AS27" s="31" t="str">
        <f>IF(AR27/(INDEX('Standards for Conversions'!$H$34:$H$73,MATCH(AQ$3,'Standards for Conversions'!$A$34:$A$73,0)))=0,"",AR27/(INDEX('Standards for Conversions'!$H$34:$H$73,MATCH(AQ$3,'Standards for Conversions'!$A$34:$A$73,0))))</f>
        <v/>
      </c>
      <c r="AU27" s="7"/>
      <c r="AV27" s="7"/>
      <c r="AW27" s="31" t="str">
        <f>IF(AV27/(INDEX('Standards for Conversions'!$H$34:$H$73,MATCH(AU$3,'Standards for Conversions'!$A$34:$A$73,0)))=0,"",AV27/(INDEX('Standards for Conversions'!$H$34:$H$73,MATCH(AU$3,'Standards for Conversions'!$A$34:$A$73,0))))</f>
        <v/>
      </c>
      <c r="AY27" s="7"/>
      <c r="AZ27" s="7"/>
      <c r="BA27" s="31" t="str">
        <f>IF(AZ27/(INDEX('Standards for Conversions'!$H$34:$H$73,MATCH(AY$3,'Standards for Conversions'!$A$34:$A$73,0)))=0,"",AZ27/(INDEX('Standards for Conversions'!$H$34:$H$73,MATCH(AY$3,'Standards for Conversions'!$A$34:$A$73,0))))</f>
        <v/>
      </c>
      <c r="BC27" s="7"/>
      <c r="BD27" s="7"/>
      <c r="BE27" s="31" t="str">
        <f>IF(BD27/(INDEX('Standards for Conversions'!$H$34:$H$73,MATCH(BC$3,'Standards for Conversions'!$A$34:$A$73,0)))=0,"",BD27/(INDEX('Standards for Conversions'!$H$34:$H$73,MATCH(BC$3,'Standards for Conversions'!$A$34:$A$73,0))))</f>
        <v/>
      </c>
      <c r="BG27" s="9"/>
      <c r="BH27" s="9"/>
      <c r="BI27" s="31" t="str">
        <f>IF(BH27/(INDEX('Standards for Conversions'!$H$34:$H$73,MATCH(BG$3,'Standards for Conversions'!$A$34:$A$73,0)))=0,"",BH27/(INDEX('Standards for Conversions'!$H$34:$H$73,MATCH(BG$3,'Standards for Conversions'!$A$34:$A$73,0))))</f>
        <v/>
      </c>
      <c r="BK27" s="7"/>
      <c r="BL27" s="7"/>
      <c r="BM27" s="31" t="str">
        <f>IF(BL27/(INDEX('Standards for Conversions'!$H$34:$H$73,MATCH(BK$3,'Standards for Conversions'!$A$34:$A$73,0)))=0,"",BL27/(INDEX('Standards for Conversions'!$H$34:$H$73,MATCH(BK$3,'Standards for Conversions'!$A$34:$A$73,0))))</f>
        <v/>
      </c>
      <c r="BO27" s="7"/>
      <c r="BP27" s="7"/>
      <c r="BQ27" s="31" t="str">
        <f>IF(BP27/(INDEX('Standards for Conversions'!$H$34:$H$73,MATCH(BO$3,'Standards for Conversions'!$A$34:$A$73,0)))=0,"",BP27/(INDEX('Standards for Conversions'!$H$34:$H$73,MATCH(BO$3,'Standards for Conversions'!$A$34:$A$73,0))))</f>
        <v/>
      </c>
      <c r="BS27" s="7"/>
      <c r="BT27" s="7"/>
      <c r="BU27" s="31" t="str">
        <f>IF(BT27/(INDEX('Standards for Conversions'!$H$34:$H$73,MATCH(BS$3,'Standards for Conversions'!$A$34:$A$73,0)))=0,"",BT27/(INDEX('Standards for Conversions'!$H$34:$H$73,MATCH(BS$3,'Standards for Conversions'!$A$34:$A$73,0))))</f>
        <v/>
      </c>
      <c r="BW27" s="9"/>
      <c r="BX27" s="9"/>
      <c r="BY27" s="31" t="str">
        <f>IF(BX27/(INDEX('Standards for Conversions'!$H$34:$H$73,MATCH(BW$3,'Standards for Conversions'!$A$34:$A$73,0)))=0,"",BX27/(INDEX('Standards for Conversions'!$H$34:$H$73,MATCH(BW$3,'Standards for Conversions'!$A$34:$A$73,0))))</f>
        <v/>
      </c>
      <c r="CA27" s="7"/>
      <c r="CB27" s="7"/>
      <c r="CC27" s="31" t="str">
        <f>IF(CB27/(INDEX('Standards for Conversions'!$H$34:$H$73,MATCH(CA$3,'Standards for Conversions'!$A$34:$A$73,0)))=0,"",CB27/(INDEX('Standards for Conversions'!$H$34:$H$73,MATCH(CA$3,'Standards for Conversions'!$A$34:$A$73,0))))</f>
        <v/>
      </c>
      <c r="CE27" s="7"/>
      <c r="CF27" s="7"/>
      <c r="CG27" s="31" t="str">
        <f>IF(CF27/(INDEX('Standards for Conversions'!$H$34:$H$73,MATCH(CE$3,'Standards for Conversions'!$A$34:$A$73,0)))=0,"",CF27/(INDEX('Standards for Conversions'!$H$34:$H$73,MATCH(CE$3,'Standards for Conversions'!$A$34:$A$73,0))))</f>
        <v/>
      </c>
      <c r="CI27" s="7"/>
      <c r="CJ27" s="7"/>
      <c r="CK27" s="31" t="str">
        <f>IF(CJ27/(INDEX('Standards for Conversions'!$H$34:$H$73,MATCH(CI$3,'Standards for Conversions'!$A$34:$A$73,0)))=0,"",CJ27/(INDEX('Standards for Conversions'!$H$34:$H$73,MATCH(CI$3,'Standards for Conversions'!$A$34:$A$73,0))))</f>
        <v/>
      </c>
      <c r="CM27" s="9"/>
      <c r="CN27" s="9"/>
      <c r="CO27" s="31" t="str">
        <f>IF(CN27/(INDEX('Standards for Conversions'!$H$34:$H$73,MATCH(CM$3,'Standards for Conversions'!$A$34:$A$73,0)))=0,"",CN27/(INDEX('Standards for Conversions'!$H$34:$H$73,MATCH(CM$3,'Standards for Conversions'!$A$34:$A$73,0))))</f>
        <v/>
      </c>
      <c r="CQ27" s="7"/>
      <c r="CR27" s="7"/>
      <c r="CS27" s="31" t="str">
        <f>IF(CR27/(INDEX('Standards for Conversions'!$H$34:$H$73,MATCH(CQ$3,'Standards for Conversions'!$A$34:$A$73,0)))=0,"",CR27/(INDEX('Standards for Conversions'!$H$34:$H$73,MATCH(CQ$3,'Standards for Conversions'!$A$34:$A$73,0))))</f>
        <v/>
      </c>
      <c r="CU27" s="7"/>
      <c r="CV27" s="7"/>
      <c r="CW27" s="31" t="str">
        <f>IF(CV27/(INDEX('Standards for Conversions'!$H$34:$H$73,MATCH(CU$3,'Standards for Conversions'!$A$34:$A$73,0)))=0,"",CV27/(INDEX('Standards for Conversions'!$H$34:$H$73,MATCH(CU$3,'Standards for Conversions'!$A$34:$A$73,0))))</f>
        <v/>
      </c>
      <c r="CY27" s="7"/>
      <c r="CZ27" s="7"/>
      <c r="DA27" s="31" t="str">
        <f>IF(CZ27/(INDEX('Standards for Conversions'!$H$34:$H$73,MATCH(CY$3,'Standards for Conversions'!$A$34:$A$73,0)))=0,"",CZ27/(INDEX('Standards for Conversions'!$H$34:$H$73,MATCH(CY$3,'Standards for Conversions'!$A$34:$A$73,0))))</f>
        <v/>
      </c>
      <c r="DC27" s="9"/>
      <c r="DD27" s="9"/>
      <c r="DE27" s="31" t="str">
        <f>IF(DD27/(INDEX('Standards for Conversions'!$H$34:$H$73,MATCH(DC$3,'Standards for Conversions'!$A$34:$A$73,0)))=0,"",DD27/(INDEX('Standards for Conversions'!$H$34:$H$73,MATCH(DC$3,'Standards for Conversions'!$A$34:$A$73,0))))</f>
        <v/>
      </c>
      <c r="DG27" s="7"/>
      <c r="DH27" s="7"/>
      <c r="DI27" s="31" t="str">
        <f>IF(DH27/(INDEX('Standards for Conversions'!$H$34:$H$73,MATCH(DG$3,'Standards for Conversions'!$A$34:$A$73,0)))=0,"",DH27/(INDEX('Standards for Conversions'!$H$34:$H$73,MATCH(DG$3,'Standards for Conversions'!$A$34:$A$73,0))))</f>
        <v/>
      </c>
      <c r="DK27" s="7"/>
      <c r="DL27" s="7"/>
      <c r="DM27" s="31" t="str">
        <f>IF(DL27/(INDEX('Standards for Conversions'!$H$34:$H$73,MATCH(DK$3,'Standards for Conversions'!$A$34:$A$73,0)))=0,"",DL27/(INDEX('Standards for Conversions'!$H$34:$H$73,MATCH(DK$3,'Standards for Conversions'!$A$34:$A$73,0))))</f>
        <v/>
      </c>
      <c r="DO27" s="7"/>
      <c r="DP27" s="7"/>
      <c r="DQ27" s="31" t="str">
        <f>IF(DP27/(INDEX('Standards for Conversions'!$H$34:$H$73,MATCH(DO$3,'Standards for Conversions'!$A$34:$A$73,0)))=0,"",DP27/(INDEX('Standards for Conversions'!$H$34:$H$73,MATCH(DO$3,'Standards for Conversions'!$A$34:$A$73,0))))</f>
        <v/>
      </c>
      <c r="DS27" s="9"/>
      <c r="DT27" s="9"/>
      <c r="DU27" s="31" t="str">
        <f>IF(DT27/(INDEX('Standards for Conversions'!$H$34:$H$73,MATCH(DS$3,'Standards for Conversions'!$A$34:$A$73,0)))=0,"",DT27/(INDEX('Standards for Conversions'!$H$34:$H$73,MATCH(DS$3,'Standards for Conversions'!$A$34:$A$73,0))))</f>
        <v/>
      </c>
      <c r="DW27" s="7"/>
      <c r="DX27" s="7"/>
      <c r="DY27" s="31" t="str">
        <f>IF(DX27/(INDEX('Standards for Conversions'!$H$34:$H$73,MATCH(DW$3,'Standards for Conversions'!$A$34:$A$73,0)))=0,"",DX27/(INDEX('Standards for Conversions'!$H$34:$H$73,MATCH(DW$3,'Standards for Conversions'!$A$34:$A$73,0))))</f>
        <v/>
      </c>
      <c r="EA27" s="7"/>
      <c r="EB27" s="7"/>
      <c r="EC27" s="31" t="str">
        <f>IF(EB27/(INDEX('Standards for Conversions'!$H$34:$H$73,MATCH(EA$3,'Standards for Conversions'!$A$34:$A$73,0)))=0,"",EB27/(INDEX('Standards for Conversions'!$H$34:$H$73,MATCH(EA$3,'Standards for Conversions'!$A$34:$A$73,0))))</f>
        <v/>
      </c>
      <c r="EE27" s="7"/>
      <c r="EF27" s="7"/>
      <c r="EG27" s="31" t="str">
        <f>IF(EF27/(INDEX('Standards for Conversions'!$H$34:$H$73,MATCH(EE$3,'Standards for Conversions'!$A$34:$A$73,0)))=0,"",EF27/(INDEX('Standards for Conversions'!$H$34:$H$73,MATCH(EE$3,'Standards for Conversions'!$A$34:$A$73,0))))</f>
        <v/>
      </c>
      <c r="EI27" s="9"/>
      <c r="EJ27" s="9"/>
      <c r="EK27" s="31" t="str">
        <f>IF(EJ27/(INDEX('Standards for Conversions'!$H$34:$H$73,MATCH(EI$3,'Standards for Conversions'!$A$34:$A$73,0)))=0,"",EJ27/(INDEX('Standards for Conversions'!$H$34:$H$73,MATCH(EI$3,'Standards for Conversions'!$A$34:$A$73,0))))</f>
        <v/>
      </c>
      <c r="EM27" s="7"/>
      <c r="EN27" s="7"/>
      <c r="EO27" s="31" t="str">
        <f>IF(EN27/(INDEX('Standards for Conversions'!$H$34:$H$73,MATCH(EM$3,'Standards for Conversions'!$A$34:$A$73,0)))=0,"",EN27/(INDEX('Standards for Conversions'!$H$34:$H$73,MATCH(EM$3,'Standards for Conversions'!$A$34:$A$73,0))))</f>
        <v/>
      </c>
      <c r="EQ27" s="7"/>
      <c r="ER27" s="7"/>
      <c r="ES27" s="31" t="str">
        <f>IF(ER27/(INDEX('Standards for Conversions'!$H$34:$H$73,MATCH(EQ$3,'Standards for Conversions'!$A$34:$A$73,0)))=0,"",ER27/(INDEX('Standards for Conversions'!$H$34:$H$73,MATCH(EQ$3,'Standards for Conversions'!$A$34:$A$73,0))))</f>
        <v/>
      </c>
      <c r="EU27" s="7"/>
      <c r="EV27" s="7"/>
      <c r="EW27" s="31" t="str">
        <f>IF(EV27/(INDEX('Standards for Conversions'!$H$34:$H$73,MATCH(EU$3,'Standards for Conversions'!$A$34:$A$73,0)))=0,"",EV27/(INDEX('Standards for Conversions'!$H$34:$H$73,MATCH(EU$3,'Standards for Conversions'!$A$34:$A$73,0))))</f>
        <v/>
      </c>
      <c r="EY27" s="9"/>
      <c r="EZ27" s="9"/>
      <c r="FA27" s="31" t="str">
        <f>IF(EZ27/(INDEX('Standards for Conversions'!$H$34:$H$73,MATCH(EY$3,'Standards for Conversions'!$A$34:$A$73,0)))=0,"",EZ27/(INDEX('Standards for Conversions'!$H$34:$H$73,MATCH(EY$3,'Standards for Conversions'!$A$34:$A$73,0))))</f>
        <v/>
      </c>
      <c r="FC27" s="7"/>
      <c r="FD27" s="7"/>
      <c r="FE27" s="31" t="str">
        <f>IF(FD27/(INDEX('Standards for Conversions'!$H$34:$H$73,MATCH(FC$3,'Standards for Conversions'!$A$34:$A$73,0)))=0,"",FD27/(INDEX('Standards for Conversions'!$H$34:$H$73,MATCH(FC$3,'Standards for Conversions'!$A$34:$A$73,0))))</f>
        <v/>
      </c>
      <c r="FG27" s="7"/>
      <c r="FH27" s="7"/>
      <c r="FI27" s="31" t="str">
        <f>IF(FH27/(INDEX('Standards for Conversions'!$H$34:$H$73,MATCH(FG$3,'Standards for Conversions'!$A$34:$A$73,0)))=0,"",FH27/(INDEX('Standards for Conversions'!$H$34:$H$73,MATCH(FG$3,'Standards for Conversions'!$A$34:$A$73,0))))</f>
        <v/>
      </c>
      <c r="FK27" s="7"/>
      <c r="FL27" s="7"/>
      <c r="FM27" s="31" t="str">
        <f>IF(FL27/(INDEX('Standards for Conversions'!$H$34:$H$73,MATCH(FK$3,'Standards for Conversions'!$A$34:$A$73,0)))=0,"",FL27/(INDEX('Standards for Conversions'!$H$34:$H$73,MATCH(FK$3,'Standards for Conversions'!$A$34:$A$73,0))))</f>
        <v/>
      </c>
      <c r="FO27" s="9"/>
      <c r="FP27" s="9"/>
      <c r="FQ27" s="31" t="str">
        <f>IF(FP27/(INDEX('Standards for Conversions'!$H$34:$H$73,MATCH(FO$3,'Standards for Conversions'!$A$34:$A$73,0)))=0,"",FP27/(INDEX('Standards for Conversions'!$H$34:$H$73,MATCH(FO$3,'Standards for Conversions'!$A$34:$A$73,0))))</f>
        <v/>
      </c>
      <c r="FS27" s="7"/>
      <c r="FT27" s="7"/>
      <c r="FU27" s="31" t="str">
        <f>IF(FT27/(INDEX('Standards for Conversions'!$H$34:$H$73,MATCH(FS$3,'Standards for Conversions'!$A$34:$A$73,0)))=0,"",FT27/(INDEX('Standards for Conversions'!$H$34:$H$73,MATCH(FS$3,'Standards for Conversions'!$A$34:$A$73,0))))</f>
        <v/>
      </c>
      <c r="FW27" s="7"/>
      <c r="FX27" s="7"/>
      <c r="FY27" s="31" t="str">
        <f>IF(FX27/(INDEX('Standards for Conversions'!$H$34:$H$73,MATCH(FW$3,'Standards for Conversions'!$A$34:$A$73,0)))=0,"",FX27/(INDEX('Standards for Conversions'!$H$34:$H$73,MATCH(FW$3,'Standards for Conversions'!$A$34:$A$73,0))))</f>
        <v/>
      </c>
      <c r="GA27" s="7"/>
      <c r="GB27" s="7"/>
      <c r="GC27" s="31" t="str">
        <f>IF(GB27/(INDEX('Standards for Conversions'!$H$34:$H$73,MATCH(GA$3,'Standards for Conversions'!$A$34:$A$73,0)))=0,"",GB27/(INDEX('Standards for Conversions'!$H$34:$H$73,MATCH(GA$3,'Standards for Conversions'!$A$34:$A$73,0))))</f>
        <v/>
      </c>
      <c r="GE27" s="9"/>
      <c r="GF27" s="9"/>
      <c r="GG27" s="31" t="str">
        <f>IF(GF27/(INDEX('Standards for Conversions'!$H$34:$H$73,MATCH(GE$3,'Standards for Conversions'!$A$34:$A$73,0)))=0,"",GF27/(INDEX('Standards for Conversions'!$H$34:$H$73,MATCH(GE$3,'Standards for Conversions'!$A$34:$A$73,0))))</f>
        <v/>
      </c>
      <c r="GI27" s="7"/>
      <c r="GJ27" s="7"/>
      <c r="GK27" s="31" t="str">
        <f>IF(GJ27/(INDEX('Standards for Conversions'!$H$34:$H$73,MATCH(GI$3,'Standards for Conversions'!$A$34:$A$73,0)))=0,"",GJ27/(INDEX('Standards for Conversions'!$H$34:$H$73,MATCH(GI$3,'Standards for Conversions'!$A$34:$A$73,0))))</f>
        <v/>
      </c>
      <c r="GM27" s="7"/>
      <c r="GN27" s="7"/>
      <c r="GO27" s="31" t="str">
        <f>IF(GN27/(INDEX('Standards for Conversions'!$H$34:$H$73,MATCH(GM$3,'Standards for Conversions'!$A$34:$A$73,0)))=0,"",GN27/(INDEX('Standards for Conversions'!$H$34:$H$73,MATCH(GM$3,'Standards for Conversions'!$A$34:$A$73,0))))</f>
        <v/>
      </c>
      <c r="GQ27" s="7"/>
      <c r="GR27" s="7"/>
      <c r="GS27" s="31" t="str">
        <f>IF(GR27/(INDEX('Standards for Conversions'!$H$34:$H$73,MATCH(GQ$3,'Standards for Conversions'!$A$34:$A$73,0)))=0,"",GR27/(INDEX('Standards for Conversions'!$H$34:$H$73,MATCH(GQ$3,'Standards for Conversions'!$A$34:$A$73,0))))</f>
        <v/>
      </c>
      <c r="GU27" s="9"/>
      <c r="GV27" s="9"/>
      <c r="GW27" s="31" t="str">
        <f>IF(GV27/(INDEX('Standards for Conversions'!$H$34:$H$73,MATCH(GU$3,'Standards for Conversions'!$A$34:$A$73,0)))=0,"",GV27/(INDEX('Standards for Conversions'!$H$34:$H$73,MATCH(GU$3,'Standards for Conversions'!$A$34:$A$73,0))))</f>
        <v/>
      </c>
      <c r="GY27" s="7"/>
      <c r="GZ27" s="7"/>
      <c r="HA27" s="31" t="str">
        <f>IF(GZ27/(INDEX('Standards for Conversions'!$H$34:$H$73,MATCH(GY$3,'Standards for Conversions'!$A$34:$A$73,0)))=0,"",GZ27/(INDEX('Standards for Conversions'!$H$34:$H$73,MATCH(GY$3,'Standards for Conversions'!$A$34:$A$73,0))))</f>
        <v/>
      </c>
      <c r="HC27" s="7"/>
      <c r="HD27" s="7"/>
      <c r="HE27" s="31" t="str">
        <f>IF(HD27/(INDEX('Standards for Conversions'!$H$34:$H$73,MATCH(HC$3,'Standards for Conversions'!$A$34:$A$73,0)))=0,"",HD27/(INDEX('Standards for Conversions'!$H$34:$H$73,MATCH(HC$3,'Standards for Conversions'!$A$34:$A$73,0))))</f>
        <v/>
      </c>
      <c r="HG27" s="7"/>
      <c r="HH27" s="7"/>
      <c r="HI27" s="31" t="str">
        <f>IF(HH27/(INDEX('Standards for Conversions'!$H$34:$H$73,MATCH(HG$3,'Standards for Conversions'!$A$34:$A$73,0)))=0,"",HH27/(INDEX('Standards for Conversions'!$H$34:$H$73,MATCH(HG$3,'Standards for Conversions'!$A$34:$A$73,0))))</f>
        <v/>
      </c>
      <c r="HK27" s="9"/>
      <c r="HL27" s="9"/>
      <c r="HM27" s="31" t="str">
        <f>IF(HL27/(INDEX('Standards for Conversions'!$H$34:$H$73,MATCH(HK$3,'Standards for Conversions'!$A$34:$A$73,0)))=0,"",HL27/(INDEX('Standards for Conversions'!$H$34:$H$73,MATCH(HK$3,'Standards for Conversions'!$A$34:$A$73,0))))</f>
        <v/>
      </c>
      <c r="HO27" s="7"/>
      <c r="HP27" s="7"/>
      <c r="HQ27" s="31" t="str">
        <f>IF(HP27/(INDEX('Standards for Conversions'!$H$34:$H$73,MATCH(HO$3,'Standards for Conversions'!$A$34:$A$73,0)))=0,"",HP27/(INDEX('Standards for Conversions'!$H$34:$H$73,MATCH(HO$3,'Standards for Conversions'!$A$34:$A$73,0))))</f>
        <v/>
      </c>
      <c r="HU27" s="31" t="str">
        <f>IF(HT27/(INDEX('Standards for Conversions'!$H$47:$H$73,MATCH(HS$3,'Standards for Conversions'!$A$47:$A$73,0)))=0,"",HT27/(INDEX('Standards for Conversions'!$H$47:$H$73,MATCH(HS$3,'Standards for Conversions'!$A$47:$A$73,0))))</f>
        <v/>
      </c>
      <c r="HY27" s="31" t="str">
        <f>IF(HX27/(INDEX('Standards for Conversions'!$H$47:$H$73,MATCH(HW$3,'Standards for Conversions'!$A$47:$A$73,0)))=0,"",HX27/(INDEX('Standards for Conversions'!$H$47:$H$73,MATCH(HW$3,'Standards for Conversions'!$A$47:$A$73,0))))</f>
        <v/>
      </c>
      <c r="HZ27" s="33"/>
      <c r="IA27" s="33"/>
      <c r="IB27" s="31" t="str">
        <f>IF(IA27/(INDEX('Standards for Conversions'!$H$47:$H$73,MATCH(HZ$3,'Standards for Conversions'!$A$47:$A$73,0)))=0,"",IA27/(INDEX('Standards for Conversions'!$H$47:$H$73,MATCH(HZ$3,'Standards for Conversions'!$A$47:$A$73,0))))</f>
        <v/>
      </c>
      <c r="IF27" s="31" t="str">
        <f>IF(IE27/(INDEX('Standards for Conversions'!$H$47:$H$73,MATCH(ID$3,'Standards for Conversions'!$A$47:$A$73,0)))=0,"",IE27/(INDEX('Standards for Conversions'!$H$47:$H$73,MATCH(ID$3,'Standards for Conversions'!$A$47:$A$73,0))))</f>
        <v/>
      </c>
      <c r="IJ27" s="31" t="str">
        <f>IF(II27/(INDEX('Standards for Conversions'!$H$47:$H$73,MATCH(IH$3,'Standards for Conversions'!$A$47:$A$73,0)))=0,"",II27/(INDEX('Standards for Conversions'!$H$47:$H$73,MATCH(IH$3,'Standards for Conversions'!$A$47:$A$73,0))))</f>
        <v/>
      </c>
      <c r="IN27" s="31" t="str">
        <f>IF(IM27/(INDEX('Standards for Conversions'!$H$47:$H$73,MATCH(IL$3,'Standards for Conversions'!$A$47:$A$73,0)))=0,"",IM27/(INDEX('Standards for Conversions'!$H$47:$H$73,MATCH(IL$3,'Standards for Conversions'!$A$47:$A$73,0))))</f>
        <v/>
      </c>
      <c r="IR27" s="31" t="str">
        <f>IF(IQ27/(INDEX('Standards for Conversions'!$H$47:$H$73,MATCH(IP$3,'Standards for Conversions'!$A$47:$A$73,0)))=0,"",IQ27/(INDEX('Standards for Conversions'!$H$47:$H$73,MATCH(IP$3,'Standards for Conversions'!$A$47:$A$73,0))))</f>
        <v/>
      </c>
      <c r="IV27" s="31" t="str">
        <f>IF(IU27/(INDEX('Standards for Conversions'!$H$47:$H$73,MATCH(IT$3,'Standards for Conversions'!$A$47:$A$73,0)))=0,"",IU27/(INDEX('Standards for Conversions'!$H$47:$H$73,MATCH(IT$3,'Standards for Conversions'!$A$47:$A$73,0))))</f>
        <v/>
      </c>
      <c r="IZ27" s="31" t="str">
        <f>IF(IY27/(INDEX('Standards for Conversions'!$H$47:$H$73,MATCH(IX$3,'Standards for Conversions'!$A$47:$A$73,0)))=0,"",IY27/(INDEX('Standards for Conversions'!$H$47:$H$73,MATCH(IX$3,'Standards for Conversions'!$A$47:$A$73,0))))</f>
        <v/>
      </c>
      <c r="JA27" s="33"/>
      <c r="JD27" s="31" t="str">
        <f>IF(JC27/(INDEX('Standards for Conversions'!$H$47:$H$73,MATCH(JB$3,'Standards for Conversions'!$A$47:$A$73,0)))=0,"",JC27/(INDEX('Standards for Conversions'!$H$47:$H$73,MATCH(JB$3,'Standards for Conversions'!$A$47:$A$73,0))))</f>
        <v/>
      </c>
      <c r="JE27" s="33"/>
      <c r="JH27" s="31" t="str">
        <f>IF(JG27/(INDEX('Standards for Conversions'!$H$47:$H$73,MATCH(JF$3,'Standards for Conversions'!$A$47:$A$73,0)))=0,"",JG27/(INDEX('Standards for Conversions'!$H$47:$H$73,MATCH(JF$3,'Standards for Conversions'!$A$47:$A$73,0))))</f>
        <v/>
      </c>
      <c r="JL27" s="31" t="str">
        <f>IF(JK27/(INDEX('Standards for Conversions'!$H$47:$H$73,MATCH(JJ$3,'Standards for Conversions'!$A$47:$A$73,0)))=0,"",JK27/(INDEX('Standards for Conversions'!$H$47:$H$73,MATCH(JJ$3,'Standards for Conversions'!$A$47:$A$73,0))))</f>
        <v/>
      </c>
      <c r="JP27" s="31" t="str">
        <f>IF(JO27/(INDEX('Standards for Conversions'!$H$47:$H$73,MATCH(JN$3,'Standards for Conversions'!$A$47:$A$73,0)))=0,"",JO27/(INDEX('Standards for Conversions'!$H$47:$H$73,MATCH(JN$3,'Standards for Conversions'!$A$47:$A$73,0))))</f>
        <v/>
      </c>
      <c r="JT27" s="31" t="str">
        <f>IF(JS27/(INDEX('Standards for Conversions'!$H$47:$H$73,MATCH(JR$3,'Standards for Conversions'!$A$47:$A$73,0)))=0,"",JS27/(INDEX('Standards for Conversions'!$H$47:$H$73,MATCH(JR$3,'Standards for Conversions'!$A$47:$A$73,0))))</f>
        <v/>
      </c>
      <c r="JX27" s="31" t="str">
        <f>IF(JW27/(INDEX('Standards for Conversions'!$H$47:$H$73,MATCH(JV$3,'Standards for Conversions'!$A$47:$A$73,0)))=0,"",JW27/(INDEX('Standards for Conversions'!$H$47:$H$73,MATCH(JV$3,'Standards for Conversions'!$A$47:$A$73,0))))</f>
        <v/>
      </c>
      <c r="KB27" s="31" t="str">
        <f>IF(KA27/(INDEX('Standards for Conversions'!$H$47:$H$73,MATCH(JZ$3,'Standards for Conversions'!$A$47:$A$73,0)))=0,"",KA27/(INDEX('Standards for Conversions'!$H$47:$H$73,MATCH(JZ$3,'Standards for Conversions'!$A$47:$A$73,0))))</f>
        <v/>
      </c>
      <c r="KF27" s="31" t="str">
        <f>IF(KE27/(INDEX('Standards for Conversions'!$H$47:$H$73,MATCH(KD$3,'Standards for Conversions'!$A$47:$A$73,0)))=0,"",KE27/(INDEX('Standards for Conversions'!$H$47:$H$73,MATCH(KD$3,'Standards for Conversions'!$A$47:$A$73,0))))</f>
        <v/>
      </c>
      <c r="KJ27" s="31" t="str">
        <f>IF(KI27/(INDEX('Standards for Conversions'!$H$47:$H$73,MATCH(KH$3,'Standards for Conversions'!$A$47:$A$73,0)))=0,"",KI27/(INDEX('Standards for Conversions'!$H$47:$H$73,MATCH(KH$3,'Standards for Conversions'!$A$47:$A$73,0))))</f>
        <v/>
      </c>
      <c r="KN27" s="31" t="str">
        <f>IF(KM27/(INDEX('Standards for Conversions'!$H$47:$H$73,MATCH(KL$3,'Standards for Conversions'!$A$47:$A$73,0)))=0,"",KM27/(INDEX('Standards for Conversions'!$H$47:$H$73,MATCH(KL$3,'Standards for Conversions'!$A$47:$A$73,0))))</f>
        <v/>
      </c>
      <c r="KR27" s="31" t="str">
        <f>IF(KQ27/(INDEX('Standards for Conversions'!$H$47:$H$73,MATCH(KP$3,'Standards for Conversions'!$A$47:$A$73,0)))=0,"",KQ27/(INDEX('Standards for Conversions'!$H$47:$H$73,MATCH(KP$3,'Standards for Conversions'!$A$47:$A$73,0))))</f>
        <v/>
      </c>
      <c r="KV27" s="31" t="str">
        <f>IF(KU27/(INDEX('Standards for Conversions'!$H$47:$H$73,MATCH(KT$3,'Standards for Conversions'!$A$47:$A$73,0)))=0,"",KU27/(INDEX('Standards for Conversions'!$H$47:$H$73,MATCH(KT$3,'Standards for Conversions'!$A$47:$A$73,0))))</f>
        <v/>
      </c>
      <c r="KW27" s="33"/>
      <c r="KZ27" s="31" t="str">
        <f>IF(KY27/(INDEX('Standards for Conversions'!$H$47:$H$73,MATCH(KX$3,'Standards for Conversions'!$A$47:$A$73,0)))=0,"",KY27/(INDEX('Standards for Conversions'!$H$47:$H$73,MATCH(KX$3,'Standards for Conversions'!$A$47:$A$73,0))))</f>
        <v/>
      </c>
      <c r="LD27" s="31" t="str">
        <f>IF(LC27/(INDEX('Standards for Conversions'!$H$47:$H$73,MATCH(LB$3,'Standards for Conversions'!$A$47:$A$73,0)))=0,"",LC27/(INDEX('Standards for Conversions'!$H$47:$H$73,MATCH(LB$3,'Standards for Conversions'!$A$47:$A$73,0))))</f>
        <v/>
      </c>
      <c r="LH27" s="31" t="str">
        <f>IF(LG27/(INDEX('Standards for Conversions'!$H$47:$H$73,MATCH(LF$3,'Standards for Conversions'!$A$47:$A$73,0)))=0,"",LG27/(INDEX('Standards for Conversions'!$H$47:$H$73,MATCH(LF$3,'Standards for Conversions'!$A$47:$A$73,0))))</f>
        <v/>
      </c>
      <c r="LI27" s="33"/>
      <c r="LL27" s="31" t="str">
        <f>IF(LK27/(INDEX('Standards for Conversions'!$H$47:$H$73,MATCH(LJ$3,'Standards for Conversions'!$A$47:$A$73,0)))=0,"",LK27/(INDEX('Standards for Conversions'!$H$47:$H$73,MATCH(LJ$3,'Standards for Conversions'!$A$47:$A$73,0))))</f>
        <v/>
      </c>
      <c r="LO27" s="31" t="str">
        <f>IF(LN27/(INDEX('Standards for Conversions'!$H$47:$H$73,MATCH(LM$3,'Standards for Conversions'!$A$47:$A$73,0)))=0,"",LN27/(INDEX('Standards for Conversions'!$H$47:$H$73,MATCH(LM$3,'Standards for Conversions'!$A$47:$A$73,0))))</f>
        <v/>
      </c>
      <c r="LR27" s="31" t="str">
        <f>IF(LQ27/(INDEX('Standards for Conversions'!$H$47:$H$73,MATCH(LP$3,'Standards for Conversions'!$A$47:$A$73,0)))=0,"",LQ27/(INDEX('Standards for Conversions'!$H$47:$H$73,MATCH(LP$3,'Standards for Conversions'!$A$47:$A$73,0))))</f>
        <v/>
      </c>
      <c r="LS27" s="33"/>
      <c r="LV27" s="31" t="str">
        <f>IF(LU27/(INDEX('Standards for Conversions'!$H$47:$H$73,MATCH(LT$3,'Standards for Conversions'!$A$47:$A$73,0)))=0,"",LU27/(INDEX('Standards for Conversions'!$H$47:$H$73,MATCH(LT$3,'Standards for Conversions'!$A$47:$A$73,0))))</f>
        <v/>
      </c>
      <c r="LY27" s="31" t="str">
        <f>IF(LX27/(INDEX('Standards for Conversions'!$H$47:$H$73,MATCH(LW$3,'Standards for Conversions'!$A$47:$A$73,0)))=0,"",LX27/(INDEX('Standards for Conversions'!$H$47:$H$73,MATCH(LW$3,'Standards for Conversions'!$A$47:$A$73,0))))</f>
        <v/>
      </c>
      <c r="MB27" s="31" t="str">
        <f>IF(MA27/(INDEX('Standards for Conversions'!$H$47:$H$73,MATCH(LZ$3,'Standards for Conversions'!$A$47:$A$73,0)))=0,"",MA27/(INDEX('Standards for Conversions'!$H$47:$H$73,MATCH(LZ$3,'Standards for Conversions'!$A$47:$A$73,0))))</f>
        <v/>
      </c>
      <c r="ME27" s="31" t="str">
        <f>IF(MD27/(INDEX('Standards for Conversions'!$H$47:$H$73,MATCH(MC$3,'Standards for Conversions'!$A$47:$A$73,0)))=0,"",MD27/(INDEX('Standards for Conversions'!$H$47:$H$73,MATCH(MC$3,'Standards for Conversions'!$A$47:$A$73,0))))</f>
        <v/>
      </c>
      <c r="MH27" s="31" t="str">
        <f>IF(MG27/(INDEX('Standards for Conversions'!$H$47:$H$73,MATCH(MF$3,'Standards for Conversions'!$A$47:$A$73,0)))=0,"",MG27/(INDEX('Standards for Conversions'!$H$47:$H$73,MATCH(MF$3,'Standards for Conversions'!$A$47:$A$73,0))))</f>
        <v/>
      </c>
      <c r="MK27" s="31" t="str">
        <f>IF(MJ27/(INDEX('Standards for Conversions'!$H$47:$H$73,MATCH(MI$3,'Standards for Conversions'!$A$47:$A$73,0)))=0,"",MJ27/(INDEX('Standards for Conversions'!$H$47:$H$73,MATCH(MI$3,'Standards for Conversions'!$A$47:$A$73,0))))</f>
        <v/>
      </c>
      <c r="MN27" s="31" t="str">
        <f>IF(MM27/(INDEX('Standards for Conversions'!$H$47:$H$73,MATCH(ML$3,'Standards for Conversions'!$A$47:$A$73,0)))=0,"",MM27/(INDEX('Standards for Conversions'!$H$47:$H$73,MATCH(ML$3,'Standards for Conversions'!$A$47:$A$73,0))))</f>
        <v/>
      </c>
      <c r="MR27" s="31" t="str">
        <f>IF(MQ27/(INDEX('Standards for Conversions'!$H$47:$H$73,MATCH(MP$3,'Standards for Conversions'!$A$47:$A$73,0)))=0,"",MQ27/(INDEX('Standards for Conversions'!$H$47:$H$73,MATCH(MP$3,'Standards for Conversions'!$A$47:$A$73,0))))</f>
        <v/>
      </c>
      <c r="MZ27" s="33"/>
      <c r="NE27" s="47" t="s">
        <v>100</v>
      </c>
      <c r="NF27" s="29">
        <v>460</v>
      </c>
      <c r="NG27" s="29">
        <v>60619</v>
      </c>
      <c r="NH27" s="29">
        <v>240</v>
      </c>
      <c r="NI27" s="29">
        <v>28940</v>
      </c>
    </row>
    <row r="28" spans="1:373" hidden="1" x14ac:dyDescent="0.3">
      <c r="A28" s="103" t="s">
        <v>211</v>
      </c>
      <c r="B28" s="10" t="s">
        <v>45</v>
      </c>
      <c r="C28" s="7"/>
      <c r="D28" s="7"/>
      <c r="E28" s="31" t="str">
        <f>IF(D28/(INDEX('Standards for Conversions'!$H$34:$H$73,MATCH(C$3,'Standards for Conversions'!$A$34:$A$73,0)))=0,"",D28/(INDEX('Standards for Conversions'!$H$34:$H$73,MATCH(C$3,'Standards for Conversions'!$A$34:$A$73,0))))</f>
        <v/>
      </c>
      <c r="F28" s="10" t="s">
        <v>45</v>
      </c>
      <c r="G28" s="7"/>
      <c r="H28" s="7"/>
      <c r="I28" s="31" t="str">
        <f>IF(H28/(INDEX('Standards for Conversions'!$H$34:$H$73,MATCH(G$3,'Standards for Conversions'!$A$34:$A$73,0)))=0,"",H28/(INDEX('Standards for Conversions'!$H$34:$H$73,MATCH(G$3,'Standards for Conversions'!$A$34:$A$73,0))))</f>
        <v/>
      </c>
      <c r="J28" s="10" t="s">
        <v>45</v>
      </c>
      <c r="K28" s="9"/>
      <c r="L28" s="9"/>
      <c r="M28" s="31" t="str">
        <f>IF(L28/(INDEX('Standards for Conversions'!$H$34:$H$73,MATCH(K$3,'Standards for Conversions'!$A$34:$A$73,0)))=0,"",L28/(INDEX('Standards for Conversions'!$H$34:$H$73,MATCH(K$3,'Standards for Conversions'!$A$34:$A$73,0))))</f>
        <v/>
      </c>
      <c r="N28" s="10" t="s">
        <v>45</v>
      </c>
      <c r="O28" s="7"/>
      <c r="P28" s="7"/>
      <c r="Q28" s="31" t="str">
        <f>IF(P28/(INDEX('Standards for Conversions'!$H$34:$H$73,MATCH(O$3,'Standards for Conversions'!$A$34:$A$73,0)))=0,"",P28/(INDEX('Standards for Conversions'!$H$34:$H$73,MATCH(O$3,'Standards for Conversions'!$A$34:$A$73,0))))</f>
        <v/>
      </c>
      <c r="R28" s="10" t="s">
        <v>45</v>
      </c>
      <c r="S28" s="7"/>
      <c r="T28" s="7"/>
      <c r="U28" s="31" t="str">
        <f>IF(T28/(INDEX('Standards for Conversions'!$H$34:$H$73,MATCH(S$3,'Standards for Conversions'!$A$34:$A$73,0)))=0,"",T28/(INDEX('Standards for Conversions'!$H$34:$H$73,MATCH(S$3,'Standards for Conversions'!$A$34:$A$73,0))))</f>
        <v/>
      </c>
      <c r="V28" s="10" t="s">
        <v>45</v>
      </c>
      <c r="W28" s="7"/>
      <c r="X28" s="7"/>
      <c r="Y28" s="31" t="str">
        <f>IF(X28/(INDEX('Standards for Conversions'!$H$34:$H$73,MATCH(W$3,'Standards for Conversions'!$A$34:$A$73,0)))=0,"",X28/(INDEX('Standards for Conversions'!$H$34:$H$73,MATCH(W$3,'Standards for Conversions'!$A$34:$A$73,0))))</f>
        <v/>
      </c>
      <c r="Z28" s="10" t="s">
        <v>45</v>
      </c>
      <c r="AA28" s="9"/>
      <c r="AB28" s="9"/>
      <c r="AC28" s="31" t="str">
        <f>IF(AB28/(INDEX('Standards for Conversions'!$H$34:$H$73,MATCH(AA$3,'Standards for Conversions'!$A$34:$A$73,0)))=0,"",AB28/(INDEX('Standards for Conversions'!$H$34:$H$73,MATCH(AA$3,'Standards for Conversions'!$A$34:$A$73,0))))</f>
        <v/>
      </c>
      <c r="AD28" s="10" t="s">
        <v>45</v>
      </c>
      <c r="AE28" s="7"/>
      <c r="AF28" s="7"/>
      <c r="AG28" s="31" t="str">
        <f>IF(AF28/(INDEX('Standards for Conversions'!$H$34:$H$73,MATCH(AE$3,'Standards for Conversions'!$A$34:$A$73,0)))=0,"",AF28/(INDEX('Standards for Conversions'!$H$34:$H$73,MATCH(AE$3,'Standards for Conversions'!$A$34:$A$73,0))))</f>
        <v/>
      </c>
      <c r="AH28" s="10" t="s">
        <v>45</v>
      </c>
      <c r="AI28" s="7"/>
      <c r="AJ28" s="7"/>
      <c r="AK28" s="31" t="str">
        <f>IF(AJ28/(INDEX('Standards for Conversions'!$H$34:$H$73,MATCH(AI$3,'Standards for Conversions'!$A$34:$A$73,0)))=0,"",AJ28/(INDEX('Standards for Conversions'!$H$34:$H$73,MATCH(AI$3,'Standards for Conversions'!$A$34:$A$73,0))))</f>
        <v/>
      </c>
      <c r="AL28" s="10" t="s">
        <v>45</v>
      </c>
      <c r="AM28" s="7"/>
      <c r="AN28" s="7"/>
      <c r="AO28" s="31" t="str">
        <f>IF(AN28/(INDEX('Standards for Conversions'!$H$34:$H$73,MATCH(AM$3,'Standards for Conversions'!$A$34:$A$73,0)))=0,"",AN28/(INDEX('Standards for Conversions'!$H$34:$H$73,MATCH(AM$3,'Standards for Conversions'!$A$34:$A$73,0))))</f>
        <v/>
      </c>
      <c r="AP28" s="10" t="s">
        <v>45</v>
      </c>
      <c r="AQ28" s="9"/>
      <c r="AR28" s="9"/>
      <c r="AS28" s="31" t="str">
        <f>IF(AR28/(INDEX('Standards for Conversions'!$H$34:$H$73,MATCH(AQ$3,'Standards for Conversions'!$A$34:$A$73,0)))=0,"",AR28/(INDEX('Standards for Conversions'!$H$34:$H$73,MATCH(AQ$3,'Standards for Conversions'!$A$34:$A$73,0))))</f>
        <v/>
      </c>
      <c r="AT28" s="10" t="s">
        <v>45</v>
      </c>
      <c r="AU28" s="7"/>
      <c r="AV28" s="7"/>
      <c r="AW28" s="31" t="str">
        <f>IF(AV28/(INDEX('Standards for Conversions'!$H$34:$H$73,MATCH(AU$3,'Standards for Conversions'!$A$34:$A$73,0)))=0,"",AV28/(INDEX('Standards for Conversions'!$H$34:$H$73,MATCH(AU$3,'Standards for Conversions'!$A$34:$A$73,0))))</f>
        <v/>
      </c>
      <c r="AX28" s="10" t="s">
        <v>45</v>
      </c>
      <c r="AY28" s="7"/>
      <c r="AZ28" s="7"/>
      <c r="BA28" s="31" t="str">
        <f>IF(AZ28/(INDEX('Standards for Conversions'!$H$34:$H$73,MATCH(AY$3,'Standards for Conversions'!$A$34:$A$73,0)))=0,"",AZ28/(INDEX('Standards for Conversions'!$H$34:$H$73,MATCH(AY$3,'Standards for Conversions'!$A$34:$A$73,0))))</f>
        <v/>
      </c>
      <c r="BB28" s="10" t="s">
        <v>45</v>
      </c>
      <c r="BC28" s="7"/>
      <c r="BD28" s="7"/>
      <c r="BE28" s="31" t="str">
        <f>IF(BD28/(INDEX('Standards for Conversions'!$H$34:$H$73,MATCH(BC$3,'Standards for Conversions'!$A$34:$A$73,0)))=0,"",BD28/(INDEX('Standards for Conversions'!$H$34:$H$73,MATCH(BC$3,'Standards for Conversions'!$A$34:$A$73,0))))</f>
        <v/>
      </c>
      <c r="BF28" s="10" t="s">
        <v>45</v>
      </c>
      <c r="BG28" s="9"/>
      <c r="BH28" s="9"/>
      <c r="BI28" s="31" t="str">
        <f>IF(BH28/(INDEX('Standards for Conversions'!$H$34:$H$73,MATCH(BG$3,'Standards for Conversions'!$A$34:$A$73,0)))=0,"",BH28/(INDEX('Standards for Conversions'!$H$34:$H$73,MATCH(BG$3,'Standards for Conversions'!$A$34:$A$73,0))))</f>
        <v/>
      </c>
      <c r="BJ28" s="10" t="s">
        <v>45</v>
      </c>
      <c r="BK28" s="7"/>
      <c r="BL28" s="7"/>
      <c r="BM28" s="31" t="str">
        <f>IF(BL28/(INDEX('Standards for Conversions'!$H$34:$H$73,MATCH(BK$3,'Standards for Conversions'!$A$34:$A$73,0)))=0,"",BL28/(INDEX('Standards for Conversions'!$H$34:$H$73,MATCH(BK$3,'Standards for Conversions'!$A$34:$A$73,0))))</f>
        <v/>
      </c>
      <c r="BN28" s="10" t="s">
        <v>45</v>
      </c>
      <c r="BO28" s="7"/>
      <c r="BP28" s="7"/>
      <c r="BQ28" s="31" t="str">
        <f>IF(BP28/(INDEX('Standards for Conversions'!$H$34:$H$73,MATCH(BO$3,'Standards for Conversions'!$A$34:$A$73,0)))=0,"",BP28/(INDEX('Standards for Conversions'!$H$34:$H$73,MATCH(BO$3,'Standards for Conversions'!$A$34:$A$73,0))))</f>
        <v/>
      </c>
      <c r="BR28" s="10" t="s">
        <v>45</v>
      </c>
      <c r="BS28" s="7"/>
      <c r="BT28" s="7"/>
      <c r="BU28" s="31" t="str">
        <f>IF(BT28/(INDEX('Standards for Conversions'!$H$34:$H$73,MATCH(BS$3,'Standards for Conversions'!$A$34:$A$73,0)))=0,"",BT28/(INDEX('Standards for Conversions'!$H$34:$H$73,MATCH(BS$3,'Standards for Conversions'!$A$34:$A$73,0))))</f>
        <v/>
      </c>
      <c r="BV28" s="10" t="s">
        <v>45</v>
      </c>
      <c r="BW28" s="9"/>
      <c r="BX28" s="9"/>
      <c r="BY28" s="31" t="str">
        <f>IF(BX28/(INDEX('Standards for Conversions'!$H$34:$H$73,MATCH(BW$3,'Standards for Conversions'!$A$34:$A$73,0)))=0,"",BX28/(INDEX('Standards for Conversions'!$H$34:$H$73,MATCH(BW$3,'Standards for Conversions'!$A$34:$A$73,0))))</f>
        <v/>
      </c>
      <c r="BZ28" s="10" t="s">
        <v>45</v>
      </c>
      <c r="CA28" s="7"/>
      <c r="CB28" s="7"/>
      <c r="CC28" s="31" t="str">
        <f>IF(CB28/(INDEX('Standards for Conversions'!$H$34:$H$73,MATCH(CA$3,'Standards for Conversions'!$A$34:$A$73,0)))=0,"",CB28/(INDEX('Standards for Conversions'!$H$34:$H$73,MATCH(CA$3,'Standards for Conversions'!$A$34:$A$73,0))))</f>
        <v/>
      </c>
      <c r="CD28" s="10" t="s">
        <v>45</v>
      </c>
      <c r="CE28" s="7"/>
      <c r="CF28" s="7"/>
      <c r="CG28" s="31" t="str">
        <f>IF(CF28/(INDEX('Standards for Conversions'!$H$34:$H$73,MATCH(CE$3,'Standards for Conversions'!$A$34:$A$73,0)))=0,"",CF28/(INDEX('Standards for Conversions'!$H$34:$H$73,MATCH(CE$3,'Standards for Conversions'!$A$34:$A$73,0))))</f>
        <v/>
      </c>
      <c r="CH28" s="10" t="s">
        <v>45</v>
      </c>
      <c r="CI28" s="7"/>
      <c r="CJ28" s="7"/>
      <c r="CK28" s="31" t="str">
        <f>IF(CJ28/(INDEX('Standards for Conversions'!$H$34:$H$73,MATCH(CI$3,'Standards for Conversions'!$A$34:$A$73,0)))=0,"",CJ28/(INDEX('Standards for Conversions'!$H$34:$H$73,MATCH(CI$3,'Standards for Conversions'!$A$34:$A$73,0))))</f>
        <v/>
      </c>
      <c r="CL28" s="10" t="s">
        <v>45</v>
      </c>
      <c r="CM28" s="9"/>
      <c r="CN28" s="9"/>
      <c r="CO28" s="31" t="str">
        <f>IF(CN28/(INDEX('Standards for Conversions'!$H$34:$H$73,MATCH(CM$3,'Standards for Conversions'!$A$34:$A$73,0)))=0,"",CN28/(INDEX('Standards for Conversions'!$H$34:$H$73,MATCH(CM$3,'Standards for Conversions'!$A$34:$A$73,0))))</f>
        <v/>
      </c>
      <c r="CP28" s="10" t="s">
        <v>45</v>
      </c>
      <c r="CQ28" s="7"/>
      <c r="CR28" s="7"/>
      <c r="CS28" s="31" t="str">
        <f>IF(CR28/(INDEX('Standards for Conversions'!$H$34:$H$73,MATCH(CQ$3,'Standards for Conversions'!$A$34:$A$73,0)))=0,"",CR28/(INDEX('Standards for Conversions'!$H$34:$H$73,MATCH(CQ$3,'Standards for Conversions'!$A$34:$A$73,0))))</f>
        <v/>
      </c>
      <c r="CT28" s="10" t="s">
        <v>45</v>
      </c>
      <c r="CU28" s="7"/>
      <c r="CV28" s="7"/>
      <c r="CW28" s="31" t="str">
        <f>IF(CV28/(INDEX('Standards for Conversions'!$H$34:$H$73,MATCH(CU$3,'Standards for Conversions'!$A$34:$A$73,0)))=0,"",CV28/(INDEX('Standards for Conversions'!$H$34:$H$73,MATCH(CU$3,'Standards for Conversions'!$A$34:$A$73,0))))</f>
        <v/>
      </c>
      <c r="CX28" s="10" t="s">
        <v>45</v>
      </c>
      <c r="CY28" s="7"/>
      <c r="CZ28" s="7"/>
      <c r="DA28" s="31" t="str">
        <f>IF(CZ28/(INDEX('Standards for Conversions'!$H$34:$H$73,MATCH(CY$3,'Standards for Conversions'!$A$34:$A$73,0)))=0,"",CZ28/(INDEX('Standards for Conversions'!$H$34:$H$73,MATCH(CY$3,'Standards for Conversions'!$A$34:$A$73,0))))</f>
        <v/>
      </c>
      <c r="DB28" s="10" t="s">
        <v>45</v>
      </c>
      <c r="DC28" s="9"/>
      <c r="DD28" s="9"/>
      <c r="DE28" s="31" t="str">
        <f>IF(DD28/(INDEX('Standards for Conversions'!$H$34:$H$73,MATCH(DC$3,'Standards for Conversions'!$A$34:$A$73,0)))=0,"",DD28/(INDEX('Standards for Conversions'!$H$34:$H$73,MATCH(DC$3,'Standards for Conversions'!$A$34:$A$73,0))))</f>
        <v/>
      </c>
      <c r="DF28" s="10" t="s">
        <v>45</v>
      </c>
      <c r="DG28" s="7"/>
      <c r="DH28" s="7"/>
      <c r="DI28" s="31" t="str">
        <f>IF(DH28/(INDEX('Standards for Conversions'!$H$34:$H$73,MATCH(DG$3,'Standards for Conversions'!$A$34:$A$73,0)))=0,"",DH28/(INDEX('Standards for Conversions'!$H$34:$H$73,MATCH(DG$3,'Standards for Conversions'!$A$34:$A$73,0))))</f>
        <v/>
      </c>
      <c r="DJ28" s="10" t="s">
        <v>45</v>
      </c>
      <c r="DK28" s="7"/>
      <c r="DL28" s="7"/>
      <c r="DM28" s="31" t="str">
        <f>IF(DL28/(INDEX('Standards for Conversions'!$H$34:$H$73,MATCH(DK$3,'Standards for Conversions'!$A$34:$A$73,0)))=0,"",DL28/(INDEX('Standards for Conversions'!$H$34:$H$73,MATCH(DK$3,'Standards for Conversions'!$A$34:$A$73,0))))</f>
        <v/>
      </c>
      <c r="DN28" s="10" t="s">
        <v>45</v>
      </c>
      <c r="DO28" s="7"/>
      <c r="DP28" s="7"/>
      <c r="DQ28" s="31" t="str">
        <f>IF(DP28/(INDEX('Standards for Conversions'!$H$34:$H$73,MATCH(DO$3,'Standards for Conversions'!$A$34:$A$73,0)))=0,"",DP28/(INDEX('Standards for Conversions'!$H$34:$H$73,MATCH(DO$3,'Standards for Conversions'!$A$34:$A$73,0))))</f>
        <v/>
      </c>
      <c r="DR28" s="10" t="s">
        <v>45</v>
      </c>
      <c r="DS28" s="9"/>
      <c r="DT28" s="9"/>
      <c r="DU28" s="31" t="str">
        <f>IF(DT28/(INDEX('Standards for Conversions'!$H$34:$H$73,MATCH(DS$3,'Standards for Conversions'!$A$34:$A$73,0)))=0,"",DT28/(INDEX('Standards for Conversions'!$H$34:$H$73,MATCH(DS$3,'Standards for Conversions'!$A$34:$A$73,0))))</f>
        <v/>
      </c>
      <c r="DV28" s="10" t="s">
        <v>45</v>
      </c>
      <c r="DW28" s="7"/>
      <c r="DX28" s="7"/>
      <c r="DY28" s="31" t="str">
        <f>IF(DX28/(INDEX('Standards for Conversions'!$H$34:$H$73,MATCH(DW$3,'Standards for Conversions'!$A$34:$A$73,0)))=0,"",DX28/(INDEX('Standards for Conversions'!$H$34:$H$73,MATCH(DW$3,'Standards for Conversions'!$A$34:$A$73,0))))</f>
        <v/>
      </c>
      <c r="DZ28" s="10" t="s">
        <v>45</v>
      </c>
      <c r="EA28" s="7"/>
      <c r="EB28" s="7"/>
      <c r="EC28" s="31" t="str">
        <f>IF(EB28/(INDEX('Standards for Conversions'!$H$34:$H$73,MATCH(EA$3,'Standards for Conversions'!$A$34:$A$73,0)))=0,"",EB28/(INDEX('Standards for Conversions'!$H$34:$H$73,MATCH(EA$3,'Standards for Conversions'!$A$34:$A$73,0))))</f>
        <v/>
      </c>
      <c r="ED28" s="10" t="s">
        <v>45</v>
      </c>
      <c r="EE28" s="7"/>
      <c r="EF28" s="7"/>
      <c r="EG28" s="31" t="str">
        <f>IF(EF28/(INDEX('Standards for Conversions'!$H$34:$H$73,MATCH(EE$3,'Standards for Conversions'!$A$34:$A$73,0)))=0,"",EF28/(INDEX('Standards for Conversions'!$H$34:$H$73,MATCH(EE$3,'Standards for Conversions'!$A$34:$A$73,0))))</f>
        <v/>
      </c>
      <c r="EH28" s="10" t="s">
        <v>45</v>
      </c>
      <c r="EI28" s="9"/>
      <c r="EJ28" s="9"/>
      <c r="EK28" s="31" t="str">
        <f>IF(EJ28/(INDEX('Standards for Conversions'!$H$34:$H$73,MATCH(EI$3,'Standards for Conversions'!$A$34:$A$73,0)))=0,"",EJ28/(INDEX('Standards for Conversions'!$H$34:$H$73,MATCH(EI$3,'Standards for Conversions'!$A$34:$A$73,0))))</f>
        <v/>
      </c>
      <c r="EL28" s="10" t="s">
        <v>45</v>
      </c>
      <c r="EM28" s="7"/>
      <c r="EN28" s="7"/>
      <c r="EO28" s="31" t="str">
        <f>IF(EN28/(INDEX('Standards for Conversions'!$H$34:$H$73,MATCH(EM$3,'Standards for Conversions'!$A$34:$A$73,0)))=0,"",EN28/(INDEX('Standards for Conversions'!$H$34:$H$73,MATCH(EM$3,'Standards for Conversions'!$A$34:$A$73,0))))</f>
        <v/>
      </c>
      <c r="EP28" s="10" t="s">
        <v>45</v>
      </c>
      <c r="EQ28" s="7"/>
      <c r="ER28" s="7"/>
      <c r="ES28" s="31" t="str">
        <f>IF(ER28/(INDEX('Standards for Conversions'!$H$34:$H$73,MATCH(EQ$3,'Standards for Conversions'!$A$34:$A$73,0)))=0,"",ER28/(INDEX('Standards for Conversions'!$H$34:$H$73,MATCH(EQ$3,'Standards for Conversions'!$A$34:$A$73,0))))</f>
        <v/>
      </c>
      <c r="ET28" s="10" t="s">
        <v>45</v>
      </c>
      <c r="EU28" s="7"/>
      <c r="EV28" s="7"/>
      <c r="EW28" s="31" t="str">
        <f>IF(EV28/(INDEX('Standards for Conversions'!$H$34:$H$73,MATCH(EU$3,'Standards for Conversions'!$A$34:$A$73,0)))=0,"",EV28/(INDEX('Standards for Conversions'!$H$34:$H$73,MATCH(EU$3,'Standards for Conversions'!$A$34:$A$73,0))))</f>
        <v/>
      </c>
      <c r="EX28" s="10" t="s">
        <v>45</v>
      </c>
      <c r="EY28" s="9"/>
      <c r="EZ28" s="9"/>
      <c r="FA28" s="31" t="str">
        <f>IF(EZ28/(INDEX('Standards for Conversions'!$H$34:$H$73,MATCH(EY$3,'Standards for Conversions'!$A$34:$A$73,0)))=0,"",EZ28/(INDEX('Standards for Conversions'!$H$34:$H$73,MATCH(EY$3,'Standards for Conversions'!$A$34:$A$73,0))))</f>
        <v/>
      </c>
      <c r="FB28" s="10" t="s">
        <v>45</v>
      </c>
      <c r="FC28" s="7"/>
      <c r="FD28" s="7"/>
      <c r="FE28" s="31" t="str">
        <f>IF(FD28/(INDEX('Standards for Conversions'!$H$34:$H$73,MATCH(FC$3,'Standards for Conversions'!$A$34:$A$73,0)))=0,"",FD28/(INDEX('Standards for Conversions'!$H$34:$H$73,MATCH(FC$3,'Standards for Conversions'!$A$34:$A$73,0))))</f>
        <v/>
      </c>
      <c r="FF28" s="10" t="s">
        <v>45</v>
      </c>
      <c r="FG28" s="7"/>
      <c r="FH28" s="7"/>
      <c r="FI28" s="31" t="str">
        <f>IF(FH28/(INDEX('Standards for Conversions'!$H$34:$H$73,MATCH(FG$3,'Standards for Conversions'!$A$34:$A$73,0)))=0,"",FH28/(INDEX('Standards for Conversions'!$H$34:$H$73,MATCH(FG$3,'Standards for Conversions'!$A$34:$A$73,0))))</f>
        <v/>
      </c>
      <c r="FJ28" s="10" t="s">
        <v>45</v>
      </c>
      <c r="FK28" s="7"/>
      <c r="FL28" s="7"/>
      <c r="FM28" s="31" t="str">
        <f>IF(FL28/(INDEX('Standards for Conversions'!$H$34:$H$73,MATCH(FK$3,'Standards for Conversions'!$A$34:$A$73,0)))=0,"",FL28/(INDEX('Standards for Conversions'!$H$34:$H$73,MATCH(FK$3,'Standards for Conversions'!$A$34:$A$73,0))))</f>
        <v/>
      </c>
      <c r="FN28" s="10" t="s">
        <v>45</v>
      </c>
      <c r="FO28" s="9"/>
      <c r="FP28" s="9"/>
      <c r="FQ28" s="31" t="str">
        <f>IF(FP28/(INDEX('Standards for Conversions'!$H$34:$H$73,MATCH(FO$3,'Standards for Conversions'!$A$34:$A$73,0)))=0,"",FP28/(INDEX('Standards for Conversions'!$H$34:$H$73,MATCH(FO$3,'Standards for Conversions'!$A$34:$A$73,0))))</f>
        <v/>
      </c>
      <c r="FR28" s="10" t="s">
        <v>45</v>
      </c>
      <c r="FS28" s="7"/>
      <c r="FT28" s="7"/>
      <c r="FU28" s="31" t="str">
        <f>IF(FT28/(INDEX('Standards for Conversions'!$H$34:$H$73,MATCH(FS$3,'Standards for Conversions'!$A$34:$A$73,0)))=0,"",FT28/(INDEX('Standards for Conversions'!$H$34:$H$73,MATCH(FS$3,'Standards for Conversions'!$A$34:$A$73,0))))</f>
        <v/>
      </c>
      <c r="FV28" s="10" t="s">
        <v>45</v>
      </c>
      <c r="FW28" s="7"/>
      <c r="FX28" s="7"/>
      <c r="FY28" s="31" t="str">
        <f>IF(FX28/(INDEX('Standards for Conversions'!$H$34:$H$73,MATCH(FW$3,'Standards for Conversions'!$A$34:$A$73,0)))=0,"",FX28/(INDEX('Standards for Conversions'!$H$34:$H$73,MATCH(FW$3,'Standards for Conversions'!$A$34:$A$73,0))))</f>
        <v/>
      </c>
      <c r="FZ28" s="10" t="s">
        <v>45</v>
      </c>
      <c r="GA28" s="7"/>
      <c r="GB28" s="7"/>
      <c r="GC28" s="31" t="str">
        <f>IF(GB28/(INDEX('Standards for Conversions'!$H$34:$H$73,MATCH(GA$3,'Standards for Conversions'!$A$34:$A$73,0)))=0,"",GB28/(INDEX('Standards for Conversions'!$H$34:$H$73,MATCH(GA$3,'Standards for Conversions'!$A$34:$A$73,0))))</f>
        <v/>
      </c>
      <c r="GD28" s="10" t="s">
        <v>45</v>
      </c>
      <c r="GE28" s="9"/>
      <c r="GF28" s="9"/>
      <c r="GG28" s="31" t="str">
        <f>IF(GF28/(INDEX('Standards for Conversions'!$H$34:$H$73,MATCH(GE$3,'Standards for Conversions'!$A$34:$A$73,0)))=0,"",GF28/(INDEX('Standards for Conversions'!$H$34:$H$73,MATCH(GE$3,'Standards for Conversions'!$A$34:$A$73,0))))</f>
        <v/>
      </c>
      <c r="GH28" s="10" t="s">
        <v>45</v>
      </c>
      <c r="GI28" s="7"/>
      <c r="GJ28" s="7"/>
      <c r="GK28" s="31" t="str">
        <f>IF(GJ28/(INDEX('Standards for Conversions'!$H$34:$H$73,MATCH(GI$3,'Standards for Conversions'!$A$34:$A$73,0)))=0,"",GJ28/(INDEX('Standards for Conversions'!$H$34:$H$73,MATCH(GI$3,'Standards for Conversions'!$A$34:$A$73,0))))</f>
        <v/>
      </c>
      <c r="GL28" s="10" t="s">
        <v>45</v>
      </c>
      <c r="GM28" s="7"/>
      <c r="GN28" s="7"/>
      <c r="GO28" s="31" t="str">
        <f>IF(GN28/(INDEX('Standards for Conversions'!$H$34:$H$73,MATCH(GM$3,'Standards for Conversions'!$A$34:$A$73,0)))=0,"",GN28/(INDEX('Standards for Conversions'!$H$34:$H$73,MATCH(GM$3,'Standards for Conversions'!$A$34:$A$73,0))))</f>
        <v/>
      </c>
      <c r="GP28" s="10" t="s">
        <v>45</v>
      </c>
      <c r="GQ28" s="7"/>
      <c r="GR28" s="7"/>
      <c r="GS28" s="31" t="str">
        <f>IF(GR28/(INDEX('Standards for Conversions'!$H$34:$H$73,MATCH(GQ$3,'Standards for Conversions'!$A$34:$A$73,0)))=0,"",GR28/(INDEX('Standards for Conversions'!$H$34:$H$73,MATCH(GQ$3,'Standards for Conversions'!$A$34:$A$73,0))))</f>
        <v/>
      </c>
      <c r="GT28" s="10" t="s">
        <v>45</v>
      </c>
      <c r="GU28" s="9"/>
      <c r="GV28" s="9"/>
      <c r="GW28" s="31" t="str">
        <f>IF(GV28/(INDEX('Standards for Conversions'!$H$34:$H$73,MATCH(GU$3,'Standards for Conversions'!$A$34:$A$73,0)))=0,"",GV28/(INDEX('Standards for Conversions'!$H$34:$H$73,MATCH(GU$3,'Standards for Conversions'!$A$34:$A$73,0))))</f>
        <v/>
      </c>
      <c r="GX28" s="10" t="s">
        <v>45</v>
      </c>
      <c r="GY28" s="7"/>
      <c r="GZ28" s="7"/>
      <c r="HA28" s="31" t="str">
        <f>IF(GZ28/(INDEX('Standards for Conversions'!$H$34:$H$73,MATCH(GY$3,'Standards for Conversions'!$A$34:$A$73,0)))=0,"",GZ28/(INDEX('Standards for Conversions'!$H$34:$H$73,MATCH(GY$3,'Standards for Conversions'!$A$34:$A$73,0))))</f>
        <v/>
      </c>
      <c r="HB28" s="10" t="s">
        <v>45</v>
      </c>
      <c r="HC28" s="7"/>
      <c r="HD28" s="7"/>
      <c r="HE28" s="31" t="str">
        <f>IF(HD28/(INDEX('Standards for Conversions'!$H$34:$H$73,MATCH(HC$3,'Standards for Conversions'!$A$34:$A$73,0)))=0,"",HD28/(INDEX('Standards for Conversions'!$H$34:$H$73,MATCH(HC$3,'Standards for Conversions'!$A$34:$A$73,0))))</f>
        <v/>
      </c>
      <c r="HF28" s="10" t="s">
        <v>45</v>
      </c>
      <c r="HG28" s="7"/>
      <c r="HH28" s="7"/>
      <c r="HI28" s="31" t="str">
        <f>IF(HH28/(INDEX('Standards for Conversions'!$H$34:$H$73,MATCH(HG$3,'Standards for Conversions'!$A$34:$A$73,0)))=0,"",HH28/(INDEX('Standards for Conversions'!$H$34:$H$73,MATCH(HG$3,'Standards for Conversions'!$A$34:$A$73,0))))</f>
        <v/>
      </c>
      <c r="HJ28" s="10" t="s">
        <v>45</v>
      </c>
      <c r="HK28" s="9"/>
      <c r="HL28" s="9"/>
      <c r="HM28" s="31" t="str">
        <f>IF(HL28/(INDEX('Standards for Conversions'!$H$34:$H$73,MATCH(HK$3,'Standards for Conversions'!$A$34:$A$73,0)))=0,"",HL28/(INDEX('Standards for Conversions'!$H$34:$H$73,MATCH(HK$3,'Standards for Conversions'!$A$34:$A$73,0))))</f>
        <v/>
      </c>
      <c r="HN28" s="10" t="s">
        <v>45</v>
      </c>
      <c r="HO28" s="7"/>
      <c r="HP28" s="7"/>
      <c r="HQ28" s="31" t="str">
        <f>IF(HP28/(INDEX('Standards for Conversions'!$H$34:$H$73,MATCH(HO$3,'Standards for Conversions'!$A$34:$A$73,0)))=0,"",HP28/(INDEX('Standards for Conversions'!$H$34:$H$73,MATCH(HO$3,'Standards for Conversions'!$A$34:$A$73,0))))</f>
        <v/>
      </c>
      <c r="HR28" s="33" t="s">
        <v>45</v>
      </c>
      <c r="HU28" s="31" t="str">
        <f>IF(HT28/(INDEX('Standards for Conversions'!$H$47:$H$73,MATCH(HS$3,'Standards for Conversions'!$A$47:$A$73,0)))=0,"",HT28/(INDEX('Standards for Conversions'!$H$47:$H$73,MATCH(HS$3,'Standards for Conversions'!$A$47:$A$73,0))))</f>
        <v/>
      </c>
      <c r="HV28" s="33" t="s">
        <v>45</v>
      </c>
      <c r="HY28" s="31" t="str">
        <f>IF(HX28/(INDEX('Standards for Conversions'!$H$47:$H$73,MATCH(HW$3,'Standards for Conversions'!$A$47:$A$73,0)))=0,"",HX28/(INDEX('Standards for Conversions'!$H$47:$H$73,MATCH(HW$3,'Standards for Conversions'!$A$47:$A$73,0))))</f>
        <v/>
      </c>
      <c r="HZ28" s="33"/>
      <c r="IA28" s="33"/>
      <c r="IB28" s="31" t="str">
        <f>IF(IA28/(INDEX('Standards for Conversions'!$H$47:$H$73,MATCH(HZ$3,'Standards for Conversions'!$A$47:$A$73,0)))=0,"",IA28/(INDEX('Standards for Conversions'!$H$47:$H$73,MATCH(HZ$3,'Standards for Conversions'!$A$47:$A$73,0))))</f>
        <v/>
      </c>
      <c r="IC28" s="33" t="s">
        <v>45</v>
      </c>
      <c r="ID28" s="29">
        <v>80</v>
      </c>
      <c r="IE28" s="29">
        <v>4500</v>
      </c>
      <c r="IF28" s="31">
        <f>IF(IE28/(INDEX('Standards for Conversions'!$H$47:$H$73,MATCH(ID$3,'Standards for Conversions'!$A$47:$A$73,0)))=0,"",IE28/(INDEX('Standards for Conversions'!$H$47:$H$73,MATCH(ID$3,'Standards for Conversions'!$A$47:$A$73,0))))</f>
        <v>653.6043549578518</v>
      </c>
      <c r="IG28" s="33" t="s">
        <v>45</v>
      </c>
      <c r="IJ28" s="31" t="str">
        <f>IF(II28/(INDEX('Standards for Conversions'!$H$47:$H$73,MATCH(IH$3,'Standards for Conversions'!$A$47:$A$73,0)))=0,"",II28/(INDEX('Standards for Conversions'!$H$47:$H$73,MATCH(IH$3,'Standards for Conversions'!$A$47:$A$73,0))))</f>
        <v/>
      </c>
      <c r="IK28" s="33" t="s">
        <v>45</v>
      </c>
      <c r="IN28" s="31" t="str">
        <f>IF(IM28/(INDEX('Standards for Conversions'!$H$47:$H$73,MATCH(IL$3,'Standards for Conversions'!$A$47:$A$73,0)))=0,"",IM28/(INDEX('Standards for Conversions'!$H$47:$H$73,MATCH(IL$3,'Standards for Conversions'!$A$47:$A$73,0))))</f>
        <v/>
      </c>
      <c r="IO28" s="33" t="s">
        <v>45</v>
      </c>
      <c r="IR28" s="31" t="str">
        <f>IF(IQ28/(INDEX('Standards for Conversions'!$H$47:$H$73,MATCH(IP$3,'Standards for Conversions'!$A$47:$A$73,0)))=0,"",IQ28/(INDEX('Standards for Conversions'!$H$47:$H$73,MATCH(IP$3,'Standards for Conversions'!$A$47:$A$73,0))))</f>
        <v/>
      </c>
      <c r="IS28" s="48" t="s">
        <v>45</v>
      </c>
      <c r="IT28" s="29">
        <v>70</v>
      </c>
      <c r="IU28" s="29">
        <v>5400</v>
      </c>
      <c r="IV28" s="31">
        <f>IF(IU28/(INDEX('Standards for Conversions'!$H$47:$H$73,MATCH(IT$3,'Standards for Conversions'!$A$47:$A$73,0)))=0,"",IU28/(INDEX('Standards for Conversions'!$H$47:$H$73,MATCH(IT$3,'Standards for Conversions'!$A$47:$A$73,0))))</f>
        <v>780.89523224993479</v>
      </c>
      <c r="IW28" s="33" t="s">
        <v>46</v>
      </c>
      <c r="IZ28" s="31" t="str">
        <f>IF(IY28/(INDEX('Standards for Conversions'!$H$47:$H$73,MATCH(IX$3,'Standards for Conversions'!$A$47:$A$73,0)))=0,"",IY28/(INDEX('Standards for Conversions'!$H$47:$H$73,MATCH(IX$3,'Standards for Conversions'!$A$47:$A$73,0))))</f>
        <v/>
      </c>
      <c r="JA28" s="33" t="s">
        <v>46</v>
      </c>
      <c r="JD28" s="31" t="str">
        <f>IF(JC28/(INDEX('Standards for Conversions'!$H$47:$H$73,MATCH(JB$3,'Standards for Conversions'!$A$47:$A$73,0)))=0,"",JC28/(INDEX('Standards for Conversions'!$H$47:$H$73,MATCH(JB$3,'Standards for Conversions'!$A$47:$A$73,0))))</f>
        <v/>
      </c>
      <c r="JE28" s="33" t="s">
        <v>46</v>
      </c>
      <c r="JH28" s="31" t="str">
        <f>IF(JG28/(INDEX('Standards for Conversions'!$H$47:$H$73,MATCH(JF$3,'Standards for Conversions'!$A$47:$A$73,0)))=0,"",JG28/(INDEX('Standards for Conversions'!$H$47:$H$73,MATCH(JF$3,'Standards for Conversions'!$A$47:$A$73,0))))</f>
        <v/>
      </c>
      <c r="JI28" s="48" t="s">
        <v>47</v>
      </c>
      <c r="JJ28" s="29">
        <v>340</v>
      </c>
      <c r="JK28" s="29">
        <v>7350</v>
      </c>
      <c r="JL28" s="31">
        <f>IF(JK28/(INDEX('Standards for Conversions'!$H$47:$H$73,MATCH(JJ$3,'Standards for Conversions'!$A$47:$A$73,0)))=0,"",JK28/(INDEX('Standards for Conversions'!$H$47:$H$73,MATCH(JJ$3,'Standards for Conversions'!$A$47:$A$73,0))))</f>
        <v>1188.9374456852349</v>
      </c>
      <c r="JM28" s="33" t="s">
        <v>47</v>
      </c>
      <c r="JP28" s="31" t="str">
        <f>IF(JO28/(INDEX('Standards for Conversions'!$H$47:$H$73,MATCH(JN$3,'Standards for Conversions'!$A$47:$A$73,0)))=0,"",JO28/(INDEX('Standards for Conversions'!$H$47:$H$73,MATCH(JN$3,'Standards for Conversions'!$A$47:$A$73,0))))</f>
        <v/>
      </c>
      <c r="JQ28" s="33" t="s">
        <v>47</v>
      </c>
      <c r="JT28" s="31" t="str">
        <f>IF(JS28/(INDEX('Standards for Conversions'!$H$47:$H$73,MATCH(JR$3,'Standards for Conversions'!$A$47:$A$73,0)))=0,"",JS28/(INDEX('Standards for Conversions'!$H$47:$H$73,MATCH(JR$3,'Standards for Conversions'!$A$47:$A$73,0))))</f>
        <v/>
      </c>
      <c r="JU28" s="33" t="s">
        <v>47</v>
      </c>
      <c r="JX28" s="31" t="str">
        <f>IF(JW28/(INDEX('Standards for Conversions'!$H$47:$H$73,MATCH(JV$3,'Standards for Conversions'!$A$47:$A$73,0)))=0,"",JW28/(INDEX('Standards for Conversions'!$H$47:$H$73,MATCH(JV$3,'Standards for Conversions'!$A$47:$A$73,0))))</f>
        <v/>
      </c>
      <c r="JY28" s="33" t="s">
        <v>47</v>
      </c>
      <c r="JZ28" s="29">
        <v>300</v>
      </c>
      <c r="KA28" s="29">
        <v>7000</v>
      </c>
      <c r="KB28" s="31">
        <f>IF(KA28/(INDEX('Standards for Conversions'!$H$47:$H$73,MATCH(JZ$3,'Standards for Conversions'!$A$47:$A$73,0)))=0,"",KA28/(INDEX('Standards for Conversions'!$H$47:$H$73,MATCH(JZ$3,'Standards for Conversions'!$A$47:$A$73,0))))</f>
        <v>1068.5912469945829</v>
      </c>
      <c r="KC28" s="33" t="s">
        <v>47</v>
      </c>
      <c r="KF28" s="31" t="str">
        <f>IF(KE28/(INDEX('Standards for Conversions'!$H$47:$H$73,MATCH(KD$3,'Standards for Conversions'!$A$47:$A$73,0)))=0,"",KE28/(INDEX('Standards for Conversions'!$H$47:$H$73,MATCH(KD$3,'Standards for Conversions'!$A$47:$A$73,0))))</f>
        <v/>
      </c>
      <c r="KG28" s="33" t="s">
        <v>47</v>
      </c>
      <c r="KJ28" s="31" t="str">
        <f>IF(KI28/(INDEX('Standards for Conversions'!$H$47:$H$73,MATCH(KH$3,'Standards for Conversions'!$A$47:$A$73,0)))=0,"",KI28/(INDEX('Standards for Conversions'!$H$47:$H$73,MATCH(KH$3,'Standards for Conversions'!$A$47:$A$73,0))))</f>
        <v/>
      </c>
      <c r="KK28" s="33" t="s">
        <v>47</v>
      </c>
      <c r="KN28" s="31" t="str">
        <f>IF(KM28/(INDEX('Standards for Conversions'!$H$47:$H$73,MATCH(KL$3,'Standards for Conversions'!$A$47:$A$73,0)))=0,"",KM28/(INDEX('Standards for Conversions'!$H$47:$H$73,MATCH(KL$3,'Standards for Conversions'!$A$47:$A$73,0))))</f>
        <v/>
      </c>
      <c r="KO28" s="33" t="s">
        <v>47</v>
      </c>
      <c r="KP28" s="29">
        <v>295</v>
      </c>
      <c r="KQ28" s="29">
        <v>7000</v>
      </c>
      <c r="KR28" s="31">
        <f>IF(KQ28/(INDEX('Standards for Conversions'!$H$47:$H$73,MATCH(KP$3,'Standards for Conversions'!$A$47:$A$73,0)))=0,"",KQ28/(INDEX('Standards for Conversions'!$H$47:$H$73,MATCH(KP$3,'Standards for Conversions'!$A$47:$A$73,0))))</f>
        <v>942.61308334057526</v>
      </c>
      <c r="KS28" s="33" t="s">
        <v>46</v>
      </c>
      <c r="KV28" s="31" t="str">
        <f>IF(KU28/(INDEX('Standards for Conversions'!$H$47:$H$73,MATCH(KT$3,'Standards for Conversions'!$A$47:$A$73,0)))=0,"",KU28/(INDEX('Standards for Conversions'!$H$47:$H$73,MATCH(KT$3,'Standards for Conversions'!$A$47:$A$73,0))))</f>
        <v/>
      </c>
      <c r="KW28" s="33" t="s">
        <v>46</v>
      </c>
      <c r="KZ28" s="31" t="str">
        <f>IF(KY28/(INDEX('Standards for Conversions'!$H$47:$H$73,MATCH(KX$3,'Standards for Conversions'!$A$47:$A$73,0)))=0,"",KY28/(INDEX('Standards for Conversions'!$H$47:$H$73,MATCH(KX$3,'Standards for Conversions'!$A$47:$A$73,0))))</f>
        <v/>
      </c>
      <c r="LA28" s="33" t="s">
        <v>45</v>
      </c>
      <c r="LD28" s="31" t="str">
        <f>IF(LC28/(INDEX('Standards for Conversions'!$H$47:$H$73,MATCH(LB$3,'Standards for Conversions'!$A$47:$A$73,0)))=0,"",LC28/(INDEX('Standards for Conversions'!$H$47:$H$73,MATCH(LB$3,'Standards for Conversions'!$A$47:$A$73,0))))</f>
        <v/>
      </c>
      <c r="LE28" s="48" t="s">
        <v>45</v>
      </c>
      <c r="LF28" s="29">
        <v>108</v>
      </c>
      <c r="LG28" s="29">
        <v>5370</v>
      </c>
      <c r="LH28" s="31">
        <f>IF(LG28/(INDEX('Standards for Conversions'!$H$47:$H$73,MATCH(LF$3,'Standards for Conversions'!$A$47:$A$73,0)))=0,"",LG28/(INDEX('Standards for Conversions'!$H$47:$H$73,MATCH(LF$3,'Standards for Conversions'!$A$47:$A$73,0))))</f>
        <v>653.0809633266706</v>
      </c>
      <c r="LI28" s="33"/>
      <c r="LL28" s="31" t="str">
        <f>IF(LK28/(INDEX('Standards for Conversions'!$H$47:$H$73,MATCH(LJ$3,'Standards for Conversions'!$A$47:$A$73,0)))=0,"",LK28/(INDEX('Standards for Conversions'!$H$47:$H$73,MATCH(LJ$3,'Standards for Conversions'!$A$47:$A$73,0))))</f>
        <v/>
      </c>
      <c r="LO28" s="31" t="str">
        <f>IF(LN28/(INDEX('Standards for Conversions'!$H$47:$H$73,MATCH(LM$3,'Standards for Conversions'!$A$47:$A$73,0)))=0,"",LN28/(INDEX('Standards for Conversions'!$H$47:$H$73,MATCH(LM$3,'Standards for Conversions'!$A$47:$A$73,0))))</f>
        <v/>
      </c>
      <c r="LR28" s="31" t="str">
        <f>IF(LQ28/(INDEX('Standards for Conversions'!$H$47:$H$73,MATCH(LP$3,'Standards for Conversions'!$A$47:$A$73,0)))=0,"",LQ28/(INDEX('Standards for Conversions'!$H$47:$H$73,MATCH(LP$3,'Standards for Conversions'!$A$47:$A$73,0))))</f>
        <v/>
      </c>
      <c r="LS28" s="33"/>
      <c r="LV28" s="31" t="str">
        <f>IF(LU28/(INDEX('Standards for Conversions'!$H$47:$H$73,MATCH(LT$3,'Standards for Conversions'!$A$47:$A$73,0)))=0,"",LU28/(INDEX('Standards for Conversions'!$H$47:$H$73,MATCH(LT$3,'Standards for Conversions'!$A$47:$A$73,0))))</f>
        <v/>
      </c>
      <c r="LY28" s="31" t="str">
        <f>IF(LX28/(INDEX('Standards for Conversions'!$H$47:$H$73,MATCH(LW$3,'Standards for Conversions'!$A$47:$A$73,0)))=0,"",LX28/(INDEX('Standards for Conversions'!$H$47:$H$73,MATCH(LW$3,'Standards for Conversions'!$A$47:$A$73,0))))</f>
        <v/>
      </c>
      <c r="MB28" s="31" t="str">
        <f>IF(MA28/(INDEX('Standards for Conversions'!$H$47:$H$73,MATCH(LZ$3,'Standards for Conversions'!$A$47:$A$73,0)))=0,"",MA28/(INDEX('Standards for Conversions'!$H$47:$H$73,MATCH(LZ$3,'Standards for Conversions'!$A$47:$A$73,0))))</f>
        <v/>
      </c>
      <c r="ME28" s="31" t="str">
        <f>IF(MD28/(INDEX('Standards for Conversions'!$H$47:$H$73,MATCH(MC$3,'Standards for Conversions'!$A$47:$A$73,0)))=0,"",MD28/(INDEX('Standards for Conversions'!$H$47:$H$73,MATCH(MC$3,'Standards for Conversions'!$A$47:$A$73,0))))</f>
        <v/>
      </c>
      <c r="MH28" s="31" t="str">
        <f>IF(MG28/(INDEX('Standards for Conversions'!$H$47:$H$73,MATCH(MF$3,'Standards for Conversions'!$A$47:$A$73,0)))=0,"",MG28/(INDEX('Standards for Conversions'!$H$47:$H$73,MATCH(MF$3,'Standards for Conversions'!$A$47:$A$73,0))))</f>
        <v/>
      </c>
      <c r="MK28" s="31" t="str">
        <f>IF(MJ28/(INDEX('Standards for Conversions'!$H$47:$H$73,MATCH(MI$3,'Standards for Conversions'!$A$47:$A$73,0)))=0,"",MJ28/(INDEX('Standards for Conversions'!$H$47:$H$73,MATCH(MI$3,'Standards for Conversions'!$A$47:$A$73,0))))</f>
        <v/>
      </c>
      <c r="MN28" s="31" t="str">
        <f>IF(MM28/(INDEX('Standards for Conversions'!$H$47:$H$73,MATCH(ML$3,'Standards for Conversions'!$A$47:$A$73,0)))=0,"",MM28/(INDEX('Standards for Conversions'!$H$47:$H$73,MATCH(ML$3,'Standards for Conversions'!$A$47:$A$73,0))))</f>
        <v/>
      </c>
      <c r="MR28" s="31" t="str">
        <f>IF(MQ28/(INDEX('Standards for Conversions'!$H$47:$H$73,MATCH(MP$3,'Standards for Conversions'!$A$47:$A$73,0)))=0,"",MQ28/(INDEX('Standards for Conversions'!$H$47:$H$73,MATCH(MP$3,'Standards for Conversions'!$A$47:$A$73,0))))</f>
        <v/>
      </c>
      <c r="MZ28" s="33"/>
      <c r="NE28" s="33"/>
    </row>
    <row r="29" spans="1:373" hidden="1" x14ac:dyDescent="0.3">
      <c r="A29" s="103" t="s">
        <v>212</v>
      </c>
      <c r="B29" s="10" t="s">
        <v>40</v>
      </c>
      <c r="C29" s="7"/>
      <c r="D29" s="7"/>
      <c r="E29" s="31" t="str">
        <f>IF(D29/(INDEX('Standards for Conversions'!$H$34:$H$73,MATCH(C$3,'Standards for Conversions'!$A$34:$A$73,0)))=0,"",D29/(INDEX('Standards for Conversions'!$H$34:$H$73,MATCH(C$3,'Standards for Conversions'!$A$34:$A$73,0))))</f>
        <v/>
      </c>
      <c r="F29" s="10" t="s">
        <v>40</v>
      </c>
      <c r="G29" s="7"/>
      <c r="H29" s="7"/>
      <c r="I29" s="31" t="str">
        <f>IF(H29/(INDEX('Standards for Conversions'!$H$34:$H$73,MATCH(G$3,'Standards for Conversions'!$A$34:$A$73,0)))=0,"",H29/(INDEX('Standards for Conversions'!$H$34:$H$73,MATCH(G$3,'Standards for Conversions'!$A$34:$A$73,0))))</f>
        <v/>
      </c>
      <c r="J29" s="10" t="s">
        <v>40</v>
      </c>
      <c r="K29" s="9"/>
      <c r="L29" s="9"/>
      <c r="M29" s="31" t="str">
        <f>IF(L29/(INDEX('Standards for Conversions'!$H$34:$H$73,MATCH(K$3,'Standards for Conversions'!$A$34:$A$73,0)))=0,"",L29/(INDEX('Standards for Conversions'!$H$34:$H$73,MATCH(K$3,'Standards for Conversions'!$A$34:$A$73,0))))</f>
        <v/>
      </c>
      <c r="N29" s="10" t="s">
        <v>40</v>
      </c>
      <c r="O29" s="7"/>
      <c r="P29" s="7"/>
      <c r="Q29" s="31" t="str">
        <f>IF(P29/(INDEX('Standards for Conversions'!$H$34:$H$73,MATCH(O$3,'Standards for Conversions'!$A$34:$A$73,0)))=0,"",P29/(INDEX('Standards for Conversions'!$H$34:$H$73,MATCH(O$3,'Standards for Conversions'!$A$34:$A$73,0))))</f>
        <v/>
      </c>
      <c r="R29" s="10" t="s">
        <v>40</v>
      </c>
      <c r="S29" s="7"/>
      <c r="T29" s="7"/>
      <c r="U29" s="31" t="str">
        <f>IF(T29/(INDEX('Standards for Conversions'!$H$34:$H$73,MATCH(S$3,'Standards for Conversions'!$A$34:$A$73,0)))=0,"",T29/(INDEX('Standards for Conversions'!$H$34:$H$73,MATCH(S$3,'Standards for Conversions'!$A$34:$A$73,0))))</f>
        <v/>
      </c>
      <c r="V29" s="10" t="s">
        <v>40</v>
      </c>
      <c r="W29" s="7"/>
      <c r="X29" s="7"/>
      <c r="Y29" s="31" t="str">
        <f>IF(X29/(INDEX('Standards for Conversions'!$H$34:$H$73,MATCH(W$3,'Standards for Conversions'!$A$34:$A$73,0)))=0,"",X29/(INDEX('Standards for Conversions'!$H$34:$H$73,MATCH(W$3,'Standards for Conversions'!$A$34:$A$73,0))))</f>
        <v/>
      </c>
      <c r="Z29" s="10" t="s">
        <v>40</v>
      </c>
      <c r="AA29" s="9"/>
      <c r="AB29" s="9"/>
      <c r="AC29" s="31" t="str">
        <f>IF(AB29/(INDEX('Standards for Conversions'!$H$34:$H$73,MATCH(AA$3,'Standards for Conversions'!$A$34:$A$73,0)))=0,"",AB29/(INDEX('Standards for Conversions'!$H$34:$H$73,MATCH(AA$3,'Standards for Conversions'!$A$34:$A$73,0))))</f>
        <v/>
      </c>
      <c r="AD29" s="10" t="s">
        <v>40</v>
      </c>
      <c r="AE29" s="7"/>
      <c r="AF29" s="7"/>
      <c r="AG29" s="31" t="str">
        <f>IF(AF29/(INDEX('Standards for Conversions'!$H$34:$H$73,MATCH(AE$3,'Standards for Conversions'!$A$34:$A$73,0)))=0,"",AF29/(INDEX('Standards for Conversions'!$H$34:$H$73,MATCH(AE$3,'Standards for Conversions'!$A$34:$A$73,0))))</f>
        <v/>
      </c>
      <c r="AH29" s="10" t="s">
        <v>40</v>
      </c>
      <c r="AI29" s="7"/>
      <c r="AJ29" s="7"/>
      <c r="AK29" s="31" t="str">
        <f>IF(AJ29/(INDEX('Standards for Conversions'!$H$34:$H$73,MATCH(AI$3,'Standards for Conversions'!$A$34:$A$73,0)))=0,"",AJ29/(INDEX('Standards for Conversions'!$H$34:$H$73,MATCH(AI$3,'Standards for Conversions'!$A$34:$A$73,0))))</f>
        <v/>
      </c>
      <c r="AL29" s="10" t="s">
        <v>40</v>
      </c>
      <c r="AM29" s="7"/>
      <c r="AN29" s="7"/>
      <c r="AO29" s="31" t="str">
        <f>IF(AN29/(INDEX('Standards for Conversions'!$H$34:$H$73,MATCH(AM$3,'Standards for Conversions'!$A$34:$A$73,0)))=0,"",AN29/(INDEX('Standards for Conversions'!$H$34:$H$73,MATCH(AM$3,'Standards for Conversions'!$A$34:$A$73,0))))</f>
        <v/>
      </c>
      <c r="AP29" s="10" t="s">
        <v>40</v>
      </c>
      <c r="AQ29" s="9"/>
      <c r="AR29" s="9"/>
      <c r="AS29" s="31" t="str">
        <f>IF(AR29/(INDEX('Standards for Conversions'!$H$34:$H$73,MATCH(AQ$3,'Standards for Conversions'!$A$34:$A$73,0)))=0,"",AR29/(INDEX('Standards for Conversions'!$H$34:$H$73,MATCH(AQ$3,'Standards for Conversions'!$A$34:$A$73,0))))</f>
        <v/>
      </c>
      <c r="AT29" s="10" t="s">
        <v>40</v>
      </c>
      <c r="AU29" s="7"/>
      <c r="AV29" s="7"/>
      <c r="AW29" s="31" t="str">
        <f>IF(AV29/(INDEX('Standards for Conversions'!$H$34:$H$73,MATCH(AU$3,'Standards for Conversions'!$A$34:$A$73,0)))=0,"",AV29/(INDEX('Standards for Conversions'!$H$34:$H$73,MATCH(AU$3,'Standards for Conversions'!$A$34:$A$73,0))))</f>
        <v/>
      </c>
      <c r="AX29" s="10" t="s">
        <v>40</v>
      </c>
      <c r="AY29" s="7"/>
      <c r="AZ29" s="7"/>
      <c r="BA29" s="31" t="str">
        <f>IF(AZ29/(INDEX('Standards for Conversions'!$H$34:$H$73,MATCH(AY$3,'Standards for Conversions'!$A$34:$A$73,0)))=0,"",AZ29/(INDEX('Standards for Conversions'!$H$34:$H$73,MATCH(AY$3,'Standards for Conversions'!$A$34:$A$73,0))))</f>
        <v/>
      </c>
      <c r="BB29" s="10" t="s">
        <v>40</v>
      </c>
      <c r="BC29" s="7"/>
      <c r="BD29" s="7"/>
      <c r="BE29" s="31" t="str">
        <f>IF(BD29/(INDEX('Standards for Conversions'!$H$34:$H$73,MATCH(BC$3,'Standards for Conversions'!$A$34:$A$73,0)))=0,"",BD29/(INDEX('Standards for Conversions'!$H$34:$H$73,MATCH(BC$3,'Standards for Conversions'!$A$34:$A$73,0))))</f>
        <v/>
      </c>
      <c r="BF29" s="10" t="s">
        <v>40</v>
      </c>
      <c r="BG29" s="9"/>
      <c r="BH29" s="9"/>
      <c r="BI29" s="31" t="str">
        <f>IF(BH29/(INDEX('Standards for Conversions'!$H$34:$H$73,MATCH(BG$3,'Standards for Conversions'!$A$34:$A$73,0)))=0,"",BH29/(INDEX('Standards for Conversions'!$H$34:$H$73,MATCH(BG$3,'Standards for Conversions'!$A$34:$A$73,0))))</f>
        <v/>
      </c>
      <c r="BJ29" s="10" t="s">
        <v>40</v>
      </c>
      <c r="BK29" s="7"/>
      <c r="BL29" s="7"/>
      <c r="BM29" s="31" t="str">
        <f>IF(BL29/(INDEX('Standards for Conversions'!$H$34:$H$73,MATCH(BK$3,'Standards for Conversions'!$A$34:$A$73,0)))=0,"",BL29/(INDEX('Standards for Conversions'!$H$34:$H$73,MATCH(BK$3,'Standards for Conversions'!$A$34:$A$73,0))))</f>
        <v/>
      </c>
      <c r="BN29" s="10" t="s">
        <v>40</v>
      </c>
      <c r="BO29" s="7"/>
      <c r="BP29" s="7"/>
      <c r="BQ29" s="31" t="str">
        <f>IF(BP29/(INDEX('Standards for Conversions'!$H$34:$H$73,MATCH(BO$3,'Standards for Conversions'!$A$34:$A$73,0)))=0,"",BP29/(INDEX('Standards for Conversions'!$H$34:$H$73,MATCH(BO$3,'Standards for Conversions'!$A$34:$A$73,0))))</f>
        <v/>
      </c>
      <c r="BR29" s="10" t="s">
        <v>40</v>
      </c>
      <c r="BS29" s="7"/>
      <c r="BT29" s="7"/>
      <c r="BU29" s="31" t="str">
        <f>IF(BT29/(INDEX('Standards for Conversions'!$H$34:$H$73,MATCH(BS$3,'Standards for Conversions'!$A$34:$A$73,0)))=0,"",BT29/(INDEX('Standards for Conversions'!$H$34:$H$73,MATCH(BS$3,'Standards for Conversions'!$A$34:$A$73,0))))</f>
        <v/>
      </c>
      <c r="BV29" s="10" t="s">
        <v>40</v>
      </c>
      <c r="BW29" s="9"/>
      <c r="BX29" s="9"/>
      <c r="BY29" s="31" t="str">
        <f>IF(BX29/(INDEX('Standards for Conversions'!$H$34:$H$73,MATCH(BW$3,'Standards for Conversions'!$A$34:$A$73,0)))=0,"",BX29/(INDEX('Standards for Conversions'!$H$34:$H$73,MATCH(BW$3,'Standards for Conversions'!$A$34:$A$73,0))))</f>
        <v/>
      </c>
      <c r="BZ29" s="10" t="s">
        <v>40</v>
      </c>
      <c r="CA29" s="7"/>
      <c r="CB29" s="7"/>
      <c r="CC29" s="31" t="str">
        <f>IF(CB29/(INDEX('Standards for Conversions'!$H$34:$H$73,MATCH(CA$3,'Standards for Conversions'!$A$34:$A$73,0)))=0,"",CB29/(INDEX('Standards for Conversions'!$H$34:$H$73,MATCH(CA$3,'Standards for Conversions'!$A$34:$A$73,0))))</f>
        <v/>
      </c>
      <c r="CD29" s="10" t="s">
        <v>40</v>
      </c>
      <c r="CE29" s="7"/>
      <c r="CF29" s="7"/>
      <c r="CG29" s="31" t="str">
        <f>IF(CF29/(INDEX('Standards for Conversions'!$H$34:$H$73,MATCH(CE$3,'Standards for Conversions'!$A$34:$A$73,0)))=0,"",CF29/(INDEX('Standards for Conversions'!$H$34:$H$73,MATCH(CE$3,'Standards for Conversions'!$A$34:$A$73,0))))</f>
        <v/>
      </c>
      <c r="CH29" s="10" t="s">
        <v>40</v>
      </c>
      <c r="CI29" s="7"/>
      <c r="CJ29" s="7"/>
      <c r="CK29" s="31" t="str">
        <f>IF(CJ29/(INDEX('Standards for Conversions'!$H$34:$H$73,MATCH(CI$3,'Standards for Conversions'!$A$34:$A$73,0)))=0,"",CJ29/(INDEX('Standards for Conversions'!$H$34:$H$73,MATCH(CI$3,'Standards for Conversions'!$A$34:$A$73,0))))</f>
        <v/>
      </c>
      <c r="CL29" s="10" t="s">
        <v>40</v>
      </c>
      <c r="CM29" s="9"/>
      <c r="CN29" s="9"/>
      <c r="CO29" s="31" t="str">
        <f>IF(CN29/(INDEX('Standards for Conversions'!$H$34:$H$73,MATCH(CM$3,'Standards for Conversions'!$A$34:$A$73,0)))=0,"",CN29/(INDEX('Standards for Conversions'!$H$34:$H$73,MATCH(CM$3,'Standards for Conversions'!$A$34:$A$73,0))))</f>
        <v/>
      </c>
      <c r="CP29" s="10" t="s">
        <v>40</v>
      </c>
      <c r="CQ29" s="7"/>
      <c r="CR29" s="7"/>
      <c r="CS29" s="31" t="str">
        <f>IF(CR29/(INDEX('Standards for Conversions'!$H$34:$H$73,MATCH(CQ$3,'Standards for Conversions'!$A$34:$A$73,0)))=0,"",CR29/(INDEX('Standards for Conversions'!$H$34:$H$73,MATCH(CQ$3,'Standards for Conversions'!$A$34:$A$73,0))))</f>
        <v/>
      </c>
      <c r="CT29" s="10" t="s">
        <v>40</v>
      </c>
      <c r="CU29" s="7"/>
      <c r="CV29" s="7"/>
      <c r="CW29" s="31" t="str">
        <f>IF(CV29/(INDEX('Standards for Conversions'!$H$34:$H$73,MATCH(CU$3,'Standards for Conversions'!$A$34:$A$73,0)))=0,"",CV29/(INDEX('Standards for Conversions'!$H$34:$H$73,MATCH(CU$3,'Standards for Conversions'!$A$34:$A$73,0))))</f>
        <v/>
      </c>
      <c r="CX29" s="10" t="s">
        <v>40</v>
      </c>
      <c r="CY29" s="7"/>
      <c r="CZ29" s="7"/>
      <c r="DA29" s="31" t="str">
        <f>IF(CZ29/(INDEX('Standards for Conversions'!$H$34:$H$73,MATCH(CY$3,'Standards for Conversions'!$A$34:$A$73,0)))=0,"",CZ29/(INDEX('Standards for Conversions'!$H$34:$H$73,MATCH(CY$3,'Standards for Conversions'!$A$34:$A$73,0))))</f>
        <v/>
      </c>
      <c r="DB29" s="10" t="s">
        <v>40</v>
      </c>
      <c r="DC29" s="9"/>
      <c r="DD29" s="9"/>
      <c r="DE29" s="31" t="str">
        <f>IF(DD29/(INDEX('Standards for Conversions'!$H$34:$H$73,MATCH(DC$3,'Standards for Conversions'!$A$34:$A$73,0)))=0,"",DD29/(INDEX('Standards for Conversions'!$H$34:$H$73,MATCH(DC$3,'Standards for Conversions'!$A$34:$A$73,0))))</f>
        <v/>
      </c>
      <c r="DF29" s="10" t="s">
        <v>40</v>
      </c>
      <c r="DG29" s="7"/>
      <c r="DH29" s="7"/>
      <c r="DI29" s="31" t="str">
        <f>IF(DH29/(INDEX('Standards for Conversions'!$H$34:$H$73,MATCH(DG$3,'Standards for Conversions'!$A$34:$A$73,0)))=0,"",DH29/(INDEX('Standards for Conversions'!$H$34:$H$73,MATCH(DG$3,'Standards for Conversions'!$A$34:$A$73,0))))</f>
        <v/>
      </c>
      <c r="DJ29" s="10" t="s">
        <v>40</v>
      </c>
      <c r="DK29" s="7"/>
      <c r="DL29" s="7"/>
      <c r="DM29" s="31" t="str">
        <f>IF(DL29/(INDEX('Standards for Conversions'!$H$34:$H$73,MATCH(DK$3,'Standards for Conversions'!$A$34:$A$73,0)))=0,"",DL29/(INDEX('Standards for Conversions'!$H$34:$H$73,MATCH(DK$3,'Standards for Conversions'!$A$34:$A$73,0))))</f>
        <v/>
      </c>
      <c r="DN29" s="10" t="s">
        <v>40</v>
      </c>
      <c r="DO29" s="7"/>
      <c r="DP29" s="7"/>
      <c r="DQ29" s="31" t="str">
        <f>IF(DP29/(INDEX('Standards for Conversions'!$H$34:$H$73,MATCH(DO$3,'Standards for Conversions'!$A$34:$A$73,0)))=0,"",DP29/(INDEX('Standards for Conversions'!$H$34:$H$73,MATCH(DO$3,'Standards for Conversions'!$A$34:$A$73,0))))</f>
        <v/>
      </c>
      <c r="DR29" s="10" t="s">
        <v>40</v>
      </c>
      <c r="DS29" s="9"/>
      <c r="DT29" s="9"/>
      <c r="DU29" s="31" t="str">
        <f>IF(DT29/(INDEX('Standards for Conversions'!$H$34:$H$73,MATCH(DS$3,'Standards for Conversions'!$A$34:$A$73,0)))=0,"",DT29/(INDEX('Standards for Conversions'!$H$34:$H$73,MATCH(DS$3,'Standards for Conversions'!$A$34:$A$73,0))))</f>
        <v/>
      </c>
      <c r="DV29" s="10" t="s">
        <v>40</v>
      </c>
      <c r="DW29" s="7"/>
      <c r="DX29" s="7"/>
      <c r="DY29" s="31" t="str">
        <f>IF(DX29/(INDEX('Standards for Conversions'!$H$34:$H$73,MATCH(DW$3,'Standards for Conversions'!$A$34:$A$73,0)))=0,"",DX29/(INDEX('Standards for Conversions'!$H$34:$H$73,MATCH(DW$3,'Standards for Conversions'!$A$34:$A$73,0))))</f>
        <v/>
      </c>
      <c r="DZ29" s="10" t="s">
        <v>40</v>
      </c>
      <c r="EA29" s="7"/>
      <c r="EB29" s="7"/>
      <c r="EC29" s="31" t="str">
        <f>IF(EB29/(INDEX('Standards for Conversions'!$H$34:$H$73,MATCH(EA$3,'Standards for Conversions'!$A$34:$A$73,0)))=0,"",EB29/(INDEX('Standards for Conversions'!$H$34:$H$73,MATCH(EA$3,'Standards for Conversions'!$A$34:$A$73,0))))</f>
        <v/>
      </c>
      <c r="ED29" s="10" t="s">
        <v>40</v>
      </c>
      <c r="EE29" s="7"/>
      <c r="EF29" s="7"/>
      <c r="EG29" s="31" t="str">
        <f>IF(EF29/(INDEX('Standards for Conversions'!$H$34:$H$73,MATCH(EE$3,'Standards for Conversions'!$A$34:$A$73,0)))=0,"",EF29/(INDEX('Standards for Conversions'!$H$34:$H$73,MATCH(EE$3,'Standards for Conversions'!$A$34:$A$73,0))))</f>
        <v/>
      </c>
      <c r="EH29" s="10" t="s">
        <v>40</v>
      </c>
      <c r="EI29" s="9"/>
      <c r="EJ29" s="9"/>
      <c r="EK29" s="31" t="str">
        <f>IF(EJ29/(INDEX('Standards for Conversions'!$H$34:$H$73,MATCH(EI$3,'Standards for Conversions'!$A$34:$A$73,0)))=0,"",EJ29/(INDEX('Standards for Conversions'!$H$34:$H$73,MATCH(EI$3,'Standards for Conversions'!$A$34:$A$73,0))))</f>
        <v/>
      </c>
      <c r="EL29" s="10" t="s">
        <v>40</v>
      </c>
      <c r="EM29" s="7"/>
      <c r="EN29" s="7"/>
      <c r="EO29" s="31" t="str">
        <f>IF(EN29/(INDEX('Standards for Conversions'!$H$34:$H$73,MATCH(EM$3,'Standards for Conversions'!$A$34:$A$73,0)))=0,"",EN29/(INDEX('Standards for Conversions'!$H$34:$H$73,MATCH(EM$3,'Standards for Conversions'!$A$34:$A$73,0))))</f>
        <v/>
      </c>
      <c r="EP29" s="10" t="s">
        <v>40</v>
      </c>
      <c r="EQ29" s="7"/>
      <c r="ER29" s="7"/>
      <c r="ES29" s="31" t="str">
        <f>IF(ER29/(INDEX('Standards for Conversions'!$H$34:$H$73,MATCH(EQ$3,'Standards for Conversions'!$A$34:$A$73,0)))=0,"",ER29/(INDEX('Standards for Conversions'!$H$34:$H$73,MATCH(EQ$3,'Standards for Conversions'!$A$34:$A$73,0))))</f>
        <v/>
      </c>
      <c r="ET29" s="10" t="s">
        <v>40</v>
      </c>
      <c r="EU29" s="7"/>
      <c r="EV29" s="7"/>
      <c r="EW29" s="31" t="str">
        <f>IF(EV29/(INDEX('Standards for Conversions'!$H$34:$H$73,MATCH(EU$3,'Standards for Conversions'!$A$34:$A$73,0)))=0,"",EV29/(INDEX('Standards for Conversions'!$H$34:$H$73,MATCH(EU$3,'Standards for Conversions'!$A$34:$A$73,0))))</f>
        <v/>
      </c>
      <c r="EX29" s="10" t="s">
        <v>40</v>
      </c>
      <c r="EY29" s="9"/>
      <c r="EZ29" s="9"/>
      <c r="FA29" s="31" t="str">
        <f>IF(EZ29/(INDEX('Standards for Conversions'!$H$34:$H$73,MATCH(EY$3,'Standards for Conversions'!$A$34:$A$73,0)))=0,"",EZ29/(INDEX('Standards for Conversions'!$H$34:$H$73,MATCH(EY$3,'Standards for Conversions'!$A$34:$A$73,0))))</f>
        <v/>
      </c>
      <c r="FB29" s="10" t="s">
        <v>40</v>
      </c>
      <c r="FC29" s="7"/>
      <c r="FD29" s="7"/>
      <c r="FE29" s="31" t="str">
        <f>IF(FD29/(INDEX('Standards for Conversions'!$H$34:$H$73,MATCH(FC$3,'Standards for Conversions'!$A$34:$A$73,0)))=0,"",FD29/(INDEX('Standards for Conversions'!$H$34:$H$73,MATCH(FC$3,'Standards for Conversions'!$A$34:$A$73,0))))</f>
        <v/>
      </c>
      <c r="FF29" s="10" t="s">
        <v>40</v>
      </c>
      <c r="FG29" s="7"/>
      <c r="FH29" s="7"/>
      <c r="FI29" s="31" t="str">
        <f>IF(FH29/(INDEX('Standards for Conversions'!$H$34:$H$73,MATCH(FG$3,'Standards for Conversions'!$A$34:$A$73,0)))=0,"",FH29/(INDEX('Standards for Conversions'!$H$34:$H$73,MATCH(FG$3,'Standards for Conversions'!$A$34:$A$73,0))))</f>
        <v/>
      </c>
      <c r="FJ29" s="10" t="s">
        <v>40</v>
      </c>
      <c r="FK29" s="7"/>
      <c r="FL29" s="7"/>
      <c r="FM29" s="31" t="str">
        <f>IF(FL29/(INDEX('Standards for Conversions'!$H$34:$H$73,MATCH(FK$3,'Standards for Conversions'!$A$34:$A$73,0)))=0,"",FL29/(INDEX('Standards for Conversions'!$H$34:$H$73,MATCH(FK$3,'Standards for Conversions'!$A$34:$A$73,0))))</f>
        <v/>
      </c>
      <c r="FN29" s="10" t="s">
        <v>40</v>
      </c>
      <c r="FO29" s="9"/>
      <c r="FP29" s="9"/>
      <c r="FQ29" s="31" t="str">
        <f>IF(FP29/(INDEX('Standards for Conversions'!$H$34:$H$73,MATCH(FO$3,'Standards for Conversions'!$A$34:$A$73,0)))=0,"",FP29/(INDEX('Standards for Conversions'!$H$34:$H$73,MATCH(FO$3,'Standards for Conversions'!$A$34:$A$73,0))))</f>
        <v/>
      </c>
      <c r="FR29" s="10" t="s">
        <v>40</v>
      </c>
      <c r="FS29" s="7"/>
      <c r="FT29" s="7"/>
      <c r="FU29" s="31" t="str">
        <f>IF(FT29/(INDEX('Standards for Conversions'!$H$34:$H$73,MATCH(FS$3,'Standards for Conversions'!$A$34:$A$73,0)))=0,"",FT29/(INDEX('Standards for Conversions'!$H$34:$H$73,MATCH(FS$3,'Standards for Conversions'!$A$34:$A$73,0))))</f>
        <v/>
      </c>
      <c r="FV29" s="10" t="s">
        <v>40</v>
      </c>
      <c r="FW29" s="7"/>
      <c r="FX29" s="7"/>
      <c r="FY29" s="31" t="str">
        <f>IF(FX29/(INDEX('Standards for Conversions'!$H$34:$H$73,MATCH(FW$3,'Standards for Conversions'!$A$34:$A$73,0)))=0,"",FX29/(INDEX('Standards for Conversions'!$H$34:$H$73,MATCH(FW$3,'Standards for Conversions'!$A$34:$A$73,0))))</f>
        <v/>
      </c>
      <c r="FZ29" s="10" t="s">
        <v>40</v>
      </c>
      <c r="GA29" s="7"/>
      <c r="GB29" s="7"/>
      <c r="GC29" s="31" t="str">
        <f>IF(GB29/(INDEX('Standards for Conversions'!$H$34:$H$73,MATCH(GA$3,'Standards for Conversions'!$A$34:$A$73,0)))=0,"",GB29/(INDEX('Standards for Conversions'!$H$34:$H$73,MATCH(GA$3,'Standards for Conversions'!$A$34:$A$73,0))))</f>
        <v/>
      </c>
      <c r="GD29" s="10" t="s">
        <v>40</v>
      </c>
      <c r="GE29" s="9"/>
      <c r="GF29" s="9"/>
      <c r="GG29" s="31" t="str">
        <f>IF(GF29/(INDEX('Standards for Conversions'!$H$34:$H$73,MATCH(GE$3,'Standards for Conversions'!$A$34:$A$73,0)))=0,"",GF29/(INDEX('Standards for Conversions'!$H$34:$H$73,MATCH(GE$3,'Standards for Conversions'!$A$34:$A$73,0))))</f>
        <v/>
      </c>
      <c r="GH29" s="10" t="s">
        <v>40</v>
      </c>
      <c r="GI29" s="7"/>
      <c r="GJ29" s="7"/>
      <c r="GK29" s="31" t="str">
        <f>IF(GJ29/(INDEX('Standards for Conversions'!$H$34:$H$73,MATCH(GI$3,'Standards for Conversions'!$A$34:$A$73,0)))=0,"",GJ29/(INDEX('Standards for Conversions'!$H$34:$H$73,MATCH(GI$3,'Standards for Conversions'!$A$34:$A$73,0))))</f>
        <v/>
      </c>
      <c r="GL29" s="10" t="s">
        <v>40</v>
      </c>
      <c r="GM29" s="7"/>
      <c r="GN29" s="7"/>
      <c r="GO29" s="31" t="str">
        <f>IF(GN29/(INDEX('Standards for Conversions'!$H$34:$H$73,MATCH(GM$3,'Standards for Conversions'!$A$34:$A$73,0)))=0,"",GN29/(INDEX('Standards for Conversions'!$H$34:$H$73,MATCH(GM$3,'Standards for Conversions'!$A$34:$A$73,0))))</f>
        <v/>
      </c>
      <c r="GP29" s="10" t="s">
        <v>40</v>
      </c>
      <c r="GQ29" s="7"/>
      <c r="GR29" s="7"/>
      <c r="GS29" s="31" t="str">
        <f>IF(GR29/(INDEX('Standards for Conversions'!$H$34:$H$73,MATCH(GQ$3,'Standards for Conversions'!$A$34:$A$73,0)))=0,"",GR29/(INDEX('Standards for Conversions'!$H$34:$H$73,MATCH(GQ$3,'Standards for Conversions'!$A$34:$A$73,0))))</f>
        <v/>
      </c>
      <c r="GT29" s="10" t="s">
        <v>40</v>
      </c>
      <c r="GU29" s="9"/>
      <c r="GV29" s="9"/>
      <c r="GW29" s="31" t="str">
        <f>IF(GV29/(INDEX('Standards for Conversions'!$H$34:$H$73,MATCH(GU$3,'Standards for Conversions'!$A$34:$A$73,0)))=0,"",GV29/(INDEX('Standards for Conversions'!$H$34:$H$73,MATCH(GU$3,'Standards for Conversions'!$A$34:$A$73,0))))</f>
        <v/>
      </c>
      <c r="GX29" s="10" t="s">
        <v>40</v>
      </c>
      <c r="GY29" s="7"/>
      <c r="GZ29" s="7"/>
      <c r="HA29" s="31" t="str">
        <f>IF(GZ29/(INDEX('Standards for Conversions'!$H$34:$H$73,MATCH(GY$3,'Standards for Conversions'!$A$34:$A$73,0)))=0,"",GZ29/(INDEX('Standards for Conversions'!$H$34:$H$73,MATCH(GY$3,'Standards for Conversions'!$A$34:$A$73,0))))</f>
        <v/>
      </c>
      <c r="HB29" s="10" t="s">
        <v>40</v>
      </c>
      <c r="HC29" s="7"/>
      <c r="HD29" s="7"/>
      <c r="HE29" s="31" t="str">
        <f>IF(HD29/(INDEX('Standards for Conversions'!$H$34:$H$73,MATCH(HC$3,'Standards for Conversions'!$A$34:$A$73,0)))=0,"",HD29/(INDEX('Standards for Conversions'!$H$34:$H$73,MATCH(HC$3,'Standards for Conversions'!$A$34:$A$73,0))))</f>
        <v/>
      </c>
      <c r="HF29" s="10" t="s">
        <v>40</v>
      </c>
      <c r="HG29" s="7"/>
      <c r="HH29" s="7"/>
      <c r="HI29" s="31" t="str">
        <f>IF(HH29/(INDEX('Standards for Conversions'!$H$34:$H$73,MATCH(HG$3,'Standards for Conversions'!$A$34:$A$73,0)))=0,"",HH29/(INDEX('Standards for Conversions'!$H$34:$H$73,MATCH(HG$3,'Standards for Conversions'!$A$34:$A$73,0))))</f>
        <v/>
      </c>
      <c r="HJ29" s="10" t="s">
        <v>40</v>
      </c>
      <c r="HK29" s="9"/>
      <c r="HL29" s="9"/>
      <c r="HM29" s="31" t="str">
        <f>IF(HL29/(INDEX('Standards for Conversions'!$H$34:$H$73,MATCH(HK$3,'Standards for Conversions'!$A$34:$A$73,0)))=0,"",HL29/(INDEX('Standards for Conversions'!$H$34:$H$73,MATCH(HK$3,'Standards for Conversions'!$A$34:$A$73,0))))</f>
        <v/>
      </c>
      <c r="HN29" s="10" t="s">
        <v>40</v>
      </c>
      <c r="HO29" s="7"/>
      <c r="HP29" s="7"/>
      <c r="HQ29" s="31" t="str">
        <f>IF(HP29/(INDEX('Standards for Conversions'!$H$34:$H$73,MATCH(HO$3,'Standards for Conversions'!$A$34:$A$73,0)))=0,"",HP29/(INDEX('Standards for Conversions'!$H$34:$H$73,MATCH(HO$3,'Standards for Conversions'!$A$34:$A$73,0))))</f>
        <v/>
      </c>
      <c r="HR29" s="33" t="s">
        <v>40</v>
      </c>
      <c r="HU29" s="31" t="str">
        <f>IF(HT29/(INDEX('Standards for Conversions'!$H$47:$H$73,MATCH(HS$3,'Standards for Conversions'!$A$47:$A$73,0)))=0,"",HT29/(INDEX('Standards for Conversions'!$H$47:$H$73,MATCH(HS$3,'Standards for Conversions'!$A$47:$A$73,0))))</f>
        <v/>
      </c>
      <c r="HV29" s="33" t="s">
        <v>40</v>
      </c>
      <c r="HY29" s="31" t="str">
        <f>IF(HX29/(INDEX('Standards for Conversions'!$H$47:$H$73,MATCH(HW$3,'Standards for Conversions'!$A$47:$A$73,0)))=0,"",HX29/(INDEX('Standards for Conversions'!$H$47:$H$73,MATCH(HW$3,'Standards for Conversions'!$A$47:$A$73,0))))</f>
        <v/>
      </c>
      <c r="HZ29" s="33"/>
      <c r="IA29" s="33"/>
      <c r="IB29" s="31" t="str">
        <f>IF(IA29/(INDEX('Standards for Conversions'!$H$47:$H$73,MATCH(HZ$3,'Standards for Conversions'!$A$47:$A$73,0)))=0,"",IA29/(INDEX('Standards for Conversions'!$H$47:$H$73,MATCH(HZ$3,'Standards for Conversions'!$A$47:$A$73,0))))</f>
        <v/>
      </c>
      <c r="IC29" s="48" t="s">
        <v>40</v>
      </c>
      <c r="ID29" s="29">
        <v>800</v>
      </c>
      <c r="IE29" s="29">
        <v>2000</v>
      </c>
      <c r="IF29" s="31">
        <f>IF(IE29/(INDEX('Standards for Conversions'!$H$47:$H$73,MATCH(ID$3,'Standards for Conversions'!$A$47:$A$73,0)))=0,"",IE29/(INDEX('Standards for Conversions'!$H$47:$H$73,MATCH(ID$3,'Standards for Conversions'!$A$47:$A$73,0))))</f>
        <v>290.49082442571193</v>
      </c>
      <c r="IG29" s="33" t="s">
        <v>47</v>
      </c>
      <c r="IJ29" s="31" t="str">
        <f>IF(II29/(INDEX('Standards for Conversions'!$H$47:$H$73,MATCH(IH$3,'Standards for Conversions'!$A$47:$A$73,0)))=0,"",II29/(INDEX('Standards for Conversions'!$H$47:$H$73,MATCH(IH$3,'Standards for Conversions'!$A$47:$A$73,0))))</f>
        <v/>
      </c>
      <c r="IK29" s="33" t="s">
        <v>47</v>
      </c>
      <c r="IN29" s="31" t="str">
        <f>IF(IM29/(INDEX('Standards for Conversions'!$H$47:$H$73,MATCH(IL$3,'Standards for Conversions'!$A$47:$A$73,0)))=0,"",IM29/(INDEX('Standards for Conversions'!$H$47:$H$73,MATCH(IL$3,'Standards for Conversions'!$A$47:$A$73,0))))</f>
        <v/>
      </c>
      <c r="IO29" s="33" t="s">
        <v>47</v>
      </c>
      <c r="IR29" s="31" t="str">
        <f>IF(IQ29/(INDEX('Standards for Conversions'!$H$47:$H$73,MATCH(IP$3,'Standards for Conversions'!$A$47:$A$73,0)))=0,"",IQ29/(INDEX('Standards for Conversions'!$H$47:$H$73,MATCH(IP$3,'Standards for Conversions'!$A$47:$A$73,0))))</f>
        <v/>
      </c>
      <c r="IS29" s="33" t="s">
        <v>47</v>
      </c>
      <c r="IT29" s="29">
        <v>1172</v>
      </c>
      <c r="IU29" s="29">
        <v>1821</v>
      </c>
      <c r="IV29" s="31">
        <f>IF(IU29/(INDEX('Standards for Conversions'!$H$47:$H$73,MATCH(IT$3,'Standards for Conversions'!$A$47:$A$73,0)))=0,"",IU29/(INDEX('Standards for Conversions'!$H$47:$H$73,MATCH(IT$3,'Standards for Conversions'!$A$47:$A$73,0))))</f>
        <v>263.33522554206132</v>
      </c>
      <c r="IW29" s="33" t="s">
        <v>47</v>
      </c>
      <c r="IZ29" s="31" t="str">
        <f>IF(IY29/(INDEX('Standards for Conversions'!$H$47:$H$73,MATCH(IX$3,'Standards for Conversions'!$A$47:$A$73,0)))=0,"",IY29/(INDEX('Standards for Conversions'!$H$47:$H$73,MATCH(IX$3,'Standards for Conversions'!$A$47:$A$73,0))))</f>
        <v/>
      </c>
      <c r="JA29" s="33" t="s">
        <v>47</v>
      </c>
      <c r="JD29" s="31" t="str">
        <f>IF(JC29/(INDEX('Standards for Conversions'!$H$47:$H$73,MATCH(JB$3,'Standards for Conversions'!$A$47:$A$73,0)))=0,"",JC29/(INDEX('Standards for Conversions'!$H$47:$H$73,MATCH(JB$3,'Standards for Conversions'!$A$47:$A$73,0))))</f>
        <v/>
      </c>
      <c r="JE29" s="33" t="s">
        <v>47</v>
      </c>
      <c r="JH29" s="31" t="str">
        <f>IF(JG29/(INDEX('Standards for Conversions'!$H$47:$H$73,MATCH(JF$3,'Standards for Conversions'!$A$47:$A$73,0)))=0,"",JG29/(INDEX('Standards for Conversions'!$H$47:$H$73,MATCH(JF$3,'Standards for Conversions'!$A$47:$A$73,0))))</f>
        <v/>
      </c>
      <c r="JI29" s="48" t="s">
        <v>47</v>
      </c>
      <c r="JJ29" s="29">
        <v>1240</v>
      </c>
      <c r="JK29" s="29">
        <v>1900</v>
      </c>
      <c r="JL29" s="31">
        <f>IF(JK29/(INDEX('Standards for Conversions'!$H$47:$H$73,MATCH(JJ$3,'Standards for Conversions'!$A$47:$A$73,0)))=0,"",JK29/(INDEX('Standards for Conversions'!$H$47:$H$73,MATCH(JJ$3,'Standards for Conversions'!$A$47:$A$73,0))))</f>
        <v>307.3443737145505</v>
      </c>
      <c r="JM29" s="33" t="s">
        <v>45</v>
      </c>
      <c r="JP29" s="31" t="str">
        <f>IF(JO29/(INDEX('Standards for Conversions'!$H$47:$H$73,MATCH(JN$3,'Standards for Conversions'!$A$47:$A$73,0)))=0,"",JO29/(INDEX('Standards for Conversions'!$H$47:$H$73,MATCH(JN$3,'Standards for Conversions'!$A$47:$A$73,0))))</f>
        <v/>
      </c>
      <c r="JQ29" s="33" t="s">
        <v>45</v>
      </c>
      <c r="JT29" s="31" t="str">
        <f>IF(JS29/(INDEX('Standards for Conversions'!$H$47:$H$73,MATCH(JR$3,'Standards for Conversions'!$A$47:$A$73,0)))=0,"",JS29/(INDEX('Standards for Conversions'!$H$47:$H$73,MATCH(JR$3,'Standards for Conversions'!$A$47:$A$73,0))))</f>
        <v/>
      </c>
      <c r="JU29" s="33" t="s">
        <v>45</v>
      </c>
      <c r="JX29" s="31" t="str">
        <f>IF(JW29/(INDEX('Standards for Conversions'!$H$47:$H$73,MATCH(JV$3,'Standards for Conversions'!$A$47:$A$73,0)))=0,"",JW29/(INDEX('Standards for Conversions'!$H$47:$H$73,MATCH(JV$3,'Standards for Conversions'!$A$47:$A$73,0))))</f>
        <v/>
      </c>
      <c r="JY29" s="33" t="s">
        <v>45</v>
      </c>
      <c r="JZ29" s="29">
        <v>5</v>
      </c>
      <c r="KA29" s="29">
        <v>200</v>
      </c>
      <c r="KB29" s="31">
        <f>IF(KA29/(INDEX('Standards for Conversions'!$H$47:$H$73,MATCH(JZ$3,'Standards for Conversions'!$A$47:$A$73,0)))=0,"",KA29/(INDEX('Standards for Conversions'!$H$47:$H$73,MATCH(JZ$3,'Standards for Conversions'!$A$47:$A$73,0))))</f>
        <v>30.531178485559511</v>
      </c>
      <c r="KC29" s="33" t="s">
        <v>45</v>
      </c>
      <c r="KF29" s="31" t="str">
        <f>IF(KE29/(INDEX('Standards for Conversions'!$H$47:$H$73,MATCH(KD$3,'Standards for Conversions'!$A$47:$A$73,0)))=0,"",KE29/(INDEX('Standards for Conversions'!$H$47:$H$73,MATCH(KD$3,'Standards for Conversions'!$A$47:$A$73,0))))</f>
        <v/>
      </c>
      <c r="KG29" s="33" t="s">
        <v>45</v>
      </c>
      <c r="KJ29" s="31" t="str">
        <f>IF(KI29/(INDEX('Standards for Conversions'!$H$47:$H$73,MATCH(KH$3,'Standards for Conversions'!$A$47:$A$73,0)))=0,"",KI29/(INDEX('Standards for Conversions'!$H$47:$H$73,MATCH(KH$3,'Standards for Conversions'!$A$47:$A$73,0))))</f>
        <v/>
      </c>
      <c r="KK29" s="33" t="s">
        <v>45</v>
      </c>
      <c r="KN29" s="31" t="str">
        <f>IF(KM29/(INDEX('Standards for Conversions'!$H$47:$H$73,MATCH(KL$3,'Standards for Conversions'!$A$47:$A$73,0)))=0,"",KM29/(INDEX('Standards for Conversions'!$H$47:$H$73,MATCH(KL$3,'Standards for Conversions'!$A$47:$A$73,0))))</f>
        <v/>
      </c>
      <c r="KO29" s="48" t="s">
        <v>45</v>
      </c>
      <c r="KP29" s="29">
        <v>10</v>
      </c>
      <c r="KQ29" s="29">
        <v>400</v>
      </c>
      <c r="KR29" s="31">
        <f>IF(KQ29/(INDEX('Standards for Conversions'!$H$47:$H$73,MATCH(KP$3,'Standards for Conversions'!$A$47:$A$73,0)))=0,"",KQ29/(INDEX('Standards for Conversions'!$H$47:$H$73,MATCH(KP$3,'Standards for Conversions'!$A$47:$A$73,0))))</f>
        <v>53.863604762318587</v>
      </c>
      <c r="KS29" s="33" t="s">
        <v>47</v>
      </c>
      <c r="KV29" s="31" t="str">
        <f>IF(KU29/(INDEX('Standards for Conversions'!$H$47:$H$73,MATCH(KT$3,'Standards for Conversions'!$A$47:$A$73,0)))=0,"",KU29/(INDEX('Standards for Conversions'!$H$47:$H$73,MATCH(KT$3,'Standards for Conversions'!$A$47:$A$73,0))))</f>
        <v/>
      </c>
      <c r="KW29" s="33" t="s">
        <v>47</v>
      </c>
      <c r="KZ29" s="31" t="str">
        <f>IF(KY29/(INDEX('Standards for Conversions'!$H$47:$H$73,MATCH(KX$3,'Standards for Conversions'!$A$47:$A$73,0)))=0,"",KY29/(INDEX('Standards for Conversions'!$H$47:$H$73,MATCH(KX$3,'Standards for Conversions'!$A$47:$A$73,0))))</f>
        <v/>
      </c>
      <c r="LA29" s="33" t="s">
        <v>45</v>
      </c>
      <c r="LD29" s="31" t="str">
        <f>IF(LC29/(INDEX('Standards for Conversions'!$H$47:$H$73,MATCH(LB$3,'Standards for Conversions'!$A$47:$A$73,0)))=0,"",LC29/(INDEX('Standards for Conversions'!$H$47:$H$73,MATCH(LB$3,'Standards for Conversions'!$A$47:$A$73,0))))</f>
        <v/>
      </c>
      <c r="LE29" s="48" t="s">
        <v>45</v>
      </c>
      <c r="LF29" s="29">
        <v>810</v>
      </c>
      <c r="LG29" s="29">
        <v>2200</v>
      </c>
      <c r="LH29" s="31">
        <f>IF(LG29/(INDEX('Standards for Conversions'!$H$47:$H$73,MATCH(LF$3,'Standards for Conversions'!$A$47:$A$73,0)))=0,"",LG29/(INDEX('Standards for Conversions'!$H$47:$H$73,MATCH(LF$3,'Standards for Conversions'!$A$47:$A$73,0))))</f>
        <v>267.55644680049818</v>
      </c>
      <c r="LI29" s="33"/>
      <c r="LL29" s="31" t="str">
        <f>IF(LK29/(INDEX('Standards for Conversions'!$H$47:$H$73,MATCH(LJ$3,'Standards for Conversions'!$A$47:$A$73,0)))=0,"",LK29/(INDEX('Standards for Conversions'!$H$47:$H$73,MATCH(LJ$3,'Standards for Conversions'!$A$47:$A$73,0))))</f>
        <v/>
      </c>
      <c r="LO29" s="31" t="str">
        <f>IF(LN29/(INDEX('Standards for Conversions'!$H$47:$H$73,MATCH(LM$3,'Standards for Conversions'!$A$47:$A$73,0)))=0,"",LN29/(INDEX('Standards for Conversions'!$H$47:$H$73,MATCH(LM$3,'Standards for Conversions'!$A$47:$A$73,0))))</f>
        <v/>
      </c>
      <c r="LR29" s="31" t="str">
        <f>IF(LQ29/(INDEX('Standards for Conversions'!$H$47:$H$73,MATCH(LP$3,'Standards for Conversions'!$A$47:$A$73,0)))=0,"",LQ29/(INDEX('Standards for Conversions'!$H$47:$H$73,MATCH(LP$3,'Standards for Conversions'!$A$47:$A$73,0))))</f>
        <v/>
      </c>
      <c r="LS29" s="33"/>
      <c r="LV29" s="31" t="str">
        <f>IF(LU29/(INDEX('Standards for Conversions'!$H$47:$H$73,MATCH(LT$3,'Standards for Conversions'!$A$47:$A$73,0)))=0,"",LU29/(INDEX('Standards for Conversions'!$H$47:$H$73,MATCH(LT$3,'Standards for Conversions'!$A$47:$A$73,0))))</f>
        <v/>
      </c>
      <c r="LY29" s="31" t="str">
        <f>IF(LX29/(INDEX('Standards for Conversions'!$H$47:$H$73,MATCH(LW$3,'Standards for Conversions'!$A$47:$A$73,0)))=0,"",LX29/(INDEX('Standards for Conversions'!$H$47:$H$73,MATCH(LW$3,'Standards for Conversions'!$A$47:$A$73,0))))</f>
        <v/>
      </c>
      <c r="MB29" s="31" t="str">
        <f>IF(MA29/(INDEX('Standards for Conversions'!$H$47:$H$73,MATCH(LZ$3,'Standards for Conversions'!$A$47:$A$73,0)))=0,"",MA29/(INDEX('Standards for Conversions'!$H$47:$H$73,MATCH(LZ$3,'Standards for Conversions'!$A$47:$A$73,0))))</f>
        <v/>
      </c>
      <c r="ME29" s="31" t="str">
        <f>IF(MD29/(INDEX('Standards for Conversions'!$H$47:$H$73,MATCH(MC$3,'Standards for Conversions'!$A$47:$A$73,0)))=0,"",MD29/(INDEX('Standards for Conversions'!$H$47:$H$73,MATCH(MC$3,'Standards for Conversions'!$A$47:$A$73,0))))</f>
        <v/>
      </c>
      <c r="MH29" s="31" t="str">
        <f>IF(MG29/(INDEX('Standards for Conversions'!$H$47:$H$73,MATCH(MF$3,'Standards for Conversions'!$A$47:$A$73,0)))=0,"",MG29/(INDEX('Standards for Conversions'!$H$47:$H$73,MATCH(MF$3,'Standards for Conversions'!$A$47:$A$73,0))))</f>
        <v/>
      </c>
      <c r="MK29" s="31" t="str">
        <f>IF(MJ29/(INDEX('Standards for Conversions'!$H$47:$H$73,MATCH(MI$3,'Standards for Conversions'!$A$47:$A$73,0)))=0,"",MJ29/(INDEX('Standards for Conversions'!$H$47:$H$73,MATCH(MI$3,'Standards for Conversions'!$A$47:$A$73,0))))</f>
        <v/>
      </c>
      <c r="MN29" s="31" t="str">
        <f>IF(MM29/(INDEX('Standards for Conversions'!$H$47:$H$73,MATCH(ML$3,'Standards for Conversions'!$A$47:$A$73,0)))=0,"",MM29/(INDEX('Standards for Conversions'!$H$47:$H$73,MATCH(ML$3,'Standards for Conversions'!$A$47:$A$73,0))))</f>
        <v/>
      </c>
      <c r="MR29" s="31" t="str">
        <f>IF(MQ29/(INDEX('Standards for Conversions'!$H$47:$H$73,MATCH(MP$3,'Standards for Conversions'!$A$47:$A$73,0)))=0,"",MQ29/(INDEX('Standards for Conversions'!$H$47:$H$73,MATCH(MP$3,'Standards for Conversions'!$A$47:$A$73,0))))</f>
        <v/>
      </c>
      <c r="MZ29" s="33"/>
      <c r="NE29" s="33"/>
    </row>
    <row r="30" spans="1:373" hidden="1" x14ac:dyDescent="0.3">
      <c r="A30" s="103" t="s">
        <v>213</v>
      </c>
      <c r="B30" s="10" t="s">
        <v>47</v>
      </c>
      <c r="C30" s="7"/>
      <c r="D30" s="7"/>
      <c r="E30" s="31" t="str">
        <f>IF(D30/(INDEX('Standards for Conversions'!$H$34:$H$73,MATCH(C$3,'Standards for Conversions'!$A$34:$A$73,0)))=0,"",D30/(INDEX('Standards for Conversions'!$H$34:$H$73,MATCH(C$3,'Standards for Conversions'!$A$34:$A$73,0))))</f>
        <v/>
      </c>
      <c r="F30" s="10" t="s">
        <v>47</v>
      </c>
      <c r="G30" s="7"/>
      <c r="H30" s="7"/>
      <c r="I30" s="31" t="str">
        <f>IF(H30/(INDEX('Standards for Conversions'!$H$34:$H$73,MATCH(G$3,'Standards for Conversions'!$A$34:$A$73,0)))=0,"",H30/(INDEX('Standards for Conversions'!$H$34:$H$73,MATCH(G$3,'Standards for Conversions'!$A$34:$A$73,0))))</f>
        <v/>
      </c>
      <c r="J30" s="10" t="s">
        <v>47</v>
      </c>
      <c r="K30" s="9"/>
      <c r="L30" s="9"/>
      <c r="M30" s="31" t="str">
        <f>IF(L30/(INDEX('Standards for Conversions'!$H$34:$H$73,MATCH(K$3,'Standards for Conversions'!$A$34:$A$73,0)))=0,"",L30/(INDEX('Standards for Conversions'!$H$34:$H$73,MATCH(K$3,'Standards for Conversions'!$A$34:$A$73,0))))</f>
        <v/>
      </c>
      <c r="N30" s="10" t="s">
        <v>47</v>
      </c>
      <c r="O30" s="7"/>
      <c r="P30" s="7"/>
      <c r="Q30" s="31" t="str">
        <f>IF(P30/(INDEX('Standards for Conversions'!$H$34:$H$73,MATCH(O$3,'Standards for Conversions'!$A$34:$A$73,0)))=0,"",P30/(INDEX('Standards for Conversions'!$H$34:$H$73,MATCH(O$3,'Standards for Conversions'!$A$34:$A$73,0))))</f>
        <v/>
      </c>
      <c r="R30" s="10" t="s">
        <v>47</v>
      </c>
      <c r="S30" s="7"/>
      <c r="T30" s="7"/>
      <c r="U30" s="31" t="str">
        <f>IF(T30/(INDEX('Standards for Conversions'!$H$34:$H$73,MATCH(S$3,'Standards for Conversions'!$A$34:$A$73,0)))=0,"",T30/(INDEX('Standards for Conversions'!$H$34:$H$73,MATCH(S$3,'Standards for Conversions'!$A$34:$A$73,0))))</f>
        <v/>
      </c>
      <c r="V30" s="10" t="s">
        <v>47</v>
      </c>
      <c r="W30" s="7"/>
      <c r="X30" s="7"/>
      <c r="Y30" s="31" t="str">
        <f>IF(X30/(INDEX('Standards for Conversions'!$H$34:$H$73,MATCH(W$3,'Standards for Conversions'!$A$34:$A$73,0)))=0,"",X30/(INDEX('Standards for Conversions'!$H$34:$H$73,MATCH(W$3,'Standards for Conversions'!$A$34:$A$73,0))))</f>
        <v/>
      </c>
      <c r="Z30" s="10" t="s">
        <v>47</v>
      </c>
      <c r="AA30" s="9"/>
      <c r="AB30" s="9"/>
      <c r="AC30" s="31" t="str">
        <f>IF(AB30/(INDEX('Standards for Conversions'!$H$34:$H$73,MATCH(AA$3,'Standards for Conversions'!$A$34:$A$73,0)))=0,"",AB30/(INDEX('Standards for Conversions'!$H$34:$H$73,MATCH(AA$3,'Standards for Conversions'!$A$34:$A$73,0))))</f>
        <v/>
      </c>
      <c r="AD30" s="10" t="s">
        <v>47</v>
      </c>
      <c r="AE30" s="7"/>
      <c r="AF30" s="7"/>
      <c r="AG30" s="31" t="str">
        <f>IF(AF30/(INDEX('Standards for Conversions'!$H$34:$H$73,MATCH(AE$3,'Standards for Conversions'!$A$34:$A$73,0)))=0,"",AF30/(INDEX('Standards for Conversions'!$H$34:$H$73,MATCH(AE$3,'Standards for Conversions'!$A$34:$A$73,0))))</f>
        <v/>
      </c>
      <c r="AH30" s="10" t="s">
        <v>47</v>
      </c>
      <c r="AI30" s="7"/>
      <c r="AJ30" s="7"/>
      <c r="AK30" s="31" t="str">
        <f>IF(AJ30/(INDEX('Standards for Conversions'!$H$34:$H$73,MATCH(AI$3,'Standards for Conversions'!$A$34:$A$73,0)))=0,"",AJ30/(INDEX('Standards for Conversions'!$H$34:$H$73,MATCH(AI$3,'Standards for Conversions'!$A$34:$A$73,0))))</f>
        <v/>
      </c>
      <c r="AL30" s="10" t="s">
        <v>47</v>
      </c>
      <c r="AM30" s="7"/>
      <c r="AN30" s="7"/>
      <c r="AO30" s="31" t="str">
        <f>IF(AN30/(INDEX('Standards for Conversions'!$H$34:$H$73,MATCH(AM$3,'Standards for Conversions'!$A$34:$A$73,0)))=0,"",AN30/(INDEX('Standards for Conversions'!$H$34:$H$73,MATCH(AM$3,'Standards for Conversions'!$A$34:$A$73,0))))</f>
        <v/>
      </c>
      <c r="AP30" s="10" t="s">
        <v>47</v>
      </c>
      <c r="AQ30" s="9"/>
      <c r="AR30" s="9"/>
      <c r="AS30" s="31" t="str">
        <f>IF(AR30/(INDEX('Standards for Conversions'!$H$34:$H$73,MATCH(AQ$3,'Standards for Conversions'!$A$34:$A$73,0)))=0,"",AR30/(INDEX('Standards for Conversions'!$H$34:$H$73,MATCH(AQ$3,'Standards for Conversions'!$A$34:$A$73,0))))</f>
        <v/>
      </c>
      <c r="AT30" s="10" t="s">
        <v>47</v>
      </c>
      <c r="AU30" s="7"/>
      <c r="AV30" s="7"/>
      <c r="AW30" s="31" t="str">
        <f>IF(AV30/(INDEX('Standards for Conversions'!$H$34:$H$73,MATCH(AU$3,'Standards for Conversions'!$A$34:$A$73,0)))=0,"",AV30/(INDEX('Standards for Conversions'!$H$34:$H$73,MATCH(AU$3,'Standards for Conversions'!$A$34:$A$73,0))))</f>
        <v/>
      </c>
      <c r="AX30" s="10" t="s">
        <v>47</v>
      </c>
      <c r="AY30" s="7"/>
      <c r="AZ30" s="7"/>
      <c r="BA30" s="31" t="str">
        <f>IF(AZ30/(INDEX('Standards for Conversions'!$H$34:$H$73,MATCH(AY$3,'Standards for Conversions'!$A$34:$A$73,0)))=0,"",AZ30/(INDEX('Standards for Conversions'!$H$34:$H$73,MATCH(AY$3,'Standards for Conversions'!$A$34:$A$73,0))))</f>
        <v/>
      </c>
      <c r="BB30" s="10" t="s">
        <v>47</v>
      </c>
      <c r="BC30" s="7"/>
      <c r="BD30" s="7"/>
      <c r="BE30" s="31" t="str">
        <f>IF(BD30/(INDEX('Standards for Conversions'!$H$34:$H$73,MATCH(BC$3,'Standards for Conversions'!$A$34:$A$73,0)))=0,"",BD30/(INDEX('Standards for Conversions'!$H$34:$H$73,MATCH(BC$3,'Standards for Conversions'!$A$34:$A$73,0))))</f>
        <v/>
      </c>
      <c r="BF30" s="10" t="s">
        <v>47</v>
      </c>
      <c r="BG30" s="9"/>
      <c r="BH30" s="9"/>
      <c r="BI30" s="31" t="str">
        <f>IF(BH30/(INDEX('Standards for Conversions'!$H$34:$H$73,MATCH(BG$3,'Standards for Conversions'!$A$34:$A$73,0)))=0,"",BH30/(INDEX('Standards for Conversions'!$H$34:$H$73,MATCH(BG$3,'Standards for Conversions'!$A$34:$A$73,0))))</f>
        <v/>
      </c>
      <c r="BJ30" s="10" t="s">
        <v>47</v>
      </c>
      <c r="BK30" s="7"/>
      <c r="BL30" s="7"/>
      <c r="BM30" s="31" t="str">
        <f>IF(BL30/(INDEX('Standards for Conversions'!$H$34:$H$73,MATCH(BK$3,'Standards for Conversions'!$A$34:$A$73,0)))=0,"",BL30/(INDEX('Standards for Conversions'!$H$34:$H$73,MATCH(BK$3,'Standards for Conversions'!$A$34:$A$73,0))))</f>
        <v/>
      </c>
      <c r="BN30" s="10" t="s">
        <v>47</v>
      </c>
      <c r="BO30" s="7"/>
      <c r="BP30" s="7"/>
      <c r="BQ30" s="31" t="str">
        <f>IF(BP30/(INDEX('Standards for Conversions'!$H$34:$H$73,MATCH(BO$3,'Standards for Conversions'!$A$34:$A$73,0)))=0,"",BP30/(INDEX('Standards for Conversions'!$H$34:$H$73,MATCH(BO$3,'Standards for Conversions'!$A$34:$A$73,0))))</f>
        <v/>
      </c>
      <c r="BR30" s="10" t="s">
        <v>47</v>
      </c>
      <c r="BS30" s="7"/>
      <c r="BT30" s="7"/>
      <c r="BU30" s="31" t="str">
        <f>IF(BT30/(INDEX('Standards for Conversions'!$H$34:$H$73,MATCH(BS$3,'Standards for Conversions'!$A$34:$A$73,0)))=0,"",BT30/(INDEX('Standards for Conversions'!$H$34:$H$73,MATCH(BS$3,'Standards for Conversions'!$A$34:$A$73,0))))</f>
        <v/>
      </c>
      <c r="BV30" s="10" t="s">
        <v>47</v>
      </c>
      <c r="BW30" s="9"/>
      <c r="BX30" s="9"/>
      <c r="BY30" s="31" t="str">
        <f>IF(BX30/(INDEX('Standards for Conversions'!$H$34:$H$73,MATCH(BW$3,'Standards for Conversions'!$A$34:$A$73,0)))=0,"",BX30/(INDEX('Standards for Conversions'!$H$34:$H$73,MATCH(BW$3,'Standards for Conversions'!$A$34:$A$73,0))))</f>
        <v/>
      </c>
      <c r="BZ30" s="10" t="s">
        <v>47</v>
      </c>
      <c r="CA30" s="7"/>
      <c r="CB30" s="7"/>
      <c r="CC30" s="31" t="str">
        <f>IF(CB30/(INDEX('Standards for Conversions'!$H$34:$H$73,MATCH(CA$3,'Standards for Conversions'!$A$34:$A$73,0)))=0,"",CB30/(INDEX('Standards for Conversions'!$H$34:$H$73,MATCH(CA$3,'Standards for Conversions'!$A$34:$A$73,0))))</f>
        <v/>
      </c>
      <c r="CD30" s="10" t="s">
        <v>47</v>
      </c>
      <c r="CE30" s="7"/>
      <c r="CF30" s="7"/>
      <c r="CG30" s="31" t="str">
        <f>IF(CF30/(INDEX('Standards for Conversions'!$H$34:$H$73,MATCH(CE$3,'Standards for Conversions'!$A$34:$A$73,0)))=0,"",CF30/(INDEX('Standards for Conversions'!$H$34:$H$73,MATCH(CE$3,'Standards for Conversions'!$A$34:$A$73,0))))</f>
        <v/>
      </c>
      <c r="CH30" s="10" t="s">
        <v>47</v>
      </c>
      <c r="CI30" s="7"/>
      <c r="CJ30" s="7"/>
      <c r="CK30" s="31" t="str">
        <f>IF(CJ30/(INDEX('Standards for Conversions'!$H$34:$H$73,MATCH(CI$3,'Standards for Conversions'!$A$34:$A$73,0)))=0,"",CJ30/(INDEX('Standards for Conversions'!$H$34:$H$73,MATCH(CI$3,'Standards for Conversions'!$A$34:$A$73,0))))</f>
        <v/>
      </c>
      <c r="CL30" s="10" t="s">
        <v>47</v>
      </c>
      <c r="CM30" s="9"/>
      <c r="CN30" s="9"/>
      <c r="CO30" s="31" t="str">
        <f>IF(CN30/(INDEX('Standards for Conversions'!$H$34:$H$73,MATCH(CM$3,'Standards for Conversions'!$A$34:$A$73,0)))=0,"",CN30/(INDEX('Standards for Conversions'!$H$34:$H$73,MATCH(CM$3,'Standards for Conversions'!$A$34:$A$73,0))))</f>
        <v/>
      </c>
      <c r="CP30" s="10" t="s">
        <v>47</v>
      </c>
      <c r="CQ30" s="7"/>
      <c r="CR30" s="7"/>
      <c r="CS30" s="31" t="str">
        <f>IF(CR30/(INDEX('Standards for Conversions'!$H$34:$H$73,MATCH(CQ$3,'Standards for Conversions'!$A$34:$A$73,0)))=0,"",CR30/(INDEX('Standards for Conversions'!$H$34:$H$73,MATCH(CQ$3,'Standards for Conversions'!$A$34:$A$73,0))))</f>
        <v/>
      </c>
      <c r="CT30" s="10" t="s">
        <v>47</v>
      </c>
      <c r="CU30" s="7"/>
      <c r="CV30" s="7"/>
      <c r="CW30" s="31" t="str">
        <f>IF(CV30/(INDEX('Standards for Conversions'!$H$34:$H$73,MATCH(CU$3,'Standards for Conversions'!$A$34:$A$73,0)))=0,"",CV30/(INDEX('Standards for Conversions'!$H$34:$H$73,MATCH(CU$3,'Standards for Conversions'!$A$34:$A$73,0))))</f>
        <v/>
      </c>
      <c r="CX30" s="10" t="s">
        <v>47</v>
      </c>
      <c r="CY30" s="7"/>
      <c r="CZ30" s="7"/>
      <c r="DA30" s="31" t="str">
        <f>IF(CZ30/(INDEX('Standards for Conversions'!$H$34:$H$73,MATCH(CY$3,'Standards for Conversions'!$A$34:$A$73,0)))=0,"",CZ30/(INDEX('Standards for Conversions'!$H$34:$H$73,MATCH(CY$3,'Standards for Conversions'!$A$34:$A$73,0))))</f>
        <v/>
      </c>
      <c r="DB30" s="10" t="s">
        <v>47</v>
      </c>
      <c r="DC30" s="9"/>
      <c r="DD30" s="9"/>
      <c r="DE30" s="31" t="str">
        <f>IF(DD30/(INDEX('Standards for Conversions'!$H$34:$H$73,MATCH(DC$3,'Standards for Conversions'!$A$34:$A$73,0)))=0,"",DD30/(INDEX('Standards for Conversions'!$H$34:$H$73,MATCH(DC$3,'Standards for Conversions'!$A$34:$A$73,0))))</f>
        <v/>
      </c>
      <c r="DF30" s="10" t="s">
        <v>47</v>
      </c>
      <c r="DG30" s="7"/>
      <c r="DH30" s="7"/>
      <c r="DI30" s="31" t="str">
        <f>IF(DH30/(INDEX('Standards for Conversions'!$H$34:$H$73,MATCH(DG$3,'Standards for Conversions'!$A$34:$A$73,0)))=0,"",DH30/(INDEX('Standards for Conversions'!$H$34:$H$73,MATCH(DG$3,'Standards for Conversions'!$A$34:$A$73,0))))</f>
        <v/>
      </c>
      <c r="DJ30" s="10" t="s">
        <v>47</v>
      </c>
      <c r="DK30" s="7"/>
      <c r="DL30" s="7"/>
      <c r="DM30" s="31" t="str">
        <f>IF(DL30/(INDEX('Standards for Conversions'!$H$34:$H$73,MATCH(DK$3,'Standards for Conversions'!$A$34:$A$73,0)))=0,"",DL30/(INDEX('Standards for Conversions'!$H$34:$H$73,MATCH(DK$3,'Standards for Conversions'!$A$34:$A$73,0))))</f>
        <v/>
      </c>
      <c r="DN30" s="10" t="s">
        <v>47</v>
      </c>
      <c r="DO30" s="7"/>
      <c r="DP30" s="7"/>
      <c r="DQ30" s="31" t="str">
        <f>IF(DP30/(INDEX('Standards for Conversions'!$H$34:$H$73,MATCH(DO$3,'Standards for Conversions'!$A$34:$A$73,0)))=0,"",DP30/(INDEX('Standards for Conversions'!$H$34:$H$73,MATCH(DO$3,'Standards for Conversions'!$A$34:$A$73,0))))</f>
        <v/>
      </c>
      <c r="DR30" s="10" t="s">
        <v>47</v>
      </c>
      <c r="DS30" s="9"/>
      <c r="DT30" s="9"/>
      <c r="DU30" s="31" t="str">
        <f>IF(DT30/(INDEX('Standards for Conversions'!$H$34:$H$73,MATCH(DS$3,'Standards for Conversions'!$A$34:$A$73,0)))=0,"",DT30/(INDEX('Standards for Conversions'!$H$34:$H$73,MATCH(DS$3,'Standards for Conversions'!$A$34:$A$73,0))))</f>
        <v/>
      </c>
      <c r="DV30" s="10" t="s">
        <v>47</v>
      </c>
      <c r="DW30" s="7"/>
      <c r="DX30" s="7"/>
      <c r="DY30" s="31" t="str">
        <f>IF(DX30/(INDEX('Standards for Conversions'!$H$34:$H$73,MATCH(DW$3,'Standards for Conversions'!$A$34:$A$73,0)))=0,"",DX30/(INDEX('Standards for Conversions'!$H$34:$H$73,MATCH(DW$3,'Standards for Conversions'!$A$34:$A$73,0))))</f>
        <v/>
      </c>
      <c r="DZ30" s="10" t="s">
        <v>47</v>
      </c>
      <c r="EA30" s="7"/>
      <c r="EB30" s="7"/>
      <c r="EC30" s="31" t="str">
        <f>IF(EB30/(INDEX('Standards for Conversions'!$H$34:$H$73,MATCH(EA$3,'Standards for Conversions'!$A$34:$A$73,0)))=0,"",EB30/(INDEX('Standards for Conversions'!$H$34:$H$73,MATCH(EA$3,'Standards for Conversions'!$A$34:$A$73,0))))</f>
        <v/>
      </c>
      <c r="ED30" s="10" t="s">
        <v>47</v>
      </c>
      <c r="EE30" s="7"/>
      <c r="EF30" s="7"/>
      <c r="EG30" s="31" t="str">
        <f>IF(EF30/(INDEX('Standards for Conversions'!$H$34:$H$73,MATCH(EE$3,'Standards for Conversions'!$A$34:$A$73,0)))=0,"",EF30/(INDEX('Standards for Conversions'!$H$34:$H$73,MATCH(EE$3,'Standards for Conversions'!$A$34:$A$73,0))))</f>
        <v/>
      </c>
      <c r="EH30" s="10" t="s">
        <v>47</v>
      </c>
      <c r="EI30" s="9"/>
      <c r="EJ30" s="9"/>
      <c r="EK30" s="31" t="str">
        <f>IF(EJ30/(INDEX('Standards for Conversions'!$H$34:$H$73,MATCH(EI$3,'Standards for Conversions'!$A$34:$A$73,0)))=0,"",EJ30/(INDEX('Standards for Conversions'!$H$34:$H$73,MATCH(EI$3,'Standards for Conversions'!$A$34:$A$73,0))))</f>
        <v/>
      </c>
      <c r="EL30" s="10" t="s">
        <v>47</v>
      </c>
      <c r="EM30" s="7"/>
      <c r="EN30" s="7"/>
      <c r="EO30" s="31" t="str">
        <f>IF(EN30/(INDEX('Standards for Conversions'!$H$34:$H$73,MATCH(EM$3,'Standards for Conversions'!$A$34:$A$73,0)))=0,"",EN30/(INDEX('Standards for Conversions'!$H$34:$H$73,MATCH(EM$3,'Standards for Conversions'!$A$34:$A$73,0))))</f>
        <v/>
      </c>
      <c r="EP30" s="10" t="s">
        <v>47</v>
      </c>
      <c r="EQ30" s="7"/>
      <c r="ER30" s="7"/>
      <c r="ES30" s="31" t="str">
        <f>IF(ER30/(INDEX('Standards for Conversions'!$H$34:$H$73,MATCH(EQ$3,'Standards for Conversions'!$A$34:$A$73,0)))=0,"",ER30/(INDEX('Standards for Conversions'!$H$34:$H$73,MATCH(EQ$3,'Standards for Conversions'!$A$34:$A$73,0))))</f>
        <v/>
      </c>
      <c r="ET30" s="10" t="s">
        <v>47</v>
      </c>
      <c r="EU30" s="7"/>
      <c r="EV30" s="7"/>
      <c r="EW30" s="31" t="str">
        <f>IF(EV30/(INDEX('Standards for Conversions'!$H$34:$H$73,MATCH(EU$3,'Standards for Conversions'!$A$34:$A$73,0)))=0,"",EV30/(INDEX('Standards for Conversions'!$H$34:$H$73,MATCH(EU$3,'Standards for Conversions'!$A$34:$A$73,0))))</f>
        <v/>
      </c>
      <c r="EX30" s="10" t="s">
        <v>47</v>
      </c>
      <c r="EY30" s="9"/>
      <c r="EZ30" s="9"/>
      <c r="FA30" s="31" t="str">
        <f>IF(EZ30/(INDEX('Standards for Conversions'!$H$34:$H$73,MATCH(EY$3,'Standards for Conversions'!$A$34:$A$73,0)))=0,"",EZ30/(INDEX('Standards for Conversions'!$H$34:$H$73,MATCH(EY$3,'Standards for Conversions'!$A$34:$A$73,0))))</f>
        <v/>
      </c>
      <c r="FB30" s="10" t="s">
        <v>47</v>
      </c>
      <c r="FC30" s="7"/>
      <c r="FD30" s="7"/>
      <c r="FE30" s="31" t="str">
        <f>IF(FD30/(INDEX('Standards for Conversions'!$H$34:$H$73,MATCH(FC$3,'Standards for Conversions'!$A$34:$A$73,0)))=0,"",FD30/(INDEX('Standards for Conversions'!$H$34:$H$73,MATCH(FC$3,'Standards for Conversions'!$A$34:$A$73,0))))</f>
        <v/>
      </c>
      <c r="FF30" s="10" t="s">
        <v>47</v>
      </c>
      <c r="FG30" s="7"/>
      <c r="FH30" s="7"/>
      <c r="FI30" s="31" t="str">
        <f>IF(FH30/(INDEX('Standards for Conversions'!$H$34:$H$73,MATCH(FG$3,'Standards for Conversions'!$A$34:$A$73,0)))=0,"",FH30/(INDEX('Standards for Conversions'!$H$34:$H$73,MATCH(FG$3,'Standards for Conversions'!$A$34:$A$73,0))))</f>
        <v/>
      </c>
      <c r="FJ30" s="10" t="s">
        <v>47</v>
      </c>
      <c r="FK30" s="7"/>
      <c r="FL30" s="7"/>
      <c r="FM30" s="31" t="str">
        <f>IF(FL30/(INDEX('Standards for Conversions'!$H$34:$H$73,MATCH(FK$3,'Standards for Conversions'!$A$34:$A$73,0)))=0,"",FL30/(INDEX('Standards for Conversions'!$H$34:$H$73,MATCH(FK$3,'Standards for Conversions'!$A$34:$A$73,0))))</f>
        <v/>
      </c>
      <c r="FN30" s="10" t="s">
        <v>47</v>
      </c>
      <c r="FO30" s="9"/>
      <c r="FP30" s="9"/>
      <c r="FQ30" s="31" t="str">
        <f>IF(FP30/(INDEX('Standards for Conversions'!$H$34:$H$73,MATCH(FO$3,'Standards for Conversions'!$A$34:$A$73,0)))=0,"",FP30/(INDEX('Standards for Conversions'!$H$34:$H$73,MATCH(FO$3,'Standards for Conversions'!$A$34:$A$73,0))))</f>
        <v/>
      </c>
      <c r="FR30" s="10" t="s">
        <v>47</v>
      </c>
      <c r="FS30" s="7"/>
      <c r="FT30" s="7"/>
      <c r="FU30" s="31" t="str">
        <f>IF(FT30/(INDEX('Standards for Conversions'!$H$34:$H$73,MATCH(FS$3,'Standards for Conversions'!$A$34:$A$73,0)))=0,"",FT30/(INDEX('Standards for Conversions'!$H$34:$H$73,MATCH(FS$3,'Standards for Conversions'!$A$34:$A$73,0))))</f>
        <v/>
      </c>
      <c r="FV30" s="10" t="s">
        <v>47</v>
      </c>
      <c r="FW30" s="7"/>
      <c r="FX30" s="7"/>
      <c r="FY30" s="31" t="str">
        <f>IF(FX30/(INDEX('Standards for Conversions'!$H$34:$H$73,MATCH(FW$3,'Standards for Conversions'!$A$34:$A$73,0)))=0,"",FX30/(INDEX('Standards for Conversions'!$H$34:$H$73,MATCH(FW$3,'Standards for Conversions'!$A$34:$A$73,0))))</f>
        <v/>
      </c>
      <c r="FZ30" s="10" t="s">
        <v>47</v>
      </c>
      <c r="GA30" s="7"/>
      <c r="GB30" s="7"/>
      <c r="GC30" s="31" t="str">
        <f>IF(GB30/(INDEX('Standards for Conversions'!$H$34:$H$73,MATCH(GA$3,'Standards for Conversions'!$A$34:$A$73,0)))=0,"",GB30/(INDEX('Standards for Conversions'!$H$34:$H$73,MATCH(GA$3,'Standards for Conversions'!$A$34:$A$73,0))))</f>
        <v/>
      </c>
      <c r="GD30" s="10" t="s">
        <v>47</v>
      </c>
      <c r="GE30" s="9"/>
      <c r="GF30" s="9"/>
      <c r="GG30" s="31" t="str">
        <f>IF(GF30/(INDEX('Standards for Conversions'!$H$34:$H$73,MATCH(GE$3,'Standards for Conversions'!$A$34:$A$73,0)))=0,"",GF30/(INDEX('Standards for Conversions'!$H$34:$H$73,MATCH(GE$3,'Standards for Conversions'!$A$34:$A$73,0))))</f>
        <v/>
      </c>
      <c r="GH30" s="10" t="s">
        <v>47</v>
      </c>
      <c r="GI30" s="7"/>
      <c r="GJ30" s="7"/>
      <c r="GK30" s="31" t="str">
        <f>IF(GJ30/(INDEX('Standards for Conversions'!$H$34:$H$73,MATCH(GI$3,'Standards for Conversions'!$A$34:$A$73,0)))=0,"",GJ30/(INDEX('Standards for Conversions'!$H$34:$H$73,MATCH(GI$3,'Standards for Conversions'!$A$34:$A$73,0))))</f>
        <v/>
      </c>
      <c r="GL30" s="10" t="s">
        <v>47</v>
      </c>
      <c r="GM30" s="7"/>
      <c r="GN30" s="7"/>
      <c r="GO30" s="31" t="str">
        <f>IF(GN30/(INDEX('Standards for Conversions'!$H$34:$H$73,MATCH(GM$3,'Standards for Conversions'!$A$34:$A$73,0)))=0,"",GN30/(INDEX('Standards for Conversions'!$H$34:$H$73,MATCH(GM$3,'Standards for Conversions'!$A$34:$A$73,0))))</f>
        <v/>
      </c>
      <c r="GP30" s="10" t="s">
        <v>47</v>
      </c>
      <c r="GQ30" s="7"/>
      <c r="GR30" s="7"/>
      <c r="GS30" s="31" t="str">
        <f>IF(GR30/(INDEX('Standards for Conversions'!$H$34:$H$73,MATCH(GQ$3,'Standards for Conversions'!$A$34:$A$73,0)))=0,"",GR30/(INDEX('Standards for Conversions'!$H$34:$H$73,MATCH(GQ$3,'Standards for Conversions'!$A$34:$A$73,0))))</f>
        <v/>
      </c>
      <c r="GT30" s="10" t="s">
        <v>47</v>
      </c>
      <c r="GU30" s="9"/>
      <c r="GV30" s="9"/>
      <c r="GW30" s="31" t="str">
        <f>IF(GV30/(INDEX('Standards for Conversions'!$H$34:$H$73,MATCH(GU$3,'Standards for Conversions'!$A$34:$A$73,0)))=0,"",GV30/(INDEX('Standards for Conversions'!$H$34:$H$73,MATCH(GU$3,'Standards for Conversions'!$A$34:$A$73,0))))</f>
        <v/>
      </c>
      <c r="GX30" s="10" t="s">
        <v>47</v>
      </c>
      <c r="GY30" s="7"/>
      <c r="GZ30" s="7"/>
      <c r="HA30" s="31" t="str">
        <f>IF(GZ30/(INDEX('Standards for Conversions'!$H$34:$H$73,MATCH(GY$3,'Standards for Conversions'!$A$34:$A$73,0)))=0,"",GZ30/(INDEX('Standards for Conversions'!$H$34:$H$73,MATCH(GY$3,'Standards for Conversions'!$A$34:$A$73,0))))</f>
        <v/>
      </c>
      <c r="HB30" s="10" t="s">
        <v>47</v>
      </c>
      <c r="HC30" s="7"/>
      <c r="HD30" s="7"/>
      <c r="HE30" s="31" t="str">
        <f>IF(HD30/(INDEX('Standards for Conversions'!$H$34:$H$73,MATCH(HC$3,'Standards for Conversions'!$A$34:$A$73,0)))=0,"",HD30/(INDEX('Standards for Conversions'!$H$34:$H$73,MATCH(HC$3,'Standards for Conversions'!$A$34:$A$73,0))))</f>
        <v/>
      </c>
      <c r="HF30" s="10" t="s">
        <v>47</v>
      </c>
      <c r="HG30" s="7"/>
      <c r="HH30" s="7"/>
      <c r="HI30" s="31" t="str">
        <f>IF(HH30/(INDEX('Standards for Conversions'!$H$34:$H$73,MATCH(HG$3,'Standards for Conversions'!$A$34:$A$73,0)))=0,"",HH30/(INDEX('Standards for Conversions'!$H$34:$H$73,MATCH(HG$3,'Standards for Conversions'!$A$34:$A$73,0))))</f>
        <v/>
      </c>
      <c r="HJ30" s="10" t="s">
        <v>47</v>
      </c>
      <c r="HK30" s="9"/>
      <c r="HL30" s="9"/>
      <c r="HM30" s="31" t="str">
        <f>IF(HL30/(INDEX('Standards for Conversions'!$H$34:$H$73,MATCH(HK$3,'Standards for Conversions'!$A$34:$A$73,0)))=0,"",HL30/(INDEX('Standards for Conversions'!$H$34:$H$73,MATCH(HK$3,'Standards for Conversions'!$A$34:$A$73,0))))</f>
        <v/>
      </c>
      <c r="HN30" s="10" t="s">
        <v>47</v>
      </c>
      <c r="HO30" s="7"/>
      <c r="HP30" s="7"/>
      <c r="HQ30" s="31" t="str">
        <f>IF(HP30/(INDEX('Standards for Conversions'!$H$34:$H$73,MATCH(HO$3,'Standards for Conversions'!$A$34:$A$73,0)))=0,"",HP30/(INDEX('Standards for Conversions'!$H$34:$H$73,MATCH(HO$3,'Standards for Conversions'!$A$34:$A$73,0))))</f>
        <v/>
      </c>
      <c r="HR30" s="33" t="s">
        <v>47</v>
      </c>
      <c r="HU30" s="31" t="str">
        <f>IF(HT30/(INDEX('Standards for Conversions'!$H$47:$H$73,MATCH(HS$3,'Standards for Conversions'!$A$47:$A$73,0)))=0,"",HT30/(INDEX('Standards for Conversions'!$H$47:$H$73,MATCH(HS$3,'Standards for Conversions'!$A$47:$A$73,0))))</f>
        <v/>
      </c>
      <c r="HV30" s="33" t="s">
        <v>47</v>
      </c>
      <c r="HY30" s="31" t="str">
        <f>IF(HX30/(INDEX('Standards for Conversions'!$H$47:$H$73,MATCH(HW$3,'Standards for Conversions'!$A$47:$A$73,0)))=0,"",HX30/(INDEX('Standards for Conversions'!$H$47:$H$73,MATCH(HW$3,'Standards for Conversions'!$A$47:$A$73,0))))</f>
        <v/>
      </c>
      <c r="HZ30" s="33"/>
      <c r="IA30" s="33"/>
      <c r="IB30" s="31" t="str">
        <f>IF(IA30/(INDEX('Standards for Conversions'!$H$47:$H$73,MATCH(HZ$3,'Standards for Conversions'!$A$47:$A$73,0)))=0,"",IA30/(INDEX('Standards for Conversions'!$H$47:$H$73,MATCH(HZ$3,'Standards for Conversions'!$A$47:$A$73,0))))</f>
        <v/>
      </c>
      <c r="IC30" s="33" t="s">
        <v>47</v>
      </c>
      <c r="ID30" s="29">
        <v>150</v>
      </c>
      <c r="IE30" s="29">
        <v>500</v>
      </c>
      <c r="IF30" s="31">
        <f>IF(IE30/(INDEX('Standards for Conversions'!$H$47:$H$73,MATCH(ID$3,'Standards for Conversions'!$A$47:$A$73,0)))=0,"",IE30/(INDEX('Standards for Conversions'!$H$47:$H$73,MATCH(ID$3,'Standards for Conversions'!$A$47:$A$73,0))))</f>
        <v>72.622706106427984</v>
      </c>
      <c r="IG30" s="33" t="s">
        <v>47</v>
      </c>
      <c r="IJ30" s="31" t="str">
        <f>IF(II30/(INDEX('Standards for Conversions'!$H$47:$H$73,MATCH(IH$3,'Standards for Conversions'!$A$47:$A$73,0)))=0,"",II30/(INDEX('Standards for Conversions'!$H$47:$H$73,MATCH(IH$3,'Standards for Conversions'!$A$47:$A$73,0))))</f>
        <v/>
      </c>
      <c r="IK30" s="33" t="s">
        <v>47</v>
      </c>
      <c r="IN30" s="31" t="str">
        <f>IF(IM30/(INDEX('Standards for Conversions'!$H$47:$H$73,MATCH(IL$3,'Standards for Conversions'!$A$47:$A$73,0)))=0,"",IM30/(INDEX('Standards for Conversions'!$H$47:$H$73,MATCH(IL$3,'Standards for Conversions'!$A$47:$A$73,0))))</f>
        <v/>
      </c>
      <c r="IO30" s="33" t="s">
        <v>47</v>
      </c>
      <c r="IR30" s="31" t="str">
        <f>IF(IQ30/(INDEX('Standards for Conversions'!$H$47:$H$73,MATCH(IP$3,'Standards for Conversions'!$A$47:$A$73,0)))=0,"",IQ30/(INDEX('Standards for Conversions'!$H$47:$H$73,MATCH(IP$3,'Standards for Conversions'!$A$47:$A$73,0))))</f>
        <v/>
      </c>
      <c r="IS30" s="48" t="s">
        <v>47</v>
      </c>
      <c r="IT30" s="29">
        <v>110</v>
      </c>
      <c r="IU30" s="29">
        <v>490</v>
      </c>
      <c r="IV30" s="31">
        <f>IF(IU30/(INDEX('Standards for Conversions'!$H$47:$H$73,MATCH(IT$3,'Standards for Conversions'!$A$47:$A$73,0)))=0,"",IU30/(INDEX('Standards for Conversions'!$H$47:$H$73,MATCH(IT$3,'Standards for Conversions'!$A$47:$A$73,0))))</f>
        <v>70.859011815271856</v>
      </c>
      <c r="IW30" s="33" t="s">
        <v>45</v>
      </c>
      <c r="IZ30" s="31" t="str">
        <f>IF(IY30/(INDEX('Standards for Conversions'!$H$47:$H$73,MATCH(IX$3,'Standards for Conversions'!$A$47:$A$73,0)))=0,"",IY30/(INDEX('Standards for Conversions'!$H$47:$H$73,MATCH(IX$3,'Standards for Conversions'!$A$47:$A$73,0))))</f>
        <v/>
      </c>
      <c r="JA30" s="33" t="s">
        <v>45</v>
      </c>
      <c r="JD30" s="31" t="str">
        <f>IF(JC30/(INDEX('Standards for Conversions'!$H$47:$H$73,MATCH(JB$3,'Standards for Conversions'!$A$47:$A$73,0)))=0,"",JC30/(INDEX('Standards for Conversions'!$H$47:$H$73,MATCH(JB$3,'Standards for Conversions'!$A$47:$A$73,0))))</f>
        <v/>
      </c>
      <c r="JE30" s="33" t="s">
        <v>45</v>
      </c>
      <c r="JH30" s="31" t="str">
        <f>IF(JG30/(INDEX('Standards for Conversions'!$H$47:$H$73,MATCH(JF$3,'Standards for Conversions'!$A$47:$A$73,0)))=0,"",JG30/(INDEX('Standards for Conversions'!$H$47:$H$73,MATCH(JF$3,'Standards for Conversions'!$A$47:$A$73,0))))</f>
        <v/>
      </c>
      <c r="JI30" s="48" t="s">
        <v>45</v>
      </c>
      <c r="JJ30" s="29">
        <v>52</v>
      </c>
      <c r="JK30" s="29">
        <v>1000</v>
      </c>
      <c r="JL30" s="31">
        <f>IF(JK30/(INDEX('Standards for Conversions'!$H$47:$H$73,MATCH(JJ$3,'Standards for Conversions'!$A$47:$A$73,0)))=0,"",JK30/(INDEX('Standards for Conversions'!$H$47:$H$73,MATCH(JJ$3,'Standards for Conversions'!$A$47:$A$73,0))))</f>
        <v>161.76019669186869</v>
      </c>
      <c r="JM30" s="33" t="s">
        <v>47</v>
      </c>
      <c r="JP30" s="31" t="str">
        <f>IF(JO30/(INDEX('Standards for Conversions'!$H$47:$H$73,MATCH(JN$3,'Standards for Conversions'!$A$47:$A$73,0)))=0,"",JO30/(INDEX('Standards for Conversions'!$H$47:$H$73,MATCH(JN$3,'Standards for Conversions'!$A$47:$A$73,0))))</f>
        <v/>
      </c>
      <c r="JQ30" s="33" t="s">
        <v>47</v>
      </c>
      <c r="JT30" s="31" t="str">
        <f>IF(JS30/(INDEX('Standards for Conversions'!$H$47:$H$73,MATCH(JR$3,'Standards for Conversions'!$A$47:$A$73,0)))=0,"",JS30/(INDEX('Standards for Conversions'!$H$47:$H$73,MATCH(JR$3,'Standards for Conversions'!$A$47:$A$73,0))))</f>
        <v/>
      </c>
      <c r="JU30" s="33" t="s">
        <v>47</v>
      </c>
      <c r="JX30" s="31" t="str">
        <f>IF(JW30/(INDEX('Standards for Conversions'!$H$47:$H$73,MATCH(JV$3,'Standards for Conversions'!$A$47:$A$73,0)))=0,"",JW30/(INDEX('Standards for Conversions'!$H$47:$H$73,MATCH(JV$3,'Standards for Conversions'!$A$47:$A$73,0))))</f>
        <v/>
      </c>
      <c r="JY30" s="33" t="s">
        <v>47</v>
      </c>
      <c r="JZ30" s="29">
        <v>1300</v>
      </c>
      <c r="KA30" s="29">
        <v>2000</v>
      </c>
      <c r="KB30" s="31">
        <f>IF(KA30/(INDEX('Standards for Conversions'!$H$47:$H$73,MATCH(JZ$3,'Standards for Conversions'!$A$47:$A$73,0)))=0,"",KA30/(INDEX('Standards for Conversions'!$H$47:$H$73,MATCH(JZ$3,'Standards for Conversions'!$A$47:$A$73,0))))</f>
        <v>305.31178485559514</v>
      </c>
      <c r="KC30" s="33" t="s">
        <v>47</v>
      </c>
      <c r="KF30" s="31" t="str">
        <f>IF(KE30/(INDEX('Standards for Conversions'!$H$47:$H$73,MATCH(KD$3,'Standards for Conversions'!$A$47:$A$73,0)))=0,"",KE30/(INDEX('Standards for Conversions'!$H$47:$H$73,MATCH(KD$3,'Standards for Conversions'!$A$47:$A$73,0))))</f>
        <v/>
      </c>
      <c r="KG30" s="33" t="s">
        <v>47</v>
      </c>
      <c r="KJ30" s="31" t="str">
        <f>IF(KI30/(INDEX('Standards for Conversions'!$H$47:$H$73,MATCH(KH$3,'Standards for Conversions'!$A$47:$A$73,0)))=0,"",KI30/(INDEX('Standards for Conversions'!$H$47:$H$73,MATCH(KH$3,'Standards for Conversions'!$A$47:$A$73,0))))</f>
        <v/>
      </c>
      <c r="KK30" s="33" t="s">
        <v>47</v>
      </c>
      <c r="KN30" s="31" t="str">
        <f>IF(KM30/(INDEX('Standards for Conversions'!$H$47:$H$73,MATCH(KL$3,'Standards for Conversions'!$A$47:$A$73,0)))=0,"",KM30/(INDEX('Standards for Conversions'!$H$47:$H$73,MATCH(KL$3,'Standards for Conversions'!$A$47:$A$73,0))))</f>
        <v/>
      </c>
      <c r="KO30" s="48" t="s">
        <v>47</v>
      </c>
      <c r="KP30" s="29">
        <v>1500</v>
      </c>
      <c r="KQ30" s="29">
        <v>2200</v>
      </c>
      <c r="KR30" s="31">
        <f>IF(KQ30/(INDEX('Standards for Conversions'!$H$47:$H$73,MATCH(KP$3,'Standards for Conversions'!$A$47:$A$73,0)))=0,"",KQ30/(INDEX('Standards for Conversions'!$H$47:$H$73,MATCH(KP$3,'Standards for Conversions'!$A$47:$A$73,0))))</f>
        <v>296.24982619275221</v>
      </c>
      <c r="KS30" s="33" t="s">
        <v>45</v>
      </c>
      <c r="KV30" s="31" t="str">
        <f>IF(KU30/(INDEX('Standards for Conversions'!$H$47:$H$73,MATCH(KT$3,'Standards for Conversions'!$A$47:$A$73,0)))=0,"",KU30/(INDEX('Standards for Conversions'!$H$47:$H$73,MATCH(KT$3,'Standards for Conversions'!$A$47:$A$73,0))))</f>
        <v/>
      </c>
      <c r="KW30" s="33" t="s">
        <v>45</v>
      </c>
      <c r="KZ30" s="31" t="str">
        <f>IF(KY30/(INDEX('Standards for Conversions'!$H$47:$H$73,MATCH(KX$3,'Standards for Conversions'!$A$47:$A$73,0)))=0,"",KY30/(INDEX('Standards for Conversions'!$H$47:$H$73,MATCH(KX$3,'Standards for Conversions'!$A$47:$A$73,0))))</f>
        <v/>
      </c>
      <c r="LA30" s="33" t="s">
        <v>47</v>
      </c>
      <c r="LD30" s="31" t="str">
        <f>IF(LC30/(INDEX('Standards for Conversions'!$H$47:$H$73,MATCH(LB$3,'Standards for Conversions'!$A$47:$A$73,0)))=0,"",LC30/(INDEX('Standards for Conversions'!$H$47:$H$73,MATCH(LB$3,'Standards for Conversions'!$A$47:$A$73,0))))</f>
        <v/>
      </c>
      <c r="LE30" s="48" t="s">
        <v>47</v>
      </c>
      <c r="LF30" s="29">
        <v>975</v>
      </c>
      <c r="LG30" s="29">
        <v>2145</v>
      </c>
      <c r="LH30" s="31">
        <f>IF(LG30/(INDEX('Standards for Conversions'!$H$47:$H$73,MATCH(LF$3,'Standards for Conversions'!$A$47:$A$73,0)))=0,"",LG30/(INDEX('Standards for Conversions'!$H$47:$H$73,MATCH(LF$3,'Standards for Conversions'!$A$47:$A$73,0))))</f>
        <v>260.86753563048575</v>
      </c>
      <c r="LI30" s="33"/>
      <c r="LL30" s="31" t="str">
        <f>IF(LK30/(INDEX('Standards for Conversions'!$H$47:$H$73,MATCH(LJ$3,'Standards for Conversions'!$A$47:$A$73,0)))=0,"",LK30/(INDEX('Standards for Conversions'!$H$47:$H$73,MATCH(LJ$3,'Standards for Conversions'!$A$47:$A$73,0))))</f>
        <v/>
      </c>
      <c r="LO30" s="31" t="str">
        <f>IF(LN30/(INDEX('Standards for Conversions'!$H$47:$H$73,MATCH(LM$3,'Standards for Conversions'!$A$47:$A$73,0)))=0,"",LN30/(INDEX('Standards for Conversions'!$H$47:$H$73,MATCH(LM$3,'Standards for Conversions'!$A$47:$A$73,0))))</f>
        <v/>
      </c>
      <c r="LR30" s="31" t="str">
        <f>IF(LQ30/(INDEX('Standards for Conversions'!$H$47:$H$73,MATCH(LP$3,'Standards for Conversions'!$A$47:$A$73,0)))=0,"",LQ30/(INDEX('Standards for Conversions'!$H$47:$H$73,MATCH(LP$3,'Standards for Conversions'!$A$47:$A$73,0))))</f>
        <v/>
      </c>
      <c r="LS30" s="33"/>
      <c r="LV30" s="31" t="str">
        <f>IF(LU30/(INDEX('Standards for Conversions'!$H$47:$H$73,MATCH(LT$3,'Standards for Conversions'!$A$47:$A$73,0)))=0,"",LU30/(INDEX('Standards for Conversions'!$H$47:$H$73,MATCH(LT$3,'Standards for Conversions'!$A$47:$A$73,0))))</f>
        <v/>
      </c>
      <c r="LY30" s="31" t="str">
        <f>IF(LX30/(INDEX('Standards for Conversions'!$H$47:$H$73,MATCH(LW$3,'Standards for Conversions'!$A$47:$A$73,0)))=0,"",LX30/(INDEX('Standards for Conversions'!$H$47:$H$73,MATCH(LW$3,'Standards for Conversions'!$A$47:$A$73,0))))</f>
        <v/>
      </c>
      <c r="MB30" s="31" t="str">
        <f>IF(MA30/(INDEX('Standards for Conversions'!$H$47:$H$73,MATCH(LZ$3,'Standards for Conversions'!$A$47:$A$73,0)))=0,"",MA30/(INDEX('Standards for Conversions'!$H$47:$H$73,MATCH(LZ$3,'Standards for Conversions'!$A$47:$A$73,0))))</f>
        <v/>
      </c>
      <c r="ME30" s="31" t="str">
        <f>IF(MD30/(INDEX('Standards for Conversions'!$H$47:$H$73,MATCH(MC$3,'Standards for Conversions'!$A$47:$A$73,0)))=0,"",MD30/(INDEX('Standards for Conversions'!$H$47:$H$73,MATCH(MC$3,'Standards for Conversions'!$A$47:$A$73,0))))</f>
        <v/>
      </c>
      <c r="MH30" s="31" t="str">
        <f>IF(MG30/(INDEX('Standards for Conversions'!$H$47:$H$73,MATCH(MF$3,'Standards for Conversions'!$A$47:$A$73,0)))=0,"",MG30/(INDEX('Standards for Conversions'!$H$47:$H$73,MATCH(MF$3,'Standards for Conversions'!$A$47:$A$73,0))))</f>
        <v/>
      </c>
      <c r="MK30" s="31" t="str">
        <f>IF(MJ30/(INDEX('Standards for Conversions'!$H$47:$H$73,MATCH(MI$3,'Standards for Conversions'!$A$47:$A$73,0)))=0,"",MJ30/(INDEX('Standards for Conversions'!$H$47:$H$73,MATCH(MI$3,'Standards for Conversions'!$A$47:$A$73,0))))</f>
        <v/>
      </c>
      <c r="MN30" s="31" t="str">
        <f>IF(MM30/(INDEX('Standards for Conversions'!$H$47:$H$73,MATCH(ML$3,'Standards for Conversions'!$A$47:$A$73,0)))=0,"",MM30/(INDEX('Standards for Conversions'!$H$47:$H$73,MATCH(ML$3,'Standards for Conversions'!$A$47:$A$73,0))))</f>
        <v/>
      </c>
      <c r="MR30" s="31" t="str">
        <f>IF(MQ30/(INDEX('Standards for Conversions'!$H$47:$H$73,MATCH(MP$3,'Standards for Conversions'!$A$47:$A$73,0)))=0,"",MQ30/(INDEX('Standards for Conversions'!$H$47:$H$73,MATCH(MP$3,'Standards for Conversions'!$A$47:$A$73,0))))</f>
        <v/>
      </c>
      <c r="MZ30" s="33"/>
      <c r="NE30" s="33"/>
    </row>
    <row r="31" spans="1:373" hidden="1" x14ac:dyDescent="0.3">
      <c r="A31" s="103" t="s">
        <v>214</v>
      </c>
      <c r="B31" s="10" t="s">
        <v>46</v>
      </c>
      <c r="C31" s="7"/>
      <c r="D31" s="7"/>
      <c r="E31" s="31" t="str">
        <f>IF(D31/(INDEX('Standards for Conversions'!$H$34:$H$73,MATCH(C$3,'Standards for Conversions'!$A$34:$A$73,0)))=0,"",D31/(INDEX('Standards for Conversions'!$H$34:$H$73,MATCH(C$3,'Standards for Conversions'!$A$34:$A$73,0))))</f>
        <v/>
      </c>
      <c r="F31" s="10" t="s">
        <v>46</v>
      </c>
      <c r="G31" s="7"/>
      <c r="H31" s="7"/>
      <c r="I31" s="31" t="str">
        <f>IF(H31/(INDEX('Standards for Conversions'!$H$34:$H$73,MATCH(G$3,'Standards for Conversions'!$A$34:$A$73,0)))=0,"",H31/(INDEX('Standards for Conversions'!$H$34:$H$73,MATCH(G$3,'Standards for Conversions'!$A$34:$A$73,0))))</f>
        <v/>
      </c>
      <c r="J31" s="10" t="s">
        <v>46</v>
      </c>
      <c r="K31" s="9"/>
      <c r="L31" s="9"/>
      <c r="M31" s="31" t="str">
        <f>IF(L31/(INDEX('Standards for Conversions'!$H$34:$H$73,MATCH(K$3,'Standards for Conversions'!$A$34:$A$73,0)))=0,"",L31/(INDEX('Standards for Conversions'!$H$34:$H$73,MATCH(K$3,'Standards for Conversions'!$A$34:$A$73,0))))</f>
        <v/>
      </c>
      <c r="N31" s="10" t="s">
        <v>46</v>
      </c>
      <c r="O31" s="7"/>
      <c r="P31" s="7"/>
      <c r="Q31" s="31" t="str">
        <f>IF(P31/(INDEX('Standards for Conversions'!$H$34:$H$73,MATCH(O$3,'Standards for Conversions'!$A$34:$A$73,0)))=0,"",P31/(INDEX('Standards for Conversions'!$H$34:$H$73,MATCH(O$3,'Standards for Conversions'!$A$34:$A$73,0))))</f>
        <v/>
      </c>
      <c r="R31" s="10" t="s">
        <v>46</v>
      </c>
      <c r="S31" s="7"/>
      <c r="T31" s="7"/>
      <c r="U31" s="31" t="str">
        <f>IF(T31/(INDEX('Standards for Conversions'!$H$34:$H$73,MATCH(S$3,'Standards for Conversions'!$A$34:$A$73,0)))=0,"",T31/(INDEX('Standards for Conversions'!$H$34:$H$73,MATCH(S$3,'Standards for Conversions'!$A$34:$A$73,0))))</f>
        <v/>
      </c>
      <c r="V31" s="10" t="s">
        <v>46</v>
      </c>
      <c r="W31" s="7"/>
      <c r="X31" s="7"/>
      <c r="Y31" s="31" t="str">
        <f>IF(X31/(INDEX('Standards for Conversions'!$H$34:$H$73,MATCH(W$3,'Standards for Conversions'!$A$34:$A$73,0)))=0,"",X31/(INDEX('Standards for Conversions'!$H$34:$H$73,MATCH(W$3,'Standards for Conversions'!$A$34:$A$73,0))))</f>
        <v/>
      </c>
      <c r="Z31" s="10" t="s">
        <v>46</v>
      </c>
      <c r="AA31" s="9"/>
      <c r="AB31" s="9"/>
      <c r="AC31" s="31" t="str">
        <f>IF(AB31/(INDEX('Standards for Conversions'!$H$34:$H$73,MATCH(AA$3,'Standards for Conversions'!$A$34:$A$73,0)))=0,"",AB31/(INDEX('Standards for Conversions'!$H$34:$H$73,MATCH(AA$3,'Standards for Conversions'!$A$34:$A$73,0))))</f>
        <v/>
      </c>
      <c r="AD31" s="10" t="s">
        <v>46</v>
      </c>
      <c r="AE31" s="7"/>
      <c r="AF31" s="7"/>
      <c r="AG31" s="31" t="str">
        <f>IF(AF31/(INDEX('Standards for Conversions'!$H$34:$H$73,MATCH(AE$3,'Standards for Conversions'!$A$34:$A$73,0)))=0,"",AF31/(INDEX('Standards for Conversions'!$H$34:$H$73,MATCH(AE$3,'Standards for Conversions'!$A$34:$A$73,0))))</f>
        <v/>
      </c>
      <c r="AH31" s="10" t="s">
        <v>46</v>
      </c>
      <c r="AI31" s="7"/>
      <c r="AJ31" s="7"/>
      <c r="AK31" s="31" t="str">
        <f>IF(AJ31/(INDEX('Standards for Conversions'!$H$34:$H$73,MATCH(AI$3,'Standards for Conversions'!$A$34:$A$73,0)))=0,"",AJ31/(INDEX('Standards for Conversions'!$H$34:$H$73,MATCH(AI$3,'Standards for Conversions'!$A$34:$A$73,0))))</f>
        <v/>
      </c>
      <c r="AL31" s="10" t="s">
        <v>46</v>
      </c>
      <c r="AM31" s="7"/>
      <c r="AN31" s="7"/>
      <c r="AO31" s="31" t="str">
        <f>IF(AN31/(INDEX('Standards for Conversions'!$H$34:$H$73,MATCH(AM$3,'Standards for Conversions'!$A$34:$A$73,0)))=0,"",AN31/(INDEX('Standards for Conversions'!$H$34:$H$73,MATCH(AM$3,'Standards for Conversions'!$A$34:$A$73,0))))</f>
        <v/>
      </c>
      <c r="AP31" s="10" t="s">
        <v>46</v>
      </c>
      <c r="AQ31" s="9"/>
      <c r="AR31" s="9"/>
      <c r="AS31" s="31" t="str">
        <f>IF(AR31/(INDEX('Standards for Conversions'!$H$34:$H$73,MATCH(AQ$3,'Standards for Conversions'!$A$34:$A$73,0)))=0,"",AR31/(INDEX('Standards for Conversions'!$H$34:$H$73,MATCH(AQ$3,'Standards for Conversions'!$A$34:$A$73,0))))</f>
        <v/>
      </c>
      <c r="AT31" s="10" t="s">
        <v>46</v>
      </c>
      <c r="AU31" s="7"/>
      <c r="AV31" s="7"/>
      <c r="AW31" s="31" t="str">
        <f>IF(AV31/(INDEX('Standards for Conversions'!$H$34:$H$73,MATCH(AU$3,'Standards for Conversions'!$A$34:$A$73,0)))=0,"",AV31/(INDEX('Standards for Conversions'!$H$34:$H$73,MATCH(AU$3,'Standards for Conversions'!$A$34:$A$73,0))))</f>
        <v/>
      </c>
      <c r="AX31" s="10" t="s">
        <v>46</v>
      </c>
      <c r="AY31" s="7"/>
      <c r="AZ31" s="7"/>
      <c r="BA31" s="31" t="str">
        <f>IF(AZ31/(INDEX('Standards for Conversions'!$H$34:$H$73,MATCH(AY$3,'Standards for Conversions'!$A$34:$A$73,0)))=0,"",AZ31/(INDEX('Standards for Conversions'!$H$34:$H$73,MATCH(AY$3,'Standards for Conversions'!$A$34:$A$73,0))))</f>
        <v/>
      </c>
      <c r="BB31" s="10" t="s">
        <v>46</v>
      </c>
      <c r="BC31" s="7"/>
      <c r="BD31" s="7"/>
      <c r="BE31" s="31" t="str">
        <f>IF(BD31/(INDEX('Standards for Conversions'!$H$34:$H$73,MATCH(BC$3,'Standards for Conversions'!$A$34:$A$73,0)))=0,"",BD31/(INDEX('Standards for Conversions'!$H$34:$H$73,MATCH(BC$3,'Standards for Conversions'!$A$34:$A$73,0))))</f>
        <v/>
      </c>
      <c r="BF31" s="10" t="s">
        <v>46</v>
      </c>
      <c r="BG31" s="9"/>
      <c r="BH31" s="9"/>
      <c r="BI31" s="31" t="str">
        <f>IF(BH31/(INDEX('Standards for Conversions'!$H$34:$H$73,MATCH(BG$3,'Standards for Conversions'!$A$34:$A$73,0)))=0,"",BH31/(INDEX('Standards for Conversions'!$H$34:$H$73,MATCH(BG$3,'Standards for Conversions'!$A$34:$A$73,0))))</f>
        <v/>
      </c>
      <c r="BJ31" s="10" t="s">
        <v>46</v>
      </c>
      <c r="BK31" s="7"/>
      <c r="BL31" s="7"/>
      <c r="BM31" s="31" t="str">
        <f>IF(BL31/(INDEX('Standards for Conversions'!$H$34:$H$73,MATCH(BK$3,'Standards for Conversions'!$A$34:$A$73,0)))=0,"",BL31/(INDEX('Standards for Conversions'!$H$34:$H$73,MATCH(BK$3,'Standards for Conversions'!$A$34:$A$73,0))))</f>
        <v/>
      </c>
      <c r="BN31" s="10" t="s">
        <v>46</v>
      </c>
      <c r="BO31" s="7"/>
      <c r="BP31" s="7"/>
      <c r="BQ31" s="31" t="str">
        <f>IF(BP31/(INDEX('Standards for Conversions'!$H$34:$H$73,MATCH(BO$3,'Standards for Conversions'!$A$34:$A$73,0)))=0,"",BP31/(INDEX('Standards for Conversions'!$H$34:$H$73,MATCH(BO$3,'Standards for Conversions'!$A$34:$A$73,0))))</f>
        <v/>
      </c>
      <c r="BR31" s="10" t="s">
        <v>46</v>
      </c>
      <c r="BS31" s="7"/>
      <c r="BT31" s="7"/>
      <c r="BU31" s="31" t="str">
        <f>IF(BT31/(INDEX('Standards for Conversions'!$H$34:$H$73,MATCH(BS$3,'Standards for Conversions'!$A$34:$A$73,0)))=0,"",BT31/(INDEX('Standards for Conversions'!$H$34:$H$73,MATCH(BS$3,'Standards for Conversions'!$A$34:$A$73,0))))</f>
        <v/>
      </c>
      <c r="BV31" s="10" t="s">
        <v>46</v>
      </c>
      <c r="BW31" s="9"/>
      <c r="BX31" s="9"/>
      <c r="BY31" s="31" t="str">
        <f>IF(BX31/(INDEX('Standards for Conversions'!$H$34:$H$73,MATCH(BW$3,'Standards for Conversions'!$A$34:$A$73,0)))=0,"",BX31/(INDEX('Standards for Conversions'!$H$34:$H$73,MATCH(BW$3,'Standards for Conversions'!$A$34:$A$73,0))))</f>
        <v/>
      </c>
      <c r="BZ31" s="10" t="s">
        <v>46</v>
      </c>
      <c r="CA31" s="7"/>
      <c r="CB31" s="7"/>
      <c r="CC31" s="31" t="str">
        <f>IF(CB31/(INDEX('Standards for Conversions'!$H$34:$H$73,MATCH(CA$3,'Standards for Conversions'!$A$34:$A$73,0)))=0,"",CB31/(INDEX('Standards for Conversions'!$H$34:$H$73,MATCH(CA$3,'Standards for Conversions'!$A$34:$A$73,0))))</f>
        <v/>
      </c>
      <c r="CD31" s="10" t="s">
        <v>46</v>
      </c>
      <c r="CE31" s="7"/>
      <c r="CF31" s="7"/>
      <c r="CG31" s="31" t="str">
        <f>IF(CF31/(INDEX('Standards for Conversions'!$H$34:$H$73,MATCH(CE$3,'Standards for Conversions'!$A$34:$A$73,0)))=0,"",CF31/(INDEX('Standards for Conversions'!$H$34:$H$73,MATCH(CE$3,'Standards for Conversions'!$A$34:$A$73,0))))</f>
        <v/>
      </c>
      <c r="CH31" s="10" t="s">
        <v>46</v>
      </c>
      <c r="CI31" s="7"/>
      <c r="CJ31" s="7"/>
      <c r="CK31" s="31" t="str">
        <f>IF(CJ31/(INDEX('Standards for Conversions'!$H$34:$H$73,MATCH(CI$3,'Standards for Conversions'!$A$34:$A$73,0)))=0,"",CJ31/(INDEX('Standards for Conversions'!$H$34:$H$73,MATCH(CI$3,'Standards for Conversions'!$A$34:$A$73,0))))</f>
        <v/>
      </c>
      <c r="CL31" s="10" t="s">
        <v>46</v>
      </c>
      <c r="CM31" s="9"/>
      <c r="CN31" s="9"/>
      <c r="CO31" s="31" t="str">
        <f>IF(CN31/(INDEX('Standards for Conversions'!$H$34:$H$73,MATCH(CM$3,'Standards for Conversions'!$A$34:$A$73,0)))=0,"",CN31/(INDEX('Standards for Conversions'!$H$34:$H$73,MATCH(CM$3,'Standards for Conversions'!$A$34:$A$73,0))))</f>
        <v/>
      </c>
      <c r="CP31" s="10" t="s">
        <v>46</v>
      </c>
      <c r="CQ31" s="7"/>
      <c r="CR31" s="7"/>
      <c r="CS31" s="31" t="str">
        <f>IF(CR31/(INDEX('Standards for Conversions'!$H$34:$H$73,MATCH(CQ$3,'Standards for Conversions'!$A$34:$A$73,0)))=0,"",CR31/(INDEX('Standards for Conversions'!$H$34:$H$73,MATCH(CQ$3,'Standards for Conversions'!$A$34:$A$73,0))))</f>
        <v/>
      </c>
      <c r="CT31" s="10" t="s">
        <v>46</v>
      </c>
      <c r="CU31" s="7"/>
      <c r="CV31" s="7"/>
      <c r="CW31" s="31" t="str">
        <f>IF(CV31/(INDEX('Standards for Conversions'!$H$34:$H$73,MATCH(CU$3,'Standards for Conversions'!$A$34:$A$73,0)))=0,"",CV31/(INDEX('Standards for Conversions'!$H$34:$H$73,MATCH(CU$3,'Standards for Conversions'!$A$34:$A$73,0))))</f>
        <v/>
      </c>
      <c r="CX31" s="10" t="s">
        <v>46</v>
      </c>
      <c r="CY31" s="7"/>
      <c r="CZ31" s="7"/>
      <c r="DA31" s="31" t="str">
        <f>IF(CZ31/(INDEX('Standards for Conversions'!$H$34:$H$73,MATCH(CY$3,'Standards for Conversions'!$A$34:$A$73,0)))=0,"",CZ31/(INDEX('Standards for Conversions'!$H$34:$H$73,MATCH(CY$3,'Standards for Conversions'!$A$34:$A$73,0))))</f>
        <v/>
      </c>
      <c r="DB31" s="10" t="s">
        <v>46</v>
      </c>
      <c r="DC31" s="9"/>
      <c r="DD31" s="9"/>
      <c r="DE31" s="31" t="str">
        <f>IF(DD31/(INDEX('Standards for Conversions'!$H$34:$H$73,MATCH(DC$3,'Standards for Conversions'!$A$34:$A$73,0)))=0,"",DD31/(INDEX('Standards for Conversions'!$H$34:$H$73,MATCH(DC$3,'Standards for Conversions'!$A$34:$A$73,0))))</f>
        <v/>
      </c>
      <c r="DF31" s="10" t="s">
        <v>46</v>
      </c>
      <c r="DG31" s="7"/>
      <c r="DH31" s="7"/>
      <c r="DI31" s="31" t="str">
        <f>IF(DH31/(INDEX('Standards for Conversions'!$H$34:$H$73,MATCH(DG$3,'Standards for Conversions'!$A$34:$A$73,0)))=0,"",DH31/(INDEX('Standards for Conversions'!$H$34:$H$73,MATCH(DG$3,'Standards for Conversions'!$A$34:$A$73,0))))</f>
        <v/>
      </c>
      <c r="DJ31" s="10" t="s">
        <v>46</v>
      </c>
      <c r="DK31" s="7"/>
      <c r="DL31" s="7"/>
      <c r="DM31" s="31" t="str">
        <f>IF(DL31/(INDEX('Standards for Conversions'!$H$34:$H$73,MATCH(DK$3,'Standards for Conversions'!$A$34:$A$73,0)))=0,"",DL31/(INDEX('Standards for Conversions'!$H$34:$H$73,MATCH(DK$3,'Standards for Conversions'!$A$34:$A$73,0))))</f>
        <v/>
      </c>
      <c r="DN31" s="10" t="s">
        <v>46</v>
      </c>
      <c r="DO31" s="7"/>
      <c r="DP31" s="7"/>
      <c r="DQ31" s="31" t="str">
        <f>IF(DP31/(INDEX('Standards for Conversions'!$H$34:$H$73,MATCH(DO$3,'Standards for Conversions'!$A$34:$A$73,0)))=0,"",DP31/(INDEX('Standards for Conversions'!$H$34:$H$73,MATCH(DO$3,'Standards for Conversions'!$A$34:$A$73,0))))</f>
        <v/>
      </c>
      <c r="DR31" s="10" t="s">
        <v>46</v>
      </c>
      <c r="DS31" s="9"/>
      <c r="DT31" s="9"/>
      <c r="DU31" s="31" t="str">
        <f>IF(DT31/(INDEX('Standards for Conversions'!$H$34:$H$73,MATCH(DS$3,'Standards for Conversions'!$A$34:$A$73,0)))=0,"",DT31/(INDEX('Standards for Conversions'!$H$34:$H$73,MATCH(DS$3,'Standards for Conversions'!$A$34:$A$73,0))))</f>
        <v/>
      </c>
      <c r="DV31" s="10" t="s">
        <v>46</v>
      </c>
      <c r="DW31" s="7"/>
      <c r="DX31" s="7"/>
      <c r="DY31" s="31" t="str">
        <f>IF(DX31/(INDEX('Standards for Conversions'!$H$34:$H$73,MATCH(DW$3,'Standards for Conversions'!$A$34:$A$73,0)))=0,"",DX31/(INDEX('Standards for Conversions'!$H$34:$H$73,MATCH(DW$3,'Standards for Conversions'!$A$34:$A$73,0))))</f>
        <v/>
      </c>
      <c r="DZ31" s="10" t="s">
        <v>46</v>
      </c>
      <c r="EA31" s="7"/>
      <c r="EB31" s="7"/>
      <c r="EC31" s="31" t="str">
        <f>IF(EB31/(INDEX('Standards for Conversions'!$H$34:$H$73,MATCH(EA$3,'Standards for Conversions'!$A$34:$A$73,0)))=0,"",EB31/(INDEX('Standards for Conversions'!$H$34:$H$73,MATCH(EA$3,'Standards for Conversions'!$A$34:$A$73,0))))</f>
        <v/>
      </c>
      <c r="ED31" s="10" t="s">
        <v>46</v>
      </c>
      <c r="EE31" s="7"/>
      <c r="EF31" s="7"/>
      <c r="EG31" s="31" t="str">
        <f>IF(EF31/(INDEX('Standards for Conversions'!$H$34:$H$73,MATCH(EE$3,'Standards for Conversions'!$A$34:$A$73,0)))=0,"",EF31/(INDEX('Standards for Conversions'!$H$34:$H$73,MATCH(EE$3,'Standards for Conversions'!$A$34:$A$73,0))))</f>
        <v/>
      </c>
      <c r="EH31" s="10" t="s">
        <v>46</v>
      </c>
      <c r="EI31" s="9"/>
      <c r="EJ31" s="9"/>
      <c r="EK31" s="31" t="str">
        <f>IF(EJ31/(INDEX('Standards for Conversions'!$H$34:$H$73,MATCH(EI$3,'Standards for Conversions'!$A$34:$A$73,0)))=0,"",EJ31/(INDEX('Standards for Conversions'!$H$34:$H$73,MATCH(EI$3,'Standards for Conversions'!$A$34:$A$73,0))))</f>
        <v/>
      </c>
      <c r="EL31" s="10" t="s">
        <v>46</v>
      </c>
      <c r="EM31" s="7"/>
      <c r="EN31" s="7"/>
      <c r="EO31" s="31" t="str">
        <f>IF(EN31/(INDEX('Standards for Conversions'!$H$34:$H$73,MATCH(EM$3,'Standards for Conversions'!$A$34:$A$73,0)))=0,"",EN31/(INDEX('Standards for Conversions'!$H$34:$H$73,MATCH(EM$3,'Standards for Conversions'!$A$34:$A$73,0))))</f>
        <v/>
      </c>
      <c r="EP31" s="10" t="s">
        <v>46</v>
      </c>
      <c r="EQ31" s="7"/>
      <c r="ER31" s="7"/>
      <c r="ES31" s="31" t="str">
        <f>IF(ER31/(INDEX('Standards for Conversions'!$H$34:$H$73,MATCH(EQ$3,'Standards for Conversions'!$A$34:$A$73,0)))=0,"",ER31/(INDEX('Standards for Conversions'!$H$34:$H$73,MATCH(EQ$3,'Standards for Conversions'!$A$34:$A$73,0))))</f>
        <v/>
      </c>
      <c r="ET31" s="10" t="s">
        <v>46</v>
      </c>
      <c r="EU31" s="7"/>
      <c r="EV31" s="7"/>
      <c r="EW31" s="31" t="str">
        <f>IF(EV31/(INDEX('Standards for Conversions'!$H$34:$H$73,MATCH(EU$3,'Standards for Conversions'!$A$34:$A$73,0)))=0,"",EV31/(INDEX('Standards for Conversions'!$H$34:$H$73,MATCH(EU$3,'Standards for Conversions'!$A$34:$A$73,0))))</f>
        <v/>
      </c>
      <c r="EX31" s="10" t="s">
        <v>46</v>
      </c>
      <c r="EY31" s="9"/>
      <c r="EZ31" s="9"/>
      <c r="FA31" s="31" t="str">
        <f>IF(EZ31/(INDEX('Standards for Conversions'!$H$34:$H$73,MATCH(EY$3,'Standards for Conversions'!$A$34:$A$73,0)))=0,"",EZ31/(INDEX('Standards for Conversions'!$H$34:$H$73,MATCH(EY$3,'Standards for Conversions'!$A$34:$A$73,0))))</f>
        <v/>
      </c>
      <c r="FB31" s="10" t="s">
        <v>46</v>
      </c>
      <c r="FC31" s="7"/>
      <c r="FD31" s="7"/>
      <c r="FE31" s="31" t="str">
        <f>IF(FD31/(INDEX('Standards for Conversions'!$H$34:$H$73,MATCH(FC$3,'Standards for Conversions'!$A$34:$A$73,0)))=0,"",FD31/(INDEX('Standards for Conversions'!$H$34:$H$73,MATCH(FC$3,'Standards for Conversions'!$A$34:$A$73,0))))</f>
        <v/>
      </c>
      <c r="FF31" s="10" t="s">
        <v>46</v>
      </c>
      <c r="FG31" s="7"/>
      <c r="FH31" s="7"/>
      <c r="FI31" s="31" t="str">
        <f>IF(FH31/(INDEX('Standards for Conversions'!$H$34:$H$73,MATCH(FG$3,'Standards for Conversions'!$A$34:$A$73,0)))=0,"",FH31/(INDEX('Standards for Conversions'!$H$34:$H$73,MATCH(FG$3,'Standards for Conversions'!$A$34:$A$73,0))))</f>
        <v/>
      </c>
      <c r="FJ31" s="10" t="s">
        <v>46</v>
      </c>
      <c r="FK31" s="7"/>
      <c r="FL31" s="7"/>
      <c r="FM31" s="31" t="str">
        <f>IF(FL31/(INDEX('Standards for Conversions'!$H$34:$H$73,MATCH(FK$3,'Standards for Conversions'!$A$34:$A$73,0)))=0,"",FL31/(INDEX('Standards for Conversions'!$H$34:$H$73,MATCH(FK$3,'Standards for Conversions'!$A$34:$A$73,0))))</f>
        <v/>
      </c>
      <c r="FN31" s="10" t="s">
        <v>46</v>
      </c>
      <c r="FO31" s="9"/>
      <c r="FP31" s="9"/>
      <c r="FQ31" s="31" t="str">
        <f>IF(FP31/(INDEX('Standards for Conversions'!$H$34:$H$73,MATCH(FO$3,'Standards for Conversions'!$A$34:$A$73,0)))=0,"",FP31/(INDEX('Standards for Conversions'!$H$34:$H$73,MATCH(FO$3,'Standards for Conversions'!$A$34:$A$73,0))))</f>
        <v/>
      </c>
      <c r="FR31" s="10" t="s">
        <v>46</v>
      </c>
      <c r="FS31" s="7"/>
      <c r="FT31" s="7"/>
      <c r="FU31" s="31" t="str">
        <f>IF(FT31/(INDEX('Standards for Conversions'!$H$34:$H$73,MATCH(FS$3,'Standards for Conversions'!$A$34:$A$73,0)))=0,"",FT31/(INDEX('Standards for Conversions'!$H$34:$H$73,MATCH(FS$3,'Standards for Conversions'!$A$34:$A$73,0))))</f>
        <v/>
      </c>
      <c r="FV31" s="10" t="s">
        <v>46</v>
      </c>
      <c r="FW31" s="7"/>
      <c r="FX31" s="7"/>
      <c r="FY31" s="31" t="str">
        <f>IF(FX31/(INDEX('Standards for Conversions'!$H$34:$H$73,MATCH(FW$3,'Standards for Conversions'!$A$34:$A$73,0)))=0,"",FX31/(INDEX('Standards for Conversions'!$H$34:$H$73,MATCH(FW$3,'Standards for Conversions'!$A$34:$A$73,0))))</f>
        <v/>
      </c>
      <c r="FZ31" s="10" t="s">
        <v>46</v>
      </c>
      <c r="GA31" s="7"/>
      <c r="GB31" s="7"/>
      <c r="GC31" s="31" t="str">
        <f>IF(GB31/(INDEX('Standards for Conversions'!$H$34:$H$73,MATCH(GA$3,'Standards for Conversions'!$A$34:$A$73,0)))=0,"",GB31/(INDEX('Standards for Conversions'!$H$34:$H$73,MATCH(GA$3,'Standards for Conversions'!$A$34:$A$73,0))))</f>
        <v/>
      </c>
      <c r="GD31" s="10" t="s">
        <v>46</v>
      </c>
      <c r="GE31" s="9"/>
      <c r="GF31" s="9"/>
      <c r="GG31" s="31" t="str">
        <f>IF(GF31/(INDEX('Standards for Conversions'!$H$34:$H$73,MATCH(GE$3,'Standards for Conversions'!$A$34:$A$73,0)))=0,"",GF31/(INDEX('Standards for Conversions'!$H$34:$H$73,MATCH(GE$3,'Standards for Conversions'!$A$34:$A$73,0))))</f>
        <v/>
      </c>
      <c r="GH31" s="10" t="s">
        <v>46</v>
      </c>
      <c r="GI31" s="7"/>
      <c r="GJ31" s="7"/>
      <c r="GK31" s="31" t="str">
        <f>IF(GJ31/(INDEX('Standards for Conversions'!$H$34:$H$73,MATCH(GI$3,'Standards for Conversions'!$A$34:$A$73,0)))=0,"",GJ31/(INDEX('Standards for Conversions'!$H$34:$H$73,MATCH(GI$3,'Standards for Conversions'!$A$34:$A$73,0))))</f>
        <v/>
      </c>
      <c r="GL31" s="10" t="s">
        <v>46</v>
      </c>
      <c r="GM31" s="7"/>
      <c r="GN31" s="7"/>
      <c r="GO31" s="31" t="str">
        <f>IF(GN31/(INDEX('Standards for Conversions'!$H$34:$H$73,MATCH(GM$3,'Standards for Conversions'!$A$34:$A$73,0)))=0,"",GN31/(INDEX('Standards for Conversions'!$H$34:$H$73,MATCH(GM$3,'Standards for Conversions'!$A$34:$A$73,0))))</f>
        <v/>
      </c>
      <c r="GP31" s="10" t="s">
        <v>46</v>
      </c>
      <c r="GQ31" s="7"/>
      <c r="GR31" s="7"/>
      <c r="GS31" s="31" t="str">
        <f>IF(GR31/(INDEX('Standards for Conversions'!$H$34:$H$73,MATCH(GQ$3,'Standards for Conversions'!$A$34:$A$73,0)))=0,"",GR31/(INDEX('Standards for Conversions'!$H$34:$H$73,MATCH(GQ$3,'Standards for Conversions'!$A$34:$A$73,0))))</f>
        <v/>
      </c>
      <c r="GT31" s="10" t="s">
        <v>46</v>
      </c>
      <c r="GU31" s="9"/>
      <c r="GV31" s="9"/>
      <c r="GW31" s="31" t="str">
        <f>IF(GV31/(INDEX('Standards for Conversions'!$H$34:$H$73,MATCH(GU$3,'Standards for Conversions'!$A$34:$A$73,0)))=0,"",GV31/(INDEX('Standards for Conversions'!$H$34:$H$73,MATCH(GU$3,'Standards for Conversions'!$A$34:$A$73,0))))</f>
        <v/>
      </c>
      <c r="GX31" s="10" t="s">
        <v>46</v>
      </c>
      <c r="GY31" s="7"/>
      <c r="GZ31" s="7"/>
      <c r="HA31" s="31" t="str">
        <f>IF(GZ31/(INDEX('Standards for Conversions'!$H$34:$H$73,MATCH(GY$3,'Standards for Conversions'!$A$34:$A$73,0)))=0,"",GZ31/(INDEX('Standards for Conversions'!$H$34:$H$73,MATCH(GY$3,'Standards for Conversions'!$A$34:$A$73,0))))</f>
        <v/>
      </c>
      <c r="HB31" s="10" t="s">
        <v>46</v>
      </c>
      <c r="HC31" s="7"/>
      <c r="HD31" s="7"/>
      <c r="HE31" s="31" t="str">
        <f>IF(HD31/(INDEX('Standards for Conversions'!$H$34:$H$73,MATCH(HC$3,'Standards for Conversions'!$A$34:$A$73,0)))=0,"",HD31/(INDEX('Standards for Conversions'!$H$34:$H$73,MATCH(HC$3,'Standards for Conversions'!$A$34:$A$73,0))))</f>
        <v/>
      </c>
      <c r="HF31" s="10" t="s">
        <v>46</v>
      </c>
      <c r="HG31" s="7"/>
      <c r="HH31" s="7"/>
      <c r="HI31" s="31" t="str">
        <f>IF(HH31/(INDEX('Standards for Conversions'!$H$34:$H$73,MATCH(HG$3,'Standards for Conversions'!$A$34:$A$73,0)))=0,"",HH31/(INDEX('Standards for Conversions'!$H$34:$H$73,MATCH(HG$3,'Standards for Conversions'!$A$34:$A$73,0))))</f>
        <v/>
      </c>
      <c r="HJ31" s="10" t="s">
        <v>46</v>
      </c>
      <c r="HK31" s="9"/>
      <c r="HL31" s="9"/>
      <c r="HM31" s="31" t="str">
        <f>IF(HL31/(INDEX('Standards for Conversions'!$H$34:$H$73,MATCH(HK$3,'Standards for Conversions'!$A$34:$A$73,0)))=0,"",HL31/(INDEX('Standards for Conversions'!$H$34:$H$73,MATCH(HK$3,'Standards for Conversions'!$A$34:$A$73,0))))</f>
        <v/>
      </c>
      <c r="HN31" s="10" t="s">
        <v>46</v>
      </c>
      <c r="HO31" s="7"/>
      <c r="HP31" s="7"/>
      <c r="HQ31" s="31" t="str">
        <f>IF(HP31/(INDEX('Standards for Conversions'!$H$34:$H$73,MATCH(HO$3,'Standards for Conversions'!$A$34:$A$73,0)))=0,"",HP31/(INDEX('Standards for Conversions'!$H$34:$H$73,MATCH(HO$3,'Standards for Conversions'!$A$34:$A$73,0))))</f>
        <v/>
      </c>
      <c r="HR31" s="33" t="s">
        <v>47</v>
      </c>
      <c r="HU31" s="31" t="str">
        <f>IF(HT31/(INDEX('Standards for Conversions'!$H$47:$H$73,MATCH(HS$3,'Standards for Conversions'!$A$47:$A$73,0)))=0,"",HT31/(INDEX('Standards for Conversions'!$H$47:$H$73,MATCH(HS$3,'Standards for Conversions'!$A$47:$A$73,0))))</f>
        <v/>
      </c>
      <c r="HV31" s="33" t="s">
        <v>47</v>
      </c>
      <c r="HY31" s="31" t="str">
        <f>IF(HX31/(INDEX('Standards for Conversions'!$H$47:$H$73,MATCH(HW$3,'Standards for Conversions'!$A$47:$A$73,0)))=0,"",HX31/(INDEX('Standards for Conversions'!$H$47:$H$73,MATCH(HW$3,'Standards for Conversions'!$A$47:$A$73,0))))</f>
        <v/>
      </c>
      <c r="HZ31" s="33"/>
      <c r="IA31" s="33"/>
      <c r="IB31" s="31" t="str">
        <f>IF(IA31/(INDEX('Standards for Conversions'!$H$47:$H$73,MATCH(HZ$3,'Standards for Conversions'!$A$47:$A$73,0)))=0,"",IA31/(INDEX('Standards for Conversions'!$H$47:$H$73,MATCH(HZ$3,'Standards for Conversions'!$A$47:$A$73,0))))</f>
        <v/>
      </c>
      <c r="IC31" s="33" t="s">
        <v>47</v>
      </c>
      <c r="ID31" s="29">
        <v>450</v>
      </c>
      <c r="IE31" s="29">
        <v>2000</v>
      </c>
      <c r="IF31" s="31">
        <f>IF(IE31/(INDEX('Standards for Conversions'!$H$47:$H$73,MATCH(ID$3,'Standards for Conversions'!$A$47:$A$73,0)))=0,"",IE31/(INDEX('Standards for Conversions'!$H$47:$H$73,MATCH(ID$3,'Standards for Conversions'!$A$47:$A$73,0))))</f>
        <v>290.49082442571193</v>
      </c>
      <c r="IG31" s="33" t="s">
        <v>47</v>
      </c>
      <c r="IJ31" s="31" t="str">
        <f>IF(II31/(INDEX('Standards for Conversions'!$H$47:$H$73,MATCH(IH$3,'Standards for Conversions'!$A$47:$A$73,0)))=0,"",II31/(INDEX('Standards for Conversions'!$H$47:$H$73,MATCH(IH$3,'Standards for Conversions'!$A$47:$A$73,0))))</f>
        <v/>
      </c>
      <c r="IK31" s="33" t="s">
        <v>47</v>
      </c>
      <c r="IN31" s="31" t="str">
        <f>IF(IM31/(INDEX('Standards for Conversions'!$H$47:$H$73,MATCH(IL$3,'Standards for Conversions'!$A$47:$A$73,0)))=0,"",IM31/(INDEX('Standards for Conversions'!$H$47:$H$73,MATCH(IL$3,'Standards for Conversions'!$A$47:$A$73,0))))</f>
        <v/>
      </c>
      <c r="IO31" s="33" t="s">
        <v>47</v>
      </c>
      <c r="IR31" s="31" t="str">
        <f>IF(IQ31/(INDEX('Standards for Conversions'!$H$47:$H$73,MATCH(IP$3,'Standards for Conversions'!$A$47:$A$73,0)))=0,"",IQ31/(INDEX('Standards for Conversions'!$H$47:$H$73,MATCH(IP$3,'Standards for Conversions'!$A$47:$A$73,0))))</f>
        <v/>
      </c>
      <c r="IS31" s="33" t="s">
        <v>47</v>
      </c>
      <c r="IT31" s="29">
        <v>436</v>
      </c>
      <c r="IU31" s="29">
        <v>3644</v>
      </c>
      <c r="IV31" s="31">
        <f>IF(IU31/(INDEX('Standards for Conversions'!$H$47:$H$73,MATCH(IT$3,'Standards for Conversions'!$A$47:$A$73,0)))=0,"",IU31/(INDEX('Standards for Conversions'!$H$47:$H$73,MATCH(IT$3,'Standards for Conversions'!$A$47:$A$73,0))))</f>
        <v>526.95967154051152</v>
      </c>
      <c r="IW31" s="33" t="s">
        <v>47</v>
      </c>
      <c r="IZ31" s="31" t="str">
        <f>IF(IY31/(INDEX('Standards for Conversions'!$H$47:$H$73,MATCH(IX$3,'Standards for Conversions'!$A$47:$A$73,0)))=0,"",IY31/(INDEX('Standards for Conversions'!$H$47:$H$73,MATCH(IX$3,'Standards for Conversions'!$A$47:$A$73,0))))</f>
        <v/>
      </c>
      <c r="JA31" s="33" t="s">
        <v>47</v>
      </c>
      <c r="JD31" s="31" t="str">
        <f>IF(JC31/(INDEX('Standards for Conversions'!$H$47:$H$73,MATCH(JB$3,'Standards for Conversions'!$A$47:$A$73,0)))=0,"",JC31/(INDEX('Standards for Conversions'!$H$47:$H$73,MATCH(JB$3,'Standards for Conversions'!$A$47:$A$73,0))))</f>
        <v/>
      </c>
      <c r="JE31" s="33" t="s">
        <v>47</v>
      </c>
      <c r="JH31" s="31" t="str">
        <f>IF(JG31/(INDEX('Standards for Conversions'!$H$47:$H$73,MATCH(JF$3,'Standards for Conversions'!$A$47:$A$73,0)))=0,"",JG31/(INDEX('Standards for Conversions'!$H$47:$H$73,MATCH(JF$3,'Standards for Conversions'!$A$47:$A$73,0))))</f>
        <v/>
      </c>
      <c r="JI31" s="48" t="s">
        <v>47</v>
      </c>
      <c r="JJ31" s="29">
        <v>52</v>
      </c>
      <c r="JK31" s="29">
        <v>1000</v>
      </c>
      <c r="JL31" s="31">
        <f>IF(JK31/(INDEX('Standards for Conversions'!$H$47:$H$73,MATCH(JJ$3,'Standards for Conversions'!$A$47:$A$73,0)))=0,"",JK31/(INDEX('Standards for Conversions'!$H$47:$H$73,MATCH(JJ$3,'Standards for Conversions'!$A$47:$A$73,0))))</f>
        <v>161.76019669186869</v>
      </c>
      <c r="JM31" s="33" t="s">
        <v>47</v>
      </c>
      <c r="JP31" s="31" t="str">
        <f>IF(JO31/(INDEX('Standards for Conversions'!$H$47:$H$73,MATCH(JN$3,'Standards for Conversions'!$A$47:$A$73,0)))=0,"",JO31/(INDEX('Standards for Conversions'!$H$47:$H$73,MATCH(JN$3,'Standards for Conversions'!$A$47:$A$73,0))))</f>
        <v/>
      </c>
      <c r="JQ31" s="33" t="s">
        <v>47</v>
      </c>
      <c r="JT31" s="31" t="str">
        <f>IF(JS31/(INDEX('Standards for Conversions'!$H$47:$H$73,MATCH(JR$3,'Standards for Conversions'!$A$47:$A$73,0)))=0,"",JS31/(INDEX('Standards for Conversions'!$H$47:$H$73,MATCH(JR$3,'Standards for Conversions'!$A$47:$A$73,0))))</f>
        <v/>
      </c>
      <c r="JU31" s="33" t="s">
        <v>47</v>
      </c>
      <c r="JX31" s="31" t="str">
        <f>IF(JW31/(INDEX('Standards for Conversions'!$H$47:$H$73,MATCH(JV$3,'Standards for Conversions'!$A$47:$A$73,0)))=0,"",JW31/(INDEX('Standards for Conversions'!$H$47:$H$73,MATCH(JV$3,'Standards for Conversions'!$A$47:$A$73,0))))</f>
        <v/>
      </c>
      <c r="JY31" s="33" t="s">
        <v>47</v>
      </c>
      <c r="JZ31" s="29">
        <v>400</v>
      </c>
      <c r="KA31" s="29">
        <v>3000</v>
      </c>
      <c r="KB31" s="31">
        <f>IF(KA31/(INDEX('Standards for Conversions'!$H$47:$H$73,MATCH(JZ$3,'Standards for Conversions'!$A$47:$A$73,0)))=0,"",KA31/(INDEX('Standards for Conversions'!$H$47:$H$73,MATCH(JZ$3,'Standards for Conversions'!$A$47:$A$73,0))))</f>
        <v>457.96767728339267</v>
      </c>
      <c r="KC31" s="33" t="s">
        <v>47</v>
      </c>
      <c r="KF31" s="31" t="str">
        <f>IF(KE31/(INDEX('Standards for Conversions'!$H$47:$H$73,MATCH(KD$3,'Standards for Conversions'!$A$47:$A$73,0)))=0,"",KE31/(INDEX('Standards for Conversions'!$H$47:$H$73,MATCH(KD$3,'Standards for Conversions'!$A$47:$A$73,0))))</f>
        <v/>
      </c>
      <c r="KG31" s="33" t="s">
        <v>47</v>
      </c>
      <c r="KJ31" s="31" t="str">
        <f>IF(KI31/(INDEX('Standards for Conversions'!$H$47:$H$73,MATCH(KH$3,'Standards for Conversions'!$A$47:$A$73,0)))=0,"",KI31/(INDEX('Standards for Conversions'!$H$47:$H$73,MATCH(KH$3,'Standards for Conversions'!$A$47:$A$73,0))))</f>
        <v/>
      </c>
      <c r="KK31" s="33" t="s">
        <v>47</v>
      </c>
      <c r="KN31" s="31" t="str">
        <f>IF(KM31/(INDEX('Standards for Conversions'!$H$47:$H$73,MATCH(KL$3,'Standards for Conversions'!$A$47:$A$73,0)))=0,"",KM31/(INDEX('Standards for Conversions'!$H$47:$H$73,MATCH(KL$3,'Standards for Conversions'!$A$47:$A$73,0))))</f>
        <v/>
      </c>
      <c r="KO31" s="33" t="s">
        <v>47</v>
      </c>
      <c r="KP31" s="29">
        <v>500</v>
      </c>
      <c r="KQ31" s="29">
        <v>3500</v>
      </c>
      <c r="KR31" s="31">
        <f>IF(KQ31/(INDEX('Standards for Conversions'!$H$47:$H$73,MATCH(KP$3,'Standards for Conversions'!$A$47:$A$73,0)))=0,"",KQ31/(INDEX('Standards for Conversions'!$H$47:$H$73,MATCH(KP$3,'Standards for Conversions'!$A$47:$A$73,0))))</f>
        <v>471.30654167028763</v>
      </c>
      <c r="KS31" s="33" t="s">
        <v>47</v>
      </c>
      <c r="KV31" s="31" t="str">
        <f>IF(KU31/(INDEX('Standards for Conversions'!$H$47:$H$73,MATCH(KT$3,'Standards for Conversions'!$A$47:$A$73,0)))=0,"",KU31/(INDEX('Standards for Conversions'!$H$47:$H$73,MATCH(KT$3,'Standards for Conversions'!$A$47:$A$73,0))))</f>
        <v/>
      </c>
      <c r="KW31" s="33" t="s">
        <v>47</v>
      </c>
      <c r="KZ31" s="31" t="str">
        <f>IF(KY31/(INDEX('Standards for Conversions'!$H$47:$H$73,MATCH(KX$3,'Standards for Conversions'!$A$47:$A$73,0)))=0,"",KY31/(INDEX('Standards for Conversions'!$H$47:$H$73,MATCH(KX$3,'Standards for Conversions'!$A$47:$A$73,0))))</f>
        <v/>
      </c>
      <c r="LA31" s="33" t="s">
        <v>45</v>
      </c>
      <c r="LD31" s="31" t="str">
        <f>IF(LC31/(INDEX('Standards for Conversions'!$H$47:$H$73,MATCH(LB$3,'Standards for Conversions'!$A$47:$A$73,0)))=0,"",LC31/(INDEX('Standards for Conversions'!$H$47:$H$73,MATCH(LB$3,'Standards for Conversions'!$A$47:$A$73,0))))</f>
        <v/>
      </c>
      <c r="LE31" s="48" t="s">
        <v>45</v>
      </c>
      <c r="LF31" s="29">
        <v>90</v>
      </c>
      <c r="LG31" s="29">
        <v>3360</v>
      </c>
      <c r="LH31" s="31">
        <f>IF(LG31/(INDEX('Standards for Conversions'!$H$47:$H$73,MATCH(LF$3,'Standards for Conversions'!$A$47:$A$73,0)))=0,"",LG31/(INDEX('Standards for Conversions'!$H$47:$H$73,MATCH(LF$3,'Standards for Conversions'!$A$47:$A$73,0))))</f>
        <v>408.63166420439723</v>
      </c>
      <c r="LI31" s="33"/>
      <c r="LL31" s="31" t="str">
        <f>IF(LK31/(INDEX('Standards for Conversions'!$H$47:$H$73,MATCH(LJ$3,'Standards for Conversions'!$A$47:$A$73,0)))=0,"",LK31/(INDEX('Standards for Conversions'!$H$47:$H$73,MATCH(LJ$3,'Standards for Conversions'!$A$47:$A$73,0))))</f>
        <v/>
      </c>
      <c r="LO31" s="31" t="str">
        <f>IF(LN31/(INDEX('Standards for Conversions'!$H$47:$H$73,MATCH(LM$3,'Standards for Conversions'!$A$47:$A$73,0)))=0,"",LN31/(INDEX('Standards for Conversions'!$H$47:$H$73,MATCH(LM$3,'Standards for Conversions'!$A$47:$A$73,0))))</f>
        <v/>
      </c>
      <c r="LR31" s="31" t="str">
        <f>IF(LQ31/(INDEX('Standards for Conversions'!$H$47:$H$73,MATCH(LP$3,'Standards for Conversions'!$A$47:$A$73,0)))=0,"",LQ31/(INDEX('Standards for Conversions'!$H$47:$H$73,MATCH(LP$3,'Standards for Conversions'!$A$47:$A$73,0))))</f>
        <v/>
      </c>
      <c r="LS31" s="33"/>
      <c r="LV31" s="31" t="str">
        <f>IF(LU31/(INDEX('Standards for Conversions'!$H$47:$H$73,MATCH(LT$3,'Standards for Conversions'!$A$47:$A$73,0)))=0,"",LU31/(INDEX('Standards for Conversions'!$H$47:$H$73,MATCH(LT$3,'Standards for Conversions'!$A$47:$A$73,0))))</f>
        <v/>
      </c>
      <c r="LY31" s="31" t="str">
        <f>IF(LX31/(INDEX('Standards for Conversions'!$H$47:$H$73,MATCH(LW$3,'Standards for Conversions'!$A$47:$A$73,0)))=0,"",LX31/(INDEX('Standards for Conversions'!$H$47:$H$73,MATCH(LW$3,'Standards for Conversions'!$A$47:$A$73,0))))</f>
        <v/>
      </c>
      <c r="MB31" s="31" t="str">
        <f>IF(MA31/(INDEX('Standards for Conversions'!$H$47:$H$73,MATCH(LZ$3,'Standards for Conversions'!$A$47:$A$73,0)))=0,"",MA31/(INDEX('Standards for Conversions'!$H$47:$H$73,MATCH(LZ$3,'Standards for Conversions'!$A$47:$A$73,0))))</f>
        <v/>
      </c>
      <c r="ME31" s="31" t="str">
        <f>IF(MD31/(INDEX('Standards for Conversions'!$H$47:$H$73,MATCH(MC$3,'Standards for Conversions'!$A$47:$A$73,0)))=0,"",MD31/(INDEX('Standards for Conversions'!$H$47:$H$73,MATCH(MC$3,'Standards for Conversions'!$A$47:$A$73,0))))</f>
        <v/>
      </c>
      <c r="MH31" s="31" t="str">
        <f>IF(MG31/(INDEX('Standards for Conversions'!$H$47:$H$73,MATCH(MF$3,'Standards for Conversions'!$A$47:$A$73,0)))=0,"",MG31/(INDEX('Standards for Conversions'!$H$47:$H$73,MATCH(MF$3,'Standards for Conversions'!$A$47:$A$73,0))))</f>
        <v/>
      </c>
      <c r="MK31" s="31" t="str">
        <f>IF(MJ31/(INDEX('Standards for Conversions'!$H$47:$H$73,MATCH(MI$3,'Standards for Conversions'!$A$47:$A$73,0)))=0,"",MJ31/(INDEX('Standards for Conversions'!$H$47:$H$73,MATCH(MI$3,'Standards for Conversions'!$A$47:$A$73,0))))</f>
        <v/>
      </c>
      <c r="MN31" s="31" t="str">
        <f>IF(MM31/(INDEX('Standards for Conversions'!$H$47:$H$73,MATCH(ML$3,'Standards for Conversions'!$A$47:$A$73,0)))=0,"",MM31/(INDEX('Standards for Conversions'!$H$47:$H$73,MATCH(ML$3,'Standards for Conversions'!$A$47:$A$73,0))))</f>
        <v/>
      </c>
      <c r="MR31" s="31" t="str">
        <f>IF(MQ31/(INDEX('Standards for Conversions'!$H$47:$H$73,MATCH(MP$3,'Standards for Conversions'!$A$47:$A$73,0)))=0,"",MQ31/(INDEX('Standards for Conversions'!$H$47:$H$73,MATCH(MP$3,'Standards for Conversions'!$A$47:$A$73,0))))</f>
        <v/>
      </c>
      <c r="MZ31" s="33"/>
      <c r="NE31" s="33"/>
    </row>
    <row r="32" spans="1:373" hidden="1" x14ac:dyDescent="0.3">
      <c r="A32" s="103" t="s">
        <v>215</v>
      </c>
      <c r="B32" s="10" t="s">
        <v>18</v>
      </c>
      <c r="C32" s="7"/>
      <c r="D32" s="7"/>
      <c r="E32" s="31" t="str">
        <f>IF(D32/(INDEX('Standards for Conversions'!$H$34:$H$73,MATCH(C$3,'Standards for Conversions'!$A$34:$A$73,0)))=0,"",D32/(INDEX('Standards for Conversions'!$H$34:$H$73,MATCH(C$3,'Standards for Conversions'!$A$34:$A$73,0))))</f>
        <v/>
      </c>
      <c r="F32" s="10" t="s">
        <v>18</v>
      </c>
      <c r="G32" s="7"/>
      <c r="H32" s="7"/>
      <c r="I32" s="31" t="str">
        <f>IF(H32/(INDEX('Standards for Conversions'!$H$34:$H$73,MATCH(G$3,'Standards for Conversions'!$A$34:$A$73,0)))=0,"",H32/(INDEX('Standards for Conversions'!$H$34:$H$73,MATCH(G$3,'Standards for Conversions'!$A$34:$A$73,0))))</f>
        <v/>
      </c>
      <c r="J32" s="10" t="s">
        <v>18</v>
      </c>
      <c r="K32" s="9"/>
      <c r="L32" s="9"/>
      <c r="M32" s="31" t="str">
        <f>IF(L32/(INDEX('Standards for Conversions'!$H$34:$H$73,MATCH(K$3,'Standards for Conversions'!$A$34:$A$73,0)))=0,"",L32/(INDEX('Standards for Conversions'!$H$34:$H$73,MATCH(K$3,'Standards for Conversions'!$A$34:$A$73,0))))</f>
        <v/>
      </c>
      <c r="N32" s="10" t="s">
        <v>18</v>
      </c>
      <c r="O32" s="7"/>
      <c r="P32" s="7"/>
      <c r="Q32" s="31" t="str">
        <f>IF(P32/(INDEX('Standards for Conversions'!$H$34:$H$73,MATCH(O$3,'Standards for Conversions'!$A$34:$A$73,0)))=0,"",P32/(INDEX('Standards for Conversions'!$H$34:$H$73,MATCH(O$3,'Standards for Conversions'!$A$34:$A$73,0))))</f>
        <v/>
      </c>
      <c r="R32" s="10" t="s">
        <v>18</v>
      </c>
      <c r="S32" s="7"/>
      <c r="T32" s="7"/>
      <c r="U32" s="31" t="str">
        <f>IF(T32/(INDEX('Standards for Conversions'!$H$34:$H$73,MATCH(S$3,'Standards for Conversions'!$A$34:$A$73,0)))=0,"",T32/(INDEX('Standards for Conversions'!$H$34:$H$73,MATCH(S$3,'Standards for Conversions'!$A$34:$A$73,0))))</f>
        <v/>
      </c>
      <c r="V32" s="10" t="s">
        <v>18</v>
      </c>
      <c r="W32" s="7"/>
      <c r="X32" s="7"/>
      <c r="Y32" s="31" t="str">
        <f>IF(X32/(INDEX('Standards for Conversions'!$H$34:$H$73,MATCH(W$3,'Standards for Conversions'!$A$34:$A$73,0)))=0,"",X32/(INDEX('Standards for Conversions'!$H$34:$H$73,MATCH(W$3,'Standards for Conversions'!$A$34:$A$73,0))))</f>
        <v/>
      </c>
      <c r="Z32" s="10" t="s">
        <v>18</v>
      </c>
      <c r="AA32" s="9"/>
      <c r="AB32" s="9"/>
      <c r="AC32" s="31" t="str">
        <f>IF(AB32/(INDEX('Standards for Conversions'!$H$34:$H$73,MATCH(AA$3,'Standards for Conversions'!$A$34:$A$73,0)))=0,"",AB32/(INDEX('Standards for Conversions'!$H$34:$H$73,MATCH(AA$3,'Standards for Conversions'!$A$34:$A$73,0))))</f>
        <v/>
      </c>
      <c r="AD32" s="10" t="s">
        <v>18</v>
      </c>
      <c r="AE32" s="7"/>
      <c r="AF32" s="7"/>
      <c r="AG32" s="31" t="str">
        <f>IF(AF32/(INDEX('Standards for Conversions'!$H$34:$H$73,MATCH(AE$3,'Standards for Conversions'!$A$34:$A$73,0)))=0,"",AF32/(INDEX('Standards for Conversions'!$H$34:$H$73,MATCH(AE$3,'Standards for Conversions'!$A$34:$A$73,0))))</f>
        <v/>
      </c>
      <c r="AH32" s="10" t="s">
        <v>18</v>
      </c>
      <c r="AI32" s="7"/>
      <c r="AJ32" s="7"/>
      <c r="AK32" s="31" t="str">
        <f>IF(AJ32/(INDEX('Standards for Conversions'!$H$34:$H$73,MATCH(AI$3,'Standards for Conversions'!$A$34:$A$73,0)))=0,"",AJ32/(INDEX('Standards for Conversions'!$H$34:$H$73,MATCH(AI$3,'Standards for Conversions'!$A$34:$A$73,0))))</f>
        <v/>
      </c>
      <c r="AL32" s="10" t="s">
        <v>18</v>
      </c>
      <c r="AM32" s="7"/>
      <c r="AN32" s="7"/>
      <c r="AO32" s="31" t="str">
        <f>IF(AN32/(INDEX('Standards for Conversions'!$H$34:$H$73,MATCH(AM$3,'Standards for Conversions'!$A$34:$A$73,0)))=0,"",AN32/(INDEX('Standards for Conversions'!$H$34:$H$73,MATCH(AM$3,'Standards for Conversions'!$A$34:$A$73,0))))</f>
        <v/>
      </c>
      <c r="AP32" s="10" t="s">
        <v>18</v>
      </c>
      <c r="AQ32" s="9"/>
      <c r="AR32" s="9"/>
      <c r="AS32" s="31" t="str">
        <f>IF(AR32/(INDEX('Standards for Conversions'!$H$34:$H$73,MATCH(AQ$3,'Standards for Conversions'!$A$34:$A$73,0)))=0,"",AR32/(INDEX('Standards for Conversions'!$H$34:$H$73,MATCH(AQ$3,'Standards for Conversions'!$A$34:$A$73,0))))</f>
        <v/>
      </c>
      <c r="AT32" s="10" t="s">
        <v>18</v>
      </c>
      <c r="AU32" s="7"/>
      <c r="AV32" s="7"/>
      <c r="AW32" s="31" t="str">
        <f>IF(AV32/(INDEX('Standards for Conversions'!$H$34:$H$73,MATCH(AU$3,'Standards for Conversions'!$A$34:$A$73,0)))=0,"",AV32/(INDEX('Standards for Conversions'!$H$34:$H$73,MATCH(AU$3,'Standards for Conversions'!$A$34:$A$73,0))))</f>
        <v/>
      </c>
      <c r="AX32" s="10" t="s">
        <v>18</v>
      </c>
      <c r="AY32" s="7"/>
      <c r="AZ32" s="7"/>
      <c r="BA32" s="31" t="str">
        <f>IF(AZ32/(INDEX('Standards for Conversions'!$H$34:$H$73,MATCH(AY$3,'Standards for Conversions'!$A$34:$A$73,0)))=0,"",AZ32/(INDEX('Standards for Conversions'!$H$34:$H$73,MATCH(AY$3,'Standards for Conversions'!$A$34:$A$73,0))))</f>
        <v/>
      </c>
      <c r="BB32" s="10" t="s">
        <v>18</v>
      </c>
      <c r="BC32" s="7"/>
      <c r="BD32" s="7"/>
      <c r="BE32" s="31" t="str">
        <f>IF(BD32/(INDEX('Standards for Conversions'!$H$34:$H$73,MATCH(BC$3,'Standards for Conversions'!$A$34:$A$73,0)))=0,"",BD32/(INDEX('Standards for Conversions'!$H$34:$H$73,MATCH(BC$3,'Standards for Conversions'!$A$34:$A$73,0))))</f>
        <v/>
      </c>
      <c r="BF32" s="10" t="s">
        <v>18</v>
      </c>
      <c r="BG32" s="9"/>
      <c r="BH32" s="9"/>
      <c r="BI32" s="31" t="str">
        <f>IF(BH32/(INDEX('Standards for Conversions'!$H$34:$H$73,MATCH(BG$3,'Standards for Conversions'!$A$34:$A$73,0)))=0,"",BH32/(INDEX('Standards for Conversions'!$H$34:$H$73,MATCH(BG$3,'Standards for Conversions'!$A$34:$A$73,0))))</f>
        <v/>
      </c>
      <c r="BJ32" s="10" t="s">
        <v>18</v>
      </c>
      <c r="BK32" s="7"/>
      <c r="BL32" s="7"/>
      <c r="BM32" s="31" t="str">
        <f>IF(BL32/(INDEX('Standards for Conversions'!$H$34:$H$73,MATCH(BK$3,'Standards for Conversions'!$A$34:$A$73,0)))=0,"",BL32/(INDEX('Standards for Conversions'!$H$34:$H$73,MATCH(BK$3,'Standards for Conversions'!$A$34:$A$73,0))))</f>
        <v/>
      </c>
      <c r="BN32" s="10" t="s">
        <v>18</v>
      </c>
      <c r="BO32" s="7"/>
      <c r="BP32" s="7"/>
      <c r="BQ32" s="31" t="str">
        <f>IF(BP32/(INDEX('Standards for Conversions'!$H$34:$H$73,MATCH(BO$3,'Standards for Conversions'!$A$34:$A$73,0)))=0,"",BP32/(INDEX('Standards for Conversions'!$H$34:$H$73,MATCH(BO$3,'Standards for Conversions'!$A$34:$A$73,0))))</f>
        <v/>
      </c>
      <c r="BR32" s="10" t="s">
        <v>18</v>
      </c>
      <c r="BS32" s="7"/>
      <c r="BT32" s="7"/>
      <c r="BU32" s="31" t="str">
        <f>IF(BT32/(INDEX('Standards for Conversions'!$H$34:$H$73,MATCH(BS$3,'Standards for Conversions'!$A$34:$A$73,0)))=0,"",BT32/(INDEX('Standards for Conversions'!$H$34:$H$73,MATCH(BS$3,'Standards for Conversions'!$A$34:$A$73,0))))</f>
        <v/>
      </c>
      <c r="BV32" s="10" t="s">
        <v>18</v>
      </c>
      <c r="BW32" s="9"/>
      <c r="BX32" s="9"/>
      <c r="BY32" s="31" t="str">
        <f>IF(BX32/(INDEX('Standards for Conversions'!$H$34:$H$73,MATCH(BW$3,'Standards for Conversions'!$A$34:$A$73,0)))=0,"",BX32/(INDEX('Standards for Conversions'!$H$34:$H$73,MATCH(BW$3,'Standards for Conversions'!$A$34:$A$73,0))))</f>
        <v/>
      </c>
      <c r="BZ32" s="10" t="s">
        <v>18</v>
      </c>
      <c r="CA32" s="7"/>
      <c r="CB32" s="7"/>
      <c r="CC32" s="31" t="str">
        <f>IF(CB32/(INDEX('Standards for Conversions'!$H$34:$H$73,MATCH(CA$3,'Standards for Conversions'!$A$34:$A$73,0)))=0,"",CB32/(INDEX('Standards for Conversions'!$H$34:$H$73,MATCH(CA$3,'Standards for Conversions'!$A$34:$A$73,0))))</f>
        <v/>
      </c>
      <c r="CD32" s="10" t="s">
        <v>18</v>
      </c>
      <c r="CE32" s="7"/>
      <c r="CF32" s="7"/>
      <c r="CG32" s="31" t="str">
        <f>IF(CF32/(INDEX('Standards for Conversions'!$H$34:$H$73,MATCH(CE$3,'Standards for Conversions'!$A$34:$A$73,0)))=0,"",CF32/(INDEX('Standards for Conversions'!$H$34:$H$73,MATCH(CE$3,'Standards for Conversions'!$A$34:$A$73,0))))</f>
        <v/>
      </c>
      <c r="CH32" s="10" t="s">
        <v>18</v>
      </c>
      <c r="CI32" s="7"/>
      <c r="CJ32" s="7"/>
      <c r="CK32" s="31" t="str">
        <f>IF(CJ32/(INDEX('Standards for Conversions'!$H$34:$H$73,MATCH(CI$3,'Standards for Conversions'!$A$34:$A$73,0)))=0,"",CJ32/(INDEX('Standards for Conversions'!$H$34:$H$73,MATCH(CI$3,'Standards for Conversions'!$A$34:$A$73,0))))</f>
        <v/>
      </c>
      <c r="CL32" s="10" t="s">
        <v>18</v>
      </c>
      <c r="CM32" s="9"/>
      <c r="CN32" s="9"/>
      <c r="CO32" s="31" t="str">
        <f>IF(CN32/(INDEX('Standards for Conversions'!$H$34:$H$73,MATCH(CM$3,'Standards for Conversions'!$A$34:$A$73,0)))=0,"",CN32/(INDEX('Standards for Conversions'!$H$34:$H$73,MATCH(CM$3,'Standards for Conversions'!$A$34:$A$73,0))))</f>
        <v/>
      </c>
      <c r="CP32" s="10" t="s">
        <v>18</v>
      </c>
      <c r="CQ32" s="7"/>
      <c r="CR32" s="7"/>
      <c r="CS32" s="31" t="str">
        <f>IF(CR32/(INDEX('Standards for Conversions'!$H$34:$H$73,MATCH(CQ$3,'Standards for Conversions'!$A$34:$A$73,0)))=0,"",CR32/(INDEX('Standards for Conversions'!$H$34:$H$73,MATCH(CQ$3,'Standards for Conversions'!$A$34:$A$73,0))))</f>
        <v/>
      </c>
      <c r="CT32" s="10" t="s">
        <v>18</v>
      </c>
      <c r="CU32" s="7"/>
      <c r="CV32" s="7"/>
      <c r="CW32" s="31" t="str">
        <f>IF(CV32/(INDEX('Standards for Conversions'!$H$34:$H$73,MATCH(CU$3,'Standards for Conversions'!$A$34:$A$73,0)))=0,"",CV32/(INDEX('Standards for Conversions'!$H$34:$H$73,MATCH(CU$3,'Standards for Conversions'!$A$34:$A$73,0))))</f>
        <v/>
      </c>
      <c r="CX32" s="10" t="s">
        <v>18</v>
      </c>
      <c r="CY32" s="7"/>
      <c r="CZ32" s="7"/>
      <c r="DA32" s="31" t="str">
        <f>IF(CZ32/(INDEX('Standards for Conversions'!$H$34:$H$73,MATCH(CY$3,'Standards for Conversions'!$A$34:$A$73,0)))=0,"",CZ32/(INDEX('Standards for Conversions'!$H$34:$H$73,MATCH(CY$3,'Standards for Conversions'!$A$34:$A$73,0))))</f>
        <v/>
      </c>
      <c r="DB32" s="10" t="s">
        <v>18</v>
      </c>
      <c r="DC32" s="9"/>
      <c r="DD32" s="9"/>
      <c r="DE32" s="31" t="str">
        <f>IF(DD32/(INDEX('Standards for Conversions'!$H$34:$H$73,MATCH(DC$3,'Standards for Conversions'!$A$34:$A$73,0)))=0,"",DD32/(INDEX('Standards for Conversions'!$H$34:$H$73,MATCH(DC$3,'Standards for Conversions'!$A$34:$A$73,0))))</f>
        <v/>
      </c>
      <c r="DF32" s="10" t="s">
        <v>18</v>
      </c>
      <c r="DG32" s="7"/>
      <c r="DH32" s="7"/>
      <c r="DI32" s="31" t="str">
        <f>IF(DH32/(INDEX('Standards for Conversions'!$H$34:$H$73,MATCH(DG$3,'Standards for Conversions'!$A$34:$A$73,0)))=0,"",DH32/(INDEX('Standards for Conversions'!$H$34:$H$73,MATCH(DG$3,'Standards for Conversions'!$A$34:$A$73,0))))</f>
        <v/>
      </c>
      <c r="DJ32" s="10" t="s">
        <v>18</v>
      </c>
      <c r="DK32" s="7"/>
      <c r="DL32" s="7"/>
      <c r="DM32" s="31" t="str">
        <f>IF(DL32/(INDEX('Standards for Conversions'!$H$34:$H$73,MATCH(DK$3,'Standards for Conversions'!$A$34:$A$73,0)))=0,"",DL32/(INDEX('Standards for Conversions'!$H$34:$H$73,MATCH(DK$3,'Standards for Conversions'!$A$34:$A$73,0))))</f>
        <v/>
      </c>
      <c r="DN32" s="10" t="s">
        <v>18</v>
      </c>
      <c r="DO32" s="7"/>
      <c r="DP32" s="7"/>
      <c r="DQ32" s="31" t="str">
        <f>IF(DP32/(INDEX('Standards for Conversions'!$H$34:$H$73,MATCH(DO$3,'Standards for Conversions'!$A$34:$A$73,0)))=0,"",DP32/(INDEX('Standards for Conversions'!$H$34:$H$73,MATCH(DO$3,'Standards for Conversions'!$A$34:$A$73,0))))</f>
        <v/>
      </c>
      <c r="DR32" s="10" t="s">
        <v>18</v>
      </c>
      <c r="DS32" s="9"/>
      <c r="DT32" s="9"/>
      <c r="DU32" s="31" t="str">
        <f>IF(DT32/(INDEX('Standards for Conversions'!$H$34:$H$73,MATCH(DS$3,'Standards for Conversions'!$A$34:$A$73,0)))=0,"",DT32/(INDEX('Standards for Conversions'!$H$34:$H$73,MATCH(DS$3,'Standards for Conversions'!$A$34:$A$73,0))))</f>
        <v/>
      </c>
      <c r="DV32" s="10" t="s">
        <v>18</v>
      </c>
      <c r="DW32" s="7"/>
      <c r="DX32" s="7"/>
      <c r="DY32" s="31" t="str">
        <f>IF(DX32/(INDEX('Standards for Conversions'!$H$34:$H$73,MATCH(DW$3,'Standards for Conversions'!$A$34:$A$73,0)))=0,"",DX32/(INDEX('Standards for Conversions'!$H$34:$H$73,MATCH(DW$3,'Standards for Conversions'!$A$34:$A$73,0))))</f>
        <v/>
      </c>
      <c r="DZ32" s="10" t="s">
        <v>18</v>
      </c>
      <c r="EA32" s="7"/>
      <c r="EB32" s="7"/>
      <c r="EC32" s="31" t="str">
        <f>IF(EB32/(INDEX('Standards for Conversions'!$H$34:$H$73,MATCH(EA$3,'Standards for Conversions'!$A$34:$A$73,0)))=0,"",EB32/(INDEX('Standards for Conversions'!$H$34:$H$73,MATCH(EA$3,'Standards for Conversions'!$A$34:$A$73,0))))</f>
        <v/>
      </c>
      <c r="ED32" s="10" t="s">
        <v>18</v>
      </c>
      <c r="EE32" s="7"/>
      <c r="EF32" s="7"/>
      <c r="EG32" s="31" t="str">
        <f>IF(EF32/(INDEX('Standards for Conversions'!$H$34:$H$73,MATCH(EE$3,'Standards for Conversions'!$A$34:$A$73,0)))=0,"",EF32/(INDEX('Standards for Conversions'!$H$34:$H$73,MATCH(EE$3,'Standards for Conversions'!$A$34:$A$73,0))))</f>
        <v/>
      </c>
      <c r="EH32" s="10" t="s">
        <v>18</v>
      </c>
      <c r="EI32" s="9"/>
      <c r="EJ32" s="9"/>
      <c r="EK32" s="31" t="str">
        <f>IF(EJ32/(INDEX('Standards for Conversions'!$H$34:$H$73,MATCH(EI$3,'Standards for Conversions'!$A$34:$A$73,0)))=0,"",EJ32/(INDEX('Standards for Conversions'!$H$34:$H$73,MATCH(EI$3,'Standards for Conversions'!$A$34:$A$73,0))))</f>
        <v/>
      </c>
      <c r="EL32" s="10" t="s">
        <v>18</v>
      </c>
      <c r="EM32" s="7"/>
      <c r="EN32" s="7"/>
      <c r="EO32" s="31" t="str">
        <f>IF(EN32/(INDEX('Standards for Conversions'!$H$34:$H$73,MATCH(EM$3,'Standards for Conversions'!$A$34:$A$73,0)))=0,"",EN32/(INDEX('Standards for Conversions'!$H$34:$H$73,MATCH(EM$3,'Standards for Conversions'!$A$34:$A$73,0))))</f>
        <v/>
      </c>
      <c r="EP32" s="10" t="s">
        <v>18</v>
      </c>
      <c r="EQ32" s="7"/>
      <c r="ER32" s="7"/>
      <c r="ES32" s="31" t="str">
        <f>IF(ER32/(INDEX('Standards for Conversions'!$H$34:$H$73,MATCH(EQ$3,'Standards for Conversions'!$A$34:$A$73,0)))=0,"",ER32/(INDEX('Standards for Conversions'!$H$34:$H$73,MATCH(EQ$3,'Standards for Conversions'!$A$34:$A$73,0))))</f>
        <v/>
      </c>
      <c r="ET32" s="10" t="s">
        <v>18</v>
      </c>
      <c r="EU32" s="7"/>
      <c r="EV32" s="7"/>
      <c r="EW32" s="31" t="str">
        <f>IF(EV32/(INDEX('Standards for Conversions'!$H$34:$H$73,MATCH(EU$3,'Standards for Conversions'!$A$34:$A$73,0)))=0,"",EV32/(INDEX('Standards for Conversions'!$H$34:$H$73,MATCH(EU$3,'Standards for Conversions'!$A$34:$A$73,0))))</f>
        <v/>
      </c>
      <c r="EX32" s="10" t="s">
        <v>18</v>
      </c>
      <c r="EY32" s="9"/>
      <c r="EZ32" s="9"/>
      <c r="FA32" s="31" t="str">
        <f>IF(EZ32/(INDEX('Standards for Conversions'!$H$34:$H$73,MATCH(EY$3,'Standards for Conversions'!$A$34:$A$73,0)))=0,"",EZ32/(INDEX('Standards for Conversions'!$H$34:$H$73,MATCH(EY$3,'Standards for Conversions'!$A$34:$A$73,0))))</f>
        <v/>
      </c>
      <c r="FB32" s="10" t="s">
        <v>18</v>
      </c>
      <c r="FC32" s="7"/>
      <c r="FD32" s="7"/>
      <c r="FE32" s="31" t="str">
        <f>IF(FD32/(INDEX('Standards for Conversions'!$H$34:$H$73,MATCH(FC$3,'Standards for Conversions'!$A$34:$A$73,0)))=0,"",FD32/(INDEX('Standards for Conversions'!$H$34:$H$73,MATCH(FC$3,'Standards for Conversions'!$A$34:$A$73,0))))</f>
        <v/>
      </c>
      <c r="FF32" s="10" t="s">
        <v>18</v>
      </c>
      <c r="FG32" s="7"/>
      <c r="FH32" s="7"/>
      <c r="FI32" s="31" t="str">
        <f>IF(FH32/(INDEX('Standards for Conversions'!$H$34:$H$73,MATCH(FG$3,'Standards for Conversions'!$A$34:$A$73,0)))=0,"",FH32/(INDEX('Standards for Conversions'!$H$34:$H$73,MATCH(FG$3,'Standards for Conversions'!$A$34:$A$73,0))))</f>
        <v/>
      </c>
      <c r="FJ32" s="10" t="s">
        <v>18</v>
      </c>
      <c r="FK32" s="7"/>
      <c r="FL32" s="7"/>
      <c r="FM32" s="31" t="str">
        <f>IF(FL32/(INDEX('Standards for Conversions'!$H$34:$H$73,MATCH(FK$3,'Standards for Conversions'!$A$34:$A$73,0)))=0,"",FL32/(INDEX('Standards for Conversions'!$H$34:$H$73,MATCH(FK$3,'Standards for Conversions'!$A$34:$A$73,0))))</f>
        <v/>
      </c>
      <c r="FN32" s="10" t="s">
        <v>18</v>
      </c>
      <c r="FO32" s="9"/>
      <c r="FP32" s="9"/>
      <c r="FQ32" s="31" t="str">
        <f>IF(FP32/(INDEX('Standards for Conversions'!$H$34:$H$73,MATCH(FO$3,'Standards for Conversions'!$A$34:$A$73,0)))=0,"",FP32/(INDEX('Standards for Conversions'!$H$34:$H$73,MATCH(FO$3,'Standards for Conversions'!$A$34:$A$73,0))))</f>
        <v/>
      </c>
      <c r="FR32" s="10" t="s">
        <v>18</v>
      </c>
      <c r="FS32" s="7"/>
      <c r="FT32" s="7"/>
      <c r="FU32" s="31" t="str">
        <f>IF(FT32/(INDEX('Standards for Conversions'!$H$34:$H$73,MATCH(FS$3,'Standards for Conversions'!$A$34:$A$73,0)))=0,"",FT32/(INDEX('Standards for Conversions'!$H$34:$H$73,MATCH(FS$3,'Standards for Conversions'!$A$34:$A$73,0))))</f>
        <v/>
      </c>
      <c r="FV32" s="10" t="s">
        <v>18</v>
      </c>
      <c r="FW32" s="7"/>
      <c r="FX32" s="7"/>
      <c r="FY32" s="31" t="str">
        <f>IF(FX32/(INDEX('Standards for Conversions'!$H$34:$H$73,MATCH(FW$3,'Standards for Conversions'!$A$34:$A$73,0)))=0,"",FX32/(INDEX('Standards for Conversions'!$H$34:$H$73,MATCH(FW$3,'Standards for Conversions'!$A$34:$A$73,0))))</f>
        <v/>
      </c>
      <c r="FZ32" s="10" t="s">
        <v>18</v>
      </c>
      <c r="GA32" s="7"/>
      <c r="GB32" s="7"/>
      <c r="GC32" s="31" t="str">
        <f>IF(GB32/(INDEX('Standards for Conversions'!$H$34:$H$73,MATCH(GA$3,'Standards for Conversions'!$A$34:$A$73,0)))=0,"",GB32/(INDEX('Standards for Conversions'!$H$34:$H$73,MATCH(GA$3,'Standards for Conversions'!$A$34:$A$73,0))))</f>
        <v/>
      </c>
      <c r="GD32" s="10" t="s">
        <v>18</v>
      </c>
      <c r="GE32" s="9"/>
      <c r="GF32" s="9"/>
      <c r="GG32" s="31" t="str">
        <f>IF(GF32/(INDEX('Standards for Conversions'!$H$34:$H$73,MATCH(GE$3,'Standards for Conversions'!$A$34:$A$73,0)))=0,"",GF32/(INDEX('Standards for Conversions'!$H$34:$H$73,MATCH(GE$3,'Standards for Conversions'!$A$34:$A$73,0))))</f>
        <v/>
      </c>
      <c r="GH32" s="10" t="s">
        <v>18</v>
      </c>
      <c r="GI32" s="7"/>
      <c r="GJ32" s="7"/>
      <c r="GK32" s="31" t="str">
        <f>IF(GJ32/(INDEX('Standards for Conversions'!$H$34:$H$73,MATCH(GI$3,'Standards for Conversions'!$A$34:$A$73,0)))=0,"",GJ32/(INDEX('Standards for Conversions'!$H$34:$H$73,MATCH(GI$3,'Standards for Conversions'!$A$34:$A$73,0))))</f>
        <v/>
      </c>
      <c r="GL32" s="10" t="s">
        <v>18</v>
      </c>
      <c r="GM32" s="7"/>
      <c r="GN32" s="7"/>
      <c r="GO32" s="31" t="str">
        <f>IF(GN32/(INDEX('Standards for Conversions'!$H$34:$H$73,MATCH(GM$3,'Standards for Conversions'!$A$34:$A$73,0)))=0,"",GN32/(INDEX('Standards for Conversions'!$H$34:$H$73,MATCH(GM$3,'Standards for Conversions'!$A$34:$A$73,0))))</f>
        <v/>
      </c>
      <c r="GP32" s="10" t="s">
        <v>18</v>
      </c>
      <c r="GQ32" s="7"/>
      <c r="GR32" s="7"/>
      <c r="GS32" s="31" t="str">
        <f>IF(GR32/(INDEX('Standards for Conversions'!$H$34:$H$73,MATCH(GQ$3,'Standards for Conversions'!$A$34:$A$73,0)))=0,"",GR32/(INDEX('Standards for Conversions'!$H$34:$H$73,MATCH(GQ$3,'Standards for Conversions'!$A$34:$A$73,0))))</f>
        <v/>
      </c>
      <c r="GT32" s="10" t="s">
        <v>18</v>
      </c>
      <c r="GU32" s="9"/>
      <c r="GV32" s="9"/>
      <c r="GW32" s="31" t="str">
        <f>IF(GV32/(INDEX('Standards for Conversions'!$H$34:$H$73,MATCH(GU$3,'Standards for Conversions'!$A$34:$A$73,0)))=0,"",GV32/(INDEX('Standards for Conversions'!$H$34:$H$73,MATCH(GU$3,'Standards for Conversions'!$A$34:$A$73,0))))</f>
        <v/>
      </c>
      <c r="GX32" s="10" t="s">
        <v>18</v>
      </c>
      <c r="GY32" s="7"/>
      <c r="GZ32" s="7"/>
      <c r="HA32" s="31" t="str">
        <f>IF(GZ32/(INDEX('Standards for Conversions'!$H$34:$H$73,MATCH(GY$3,'Standards for Conversions'!$A$34:$A$73,0)))=0,"",GZ32/(INDEX('Standards for Conversions'!$H$34:$H$73,MATCH(GY$3,'Standards for Conversions'!$A$34:$A$73,0))))</f>
        <v/>
      </c>
      <c r="HB32" s="10" t="s">
        <v>18</v>
      </c>
      <c r="HC32" s="7"/>
      <c r="HD32" s="7"/>
      <c r="HE32" s="31" t="str">
        <f>IF(HD32/(INDEX('Standards for Conversions'!$H$34:$H$73,MATCH(HC$3,'Standards for Conversions'!$A$34:$A$73,0)))=0,"",HD32/(INDEX('Standards for Conversions'!$H$34:$H$73,MATCH(HC$3,'Standards for Conversions'!$A$34:$A$73,0))))</f>
        <v/>
      </c>
      <c r="HF32" s="10" t="s">
        <v>18</v>
      </c>
      <c r="HG32" s="7"/>
      <c r="HH32" s="7"/>
      <c r="HI32" s="31" t="str">
        <f>IF(HH32/(INDEX('Standards for Conversions'!$H$34:$H$73,MATCH(HG$3,'Standards for Conversions'!$A$34:$A$73,0)))=0,"",HH32/(INDEX('Standards for Conversions'!$H$34:$H$73,MATCH(HG$3,'Standards for Conversions'!$A$34:$A$73,0))))</f>
        <v/>
      </c>
      <c r="HJ32" s="10" t="s">
        <v>18</v>
      </c>
      <c r="HK32" s="9"/>
      <c r="HL32" s="9"/>
      <c r="HM32" s="31" t="str">
        <f>IF(HL32/(INDEX('Standards for Conversions'!$H$34:$H$73,MATCH(HK$3,'Standards for Conversions'!$A$34:$A$73,0)))=0,"",HL32/(INDEX('Standards for Conversions'!$H$34:$H$73,MATCH(HK$3,'Standards for Conversions'!$A$34:$A$73,0))))</f>
        <v/>
      </c>
      <c r="HN32" s="10" t="s">
        <v>18</v>
      </c>
      <c r="HO32" s="7"/>
      <c r="HP32" s="7"/>
      <c r="HQ32" s="31" t="str">
        <f>IF(HP32/(INDEX('Standards for Conversions'!$H$34:$H$73,MATCH(HO$3,'Standards for Conversions'!$A$34:$A$73,0)))=0,"",HP32/(INDEX('Standards for Conversions'!$H$34:$H$73,MATCH(HO$3,'Standards for Conversions'!$A$34:$A$73,0))))</f>
        <v/>
      </c>
      <c r="HR32" s="33" t="s">
        <v>18</v>
      </c>
      <c r="HU32" s="31" t="str">
        <f>IF(HT32/(INDEX('Standards for Conversions'!$H$47:$H$73,MATCH(HS$3,'Standards for Conversions'!$A$47:$A$73,0)))=0,"",HT32/(INDEX('Standards for Conversions'!$H$47:$H$73,MATCH(HS$3,'Standards for Conversions'!$A$47:$A$73,0))))</f>
        <v/>
      </c>
      <c r="HV32" s="33" t="s">
        <v>18</v>
      </c>
      <c r="HY32" s="31" t="str">
        <f>IF(HX32/(INDEX('Standards for Conversions'!$H$47:$H$73,MATCH(HW$3,'Standards for Conversions'!$A$47:$A$73,0)))=0,"",HX32/(INDEX('Standards for Conversions'!$H$47:$H$73,MATCH(HW$3,'Standards for Conversions'!$A$47:$A$73,0))))</f>
        <v/>
      </c>
      <c r="HZ32" s="33"/>
      <c r="IA32" s="33"/>
      <c r="IB32" s="31" t="str">
        <f>IF(IA32/(INDEX('Standards for Conversions'!$H$47:$H$73,MATCH(HZ$3,'Standards for Conversions'!$A$47:$A$73,0)))=0,"",IA32/(INDEX('Standards for Conversions'!$H$47:$H$73,MATCH(HZ$3,'Standards for Conversions'!$A$47:$A$73,0))))</f>
        <v/>
      </c>
      <c r="IC32" s="33" t="s">
        <v>18</v>
      </c>
      <c r="IF32" s="31" t="str">
        <f>IF(IE32/(INDEX('Standards for Conversions'!$H$47:$H$73,MATCH(ID$3,'Standards for Conversions'!$A$47:$A$73,0)))=0,"",IE32/(INDEX('Standards for Conversions'!$H$47:$H$73,MATCH(ID$3,'Standards for Conversions'!$A$47:$A$73,0))))</f>
        <v/>
      </c>
      <c r="IG32" s="33" t="s">
        <v>18</v>
      </c>
      <c r="IJ32" s="31" t="str">
        <f>IF(II32/(INDEX('Standards for Conversions'!$H$47:$H$73,MATCH(IH$3,'Standards for Conversions'!$A$47:$A$73,0)))=0,"",II32/(INDEX('Standards for Conversions'!$H$47:$H$73,MATCH(IH$3,'Standards for Conversions'!$A$47:$A$73,0))))</f>
        <v/>
      </c>
      <c r="IK32" s="33" t="s">
        <v>18</v>
      </c>
      <c r="IN32" s="31" t="str">
        <f>IF(IM32/(INDEX('Standards for Conversions'!$H$47:$H$73,MATCH(IL$3,'Standards for Conversions'!$A$47:$A$73,0)))=0,"",IM32/(INDEX('Standards for Conversions'!$H$47:$H$73,MATCH(IL$3,'Standards for Conversions'!$A$47:$A$73,0))))</f>
        <v/>
      </c>
      <c r="IO32" s="33" t="s">
        <v>18</v>
      </c>
      <c r="IR32" s="31" t="str">
        <f>IF(IQ32/(INDEX('Standards for Conversions'!$H$47:$H$73,MATCH(IP$3,'Standards for Conversions'!$A$47:$A$73,0)))=0,"",IQ32/(INDEX('Standards for Conversions'!$H$47:$H$73,MATCH(IP$3,'Standards for Conversions'!$A$47:$A$73,0))))</f>
        <v/>
      </c>
      <c r="IS32" s="33" t="s">
        <v>18</v>
      </c>
      <c r="IT32" s="29">
        <v>40</v>
      </c>
      <c r="IU32" s="29">
        <v>79</v>
      </c>
      <c r="IV32" s="31">
        <f>IF(IU32/(INDEX('Standards for Conversions'!$H$47:$H$73,MATCH(IT$3,'Standards for Conversions'!$A$47:$A$73,0)))=0,"",IU32/(INDEX('Standards for Conversions'!$H$47:$H$73,MATCH(IT$3,'Standards for Conversions'!$A$47:$A$73,0))))</f>
        <v>11.424208027360157</v>
      </c>
      <c r="IW32" s="33" t="s">
        <v>18</v>
      </c>
      <c r="IZ32" s="31" t="str">
        <f>IF(IY32/(INDEX('Standards for Conversions'!$H$47:$H$73,MATCH(IX$3,'Standards for Conversions'!$A$47:$A$73,0)))=0,"",IY32/(INDEX('Standards for Conversions'!$H$47:$H$73,MATCH(IX$3,'Standards for Conversions'!$A$47:$A$73,0))))</f>
        <v/>
      </c>
      <c r="JA32" s="33" t="s">
        <v>18</v>
      </c>
      <c r="JD32" s="31" t="str">
        <f>IF(JC32/(INDEX('Standards for Conversions'!$H$47:$H$73,MATCH(JB$3,'Standards for Conversions'!$A$47:$A$73,0)))=0,"",JC32/(INDEX('Standards for Conversions'!$H$47:$H$73,MATCH(JB$3,'Standards for Conversions'!$A$47:$A$73,0))))</f>
        <v/>
      </c>
      <c r="JE32" s="33" t="s">
        <v>18</v>
      </c>
      <c r="JH32" s="31" t="str">
        <f>IF(JG32/(INDEX('Standards for Conversions'!$H$47:$H$73,MATCH(JF$3,'Standards for Conversions'!$A$47:$A$73,0)))=0,"",JG32/(INDEX('Standards for Conversions'!$H$47:$H$73,MATCH(JF$3,'Standards for Conversions'!$A$47:$A$73,0))))</f>
        <v/>
      </c>
      <c r="JI32" s="48" t="s">
        <v>18</v>
      </c>
      <c r="JJ32" s="29">
        <v>30</v>
      </c>
      <c r="JK32" s="29">
        <v>60</v>
      </c>
      <c r="JL32" s="31">
        <f>IF(JK32/(INDEX('Standards for Conversions'!$H$47:$H$73,MATCH(JJ$3,'Standards for Conversions'!$A$47:$A$73,0)))=0,"",JK32/(INDEX('Standards for Conversions'!$H$47:$H$73,MATCH(JJ$3,'Standards for Conversions'!$A$47:$A$73,0))))</f>
        <v>9.7056118015121218</v>
      </c>
      <c r="JM32" s="33" t="s">
        <v>40</v>
      </c>
      <c r="JP32" s="31" t="str">
        <f>IF(JO32/(INDEX('Standards for Conversions'!$H$47:$H$73,MATCH(JN$3,'Standards for Conversions'!$A$47:$A$73,0)))=0,"",JO32/(INDEX('Standards for Conversions'!$H$47:$H$73,MATCH(JN$3,'Standards for Conversions'!$A$47:$A$73,0))))</f>
        <v/>
      </c>
      <c r="JQ32" s="33" t="s">
        <v>40</v>
      </c>
      <c r="JT32" s="31" t="str">
        <f>IF(JS32/(INDEX('Standards for Conversions'!$H$47:$H$73,MATCH(JR$3,'Standards for Conversions'!$A$47:$A$73,0)))=0,"",JS32/(INDEX('Standards for Conversions'!$H$47:$H$73,MATCH(JR$3,'Standards for Conversions'!$A$47:$A$73,0))))</f>
        <v/>
      </c>
      <c r="JU32" s="33" t="s">
        <v>40</v>
      </c>
      <c r="JX32" s="31" t="str">
        <f>IF(JW32/(INDEX('Standards for Conversions'!$H$47:$H$73,MATCH(JV$3,'Standards for Conversions'!$A$47:$A$73,0)))=0,"",JW32/(INDEX('Standards for Conversions'!$H$47:$H$73,MATCH(JV$3,'Standards for Conversions'!$A$47:$A$73,0))))</f>
        <v/>
      </c>
      <c r="JY32" s="33" t="s">
        <v>40</v>
      </c>
      <c r="JZ32" s="29">
        <v>5</v>
      </c>
      <c r="KA32" s="29">
        <v>150</v>
      </c>
      <c r="KB32" s="31">
        <f>IF(KA32/(INDEX('Standards for Conversions'!$H$47:$H$73,MATCH(JZ$3,'Standards for Conversions'!$A$47:$A$73,0)))=0,"",KA32/(INDEX('Standards for Conversions'!$H$47:$H$73,MATCH(JZ$3,'Standards for Conversions'!$A$47:$A$73,0))))</f>
        <v>22.898383864169634</v>
      </c>
      <c r="KC32" s="33" t="s">
        <v>40</v>
      </c>
      <c r="KF32" s="31" t="str">
        <f>IF(KE32/(INDEX('Standards for Conversions'!$H$47:$H$73,MATCH(KD$3,'Standards for Conversions'!$A$47:$A$73,0)))=0,"",KE32/(INDEX('Standards for Conversions'!$H$47:$H$73,MATCH(KD$3,'Standards for Conversions'!$A$47:$A$73,0))))</f>
        <v/>
      </c>
      <c r="KG32" s="33" t="s">
        <v>40</v>
      </c>
      <c r="KJ32" s="31" t="str">
        <f>IF(KI32/(INDEX('Standards for Conversions'!$H$47:$H$73,MATCH(KH$3,'Standards for Conversions'!$A$47:$A$73,0)))=0,"",KI32/(INDEX('Standards for Conversions'!$H$47:$H$73,MATCH(KH$3,'Standards for Conversions'!$A$47:$A$73,0))))</f>
        <v/>
      </c>
      <c r="KK32" s="33" t="s">
        <v>40</v>
      </c>
      <c r="KN32" s="31" t="str">
        <f>IF(KM32/(INDEX('Standards for Conversions'!$H$47:$H$73,MATCH(KL$3,'Standards for Conversions'!$A$47:$A$73,0)))=0,"",KM32/(INDEX('Standards for Conversions'!$H$47:$H$73,MATCH(KL$3,'Standards for Conversions'!$A$47:$A$73,0))))</f>
        <v/>
      </c>
      <c r="KO32" s="48" t="s">
        <v>40</v>
      </c>
      <c r="KP32" s="29">
        <v>6</v>
      </c>
      <c r="KQ32" s="29">
        <v>160</v>
      </c>
      <c r="KR32" s="31">
        <f>IF(KQ32/(INDEX('Standards for Conversions'!$H$47:$H$73,MATCH(KP$3,'Standards for Conversions'!$A$47:$A$73,0)))=0,"",KQ32/(INDEX('Standards for Conversions'!$H$47:$H$73,MATCH(KP$3,'Standards for Conversions'!$A$47:$A$73,0))))</f>
        <v>21.545441904927433</v>
      </c>
      <c r="KS32" s="33" t="s">
        <v>18</v>
      </c>
      <c r="KV32" s="31" t="str">
        <f>IF(KU32/(INDEX('Standards for Conversions'!$H$47:$H$73,MATCH(KT$3,'Standards for Conversions'!$A$47:$A$73,0)))=0,"",KU32/(INDEX('Standards for Conversions'!$H$47:$H$73,MATCH(KT$3,'Standards for Conversions'!$A$47:$A$73,0))))</f>
        <v/>
      </c>
      <c r="KW32" s="33" t="s">
        <v>18</v>
      </c>
      <c r="KZ32" s="31" t="str">
        <f>IF(KY32/(INDEX('Standards for Conversions'!$H$47:$H$73,MATCH(KX$3,'Standards for Conversions'!$A$47:$A$73,0)))=0,"",KY32/(INDEX('Standards for Conversions'!$H$47:$H$73,MATCH(KX$3,'Standards for Conversions'!$A$47:$A$73,0))))</f>
        <v/>
      </c>
      <c r="LA32" s="33" t="s">
        <v>40</v>
      </c>
      <c r="LD32" s="31" t="str">
        <f>IF(LC32/(INDEX('Standards for Conversions'!$H$47:$H$73,MATCH(LB$3,'Standards for Conversions'!$A$47:$A$73,0)))=0,"",LC32/(INDEX('Standards for Conversions'!$H$47:$H$73,MATCH(LB$3,'Standards for Conversions'!$A$47:$A$73,0))))</f>
        <v/>
      </c>
      <c r="LE32" s="48" t="s">
        <v>40</v>
      </c>
      <c r="LF32" s="29">
        <v>8</v>
      </c>
      <c r="LG32" s="29">
        <v>200</v>
      </c>
      <c r="LH32" s="31">
        <f>IF(LG32/(INDEX('Standards for Conversions'!$H$47:$H$73,MATCH(LF$3,'Standards for Conversions'!$A$47:$A$73,0)))=0,"",LG32/(INDEX('Standards for Conversions'!$H$47:$H$73,MATCH(LF$3,'Standards for Conversions'!$A$47:$A$73,0))))</f>
        <v>24.323313345499837</v>
      </c>
      <c r="LI32" s="33"/>
      <c r="LL32" s="31" t="str">
        <f>IF(LK32/(INDEX('Standards for Conversions'!$H$47:$H$73,MATCH(LJ$3,'Standards for Conversions'!$A$47:$A$73,0)))=0,"",LK32/(INDEX('Standards for Conversions'!$H$47:$H$73,MATCH(LJ$3,'Standards for Conversions'!$A$47:$A$73,0))))</f>
        <v/>
      </c>
      <c r="LO32" s="31" t="str">
        <f>IF(LN32/(INDEX('Standards for Conversions'!$H$47:$H$73,MATCH(LM$3,'Standards for Conversions'!$A$47:$A$73,0)))=0,"",LN32/(INDEX('Standards for Conversions'!$H$47:$H$73,MATCH(LM$3,'Standards for Conversions'!$A$47:$A$73,0))))</f>
        <v/>
      </c>
      <c r="LR32" s="31" t="str">
        <f>IF(LQ32/(INDEX('Standards for Conversions'!$H$47:$H$73,MATCH(LP$3,'Standards for Conversions'!$A$47:$A$73,0)))=0,"",LQ32/(INDEX('Standards for Conversions'!$H$47:$H$73,MATCH(LP$3,'Standards for Conversions'!$A$47:$A$73,0))))</f>
        <v/>
      </c>
      <c r="LS32" s="33"/>
      <c r="LV32" s="31" t="str">
        <f>IF(LU32/(INDEX('Standards for Conversions'!$H$47:$H$73,MATCH(LT$3,'Standards for Conversions'!$A$47:$A$73,0)))=0,"",LU32/(INDEX('Standards for Conversions'!$H$47:$H$73,MATCH(LT$3,'Standards for Conversions'!$A$47:$A$73,0))))</f>
        <v/>
      </c>
      <c r="LY32" s="31" t="str">
        <f>IF(LX32/(INDEX('Standards for Conversions'!$H$47:$H$73,MATCH(LW$3,'Standards for Conversions'!$A$47:$A$73,0)))=0,"",LX32/(INDEX('Standards for Conversions'!$H$47:$H$73,MATCH(LW$3,'Standards for Conversions'!$A$47:$A$73,0))))</f>
        <v/>
      </c>
      <c r="MB32" s="31" t="str">
        <f>IF(MA32/(INDEX('Standards for Conversions'!$H$47:$H$73,MATCH(LZ$3,'Standards for Conversions'!$A$47:$A$73,0)))=0,"",MA32/(INDEX('Standards for Conversions'!$H$47:$H$73,MATCH(LZ$3,'Standards for Conversions'!$A$47:$A$73,0))))</f>
        <v/>
      </c>
      <c r="ME32" s="31" t="str">
        <f>IF(MD32/(INDEX('Standards for Conversions'!$H$47:$H$73,MATCH(MC$3,'Standards for Conversions'!$A$47:$A$73,0)))=0,"",MD32/(INDEX('Standards for Conversions'!$H$47:$H$73,MATCH(MC$3,'Standards for Conversions'!$A$47:$A$73,0))))</f>
        <v/>
      </c>
      <c r="MH32" s="31" t="str">
        <f>IF(MG32/(INDEX('Standards for Conversions'!$H$47:$H$73,MATCH(MF$3,'Standards for Conversions'!$A$47:$A$73,0)))=0,"",MG32/(INDEX('Standards for Conversions'!$H$47:$H$73,MATCH(MF$3,'Standards for Conversions'!$A$47:$A$73,0))))</f>
        <v/>
      </c>
      <c r="MK32" s="31" t="str">
        <f>IF(MJ32/(INDEX('Standards for Conversions'!$H$47:$H$73,MATCH(MI$3,'Standards for Conversions'!$A$47:$A$73,0)))=0,"",MJ32/(INDEX('Standards for Conversions'!$H$47:$H$73,MATCH(MI$3,'Standards for Conversions'!$A$47:$A$73,0))))</f>
        <v/>
      </c>
      <c r="MN32" s="31" t="str">
        <f>IF(MM32/(INDEX('Standards for Conversions'!$H$47:$H$73,MATCH(ML$3,'Standards for Conversions'!$A$47:$A$73,0)))=0,"",MM32/(INDEX('Standards for Conversions'!$H$47:$H$73,MATCH(ML$3,'Standards for Conversions'!$A$47:$A$73,0))))</f>
        <v/>
      </c>
      <c r="MR32" s="31" t="str">
        <f>IF(MQ32/(INDEX('Standards for Conversions'!$H$47:$H$73,MATCH(MP$3,'Standards for Conversions'!$A$47:$A$73,0)))=0,"",MQ32/(INDEX('Standards for Conversions'!$H$47:$H$73,MATCH(MP$3,'Standards for Conversions'!$A$47:$A$73,0))))</f>
        <v/>
      </c>
      <c r="MZ32" s="33"/>
      <c r="NE32" s="33"/>
    </row>
    <row r="33" spans="1:356" hidden="1" x14ac:dyDescent="0.3">
      <c r="A33" s="103" t="s">
        <v>216</v>
      </c>
      <c r="B33" s="10" t="s">
        <v>40</v>
      </c>
      <c r="C33" s="7"/>
      <c r="D33" s="7"/>
      <c r="E33" s="31" t="str">
        <f>IF(D33/(INDEX('Standards for Conversions'!$H$34:$H$73,MATCH(C$3,'Standards for Conversions'!$A$34:$A$73,0)))=0,"",D33/(INDEX('Standards for Conversions'!$H$34:$H$73,MATCH(C$3,'Standards for Conversions'!$A$34:$A$73,0))))</f>
        <v/>
      </c>
      <c r="F33" s="10" t="s">
        <v>40</v>
      </c>
      <c r="G33" s="7"/>
      <c r="H33" s="7"/>
      <c r="I33" s="31" t="str">
        <f>IF(H33/(INDEX('Standards for Conversions'!$H$34:$H$73,MATCH(G$3,'Standards for Conversions'!$A$34:$A$73,0)))=0,"",H33/(INDEX('Standards for Conversions'!$H$34:$H$73,MATCH(G$3,'Standards for Conversions'!$A$34:$A$73,0))))</f>
        <v/>
      </c>
      <c r="J33" s="10" t="s">
        <v>40</v>
      </c>
      <c r="K33" s="9"/>
      <c r="L33" s="9"/>
      <c r="M33" s="31" t="str">
        <f>IF(L33/(INDEX('Standards for Conversions'!$H$34:$H$73,MATCH(K$3,'Standards for Conversions'!$A$34:$A$73,0)))=0,"",L33/(INDEX('Standards for Conversions'!$H$34:$H$73,MATCH(K$3,'Standards for Conversions'!$A$34:$A$73,0))))</f>
        <v/>
      </c>
      <c r="N33" s="10" t="s">
        <v>40</v>
      </c>
      <c r="O33" s="7"/>
      <c r="P33" s="7"/>
      <c r="Q33" s="31" t="str">
        <f>IF(P33/(INDEX('Standards for Conversions'!$H$34:$H$73,MATCH(O$3,'Standards for Conversions'!$A$34:$A$73,0)))=0,"",P33/(INDEX('Standards for Conversions'!$H$34:$H$73,MATCH(O$3,'Standards for Conversions'!$A$34:$A$73,0))))</f>
        <v/>
      </c>
      <c r="R33" s="10" t="s">
        <v>40</v>
      </c>
      <c r="S33" s="7"/>
      <c r="T33" s="7"/>
      <c r="U33" s="31" t="str">
        <f>IF(T33/(INDEX('Standards for Conversions'!$H$34:$H$73,MATCH(S$3,'Standards for Conversions'!$A$34:$A$73,0)))=0,"",T33/(INDEX('Standards for Conversions'!$H$34:$H$73,MATCH(S$3,'Standards for Conversions'!$A$34:$A$73,0))))</f>
        <v/>
      </c>
      <c r="V33" s="10" t="s">
        <v>40</v>
      </c>
      <c r="W33" s="7"/>
      <c r="X33" s="7"/>
      <c r="Y33" s="31" t="str">
        <f>IF(X33/(INDEX('Standards for Conversions'!$H$34:$H$73,MATCH(W$3,'Standards for Conversions'!$A$34:$A$73,0)))=0,"",X33/(INDEX('Standards for Conversions'!$H$34:$H$73,MATCH(W$3,'Standards for Conversions'!$A$34:$A$73,0))))</f>
        <v/>
      </c>
      <c r="Z33" s="10" t="s">
        <v>40</v>
      </c>
      <c r="AA33" s="9"/>
      <c r="AB33" s="9"/>
      <c r="AC33" s="31" t="str">
        <f>IF(AB33/(INDEX('Standards for Conversions'!$H$34:$H$73,MATCH(AA$3,'Standards for Conversions'!$A$34:$A$73,0)))=0,"",AB33/(INDEX('Standards for Conversions'!$H$34:$H$73,MATCH(AA$3,'Standards for Conversions'!$A$34:$A$73,0))))</f>
        <v/>
      </c>
      <c r="AD33" s="10" t="s">
        <v>40</v>
      </c>
      <c r="AE33" s="7"/>
      <c r="AF33" s="7"/>
      <c r="AG33" s="31" t="str">
        <f>IF(AF33/(INDEX('Standards for Conversions'!$H$34:$H$73,MATCH(AE$3,'Standards for Conversions'!$A$34:$A$73,0)))=0,"",AF33/(INDEX('Standards for Conversions'!$H$34:$H$73,MATCH(AE$3,'Standards for Conversions'!$A$34:$A$73,0))))</f>
        <v/>
      </c>
      <c r="AH33" s="10" t="s">
        <v>40</v>
      </c>
      <c r="AI33" s="7"/>
      <c r="AJ33" s="7"/>
      <c r="AK33" s="31" t="str">
        <f>IF(AJ33/(INDEX('Standards for Conversions'!$H$34:$H$73,MATCH(AI$3,'Standards for Conversions'!$A$34:$A$73,0)))=0,"",AJ33/(INDEX('Standards for Conversions'!$H$34:$H$73,MATCH(AI$3,'Standards for Conversions'!$A$34:$A$73,0))))</f>
        <v/>
      </c>
      <c r="AL33" s="10" t="s">
        <v>40</v>
      </c>
      <c r="AM33" s="7"/>
      <c r="AN33" s="7"/>
      <c r="AO33" s="31" t="str">
        <f>IF(AN33/(INDEX('Standards for Conversions'!$H$34:$H$73,MATCH(AM$3,'Standards for Conversions'!$A$34:$A$73,0)))=0,"",AN33/(INDEX('Standards for Conversions'!$H$34:$H$73,MATCH(AM$3,'Standards for Conversions'!$A$34:$A$73,0))))</f>
        <v/>
      </c>
      <c r="AP33" s="10" t="s">
        <v>40</v>
      </c>
      <c r="AQ33" s="9"/>
      <c r="AR33" s="9"/>
      <c r="AS33" s="31" t="str">
        <f>IF(AR33/(INDEX('Standards for Conversions'!$H$34:$H$73,MATCH(AQ$3,'Standards for Conversions'!$A$34:$A$73,0)))=0,"",AR33/(INDEX('Standards for Conversions'!$H$34:$H$73,MATCH(AQ$3,'Standards for Conversions'!$A$34:$A$73,0))))</f>
        <v/>
      </c>
      <c r="AT33" s="10" t="s">
        <v>40</v>
      </c>
      <c r="AU33" s="7"/>
      <c r="AV33" s="7"/>
      <c r="AW33" s="31" t="str">
        <f>IF(AV33/(INDEX('Standards for Conversions'!$H$34:$H$73,MATCH(AU$3,'Standards for Conversions'!$A$34:$A$73,0)))=0,"",AV33/(INDEX('Standards for Conversions'!$H$34:$H$73,MATCH(AU$3,'Standards for Conversions'!$A$34:$A$73,0))))</f>
        <v/>
      </c>
      <c r="AX33" s="10" t="s">
        <v>40</v>
      </c>
      <c r="AY33" s="7"/>
      <c r="AZ33" s="7"/>
      <c r="BA33" s="31" t="str">
        <f>IF(AZ33/(INDEX('Standards for Conversions'!$H$34:$H$73,MATCH(AY$3,'Standards for Conversions'!$A$34:$A$73,0)))=0,"",AZ33/(INDEX('Standards for Conversions'!$H$34:$H$73,MATCH(AY$3,'Standards for Conversions'!$A$34:$A$73,0))))</f>
        <v/>
      </c>
      <c r="BB33" s="10" t="s">
        <v>40</v>
      </c>
      <c r="BC33" s="7"/>
      <c r="BD33" s="7"/>
      <c r="BE33" s="31" t="str">
        <f>IF(BD33/(INDEX('Standards for Conversions'!$H$34:$H$73,MATCH(BC$3,'Standards for Conversions'!$A$34:$A$73,0)))=0,"",BD33/(INDEX('Standards for Conversions'!$H$34:$H$73,MATCH(BC$3,'Standards for Conversions'!$A$34:$A$73,0))))</f>
        <v/>
      </c>
      <c r="BF33" s="10" t="s">
        <v>40</v>
      </c>
      <c r="BG33" s="9"/>
      <c r="BH33" s="9"/>
      <c r="BI33" s="31" t="str">
        <f>IF(BH33/(INDEX('Standards for Conversions'!$H$34:$H$73,MATCH(BG$3,'Standards for Conversions'!$A$34:$A$73,0)))=0,"",BH33/(INDEX('Standards for Conversions'!$H$34:$H$73,MATCH(BG$3,'Standards for Conversions'!$A$34:$A$73,0))))</f>
        <v/>
      </c>
      <c r="BJ33" s="10" t="s">
        <v>40</v>
      </c>
      <c r="BK33" s="7"/>
      <c r="BL33" s="7"/>
      <c r="BM33" s="31" t="str">
        <f>IF(BL33/(INDEX('Standards for Conversions'!$H$34:$H$73,MATCH(BK$3,'Standards for Conversions'!$A$34:$A$73,0)))=0,"",BL33/(INDEX('Standards for Conversions'!$H$34:$H$73,MATCH(BK$3,'Standards for Conversions'!$A$34:$A$73,0))))</f>
        <v/>
      </c>
      <c r="BN33" s="10" t="s">
        <v>40</v>
      </c>
      <c r="BO33" s="7"/>
      <c r="BP33" s="7"/>
      <c r="BQ33" s="31" t="str">
        <f>IF(BP33/(INDEX('Standards for Conversions'!$H$34:$H$73,MATCH(BO$3,'Standards for Conversions'!$A$34:$A$73,0)))=0,"",BP33/(INDEX('Standards for Conversions'!$H$34:$H$73,MATCH(BO$3,'Standards for Conversions'!$A$34:$A$73,0))))</f>
        <v/>
      </c>
      <c r="BR33" s="10" t="s">
        <v>40</v>
      </c>
      <c r="BS33" s="7"/>
      <c r="BT33" s="7"/>
      <c r="BU33" s="31" t="str">
        <f>IF(BT33/(INDEX('Standards for Conversions'!$H$34:$H$73,MATCH(BS$3,'Standards for Conversions'!$A$34:$A$73,0)))=0,"",BT33/(INDEX('Standards for Conversions'!$H$34:$H$73,MATCH(BS$3,'Standards for Conversions'!$A$34:$A$73,0))))</f>
        <v/>
      </c>
      <c r="BV33" s="10" t="s">
        <v>40</v>
      </c>
      <c r="BW33" s="9"/>
      <c r="BX33" s="9"/>
      <c r="BY33" s="31" t="str">
        <f>IF(BX33/(INDEX('Standards for Conversions'!$H$34:$H$73,MATCH(BW$3,'Standards for Conversions'!$A$34:$A$73,0)))=0,"",BX33/(INDEX('Standards for Conversions'!$H$34:$H$73,MATCH(BW$3,'Standards for Conversions'!$A$34:$A$73,0))))</f>
        <v/>
      </c>
      <c r="BZ33" s="10" t="s">
        <v>40</v>
      </c>
      <c r="CA33" s="7"/>
      <c r="CB33" s="7"/>
      <c r="CC33" s="31" t="str">
        <f>IF(CB33/(INDEX('Standards for Conversions'!$H$34:$H$73,MATCH(CA$3,'Standards for Conversions'!$A$34:$A$73,0)))=0,"",CB33/(INDEX('Standards for Conversions'!$H$34:$H$73,MATCH(CA$3,'Standards for Conversions'!$A$34:$A$73,0))))</f>
        <v/>
      </c>
      <c r="CD33" s="10" t="s">
        <v>40</v>
      </c>
      <c r="CE33" s="7"/>
      <c r="CF33" s="7"/>
      <c r="CG33" s="31" t="str">
        <f>IF(CF33/(INDEX('Standards for Conversions'!$H$34:$H$73,MATCH(CE$3,'Standards for Conversions'!$A$34:$A$73,0)))=0,"",CF33/(INDEX('Standards for Conversions'!$H$34:$H$73,MATCH(CE$3,'Standards for Conversions'!$A$34:$A$73,0))))</f>
        <v/>
      </c>
      <c r="CH33" s="10" t="s">
        <v>40</v>
      </c>
      <c r="CI33" s="7"/>
      <c r="CJ33" s="7"/>
      <c r="CK33" s="31" t="str">
        <f>IF(CJ33/(INDEX('Standards for Conversions'!$H$34:$H$73,MATCH(CI$3,'Standards for Conversions'!$A$34:$A$73,0)))=0,"",CJ33/(INDEX('Standards for Conversions'!$H$34:$H$73,MATCH(CI$3,'Standards for Conversions'!$A$34:$A$73,0))))</f>
        <v/>
      </c>
      <c r="CL33" s="10" t="s">
        <v>40</v>
      </c>
      <c r="CM33" s="9"/>
      <c r="CN33" s="9"/>
      <c r="CO33" s="31" t="str">
        <f>IF(CN33/(INDEX('Standards for Conversions'!$H$34:$H$73,MATCH(CM$3,'Standards for Conversions'!$A$34:$A$73,0)))=0,"",CN33/(INDEX('Standards for Conversions'!$H$34:$H$73,MATCH(CM$3,'Standards for Conversions'!$A$34:$A$73,0))))</f>
        <v/>
      </c>
      <c r="CP33" s="10" t="s">
        <v>40</v>
      </c>
      <c r="CQ33" s="7"/>
      <c r="CR33" s="7"/>
      <c r="CS33" s="31" t="str">
        <f>IF(CR33/(INDEX('Standards for Conversions'!$H$34:$H$73,MATCH(CQ$3,'Standards for Conversions'!$A$34:$A$73,0)))=0,"",CR33/(INDEX('Standards for Conversions'!$H$34:$H$73,MATCH(CQ$3,'Standards for Conversions'!$A$34:$A$73,0))))</f>
        <v/>
      </c>
      <c r="CT33" s="10" t="s">
        <v>40</v>
      </c>
      <c r="CU33" s="7"/>
      <c r="CV33" s="7"/>
      <c r="CW33" s="31" t="str">
        <f>IF(CV33/(INDEX('Standards for Conversions'!$H$34:$H$73,MATCH(CU$3,'Standards for Conversions'!$A$34:$A$73,0)))=0,"",CV33/(INDEX('Standards for Conversions'!$H$34:$H$73,MATCH(CU$3,'Standards for Conversions'!$A$34:$A$73,0))))</f>
        <v/>
      </c>
      <c r="CX33" s="10" t="s">
        <v>40</v>
      </c>
      <c r="CY33" s="7"/>
      <c r="CZ33" s="7"/>
      <c r="DA33" s="31" t="str">
        <f>IF(CZ33/(INDEX('Standards for Conversions'!$H$34:$H$73,MATCH(CY$3,'Standards for Conversions'!$A$34:$A$73,0)))=0,"",CZ33/(INDEX('Standards for Conversions'!$H$34:$H$73,MATCH(CY$3,'Standards for Conversions'!$A$34:$A$73,0))))</f>
        <v/>
      </c>
      <c r="DB33" s="10" t="s">
        <v>40</v>
      </c>
      <c r="DC33" s="9"/>
      <c r="DD33" s="9"/>
      <c r="DE33" s="31" t="str">
        <f>IF(DD33/(INDEX('Standards for Conversions'!$H$34:$H$73,MATCH(DC$3,'Standards for Conversions'!$A$34:$A$73,0)))=0,"",DD33/(INDEX('Standards for Conversions'!$H$34:$H$73,MATCH(DC$3,'Standards for Conversions'!$A$34:$A$73,0))))</f>
        <v/>
      </c>
      <c r="DF33" s="10" t="s">
        <v>40</v>
      </c>
      <c r="DG33" s="7"/>
      <c r="DH33" s="7"/>
      <c r="DI33" s="31" t="str">
        <f>IF(DH33/(INDEX('Standards for Conversions'!$H$34:$H$73,MATCH(DG$3,'Standards for Conversions'!$A$34:$A$73,0)))=0,"",DH33/(INDEX('Standards for Conversions'!$H$34:$H$73,MATCH(DG$3,'Standards for Conversions'!$A$34:$A$73,0))))</f>
        <v/>
      </c>
      <c r="DJ33" s="10" t="s">
        <v>40</v>
      </c>
      <c r="DK33" s="7"/>
      <c r="DL33" s="7"/>
      <c r="DM33" s="31" t="str">
        <f>IF(DL33/(INDEX('Standards for Conversions'!$H$34:$H$73,MATCH(DK$3,'Standards for Conversions'!$A$34:$A$73,0)))=0,"",DL33/(INDEX('Standards for Conversions'!$H$34:$H$73,MATCH(DK$3,'Standards for Conversions'!$A$34:$A$73,0))))</f>
        <v/>
      </c>
      <c r="DN33" s="10" t="s">
        <v>40</v>
      </c>
      <c r="DO33" s="7"/>
      <c r="DP33" s="7"/>
      <c r="DQ33" s="31" t="str">
        <f>IF(DP33/(INDEX('Standards for Conversions'!$H$34:$H$73,MATCH(DO$3,'Standards for Conversions'!$A$34:$A$73,0)))=0,"",DP33/(INDEX('Standards for Conversions'!$H$34:$H$73,MATCH(DO$3,'Standards for Conversions'!$A$34:$A$73,0))))</f>
        <v/>
      </c>
      <c r="DR33" s="10" t="s">
        <v>40</v>
      </c>
      <c r="DS33" s="9"/>
      <c r="DT33" s="9"/>
      <c r="DU33" s="31" t="str">
        <f>IF(DT33/(INDEX('Standards for Conversions'!$H$34:$H$73,MATCH(DS$3,'Standards for Conversions'!$A$34:$A$73,0)))=0,"",DT33/(INDEX('Standards for Conversions'!$H$34:$H$73,MATCH(DS$3,'Standards for Conversions'!$A$34:$A$73,0))))</f>
        <v/>
      </c>
      <c r="DV33" s="10" t="s">
        <v>40</v>
      </c>
      <c r="DW33" s="7"/>
      <c r="DX33" s="7"/>
      <c r="DY33" s="31" t="str">
        <f>IF(DX33/(INDEX('Standards for Conversions'!$H$34:$H$73,MATCH(DW$3,'Standards for Conversions'!$A$34:$A$73,0)))=0,"",DX33/(INDEX('Standards for Conversions'!$H$34:$H$73,MATCH(DW$3,'Standards for Conversions'!$A$34:$A$73,0))))</f>
        <v/>
      </c>
      <c r="DZ33" s="10" t="s">
        <v>40</v>
      </c>
      <c r="EA33" s="7"/>
      <c r="EB33" s="7"/>
      <c r="EC33" s="31" t="str">
        <f>IF(EB33/(INDEX('Standards for Conversions'!$H$34:$H$73,MATCH(EA$3,'Standards for Conversions'!$A$34:$A$73,0)))=0,"",EB33/(INDEX('Standards for Conversions'!$H$34:$H$73,MATCH(EA$3,'Standards for Conversions'!$A$34:$A$73,0))))</f>
        <v/>
      </c>
      <c r="ED33" s="10" t="s">
        <v>40</v>
      </c>
      <c r="EE33" s="7"/>
      <c r="EF33" s="7"/>
      <c r="EG33" s="31" t="str">
        <f>IF(EF33/(INDEX('Standards for Conversions'!$H$34:$H$73,MATCH(EE$3,'Standards for Conversions'!$A$34:$A$73,0)))=0,"",EF33/(INDEX('Standards for Conversions'!$H$34:$H$73,MATCH(EE$3,'Standards for Conversions'!$A$34:$A$73,0))))</f>
        <v/>
      </c>
      <c r="EH33" s="10" t="s">
        <v>40</v>
      </c>
      <c r="EI33" s="9"/>
      <c r="EJ33" s="9"/>
      <c r="EK33" s="31" t="str">
        <f>IF(EJ33/(INDEX('Standards for Conversions'!$H$34:$H$73,MATCH(EI$3,'Standards for Conversions'!$A$34:$A$73,0)))=0,"",EJ33/(INDEX('Standards for Conversions'!$H$34:$H$73,MATCH(EI$3,'Standards for Conversions'!$A$34:$A$73,0))))</f>
        <v/>
      </c>
      <c r="EL33" s="10" t="s">
        <v>40</v>
      </c>
      <c r="EM33" s="7"/>
      <c r="EN33" s="7"/>
      <c r="EO33" s="31" t="str">
        <f>IF(EN33/(INDEX('Standards for Conversions'!$H$34:$H$73,MATCH(EM$3,'Standards for Conversions'!$A$34:$A$73,0)))=0,"",EN33/(INDEX('Standards for Conversions'!$H$34:$H$73,MATCH(EM$3,'Standards for Conversions'!$A$34:$A$73,0))))</f>
        <v/>
      </c>
      <c r="EP33" s="10" t="s">
        <v>40</v>
      </c>
      <c r="EQ33" s="7"/>
      <c r="ER33" s="7"/>
      <c r="ES33" s="31" t="str">
        <f>IF(ER33/(INDEX('Standards for Conversions'!$H$34:$H$73,MATCH(EQ$3,'Standards for Conversions'!$A$34:$A$73,0)))=0,"",ER33/(INDEX('Standards for Conversions'!$H$34:$H$73,MATCH(EQ$3,'Standards for Conversions'!$A$34:$A$73,0))))</f>
        <v/>
      </c>
      <c r="ET33" s="10" t="s">
        <v>40</v>
      </c>
      <c r="EU33" s="7"/>
      <c r="EV33" s="7"/>
      <c r="EW33" s="31" t="str">
        <f>IF(EV33/(INDEX('Standards for Conversions'!$H$34:$H$73,MATCH(EU$3,'Standards for Conversions'!$A$34:$A$73,0)))=0,"",EV33/(INDEX('Standards for Conversions'!$H$34:$H$73,MATCH(EU$3,'Standards for Conversions'!$A$34:$A$73,0))))</f>
        <v/>
      </c>
      <c r="EX33" s="10" t="s">
        <v>40</v>
      </c>
      <c r="EY33" s="9"/>
      <c r="EZ33" s="9"/>
      <c r="FA33" s="31" t="str">
        <f>IF(EZ33/(INDEX('Standards for Conversions'!$H$34:$H$73,MATCH(EY$3,'Standards for Conversions'!$A$34:$A$73,0)))=0,"",EZ33/(INDEX('Standards for Conversions'!$H$34:$H$73,MATCH(EY$3,'Standards for Conversions'!$A$34:$A$73,0))))</f>
        <v/>
      </c>
      <c r="FB33" s="10" t="s">
        <v>40</v>
      </c>
      <c r="FC33" s="7"/>
      <c r="FD33" s="7"/>
      <c r="FE33" s="31" t="str">
        <f>IF(FD33/(INDEX('Standards for Conversions'!$H$34:$H$73,MATCH(FC$3,'Standards for Conversions'!$A$34:$A$73,0)))=0,"",FD33/(INDEX('Standards for Conversions'!$H$34:$H$73,MATCH(FC$3,'Standards for Conversions'!$A$34:$A$73,0))))</f>
        <v/>
      </c>
      <c r="FF33" s="10" t="s">
        <v>40</v>
      </c>
      <c r="FG33" s="7"/>
      <c r="FH33" s="7"/>
      <c r="FI33" s="31" t="str">
        <f>IF(FH33/(INDEX('Standards for Conversions'!$H$34:$H$73,MATCH(FG$3,'Standards for Conversions'!$A$34:$A$73,0)))=0,"",FH33/(INDEX('Standards for Conversions'!$H$34:$H$73,MATCH(FG$3,'Standards for Conversions'!$A$34:$A$73,0))))</f>
        <v/>
      </c>
      <c r="FJ33" s="10" t="s">
        <v>40</v>
      </c>
      <c r="FK33" s="7"/>
      <c r="FL33" s="7"/>
      <c r="FM33" s="31" t="str">
        <f>IF(FL33/(INDEX('Standards for Conversions'!$H$34:$H$73,MATCH(FK$3,'Standards for Conversions'!$A$34:$A$73,0)))=0,"",FL33/(INDEX('Standards for Conversions'!$H$34:$H$73,MATCH(FK$3,'Standards for Conversions'!$A$34:$A$73,0))))</f>
        <v/>
      </c>
      <c r="FN33" s="10" t="s">
        <v>40</v>
      </c>
      <c r="FO33" s="9"/>
      <c r="FP33" s="9"/>
      <c r="FQ33" s="31" t="str">
        <f>IF(FP33/(INDEX('Standards for Conversions'!$H$34:$H$73,MATCH(FO$3,'Standards for Conversions'!$A$34:$A$73,0)))=0,"",FP33/(INDEX('Standards for Conversions'!$H$34:$H$73,MATCH(FO$3,'Standards for Conversions'!$A$34:$A$73,0))))</f>
        <v/>
      </c>
      <c r="FR33" s="10" t="s">
        <v>40</v>
      </c>
      <c r="FS33" s="7"/>
      <c r="FT33" s="7"/>
      <c r="FU33" s="31" t="str">
        <f>IF(FT33/(INDEX('Standards for Conversions'!$H$34:$H$73,MATCH(FS$3,'Standards for Conversions'!$A$34:$A$73,0)))=0,"",FT33/(INDEX('Standards for Conversions'!$H$34:$H$73,MATCH(FS$3,'Standards for Conversions'!$A$34:$A$73,0))))</f>
        <v/>
      </c>
      <c r="FV33" s="10" t="s">
        <v>40</v>
      </c>
      <c r="FW33" s="7"/>
      <c r="FX33" s="7"/>
      <c r="FY33" s="31" t="str">
        <f>IF(FX33/(INDEX('Standards for Conversions'!$H$34:$H$73,MATCH(FW$3,'Standards for Conversions'!$A$34:$A$73,0)))=0,"",FX33/(INDEX('Standards for Conversions'!$H$34:$H$73,MATCH(FW$3,'Standards for Conversions'!$A$34:$A$73,0))))</f>
        <v/>
      </c>
      <c r="FZ33" s="10" t="s">
        <v>40</v>
      </c>
      <c r="GA33" s="7"/>
      <c r="GB33" s="7"/>
      <c r="GC33" s="31" t="str">
        <f>IF(GB33/(INDEX('Standards for Conversions'!$H$34:$H$73,MATCH(GA$3,'Standards for Conversions'!$A$34:$A$73,0)))=0,"",GB33/(INDEX('Standards for Conversions'!$H$34:$H$73,MATCH(GA$3,'Standards for Conversions'!$A$34:$A$73,0))))</f>
        <v/>
      </c>
      <c r="GD33" s="10" t="s">
        <v>40</v>
      </c>
      <c r="GE33" s="9"/>
      <c r="GF33" s="9"/>
      <c r="GG33" s="31" t="str">
        <f>IF(GF33/(INDEX('Standards for Conversions'!$H$34:$H$73,MATCH(GE$3,'Standards for Conversions'!$A$34:$A$73,0)))=0,"",GF33/(INDEX('Standards for Conversions'!$H$34:$H$73,MATCH(GE$3,'Standards for Conversions'!$A$34:$A$73,0))))</f>
        <v/>
      </c>
      <c r="GH33" s="10" t="s">
        <v>40</v>
      </c>
      <c r="GI33" s="7"/>
      <c r="GJ33" s="7"/>
      <c r="GK33" s="31" t="str">
        <f>IF(GJ33/(INDEX('Standards for Conversions'!$H$34:$H$73,MATCH(GI$3,'Standards for Conversions'!$A$34:$A$73,0)))=0,"",GJ33/(INDEX('Standards for Conversions'!$H$34:$H$73,MATCH(GI$3,'Standards for Conversions'!$A$34:$A$73,0))))</f>
        <v/>
      </c>
      <c r="GL33" s="10" t="s">
        <v>40</v>
      </c>
      <c r="GM33" s="7"/>
      <c r="GN33" s="7"/>
      <c r="GO33" s="31" t="str">
        <f>IF(GN33/(INDEX('Standards for Conversions'!$H$34:$H$73,MATCH(GM$3,'Standards for Conversions'!$A$34:$A$73,0)))=0,"",GN33/(INDEX('Standards for Conversions'!$H$34:$H$73,MATCH(GM$3,'Standards for Conversions'!$A$34:$A$73,0))))</f>
        <v/>
      </c>
      <c r="GP33" s="10" t="s">
        <v>40</v>
      </c>
      <c r="GQ33" s="7"/>
      <c r="GR33" s="7"/>
      <c r="GS33" s="31" t="str">
        <f>IF(GR33/(INDEX('Standards for Conversions'!$H$34:$H$73,MATCH(GQ$3,'Standards for Conversions'!$A$34:$A$73,0)))=0,"",GR33/(INDEX('Standards for Conversions'!$H$34:$H$73,MATCH(GQ$3,'Standards for Conversions'!$A$34:$A$73,0))))</f>
        <v/>
      </c>
      <c r="GT33" s="10" t="s">
        <v>40</v>
      </c>
      <c r="GU33" s="9"/>
      <c r="GV33" s="9"/>
      <c r="GW33" s="31" t="str">
        <f>IF(GV33/(INDEX('Standards for Conversions'!$H$34:$H$73,MATCH(GU$3,'Standards for Conversions'!$A$34:$A$73,0)))=0,"",GV33/(INDEX('Standards for Conversions'!$H$34:$H$73,MATCH(GU$3,'Standards for Conversions'!$A$34:$A$73,0))))</f>
        <v/>
      </c>
      <c r="GX33" s="10" t="s">
        <v>40</v>
      </c>
      <c r="GY33" s="7"/>
      <c r="GZ33" s="7"/>
      <c r="HA33" s="31" t="str">
        <f>IF(GZ33/(INDEX('Standards for Conversions'!$H$34:$H$73,MATCH(GY$3,'Standards for Conversions'!$A$34:$A$73,0)))=0,"",GZ33/(INDEX('Standards for Conversions'!$H$34:$H$73,MATCH(GY$3,'Standards for Conversions'!$A$34:$A$73,0))))</f>
        <v/>
      </c>
      <c r="HB33" s="10" t="s">
        <v>40</v>
      </c>
      <c r="HC33" s="7"/>
      <c r="HD33" s="7"/>
      <c r="HE33" s="31" t="str">
        <f>IF(HD33/(INDEX('Standards for Conversions'!$H$34:$H$73,MATCH(HC$3,'Standards for Conversions'!$A$34:$A$73,0)))=0,"",HD33/(INDEX('Standards for Conversions'!$H$34:$H$73,MATCH(HC$3,'Standards for Conversions'!$A$34:$A$73,0))))</f>
        <v/>
      </c>
      <c r="HF33" s="10" t="s">
        <v>40</v>
      </c>
      <c r="HG33" s="7"/>
      <c r="HH33" s="7"/>
      <c r="HI33" s="31" t="str">
        <f>IF(HH33/(INDEX('Standards for Conversions'!$H$34:$H$73,MATCH(HG$3,'Standards for Conversions'!$A$34:$A$73,0)))=0,"",HH33/(INDEX('Standards for Conversions'!$H$34:$H$73,MATCH(HG$3,'Standards for Conversions'!$A$34:$A$73,0))))</f>
        <v/>
      </c>
      <c r="HJ33" s="10" t="s">
        <v>40</v>
      </c>
      <c r="HK33" s="9"/>
      <c r="HL33" s="9"/>
      <c r="HM33" s="31" t="str">
        <f>IF(HL33/(INDEX('Standards for Conversions'!$H$34:$H$73,MATCH(HK$3,'Standards for Conversions'!$A$34:$A$73,0)))=0,"",HL33/(INDEX('Standards for Conversions'!$H$34:$H$73,MATCH(HK$3,'Standards for Conversions'!$A$34:$A$73,0))))</f>
        <v/>
      </c>
      <c r="HN33" s="10" t="s">
        <v>40</v>
      </c>
      <c r="HO33" s="7"/>
      <c r="HP33" s="7"/>
      <c r="HQ33" s="31" t="str">
        <f>IF(HP33/(INDEX('Standards for Conversions'!$H$34:$H$73,MATCH(HO$3,'Standards for Conversions'!$A$34:$A$73,0)))=0,"",HP33/(INDEX('Standards for Conversions'!$H$34:$H$73,MATCH(HO$3,'Standards for Conversions'!$A$34:$A$73,0))))</f>
        <v/>
      </c>
      <c r="HR33" s="33" t="s">
        <v>40</v>
      </c>
      <c r="HU33" s="31" t="str">
        <f>IF(HT33/(INDEX('Standards for Conversions'!$H$47:$H$73,MATCH(HS$3,'Standards for Conversions'!$A$47:$A$73,0)))=0,"",HT33/(INDEX('Standards for Conversions'!$H$47:$H$73,MATCH(HS$3,'Standards for Conversions'!$A$47:$A$73,0))))</f>
        <v/>
      </c>
      <c r="HV33" s="33" t="s">
        <v>40</v>
      </c>
      <c r="HW33" s="29">
        <v>150</v>
      </c>
      <c r="HX33" s="29">
        <v>600</v>
      </c>
      <c r="HY33" s="31">
        <f>IF(HX33/(INDEX('Standards for Conversions'!$H$47:$H$73,MATCH(HW$3,'Standards for Conversions'!$A$47:$A$73,0)))=0,"",HX33/(INDEX('Standards for Conversions'!$H$47:$H$73,MATCH(HW$3,'Standards for Conversions'!$A$47:$A$73,0))))</f>
        <v>87.147247327713572</v>
      </c>
      <c r="HZ33" s="33"/>
      <c r="IA33" s="33"/>
      <c r="IB33" s="31" t="str">
        <f>IF(IA33/(INDEX('Standards for Conversions'!$H$47:$H$73,MATCH(HZ$3,'Standards for Conversions'!$A$47:$A$73,0)))=0,"",IA33/(INDEX('Standards for Conversions'!$H$47:$H$73,MATCH(HZ$3,'Standards for Conversions'!$A$47:$A$73,0))))</f>
        <v/>
      </c>
      <c r="IC33" s="33" t="s">
        <v>40</v>
      </c>
      <c r="ID33" s="29">
        <v>50</v>
      </c>
      <c r="IE33" s="29">
        <v>170</v>
      </c>
      <c r="IF33" s="31">
        <f>IF(IE33/(INDEX('Standards for Conversions'!$H$47:$H$73,MATCH(ID$3,'Standards for Conversions'!$A$47:$A$73,0)))=0,"",IE33/(INDEX('Standards for Conversions'!$H$47:$H$73,MATCH(ID$3,'Standards for Conversions'!$A$47:$A$73,0))))</f>
        <v>24.691720076185511</v>
      </c>
      <c r="IG33" s="33" t="s">
        <v>40</v>
      </c>
      <c r="IJ33" s="31" t="str">
        <f>IF(II33/(INDEX('Standards for Conversions'!$H$47:$H$73,MATCH(IH$3,'Standards for Conversions'!$A$47:$A$73,0)))=0,"",II33/(INDEX('Standards for Conversions'!$H$47:$H$73,MATCH(IH$3,'Standards for Conversions'!$A$47:$A$73,0))))</f>
        <v/>
      </c>
      <c r="IK33" s="33" t="s">
        <v>40</v>
      </c>
      <c r="IN33" s="31" t="str">
        <f>IF(IM33/(INDEX('Standards for Conversions'!$H$47:$H$73,MATCH(IL$3,'Standards for Conversions'!$A$47:$A$73,0)))=0,"",IM33/(INDEX('Standards for Conversions'!$H$47:$H$73,MATCH(IL$3,'Standards for Conversions'!$A$47:$A$73,0))))</f>
        <v/>
      </c>
      <c r="IO33" s="33" t="s">
        <v>40</v>
      </c>
      <c r="IR33" s="31" t="str">
        <f>IF(IQ33/(INDEX('Standards for Conversions'!$H$47:$H$73,MATCH(IP$3,'Standards for Conversions'!$A$47:$A$73,0)))=0,"",IQ33/(INDEX('Standards for Conversions'!$H$47:$H$73,MATCH(IP$3,'Standards for Conversions'!$A$47:$A$73,0))))</f>
        <v/>
      </c>
      <c r="IS33" s="33" t="s">
        <v>40</v>
      </c>
      <c r="IT33" s="29">
        <v>42</v>
      </c>
      <c r="IU33" s="29">
        <v>123</v>
      </c>
      <c r="IV33" s="31">
        <f>IF(IU33/(INDEX('Standards for Conversions'!$H$47:$H$73,MATCH(IT$3,'Standards for Conversions'!$A$47:$A$73,0)))=0,"",IU33/(INDEX('Standards for Conversions'!$H$47:$H$73,MATCH(IT$3,'Standards for Conversions'!$A$47:$A$73,0))))</f>
        <v>17.787058067915179</v>
      </c>
      <c r="IW33" s="33" t="s">
        <v>40</v>
      </c>
      <c r="IZ33" s="31" t="str">
        <f>IF(IY33/(INDEX('Standards for Conversions'!$H$47:$H$73,MATCH(IX$3,'Standards for Conversions'!$A$47:$A$73,0)))=0,"",IY33/(INDEX('Standards for Conversions'!$H$47:$H$73,MATCH(IX$3,'Standards for Conversions'!$A$47:$A$73,0))))</f>
        <v/>
      </c>
      <c r="JA33" s="33" t="s">
        <v>40</v>
      </c>
      <c r="JB33" s="29">
        <v>90</v>
      </c>
      <c r="JC33" s="29">
        <v>350</v>
      </c>
      <c r="JD33" s="31">
        <f>IF(JC33/(INDEX('Standards for Conversions'!$H$47:$H$73,MATCH(JB$3,'Standards for Conversions'!$A$47:$A$73,0)))=0,"",JC33/(INDEX('Standards for Conversions'!$H$47:$H$73,MATCH(JB$3,'Standards for Conversions'!$A$47:$A$73,0))))</f>
        <v>56.616068842154043</v>
      </c>
      <c r="JE33" s="33" t="s">
        <v>40</v>
      </c>
      <c r="JH33" s="31" t="str">
        <f>IF(JG33/(INDEX('Standards for Conversions'!$H$47:$H$73,MATCH(JF$3,'Standards for Conversions'!$A$47:$A$73,0)))=0,"",JG33/(INDEX('Standards for Conversions'!$H$47:$H$73,MATCH(JF$3,'Standards for Conversions'!$A$47:$A$73,0))))</f>
        <v/>
      </c>
      <c r="JI33" s="48" t="s">
        <v>40</v>
      </c>
      <c r="JJ33" s="29">
        <v>70</v>
      </c>
      <c r="JK33" s="29">
        <v>300</v>
      </c>
      <c r="JL33" s="31">
        <f>IF(JK33/(INDEX('Standards for Conversions'!$H$47:$H$73,MATCH(JJ$3,'Standards for Conversions'!$A$47:$A$73,0)))=0,"",JK33/(INDEX('Standards for Conversions'!$H$47:$H$73,MATCH(JJ$3,'Standards for Conversions'!$A$47:$A$73,0))))</f>
        <v>48.528059007560607</v>
      </c>
      <c r="JM33" s="33" t="s">
        <v>40</v>
      </c>
      <c r="JP33" s="31" t="str">
        <f>IF(JO33/(INDEX('Standards for Conversions'!$H$47:$H$73,MATCH(JN$3,'Standards for Conversions'!$A$47:$A$73,0)))=0,"",JO33/(INDEX('Standards for Conversions'!$H$47:$H$73,MATCH(JN$3,'Standards for Conversions'!$A$47:$A$73,0))))</f>
        <v/>
      </c>
      <c r="JQ33" s="33" t="s">
        <v>40</v>
      </c>
      <c r="JR33" s="29">
        <v>100</v>
      </c>
      <c r="JS33" s="29">
        <v>350</v>
      </c>
      <c r="JT33" s="31">
        <f>IF(JS33/(INDEX('Standards for Conversions'!$H$47:$H$73,MATCH(JR$3,'Standards for Conversions'!$A$47:$A$73,0)))=0,"",JS33/(INDEX('Standards for Conversions'!$H$47:$H$73,MATCH(JR$3,'Standards for Conversions'!$A$47:$A$73,0))))</f>
        <v>53.429562349729146</v>
      </c>
      <c r="JU33" s="33" t="s">
        <v>40</v>
      </c>
      <c r="JX33" s="31" t="str">
        <f>IF(JW33/(INDEX('Standards for Conversions'!$H$47:$H$73,MATCH(JV$3,'Standards for Conversions'!$A$47:$A$73,0)))=0,"",JW33/(INDEX('Standards for Conversions'!$H$47:$H$73,MATCH(JV$3,'Standards for Conversions'!$A$47:$A$73,0))))</f>
        <v/>
      </c>
      <c r="JY33" s="33" t="s">
        <v>40</v>
      </c>
      <c r="JZ33" s="29">
        <v>75</v>
      </c>
      <c r="KA33" s="29">
        <v>300</v>
      </c>
      <c r="KB33" s="31">
        <f>IF(KA33/(INDEX('Standards for Conversions'!$H$47:$H$73,MATCH(JZ$3,'Standards for Conversions'!$A$47:$A$73,0)))=0,"",KA33/(INDEX('Standards for Conversions'!$H$47:$H$73,MATCH(JZ$3,'Standards for Conversions'!$A$47:$A$73,0))))</f>
        <v>45.796767728339269</v>
      </c>
      <c r="KC33" s="33" t="s">
        <v>40</v>
      </c>
      <c r="KF33" s="31" t="str">
        <f>IF(KE33/(INDEX('Standards for Conversions'!$H$47:$H$73,MATCH(KD$3,'Standards for Conversions'!$A$47:$A$73,0)))=0,"",KE33/(INDEX('Standards for Conversions'!$H$47:$H$73,MATCH(KD$3,'Standards for Conversions'!$A$47:$A$73,0))))</f>
        <v/>
      </c>
      <c r="KG33" s="33" t="s">
        <v>40</v>
      </c>
      <c r="KH33" s="29">
        <v>60</v>
      </c>
      <c r="KI33" s="29">
        <v>210</v>
      </c>
      <c r="KJ33" s="31">
        <f>IF(KI33/(INDEX('Standards for Conversions'!$H$47:$H$73,MATCH(KH$3,'Standards for Conversions'!$A$47:$A$73,0)))=0,"",KI33/(INDEX('Standards for Conversions'!$H$47:$H$73,MATCH(KH$3,'Standards for Conversions'!$A$47:$A$73,0))))</f>
        <v>28.278392500217258</v>
      </c>
      <c r="KK33" s="33" t="s">
        <v>40</v>
      </c>
      <c r="KN33" s="31" t="str">
        <f>IF(KM33/(INDEX('Standards for Conversions'!$H$47:$H$73,MATCH(KL$3,'Standards for Conversions'!$A$47:$A$73,0)))=0,"",KM33/(INDEX('Standards for Conversions'!$H$47:$H$73,MATCH(KL$3,'Standards for Conversions'!$A$47:$A$73,0))))</f>
        <v/>
      </c>
      <c r="KO33" s="33" t="s">
        <v>40</v>
      </c>
      <c r="KP33" s="29">
        <v>100</v>
      </c>
      <c r="KQ33" s="29">
        <v>400</v>
      </c>
      <c r="KR33" s="31">
        <f>IF(KQ33/(INDEX('Standards for Conversions'!$H$47:$H$73,MATCH(KP$3,'Standards for Conversions'!$A$47:$A$73,0)))=0,"",KQ33/(INDEX('Standards for Conversions'!$H$47:$H$73,MATCH(KP$3,'Standards for Conversions'!$A$47:$A$73,0))))</f>
        <v>53.863604762318587</v>
      </c>
      <c r="KS33" s="33" t="s">
        <v>40</v>
      </c>
      <c r="KV33" s="31" t="str">
        <f>IF(KU33/(INDEX('Standards for Conversions'!$H$47:$H$73,MATCH(KT$3,'Standards for Conversions'!$A$47:$A$73,0)))=0,"",KU33/(INDEX('Standards for Conversions'!$H$47:$H$73,MATCH(KT$3,'Standards for Conversions'!$A$47:$A$73,0))))</f>
        <v/>
      </c>
      <c r="KW33" s="33" t="s">
        <v>40</v>
      </c>
      <c r="KX33" s="29">
        <v>100</v>
      </c>
      <c r="KY33" s="29">
        <v>500</v>
      </c>
      <c r="KZ33" s="31">
        <f>IF(KY33/(INDEX('Standards for Conversions'!$H$47:$H$73,MATCH(KX$3,'Standards for Conversions'!$A$47:$A$73,0)))=0,"",KY33/(INDEX('Standards for Conversions'!$H$47:$H$73,MATCH(KX$3,'Standards for Conversions'!$A$47:$A$73,0))))</f>
        <v>60.808283363749588</v>
      </c>
      <c r="LA33" s="33" t="s">
        <v>40</v>
      </c>
      <c r="LD33" s="31" t="str">
        <f>IF(LC33/(INDEX('Standards for Conversions'!$H$47:$H$73,MATCH(LB$3,'Standards for Conversions'!$A$47:$A$73,0)))=0,"",LC33/(INDEX('Standards for Conversions'!$H$47:$H$73,MATCH(LB$3,'Standards for Conversions'!$A$47:$A$73,0))))</f>
        <v/>
      </c>
      <c r="LE33" s="48" t="s">
        <v>40</v>
      </c>
      <c r="LF33" s="29">
        <v>52</v>
      </c>
      <c r="LG33" s="29">
        <v>340</v>
      </c>
      <c r="LH33" s="31">
        <f>IF(LG33/(INDEX('Standards for Conversions'!$H$47:$H$73,MATCH(LF$3,'Standards for Conversions'!$A$47:$A$73,0)))=0,"",LG33/(INDEX('Standards for Conversions'!$H$47:$H$73,MATCH(LF$3,'Standards for Conversions'!$A$47:$A$73,0))))</f>
        <v>41.349632687349718</v>
      </c>
      <c r="LL33" s="31" t="str">
        <f>IF(LK33/(INDEX('Standards for Conversions'!$H$47:$H$73,MATCH(LJ$3,'Standards for Conversions'!$A$47:$A$73,0)))=0,"",LK33/(INDEX('Standards for Conversions'!$H$47:$H$73,MATCH(LJ$3,'Standards for Conversions'!$A$47:$A$73,0))))</f>
        <v/>
      </c>
      <c r="LO33" s="31" t="str">
        <f>IF(LN33/(INDEX('Standards for Conversions'!$H$47:$H$73,MATCH(LM$3,'Standards for Conversions'!$A$47:$A$73,0)))=0,"",LN33/(INDEX('Standards for Conversions'!$H$47:$H$73,MATCH(LM$3,'Standards for Conversions'!$A$47:$A$73,0))))</f>
        <v/>
      </c>
      <c r="LR33" s="31" t="str">
        <f>IF(LQ33/(INDEX('Standards for Conversions'!$H$47:$H$73,MATCH(LP$3,'Standards for Conversions'!$A$47:$A$73,0)))=0,"",LQ33/(INDEX('Standards for Conversions'!$H$47:$H$73,MATCH(LP$3,'Standards for Conversions'!$A$47:$A$73,0))))</f>
        <v/>
      </c>
      <c r="LV33" s="31" t="str">
        <f>IF(LU33/(INDEX('Standards for Conversions'!$H$47:$H$73,MATCH(LT$3,'Standards for Conversions'!$A$47:$A$73,0)))=0,"",LU33/(INDEX('Standards for Conversions'!$H$47:$H$73,MATCH(LT$3,'Standards for Conversions'!$A$47:$A$73,0))))</f>
        <v/>
      </c>
      <c r="LY33" s="31" t="str">
        <f>IF(LX33/(INDEX('Standards for Conversions'!$H$47:$H$73,MATCH(LW$3,'Standards for Conversions'!$A$47:$A$73,0)))=0,"",LX33/(INDEX('Standards for Conversions'!$H$47:$H$73,MATCH(LW$3,'Standards for Conversions'!$A$47:$A$73,0))))</f>
        <v/>
      </c>
      <c r="MB33" s="31" t="str">
        <f>IF(MA33/(INDEX('Standards for Conversions'!$H$47:$H$73,MATCH(LZ$3,'Standards for Conversions'!$A$47:$A$73,0)))=0,"",MA33/(INDEX('Standards for Conversions'!$H$47:$H$73,MATCH(LZ$3,'Standards for Conversions'!$A$47:$A$73,0))))</f>
        <v/>
      </c>
      <c r="ME33" s="31" t="str">
        <f>IF(MD33/(INDEX('Standards for Conversions'!$H$47:$H$73,MATCH(MC$3,'Standards for Conversions'!$A$47:$A$73,0)))=0,"",MD33/(INDEX('Standards for Conversions'!$H$47:$H$73,MATCH(MC$3,'Standards for Conversions'!$A$47:$A$73,0))))</f>
        <v/>
      </c>
      <c r="MH33" s="31" t="str">
        <f>IF(MG33/(INDEX('Standards for Conversions'!$H$47:$H$73,MATCH(MF$3,'Standards for Conversions'!$A$47:$A$73,0)))=0,"",MG33/(INDEX('Standards for Conversions'!$H$47:$H$73,MATCH(MF$3,'Standards for Conversions'!$A$47:$A$73,0))))</f>
        <v/>
      </c>
      <c r="MK33" s="31" t="str">
        <f>IF(MJ33/(INDEX('Standards for Conversions'!$H$47:$H$73,MATCH(MI$3,'Standards for Conversions'!$A$47:$A$73,0)))=0,"",MJ33/(INDEX('Standards for Conversions'!$H$47:$H$73,MATCH(MI$3,'Standards for Conversions'!$A$47:$A$73,0))))</f>
        <v/>
      </c>
      <c r="MN33" s="31" t="str">
        <f>IF(MM33/(INDEX('Standards for Conversions'!$H$47:$H$73,MATCH(ML$3,'Standards for Conversions'!$A$47:$A$73,0)))=0,"",MM33/(INDEX('Standards for Conversions'!$H$47:$H$73,MATCH(ML$3,'Standards for Conversions'!$A$47:$A$73,0))))</f>
        <v/>
      </c>
      <c r="MR33" s="31" t="str">
        <f>IF(MQ33/(INDEX('Standards for Conversions'!$H$47:$H$73,MATCH(MP$3,'Standards for Conversions'!$A$47:$A$73,0)))=0,"",MQ33/(INDEX('Standards for Conversions'!$H$47:$H$73,MATCH(MP$3,'Standards for Conversions'!$A$47:$A$73,0))))</f>
        <v/>
      </c>
    </row>
    <row r="34" spans="1:356" hidden="1" x14ac:dyDescent="0.3">
      <c r="A34" s="103" t="s">
        <v>217</v>
      </c>
      <c r="B34" s="10" t="s">
        <v>40</v>
      </c>
      <c r="C34" s="7"/>
      <c r="D34" s="7"/>
      <c r="E34" s="31" t="str">
        <f>IF(D34/(INDEX('Standards for Conversions'!$H$34:$H$73,MATCH(C$3,'Standards for Conversions'!$A$34:$A$73,0)))=0,"",D34/(INDEX('Standards for Conversions'!$H$34:$H$73,MATCH(C$3,'Standards for Conversions'!$A$34:$A$73,0))))</f>
        <v/>
      </c>
      <c r="F34" s="10" t="s">
        <v>40</v>
      </c>
      <c r="G34" s="7"/>
      <c r="H34" s="7"/>
      <c r="I34" s="31" t="str">
        <f>IF(H34/(INDEX('Standards for Conversions'!$H$34:$H$73,MATCH(G$3,'Standards for Conversions'!$A$34:$A$73,0)))=0,"",H34/(INDEX('Standards for Conversions'!$H$34:$H$73,MATCH(G$3,'Standards for Conversions'!$A$34:$A$73,0))))</f>
        <v/>
      </c>
      <c r="J34" s="10" t="s">
        <v>40</v>
      </c>
      <c r="K34" s="9"/>
      <c r="L34" s="9"/>
      <c r="M34" s="31" t="str">
        <f>IF(L34/(INDEX('Standards for Conversions'!$H$34:$H$73,MATCH(K$3,'Standards for Conversions'!$A$34:$A$73,0)))=0,"",L34/(INDEX('Standards for Conversions'!$H$34:$H$73,MATCH(K$3,'Standards for Conversions'!$A$34:$A$73,0))))</f>
        <v/>
      </c>
      <c r="N34" s="10" t="s">
        <v>40</v>
      </c>
      <c r="O34" s="7"/>
      <c r="P34" s="7"/>
      <c r="Q34" s="31" t="str">
        <f>IF(P34/(INDEX('Standards for Conversions'!$H$34:$H$73,MATCH(O$3,'Standards for Conversions'!$A$34:$A$73,0)))=0,"",P34/(INDEX('Standards for Conversions'!$H$34:$H$73,MATCH(O$3,'Standards for Conversions'!$A$34:$A$73,0))))</f>
        <v/>
      </c>
      <c r="R34" s="10" t="s">
        <v>40</v>
      </c>
      <c r="S34" s="7"/>
      <c r="T34" s="7"/>
      <c r="U34" s="31" t="str">
        <f>IF(T34/(INDEX('Standards for Conversions'!$H$34:$H$73,MATCH(S$3,'Standards for Conversions'!$A$34:$A$73,0)))=0,"",T34/(INDEX('Standards for Conversions'!$H$34:$H$73,MATCH(S$3,'Standards for Conversions'!$A$34:$A$73,0))))</f>
        <v/>
      </c>
      <c r="V34" s="10" t="s">
        <v>40</v>
      </c>
      <c r="W34" s="7"/>
      <c r="X34" s="7"/>
      <c r="Y34" s="31" t="str">
        <f>IF(X34/(INDEX('Standards for Conversions'!$H$34:$H$73,MATCH(W$3,'Standards for Conversions'!$A$34:$A$73,0)))=0,"",X34/(INDEX('Standards for Conversions'!$H$34:$H$73,MATCH(W$3,'Standards for Conversions'!$A$34:$A$73,0))))</f>
        <v/>
      </c>
      <c r="Z34" s="10" t="s">
        <v>40</v>
      </c>
      <c r="AA34" s="9"/>
      <c r="AB34" s="9"/>
      <c r="AC34" s="31" t="str">
        <f>IF(AB34/(INDEX('Standards for Conversions'!$H$34:$H$73,MATCH(AA$3,'Standards for Conversions'!$A$34:$A$73,0)))=0,"",AB34/(INDEX('Standards for Conversions'!$H$34:$H$73,MATCH(AA$3,'Standards for Conversions'!$A$34:$A$73,0))))</f>
        <v/>
      </c>
      <c r="AD34" s="10" t="s">
        <v>40</v>
      </c>
      <c r="AE34" s="7"/>
      <c r="AF34" s="7"/>
      <c r="AG34" s="31" t="str">
        <f>IF(AF34/(INDEX('Standards for Conversions'!$H$34:$H$73,MATCH(AE$3,'Standards for Conversions'!$A$34:$A$73,0)))=0,"",AF34/(INDEX('Standards for Conversions'!$H$34:$H$73,MATCH(AE$3,'Standards for Conversions'!$A$34:$A$73,0))))</f>
        <v/>
      </c>
      <c r="AH34" s="10" t="s">
        <v>40</v>
      </c>
      <c r="AI34" s="7"/>
      <c r="AJ34" s="7"/>
      <c r="AK34" s="31" t="str">
        <f>IF(AJ34/(INDEX('Standards for Conversions'!$H$34:$H$73,MATCH(AI$3,'Standards for Conversions'!$A$34:$A$73,0)))=0,"",AJ34/(INDEX('Standards for Conversions'!$H$34:$H$73,MATCH(AI$3,'Standards for Conversions'!$A$34:$A$73,0))))</f>
        <v/>
      </c>
      <c r="AL34" s="10" t="s">
        <v>40</v>
      </c>
      <c r="AM34" s="7"/>
      <c r="AN34" s="7"/>
      <c r="AO34" s="31" t="str">
        <f>IF(AN34/(INDEX('Standards for Conversions'!$H$34:$H$73,MATCH(AM$3,'Standards for Conversions'!$A$34:$A$73,0)))=0,"",AN34/(INDEX('Standards for Conversions'!$H$34:$H$73,MATCH(AM$3,'Standards for Conversions'!$A$34:$A$73,0))))</f>
        <v/>
      </c>
      <c r="AP34" s="10" t="s">
        <v>40</v>
      </c>
      <c r="AQ34" s="9"/>
      <c r="AR34" s="9"/>
      <c r="AS34" s="31" t="str">
        <f>IF(AR34/(INDEX('Standards for Conversions'!$H$34:$H$73,MATCH(AQ$3,'Standards for Conversions'!$A$34:$A$73,0)))=0,"",AR34/(INDEX('Standards for Conversions'!$H$34:$H$73,MATCH(AQ$3,'Standards for Conversions'!$A$34:$A$73,0))))</f>
        <v/>
      </c>
      <c r="AT34" s="10" t="s">
        <v>40</v>
      </c>
      <c r="AU34" s="7"/>
      <c r="AV34" s="7"/>
      <c r="AW34" s="31" t="str">
        <f>IF(AV34/(INDEX('Standards for Conversions'!$H$34:$H$73,MATCH(AU$3,'Standards for Conversions'!$A$34:$A$73,0)))=0,"",AV34/(INDEX('Standards for Conversions'!$H$34:$H$73,MATCH(AU$3,'Standards for Conversions'!$A$34:$A$73,0))))</f>
        <v/>
      </c>
      <c r="AX34" s="10" t="s">
        <v>40</v>
      </c>
      <c r="AY34" s="7"/>
      <c r="AZ34" s="7"/>
      <c r="BA34" s="31" t="str">
        <f>IF(AZ34/(INDEX('Standards for Conversions'!$H$34:$H$73,MATCH(AY$3,'Standards for Conversions'!$A$34:$A$73,0)))=0,"",AZ34/(INDEX('Standards for Conversions'!$H$34:$H$73,MATCH(AY$3,'Standards for Conversions'!$A$34:$A$73,0))))</f>
        <v/>
      </c>
      <c r="BB34" s="10" t="s">
        <v>40</v>
      </c>
      <c r="BC34" s="7"/>
      <c r="BD34" s="7"/>
      <c r="BE34" s="31" t="str">
        <f>IF(BD34/(INDEX('Standards for Conversions'!$H$34:$H$73,MATCH(BC$3,'Standards for Conversions'!$A$34:$A$73,0)))=0,"",BD34/(INDEX('Standards for Conversions'!$H$34:$H$73,MATCH(BC$3,'Standards for Conversions'!$A$34:$A$73,0))))</f>
        <v/>
      </c>
      <c r="BF34" s="10" t="s">
        <v>40</v>
      </c>
      <c r="BG34" s="9"/>
      <c r="BH34" s="9"/>
      <c r="BI34" s="31" t="str">
        <f>IF(BH34/(INDEX('Standards for Conversions'!$H$34:$H$73,MATCH(BG$3,'Standards for Conversions'!$A$34:$A$73,0)))=0,"",BH34/(INDEX('Standards for Conversions'!$H$34:$H$73,MATCH(BG$3,'Standards for Conversions'!$A$34:$A$73,0))))</f>
        <v/>
      </c>
      <c r="BJ34" s="10" t="s">
        <v>40</v>
      </c>
      <c r="BK34" s="7"/>
      <c r="BL34" s="7"/>
      <c r="BM34" s="31" t="str">
        <f>IF(BL34/(INDEX('Standards for Conversions'!$H$34:$H$73,MATCH(BK$3,'Standards for Conversions'!$A$34:$A$73,0)))=0,"",BL34/(INDEX('Standards for Conversions'!$H$34:$H$73,MATCH(BK$3,'Standards for Conversions'!$A$34:$A$73,0))))</f>
        <v/>
      </c>
      <c r="BN34" s="10" t="s">
        <v>40</v>
      </c>
      <c r="BO34" s="7"/>
      <c r="BP34" s="7"/>
      <c r="BQ34" s="31" t="str">
        <f>IF(BP34/(INDEX('Standards for Conversions'!$H$34:$H$73,MATCH(BO$3,'Standards for Conversions'!$A$34:$A$73,0)))=0,"",BP34/(INDEX('Standards for Conversions'!$H$34:$H$73,MATCH(BO$3,'Standards for Conversions'!$A$34:$A$73,0))))</f>
        <v/>
      </c>
      <c r="BR34" s="10" t="s">
        <v>40</v>
      </c>
      <c r="BS34" s="7"/>
      <c r="BT34" s="7"/>
      <c r="BU34" s="31" t="str">
        <f>IF(BT34/(INDEX('Standards for Conversions'!$H$34:$H$73,MATCH(BS$3,'Standards for Conversions'!$A$34:$A$73,0)))=0,"",BT34/(INDEX('Standards for Conversions'!$H$34:$H$73,MATCH(BS$3,'Standards for Conversions'!$A$34:$A$73,0))))</f>
        <v/>
      </c>
      <c r="BV34" s="10" t="s">
        <v>40</v>
      </c>
      <c r="BW34" s="9"/>
      <c r="BX34" s="9"/>
      <c r="BY34" s="31" t="str">
        <f>IF(BX34/(INDEX('Standards for Conversions'!$H$34:$H$73,MATCH(BW$3,'Standards for Conversions'!$A$34:$A$73,0)))=0,"",BX34/(INDEX('Standards for Conversions'!$H$34:$H$73,MATCH(BW$3,'Standards for Conversions'!$A$34:$A$73,0))))</f>
        <v/>
      </c>
      <c r="BZ34" s="10" t="s">
        <v>40</v>
      </c>
      <c r="CA34" s="7"/>
      <c r="CB34" s="7"/>
      <c r="CC34" s="31" t="str">
        <f>IF(CB34/(INDEX('Standards for Conversions'!$H$34:$H$73,MATCH(CA$3,'Standards for Conversions'!$A$34:$A$73,0)))=0,"",CB34/(INDEX('Standards for Conversions'!$H$34:$H$73,MATCH(CA$3,'Standards for Conversions'!$A$34:$A$73,0))))</f>
        <v/>
      </c>
      <c r="CD34" s="10" t="s">
        <v>40</v>
      </c>
      <c r="CE34" s="7"/>
      <c r="CF34" s="7"/>
      <c r="CG34" s="31" t="str">
        <f>IF(CF34/(INDEX('Standards for Conversions'!$H$34:$H$73,MATCH(CE$3,'Standards for Conversions'!$A$34:$A$73,0)))=0,"",CF34/(INDEX('Standards for Conversions'!$H$34:$H$73,MATCH(CE$3,'Standards for Conversions'!$A$34:$A$73,0))))</f>
        <v/>
      </c>
      <c r="CH34" s="10" t="s">
        <v>40</v>
      </c>
      <c r="CI34" s="7"/>
      <c r="CJ34" s="7"/>
      <c r="CK34" s="31" t="str">
        <f>IF(CJ34/(INDEX('Standards for Conversions'!$H$34:$H$73,MATCH(CI$3,'Standards for Conversions'!$A$34:$A$73,0)))=0,"",CJ34/(INDEX('Standards for Conversions'!$H$34:$H$73,MATCH(CI$3,'Standards for Conversions'!$A$34:$A$73,0))))</f>
        <v/>
      </c>
      <c r="CL34" s="10" t="s">
        <v>40</v>
      </c>
      <c r="CM34" s="9"/>
      <c r="CN34" s="9"/>
      <c r="CO34" s="31" t="str">
        <f>IF(CN34/(INDEX('Standards for Conversions'!$H$34:$H$73,MATCH(CM$3,'Standards for Conversions'!$A$34:$A$73,0)))=0,"",CN34/(INDEX('Standards for Conversions'!$H$34:$H$73,MATCH(CM$3,'Standards for Conversions'!$A$34:$A$73,0))))</f>
        <v/>
      </c>
      <c r="CP34" s="10" t="s">
        <v>40</v>
      </c>
      <c r="CQ34" s="7"/>
      <c r="CR34" s="7"/>
      <c r="CS34" s="31" t="str">
        <f>IF(CR34/(INDEX('Standards for Conversions'!$H$34:$H$73,MATCH(CQ$3,'Standards for Conversions'!$A$34:$A$73,0)))=0,"",CR34/(INDEX('Standards for Conversions'!$H$34:$H$73,MATCH(CQ$3,'Standards for Conversions'!$A$34:$A$73,0))))</f>
        <v/>
      </c>
      <c r="CT34" s="10" t="s">
        <v>40</v>
      </c>
      <c r="CU34" s="7"/>
      <c r="CV34" s="7"/>
      <c r="CW34" s="31" t="str">
        <f>IF(CV34/(INDEX('Standards for Conversions'!$H$34:$H$73,MATCH(CU$3,'Standards for Conversions'!$A$34:$A$73,0)))=0,"",CV34/(INDEX('Standards for Conversions'!$H$34:$H$73,MATCH(CU$3,'Standards for Conversions'!$A$34:$A$73,0))))</f>
        <v/>
      </c>
      <c r="CX34" s="10" t="s">
        <v>40</v>
      </c>
      <c r="CY34" s="7"/>
      <c r="CZ34" s="7"/>
      <c r="DA34" s="31" t="str">
        <f>IF(CZ34/(INDEX('Standards for Conversions'!$H$34:$H$73,MATCH(CY$3,'Standards for Conversions'!$A$34:$A$73,0)))=0,"",CZ34/(INDEX('Standards for Conversions'!$H$34:$H$73,MATCH(CY$3,'Standards for Conversions'!$A$34:$A$73,0))))</f>
        <v/>
      </c>
      <c r="DB34" s="10" t="s">
        <v>40</v>
      </c>
      <c r="DC34" s="9"/>
      <c r="DD34" s="9"/>
      <c r="DE34" s="31" t="str">
        <f>IF(DD34/(INDEX('Standards for Conversions'!$H$34:$H$73,MATCH(DC$3,'Standards for Conversions'!$A$34:$A$73,0)))=0,"",DD34/(INDEX('Standards for Conversions'!$H$34:$H$73,MATCH(DC$3,'Standards for Conversions'!$A$34:$A$73,0))))</f>
        <v/>
      </c>
      <c r="DF34" s="10" t="s">
        <v>40</v>
      </c>
      <c r="DG34" s="7"/>
      <c r="DH34" s="7"/>
      <c r="DI34" s="31" t="str">
        <f>IF(DH34/(INDEX('Standards for Conversions'!$H$34:$H$73,MATCH(DG$3,'Standards for Conversions'!$A$34:$A$73,0)))=0,"",DH34/(INDEX('Standards for Conversions'!$H$34:$H$73,MATCH(DG$3,'Standards for Conversions'!$A$34:$A$73,0))))</f>
        <v/>
      </c>
      <c r="DJ34" s="10" t="s">
        <v>40</v>
      </c>
      <c r="DK34" s="7"/>
      <c r="DL34" s="7"/>
      <c r="DM34" s="31" t="str">
        <f>IF(DL34/(INDEX('Standards for Conversions'!$H$34:$H$73,MATCH(DK$3,'Standards for Conversions'!$A$34:$A$73,0)))=0,"",DL34/(INDEX('Standards for Conversions'!$H$34:$H$73,MATCH(DK$3,'Standards for Conversions'!$A$34:$A$73,0))))</f>
        <v/>
      </c>
      <c r="DN34" s="10" t="s">
        <v>40</v>
      </c>
      <c r="DO34" s="7"/>
      <c r="DP34" s="7"/>
      <c r="DQ34" s="31" t="str">
        <f>IF(DP34/(INDEX('Standards for Conversions'!$H$34:$H$73,MATCH(DO$3,'Standards for Conversions'!$A$34:$A$73,0)))=0,"",DP34/(INDEX('Standards for Conversions'!$H$34:$H$73,MATCH(DO$3,'Standards for Conversions'!$A$34:$A$73,0))))</f>
        <v/>
      </c>
      <c r="DR34" s="10" t="s">
        <v>40</v>
      </c>
      <c r="DS34" s="9"/>
      <c r="DT34" s="9"/>
      <c r="DU34" s="31" t="str">
        <f>IF(DT34/(INDEX('Standards for Conversions'!$H$34:$H$73,MATCH(DS$3,'Standards for Conversions'!$A$34:$A$73,0)))=0,"",DT34/(INDEX('Standards for Conversions'!$H$34:$H$73,MATCH(DS$3,'Standards for Conversions'!$A$34:$A$73,0))))</f>
        <v/>
      </c>
      <c r="DV34" s="10" t="s">
        <v>40</v>
      </c>
      <c r="DW34" s="7"/>
      <c r="DX34" s="7"/>
      <c r="DY34" s="31" t="str">
        <f>IF(DX34/(INDEX('Standards for Conversions'!$H$34:$H$73,MATCH(DW$3,'Standards for Conversions'!$A$34:$A$73,0)))=0,"",DX34/(INDEX('Standards for Conversions'!$H$34:$H$73,MATCH(DW$3,'Standards for Conversions'!$A$34:$A$73,0))))</f>
        <v/>
      </c>
      <c r="DZ34" s="10" t="s">
        <v>40</v>
      </c>
      <c r="EA34" s="7"/>
      <c r="EB34" s="7"/>
      <c r="EC34" s="31" t="str">
        <f>IF(EB34/(INDEX('Standards for Conversions'!$H$34:$H$73,MATCH(EA$3,'Standards for Conversions'!$A$34:$A$73,0)))=0,"",EB34/(INDEX('Standards for Conversions'!$H$34:$H$73,MATCH(EA$3,'Standards for Conversions'!$A$34:$A$73,0))))</f>
        <v/>
      </c>
      <c r="ED34" s="10" t="s">
        <v>40</v>
      </c>
      <c r="EE34" s="7"/>
      <c r="EF34" s="7"/>
      <c r="EG34" s="31" t="str">
        <f>IF(EF34/(INDEX('Standards for Conversions'!$H$34:$H$73,MATCH(EE$3,'Standards for Conversions'!$A$34:$A$73,0)))=0,"",EF34/(INDEX('Standards for Conversions'!$H$34:$H$73,MATCH(EE$3,'Standards for Conversions'!$A$34:$A$73,0))))</f>
        <v/>
      </c>
      <c r="EH34" s="10" t="s">
        <v>40</v>
      </c>
      <c r="EI34" s="9"/>
      <c r="EJ34" s="9"/>
      <c r="EK34" s="31" t="str">
        <f>IF(EJ34/(INDEX('Standards for Conversions'!$H$34:$H$73,MATCH(EI$3,'Standards for Conversions'!$A$34:$A$73,0)))=0,"",EJ34/(INDEX('Standards for Conversions'!$H$34:$H$73,MATCH(EI$3,'Standards for Conversions'!$A$34:$A$73,0))))</f>
        <v/>
      </c>
      <c r="EL34" s="10" t="s">
        <v>40</v>
      </c>
      <c r="EM34" s="7"/>
      <c r="EN34" s="7"/>
      <c r="EO34" s="31" t="str">
        <f>IF(EN34/(INDEX('Standards for Conversions'!$H$34:$H$73,MATCH(EM$3,'Standards for Conversions'!$A$34:$A$73,0)))=0,"",EN34/(INDEX('Standards for Conversions'!$H$34:$H$73,MATCH(EM$3,'Standards for Conversions'!$A$34:$A$73,0))))</f>
        <v/>
      </c>
      <c r="EP34" s="10" t="s">
        <v>40</v>
      </c>
      <c r="EQ34" s="7"/>
      <c r="ER34" s="7"/>
      <c r="ES34" s="31" t="str">
        <f>IF(ER34/(INDEX('Standards for Conversions'!$H$34:$H$73,MATCH(EQ$3,'Standards for Conversions'!$A$34:$A$73,0)))=0,"",ER34/(INDEX('Standards for Conversions'!$H$34:$H$73,MATCH(EQ$3,'Standards for Conversions'!$A$34:$A$73,0))))</f>
        <v/>
      </c>
      <c r="ET34" s="10" t="s">
        <v>40</v>
      </c>
      <c r="EU34" s="7"/>
      <c r="EV34" s="7"/>
      <c r="EW34" s="31" t="str">
        <f>IF(EV34/(INDEX('Standards for Conversions'!$H$34:$H$73,MATCH(EU$3,'Standards for Conversions'!$A$34:$A$73,0)))=0,"",EV34/(INDEX('Standards for Conversions'!$H$34:$H$73,MATCH(EU$3,'Standards for Conversions'!$A$34:$A$73,0))))</f>
        <v/>
      </c>
      <c r="EX34" s="10" t="s">
        <v>40</v>
      </c>
      <c r="EY34" s="9"/>
      <c r="EZ34" s="9"/>
      <c r="FA34" s="31" t="str">
        <f>IF(EZ34/(INDEX('Standards for Conversions'!$H$34:$H$73,MATCH(EY$3,'Standards for Conversions'!$A$34:$A$73,0)))=0,"",EZ34/(INDEX('Standards for Conversions'!$H$34:$H$73,MATCH(EY$3,'Standards for Conversions'!$A$34:$A$73,0))))</f>
        <v/>
      </c>
      <c r="FB34" s="10" t="s">
        <v>40</v>
      </c>
      <c r="FC34" s="7"/>
      <c r="FD34" s="7"/>
      <c r="FE34" s="31" t="str">
        <f>IF(FD34/(INDEX('Standards for Conversions'!$H$34:$H$73,MATCH(FC$3,'Standards for Conversions'!$A$34:$A$73,0)))=0,"",FD34/(INDEX('Standards for Conversions'!$H$34:$H$73,MATCH(FC$3,'Standards for Conversions'!$A$34:$A$73,0))))</f>
        <v/>
      </c>
      <c r="FF34" s="10" t="s">
        <v>40</v>
      </c>
      <c r="FG34" s="7"/>
      <c r="FH34" s="7"/>
      <c r="FI34" s="31" t="str">
        <f>IF(FH34/(INDEX('Standards for Conversions'!$H$34:$H$73,MATCH(FG$3,'Standards for Conversions'!$A$34:$A$73,0)))=0,"",FH34/(INDEX('Standards for Conversions'!$H$34:$H$73,MATCH(FG$3,'Standards for Conversions'!$A$34:$A$73,0))))</f>
        <v/>
      </c>
      <c r="FJ34" s="10" t="s">
        <v>40</v>
      </c>
      <c r="FK34" s="7"/>
      <c r="FL34" s="7"/>
      <c r="FM34" s="31" t="str">
        <f>IF(FL34/(INDEX('Standards for Conversions'!$H$34:$H$73,MATCH(FK$3,'Standards for Conversions'!$A$34:$A$73,0)))=0,"",FL34/(INDEX('Standards for Conversions'!$H$34:$H$73,MATCH(FK$3,'Standards for Conversions'!$A$34:$A$73,0))))</f>
        <v/>
      </c>
      <c r="FN34" s="10" t="s">
        <v>40</v>
      </c>
      <c r="FO34" s="9"/>
      <c r="FP34" s="9"/>
      <c r="FQ34" s="31" t="str">
        <f>IF(FP34/(INDEX('Standards for Conversions'!$H$34:$H$73,MATCH(FO$3,'Standards for Conversions'!$A$34:$A$73,0)))=0,"",FP34/(INDEX('Standards for Conversions'!$H$34:$H$73,MATCH(FO$3,'Standards for Conversions'!$A$34:$A$73,0))))</f>
        <v/>
      </c>
      <c r="FR34" s="10" t="s">
        <v>40</v>
      </c>
      <c r="FS34" s="7"/>
      <c r="FT34" s="7"/>
      <c r="FU34" s="31" t="str">
        <f>IF(FT34/(INDEX('Standards for Conversions'!$H$34:$H$73,MATCH(FS$3,'Standards for Conversions'!$A$34:$A$73,0)))=0,"",FT34/(INDEX('Standards for Conversions'!$H$34:$H$73,MATCH(FS$3,'Standards for Conversions'!$A$34:$A$73,0))))</f>
        <v/>
      </c>
      <c r="FV34" s="10" t="s">
        <v>40</v>
      </c>
      <c r="FW34" s="7"/>
      <c r="FX34" s="7"/>
      <c r="FY34" s="31" t="str">
        <f>IF(FX34/(INDEX('Standards for Conversions'!$H$34:$H$73,MATCH(FW$3,'Standards for Conversions'!$A$34:$A$73,0)))=0,"",FX34/(INDEX('Standards for Conversions'!$H$34:$H$73,MATCH(FW$3,'Standards for Conversions'!$A$34:$A$73,0))))</f>
        <v/>
      </c>
      <c r="FZ34" s="10" t="s">
        <v>40</v>
      </c>
      <c r="GA34" s="7"/>
      <c r="GB34" s="7"/>
      <c r="GC34" s="31" t="str">
        <f>IF(GB34/(INDEX('Standards for Conversions'!$H$34:$H$73,MATCH(GA$3,'Standards for Conversions'!$A$34:$A$73,0)))=0,"",GB34/(INDEX('Standards for Conversions'!$H$34:$H$73,MATCH(GA$3,'Standards for Conversions'!$A$34:$A$73,0))))</f>
        <v/>
      </c>
      <c r="GD34" s="10" t="s">
        <v>40</v>
      </c>
      <c r="GE34" s="9"/>
      <c r="GF34" s="9"/>
      <c r="GG34" s="31" t="str">
        <f>IF(GF34/(INDEX('Standards for Conversions'!$H$34:$H$73,MATCH(GE$3,'Standards for Conversions'!$A$34:$A$73,0)))=0,"",GF34/(INDEX('Standards for Conversions'!$H$34:$H$73,MATCH(GE$3,'Standards for Conversions'!$A$34:$A$73,0))))</f>
        <v/>
      </c>
      <c r="GH34" s="10" t="s">
        <v>40</v>
      </c>
      <c r="GI34" s="7"/>
      <c r="GJ34" s="7"/>
      <c r="GK34" s="31" t="str">
        <f>IF(GJ34/(INDEX('Standards for Conversions'!$H$34:$H$73,MATCH(GI$3,'Standards for Conversions'!$A$34:$A$73,0)))=0,"",GJ34/(INDEX('Standards for Conversions'!$H$34:$H$73,MATCH(GI$3,'Standards for Conversions'!$A$34:$A$73,0))))</f>
        <v/>
      </c>
      <c r="GL34" s="10" t="s">
        <v>40</v>
      </c>
      <c r="GM34" s="7"/>
      <c r="GN34" s="7"/>
      <c r="GO34" s="31" t="str">
        <f>IF(GN34/(INDEX('Standards for Conversions'!$H$34:$H$73,MATCH(GM$3,'Standards for Conversions'!$A$34:$A$73,0)))=0,"",GN34/(INDEX('Standards for Conversions'!$H$34:$H$73,MATCH(GM$3,'Standards for Conversions'!$A$34:$A$73,0))))</f>
        <v/>
      </c>
      <c r="GP34" s="10" t="s">
        <v>40</v>
      </c>
      <c r="GQ34" s="7"/>
      <c r="GR34" s="7"/>
      <c r="GS34" s="31" t="str">
        <f>IF(GR34/(INDEX('Standards for Conversions'!$H$34:$H$73,MATCH(GQ$3,'Standards for Conversions'!$A$34:$A$73,0)))=0,"",GR34/(INDEX('Standards for Conversions'!$H$34:$H$73,MATCH(GQ$3,'Standards for Conversions'!$A$34:$A$73,0))))</f>
        <v/>
      </c>
      <c r="GT34" s="10" t="s">
        <v>40</v>
      </c>
      <c r="GU34" s="9"/>
      <c r="GV34" s="9"/>
      <c r="GW34" s="31" t="str">
        <f>IF(GV34/(INDEX('Standards for Conversions'!$H$34:$H$73,MATCH(GU$3,'Standards for Conversions'!$A$34:$A$73,0)))=0,"",GV34/(INDEX('Standards for Conversions'!$H$34:$H$73,MATCH(GU$3,'Standards for Conversions'!$A$34:$A$73,0))))</f>
        <v/>
      </c>
      <c r="GX34" s="10" t="s">
        <v>40</v>
      </c>
      <c r="GY34" s="7"/>
      <c r="GZ34" s="7"/>
      <c r="HA34" s="31" t="str">
        <f>IF(GZ34/(INDEX('Standards for Conversions'!$H$34:$H$73,MATCH(GY$3,'Standards for Conversions'!$A$34:$A$73,0)))=0,"",GZ34/(INDEX('Standards for Conversions'!$H$34:$H$73,MATCH(GY$3,'Standards for Conversions'!$A$34:$A$73,0))))</f>
        <v/>
      </c>
      <c r="HB34" s="10" t="s">
        <v>40</v>
      </c>
      <c r="HC34" s="7"/>
      <c r="HD34" s="7"/>
      <c r="HE34" s="31" t="str">
        <f>IF(HD34/(INDEX('Standards for Conversions'!$H$34:$H$73,MATCH(HC$3,'Standards for Conversions'!$A$34:$A$73,0)))=0,"",HD34/(INDEX('Standards for Conversions'!$H$34:$H$73,MATCH(HC$3,'Standards for Conversions'!$A$34:$A$73,0))))</f>
        <v/>
      </c>
      <c r="HF34" s="10" t="s">
        <v>40</v>
      </c>
      <c r="HG34" s="7"/>
      <c r="HH34" s="7"/>
      <c r="HI34" s="31" t="str">
        <f>IF(HH34/(INDEX('Standards for Conversions'!$H$34:$H$73,MATCH(HG$3,'Standards for Conversions'!$A$34:$A$73,0)))=0,"",HH34/(INDEX('Standards for Conversions'!$H$34:$H$73,MATCH(HG$3,'Standards for Conversions'!$A$34:$A$73,0))))</f>
        <v/>
      </c>
      <c r="HJ34" s="10" t="s">
        <v>40</v>
      </c>
      <c r="HK34" s="9"/>
      <c r="HL34" s="9"/>
      <c r="HM34" s="31" t="str">
        <f>IF(HL34/(INDEX('Standards for Conversions'!$H$34:$H$73,MATCH(HK$3,'Standards for Conversions'!$A$34:$A$73,0)))=0,"",HL34/(INDEX('Standards for Conversions'!$H$34:$H$73,MATCH(HK$3,'Standards for Conversions'!$A$34:$A$73,0))))</f>
        <v/>
      </c>
      <c r="HN34" s="10" t="s">
        <v>40</v>
      </c>
      <c r="HO34" s="7"/>
      <c r="HP34" s="7"/>
      <c r="HQ34" s="31" t="str">
        <f>IF(HP34/(INDEX('Standards for Conversions'!$H$34:$H$73,MATCH(HO$3,'Standards for Conversions'!$A$34:$A$73,0)))=0,"",HP34/(INDEX('Standards for Conversions'!$H$34:$H$73,MATCH(HO$3,'Standards for Conversions'!$A$34:$A$73,0))))</f>
        <v/>
      </c>
      <c r="HR34" s="33" t="s">
        <v>40</v>
      </c>
      <c r="HU34" s="31" t="str">
        <f>IF(HT34/(INDEX('Standards for Conversions'!$H$47:$H$73,MATCH(HS$3,'Standards for Conversions'!$A$47:$A$73,0)))=0,"",HT34/(INDEX('Standards for Conversions'!$H$47:$H$73,MATCH(HS$3,'Standards for Conversions'!$A$47:$A$73,0))))</f>
        <v/>
      </c>
      <c r="HV34" s="33" t="s">
        <v>40</v>
      </c>
      <c r="HY34" s="31" t="str">
        <f>IF(HX34/(INDEX('Standards for Conversions'!$H$47:$H$73,MATCH(HW$3,'Standards for Conversions'!$A$47:$A$73,0)))=0,"",HX34/(INDEX('Standards for Conversions'!$H$47:$H$73,MATCH(HW$3,'Standards for Conversions'!$A$47:$A$73,0))))</f>
        <v/>
      </c>
      <c r="HZ34" s="33"/>
      <c r="IA34" s="33"/>
      <c r="IB34" s="31" t="str">
        <f>IF(IA34/(INDEX('Standards for Conversions'!$H$47:$H$73,MATCH(HZ$3,'Standards for Conversions'!$A$47:$A$73,0)))=0,"",IA34/(INDEX('Standards for Conversions'!$H$47:$H$73,MATCH(HZ$3,'Standards for Conversions'!$A$47:$A$73,0))))</f>
        <v/>
      </c>
      <c r="IC34" s="33" t="s">
        <v>40</v>
      </c>
      <c r="ID34" s="29">
        <v>30</v>
      </c>
      <c r="IE34" s="29">
        <v>200</v>
      </c>
      <c r="IF34" s="31">
        <f>IF(IE34/(INDEX('Standards for Conversions'!$H$47:$H$73,MATCH(ID$3,'Standards for Conversions'!$A$47:$A$73,0)))=0,"",IE34/(INDEX('Standards for Conversions'!$H$47:$H$73,MATCH(ID$3,'Standards for Conversions'!$A$47:$A$73,0))))</f>
        <v>29.049082442571191</v>
      </c>
      <c r="IG34" s="33" t="s">
        <v>40</v>
      </c>
      <c r="IJ34" s="31" t="str">
        <f>IF(II34/(INDEX('Standards for Conversions'!$H$47:$H$73,MATCH(IH$3,'Standards for Conversions'!$A$47:$A$73,0)))=0,"",II34/(INDEX('Standards for Conversions'!$H$47:$H$73,MATCH(IH$3,'Standards for Conversions'!$A$47:$A$73,0))))</f>
        <v/>
      </c>
      <c r="IK34" s="33" t="s">
        <v>40</v>
      </c>
      <c r="IN34" s="31" t="str">
        <f>IF(IM34/(INDEX('Standards for Conversions'!$H$47:$H$73,MATCH(IL$3,'Standards for Conversions'!$A$47:$A$73,0)))=0,"",IM34/(INDEX('Standards for Conversions'!$H$47:$H$73,MATCH(IL$3,'Standards for Conversions'!$A$47:$A$73,0))))</f>
        <v/>
      </c>
      <c r="IO34" s="33" t="s">
        <v>40</v>
      </c>
      <c r="IR34" s="31" t="str">
        <f>IF(IQ34/(INDEX('Standards for Conversions'!$H$47:$H$73,MATCH(IP$3,'Standards for Conversions'!$A$47:$A$73,0)))=0,"",IQ34/(INDEX('Standards for Conversions'!$H$47:$H$73,MATCH(IP$3,'Standards for Conversions'!$A$47:$A$73,0))))</f>
        <v/>
      </c>
      <c r="IS34" s="33" t="s">
        <v>40</v>
      </c>
      <c r="IT34" s="29">
        <v>9</v>
      </c>
      <c r="IU34" s="29">
        <v>65</v>
      </c>
      <c r="IV34" s="31">
        <f>IF(IU34/(INDEX('Standards for Conversions'!$H$47:$H$73,MATCH(IT$3,'Standards for Conversions'!$A$47:$A$73,0)))=0,"",IU34/(INDEX('Standards for Conversions'!$H$47:$H$73,MATCH(IT$3,'Standards for Conversions'!$A$47:$A$73,0))))</f>
        <v>9.3996648326381038</v>
      </c>
      <c r="IW34" s="33" t="s">
        <v>40</v>
      </c>
      <c r="IZ34" s="31" t="str">
        <f>IF(IY34/(INDEX('Standards for Conversions'!$H$47:$H$73,MATCH(IX$3,'Standards for Conversions'!$A$47:$A$73,0)))=0,"",IY34/(INDEX('Standards for Conversions'!$H$47:$H$73,MATCH(IX$3,'Standards for Conversions'!$A$47:$A$73,0))))</f>
        <v/>
      </c>
      <c r="JA34" s="33" t="s">
        <v>40</v>
      </c>
      <c r="JD34" s="31" t="str">
        <f>IF(JC34/(INDEX('Standards for Conversions'!$H$47:$H$73,MATCH(JB$3,'Standards for Conversions'!$A$47:$A$73,0)))=0,"",JC34/(INDEX('Standards for Conversions'!$H$47:$H$73,MATCH(JB$3,'Standards for Conversions'!$A$47:$A$73,0))))</f>
        <v/>
      </c>
      <c r="JE34" s="33" t="s">
        <v>40</v>
      </c>
      <c r="JH34" s="31" t="str">
        <f>IF(JG34/(INDEX('Standards for Conversions'!$H$47:$H$73,MATCH(JF$3,'Standards for Conversions'!$A$47:$A$73,0)))=0,"",JG34/(INDEX('Standards for Conversions'!$H$47:$H$73,MATCH(JF$3,'Standards for Conversions'!$A$47:$A$73,0))))</f>
        <v/>
      </c>
      <c r="JI34" s="48" t="s">
        <v>40</v>
      </c>
      <c r="JJ34" s="29">
        <v>20</v>
      </c>
      <c r="JK34" s="29">
        <v>150</v>
      </c>
      <c r="JL34" s="31">
        <f>IF(JK34/(INDEX('Standards for Conversions'!$H$47:$H$73,MATCH(JJ$3,'Standards for Conversions'!$A$47:$A$73,0)))=0,"",JK34/(INDEX('Standards for Conversions'!$H$47:$H$73,MATCH(JJ$3,'Standards for Conversions'!$A$47:$A$73,0))))</f>
        <v>24.264029503780304</v>
      </c>
      <c r="JM34" s="33" t="s">
        <v>40</v>
      </c>
      <c r="JP34" s="31" t="str">
        <f>IF(JO34/(INDEX('Standards for Conversions'!$H$47:$H$73,MATCH(JN$3,'Standards for Conversions'!$A$47:$A$73,0)))=0,"",JO34/(INDEX('Standards for Conversions'!$H$47:$H$73,MATCH(JN$3,'Standards for Conversions'!$A$47:$A$73,0))))</f>
        <v/>
      </c>
      <c r="JQ34" s="33" t="s">
        <v>40</v>
      </c>
      <c r="JT34" s="31" t="str">
        <f>IF(JS34/(INDEX('Standards for Conversions'!$H$47:$H$73,MATCH(JR$3,'Standards for Conversions'!$A$47:$A$73,0)))=0,"",JS34/(INDEX('Standards for Conversions'!$H$47:$H$73,MATCH(JR$3,'Standards for Conversions'!$A$47:$A$73,0))))</f>
        <v/>
      </c>
      <c r="JU34" s="33" t="s">
        <v>40</v>
      </c>
      <c r="JX34" s="31" t="str">
        <f>IF(JW34/(INDEX('Standards for Conversions'!$H$47:$H$73,MATCH(JV$3,'Standards for Conversions'!$A$47:$A$73,0)))=0,"",JW34/(INDEX('Standards for Conversions'!$H$47:$H$73,MATCH(JV$3,'Standards for Conversions'!$A$47:$A$73,0))))</f>
        <v/>
      </c>
      <c r="JY34" s="33" t="s">
        <v>40</v>
      </c>
      <c r="JZ34" s="29">
        <v>30</v>
      </c>
      <c r="KA34" s="29">
        <v>200</v>
      </c>
      <c r="KB34" s="31">
        <f>IF(KA34/(INDEX('Standards for Conversions'!$H$47:$H$73,MATCH(JZ$3,'Standards for Conversions'!$A$47:$A$73,0)))=0,"",KA34/(INDEX('Standards for Conversions'!$H$47:$H$73,MATCH(JZ$3,'Standards for Conversions'!$A$47:$A$73,0))))</f>
        <v>30.531178485559511</v>
      </c>
      <c r="KC34" s="33" t="s">
        <v>40</v>
      </c>
      <c r="KF34" s="31" t="str">
        <f>IF(KE34/(INDEX('Standards for Conversions'!$H$47:$H$73,MATCH(KD$3,'Standards for Conversions'!$A$47:$A$73,0)))=0,"",KE34/(INDEX('Standards for Conversions'!$H$47:$H$73,MATCH(KD$3,'Standards for Conversions'!$A$47:$A$73,0))))</f>
        <v/>
      </c>
      <c r="KG34" s="33" t="s">
        <v>40</v>
      </c>
      <c r="KJ34" s="31" t="str">
        <f>IF(KI34/(INDEX('Standards for Conversions'!$H$47:$H$73,MATCH(KH$3,'Standards for Conversions'!$A$47:$A$73,0)))=0,"",KI34/(INDEX('Standards for Conversions'!$H$47:$H$73,MATCH(KH$3,'Standards for Conversions'!$A$47:$A$73,0))))</f>
        <v/>
      </c>
      <c r="KK34" s="33" t="s">
        <v>40</v>
      </c>
      <c r="KN34" s="31" t="str">
        <f>IF(KM34/(INDEX('Standards for Conversions'!$H$47:$H$73,MATCH(KL$3,'Standards for Conversions'!$A$47:$A$73,0)))=0,"",KM34/(INDEX('Standards for Conversions'!$H$47:$H$73,MATCH(KL$3,'Standards for Conversions'!$A$47:$A$73,0))))</f>
        <v/>
      </c>
      <c r="KO34" s="33" t="s">
        <v>40</v>
      </c>
      <c r="KR34" s="31" t="str">
        <f>IF(KQ34/(INDEX('Standards for Conversions'!$H$47:$H$73,MATCH(KP$3,'Standards for Conversions'!$A$47:$A$73,0)))=0,"",KQ34/(INDEX('Standards for Conversions'!$H$47:$H$73,MATCH(KP$3,'Standards for Conversions'!$A$47:$A$73,0))))</f>
        <v/>
      </c>
      <c r="KS34" s="33" t="s">
        <v>40</v>
      </c>
      <c r="KV34" s="31" t="str">
        <f>IF(KU34/(INDEX('Standards for Conversions'!$H$47:$H$73,MATCH(KT$3,'Standards for Conversions'!$A$47:$A$73,0)))=0,"",KU34/(INDEX('Standards for Conversions'!$H$47:$H$73,MATCH(KT$3,'Standards for Conversions'!$A$47:$A$73,0))))</f>
        <v/>
      </c>
      <c r="KW34" s="33" t="s">
        <v>40</v>
      </c>
      <c r="KZ34" s="31" t="str">
        <f>IF(KY34/(INDEX('Standards for Conversions'!$H$47:$H$73,MATCH(KX$3,'Standards for Conversions'!$A$47:$A$73,0)))=0,"",KY34/(INDEX('Standards for Conversions'!$H$47:$H$73,MATCH(KX$3,'Standards for Conversions'!$A$47:$A$73,0))))</f>
        <v/>
      </c>
      <c r="LA34" s="33" t="s">
        <v>40</v>
      </c>
      <c r="LD34" s="31" t="str">
        <f>IF(LC34/(INDEX('Standards for Conversions'!$H$47:$H$73,MATCH(LB$3,'Standards for Conversions'!$A$47:$A$73,0)))=0,"",LC34/(INDEX('Standards for Conversions'!$H$47:$H$73,MATCH(LB$3,'Standards for Conversions'!$A$47:$A$73,0))))</f>
        <v/>
      </c>
      <c r="LE34" s="48" t="s">
        <v>40</v>
      </c>
      <c r="LF34" s="29">
        <v>33</v>
      </c>
      <c r="LG34" s="29">
        <v>280</v>
      </c>
      <c r="LH34" s="31">
        <f>IF(LG34/(INDEX('Standards for Conversions'!$H$47:$H$73,MATCH(LF$3,'Standards for Conversions'!$A$47:$A$73,0)))=0,"",LG34/(INDEX('Standards for Conversions'!$H$47:$H$73,MATCH(LF$3,'Standards for Conversions'!$A$47:$A$73,0))))</f>
        <v>34.052638683699769</v>
      </c>
      <c r="LL34" s="31" t="str">
        <f>IF(LK34/(INDEX('Standards for Conversions'!$H$47:$H$73,MATCH(LJ$3,'Standards for Conversions'!$A$47:$A$73,0)))=0,"",LK34/(INDEX('Standards for Conversions'!$H$47:$H$73,MATCH(LJ$3,'Standards for Conversions'!$A$47:$A$73,0))))</f>
        <v/>
      </c>
      <c r="LO34" s="31" t="str">
        <f>IF(LN34/(INDEX('Standards for Conversions'!$H$47:$H$73,MATCH(LM$3,'Standards for Conversions'!$A$47:$A$73,0)))=0,"",LN34/(INDEX('Standards for Conversions'!$H$47:$H$73,MATCH(LM$3,'Standards for Conversions'!$A$47:$A$73,0))))</f>
        <v/>
      </c>
      <c r="LR34" s="31" t="str">
        <f>IF(LQ34/(INDEX('Standards for Conversions'!$H$47:$H$73,MATCH(LP$3,'Standards for Conversions'!$A$47:$A$73,0)))=0,"",LQ34/(INDEX('Standards for Conversions'!$H$47:$H$73,MATCH(LP$3,'Standards for Conversions'!$A$47:$A$73,0))))</f>
        <v/>
      </c>
      <c r="LV34" s="31" t="str">
        <f>IF(LU34/(INDEX('Standards for Conversions'!$H$47:$H$73,MATCH(LT$3,'Standards for Conversions'!$A$47:$A$73,0)))=0,"",LU34/(INDEX('Standards for Conversions'!$H$47:$H$73,MATCH(LT$3,'Standards for Conversions'!$A$47:$A$73,0))))</f>
        <v/>
      </c>
      <c r="LY34" s="31" t="str">
        <f>IF(LX34/(INDEX('Standards for Conversions'!$H$47:$H$73,MATCH(LW$3,'Standards for Conversions'!$A$47:$A$73,0)))=0,"",LX34/(INDEX('Standards for Conversions'!$H$47:$H$73,MATCH(LW$3,'Standards for Conversions'!$A$47:$A$73,0))))</f>
        <v/>
      </c>
      <c r="MB34" s="31" t="str">
        <f>IF(MA34/(INDEX('Standards for Conversions'!$H$47:$H$73,MATCH(LZ$3,'Standards for Conversions'!$A$47:$A$73,0)))=0,"",MA34/(INDEX('Standards for Conversions'!$H$47:$H$73,MATCH(LZ$3,'Standards for Conversions'!$A$47:$A$73,0))))</f>
        <v/>
      </c>
      <c r="ME34" s="31" t="str">
        <f>IF(MD34/(INDEX('Standards for Conversions'!$H$47:$H$73,MATCH(MC$3,'Standards for Conversions'!$A$47:$A$73,0)))=0,"",MD34/(INDEX('Standards for Conversions'!$H$47:$H$73,MATCH(MC$3,'Standards for Conversions'!$A$47:$A$73,0))))</f>
        <v/>
      </c>
      <c r="MH34" s="31" t="str">
        <f>IF(MG34/(INDEX('Standards for Conversions'!$H$47:$H$73,MATCH(MF$3,'Standards for Conversions'!$A$47:$A$73,0)))=0,"",MG34/(INDEX('Standards for Conversions'!$H$47:$H$73,MATCH(MF$3,'Standards for Conversions'!$A$47:$A$73,0))))</f>
        <v/>
      </c>
      <c r="MK34" s="31" t="str">
        <f>IF(MJ34/(INDEX('Standards for Conversions'!$H$47:$H$73,MATCH(MI$3,'Standards for Conversions'!$A$47:$A$73,0)))=0,"",MJ34/(INDEX('Standards for Conversions'!$H$47:$H$73,MATCH(MI$3,'Standards for Conversions'!$A$47:$A$73,0))))</f>
        <v/>
      </c>
      <c r="MN34" s="31" t="str">
        <f>IF(MM34/(INDEX('Standards for Conversions'!$H$47:$H$73,MATCH(ML$3,'Standards for Conversions'!$A$47:$A$73,0)))=0,"",MM34/(INDEX('Standards for Conversions'!$H$47:$H$73,MATCH(ML$3,'Standards for Conversions'!$A$47:$A$73,0))))</f>
        <v/>
      </c>
      <c r="MR34" s="31" t="str">
        <f>IF(MQ34/(INDEX('Standards for Conversions'!$H$47:$H$73,MATCH(MP$3,'Standards for Conversions'!$A$47:$A$73,0)))=0,"",MQ34/(INDEX('Standards for Conversions'!$H$47:$H$73,MATCH(MP$3,'Standards for Conversions'!$A$47:$A$73,0))))</f>
        <v/>
      </c>
    </row>
    <row r="35" spans="1:356" hidden="1" x14ac:dyDescent="0.3">
      <c r="A35" s="103" t="s">
        <v>218</v>
      </c>
      <c r="B35" s="10" t="s">
        <v>38</v>
      </c>
      <c r="C35" s="7"/>
      <c r="D35" s="7"/>
      <c r="E35" s="31" t="str">
        <f>IF(D35/(INDEX('Standards for Conversions'!$H$34:$H$73,MATCH(C$3,'Standards for Conversions'!$A$34:$A$73,0)))=0,"",D35/(INDEX('Standards for Conversions'!$H$34:$H$73,MATCH(C$3,'Standards for Conversions'!$A$34:$A$73,0))))</f>
        <v/>
      </c>
      <c r="F35" s="10" t="s">
        <v>38</v>
      </c>
      <c r="G35" s="7"/>
      <c r="H35" s="7"/>
      <c r="I35" s="31" t="str">
        <f>IF(H35/(INDEX('Standards for Conversions'!$H$34:$H$73,MATCH(G$3,'Standards for Conversions'!$A$34:$A$73,0)))=0,"",H35/(INDEX('Standards for Conversions'!$H$34:$H$73,MATCH(G$3,'Standards for Conversions'!$A$34:$A$73,0))))</f>
        <v/>
      </c>
      <c r="J35" s="10" t="s">
        <v>38</v>
      </c>
      <c r="K35" s="9"/>
      <c r="L35" s="9"/>
      <c r="M35" s="31" t="str">
        <f>IF(L35/(INDEX('Standards for Conversions'!$H$34:$H$73,MATCH(K$3,'Standards for Conversions'!$A$34:$A$73,0)))=0,"",L35/(INDEX('Standards for Conversions'!$H$34:$H$73,MATCH(K$3,'Standards for Conversions'!$A$34:$A$73,0))))</f>
        <v/>
      </c>
      <c r="N35" s="10" t="s">
        <v>38</v>
      </c>
      <c r="O35" s="7"/>
      <c r="P35" s="7"/>
      <c r="Q35" s="31" t="str">
        <f>IF(P35/(INDEX('Standards for Conversions'!$H$34:$H$73,MATCH(O$3,'Standards for Conversions'!$A$34:$A$73,0)))=0,"",P35/(INDEX('Standards for Conversions'!$H$34:$H$73,MATCH(O$3,'Standards for Conversions'!$A$34:$A$73,0))))</f>
        <v/>
      </c>
      <c r="R35" s="10" t="s">
        <v>38</v>
      </c>
      <c r="S35" s="7"/>
      <c r="T35" s="7"/>
      <c r="U35" s="31" t="str">
        <f>IF(T35/(INDEX('Standards for Conversions'!$H$34:$H$73,MATCH(S$3,'Standards for Conversions'!$A$34:$A$73,0)))=0,"",T35/(INDEX('Standards for Conversions'!$H$34:$H$73,MATCH(S$3,'Standards for Conversions'!$A$34:$A$73,0))))</f>
        <v/>
      </c>
      <c r="V35" s="10" t="s">
        <v>38</v>
      </c>
      <c r="W35" s="7"/>
      <c r="X35" s="7"/>
      <c r="Y35" s="31" t="str">
        <f>IF(X35/(INDEX('Standards for Conversions'!$H$34:$H$73,MATCH(W$3,'Standards for Conversions'!$A$34:$A$73,0)))=0,"",X35/(INDEX('Standards for Conversions'!$H$34:$H$73,MATCH(W$3,'Standards for Conversions'!$A$34:$A$73,0))))</f>
        <v/>
      </c>
      <c r="Z35" s="10" t="s">
        <v>38</v>
      </c>
      <c r="AA35" s="9"/>
      <c r="AB35" s="9"/>
      <c r="AC35" s="31" t="str">
        <f>IF(AB35/(INDEX('Standards for Conversions'!$H$34:$H$73,MATCH(AA$3,'Standards for Conversions'!$A$34:$A$73,0)))=0,"",AB35/(INDEX('Standards for Conversions'!$H$34:$H$73,MATCH(AA$3,'Standards for Conversions'!$A$34:$A$73,0))))</f>
        <v/>
      </c>
      <c r="AD35" s="10" t="s">
        <v>38</v>
      </c>
      <c r="AE35" s="7"/>
      <c r="AF35" s="7"/>
      <c r="AG35" s="31" t="str">
        <f>IF(AF35/(INDEX('Standards for Conversions'!$H$34:$H$73,MATCH(AE$3,'Standards for Conversions'!$A$34:$A$73,0)))=0,"",AF35/(INDEX('Standards for Conversions'!$H$34:$H$73,MATCH(AE$3,'Standards for Conversions'!$A$34:$A$73,0))))</f>
        <v/>
      </c>
      <c r="AH35" s="10" t="s">
        <v>38</v>
      </c>
      <c r="AI35" s="7"/>
      <c r="AJ35" s="7"/>
      <c r="AK35" s="31" t="str">
        <f>IF(AJ35/(INDEX('Standards for Conversions'!$H$34:$H$73,MATCH(AI$3,'Standards for Conversions'!$A$34:$A$73,0)))=0,"",AJ35/(INDEX('Standards for Conversions'!$H$34:$H$73,MATCH(AI$3,'Standards for Conversions'!$A$34:$A$73,0))))</f>
        <v/>
      </c>
      <c r="AL35" s="10" t="s">
        <v>38</v>
      </c>
      <c r="AM35" s="7"/>
      <c r="AN35" s="7"/>
      <c r="AO35" s="31" t="str">
        <f>IF(AN35/(INDEX('Standards for Conversions'!$H$34:$H$73,MATCH(AM$3,'Standards for Conversions'!$A$34:$A$73,0)))=0,"",AN35/(INDEX('Standards for Conversions'!$H$34:$H$73,MATCH(AM$3,'Standards for Conversions'!$A$34:$A$73,0))))</f>
        <v/>
      </c>
      <c r="AP35" s="10" t="s">
        <v>38</v>
      </c>
      <c r="AQ35" s="9"/>
      <c r="AR35" s="9"/>
      <c r="AS35" s="31" t="str">
        <f>IF(AR35/(INDEX('Standards for Conversions'!$H$34:$H$73,MATCH(AQ$3,'Standards for Conversions'!$A$34:$A$73,0)))=0,"",AR35/(INDEX('Standards for Conversions'!$H$34:$H$73,MATCH(AQ$3,'Standards for Conversions'!$A$34:$A$73,0))))</f>
        <v/>
      </c>
      <c r="AT35" s="10" t="s">
        <v>38</v>
      </c>
      <c r="AU35" s="7"/>
      <c r="AV35" s="7"/>
      <c r="AW35" s="31" t="str">
        <f>IF(AV35/(INDEX('Standards for Conversions'!$H$34:$H$73,MATCH(AU$3,'Standards for Conversions'!$A$34:$A$73,0)))=0,"",AV35/(INDEX('Standards for Conversions'!$H$34:$H$73,MATCH(AU$3,'Standards for Conversions'!$A$34:$A$73,0))))</f>
        <v/>
      </c>
      <c r="AX35" s="10" t="s">
        <v>38</v>
      </c>
      <c r="AY35" s="7"/>
      <c r="AZ35" s="7"/>
      <c r="BA35" s="31" t="str">
        <f>IF(AZ35/(INDEX('Standards for Conversions'!$H$34:$H$73,MATCH(AY$3,'Standards for Conversions'!$A$34:$A$73,0)))=0,"",AZ35/(INDEX('Standards for Conversions'!$H$34:$H$73,MATCH(AY$3,'Standards for Conversions'!$A$34:$A$73,0))))</f>
        <v/>
      </c>
      <c r="BB35" s="10" t="s">
        <v>38</v>
      </c>
      <c r="BC35" s="7"/>
      <c r="BD35" s="7"/>
      <c r="BE35" s="31" t="str">
        <f>IF(BD35/(INDEX('Standards for Conversions'!$H$34:$H$73,MATCH(BC$3,'Standards for Conversions'!$A$34:$A$73,0)))=0,"",BD35/(INDEX('Standards for Conversions'!$H$34:$H$73,MATCH(BC$3,'Standards for Conversions'!$A$34:$A$73,0))))</f>
        <v/>
      </c>
      <c r="BF35" s="10" t="s">
        <v>38</v>
      </c>
      <c r="BG35" s="9"/>
      <c r="BH35" s="9"/>
      <c r="BI35" s="31" t="str">
        <f>IF(BH35/(INDEX('Standards for Conversions'!$H$34:$H$73,MATCH(BG$3,'Standards for Conversions'!$A$34:$A$73,0)))=0,"",BH35/(INDEX('Standards for Conversions'!$H$34:$H$73,MATCH(BG$3,'Standards for Conversions'!$A$34:$A$73,0))))</f>
        <v/>
      </c>
      <c r="BJ35" s="10" t="s">
        <v>38</v>
      </c>
      <c r="BK35" s="7"/>
      <c r="BL35" s="7"/>
      <c r="BM35" s="31" t="str">
        <f>IF(BL35/(INDEX('Standards for Conversions'!$H$34:$H$73,MATCH(BK$3,'Standards for Conversions'!$A$34:$A$73,0)))=0,"",BL35/(INDEX('Standards for Conversions'!$H$34:$H$73,MATCH(BK$3,'Standards for Conversions'!$A$34:$A$73,0))))</f>
        <v/>
      </c>
      <c r="BN35" s="10" t="s">
        <v>38</v>
      </c>
      <c r="BO35" s="7"/>
      <c r="BP35" s="7"/>
      <c r="BQ35" s="31" t="str">
        <f>IF(BP35/(INDEX('Standards for Conversions'!$H$34:$H$73,MATCH(BO$3,'Standards for Conversions'!$A$34:$A$73,0)))=0,"",BP35/(INDEX('Standards for Conversions'!$H$34:$H$73,MATCH(BO$3,'Standards for Conversions'!$A$34:$A$73,0))))</f>
        <v/>
      </c>
      <c r="BR35" s="10" t="s">
        <v>38</v>
      </c>
      <c r="BS35" s="7"/>
      <c r="BT35" s="7"/>
      <c r="BU35" s="31" t="str">
        <f>IF(BT35/(INDEX('Standards for Conversions'!$H$34:$H$73,MATCH(BS$3,'Standards for Conversions'!$A$34:$A$73,0)))=0,"",BT35/(INDEX('Standards for Conversions'!$H$34:$H$73,MATCH(BS$3,'Standards for Conversions'!$A$34:$A$73,0))))</f>
        <v/>
      </c>
      <c r="BV35" s="10" t="s">
        <v>38</v>
      </c>
      <c r="BW35" s="9"/>
      <c r="BX35" s="9"/>
      <c r="BY35" s="31" t="str">
        <f>IF(BX35/(INDEX('Standards for Conversions'!$H$34:$H$73,MATCH(BW$3,'Standards for Conversions'!$A$34:$A$73,0)))=0,"",BX35/(INDEX('Standards for Conversions'!$H$34:$H$73,MATCH(BW$3,'Standards for Conversions'!$A$34:$A$73,0))))</f>
        <v/>
      </c>
      <c r="BZ35" s="10" t="s">
        <v>38</v>
      </c>
      <c r="CA35" s="7"/>
      <c r="CB35" s="7"/>
      <c r="CC35" s="31" t="str">
        <f>IF(CB35/(INDEX('Standards for Conversions'!$H$34:$H$73,MATCH(CA$3,'Standards for Conversions'!$A$34:$A$73,0)))=0,"",CB35/(INDEX('Standards for Conversions'!$H$34:$H$73,MATCH(CA$3,'Standards for Conversions'!$A$34:$A$73,0))))</f>
        <v/>
      </c>
      <c r="CD35" s="10" t="s">
        <v>38</v>
      </c>
      <c r="CE35" s="7"/>
      <c r="CF35" s="7"/>
      <c r="CG35" s="31" t="str">
        <f>IF(CF35/(INDEX('Standards for Conversions'!$H$34:$H$73,MATCH(CE$3,'Standards for Conversions'!$A$34:$A$73,0)))=0,"",CF35/(INDEX('Standards for Conversions'!$H$34:$H$73,MATCH(CE$3,'Standards for Conversions'!$A$34:$A$73,0))))</f>
        <v/>
      </c>
      <c r="CH35" s="10" t="s">
        <v>38</v>
      </c>
      <c r="CI35" s="7"/>
      <c r="CJ35" s="7"/>
      <c r="CK35" s="31" t="str">
        <f>IF(CJ35/(INDEX('Standards for Conversions'!$H$34:$H$73,MATCH(CI$3,'Standards for Conversions'!$A$34:$A$73,0)))=0,"",CJ35/(INDEX('Standards for Conversions'!$H$34:$H$73,MATCH(CI$3,'Standards for Conversions'!$A$34:$A$73,0))))</f>
        <v/>
      </c>
      <c r="CL35" s="10" t="s">
        <v>38</v>
      </c>
      <c r="CM35" s="9"/>
      <c r="CN35" s="9"/>
      <c r="CO35" s="31" t="str">
        <f>IF(CN35/(INDEX('Standards for Conversions'!$H$34:$H$73,MATCH(CM$3,'Standards for Conversions'!$A$34:$A$73,0)))=0,"",CN35/(INDEX('Standards for Conversions'!$H$34:$H$73,MATCH(CM$3,'Standards for Conversions'!$A$34:$A$73,0))))</f>
        <v/>
      </c>
      <c r="CP35" s="10" t="s">
        <v>38</v>
      </c>
      <c r="CQ35" s="7"/>
      <c r="CR35" s="7"/>
      <c r="CS35" s="31" t="str">
        <f>IF(CR35/(INDEX('Standards for Conversions'!$H$34:$H$73,MATCH(CQ$3,'Standards for Conversions'!$A$34:$A$73,0)))=0,"",CR35/(INDEX('Standards for Conversions'!$H$34:$H$73,MATCH(CQ$3,'Standards for Conversions'!$A$34:$A$73,0))))</f>
        <v/>
      </c>
      <c r="CT35" s="10" t="s">
        <v>38</v>
      </c>
      <c r="CU35" s="7"/>
      <c r="CV35" s="7"/>
      <c r="CW35" s="31" t="str">
        <f>IF(CV35/(INDEX('Standards for Conversions'!$H$34:$H$73,MATCH(CU$3,'Standards for Conversions'!$A$34:$A$73,0)))=0,"",CV35/(INDEX('Standards for Conversions'!$H$34:$H$73,MATCH(CU$3,'Standards for Conversions'!$A$34:$A$73,0))))</f>
        <v/>
      </c>
      <c r="CX35" s="10" t="s">
        <v>38</v>
      </c>
      <c r="CY35" s="7"/>
      <c r="CZ35" s="7"/>
      <c r="DA35" s="31" t="str">
        <f>IF(CZ35/(INDEX('Standards for Conversions'!$H$34:$H$73,MATCH(CY$3,'Standards for Conversions'!$A$34:$A$73,0)))=0,"",CZ35/(INDEX('Standards for Conversions'!$H$34:$H$73,MATCH(CY$3,'Standards for Conversions'!$A$34:$A$73,0))))</f>
        <v/>
      </c>
      <c r="DB35" s="10" t="s">
        <v>38</v>
      </c>
      <c r="DC35" s="9"/>
      <c r="DD35" s="9"/>
      <c r="DE35" s="31" t="str">
        <f>IF(DD35/(INDEX('Standards for Conversions'!$H$34:$H$73,MATCH(DC$3,'Standards for Conversions'!$A$34:$A$73,0)))=0,"",DD35/(INDEX('Standards for Conversions'!$H$34:$H$73,MATCH(DC$3,'Standards for Conversions'!$A$34:$A$73,0))))</f>
        <v/>
      </c>
      <c r="DF35" s="10" t="s">
        <v>38</v>
      </c>
      <c r="DG35" s="7"/>
      <c r="DH35" s="7"/>
      <c r="DI35" s="31" t="str">
        <f>IF(DH35/(INDEX('Standards for Conversions'!$H$34:$H$73,MATCH(DG$3,'Standards for Conversions'!$A$34:$A$73,0)))=0,"",DH35/(INDEX('Standards for Conversions'!$H$34:$H$73,MATCH(DG$3,'Standards for Conversions'!$A$34:$A$73,0))))</f>
        <v/>
      </c>
      <c r="DJ35" s="10" t="s">
        <v>38</v>
      </c>
      <c r="DK35" s="7"/>
      <c r="DL35" s="7"/>
      <c r="DM35" s="31" t="str">
        <f>IF(DL35/(INDEX('Standards for Conversions'!$H$34:$H$73,MATCH(DK$3,'Standards for Conversions'!$A$34:$A$73,0)))=0,"",DL35/(INDEX('Standards for Conversions'!$H$34:$H$73,MATCH(DK$3,'Standards for Conversions'!$A$34:$A$73,0))))</f>
        <v/>
      </c>
      <c r="DN35" s="10" t="s">
        <v>38</v>
      </c>
      <c r="DO35" s="7"/>
      <c r="DP35" s="7"/>
      <c r="DQ35" s="31" t="str">
        <f>IF(DP35/(INDEX('Standards for Conversions'!$H$34:$H$73,MATCH(DO$3,'Standards for Conversions'!$A$34:$A$73,0)))=0,"",DP35/(INDEX('Standards for Conversions'!$H$34:$H$73,MATCH(DO$3,'Standards for Conversions'!$A$34:$A$73,0))))</f>
        <v/>
      </c>
      <c r="DR35" s="10" t="s">
        <v>38</v>
      </c>
      <c r="DS35" s="9"/>
      <c r="DT35" s="9"/>
      <c r="DU35" s="31" t="str">
        <f>IF(DT35/(INDEX('Standards for Conversions'!$H$34:$H$73,MATCH(DS$3,'Standards for Conversions'!$A$34:$A$73,0)))=0,"",DT35/(INDEX('Standards for Conversions'!$H$34:$H$73,MATCH(DS$3,'Standards for Conversions'!$A$34:$A$73,0))))</f>
        <v/>
      </c>
      <c r="DV35" s="10" t="s">
        <v>38</v>
      </c>
      <c r="DW35" s="7"/>
      <c r="DX35" s="7"/>
      <c r="DY35" s="31" t="str">
        <f>IF(DX35/(INDEX('Standards for Conversions'!$H$34:$H$73,MATCH(DW$3,'Standards for Conversions'!$A$34:$A$73,0)))=0,"",DX35/(INDEX('Standards for Conversions'!$H$34:$H$73,MATCH(DW$3,'Standards for Conversions'!$A$34:$A$73,0))))</f>
        <v/>
      </c>
      <c r="DZ35" s="10" t="s">
        <v>38</v>
      </c>
      <c r="EA35" s="7"/>
      <c r="EB35" s="7"/>
      <c r="EC35" s="31" t="str">
        <f>IF(EB35/(INDEX('Standards for Conversions'!$H$34:$H$73,MATCH(EA$3,'Standards for Conversions'!$A$34:$A$73,0)))=0,"",EB35/(INDEX('Standards for Conversions'!$H$34:$H$73,MATCH(EA$3,'Standards for Conversions'!$A$34:$A$73,0))))</f>
        <v/>
      </c>
      <c r="ED35" s="10" t="s">
        <v>38</v>
      </c>
      <c r="EE35" s="7"/>
      <c r="EF35" s="7"/>
      <c r="EG35" s="31" t="str">
        <f>IF(EF35/(INDEX('Standards for Conversions'!$H$34:$H$73,MATCH(EE$3,'Standards for Conversions'!$A$34:$A$73,0)))=0,"",EF35/(INDEX('Standards for Conversions'!$H$34:$H$73,MATCH(EE$3,'Standards for Conversions'!$A$34:$A$73,0))))</f>
        <v/>
      </c>
      <c r="EH35" s="10" t="s">
        <v>38</v>
      </c>
      <c r="EI35" s="9"/>
      <c r="EJ35" s="9"/>
      <c r="EK35" s="31" t="str">
        <f>IF(EJ35/(INDEX('Standards for Conversions'!$H$34:$H$73,MATCH(EI$3,'Standards for Conversions'!$A$34:$A$73,0)))=0,"",EJ35/(INDEX('Standards for Conversions'!$H$34:$H$73,MATCH(EI$3,'Standards for Conversions'!$A$34:$A$73,0))))</f>
        <v/>
      </c>
      <c r="EL35" s="10" t="s">
        <v>38</v>
      </c>
      <c r="EM35" s="7"/>
      <c r="EN35" s="7"/>
      <c r="EO35" s="31" t="str">
        <f>IF(EN35/(INDEX('Standards for Conversions'!$H$34:$H$73,MATCH(EM$3,'Standards for Conversions'!$A$34:$A$73,0)))=0,"",EN35/(INDEX('Standards for Conversions'!$H$34:$H$73,MATCH(EM$3,'Standards for Conversions'!$A$34:$A$73,0))))</f>
        <v/>
      </c>
      <c r="EP35" s="10" t="s">
        <v>38</v>
      </c>
      <c r="EQ35" s="7"/>
      <c r="ER35" s="7"/>
      <c r="ES35" s="31" t="str">
        <f>IF(ER35/(INDEX('Standards for Conversions'!$H$34:$H$73,MATCH(EQ$3,'Standards for Conversions'!$A$34:$A$73,0)))=0,"",ER35/(INDEX('Standards for Conversions'!$H$34:$H$73,MATCH(EQ$3,'Standards for Conversions'!$A$34:$A$73,0))))</f>
        <v/>
      </c>
      <c r="ET35" s="10" t="s">
        <v>38</v>
      </c>
      <c r="EU35" s="7"/>
      <c r="EV35" s="7"/>
      <c r="EW35" s="31" t="str">
        <f>IF(EV35/(INDEX('Standards for Conversions'!$H$34:$H$73,MATCH(EU$3,'Standards for Conversions'!$A$34:$A$73,0)))=0,"",EV35/(INDEX('Standards for Conversions'!$H$34:$H$73,MATCH(EU$3,'Standards for Conversions'!$A$34:$A$73,0))))</f>
        <v/>
      </c>
      <c r="EX35" s="10" t="s">
        <v>38</v>
      </c>
      <c r="EY35" s="9"/>
      <c r="EZ35" s="9"/>
      <c r="FA35" s="31" t="str">
        <f>IF(EZ35/(INDEX('Standards for Conversions'!$H$34:$H$73,MATCH(EY$3,'Standards for Conversions'!$A$34:$A$73,0)))=0,"",EZ35/(INDEX('Standards for Conversions'!$H$34:$H$73,MATCH(EY$3,'Standards for Conversions'!$A$34:$A$73,0))))</f>
        <v/>
      </c>
      <c r="FB35" s="10" t="s">
        <v>38</v>
      </c>
      <c r="FC35" s="7"/>
      <c r="FD35" s="7"/>
      <c r="FE35" s="31" t="str">
        <f>IF(FD35/(INDEX('Standards for Conversions'!$H$34:$H$73,MATCH(FC$3,'Standards for Conversions'!$A$34:$A$73,0)))=0,"",FD35/(INDEX('Standards for Conversions'!$H$34:$H$73,MATCH(FC$3,'Standards for Conversions'!$A$34:$A$73,0))))</f>
        <v/>
      </c>
      <c r="FF35" s="10" t="s">
        <v>38</v>
      </c>
      <c r="FG35" s="7"/>
      <c r="FH35" s="7"/>
      <c r="FI35" s="31" t="str">
        <f>IF(FH35/(INDEX('Standards for Conversions'!$H$34:$H$73,MATCH(FG$3,'Standards for Conversions'!$A$34:$A$73,0)))=0,"",FH35/(INDEX('Standards for Conversions'!$H$34:$H$73,MATCH(FG$3,'Standards for Conversions'!$A$34:$A$73,0))))</f>
        <v/>
      </c>
      <c r="FJ35" s="10" t="s">
        <v>38</v>
      </c>
      <c r="FK35" s="7"/>
      <c r="FL35" s="7"/>
      <c r="FM35" s="31" t="str">
        <f>IF(FL35/(INDEX('Standards for Conversions'!$H$34:$H$73,MATCH(FK$3,'Standards for Conversions'!$A$34:$A$73,0)))=0,"",FL35/(INDEX('Standards for Conversions'!$H$34:$H$73,MATCH(FK$3,'Standards for Conversions'!$A$34:$A$73,0))))</f>
        <v/>
      </c>
      <c r="FN35" s="10" t="s">
        <v>38</v>
      </c>
      <c r="FO35" s="9"/>
      <c r="FP35" s="9"/>
      <c r="FQ35" s="31" t="str">
        <f>IF(FP35/(INDEX('Standards for Conversions'!$H$34:$H$73,MATCH(FO$3,'Standards for Conversions'!$A$34:$A$73,0)))=0,"",FP35/(INDEX('Standards for Conversions'!$H$34:$H$73,MATCH(FO$3,'Standards for Conversions'!$A$34:$A$73,0))))</f>
        <v/>
      </c>
      <c r="FR35" s="10" t="s">
        <v>38</v>
      </c>
      <c r="FS35" s="7"/>
      <c r="FT35" s="7"/>
      <c r="FU35" s="31" t="str">
        <f>IF(FT35/(INDEX('Standards for Conversions'!$H$34:$H$73,MATCH(FS$3,'Standards for Conversions'!$A$34:$A$73,0)))=0,"",FT35/(INDEX('Standards for Conversions'!$H$34:$H$73,MATCH(FS$3,'Standards for Conversions'!$A$34:$A$73,0))))</f>
        <v/>
      </c>
      <c r="FV35" s="10" t="s">
        <v>38</v>
      </c>
      <c r="FW35" s="7"/>
      <c r="FX35" s="7"/>
      <c r="FY35" s="31" t="str">
        <f>IF(FX35/(INDEX('Standards for Conversions'!$H$34:$H$73,MATCH(FW$3,'Standards for Conversions'!$A$34:$A$73,0)))=0,"",FX35/(INDEX('Standards for Conversions'!$H$34:$H$73,MATCH(FW$3,'Standards for Conversions'!$A$34:$A$73,0))))</f>
        <v/>
      </c>
      <c r="FZ35" s="10" t="s">
        <v>38</v>
      </c>
      <c r="GA35" s="7"/>
      <c r="GB35" s="7"/>
      <c r="GC35" s="31" t="str">
        <f>IF(GB35/(INDEX('Standards for Conversions'!$H$34:$H$73,MATCH(GA$3,'Standards for Conversions'!$A$34:$A$73,0)))=0,"",GB35/(INDEX('Standards for Conversions'!$H$34:$H$73,MATCH(GA$3,'Standards for Conversions'!$A$34:$A$73,0))))</f>
        <v/>
      </c>
      <c r="GD35" s="10" t="s">
        <v>38</v>
      </c>
      <c r="GE35" s="9"/>
      <c r="GF35" s="9"/>
      <c r="GG35" s="31" t="str">
        <f>IF(GF35/(INDEX('Standards for Conversions'!$H$34:$H$73,MATCH(GE$3,'Standards for Conversions'!$A$34:$A$73,0)))=0,"",GF35/(INDEX('Standards for Conversions'!$H$34:$H$73,MATCH(GE$3,'Standards for Conversions'!$A$34:$A$73,0))))</f>
        <v/>
      </c>
      <c r="GH35" s="10" t="s">
        <v>38</v>
      </c>
      <c r="GI35" s="7"/>
      <c r="GJ35" s="7"/>
      <c r="GK35" s="31" t="str">
        <f>IF(GJ35/(INDEX('Standards for Conversions'!$H$34:$H$73,MATCH(GI$3,'Standards for Conversions'!$A$34:$A$73,0)))=0,"",GJ35/(INDEX('Standards for Conversions'!$H$34:$H$73,MATCH(GI$3,'Standards for Conversions'!$A$34:$A$73,0))))</f>
        <v/>
      </c>
      <c r="GL35" s="10" t="s">
        <v>38</v>
      </c>
      <c r="GM35" s="7"/>
      <c r="GN35" s="7"/>
      <c r="GO35" s="31" t="str">
        <f>IF(GN35/(INDEX('Standards for Conversions'!$H$34:$H$73,MATCH(GM$3,'Standards for Conversions'!$A$34:$A$73,0)))=0,"",GN35/(INDEX('Standards for Conversions'!$H$34:$H$73,MATCH(GM$3,'Standards for Conversions'!$A$34:$A$73,0))))</f>
        <v/>
      </c>
      <c r="GP35" s="10" t="s">
        <v>38</v>
      </c>
      <c r="GQ35" s="7"/>
      <c r="GR35" s="7"/>
      <c r="GS35" s="31" t="str">
        <f>IF(GR35/(INDEX('Standards for Conversions'!$H$34:$H$73,MATCH(GQ$3,'Standards for Conversions'!$A$34:$A$73,0)))=0,"",GR35/(INDEX('Standards for Conversions'!$H$34:$H$73,MATCH(GQ$3,'Standards for Conversions'!$A$34:$A$73,0))))</f>
        <v/>
      </c>
      <c r="GT35" s="10" t="s">
        <v>38</v>
      </c>
      <c r="GU35" s="9"/>
      <c r="GV35" s="9"/>
      <c r="GW35" s="31" t="str">
        <f>IF(GV35/(INDEX('Standards for Conversions'!$H$34:$H$73,MATCH(GU$3,'Standards for Conversions'!$A$34:$A$73,0)))=0,"",GV35/(INDEX('Standards for Conversions'!$H$34:$H$73,MATCH(GU$3,'Standards for Conversions'!$A$34:$A$73,0))))</f>
        <v/>
      </c>
      <c r="GX35" s="10" t="s">
        <v>38</v>
      </c>
      <c r="GY35" s="7"/>
      <c r="GZ35" s="7"/>
      <c r="HA35" s="31" t="str">
        <f>IF(GZ35/(INDEX('Standards for Conversions'!$H$34:$H$73,MATCH(GY$3,'Standards for Conversions'!$A$34:$A$73,0)))=0,"",GZ35/(INDEX('Standards for Conversions'!$H$34:$H$73,MATCH(GY$3,'Standards for Conversions'!$A$34:$A$73,0))))</f>
        <v/>
      </c>
      <c r="HB35" s="10" t="s">
        <v>38</v>
      </c>
      <c r="HC35" s="7"/>
      <c r="HD35" s="7"/>
      <c r="HE35" s="31" t="str">
        <f>IF(HD35/(INDEX('Standards for Conversions'!$H$34:$H$73,MATCH(HC$3,'Standards for Conversions'!$A$34:$A$73,0)))=0,"",HD35/(INDEX('Standards for Conversions'!$H$34:$H$73,MATCH(HC$3,'Standards for Conversions'!$A$34:$A$73,0))))</f>
        <v/>
      </c>
      <c r="HF35" s="10" t="s">
        <v>38</v>
      </c>
      <c r="HG35" s="7"/>
      <c r="HH35" s="7"/>
      <c r="HI35" s="31" t="str">
        <f>IF(HH35/(INDEX('Standards for Conversions'!$H$34:$H$73,MATCH(HG$3,'Standards for Conversions'!$A$34:$A$73,0)))=0,"",HH35/(INDEX('Standards for Conversions'!$H$34:$H$73,MATCH(HG$3,'Standards for Conversions'!$A$34:$A$73,0))))</f>
        <v/>
      </c>
      <c r="HJ35" s="10" t="s">
        <v>38</v>
      </c>
      <c r="HK35" s="9"/>
      <c r="HL35" s="9"/>
      <c r="HM35" s="31" t="str">
        <f>IF(HL35/(INDEX('Standards for Conversions'!$H$34:$H$73,MATCH(HK$3,'Standards for Conversions'!$A$34:$A$73,0)))=0,"",HL35/(INDEX('Standards for Conversions'!$H$34:$H$73,MATCH(HK$3,'Standards for Conversions'!$A$34:$A$73,0))))</f>
        <v/>
      </c>
      <c r="HN35" s="10" t="s">
        <v>38</v>
      </c>
      <c r="HO35" s="7"/>
      <c r="HP35" s="7"/>
      <c r="HQ35" s="31" t="str">
        <f>IF(HP35/(INDEX('Standards for Conversions'!$H$34:$H$73,MATCH(HO$3,'Standards for Conversions'!$A$34:$A$73,0)))=0,"",HP35/(INDEX('Standards for Conversions'!$H$34:$H$73,MATCH(HO$3,'Standards for Conversions'!$A$34:$A$73,0))))</f>
        <v/>
      </c>
      <c r="HR35" s="33" t="s">
        <v>38</v>
      </c>
      <c r="HU35" s="31" t="str">
        <f>IF(HT35/(INDEX('Standards for Conversions'!$H$47:$H$73,MATCH(HS$3,'Standards for Conversions'!$A$47:$A$73,0)))=0,"",HT35/(INDEX('Standards for Conversions'!$H$47:$H$73,MATCH(HS$3,'Standards for Conversions'!$A$47:$A$73,0))))</f>
        <v/>
      </c>
      <c r="HV35" s="33" t="s">
        <v>38</v>
      </c>
      <c r="HY35" s="31" t="str">
        <f>IF(HX35/(INDEX('Standards for Conversions'!$H$47:$H$73,MATCH(HW$3,'Standards for Conversions'!$A$47:$A$73,0)))=0,"",HX35/(INDEX('Standards for Conversions'!$H$47:$H$73,MATCH(HW$3,'Standards for Conversions'!$A$47:$A$73,0))))</f>
        <v/>
      </c>
      <c r="HZ35" s="33">
        <v>400</v>
      </c>
      <c r="IA35" s="33">
        <v>2000</v>
      </c>
      <c r="IB35" s="31">
        <f>IF(IA35/(INDEX('Standards for Conversions'!$H$47:$H$73,MATCH(HZ$3,'Standards for Conversions'!$A$47:$A$73,0)))=0,"",IA35/(INDEX('Standards for Conversions'!$H$47:$H$73,MATCH(HZ$3,'Standards for Conversions'!$A$47:$A$73,0))))</f>
        <v>290.49082442571193</v>
      </c>
      <c r="IC35" s="33" t="s">
        <v>38</v>
      </c>
      <c r="IF35" s="31" t="str">
        <f>IF(IE35/(INDEX('Standards for Conversions'!$H$47:$H$73,MATCH(ID$3,'Standards for Conversions'!$A$47:$A$73,0)))=0,"",IE35/(INDEX('Standards for Conversions'!$H$47:$H$73,MATCH(ID$3,'Standards for Conversions'!$A$47:$A$73,0))))</f>
        <v/>
      </c>
      <c r="IG35" s="33" t="s">
        <v>38</v>
      </c>
      <c r="IJ35" s="31" t="str">
        <f>IF(II35/(INDEX('Standards for Conversions'!$H$47:$H$73,MATCH(IH$3,'Standards for Conversions'!$A$47:$A$73,0)))=0,"",II35/(INDEX('Standards for Conversions'!$H$47:$H$73,MATCH(IH$3,'Standards for Conversions'!$A$47:$A$73,0))))</f>
        <v/>
      </c>
      <c r="IK35" s="33" t="s">
        <v>38</v>
      </c>
      <c r="IN35" s="31" t="str">
        <f>IF(IM35/(INDEX('Standards for Conversions'!$H$47:$H$73,MATCH(IL$3,'Standards for Conversions'!$A$47:$A$73,0)))=0,"",IM35/(INDEX('Standards for Conversions'!$H$47:$H$73,MATCH(IL$3,'Standards for Conversions'!$A$47:$A$73,0))))</f>
        <v/>
      </c>
      <c r="IO35" s="33" t="s">
        <v>38</v>
      </c>
      <c r="IP35" s="29">
        <v>250</v>
      </c>
      <c r="IQ35" s="29">
        <v>1200</v>
      </c>
      <c r="IR35" s="31">
        <f>IF(IQ35/(INDEX('Standards for Conversions'!$H$47:$H$73,MATCH(IP$3,'Standards for Conversions'!$A$47:$A$73,0)))=0,"",IQ35/(INDEX('Standards for Conversions'!$H$47:$H$73,MATCH(IP$3,'Standards for Conversions'!$A$47:$A$73,0))))</f>
        <v>173.53227383331884</v>
      </c>
      <c r="IS35" s="33" t="s">
        <v>38</v>
      </c>
      <c r="IV35" s="31" t="str">
        <f>IF(IU35/(INDEX('Standards for Conversions'!$H$47:$H$73,MATCH(IT$3,'Standards for Conversions'!$A$47:$A$73,0)))=0,"",IU35/(INDEX('Standards for Conversions'!$H$47:$H$73,MATCH(IT$3,'Standards for Conversions'!$A$47:$A$73,0))))</f>
        <v/>
      </c>
      <c r="IW35" s="33" t="s">
        <v>38</v>
      </c>
      <c r="IZ35" s="31" t="str">
        <f>IF(IY35/(INDEX('Standards for Conversions'!$H$47:$H$73,MATCH(IX$3,'Standards for Conversions'!$A$47:$A$73,0)))=0,"",IY35/(INDEX('Standards for Conversions'!$H$47:$H$73,MATCH(IX$3,'Standards for Conversions'!$A$47:$A$73,0))))</f>
        <v/>
      </c>
      <c r="JA35" s="48" t="s">
        <v>38</v>
      </c>
      <c r="JD35" s="31" t="str">
        <f>IF(JC35/(INDEX('Standards for Conversions'!$H$47:$H$73,MATCH(JB$3,'Standards for Conversions'!$A$47:$A$73,0)))=0,"",JC35/(INDEX('Standards for Conversions'!$H$47:$H$73,MATCH(JB$3,'Standards for Conversions'!$A$47:$A$73,0))))</f>
        <v/>
      </c>
      <c r="JE35" s="48" t="s">
        <v>38</v>
      </c>
      <c r="JF35" s="29">
        <v>306</v>
      </c>
      <c r="JG35" s="29">
        <v>4100</v>
      </c>
      <c r="JH35" s="31">
        <f>IF(JG35/(INDEX('Standards for Conversions'!$H$47:$H$73,MATCH(JF$3,'Standards for Conversions'!$A$47:$A$73,0)))=0,"",JG35/(INDEX('Standards for Conversions'!$H$47:$H$73,MATCH(JF$3,'Standards for Conversions'!$A$47:$A$73,0))))</f>
        <v>663.21680643666161</v>
      </c>
      <c r="JI35" s="48"/>
      <c r="JL35" s="31" t="str">
        <f>IF(JK35/(INDEX('Standards for Conversions'!$H$47:$H$73,MATCH(JJ$3,'Standards for Conversions'!$A$47:$A$73,0)))=0,"",JK35/(INDEX('Standards for Conversions'!$H$47:$H$73,MATCH(JJ$3,'Standards for Conversions'!$A$47:$A$73,0))))</f>
        <v/>
      </c>
      <c r="JM35" s="33" t="s">
        <v>38</v>
      </c>
      <c r="JP35" s="31" t="str">
        <f>IF(JO35/(INDEX('Standards for Conversions'!$H$47:$H$73,MATCH(JN$3,'Standards for Conversions'!$A$47:$A$73,0)))=0,"",JO35/(INDEX('Standards for Conversions'!$H$47:$H$73,MATCH(JN$3,'Standards for Conversions'!$A$47:$A$73,0))))</f>
        <v/>
      </c>
      <c r="JQ35" s="33" t="s">
        <v>38</v>
      </c>
      <c r="JT35" s="31" t="str">
        <f>IF(JS35/(INDEX('Standards for Conversions'!$H$47:$H$73,MATCH(JR$3,'Standards for Conversions'!$A$47:$A$73,0)))=0,"",JS35/(INDEX('Standards for Conversions'!$H$47:$H$73,MATCH(JR$3,'Standards for Conversions'!$A$47:$A$73,0))))</f>
        <v/>
      </c>
      <c r="JU35" s="33" t="s">
        <v>38</v>
      </c>
      <c r="JV35" s="29">
        <v>300</v>
      </c>
      <c r="JW35" s="29">
        <v>4000</v>
      </c>
      <c r="JX35" s="31">
        <f>IF(JW35/(INDEX('Standards for Conversions'!$H$47:$H$73,MATCH(JV$3,'Standards for Conversions'!$A$47:$A$73,0)))=0,"",JW35/(INDEX('Standards for Conversions'!$H$47:$H$73,MATCH(JV$3,'Standards for Conversions'!$A$47:$A$73,0))))</f>
        <v>610.62356971119027</v>
      </c>
      <c r="JY35" s="33" t="s">
        <v>38</v>
      </c>
      <c r="KB35" s="31" t="str">
        <f>IF(KA35/(INDEX('Standards for Conversions'!$H$47:$H$73,MATCH(JZ$3,'Standards for Conversions'!$A$47:$A$73,0)))=0,"",KA35/(INDEX('Standards for Conversions'!$H$47:$H$73,MATCH(JZ$3,'Standards for Conversions'!$A$47:$A$73,0))))</f>
        <v/>
      </c>
      <c r="KC35" s="33" t="s">
        <v>38</v>
      </c>
      <c r="KF35" s="31" t="str">
        <f>IF(KE35/(INDEX('Standards for Conversions'!$H$47:$H$73,MATCH(KD$3,'Standards for Conversions'!$A$47:$A$73,0)))=0,"",KE35/(INDEX('Standards for Conversions'!$H$47:$H$73,MATCH(KD$3,'Standards for Conversions'!$A$47:$A$73,0))))</f>
        <v/>
      </c>
      <c r="KG35" s="33" t="s">
        <v>38</v>
      </c>
      <c r="KJ35" s="31" t="str">
        <f>IF(KI35/(INDEX('Standards for Conversions'!$H$47:$H$73,MATCH(KH$3,'Standards for Conversions'!$A$47:$A$73,0)))=0,"",KI35/(INDEX('Standards for Conversions'!$H$47:$H$73,MATCH(KH$3,'Standards for Conversions'!$A$47:$A$73,0))))</f>
        <v/>
      </c>
      <c r="KK35" s="33" t="s">
        <v>38</v>
      </c>
      <c r="KL35" s="29">
        <v>270</v>
      </c>
      <c r="KM35" s="29">
        <v>3800</v>
      </c>
      <c r="KN35" s="31">
        <f>IF(KM35/(INDEX('Standards for Conversions'!$H$47:$H$73,MATCH(KL$3,'Standards for Conversions'!$A$47:$A$73,0)))=0,"",KM35/(INDEX('Standards for Conversions'!$H$47:$H$73,MATCH(KL$3,'Standards for Conversions'!$A$47:$A$73,0))))</f>
        <v>511.70424524202656</v>
      </c>
      <c r="KO35" s="33" t="s">
        <v>38</v>
      </c>
      <c r="KR35" s="31" t="str">
        <f>IF(KQ35/(INDEX('Standards for Conversions'!$H$47:$H$73,MATCH(KP$3,'Standards for Conversions'!$A$47:$A$73,0)))=0,"",KQ35/(INDEX('Standards for Conversions'!$H$47:$H$73,MATCH(KP$3,'Standards for Conversions'!$A$47:$A$73,0))))</f>
        <v/>
      </c>
      <c r="KS35" s="33" t="s">
        <v>38</v>
      </c>
      <c r="KV35" s="31" t="str">
        <f>IF(KU35/(INDEX('Standards for Conversions'!$H$47:$H$73,MATCH(KT$3,'Standards for Conversions'!$A$47:$A$73,0)))=0,"",KU35/(INDEX('Standards for Conversions'!$H$47:$H$73,MATCH(KT$3,'Standards for Conversions'!$A$47:$A$73,0))))</f>
        <v/>
      </c>
      <c r="KW35" s="48" t="s">
        <v>38</v>
      </c>
      <c r="KZ35" s="31" t="str">
        <f>IF(KY35/(INDEX('Standards for Conversions'!$H$47:$H$73,MATCH(KX$3,'Standards for Conversions'!$A$47:$A$73,0)))=0,"",KY35/(INDEX('Standards for Conversions'!$H$47:$H$73,MATCH(KX$3,'Standards for Conversions'!$A$47:$A$73,0))))</f>
        <v/>
      </c>
      <c r="LA35" s="48" t="s">
        <v>38</v>
      </c>
      <c r="LB35" s="29">
        <v>56</v>
      </c>
      <c r="LC35" s="29">
        <v>245</v>
      </c>
      <c r="LD35" s="31">
        <f>IF(LC35/(INDEX('Standards for Conversions'!$H$47:$H$73,MATCH(LB$3,'Standards for Conversions'!$A$47:$A$73,0)))=0,"",LC35/(INDEX('Standards for Conversions'!$H$47:$H$73,MATCH(LB$3,'Standards for Conversions'!$A$47:$A$73,0))))</f>
        <v>29.796058848237298</v>
      </c>
      <c r="LE35" s="48"/>
      <c r="LH35" s="31" t="str">
        <f>IF(LG35/(INDEX('Standards for Conversions'!$H$47:$H$73,MATCH(LF$3,'Standards for Conversions'!$A$47:$A$73,0)))=0,"",LG35/(INDEX('Standards for Conversions'!$H$47:$H$73,MATCH(LF$3,'Standards for Conversions'!$A$47:$A$73,0))))</f>
        <v/>
      </c>
      <c r="LL35" s="31" t="str">
        <f>IF(LK35/(INDEX('Standards for Conversions'!$H$47:$H$73,MATCH(LJ$3,'Standards for Conversions'!$A$47:$A$73,0)))=0,"",LK35/(INDEX('Standards for Conversions'!$H$47:$H$73,MATCH(LJ$3,'Standards for Conversions'!$A$47:$A$73,0))))</f>
        <v/>
      </c>
      <c r="LO35" s="31" t="str">
        <f>IF(LN35/(INDEX('Standards for Conversions'!$H$47:$H$73,MATCH(LM$3,'Standards for Conversions'!$A$47:$A$73,0)))=0,"",LN35/(INDEX('Standards for Conversions'!$H$47:$H$73,MATCH(LM$3,'Standards for Conversions'!$A$47:$A$73,0))))</f>
        <v/>
      </c>
      <c r="LR35" s="31" t="str">
        <f>IF(LQ35/(INDEX('Standards for Conversions'!$H$47:$H$73,MATCH(LP$3,'Standards for Conversions'!$A$47:$A$73,0)))=0,"",LQ35/(INDEX('Standards for Conversions'!$H$47:$H$73,MATCH(LP$3,'Standards for Conversions'!$A$47:$A$73,0))))</f>
        <v/>
      </c>
      <c r="LV35" s="31" t="str">
        <f>IF(LU35/(INDEX('Standards for Conversions'!$H$47:$H$73,MATCH(LT$3,'Standards for Conversions'!$A$47:$A$73,0)))=0,"",LU35/(INDEX('Standards for Conversions'!$H$47:$H$73,MATCH(LT$3,'Standards for Conversions'!$A$47:$A$73,0))))</f>
        <v/>
      </c>
      <c r="LY35" s="31" t="str">
        <f>IF(LX35/(INDEX('Standards for Conversions'!$H$47:$H$73,MATCH(LW$3,'Standards for Conversions'!$A$47:$A$73,0)))=0,"",LX35/(INDEX('Standards for Conversions'!$H$47:$H$73,MATCH(LW$3,'Standards for Conversions'!$A$47:$A$73,0))))</f>
        <v/>
      </c>
      <c r="MB35" s="31" t="str">
        <f>IF(MA35/(INDEX('Standards for Conversions'!$H$47:$H$73,MATCH(LZ$3,'Standards for Conversions'!$A$47:$A$73,0)))=0,"",MA35/(INDEX('Standards for Conversions'!$H$47:$H$73,MATCH(LZ$3,'Standards for Conversions'!$A$47:$A$73,0))))</f>
        <v/>
      </c>
      <c r="ME35" s="31" t="str">
        <f>IF(MD35/(INDEX('Standards for Conversions'!$H$47:$H$73,MATCH(MC$3,'Standards for Conversions'!$A$47:$A$73,0)))=0,"",MD35/(INDEX('Standards for Conversions'!$H$47:$H$73,MATCH(MC$3,'Standards for Conversions'!$A$47:$A$73,0))))</f>
        <v/>
      </c>
      <c r="MH35" s="31" t="str">
        <f>IF(MG35/(INDEX('Standards for Conversions'!$H$47:$H$73,MATCH(MF$3,'Standards for Conversions'!$A$47:$A$73,0)))=0,"",MG35/(INDEX('Standards for Conversions'!$H$47:$H$73,MATCH(MF$3,'Standards for Conversions'!$A$47:$A$73,0))))</f>
        <v/>
      </c>
      <c r="MK35" s="31" t="str">
        <f>IF(MJ35/(INDEX('Standards for Conversions'!$H$47:$H$73,MATCH(MI$3,'Standards for Conversions'!$A$47:$A$73,0)))=0,"",MJ35/(INDEX('Standards for Conversions'!$H$47:$H$73,MATCH(MI$3,'Standards for Conversions'!$A$47:$A$73,0))))</f>
        <v/>
      </c>
      <c r="MN35" s="31" t="str">
        <f>IF(MM35/(INDEX('Standards for Conversions'!$H$47:$H$73,MATCH(ML$3,'Standards for Conversions'!$A$47:$A$73,0)))=0,"",MM35/(INDEX('Standards for Conversions'!$H$47:$H$73,MATCH(ML$3,'Standards for Conversions'!$A$47:$A$73,0))))</f>
        <v/>
      </c>
      <c r="MR35" s="31" t="str">
        <f>IF(MQ35/(INDEX('Standards for Conversions'!$H$47:$H$73,MATCH(MP$3,'Standards for Conversions'!$A$47:$A$73,0)))=0,"",MQ35/(INDEX('Standards for Conversions'!$H$47:$H$73,MATCH(MP$3,'Standards for Conversions'!$A$47:$A$73,0))))</f>
        <v/>
      </c>
    </row>
    <row r="36" spans="1:356" hidden="1" x14ac:dyDescent="0.3">
      <c r="A36" s="103" t="s">
        <v>76</v>
      </c>
      <c r="B36" s="10" t="s">
        <v>55</v>
      </c>
      <c r="C36" s="7"/>
      <c r="D36" s="7"/>
      <c r="E36" s="31" t="str">
        <f>IF(D36/(INDEX('Standards for Conversions'!$H$34:$H$73,MATCH(C$3,'Standards for Conversions'!$A$34:$A$73,0)))=0,"",D36/(INDEX('Standards for Conversions'!$H$34:$H$73,MATCH(C$3,'Standards for Conversions'!$A$34:$A$73,0))))</f>
        <v/>
      </c>
      <c r="F36" s="10" t="s">
        <v>55</v>
      </c>
      <c r="G36" s="7"/>
      <c r="H36" s="7"/>
      <c r="I36" s="31" t="str">
        <f>IF(H36/(INDEX('Standards for Conversions'!$H$34:$H$73,MATCH(G$3,'Standards for Conversions'!$A$34:$A$73,0)))=0,"",H36/(INDEX('Standards for Conversions'!$H$34:$H$73,MATCH(G$3,'Standards for Conversions'!$A$34:$A$73,0))))</f>
        <v/>
      </c>
      <c r="J36" s="10" t="s">
        <v>55</v>
      </c>
      <c r="K36" s="9">
        <v>10</v>
      </c>
      <c r="L36" s="9">
        <v>3000</v>
      </c>
      <c r="M36" s="31">
        <f>IF(L36/(INDEX('Standards for Conversions'!$H$34:$H$73,MATCH(K$3,'Standards for Conversions'!$A$34:$A$73,0)))=0,"",L36/(INDEX('Standards for Conversions'!$H$34:$H$73,MATCH(K$3,'Standards for Conversions'!$A$34:$A$73,0))))</f>
        <v>592.62668918918916</v>
      </c>
      <c r="N36" s="10" t="s">
        <v>55</v>
      </c>
      <c r="O36" s="7"/>
      <c r="P36" s="7"/>
      <c r="Q36" s="31" t="str">
        <f>IF(P36/(INDEX('Standards for Conversions'!$H$34:$H$73,MATCH(O$3,'Standards for Conversions'!$A$34:$A$73,0)))=0,"",P36/(INDEX('Standards for Conversions'!$H$34:$H$73,MATCH(O$3,'Standards for Conversions'!$A$34:$A$73,0))))</f>
        <v/>
      </c>
      <c r="R36" s="10" t="s">
        <v>55</v>
      </c>
      <c r="S36" s="7"/>
      <c r="T36" s="7"/>
      <c r="U36" s="31" t="str">
        <f>IF(T36/(INDEX('Standards for Conversions'!$H$34:$H$73,MATCH(S$3,'Standards for Conversions'!$A$34:$A$73,0)))=0,"",T36/(INDEX('Standards for Conversions'!$H$34:$H$73,MATCH(S$3,'Standards for Conversions'!$A$34:$A$73,0))))</f>
        <v/>
      </c>
      <c r="V36" s="10" t="s">
        <v>55</v>
      </c>
      <c r="W36" s="7"/>
      <c r="X36" s="7"/>
      <c r="Y36" s="31" t="str">
        <f>IF(X36/(INDEX('Standards for Conversions'!$H$34:$H$73,MATCH(W$3,'Standards for Conversions'!$A$34:$A$73,0)))=0,"",X36/(INDEX('Standards for Conversions'!$H$34:$H$73,MATCH(W$3,'Standards for Conversions'!$A$34:$A$73,0))))</f>
        <v/>
      </c>
      <c r="Z36" s="10" t="s">
        <v>55</v>
      </c>
      <c r="AA36" s="9">
        <v>10</v>
      </c>
      <c r="AB36" s="9">
        <v>3000</v>
      </c>
      <c r="AC36" s="31">
        <f>IF(AB36/(INDEX('Standards for Conversions'!$H$34:$H$73,MATCH(AA$3,'Standards for Conversions'!$A$34:$A$73,0)))=0,"",AB36/(INDEX('Standards for Conversions'!$H$34:$H$73,MATCH(AA$3,'Standards for Conversions'!$A$34:$A$73,0))))</f>
        <v>578.01745676544704</v>
      </c>
      <c r="AD36" s="10" t="s">
        <v>55</v>
      </c>
      <c r="AE36" s="7"/>
      <c r="AF36" s="7"/>
      <c r="AG36" s="31" t="str">
        <f>IF(AF36/(INDEX('Standards for Conversions'!$H$34:$H$73,MATCH(AE$3,'Standards for Conversions'!$A$34:$A$73,0)))=0,"",AF36/(INDEX('Standards for Conversions'!$H$34:$H$73,MATCH(AE$3,'Standards for Conversions'!$A$34:$A$73,0))))</f>
        <v/>
      </c>
      <c r="AH36" s="10" t="s">
        <v>55</v>
      </c>
      <c r="AI36" s="7"/>
      <c r="AJ36" s="7"/>
      <c r="AK36" s="31" t="str">
        <f>IF(AJ36/(INDEX('Standards for Conversions'!$H$34:$H$73,MATCH(AI$3,'Standards for Conversions'!$A$34:$A$73,0)))=0,"",AJ36/(INDEX('Standards for Conversions'!$H$34:$H$73,MATCH(AI$3,'Standards for Conversions'!$A$34:$A$73,0))))</f>
        <v/>
      </c>
      <c r="AL36" s="10" t="s">
        <v>55</v>
      </c>
      <c r="AM36" s="7"/>
      <c r="AN36" s="7"/>
      <c r="AO36" s="31" t="str">
        <f>IF(AN36/(INDEX('Standards for Conversions'!$H$34:$H$73,MATCH(AM$3,'Standards for Conversions'!$A$34:$A$73,0)))=0,"",AN36/(INDEX('Standards for Conversions'!$H$34:$H$73,MATCH(AM$3,'Standards for Conversions'!$A$34:$A$73,0))))</f>
        <v/>
      </c>
      <c r="AP36" s="10" t="s">
        <v>55</v>
      </c>
      <c r="AQ36" s="9">
        <v>6</v>
      </c>
      <c r="AR36" s="9">
        <v>2500</v>
      </c>
      <c r="AS36" s="31">
        <f>IF(AR36/(INDEX('Standards for Conversions'!$H$34:$H$73,MATCH(AQ$3,'Standards for Conversions'!$A$34:$A$73,0)))=0,"",AR36/(INDEX('Standards for Conversions'!$H$34:$H$73,MATCH(AQ$3,'Standards for Conversions'!$A$34:$A$73,0))))</f>
        <v>446.74609295790964</v>
      </c>
      <c r="AT36" s="10" t="s">
        <v>55</v>
      </c>
      <c r="AU36" s="7"/>
      <c r="AV36" s="7"/>
      <c r="AW36" s="31" t="str">
        <f>IF(AV36/(INDEX('Standards for Conversions'!$H$34:$H$73,MATCH(AU$3,'Standards for Conversions'!$A$34:$A$73,0)))=0,"",AV36/(INDEX('Standards for Conversions'!$H$34:$H$73,MATCH(AU$3,'Standards for Conversions'!$A$34:$A$73,0))))</f>
        <v/>
      </c>
      <c r="AX36" s="10" t="s">
        <v>55</v>
      </c>
      <c r="AY36" s="7"/>
      <c r="AZ36" s="7"/>
      <c r="BA36" s="31" t="str">
        <f>IF(AZ36/(INDEX('Standards for Conversions'!$H$34:$H$73,MATCH(AY$3,'Standards for Conversions'!$A$34:$A$73,0)))=0,"",AZ36/(INDEX('Standards for Conversions'!$H$34:$H$73,MATCH(AY$3,'Standards for Conversions'!$A$34:$A$73,0))))</f>
        <v/>
      </c>
      <c r="BB36" s="10" t="s">
        <v>55</v>
      </c>
      <c r="BC36" s="7"/>
      <c r="BD36" s="7"/>
      <c r="BE36" s="31" t="str">
        <f>IF(BD36/(INDEX('Standards for Conversions'!$H$34:$H$73,MATCH(BC$3,'Standards for Conversions'!$A$34:$A$73,0)))=0,"",BD36/(INDEX('Standards for Conversions'!$H$34:$H$73,MATCH(BC$3,'Standards for Conversions'!$A$34:$A$73,0))))</f>
        <v/>
      </c>
      <c r="BF36" s="10" t="s">
        <v>55</v>
      </c>
      <c r="BG36" s="9">
        <v>10</v>
      </c>
      <c r="BH36" s="9">
        <v>4000</v>
      </c>
      <c r="BI36" s="31">
        <f>IF(BH36/(INDEX('Standards for Conversions'!$H$34:$H$73,MATCH(BG$3,'Standards for Conversions'!$A$34:$A$73,0)))=0,"",BH36/(INDEX('Standards for Conversions'!$H$34:$H$73,MATCH(BG$3,'Standards for Conversions'!$A$34:$A$73,0))))</f>
        <v>742.74184554329247</v>
      </c>
      <c r="BJ36" s="10" t="s">
        <v>55</v>
      </c>
      <c r="BK36" s="7"/>
      <c r="BL36" s="7"/>
      <c r="BM36" s="31" t="str">
        <f>IF(BL36/(INDEX('Standards for Conversions'!$H$34:$H$73,MATCH(BK$3,'Standards for Conversions'!$A$34:$A$73,0)))=0,"",BL36/(INDEX('Standards for Conversions'!$H$34:$H$73,MATCH(BK$3,'Standards for Conversions'!$A$34:$A$73,0))))</f>
        <v/>
      </c>
      <c r="BN36" s="10" t="s">
        <v>55</v>
      </c>
      <c r="BO36" s="7"/>
      <c r="BP36" s="7"/>
      <c r="BQ36" s="31" t="str">
        <f>IF(BP36/(INDEX('Standards for Conversions'!$H$34:$H$73,MATCH(BO$3,'Standards for Conversions'!$A$34:$A$73,0)))=0,"",BP36/(INDEX('Standards for Conversions'!$H$34:$H$73,MATCH(BO$3,'Standards for Conversions'!$A$34:$A$73,0))))</f>
        <v/>
      </c>
      <c r="BR36" s="10" t="s">
        <v>55</v>
      </c>
      <c r="BS36" s="7"/>
      <c r="BT36" s="7"/>
      <c r="BU36" s="31" t="str">
        <f>IF(BT36/(INDEX('Standards for Conversions'!$H$34:$H$73,MATCH(BS$3,'Standards for Conversions'!$A$34:$A$73,0)))=0,"",BT36/(INDEX('Standards for Conversions'!$H$34:$H$73,MATCH(BS$3,'Standards for Conversions'!$A$34:$A$73,0))))</f>
        <v/>
      </c>
      <c r="BV36" s="10" t="s">
        <v>55</v>
      </c>
      <c r="BW36" s="9">
        <v>16</v>
      </c>
      <c r="BX36" s="9">
        <v>8000</v>
      </c>
      <c r="BY36" s="31">
        <f>IF(BX36/(INDEX('Standards for Conversions'!$H$34:$H$73,MATCH(BW$3,'Standards for Conversions'!$A$34:$A$73,0)))=0,"",BX36/(INDEX('Standards for Conversions'!$H$34:$H$73,MATCH(BW$3,'Standards for Conversions'!$A$34:$A$73,0))))</f>
        <v>1424.5060253179222</v>
      </c>
      <c r="BZ36" s="10" t="s">
        <v>55</v>
      </c>
      <c r="CA36" s="7"/>
      <c r="CB36" s="7"/>
      <c r="CC36" s="31" t="str">
        <f>IF(CB36/(INDEX('Standards for Conversions'!$H$34:$H$73,MATCH(CA$3,'Standards for Conversions'!$A$34:$A$73,0)))=0,"",CB36/(INDEX('Standards for Conversions'!$H$34:$H$73,MATCH(CA$3,'Standards for Conversions'!$A$34:$A$73,0))))</f>
        <v/>
      </c>
      <c r="CD36" s="10" t="s">
        <v>55</v>
      </c>
      <c r="CE36" s="7"/>
      <c r="CF36" s="7"/>
      <c r="CG36" s="31" t="str">
        <f>IF(CF36/(INDEX('Standards for Conversions'!$H$34:$H$73,MATCH(CE$3,'Standards for Conversions'!$A$34:$A$73,0)))=0,"",CF36/(INDEX('Standards for Conversions'!$H$34:$H$73,MATCH(CE$3,'Standards for Conversions'!$A$34:$A$73,0))))</f>
        <v/>
      </c>
      <c r="CH36" s="10" t="s">
        <v>55</v>
      </c>
      <c r="CI36" s="7"/>
      <c r="CJ36" s="7"/>
      <c r="CK36" s="31" t="str">
        <f>IF(CJ36/(INDEX('Standards for Conversions'!$H$34:$H$73,MATCH(CI$3,'Standards for Conversions'!$A$34:$A$73,0)))=0,"",CJ36/(INDEX('Standards for Conversions'!$H$34:$H$73,MATCH(CI$3,'Standards for Conversions'!$A$34:$A$73,0))))</f>
        <v/>
      </c>
      <c r="CL36" s="10" t="s">
        <v>55</v>
      </c>
      <c r="CM36" s="9">
        <v>12</v>
      </c>
      <c r="CN36" s="9">
        <v>6000</v>
      </c>
      <c r="CO36" s="31">
        <f>IF(CN36/(INDEX('Standards for Conversions'!$H$34:$H$73,MATCH(CM$3,'Standards for Conversions'!$A$34:$A$73,0)))=0,"",CN36/(INDEX('Standards for Conversions'!$H$34:$H$73,MATCH(CM$3,'Standards for Conversions'!$A$34:$A$73,0))))</f>
        <v>1041.701790214652</v>
      </c>
      <c r="CP36" s="10" t="s">
        <v>55</v>
      </c>
      <c r="CQ36" s="7"/>
      <c r="CR36" s="7"/>
      <c r="CS36" s="31" t="str">
        <f>IF(CR36/(INDEX('Standards for Conversions'!$H$34:$H$73,MATCH(CQ$3,'Standards for Conversions'!$A$34:$A$73,0)))=0,"",CR36/(INDEX('Standards for Conversions'!$H$34:$H$73,MATCH(CQ$3,'Standards for Conversions'!$A$34:$A$73,0))))</f>
        <v/>
      </c>
      <c r="CT36" s="10" t="s">
        <v>55</v>
      </c>
      <c r="CU36" s="7"/>
      <c r="CV36" s="7"/>
      <c r="CW36" s="31" t="str">
        <f>IF(CV36/(INDEX('Standards for Conversions'!$H$34:$H$73,MATCH(CU$3,'Standards for Conversions'!$A$34:$A$73,0)))=0,"",CV36/(INDEX('Standards for Conversions'!$H$34:$H$73,MATCH(CU$3,'Standards for Conversions'!$A$34:$A$73,0))))</f>
        <v/>
      </c>
      <c r="CX36" s="10" t="s">
        <v>55</v>
      </c>
      <c r="CY36" s="7"/>
      <c r="CZ36" s="7"/>
      <c r="DA36" s="31" t="str">
        <f>IF(CZ36/(INDEX('Standards for Conversions'!$H$34:$H$73,MATCH(CY$3,'Standards for Conversions'!$A$34:$A$73,0)))=0,"",CZ36/(INDEX('Standards for Conversions'!$H$34:$H$73,MATCH(CY$3,'Standards for Conversions'!$A$34:$A$73,0))))</f>
        <v/>
      </c>
      <c r="DB36" s="10" t="s">
        <v>55</v>
      </c>
      <c r="DC36" s="9">
        <v>6</v>
      </c>
      <c r="DD36" s="9">
        <v>4800</v>
      </c>
      <c r="DE36" s="31">
        <f>IF(DD36/(INDEX('Standards for Conversions'!$H$34:$H$73,MATCH(DC$3,'Standards for Conversions'!$A$34:$A$73,0)))=0,"",DD36/(INDEX('Standards for Conversions'!$H$34:$H$73,MATCH(DC$3,'Standards for Conversions'!$A$34:$A$73,0))))</f>
        <v>849.62214304336499</v>
      </c>
      <c r="DF36" s="10" t="s">
        <v>55</v>
      </c>
      <c r="DG36" s="7"/>
      <c r="DH36" s="7"/>
      <c r="DI36" s="31" t="str">
        <f>IF(DH36/(INDEX('Standards for Conversions'!$H$34:$H$73,MATCH(DG$3,'Standards for Conversions'!$A$34:$A$73,0)))=0,"",DH36/(INDEX('Standards for Conversions'!$H$34:$H$73,MATCH(DG$3,'Standards for Conversions'!$A$34:$A$73,0))))</f>
        <v/>
      </c>
      <c r="DJ36" s="10" t="s">
        <v>55</v>
      </c>
      <c r="DK36" s="7"/>
      <c r="DL36" s="7"/>
      <c r="DM36" s="31" t="str">
        <f>IF(DL36/(INDEX('Standards for Conversions'!$H$34:$H$73,MATCH(DK$3,'Standards for Conversions'!$A$34:$A$73,0)))=0,"",DL36/(INDEX('Standards for Conversions'!$H$34:$H$73,MATCH(DK$3,'Standards for Conversions'!$A$34:$A$73,0))))</f>
        <v/>
      </c>
      <c r="DN36" s="10" t="s">
        <v>55</v>
      </c>
      <c r="DO36" s="7"/>
      <c r="DP36" s="7"/>
      <c r="DQ36" s="31" t="str">
        <f>IF(DP36/(INDEX('Standards for Conversions'!$H$34:$H$73,MATCH(DO$3,'Standards for Conversions'!$A$34:$A$73,0)))=0,"",DP36/(INDEX('Standards for Conversions'!$H$34:$H$73,MATCH(DO$3,'Standards for Conversions'!$A$34:$A$73,0))))</f>
        <v/>
      </c>
      <c r="DR36" s="10" t="s">
        <v>55</v>
      </c>
      <c r="DS36" s="9">
        <v>25</v>
      </c>
      <c r="DT36" s="9">
        <v>15000</v>
      </c>
      <c r="DU36" s="31">
        <f>IF(DT36/(INDEX('Standards for Conversions'!$H$34:$H$73,MATCH(DS$3,'Standards for Conversions'!$A$34:$A$73,0)))=0,"",DT36/(INDEX('Standards for Conversions'!$H$34:$H$73,MATCH(DS$3,'Standards for Conversions'!$A$34:$A$73,0))))</f>
        <v>2626.4859161814547</v>
      </c>
      <c r="DV36" s="10" t="s">
        <v>55</v>
      </c>
      <c r="DW36" s="7"/>
      <c r="DX36" s="7"/>
      <c r="DY36" s="31" t="str">
        <f>IF(DX36/(INDEX('Standards for Conversions'!$H$34:$H$73,MATCH(DW$3,'Standards for Conversions'!$A$34:$A$73,0)))=0,"",DX36/(INDEX('Standards for Conversions'!$H$34:$H$73,MATCH(DW$3,'Standards for Conversions'!$A$34:$A$73,0))))</f>
        <v/>
      </c>
      <c r="DZ36" s="10" t="s">
        <v>55</v>
      </c>
      <c r="EA36" s="7"/>
      <c r="EB36" s="7"/>
      <c r="EC36" s="31" t="str">
        <f>IF(EB36/(INDEX('Standards for Conversions'!$H$34:$H$73,MATCH(EA$3,'Standards for Conversions'!$A$34:$A$73,0)))=0,"",EB36/(INDEX('Standards for Conversions'!$H$34:$H$73,MATCH(EA$3,'Standards for Conversions'!$A$34:$A$73,0))))</f>
        <v/>
      </c>
      <c r="ED36" s="10" t="s">
        <v>55</v>
      </c>
      <c r="EE36" s="7"/>
      <c r="EF36" s="7"/>
      <c r="EG36" s="31" t="str">
        <f>IF(EF36/(INDEX('Standards for Conversions'!$H$34:$H$73,MATCH(EE$3,'Standards for Conversions'!$A$34:$A$73,0)))=0,"",EF36/(INDEX('Standards for Conversions'!$H$34:$H$73,MATCH(EE$3,'Standards for Conversions'!$A$34:$A$73,0))))</f>
        <v/>
      </c>
      <c r="EH36" s="10" t="s">
        <v>55</v>
      </c>
      <c r="EI36" s="9">
        <v>23</v>
      </c>
      <c r="EJ36" s="9">
        <v>14810</v>
      </c>
      <c r="EK36" s="31">
        <f>IF(EJ36/(INDEX('Standards for Conversions'!$H$34:$H$73,MATCH(EI$3,'Standards for Conversions'!$A$34:$A$73,0)))=0,"",EJ36/(INDEX('Standards for Conversions'!$H$34:$H$73,MATCH(EI$3,'Standards for Conversions'!$A$34:$A$73,0))))</f>
        <v>2590.0814028055383</v>
      </c>
      <c r="EL36" s="10" t="s">
        <v>55</v>
      </c>
      <c r="EM36" s="7"/>
      <c r="EN36" s="7"/>
      <c r="EO36" s="31" t="str">
        <f>IF(EN36/(INDEX('Standards for Conversions'!$H$34:$H$73,MATCH(EM$3,'Standards for Conversions'!$A$34:$A$73,0)))=0,"",EN36/(INDEX('Standards for Conversions'!$H$34:$H$73,MATCH(EM$3,'Standards for Conversions'!$A$34:$A$73,0))))</f>
        <v/>
      </c>
      <c r="EP36" s="10" t="s">
        <v>55</v>
      </c>
      <c r="EQ36" s="7"/>
      <c r="ER36" s="7"/>
      <c r="ES36" s="31" t="str">
        <f>IF(ER36/(INDEX('Standards for Conversions'!$H$34:$H$73,MATCH(EQ$3,'Standards for Conversions'!$A$34:$A$73,0)))=0,"",ER36/(INDEX('Standards for Conversions'!$H$34:$H$73,MATCH(EQ$3,'Standards for Conversions'!$A$34:$A$73,0))))</f>
        <v/>
      </c>
      <c r="ET36" s="10" t="s">
        <v>55</v>
      </c>
      <c r="EU36" s="7"/>
      <c r="EV36" s="7"/>
      <c r="EW36" s="31" t="str">
        <f>IF(EV36/(INDEX('Standards for Conversions'!$H$34:$H$73,MATCH(EU$3,'Standards for Conversions'!$A$34:$A$73,0)))=0,"",EV36/(INDEX('Standards for Conversions'!$H$34:$H$73,MATCH(EU$3,'Standards for Conversions'!$A$34:$A$73,0))))</f>
        <v/>
      </c>
      <c r="EX36" s="10" t="s">
        <v>55</v>
      </c>
      <c r="EY36" s="9">
        <v>11</v>
      </c>
      <c r="EZ36" s="9">
        <v>10945</v>
      </c>
      <c r="FA36" s="31">
        <f>IF(EZ36/(INDEX('Standards for Conversions'!$H$34:$H$73,MATCH(EY$3,'Standards for Conversions'!$A$34:$A$73,0)))=0,"",EZ36/(INDEX('Standards for Conversions'!$H$34:$H$73,MATCH(EY$3,'Standards for Conversions'!$A$34:$A$73,0))))</f>
        <v>1874.7466890171922</v>
      </c>
      <c r="FB36" s="10" t="s">
        <v>55</v>
      </c>
      <c r="FC36" s="7"/>
      <c r="FD36" s="7"/>
      <c r="FE36" s="31" t="str">
        <f>IF(FD36/(INDEX('Standards for Conversions'!$H$34:$H$73,MATCH(FC$3,'Standards for Conversions'!$A$34:$A$73,0)))=0,"",FD36/(INDEX('Standards for Conversions'!$H$34:$H$73,MATCH(FC$3,'Standards for Conversions'!$A$34:$A$73,0))))</f>
        <v/>
      </c>
      <c r="FF36" s="10" t="s">
        <v>55</v>
      </c>
      <c r="FG36" s="7"/>
      <c r="FH36" s="7"/>
      <c r="FI36" s="31" t="str">
        <f>IF(FH36/(INDEX('Standards for Conversions'!$H$34:$H$73,MATCH(FG$3,'Standards for Conversions'!$A$34:$A$73,0)))=0,"",FH36/(INDEX('Standards for Conversions'!$H$34:$H$73,MATCH(FG$3,'Standards for Conversions'!$A$34:$A$73,0))))</f>
        <v/>
      </c>
      <c r="FJ36" s="10" t="s">
        <v>55</v>
      </c>
      <c r="FK36" s="7"/>
      <c r="FL36" s="7"/>
      <c r="FM36" s="31" t="str">
        <f>IF(FL36/(INDEX('Standards for Conversions'!$H$34:$H$73,MATCH(FK$3,'Standards for Conversions'!$A$34:$A$73,0)))=0,"",FL36/(INDEX('Standards for Conversions'!$H$34:$H$73,MATCH(FK$3,'Standards for Conversions'!$A$34:$A$73,0))))</f>
        <v/>
      </c>
      <c r="FN36" s="10" t="s">
        <v>55</v>
      </c>
      <c r="FO36" s="9">
        <v>12</v>
      </c>
      <c r="FP36" s="9">
        <v>6000</v>
      </c>
      <c r="FQ36" s="31">
        <f>IF(FP36/(INDEX('Standards for Conversions'!$H$34:$H$73,MATCH(FO$3,'Standards for Conversions'!$A$34:$A$73,0)))=0,"",FP36/(INDEX('Standards for Conversions'!$H$34:$H$73,MATCH(FO$3,'Standards for Conversions'!$A$34:$A$73,0))))</f>
        <v>1028.9981098461803</v>
      </c>
      <c r="FR36" s="10" t="s">
        <v>55</v>
      </c>
      <c r="FS36" s="7"/>
      <c r="FT36" s="7"/>
      <c r="FU36" s="31" t="str">
        <f>IF(FT36/(INDEX('Standards for Conversions'!$H$34:$H$73,MATCH(FS$3,'Standards for Conversions'!$A$34:$A$73,0)))=0,"",FT36/(INDEX('Standards for Conversions'!$H$34:$H$73,MATCH(FS$3,'Standards for Conversions'!$A$34:$A$73,0))))</f>
        <v/>
      </c>
      <c r="FV36" s="10" t="s">
        <v>55</v>
      </c>
      <c r="FW36" s="7"/>
      <c r="FX36" s="7"/>
      <c r="FY36" s="31" t="str">
        <f>IF(FX36/(INDEX('Standards for Conversions'!$H$34:$H$73,MATCH(FW$3,'Standards for Conversions'!$A$34:$A$73,0)))=0,"",FX36/(INDEX('Standards for Conversions'!$H$34:$H$73,MATCH(FW$3,'Standards for Conversions'!$A$34:$A$73,0))))</f>
        <v/>
      </c>
      <c r="FZ36" s="10" t="s">
        <v>55</v>
      </c>
      <c r="GA36" s="7"/>
      <c r="GB36" s="7"/>
      <c r="GC36" s="31" t="str">
        <f>IF(GB36/(INDEX('Standards for Conversions'!$H$34:$H$73,MATCH(GA$3,'Standards for Conversions'!$A$34:$A$73,0)))=0,"",GB36/(INDEX('Standards for Conversions'!$H$34:$H$73,MATCH(GA$3,'Standards for Conversions'!$A$34:$A$73,0))))</f>
        <v/>
      </c>
      <c r="GD36" s="10" t="s">
        <v>55</v>
      </c>
      <c r="GE36" s="9">
        <v>12</v>
      </c>
      <c r="GF36" s="9">
        <v>6000</v>
      </c>
      <c r="GG36" s="31">
        <f>IF(GF36/(INDEX('Standards for Conversions'!$H$34:$H$73,MATCH(GE$3,'Standards for Conversions'!$A$34:$A$73,0)))=0,"",GF36/(INDEX('Standards for Conversions'!$H$34:$H$73,MATCH(GE$3,'Standards for Conversions'!$A$34:$A$73,0))))</f>
        <v>987.07596463022503</v>
      </c>
      <c r="GH36" s="10" t="s">
        <v>55</v>
      </c>
      <c r="GI36" s="7"/>
      <c r="GJ36" s="7"/>
      <c r="GK36" s="31" t="str">
        <f>IF(GJ36/(INDEX('Standards for Conversions'!$H$34:$H$73,MATCH(GI$3,'Standards for Conversions'!$A$34:$A$73,0)))=0,"",GJ36/(INDEX('Standards for Conversions'!$H$34:$H$73,MATCH(GI$3,'Standards for Conversions'!$A$34:$A$73,0))))</f>
        <v/>
      </c>
      <c r="GL36" s="10" t="s">
        <v>55</v>
      </c>
      <c r="GM36" s="7"/>
      <c r="GN36" s="7"/>
      <c r="GO36" s="31" t="str">
        <f>IF(GN36/(INDEX('Standards for Conversions'!$H$34:$H$73,MATCH(GM$3,'Standards for Conversions'!$A$34:$A$73,0)))=0,"",GN36/(INDEX('Standards for Conversions'!$H$34:$H$73,MATCH(GM$3,'Standards for Conversions'!$A$34:$A$73,0))))</f>
        <v/>
      </c>
      <c r="GP36" s="10" t="s">
        <v>55</v>
      </c>
      <c r="GQ36" s="7"/>
      <c r="GR36" s="7"/>
      <c r="GS36" s="31" t="str">
        <f>IF(GR36/(INDEX('Standards for Conversions'!$H$34:$H$73,MATCH(GQ$3,'Standards for Conversions'!$A$34:$A$73,0)))=0,"",GR36/(INDEX('Standards for Conversions'!$H$34:$H$73,MATCH(GQ$3,'Standards for Conversions'!$A$34:$A$73,0))))</f>
        <v/>
      </c>
      <c r="GT36" s="10" t="s">
        <v>55</v>
      </c>
      <c r="GU36" s="9">
        <v>8</v>
      </c>
      <c r="GV36" s="9">
        <v>4000</v>
      </c>
      <c r="GW36" s="31">
        <f>IF(GV36/(INDEX('Standards for Conversions'!$H$34:$H$73,MATCH(GU$3,'Standards for Conversions'!$A$34:$A$73,0)))=0,"",GV36/(INDEX('Standards for Conversions'!$H$34:$H$73,MATCH(GU$3,'Standards for Conversions'!$A$34:$A$73,0))))</f>
        <v>614.85812983401411</v>
      </c>
      <c r="GX36" s="10" t="s">
        <v>55</v>
      </c>
      <c r="GY36" s="7"/>
      <c r="GZ36" s="7"/>
      <c r="HA36" s="31" t="str">
        <f>IF(GZ36/(INDEX('Standards for Conversions'!$H$34:$H$73,MATCH(GY$3,'Standards for Conversions'!$A$34:$A$73,0)))=0,"",GZ36/(INDEX('Standards for Conversions'!$H$34:$H$73,MATCH(GY$3,'Standards for Conversions'!$A$34:$A$73,0))))</f>
        <v/>
      </c>
      <c r="HB36" s="10" t="s">
        <v>55</v>
      </c>
      <c r="HC36" s="7"/>
      <c r="HD36" s="7"/>
      <c r="HE36" s="31" t="str">
        <f>IF(HD36/(INDEX('Standards for Conversions'!$H$34:$H$73,MATCH(HC$3,'Standards for Conversions'!$A$34:$A$73,0)))=0,"",HD36/(INDEX('Standards for Conversions'!$H$34:$H$73,MATCH(HC$3,'Standards for Conversions'!$A$34:$A$73,0))))</f>
        <v/>
      </c>
      <c r="HF36" s="10" t="s">
        <v>55</v>
      </c>
      <c r="HG36" s="7"/>
      <c r="HH36" s="7"/>
      <c r="HI36" s="31" t="str">
        <f>IF(HH36/(INDEX('Standards for Conversions'!$H$34:$H$73,MATCH(HG$3,'Standards for Conversions'!$A$34:$A$73,0)))=0,"",HH36/(INDEX('Standards for Conversions'!$H$34:$H$73,MATCH(HG$3,'Standards for Conversions'!$A$34:$A$73,0))))</f>
        <v/>
      </c>
      <c r="HJ36" s="10" t="s">
        <v>55</v>
      </c>
      <c r="HK36" s="9">
        <v>8</v>
      </c>
      <c r="HL36" s="9">
        <v>7200</v>
      </c>
      <c r="HM36" s="31">
        <f>IF(HL36/(INDEX('Standards for Conversions'!$H$34:$H$73,MATCH(HK$3,'Standards for Conversions'!$A$34:$A$73,0)))=0,"",HL36/(INDEX('Standards for Conversions'!$H$34:$H$73,MATCH(HK$3,'Standards for Conversions'!$A$34:$A$73,0))))</f>
        <v>1089.9757756148429</v>
      </c>
      <c r="HN36" s="10" t="s">
        <v>55</v>
      </c>
      <c r="HO36" s="7"/>
      <c r="HP36" s="7"/>
      <c r="HQ36" s="31" t="str">
        <f>IF(HP36/(INDEX('Standards for Conversions'!$H$34:$H$73,MATCH(HO$3,'Standards for Conversions'!$A$34:$A$73,0)))=0,"",HP36/(INDEX('Standards for Conversions'!$H$34:$H$73,MATCH(HO$3,'Standards for Conversions'!$A$34:$A$73,0))))</f>
        <v/>
      </c>
      <c r="HR36" s="33" t="s">
        <v>55</v>
      </c>
      <c r="HU36" s="31" t="str">
        <f>IF(HT36/(INDEX('Standards for Conversions'!$H$47:$H$73,MATCH(HS$3,'Standards for Conversions'!$A$47:$A$73,0)))=0,"",HT36/(INDEX('Standards for Conversions'!$H$47:$H$73,MATCH(HS$3,'Standards for Conversions'!$A$47:$A$73,0))))</f>
        <v/>
      </c>
      <c r="HV36" s="33" t="s">
        <v>55</v>
      </c>
      <c r="HY36" s="31" t="str">
        <f>IF(HX36/(INDEX('Standards for Conversions'!$H$47:$H$73,MATCH(HW$3,'Standards for Conversions'!$A$47:$A$73,0)))=0,"",HX36/(INDEX('Standards for Conversions'!$H$47:$H$73,MATCH(HW$3,'Standards for Conversions'!$A$47:$A$73,0))))</f>
        <v/>
      </c>
      <c r="HZ36" s="33">
        <v>10</v>
      </c>
      <c r="IA36" s="33">
        <v>10000</v>
      </c>
      <c r="IB36" s="31">
        <f>IF(IA36/(INDEX('Standards for Conversions'!$H$47:$H$73,MATCH(HZ$3,'Standards for Conversions'!$A$47:$A$73,0)))=0,"",IA36/(INDEX('Standards for Conversions'!$H$47:$H$73,MATCH(HZ$3,'Standards for Conversions'!$A$47:$A$73,0))))</f>
        <v>1452.4541221285597</v>
      </c>
      <c r="IC36" s="33" t="s">
        <v>55</v>
      </c>
      <c r="IF36" s="31" t="str">
        <f>IF(IE36/(INDEX('Standards for Conversions'!$H$47:$H$73,MATCH(ID$3,'Standards for Conversions'!$A$47:$A$73,0)))=0,"",IE36/(INDEX('Standards for Conversions'!$H$47:$H$73,MATCH(ID$3,'Standards for Conversions'!$A$47:$A$73,0))))</f>
        <v/>
      </c>
      <c r="IG36" s="33" t="s">
        <v>55</v>
      </c>
      <c r="IJ36" s="31" t="str">
        <f>IF(II36/(INDEX('Standards for Conversions'!$H$47:$H$73,MATCH(IH$3,'Standards for Conversions'!$A$47:$A$73,0)))=0,"",II36/(INDEX('Standards for Conversions'!$H$47:$H$73,MATCH(IH$3,'Standards for Conversions'!$A$47:$A$73,0))))</f>
        <v/>
      </c>
      <c r="IK36" s="33" t="s">
        <v>55</v>
      </c>
      <c r="IN36" s="31" t="str">
        <f>IF(IM36/(INDEX('Standards for Conversions'!$H$47:$H$73,MATCH(IL$3,'Standards for Conversions'!$A$47:$A$73,0)))=0,"",IM36/(INDEX('Standards for Conversions'!$H$47:$H$73,MATCH(IL$3,'Standards for Conversions'!$A$47:$A$73,0))))</f>
        <v/>
      </c>
      <c r="IO36" s="33" t="s">
        <v>55</v>
      </c>
      <c r="IP36" s="29">
        <v>12</v>
      </c>
      <c r="IQ36" s="29">
        <v>8500</v>
      </c>
      <c r="IR36" s="31">
        <f>IF(IQ36/(INDEX('Standards for Conversions'!$H$47:$H$73,MATCH(IP$3,'Standards for Conversions'!$A$47:$A$73,0)))=0,"",IQ36/(INDEX('Standards for Conversions'!$H$47:$H$73,MATCH(IP$3,'Standards for Conversions'!$A$47:$A$73,0))))</f>
        <v>1229.1869396526752</v>
      </c>
      <c r="IS36" s="33" t="s">
        <v>55</v>
      </c>
      <c r="IV36" s="31" t="str">
        <f>IF(IU36/(INDEX('Standards for Conversions'!$H$47:$H$73,MATCH(IT$3,'Standards for Conversions'!$A$47:$A$73,0)))=0,"",IU36/(INDEX('Standards for Conversions'!$H$47:$H$73,MATCH(IT$3,'Standards for Conversions'!$A$47:$A$73,0))))</f>
        <v/>
      </c>
      <c r="IW36" s="33" t="s">
        <v>55</v>
      </c>
      <c r="IZ36" s="31" t="str">
        <f>IF(IY36/(INDEX('Standards for Conversions'!$H$47:$H$73,MATCH(IX$3,'Standards for Conversions'!$A$47:$A$73,0)))=0,"",IY36/(INDEX('Standards for Conversions'!$H$47:$H$73,MATCH(IX$3,'Standards for Conversions'!$A$47:$A$73,0))))</f>
        <v/>
      </c>
      <c r="JA36" s="48" t="s">
        <v>55</v>
      </c>
      <c r="JD36" s="31" t="str">
        <f>IF(JC36/(INDEX('Standards for Conversions'!$H$47:$H$73,MATCH(JB$3,'Standards for Conversions'!$A$47:$A$73,0)))=0,"",JC36/(INDEX('Standards for Conversions'!$H$47:$H$73,MATCH(JB$3,'Standards for Conversions'!$A$47:$A$73,0))))</f>
        <v/>
      </c>
      <c r="JE36" s="48" t="s">
        <v>55</v>
      </c>
      <c r="JF36" s="29">
        <v>5</v>
      </c>
      <c r="JG36" s="29">
        <v>4800</v>
      </c>
      <c r="JH36" s="31">
        <f>IF(JG36/(INDEX('Standards for Conversions'!$H$47:$H$73,MATCH(JF$3,'Standards for Conversions'!$A$47:$A$73,0)))=0,"",JG36/(INDEX('Standards for Conversions'!$H$47:$H$73,MATCH(JF$3,'Standards for Conversions'!$A$47:$A$73,0))))</f>
        <v>776.44894412096971</v>
      </c>
      <c r="JI36" s="33"/>
      <c r="JL36" s="31" t="str">
        <f>IF(JK36/(INDEX('Standards for Conversions'!$H$47:$H$73,MATCH(JJ$3,'Standards for Conversions'!$A$47:$A$73,0)))=0,"",JK36/(INDEX('Standards for Conversions'!$H$47:$H$73,MATCH(JJ$3,'Standards for Conversions'!$A$47:$A$73,0))))</f>
        <v/>
      </c>
      <c r="JM36" s="33" t="s">
        <v>55</v>
      </c>
      <c r="JP36" s="31" t="str">
        <f>IF(JO36/(INDEX('Standards for Conversions'!$H$47:$H$73,MATCH(JN$3,'Standards for Conversions'!$A$47:$A$73,0)))=0,"",JO36/(INDEX('Standards for Conversions'!$H$47:$H$73,MATCH(JN$3,'Standards for Conversions'!$A$47:$A$73,0))))</f>
        <v/>
      </c>
      <c r="JQ36" s="33" t="s">
        <v>55</v>
      </c>
      <c r="JT36" s="31" t="str">
        <f>IF(JS36/(INDEX('Standards for Conversions'!$H$47:$H$73,MATCH(JR$3,'Standards for Conversions'!$A$47:$A$73,0)))=0,"",JS36/(INDEX('Standards for Conversions'!$H$47:$H$73,MATCH(JR$3,'Standards for Conversions'!$A$47:$A$73,0))))</f>
        <v/>
      </c>
      <c r="JU36" s="33" t="s">
        <v>55</v>
      </c>
      <c r="JV36" s="29">
        <v>7</v>
      </c>
      <c r="JW36" s="29">
        <v>3000</v>
      </c>
      <c r="JX36" s="31">
        <f>IF(JW36/(INDEX('Standards for Conversions'!$H$47:$H$73,MATCH(JV$3,'Standards for Conversions'!$A$47:$A$73,0)))=0,"",JW36/(INDEX('Standards for Conversions'!$H$47:$H$73,MATCH(JV$3,'Standards for Conversions'!$A$47:$A$73,0))))</f>
        <v>457.96767728339267</v>
      </c>
      <c r="JY36" s="33" t="s">
        <v>55</v>
      </c>
      <c r="KB36" s="31" t="str">
        <f>IF(KA36/(INDEX('Standards for Conversions'!$H$47:$H$73,MATCH(JZ$3,'Standards for Conversions'!$A$47:$A$73,0)))=0,"",KA36/(INDEX('Standards for Conversions'!$H$47:$H$73,MATCH(JZ$3,'Standards for Conversions'!$A$47:$A$73,0))))</f>
        <v/>
      </c>
      <c r="KC36" s="33" t="s">
        <v>55</v>
      </c>
      <c r="KF36" s="31" t="str">
        <f>IF(KE36/(INDEX('Standards for Conversions'!$H$47:$H$73,MATCH(KD$3,'Standards for Conversions'!$A$47:$A$73,0)))=0,"",KE36/(INDEX('Standards for Conversions'!$H$47:$H$73,MATCH(KD$3,'Standards for Conversions'!$A$47:$A$73,0))))</f>
        <v/>
      </c>
      <c r="KG36" s="33" t="s">
        <v>55</v>
      </c>
      <c r="KJ36" s="31" t="str">
        <f>IF(KI36/(INDEX('Standards for Conversions'!$H$47:$H$73,MATCH(KH$3,'Standards for Conversions'!$A$47:$A$73,0)))=0,"",KI36/(INDEX('Standards for Conversions'!$H$47:$H$73,MATCH(KH$3,'Standards for Conversions'!$A$47:$A$73,0))))</f>
        <v/>
      </c>
      <c r="KK36" s="33" t="s">
        <v>55</v>
      </c>
      <c r="KL36" s="29">
        <v>3</v>
      </c>
      <c r="KM36" s="29">
        <v>2000</v>
      </c>
      <c r="KN36" s="31">
        <f>IF(KM36/(INDEX('Standards for Conversions'!$H$47:$H$73,MATCH(KL$3,'Standards for Conversions'!$A$47:$A$73,0)))=0,"",KM36/(INDEX('Standards for Conversions'!$H$47:$H$73,MATCH(KL$3,'Standards for Conversions'!$A$47:$A$73,0))))</f>
        <v>269.31802381159292</v>
      </c>
      <c r="KO36" s="33" t="s">
        <v>55</v>
      </c>
      <c r="KR36" s="31" t="str">
        <f>IF(KQ36/(INDEX('Standards for Conversions'!$H$47:$H$73,MATCH(KP$3,'Standards for Conversions'!$A$47:$A$73,0)))=0,"",KQ36/(INDEX('Standards for Conversions'!$H$47:$H$73,MATCH(KP$3,'Standards for Conversions'!$A$47:$A$73,0))))</f>
        <v/>
      </c>
      <c r="KS36" s="33" t="s">
        <v>55</v>
      </c>
      <c r="KV36" s="31" t="str">
        <f>IF(KU36/(INDEX('Standards for Conversions'!$H$47:$H$73,MATCH(KT$3,'Standards for Conversions'!$A$47:$A$73,0)))=0,"",KU36/(INDEX('Standards for Conversions'!$H$47:$H$73,MATCH(KT$3,'Standards for Conversions'!$A$47:$A$73,0))))</f>
        <v/>
      </c>
      <c r="KW36" s="48" t="s">
        <v>55</v>
      </c>
      <c r="KZ36" s="31" t="str">
        <f>IF(KY36/(INDEX('Standards for Conversions'!$H$47:$H$73,MATCH(KX$3,'Standards for Conversions'!$A$47:$A$73,0)))=0,"",KY36/(INDEX('Standards for Conversions'!$H$47:$H$73,MATCH(KX$3,'Standards for Conversions'!$A$47:$A$73,0))))</f>
        <v/>
      </c>
      <c r="LA36" s="48" t="s">
        <v>55</v>
      </c>
      <c r="LB36" s="29">
        <v>1</v>
      </c>
      <c r="LC36" s="29">
        <v>200</v>
      </c>
      <c r="LD36" s="31">
        <f>IF(LC36/(INDEX('Standards for Conversions'!$H$47:$H$73,MATCH(LB$3,'Standards for Conversions'!$A$47:$A$73,0)))=0,"",LC36/(INDEX('Standards for Conversions'!$H$47:$H$73,MATCH(LB$3,'Standards for Conversions'!$A$47:$A$73,0))))</f>
        <v>24.323313345499837</v>
      </c>
      <c r="LE36" s="33"/>
      <c r="LH36" s="31" t="str">
        <f>IF(LG36/(INDEX('Standards for Conversions'!$H$47:$H$73,MATCH(LF$3,'Standards for Conversions'!$A$47:$A$73,0)))=0,"",LG36/(INDEX('Standards for Conversions'!$H$47:$H$73,MATCH(LF$3,'Standards for Conversions'!$A$47:$A$73,0))))</f>
        <v/>
      </c>
      <c r="LL36" s="31" t="str">
        <f>IF(LK36/(INDEX('Standards for Conversions'!$H$47:$H$73,MATCH(LJ$3,'Standards for Conversions'!$A$47:$A$73,0)))=0,"",LK36/(INDEX('Standards for Conversions'!$H$47:$H$73,MATCH(LJ$3,'Standards for Conversions'!$A$47:$A$73,0))))</f>
        <v/>
      </c>
      <c r="LO36" s="31" t="str">
        <f>IF(LN36/(INDEX('Standards for Conversions'!$H$47:$H$73,MATCH(LM$3,'Standards for Conversions'!$A$47:$A$73,0)))=0,"",LN36/(INDEX('Standards for Conversions'!$H$47:$H$73,MATCH(LM$3,'Standards for Conversions'!$A$47:$A$73,0))))</f>
        <v/>
      </c>
      <c r="LR36" s="31" t="str">
        <f>IF(LQ36/(INDEX('Standards for Conversions'!$H$47:$H$73,MATCH(LP$3,'Standards for Conversions'!$A$47:$A$73,0)))=0,"",LQ36/(INDEX('Standards for Conversions'!$H$47:$H$73,MATCH(LP$3,'Standards for Conversions'!$A$47:$A$73,0))))</f>
        <v/>
      </c>
      <c r="LV36" s="31" t="str">
        <f>IF(LU36/(INDEX('Standards for Conversions'!$H$47:$H$73,MATCH(LT$3,'Standards for Conversions'!$A$47:$A$73,0)))=0,"",LU36/(INDEX('Standards for Conversions'!$H$47:$H$73,MATCH(LT$3,'Standards for Conversions'!$A$47:$A$73,0))))</f>
        <v/>
      </c>
      <c r="LY36" s="31" t="str">
        <f>IF(LX36/(INDEX('Standards for Conversions'!$H$47:$H$73,MATCH(LW$3,'Standards for Conversions'!$A$47:$A$73,0)))=0,"",LX36/(INDEX('Standards for Conversions'!$H$47:$H$73,MATCH(LW$3,'Standards for Conversions'!$A$47:$A$73,0))))</f>
        <v/>
      </c>
      <c r="MB36" s="31" t="str">
        <f>IF(MA36/(INDEX('Standards for Conversions'!$H$47:$H$73,MATCH(LZ$3,'Standards for Conversions'!$A$47:$A$73,0)))=0,"",MA36/(INDEX('Standards for Conversions'!$H$47:$H$73,MATCH(LZ$3,'Standards for Conversions'!$A$47:$A$73,0))))</f>
        <v/>
      </c>
      <c r="ME36" s="31" t="str">
        <f>IF(MD36/(INDEX('Standards for Conversions'!$H$47:$H$73,MATCH(MC$3,'Standards for Conversions'!$A$47:$A$73,0)))=0,"",MD36/(INDEX('Standards for Conversions'!$H$47:$H$73,MATCH(MC$3,'Standards for Conversions'!$A$47:$A$73,0))))</f>
        <v/>
      </c>
      <c r="MH36" s="31" t="str">
        <f>IF(MG36/(INDEX('Standards for Conversions'!$H$47:$H$73,MATCH(MF$3,'Standards for Conversions'!$A$47:$A$73,0)))=0,"",MG36/(INDEX('Standards for Conversions'!$H$47:$H$73,MATCH(MF$3,'Standards for Conversions'!$A$47:$A$73,0))))</f>
        <v/>
      </c>
      <c r="MK36" s="31" t="str">
        <f>IF(MJ36/(INDEX('Standards for Conversions'!$H$47:$H$73,MATCH(MI$3,'Standards for Conversions'!$A$47:$A$73,0)))=0,"",MJ36/(INDEX('Standards for Conversions'!$H$47:$H$73,MATCH(MI$3,'Standards for Conversions'!$A$47:$A$73,0))))</f>
        <v/>
      </c>
      <c r="MN36" s="31" t="str">
        <f>IF(MM36/(INDEX('Standards for Conversions'!$H$47:$H$73,MATCH(ML$3,'Standards for Conversions'!$A$47:$A$73,0)))=0,"",MM36/(INDEX('Standards for Conversions'!$H$47:$H$73,MATCH(ML$3,'Standards for Conversions'!$A$47:$A$73,0))))</f>
        <v/>
      </c>
      <c r="MR36" s="31" t="str">
        <f>IF(MQ36/(INDEX('Standards for Conversions'!$H$47:$H$73,MATCH(MP$3,'Standards for Conversions'!$A$47:$A$73,0)))=0,"",MQ36/(INDEX('Standards for Conversions'!$H$47:$H$73,MATCH(MP$3,'Standards for Conversions'!$A$47:$A$73,0))))</f>
        <v/>
      </c>
    </row>
    <row r="37" spans="1:356" hidden="1" x14ac:dyDescent="0.3">
      <c r="A37" s="103" t="s">
        <v>219</v>
      </c>
      <c r="B37" s="10" t="s">
        <v>38</v>
      </c>
      <c r="C37" s="7"/>
      <c r="D37" s="7"/>
      <c r="E37" s="31" t="str">
        <f>IF(D37/(INDEX('Standards for Conversions'!$H$34:$H$73,MATCH(C$3,'Standards for Conversions'!$A$34:$A$73,0)))=0,"",D37/(INDEX('Standards for Conversions'!$H$34:$H$73,MATCH(C$3,'Standards for Conversions'!$A$34:$A$73,0))))</f>
        <v/>
      </c>
      <c r="F37" s="10" t="s">
        <v>38</v>
      </c>
      <c r="G37" s="7"/>
      <c r="H37" s="7"/>
      <c r="I37" s="31" t="str">
        <f>IF(H37/(INDEX('Standards for Conversions'!$H$34:$H$73,MATCH(G$3,'Standards for Conversions'!$A$34:$A$73,0)))=0,"",H37/(INDEX('Standards for Conversions'!$H$34:$H$73,MATCH(G$3,'Standards for Conversions'!$A$34:$A$73,0))))</f>
        <v/>
      </c>
      <c r="J37" s="10" t="s">
        <v>38</v>
      </c>
      <c r="K37" s="9"/>
      <c r="L37" s="9"/>
      <c r="M37" s="31" t="str">
        <f>IF(L37/(INDEX('Standards for Conversions'!$H$34:$H$73,MATCH(K$3,'Standards for Conversions'!$A$34:$A$73,0)))=0,"",L37/(INDEX('Standards for Conversions'!$H$34:$H$73,MATCH(K$3,'Standards for Conversions'!$A$34:$A$73,0))))</f>
        <v/>
      </c>
      <c r="N37" s="10" t="s">
        <v>38</v>
      </c>
      <c r="O37" s="7"/>
      <c r="P37" s="7"/>
      <c r="Q37" s="31" t="str">
        <f>IF(P37/(INDEX('Standards for Conversions'!$H$34:$H$73,MATCH(O$3,'Standards for Conversions'!$A$34:$A$73,0)))=0,"",P37/(INDEX('Standards for Conversions'!$H$34:$H$73,MATCH(O$3,'Standards for Conversions'!$A$34:$A$73,0))))</f>
        <v/>
      </c>
      <c r="R37" s="10" t="s">
        <v>38</v>
      </c>
      <c r="S37" s="7"/>
      <c r="T37" s="7"/>
      <c r="U37" s="31" t="str">
        <f>IF(T37/(INDEX('Standards for Conversions'!$H$34:$H$73,MATCH(S$3,'Standards for Conversions'!$A$34:$A$73,0)))=0,"",T37/(INDEX('Standards for Conversions'!$H$34:$H$73,MATCH(S$3,'Standards for Conversions'!$A$34:$A$73,0))))</f>
        <v/>
      </c>
      <c r="V37" s="10" t="s">
        <v>38</v>
      </c>
      <c r="W37" s="7"/>
      <c r="X37" s="7"/>
      <c r="Y37" s="31" t="str">
        <f>IF(X37/(INDEX('Standards for Conversions'!$H$34:$H$73,MATCH(W$3,'Standards for Conversions'!$A$34:$A$73,0)))=0,"",X37/(INDEX('Standards for Conversions'!$H$34:$H$73,MATCH(W$3,'Standards for Conversions'!$A$34:$A$73,0))))</f>
        <v/>
      </c>
      <c r="Z37" s="10" t="s">
        <v>38</v>
      </c>
      <c r="AA37" s="9"/>
      <c r="AB37" s="9"/>
      <c r="AC37" s="31" t="str">
        <f>IF(AB37/(INDEX('Standards for Conversions'!$H$34:$H$73,MATCH(AA$3,'Standards for Conversions'!$A$34:$A$73,0)))=0,"",AB37/(INDEX('Standards for Conversions'!$H$34:$H$73,MATCH(AA$3,'Standards for Conversions'!$A$34:$A$73,0))))</f>
        <v/>
      </c>
      <c r="AD37" s="10" t="s">
        <v>38</v>
      </c>
      <c r="AE37" s="7"/>
      <c r="AF37" s="7"/>
      <c r="AG37" s="31" t="str">
        <f>IF(AF37/(INDEX('Standards for Conversions'!$H$34:$H$73,MATCH(AE$3,'Standards for Conversions'!$A$34:$A$73,0)))=0,"",AF37/(INDEX('Standards for Conversions'!$H$34:$H$73,MATCH(AE$3,'Standards for Conversions'!$A$34:$A$73,0))))</f>
        <v/>
      </c>
      <c r="AH37" s="10" t="s">
        <v>38</v>
      </c>
      <c r="AI37" s="7"/>
      <c r="AJ37" s="7"/>
      <c r="AK37" s="31" t="str">
        <f>IF(AJ37/(INDEX('Standards for Conversions'!$H$34:$H$73,MATCH(AI$3,'Standards for Conversions'!$A$34:$A$73,0)))=0,"",AJ37/(INDEX('Standards for Conversions'!$H$34:$H$73,MATCH(AI$3,'Standards for Conversions'!$A$34:$A$73,0))))</f>
        <v/>
      </c>
      <c r="AL37" s="10" t="s">
        <v>38</v>
      </c>
      <c r="AM37" s="7"/>
      <c r="AN37" s="7"/>
      <c r="AO37" s="31" t="str">
        <f>IF(AN37/(INDEX('Standards for Conversions'!$H$34:$H$73,MATCH(AM$3,'Standards for Conversions'!$A$34:$A$73,0)))=0,"",AN37/(INDEX('Standards for Conversions'!$H$34:$H$73,MATCH(AM$3,'Standards for Conversions'!$A$34:$A$73,0))))</f>
        <v/>
      </c>
      <c r="AP37" s="10" t="s">
        <v>38</v>
      </c>
      <c r="AQ37" s="9"/>
      <c r="AR37" s="9"/>
      <c r="AS37" s="31" t="str">
        <f>IF(AR37/(INDEX('Standards for Conversions'!$H$34:$H$73,MATCH(AQ$3,'Standards for Conversions'!$A$34:$A$73,0)))=0,"",AR37/(INDEX('Standards for Conversions'!$H$34:$H$73,MATCH(AQ$3,'Standards for Conversions'!$A$34:$A$73,0))))</f>
        <v/>
      </c>
      <c r="AT37" s="10" t="s">
        <v>38</v>
      </c>
      <c r="AU37" s="7"/>
      <c r="AV37" s="7"/>
      <c r="AW37" s="31" t="str">
        <f>IF(AV37/(INDEX('Standards for Conversions'!$H$34:$H$73,MATCH(AU$3,'Standards for Conversions'!$A$34:$A$73,0)))=0,"",AV37/(INDEX('Standards for Conversions'!$H$34:$H$73,MATCH(AU$3,'Standards for Conversions'!$A$34:$A$73,0))))</f>
        <v/>
      </c>
      <c r="AX37" s="10" t="s">
        <v>38</v>
      </c>
      <c r="AY37" s="7"/>
      <c r="AZ37" s="7"/>
      <c r="BA37" s="31" t="str">
        <f>IF(AZ37/(INDEX('Standards for Conversions'!$H$34:$H$73,MATCH(AY$3,'Standards for Conversions'!$A$34:$A$73,0)))=0,"",AZ37/(INDEX('Standards for Conversions'!$H$34:$H$73,MATCH(AY$3,'Standards for Conversions'!$A$34:$A$73,0))))</f>
        <v/>
      </c>
      <c r="BB37" s="10" t="s">
        <v>38</v>
      </c>
      <c r="BC37" s="7"/>
      <c r="BD37" s="7"/>
      <c r="BE37" s="31" t="str">
        <f>IF(BD37/(INDEX('Standards for Conversions'!$H$34:$H$73,MATCH(BC$3,'Standards for Conversions'!$A$34:$A$73,0)))=0,"",BD37/(INDEX('Standards for Conversions'!$H$34:$H$73,MATCH(BC$3,'Standards for Conversions'!$A$34:$A$73,0))))</f>
        <v/>
      </c>
      <c r="BF37" s="10" t="s">
        <v>38</v>
      </c>
      <c r="BG37" s="9"/>
      <c r="BH37" s="9"/>
      <c r="BI37" s="31" t="str">
        <f>IF(BH37/(INDEX('Standards for Conversions'!$H$34:$H$73,MATCH(BG$3,'Standards for Conversions'!$A$34:$A$73,0)))=0,"",BH37/(INDEX('Standards for Conversions'!$H$34:$H$73,MATCH(BG$3,'Standards for Conversions'!$A$34:$A$73,0))))</f>
        <v/>
      </c>
      <c r="BJ37" s="10" t="s">
        <v>38</v>
      </c>
      <c r="BK37" s="7"/>
      <c r="BL37" s="7"/>
      <c r="BM37" s="31" t="str">
        <f>IF(BL37/(INDEX('Standards for Conversions'!$H$34:$H$73,MATCH(BK$3,'Standards for Conversions'!$A$34:$A$73,0)))=0,"",BL37/(INDEX('Standards for Conversions'!$H$34:$H$73,MATCH(BK$3,'Standards for Conversions'!$A$34:$A$73,0))))</f>
        <v/>
      </c>
      <c r="BN37" s="10" t="s">
        <v>38</v>
      </c>
      <c r="BO37" s="7"/>
      <c r="BP37" s="7"/>
      <c r="BQ37" s="31" t="str">
        <f>IF(BP37/(INDEX('Standards for Conversions'!$H$34:$H$73,MATCH(BO$3,'Standards for Conversions'!$A$34:$A$73,0)))=0,"",BP37/(INDEX('Standards for Conversions'!$H$34:$H$73,MATCH(BO$3,'Standards for Conversions'!$A$34:$A$73,0))))</f>
        <v/>
      </c>
      <c r="BR37" s="10" t="s">
        <v>38</v>
      </c>
      <c r="BS37" s="7"/>
      <c r="BT37" s="7"/>
      <c r="BU37" s="31" t="str">
        <f>IF(BT37/(INDEX('Standards for Conversions'!$H$34:$H$73,MATCH(BS$3,'Standards for Conversions'!$A$34:$A$73,0)))=0,"",BT37/(INDEX('Standards for Conversions'!$H$34:$H$73,MATCH(BS$3,'Standards for Conversions'!$A$34:$A$73,0))))</f>
        <v/>
      </c>
      <c r="BV37" s="10" t="s">
        <v>38</v>
      </c>
      <c r="BW37" s="9"/>
      <c r="BX37" s="9"/>
      <c r="BY37" s="31" t="str">
        <f>IF(BX37/(INDEX('Standards for Conversions'!$H$34:$H$73,MATCH(BW$3,'Standards for Conversions'!$A$34:$A$73,0)))=0,"",BX37/(INDEX('Standards for Conversions'!$H$34:$H$73,MATCH(BW$3,'Standards for Conversions'!$A$34:$A$73,0))))</f>
        <v/>
      </c>
      <c r="BZ37" s="10" t="s">
        <v>38</v>
      </c>
      <c r="CA37" s="7"/>
      <c r="CB37" s="7"/>
      <c r="CC37" s="31" t="str">
        <f>IF(CB37/(INDEX('Standards for Conversions'!$H$34:$H$73,MATCH(CA$3,'Standards for Conversions'!$A$34:$A$73,0)))=0,"",CB37/(INDEX('Standards for Conversions'!$H$34:$H$73,MATCH(CA$3,'Standards for Conversions'!$A$34:$A$73,0))))</f>
        <v/>
      </c>
      <c r="CD37" s="10" t="s">
        <v>38</v>
      </c>
      <c r="CE37" s="7"/>
      <c r="CF37" s="7"/>
      <c r="CG37" s="31" t="str">
        <f>IF(CF37/(INDEX('Standards for Conversions'!$H$34:$H$73,MATCH(CE$3,'Standards for Conversions'!$A$34:$A$73,0)))=0,"",CF37/(INDEX('Standards for Conversions'!$H$34:$H$73,MATCH(CE$3,'Standards for Conversions'!$A$34:$A$73,0))))</f>
        <v/>
      </c>
      <c r="CH37" s="10" t="s">
        <v>38</v>
      </c>
      <c r="CI37" s="7"/>
      <c r="CJ37" s="7"/>
      <c r="CK37" s="31" t="str">
        <f>IF(CJ37/(INDEX('Standards for Conversions'!$H$34:$H$73,MATCH(CI$3,'Standards for Conversions'!$A$34:$A$73,0)))=0,"",CJ37/(INDEX('Standards for Conversions'!$H$34:$H$73,MATCH(CI$3,'Standards for Conversions'!$A$34:$A$73,0))))</f>
        <v/>
      </c>
      <c r="CL37" s="10" t="s">
        <v>38</v>
      </c>
      <c r="CM37" s="9"/>
      <c r="CN37" s="9"/>
      <c r="CO37" s="31" t="str">
        <f>IF(CN37/(INDEX('Standards for Conversions'!$H$34:$H$73,MATCH(CM$3,'Standards for Conversions'!$A$34:$A$73,0)))=0,"",CN37/(INDEX('Standards for Conversions'!$H$34:$H$73,MATCH(CM$3,'Standards for Conversions'!$A$34:$A$73,0))))</f>
        <v/>
      </c>
      <c r="CP37" s="10" t="s">
        <v>38</v>
      </c>
      <c r="CQ37" s="7"/>
      <c r="CR37" s="7"/>
      <c r="CS37" s="31" t="str">
        <f>IF(CR37/(INDEX('Standards for Conversions'!$H$34:$H$73,MATCH(CQ$3,'Standards for Conversions'!$A$34:$A$73,0)))=0,"",CR37/(INDEX('Standards for Conversions'!$H$34:$H$73,MATCH(CQ$3,'Standards for Conversions'!$A$34:$A$73,0))))</f>
        <v/>
      </c>
      <c r="CT37" s="10" t="s">
        <v>38</v>
      </c>
      <c r="CU37" s="7"/>
      <c r="CV37" s="7"/>
      <c r="CW37" s="31" t="str">
        <f>IF(CV37/(INDEX('Standards for Conversions'!$H$34:$H$73,MATCH(CU$3,'Standards for Conversions'!$A$34:$A$73,0)))=0,"",CV37/(INDEX('Standards for Conversions'!$H$34:$H$73,MATCH(CU$3,'Standards for Conversions'!$A$34:$A$73,0))))</f>
        <v/>
      </c>
      <c r="CX37" s="10" t="s">
        <v>38</v>
      </c>
      <c r="CY37" s="7"/>
      <c r="CZ37" s="7"/>
      <c r="DA37" s="31" t="str">
        <f>IF(CZ37/(INDEX('Standards for Conversions'!$H$34:$H$73,MATCH(CY$3,'Standards for Conversions'!$A$34:$A$73,0)))=0,"",CZ37/(INDEX('Standards for Conversions'!$H$34:$H$73,MATCH(CY$3,'Standards for Conversions'!$A$34:$A$73,0))))</f>
        <v/>
      </c>
      <c r="DB37" s="10" t="s">
        <v>38</v>
      </c>
      <c r="DC37" s="9"/>
      <c r="DD37" s="9"/>
      <c r="DE37" s="31" t="str">
        <f>IF(DD37/(INDEX('Standards for Conversions'!$H$34:$H$73,MATCH(DC$3,'Standards for Conversions'!$A$34:$A$73,0)))=0,"",DD37/(INDEX('Standards for Conversions'!$H$34:$H$73,MATCH(DC$3,'Standards for Conversions'!$A$34:$A$73,0))))</f>
        <v/>
      </c>
      <c r="DF37" s="10" t="s">
        <v>38</v>
      </c>
      <c r="DG37" s="7"/>
      <c r="DH37" s="7"/>
      <c r="DI37" s="31" t="str">
        <f>IF(DH37/(INDEX('Standards for Conversions'!$H$34:$H$73,MATCH(DG$3,'Standards for Conversions'!$A$34:$A$73,0)))=0,"",DH37/(INDEX('Standards for Conversions'!$H$34:$H$73,MATCH(DG$3,'Standards for Conversions'!$A$34:$A$73,0))))</f>
        <v/>
      </c>
      <c r="DJ37" s="10" t="s">
        <v>38</v>
      </c>
      <c r="DK37" s="7"/>
      <c r="DL37" s="7"/>
      <c r="DM37" s="31" t="str">
        <f>IF(DL37/(INDEX('Standards for Conversions'!$H$34:$H$73,MATCH(DK$3,'Standards for Conversions'!$A$34:$A$73,0)))=0,"",DL37/(INDEX('Standards for Conversions'!$H$34:$H$73,MATCH(DK$3,'Standards for Conversions'!$A$34:$A$73,0))))</f>
        <v/>
      </c>
      <c r="DN37" s="10" t="s">
        <v>38</v>
      </c>
      <c r="DO37" s="7"/>
      <c r="DP37" s="7"/>
      <c r="DQ37" s="31" t="str">
        <f>IF(DP37/(INDEX('Standards for Conversions'!$H$34:$H$73,MATCH(DO$3,'Standards for Conversions'!$A$34:$A$73,0)))=0,"",DP37/(INDEX('Standards for Conversions'!$H$34:$H$73,MATCH(DO$3,'Standards for Conversions'!$A$34:$A$73,0))))</f>
        <v/>
      </c>
      <c r="DR37" s="10" t="s">
        <v>38</v>
      </c>
      <c r="DS37" s="9"/>
      <c r="DT37" s="9"/>
      <c r="DU37" s="31" t="str">
        <f>IF(DT37/(INDEX('Standards for Conversions'!$H$34:$H$73,MATCH(DS$3,'Standards for Conversions'!$A$34:$A$73,0)))=0,"",DT37/(INDEX('Standards for Conversions'!$H$34:$H$73,MATCH(DS$3,'Standards for Conversions'!$A$34:$A$73,0))))</f>
        <v/>
      </c>
      <c r="DV37" s="10" t="s">
        <v>38</v>
      </c>
      <c r="DW37" s="7"/>
      <c r="DX37" s="7"/>
      <c r="DY37" s="31" t="str">
        <f>IF(DX37/(INDEX('Standards for Conversions'!$H$34:$H$73,MATCH(DW$3,'Standards for Conversions'!$A$34:$A$73,0)))=0,"",DX37/(INDEX('Standards for Conversions'!$H$34:$H$73,MATCH(DW$3,'Standards for Conversions'!$A$34:$A$73,0))))</f>
        <v/>
      </c>
      <c r="DZ37" s="10" t="s">
        <v>38</v>
      </c>
      <c r="EA37" s="7"/>
      <c r="EB37" s="7"/>
      <c r="EC37" s="31" t="str">
        <f>IF(EB37/(INDEX('Standards for Conversions'!$H$34:$H$73,MATCH(EA$3,'Standards for Conversions'!$A$34:$A$73,0)))=0,"",EB37/(INDEX('Standards for Conversions'!$H$34:$H$73,MATCH(EA$3,'Standards for Conversions'!$A$34:$A$73,0))))</f>
        <v/>
      </c>
      <c r="ED37" s="10" t="s">
        <v>38</v>
      </c>
      <c r="EE37" s="7"/>
      <c r="EF37" s="7"/>
      <c r="EG37" s="31" t="str">
        <f>IF(EF37/(INDEX('Standards for Conversions'!$H$34:$H$73,MATCH(EE$3,'Standards for Conversions'!$A$34:$A$73,0)))=0,"",EF37/(INDEX('Standards for Conversions'!$H$34:$H$73,MATCH(EE$3,'Standards for Conversions'!$A$34:$A$73,0))))</f>
        <v/>
      </c>
      <c r="EH37" s="10" t="s">
        <v>38</v>
      </c>
      <c r="EI37" s="9"/>
      <c r="EJ37" s="9"/>
      <c r="EK37" s="31" t="str">
        <f>IF(EJ37/(INDEX('Standards for Conversions'!$H$34:$H$73,MATCH(EI$3,'Standards for Conversions'!$A$34:$A$73,0)))=0,"",EJ37/(INDEX('Standards for Conversions'!$H$34:$H$73,MATCH(EI$3,'Standards for Conversions'!$A$34:$A$73,0))))</f>
        <v/>
      </c>
      <c r="EL37" s="10" t="s">
        <v>38</v>
      </c>
      <c r="EM37" s="7"/>
      <c r="EN37" s="7"/>
      <c r="EO37" s="31" t="str">
        <f>IF(EN37/(INDEX('Standards for Conversions'!$H$34:$H$73,MATCH(EM$3,'Standards for Conversions'!$A$34:$A$73,0)))=0,"",EN37/(INDEX('Standards for Conversions'!$H$34:$H$73,MATCH(EM$3,'Standards for Conversions'!$A$34:$A$73,0))))</f>
        <v/>
      </c>
      <c r="EP37" s="10" t="s">
        <v>38</v>
      </c>
      <c r="EQ37" s="7"/>
      <c r="ER37" s="7"/>
      <c r="ES37" s="31" t="str">
        <f>IF(ER37/(INDEX('Standards for Conversions'!$H$34:$H$73,MATCH(EQ$3,'Standards for Conversions'!$A$34:$A$73,0)))=0,"",ER37/(INDEX('Standards for Conversions'!$H$34:$H$73,MATCH(EQ$3,'Standards for Conversions'!$A$34:$A$73,0))))</f>
        <v/>
      </c>
      <c r="ET37" s="10" t="s">
        <v>38</v>
      </c>
      <c r="EU37" s="7"/>
      <c r="EV37" s="7"/>
      <c r="EW37" s="31" t="str">
        <f>IF(EV37/(INDEX('Standards for Conversions'!$H$34:$H$73,MATCH(EU$3,'Standards for Conversions'!$A$34:$A$73,0)))=0,"",EV37/(INDEX('Standards for Conversions'!$H$34:$H$73,MATCH(EU$3,'Standards for Conversions'!$A$34:$A$73,0))))</f>
        <v/>
      </c>
      <c r="EX37" s="10" t="s">
        <v>38</v>
      </c>
      <c r="EY37" s="9"/>
      <c r="EZ37" s="9"/>
      <c r="FA37" s="31" t="str">
        <f>IF(EZ37/(INDEX('Standards for Conversions'!$H$34:$H$73,MATCH(EY$3,'Standards for Conversions'!$A$34:$A$73,0)))=0,"",EZ37/(INDEX('Standards for Conversions'!$H$34:$H$73,MATCH(EY$3,'Standards for Conversions'!$A$34:$A$73,0))))</f>
        <v/>
      </c>
      <c r="FB37" s="10" t="s">
        <v>38</v>
      </c>
      <c r="FC37" s="7"/>
      <c r="FD37" s="7"/>
      <c r="FE37" s="31" t="str">
        <f>IF(FD37/(INDEX('Standards for Conversions'!$H$34:$H$73,MATCH(FC$3,'Standards for Conversions'!$A$34:$A$73,0)))=0,"",FD37/(INDEX('Standards for Conversions'!$H$34:$H$73,MATCH(FC$3,'Standards for Conversions'!$A$34:$A$73,0))))</f>
        <v/>
      </c>
      <c r="FF37" s="10" t="s">
        <v>38</v>
      </c>
      <c r="FG37" s="7"/>
      <c r="FH37" s="7"/>
      <c r="FI37" s="31" t="str">
        <f>IF(FH37/(INDEX('Standards for Conversions'!$H$34:$H$73,MATCH(FG$3,'Standards for Conversions'!$A$34:$A$73,0)))=0,"",FH37/(INDEX('Standards for Conversions'!$H$34:$H$73,MATCH(FG$3,'Standards for Conversions'!$A$34:$A$73,0))))</f>
        <v/>
      </c>
      <c r="FJ37" s="10" t="s">
        <v>38</v>
      </c>
      <c r="FK37" s="7"/>
      <c r="FL37" s="7"/>
      <c r="FM37" s="31" t="str">
        <f>IF(FL37/(INDEX('Standards for Conversions'!$H$34:$H$73,MATCH(FK$3,'Standards for Conversions'!$A$34:$A$73,0)))=0,"",FL37/(INDEX('Standards for Conversions'!$H$34:$H$73,MATCH(FK$3,'Standards for Conversions'!$A$34:$A$73,0))))</f>
        <v/>
      </c>
      <c r="FN37" s="10" t="s">
        <v>38</v>
      </c>
      <c r="FO37" s="9"/>
      <c r="FP37" s="9"/>
      <c r="FQ37" s="31" t="str">
        <f>IF(FP37/(INDEX('Standards for Conversions'!$H$34:$H$73,MATCH(FO$3,'Standards for Conversions'!$A$34:$A$73,0)))=0,"",FP37/(INDEX('Standards for Conversions'!$H$34:$H$73,MATCH(FO$3,'Standards for Conversions'!$A$34:$A$73,0))))</f>
        <v/>
      </c>
      <c r="FR37" s="10" t="s">
        <v>38</v>
      </c>
      <c r="FS37" s="7"/>
      <c r="FT37" s="7"/>
      <c r="FU37" s="31" t="str">
        <f>IF(FT37/(INDEX('Standards for Conversions'!$H$34:$H$73,MATCH(FS$3,'Standards for Conversions'!$A$34:$A$73,0)))=0,"",FT37/(INDEX('Standards for Conversions'!$H$34:$H$73,MATCH(FS$3,'Standards for Conversions'!$A$34:$A$73,0))))</f>
        <v/>
      </c>
      <c r="FV37" s="10" t="s">
        <v>38</v>
      </c>
      <c r="FW37" s="7"/>
      <c r="FX37" s="7"/>
      <c r="FY37" s="31" t="str">
        <f>IF(FX37/(INDEX('Standards for Conversions'!$H$34:$H$73,MATCH(FW$3,'Standards for Conversions'!$A$34:$A$73,0)))=0,"",FX37/(INDEX('Standards for Conversions'!$H$34:$H$73,MATCH(FW$3,'Standards for Conversions'!$A$34:$A$73,0))))</f>
        <v/>
      </c>
      <c r="FZ37" s="10" t="s">
        <v>38</v>
      </c>
      <c r="GA37" s="7"/>
      <c r="GB37" s="7"/>
      <c r="GC37" s="31" t="str">
        <f>IF(GB37/(INDEX('Standards for Conversions'!$H$34:$H$73,MATCH(GA$3,'Standards for Conversions'!$A$34:$A$73,0)))=0,"",GB37/(INDEX('Standards for Conversions'!$H$34:$H$73,MATCH(GA$3,'Standards for Conversions'!$A$34:$A$73,0))))</f>
        <v/>
      </c>
      <c r="GD37" s="10" t="s">
        <v>38</v>
      </c>
      <c r="GE37" s="9"/>
      <c r="GF37" s="9"/>
      <c r="GG37" s="31" t="str">
        <f>IF(GF37/(INDEX('Standards for Conversions'!$H$34:$H$73,MATCH(GE$3,'Standards for Conversions'!$A$34:$A$73,0)))=0,"",GF37/(INDEX('Standards for Conversions'!$H$34:$H$73,MATCH(GE$3,'Standards for Conversions'!$A$34:$A$73,0))))</f>
        <v/>
      </c>
      <c r="GH37" s="10" t="s">
        <v>38</v>
      </c>
      <c r="GI37" s="7"/>
      <c r="GJ37" s="7"/>
      <c r="GK37" s="31" t="str">
        <f>IF(GJ37/(INDEX('Standards for Conversions'!$H$34:$H$73,MATCH(GI$3,'Standards for Conversions'!$A$34:$A$73,0)))=0,"",GJ37/(INDEX('Standards for Conversions'!$H$34:$H$73,MATCH(GI$3,'Standards for Conversions'!$A$34:$A$73,0))))</f>
        <v/>
      </c>
      <c r="GL37" s="10" t="s">
        <v>38</v>
      </c>
      <c r="GM37" s="7"/>
      <c r="GN37" s="7"/>
      <c r="GO37" s="31" t="str">
        <f>IF(GN37/(INDEX('Standards for Conversions'!$H$34:$H$73,MATCH(GM$3,'Standards for Conversions'!$A$34:$A$73,0)))=0,"",GN37/(INDEX('Standards for Conversions'!$H$34:$H$73,MATCH(GM$3,'Standards for Conversions'!$A$34:$A$73,0))))</f>
        <v/>
      </c>
      <c r="GP37" s="10" t="s">
        <v>38</v>
      </c>
      <c r="GQ37" s="7"/>
      <c r="GR37" s="7"/>
      <c r="GS37" s="31" t="str">
        <f>IF(GR37/(INDEX('Standards for Conversions'!$H$34:$H$73,MATCH(GQ$3,'Standards for Conversions'!$A$34:$A$73,0)))=0,"",GR37/(INDEX('Standards for Conversions'!$H$34:$H$73,MATCH(GQ$3,'Standards for Conversions'!$A$34:$A$73,0))))</f>
        <v/>
      </c>
      <c r="GT37" s="10" t="s">
        <v>38</v>
      </c>
      <c r="GU37" s="9"/>
      <c r="GV37" s="9"/>
      <c r="GW37" s="31" t="str">
        <f>IF(GV37/(INDEX('Standards for Conversions'!$H$34:$H$73,MATCH(GU$3,'Standards for Conversions'!$A$34:$A$73,0)))=0,"",GV37/(INDEX('Standards for Conversions'!$H$34:$H$73,MATCH(GU$3,'Standards for Conversions'!$A$34:$A$73,0))))</f>
        <v/>
      </c>
      <c r="GX37" s="10" t="s">
        <v>38</v>
      </c>
      <c r="GY37" s="7"/>
      <c r="GZ37" s="7"/>
      <c r="HA37" s="31" t="str">
        <f>IF(GZ37/(INDEX('Standards for Conversions'!$H$34:$H$73,MATCH(GY$3,'Standards for Conversions'!$A$34:$A$73,0)))=0,"",GZ37/(INDEX('Standards for Conversions'!$H$34:$H$73,MATCH(GY$3,'Standards for Conversions'!$A$34:$A$73,0))))</f>
        <v/>
      </c>
      <c r="HB37" s="10" t="s">
        <v>38</v>
      </c>
      <c r="HC37" s="7"/>
      <c r="HD37" s="7"/>
      <c r="HE37" s="31" t="str">
        <f>IF(HD37/(INDEX('Standards for Conversions'!$H$34:$H$73,MATCH(HC$3,'Standards for Conversions'!$A$34:$A$73,0)))=0,"",HD37/(INDEX('Standards for Conversions'!$H$34:$H$73,MATCH(HC$3,'Standards for Conversions'!$A$34:$A$73,0))))</f>
        <v/>
      </c>
      <c r="HF37" s="10" t="s">
        <v>38</v>
      </c>
      <c r="HG37" s="7"/>
      <c r="HH37" s="7"/>
      <c r="HI37" s="31" t="str">
        <f>IF(HH37/(INDEX('Standards for Conversions'!$H$34:$H$73,MATCH(HG$3,'Standards for Conversions'!$A$34:$A$73,0)))=0,"",HH37/(INDEX('Standards for Conversions'!$H$34:$H$73,MATCH(HG$3,'Standards for Conversions'!$A$34:$A$73,0))))</f>
        <v/>
      </c>
      <c r="HJ37" s="10" t="s">
        <v>38</v>
      </c>
      <c r="HK37" s="9"/>
      <c r="HL37" s="9"/>
      <c r="HM37" s="31" t="str">
        <f>IF(HL37/(INDEX('Standards for Conversions'!$H$34:$H$73,MATCH(HK$3,'Standards for Conversions'!$A$34:$A$73,0)))=0,"",HL37/(INDEX('Standards for Conversions'!$H$34:$H$73,MATCH(HK$3,'Standards for Conversions'!$A$34:$A$73,0))))</f>
        <v/>
      </c>
      <c r="HN37" s="10" t="s">
        <v>38</v>
      </c>
      <c r="HO37" s="7"/>
      <c r="HP37" s="7"/>
      <c r="HQ37" s="31" t="str">
        <f>IF(HP37/(INDEX('Standards for Conversions'!$H$34:$H$73,MATCH(HO$3,'Standards for Conversions'!$A$34:$A$73,0)))=0,"",HP37/(INDEX('Standards for Conversions'!$H$34:$H$73,MATCH(HO$3,'Standards for Conversions'!$A$34:$A$73,0))))</f>
        <v/>
      </c>
      <c r="HR37" s="33" t="s">
        <v>38</v>
      </c>
      <c r="HU37" s="31" t="str">
        <f>IF(HT37/(INDEX('Standards for Conversions'!$H$47:$H$73,MATCH(HS$3,'Standards for Conversions'!$A$47:$A$73,0)))=0,"",HT37/(INDEX('Standards for Conversions'!$H$47:$H$73,MATCH(HS$3,'Standards for Conversions'!$A$47:$A$73,0))))</f>
        <v/>
      </c>
      <c r="HV37" s="33" t="s">
        <v>38</v>
      </c>
      <c r="HY37" s="31" t="str">
        <f>IF(HX37/(INDEX('Standards for Conversions'!$H$47:$H$73,MATCH(HW$3,'Standards for Conversions'!$A$47:$A$73,0)))=0,"",HX37/(INDEX('Standards for Conversions'!$H$47:$H$73,MATCH(HW$3,'Standards for Conversions'!$A$47:$A$73,0))))</f>
        <v/>
      </c>
      <c r="HZ37" s="33">
        <v>400</v>
      </c>
      <c r="IA37" s="33">
        <v>800</v>
      </c>
      <c r="IB37" s="31">
        <f>IF(IA37/(INDEX('Standards for Conversions'!$H$47:$H$73,MATCH(HZ$3,'Standards for Conversions'!$A$47:$A$73,0)))=0,"",IA37/(INDEX('Standards for Conversions'!$H$47:$H$73,MATCH(HZ$3,'Standards for Conversions'!$A$47:$A$73,0))))</f>
        <v>116.19632977028476</v>
      </c>
      <c r="IC37" s="33" t="s">
        <v>38</v>
      </c>
      <c r="IF37" s="31" t="str">
        <f>IF(IE37/(INDEX('Standards for Conversions'!$H$47:$H$73,MATCH(ID$3,'Standards for Conversions'!$A$47:$A$73,0)))=0,"",IE37/(INDEX('Standards for Conversions'!$H$47:$H$73,MATCH(ID$3,'Standards for Conversions'!$A$47:$A$73,0))))</f>
        <v/>
      </c>
      <c r="IG37" s="33" t="s">
        <v>38</v>
      </c>
      <c r="IJ37" s="31" t="str">
        <f>IF(II37/(INDEX('Standards for Conversions'!$H$47:$H$73,MATCH(IH$3,'Standards for Conversions'!$A$47:$A$73,0)))=0,"",II37/(INDEX('Standards for Conversions'!$H$47:$H$73,MATCH(IH$3,'Standards for Conversions'!$A$47:$A$73,0))))</f>
        <v/>
      </c>
      <c r="IK37" s="33" t="s">
        <v>38</v>
      </c>
      <c r="IN37" s="31" t="str">
        <f>IF(IM37/(INDEX('Standards for Conversions'!$H$47:$H$73,MATCH(IL$3,'Standards for Conversions'!$A$47:$A$73,0)))=0,"",IM37/(INDEX('Standards for Conversions'!$H$47:$H$73,MATCH(IL$3,'Standards for Conversions'!$A$47:$A$73,0))))</f>
        <v/>
      </c>
      <c r="IO37" s="33" t="s">
        <v>38</v>
      </c>
      <c r="IP37" s="29">
        <v>239</v>
      </c>
      <c r="IQ37" s="29">
        <v>800</v>
      </c>
      <c r="IR37" s="31">
        <f>IF(IQ37/(INDEX('Standards for Conversions'!$H$47:$H$73,MATCH(IP$3,'Standards for Conversions'!$A$47:$A$73,0)))=0,"",IQ37/(INDEX('Standards for Conversions'!$H$47:$H$73,MATCH(IP$3,'Standards for Conversions'!$A$47:$A$73,0))))</f>
        <v>115.68818255554589</v>
      </c>
      <c r="IS37" s="33" t="s">
        <v>38</v>
      </c>
      <c r="IV37" s="31" t="str">
        <f>IF(IU37/(INDEX('Standards for Conversions'!$H$47:$H$73,MATCH(IT$3,'Standards for Conversions'!$A$47:$A$73,0)))=0,"",IU37/(INDEX('Standards for Conversions'!$H$47:$H$73,MATCH(IT$3,'Standards for Conversions'!$A$47:$A$73,0))))</f>
        <v/>
      </c>
      <c r="IW37" s="33" t="s">
        <v>38</v>
      </c>
      <c r="IZ37" s="31" t="str">
        <f>IF(IY37/(INDEX('Standards for Conversions'!$H$47:$H$73,MATCH(IX$3,'Standards for Conversions'!$A$47:$A$73,0)))=0,"",IY37/(INDEX('Standards for Conversions'!$H$47:$H$73,MATCH(IX$3,'Standards for Conversions'!$A$47:$A$73,0))))</f>
        <v/>
      </c>
      <c r="JA37" s="48" t="s">
        <v>38</v>
      </c>
      <c r="JD37" s="31" t="str">
        <f>IF(JC37/(INDEX('Standards for Conversions'!$H$47:$H$73,MATCH(JB$3,'Standards for Conversions'!$A$47:$A$73,0)))=0,"",JC37/(INDEX('Standards for Conversions'!$H$47:$H$73,MATCH(JB$3,'Standards for Conversions'!$A$47:$A$73,0))))</f>
        <v/>
      </c>
      <c r="JE37" s="48" t="s">
        <v>38</v>
      </c>
      <c r="JF37" s="29">
        <v>435</v>
      </c>
      <c r="JG37" s="29">
        <v>1700</v>
      </c>
      <c r="JH37" s="31">
        <f>IF(JG37/(INDEX('Standards for Conversions'!$H$47:$H$73,MATCH(JF$3,'Standards for Conversions'!$A$47:$A$73,0)))=0,"",JG37/(INDEX('Standards for Conversions'!$H$47:$H$73,MATCH(JF$3,'Standards for Conversions'!$A$47:$A$73,0))))</f>
        <v>274.99233437617676</v>
      </c>
      <c r="JI37" s="33"/>
      <c r="JL37" s="31" t="str">
        <f>IF(JK37/(INDEX('Standards for Conversions'!$H$47:$H$73,MATCH(JJ$3,'Standards for Conversions'!$A$47:$A$73,0)))=0,"",JK37/(INDEX('Standards for Conversions'!$H$47:$H$73,MATCH(JJ$3,'Standards for Conversions'!$A$47:$A$73,0))))</f>
        <v/>
      </c>
      <c r="JM37" s="33" t="s">
        <v>38</v>
      </c>
      <c r="JP37" s="31" t="str">
        <f>IF(JO37/(INDEX('Standards for Conversions'!$H$47:$H$73,MATCH(JN$3,'Standards for Conversions'!$A$47:$A$73,0)))=0,"",JO37/(INDEX('Standards for Conversions'!$H$47:$H$73,MATCH(JN$3,'Standards for Conversions'!$A$47:$A$73,0))))</f>
        <v/>
      </c>
      <c r="JQ37" s="33" t="s">
        <v>38</v>
      </c>
      <c r="JT37" s="31" t="str">
        <f>IF(JS37/(INDEX('Standards for Conversions'!$H$47:$H$73,MATCH(JR$3,'Standards for Conversions'!$A$47:$A$73,0)))=0,"",JS37/(INDEX('Standards for Conversions'!$H$47:$H$73,MATCH(JR$3,'Standards for Conversions'!$A$47:$A$73,0))))</f>
        <v/>
      </c>
      <c r="JU37" s="33" t="s">
        <v>38</v>
      </c>
      <c r="JV37" s="29">
        <v>400</v>
      </c>
      <c r="JW37" s="29">
        <v>1200</v>
      </c>
      <c r="JX37" s="31">
        <f>IF(JW37/(INDEX('Standards for Conversions'!$H$47:$H$73,MATCH(JV$3,'Standards for Conversions'!$A$47:$A$73,0)))=0,"",JW37/(INDEX('Standards for Conversions'!$H$47:$H$73,MATCH(JV$3,'Standards for Conversions'!$A$47:$A$73,0))))</f>
        <v>183.18707091335708</v>
      </c>
      <c r="JY37" s="33" t="s">
        <v>38</v>
      </c>
      <c r="KB37" s="31" t="str">
        <f>IF(KA37/(INDEX('Standards for Conversions'!$H$47:$H$73,MATCH(JZ$3,'Standards for Conversions'!$A$47:$A$73,0)))=0,"",KA37/(INDEX('Standards for Conversions'!$H$47:$H$73,MATCH(JZ$3,'Standards for Conversions'!$A$47:$A$73,0))))</f>
        <v/>
      </c>
      <c r="KC37" s="33" t="s">
        <v>38</v>
      </c>
      <c r="KF37" s="31" t="str">
        <f>IF(KE37/(INDEX('Standards for Conversions'!$H$47:$H$73,MATCH(KD$3,'Standards for Conversions'!$A$47:$A$73,0)))=0,"",KE37/(INDEX('Standards for Conversions'!$H$47:$H$73,MATCH(KD$3,'Standards for Conversions'!$A$47:$A$73,0))))</f>
        <v/>
      </c>
      <c r="KG37" s="33" t="s">
        <v>38</v>
      </c>
      <c r="KJ37" s="31" t="str">
        <f>IF(KI37/(INDEX('Standards for Conversions'!$H$47:$H$73,MATCH(KH$3,'Standards for Conversions'!$A$47:$A$73,0)))=0,"",KI37/(INDEX('Standards for Conversions'!$H$47:$H$73,MATCH(KH$3,'Standards for Conversions'!$A$47:$A$73,0))))</f>
        <v/>
      </c>
      <c r="KK37" s="33" t="s">
        <v>38</v>
      </c>
      <c r="KL37" s="29">
        <v>500</v>
      </c>
      <c r="KM37" s="29">
        <v>1600</v>
      </c>
      <c r="KN37" s="31">
        <f>IF(KM37/(INDEX('Standards for Conversions'!$H$47:$H$73,MATCH(KL$3,'Standards for Conversions'!$A$47:$A$73,0)))=0,"",KM37/(INDEX('Standards for Conversions'!$H$47:$H$73,MATCH(KL$3,'Standards for Conversions'!$A$47:$A$73,0))))</f>
        <v>215.45441904927435</v>
      </c>
      <c r="KO37" s="33" t="s">
        <v>38</v>
      </c>
      <c r="KR37" s="31" t="str">
        <f>IF(KQ37/(INDEX('Standards for Conversions'!$H$47:$H$73,MATCH(KP$3,'Standards for Conversions'!$A$47:$A$73,0)))=0,"",KQ37/(INDEX('Standards for Conversions'!$H$47:$H$73,MATCH(KP$3,'Standards for Conversions'!$A$47:$A$73,0))))</f>
        <v/>
      </c>
      <c r="KS37" s="33" t="s">
        <v>38</v>
      </c>
      <c r="KV37" s="31" t="str">
        <f>IF(KU37/(INDEX('Standards for Conversions'!$H$47:$H$73,MATCH(KT$3,'Standards for Conversions'!$A$47:$A$73,0)))=0,"",KU37/(INDEX('Standards for Conversions'!$H$47:$H$73,MATCH(KT$3,'Standards for Conversions'!$A$47:$A$73,0))))</f>
        <v/>
      </c>
      <c r="KW37" s="48" t="s">
        <v>38</v>
      </c>
      <c r="KZ37" s="31" t="str">
        <f>IF(KY37/(INDEX('Standards for Conversions'!$H$47:$H$73,MATCH(KX$3,'Standards for Conversions'!$A$47:$A$73,0)))=0,"",KY37/(INDEX('Standards for Conversions'!$H$47:$H$73,MATCH(KX$3,'Standards for Conversions'!$A$47:$A$73,0))))</f>
        <v/>
      </c>
      <c r="LA37" s="48" t="s">
        <v>38</v>
      </c>
      <c r="LB37" s="29">
        <v>18</v>
      </c>
      <c r="LC37" s="29">
        <v>55</v>
      </c>
      <c r="LD37" s="31">
        <f>IF(LC37/(INDEX('Standards for Conversions'!$H$47:$H$73,MATCH(LB$3,'Standards for Conversions'!$A$47:$A$73,0)))=0,"",LC37/(INDEX('Standards for Conversions'!$H$47:$H$73,MATCH(LB$3,'Standards for Conversions'!$A$47:$A$73,0))))</f>
        <v>6.6889111700124548</v>
      </c>
      <c r="LE37" s="33"/>
      <c r="LH37" s="31" t="str">
        <f>IF(LG37/(INDEX('Standards for Conversions'!$H$47:$H$73,MATCH(LF$3,'Standards for Conversions'!$A$47:$A$73,0)))=0,"",LG37/(INDEX('Standards for Conversions'!$H$47:$H$73,MATCH(LF$3,'Standards for Conversions'!$A$47:$A$73,0))))</f>
        <v/>
      </c>
      <c r="LL37" s="31" t="str">
        <f>IF(LK37/(INDEX('Standards for Conversions'!$H$47:$H$73,MATCH(LJ$3,'Standards for Conversions'!$A$47:$A$73,0)))=0,"",LK37/(INDEX('Standards for Conversions'!$H$47:$H$73,MATCH(LJ$3,'Standards for Conversions'!$A$47:$A$73,0))))</f>
        <v/>
      </c>
      <c r="LO37" s="31" t="str">
        <f>IF(LN37/(INDEX('Standards for Conversions'!$H$47:$H$73,MATCH(LM$3,'Standards for Conversions'!$A$47:$A$73,0)))=0,"",LN37/(INDEX('Standards for Conversions'!$H$47:$H$73,MATCH(LM$3,'Standards for Conversions'!$A$47:$A$73,0))))</f>
        <v/>
      </c>
      <c r="LR37" s="31" t="str">
        <f>IF(LQ37/(INDEX('Standards for Conversions'!$H$47:$H$73,MATCH(LP$3,'Standards for Conversions'!$A$47:$A$73,0)))=0,"",LQ37/(INDEX('Standards for Conversions'!$H$47:$H$73,MATCH(LP$3,'Standards for Conversions'!$A$47:$A$73,0))))</f>
        <v/>
      </c>
      <c r="LV37" s="31" t="str">
        <f>IF(LU37/(INDEX('Standards for Conversions'!$H$47:$H$73,MATCH(LT$3,'Standards for Conversions'!$A$47:$A$73,0)))=0,"",LU37/(INDEX('Standards for Conversions'!$H$47:$H$73,MATCH(LT$3,'Standards for Conversions'!$A$47:$A$73,0))))</f>
        <v/>
      </c>
      <c r="LY37" s="31" t="str">
        <f>IF(LX37/(INDEX('Standards for Conversions'!$H$47:$H$73,MATCH(LW$3,'Standards for Conversions'!$A$47:$A$73,0)))=0,"",LX37/(INDEX('Standards for Conversions'!$H$47:$H$73,MATCH(LW$3,'Standards for Conversions'!$A$47:$A$73,0))))</f>
        <v/>
      </c>
      <c r="MB37" s="31" t="str">
        <f>IF(MA37/(INDEX('Standards for Conversions'!$H$47:$H$73,MATCH(LZ$3,'Standards for Conversions'!$A$47:$A$73,0)))=0,"",MA37/(INDEX('Standards for Conversions'!$H$47:$H$73,MATCH(LZ$3,'Standards for Conversions'!$A$47:$A$73,0))))</f>
        <v/>
      </c>
      <c r="ME37" s="31" t="str">
        <f>IF(MD37/(INDEX('Standards for Conversions'!$H$47:$H$73,MATCH(MC$3,'Standards for Conversions'!$A$47:$A$73,0)))=0,"",MD37/(INDEX('Standards for Conversions'!$H$47:$H$73,MATCH(MC$3,'Standards for Conversions'!$A$47:$A$73,0))))</f>
        <v/>
      </c>
      <c r="MH37" s="31" t="str">
        <f>IF(MG37/(INDEX('Standards for Conversions'!$H$47:$H$73,MATCH(MF$3,'Standards for Conversions'!$A$47:$A$73,0)))=0,"",MG37/(INDEX('Standards for Conversions'!$H$47:$H$73,MATCH(MF$3,'Standards for Conversions'!$A$47:$A$73,0))))</f>
        <v/>
      </c>
      <c r="MK37" s="31" t="str">
        <f>IF(MJ37/(INDEX('Standards for Conversions'!$H$47:$H$73,MATCH(MI$3,'Standards for Conversions'!$A$47:$A$73,0)))=0,"",MJ37/(INDEX('Standards for Conversions'!$H$47:$H$73,MATCH(MI$3,'Standards for Conversions'!$A$47:$A$73,0))))</f>
        <v/>
      </c>
      <c r="MN37" s="31" t="str">
        <f>IF(MM37/(INDEX('Standards for Conversions'!$H$47:$H$73,MATCH(ML$3,'Standards for Conversions'!$A$47:$A$73,0)))=0,"",MM37/(INDEX('Standards for Conversions'!$H$47:$H$73,MATCH(ML$3,'Standards for Conversions'!$A$47:$A$73,0))))</f>
        <v/>
      </c>
      <c r="MR37" s="31" t="str">
        <f>IF(MQ37/(INDEX('Standards for Conversions'!$H$47:$H$73,MATCH(MP$3,'Standards for Conversions'!$A$47:$A$73,0)))=0,"",MQ37/(INDEX('Standards for Conversions'!$H$47:$H$73,MATCH(MP$3,'Standards for Conversions'!$A$47:$A$73,0))))</f>
        <v/>
      </c>
    </row>
    <row r="38" spans="1:356" hidden="1" x14ac:dyDescent="0.3">
      <c r="A38" s="105" t="s">
        <v>220</v>
      </c>
      <c r="B38" s="10" t="s">
        <v>39</v>
      </c>
      <c r="C38" s="7"/>
      <c r="D38" s="7"/>
      <c r="E38" s="31" t="str">
        <f>IF(D38/(INDEX('Standards for Conversions'!$H$34:$H$73,MATCH(C$3,'Standards for Conversions'!$A$34:$A$73,0)))=0,"",D38/(INDEX('Standards for Conversions'!$H$34:$H$73,MATCH(C$3,'Standards for Conversions'!$A$34:$A$73,0))))</f>
        <v/>
      </c>
      <c r="F38" s="10" t="s">
        <v>39</v>
      </c>
      <c r="G38" s="7"/>
      <c r="H38" s="7"/>
      <c r="I38" s="31" t="str">
        <f>IF(H38/(INDEX('Standards for Conversions'!$H$34:$H$73,MATCH(G$3,'Standards for Conversions'!$A$34:$A$73,0)))=0,"",H38/(INDEX('Standards for Conversions'!$H$34:$H$73,MATCH(G$3,'Standards for Conversions'!$A$34:$A$73,0))))</f>
        <v/>
      </c>
      <c r="J38" s="10" t="s">
        <v>39</v>
      </c>
      <c r="K38" s="9"/>
      <c r="L38" s="9"/>
      <c r="M38" s="31" t="str">
        <f>IF(L38/(INDEX('Standards for Conversions'!$H$34:$H$73,MATCH(K$3,'Standards for Conversions'!$A$34:$A$73,0)))=0,"",L38/(INDEX('Standards for Conversions'!$H$34:$H$73,MATCH(K$3,'Standards for Conversions'!$A$34:$A$73,0))))</f>
        <v/>
      </c>
      <c r="N38" s="10" t="s">
        <v>39</v>
      </c>
      <c r="O38" s="7"/>
      <c r="P38" s="7"/>
      <c r="Q38" s="31" t="str">
        <f>IF(P38/(INDEX('Standards for Conversions'!$H$34:$H$73,MATCH(O$3,'Standards for Conversions'!$A$34:$A$73,0)))=0,"",P38/(INDEX('Standards for Conversions'!$H$34:$H$73,MATCH(O$3,'Standards for Conversions'!$A$34:$A$73,0))))</f>
        <v/>
      </c>
      <c r="R38" s="10" t="s">
        <v>39</v>
      </c>
      <c r="S38" s="7"/>
      <c r="T38" s="7"/>
      <c r="U38" s="31" t="str">
        <f>IF(T38/(INDEX('Standards for Conversions'!$H$34:$H$73,MATCH(S$3,'Standards for Conversions'!$A$34:$A$73,0)))=0,"",T38/(INDEX('Standards for Conversions'!$H$34:$H$73,MATCH(S$3,'Standards for Conversions'!$A$34:$A$73,0))))</f>
        <v/>
      </c>
      <c r="V38" s="10" t="s">
        <v>39</v>
      </c>
      <c r="W38" s="7"/>
      <c r="X38" s="7"/>
      <c r="Y38" s="31" t="str">
        <f>IF(X38/(INDEX('Standards for Conversions'!$H$34:$H$73,MATCH(W$3,'Standards for Conversions'!$A$34:$A$73,0)))=0,"",X38/(INDEX('Standards for Conversions'!$H$34:$H$73,MATCH(W$3,'Standards for Conversions'!$A$34:$A$73,0))))</f>
        <v/>
      </c>
      <c r="Z38" s="10" t="s">
        <v>39</v>
      </c>
      <c r="AA38" s="9"/>
      <c r="AB38" s="9"/>
      <c r="AC38" s="31" t="str">
        <f>IF(AB38/(INDEX('Standards for Conversions'!$H$34:$H$73,MATCH(AA$3,'Standards for Conversions'!$A$34:$A$73,0)))=0,"",AB38/(INDEX('Standards for Conversions'!$H$34:$H$73,MATCH(AA$3,'Standards for Conversions'!$A$34:$A$73,0))))</f>
        <v/>
      </c>
      <c r="AD38" s="10" t="s">
        <v>39</v>
      </c>
      <c r="AE38" s="7"/>
      <c r="AF38" s="7"/>
      <c r="AG38" s="31" t="str">
        <f>IF(AF38/(INDEX('Standards for Conversions'!$H$34:$H$73,MATCH(AE$3,'Standards for Conversions'!$A$34:$A$73,0)))=0,"",AF38/(INDEX('Standards for Conversions'!$H$34:$H$73,MATCH(AE$3,'Standards for Conversions'!$A$34:$A$73,0))))</f>
        <v/>
      </c>
      <c r="AH38" s="10" t="s">
        <v>39</v>
      </c>
      <c r="AI38" s="7"/>
      <c r="AJ38" s="7"/>
      <c r="AK38" s="31" t="str">
        <f>IF(AJ38/(INDEX('Standards for Conversions'!$H$34:$H$73,MATCH(AI$3,'Standards for Conversions'!$A$34:$A$73,0)))=0,"",AJ38/(INDEX('Standards for Conversions'!$H$34:$H$73,MATCH(AI$3,'Standards for Conversions'!$A$34:$A$73,0))))</f>
        <v/>
      </c>
      <c r="AL38" s="10" t="s">
        <v>39</v>
      </c>
      <c r="AM38" s="7"/>
      <c r="AN38" s="7"/>
      <c r="AO38" s="31" t="str">
        <f>IF(AN38/(INDEX('Standards for Conversions'!$H$34:$H$73,MATCH(AM$3,'Standards for Conversions'!$A$34:$A$73,0)))=0,"",AN38/(INDEX('Standards for Conversions'!$H$34:$H$73,MATCH(AM$3,'Standards for Conversions'!$A$34:$A$73,0))))</f>
        <v/>
      </c>
      <c r="AP38" s="10" t="s">
        <v>39</v>
      </c>
      <c r="AQ38" s="9"/>
      <c r="AR38" s="9"/>
      <c r="AS38" s="31" t="str">
        <f>IF(AR38/(INDEX('Standards for Conversions'!$H$34:$H$73,MATCH(AQ$3,'Standards for Conversions'!$A$34:$A$73,0)))=0,"",AR38/(INDEX('Standards for Conversions'!$H$34:$H$73,MATCH(AQ$3,'Standards for Conversions'!$A$34:$A$73,0))))</f>
        <v/>
      </c>
      <c r="AT38" s="10" t="s">
        <v>39</v>
      </c>
      <c r="AU38" s="7"/>
      <c r="AV38" s="7"/>
      <c r="AW38" s="31" t="str">
        <f>IF(AV38/(INDEX('Standards for Conversions'!$H$34:$H$73,MATCH(AU$3,'Standards for Conversions'!$A$34:$A$73,0)))=0,"",AV38/(INDEX('Standards for Conversions'!$H$34:$H$73,MATCH(AU$3,'Standards for Conversions'!$A$34:$A$73,0))))</f>
        <v/>
      </c>
      <c r="AX38" s="10" t="s">
        <v>39</v>
      </c>
      <c r="AY38" s="7"/>
      <c r="AZ38" s="7"/>
      <c r="BA38" s="31" t="str">
        <f>IF(AZ38/(INDEX('Standards for Conversions'!$H$34:$H$73,MATCH(AY$3,'Standards for Conversions'!$A$34:$A$73,0)))=0,"",AZ38/(INDEX('Standards for Conversions'!$H$34:$H$73,MATCH(AY$3,'Standards for Conversions'!$A$34:$A$73,0))))</f>
        <v/>
      </c>
      <c r="BB38" s="10" t="s">
        <v>39</v>
      </c>
      <c r="BC38" s="7"/>
      <c r="BD38" s="7"/>
      <c r="BE38" s="31" t="str">
        <f>IF(BD38/(INDEX('Standards for Conversions'!$H$34:$H$73,MATCH(BC$3,'Standards for Conversions'!$A$34:$A$73,0)))=0,"",BD38/(INDEX('Standards for Conversions'!$H$34:$H$73,MATCH(BC$3,'Standards for Conversions'!$A$34:$A$73,0))))</f>
        <v/>
      </c>
      <c r="BF38" s="10" t="s">
        <v>39</v>
      </c>
      <c r="BG38" s="9"/>
      <c r="BH38" s="9"/>
      <c r="BI38" s="31" t="str">
        <f>IF(BH38/(INDEX('Standards for Conversions'!$H$34:$H$73,MATCH(BG$3,'Standards for Conversions'!$A$34:$A$73,0)))=0,"",BH38/(INDEX('Standards for Conversions'!$H$34:$H$73,MATCH(BG$3,'Standards for Conversions'!$A$34:$A$73,0))))</f>
        <v/>
      </c>
      <c r="BJ38" s="10" t="s">
        <v>39</v>
      </c>
      <c r="BK38" s="7"/>
      <c r="BL38" s="7"/>
      <c r="BM38" s="31" t="str">
        <f>IF(BL38/(INDEX('Standards for Conversions'!$H$34:$H$73,MATCH(BK$3,'Standards for Conversions'!$A$34:$A$73,0)))=0,"",BL38/(INDEX('Standards for Conversions'!$H$34:$H$73,MATCH(BK$3,'Standards for Conversions'!$A$34:$A$73,0))))</f>
        <v/>
      </c>
      <c r="BN38" s="10" t="s">
        <v>39</v>
      </c>
      <c r="BO38" s="7"/>
      <c r="BP38" s="7"/>
      <c r="BQ38" s="31" t="str">
        <f>IF(BP38/(INDEX('Standards for Conversions'!$H$34:$H$73,MATCH(BO$3,'Standards for Conversions'!$A$34:$A$73,0)))=0,"",BP38/(INDEX('Standards for Conversions'!$H$34:$H$73,MATCH(BO$3,'Standards for Conversions'!$A$34:$A$73,0))))</f>
        <v/>
      </c>
      <c r="BR38" s="10" t="s">
        <v>39</v>
      </c>
      <c r="BS38" s="7"/>
      <c r="BT38" s="7"/>
      <c r="BU38" s="31" t="str">
        <f>IF(BT38/(INDEX('Standards for Conversions'!$H$34:$H$73,MATCH(BS$3,'Standards for Conversions'!$A$34:$A$73,0)))=0,"",BT38/(INDEX('Standards for Conversions'!$H$34:$H$73,MATCH(BS$3,'Standards for Conversions'!$A$34:$A$73,0))))</f>
        <v/>
      </c>
      <c r="BV38" s="10" t="s">
        <v>39</v>
      </c>
      <c r="BW38" s="9"/>
      <c r="BX38" s="9"/>
      <c r="BY38" s="31" t="str">
        <f>IF(BX38/(INDEX('Standards for Conversions'!$H$34:$H$73,MATCH(BW$3,'Standards for Conversions'!$A$34:$A$73,0)))=0,"",BX38/(INDEX('Standards for Conversions'!$H$34:$H$73,MATCH(BW$3,'Standards for Conversions'!$A$34:$A$73,0))))</f>
        <v/>
      </c>
      <c r="BZ38" s="10" t="s">
        <v>39</v>
      </c>
      <c r="CA38" s="7"/>
      <c r="CB38" s="7"/>
      <c r="CC38" s="31" t="str">
        <f>IF(CB38/(INDEX('Standards for Conversions'!$H$34:$H$73,MATCH(CA$3,'Standards for Conversions'!$A$34:$A$73,0)))=0,"",CB38/(INDEX('Standards for Conversions'!$H$34:$H$73,MATCH(CA$3,'Standards for Conversions'!$A$34:$A$73,0))))</f>
        <v/>
      </c>
      <c r="CD38" s="10" t="s">
        <v>39</v>
      </c>
      <c r="CE38" s="7"/>
      <c r="CF38" s="7"/>
      <c r="CG38" s="31" t="str">
        <f>IF(CF38/(INDEX('Standards for Conversions'!$H$34:$H$73,MATCH(CE$3,'Standards for Conversions'!$A$34:$A$73,0)))=0,"",CF38/(INDEX('Standards for Conversions'!$H$34:$H$73,MATCH(CE$3,'Standards for Conversions'!$A$34:$A$73,0))))</f>
        <v/>
      </c>
      <c r="CH38" s="10" t="s">
        <v>39</v>
      </c>
      <c r="CI38" s="7"/>
      <c r="CJ38" s="7"/>
      <c r="CK38" s="31" t="str">
        <f>IF(CJ38/(INDEX('Standards for Conversions'!$H$34:$H$73,MATCH(CI$3,'Standards for Conversions'!$A$34:$A$73,0)))=0,"",CJ38/(INDEX('Standards for Conversions'!$H$34:$H$73,MATCH(CI$3,'Standards for Conversions'!$A$34:$A$73,0))))</f>
        <v/>
      </c>
      <c r="CL38" s="10" t="s">
        <v>39</v>
      </c>
      <c r="CM38" s="9"/>
      <c r="CN38" s="9"/>
      <c r="CO38" s="31" t="str">
        <f>IF(CN38/(INDEX('Standards for Conversions'!$H$34:$H$73,MATCH(CM$3,'Standards for Conversions'!$A$34:$A$73,0)))=0,"",CN38/(INDEX('Standards for Conversions'!$H$34:$H$73,MATCH(CM$3,'Standards for Conversions'!$A$34:$A$73,0))))</f>
        <v/>
      </c>
      <c r="CP38" s="10" t="s">
        <v>39</v>
      </c>
      <c r="CQ38" s="7"/>
      <c r="CR38" s="7"/>
      <c r="CS38" s="31" t="str">
        <f>IF(CR38/(INDEX('Standards for Conversions'!$H$34:$H$73,MATCH(CQ$3,'Standards for Conversions'!$A$34:$A$73,0)))=0,"",CR38/(INDEX('Standards for Conversions'!$H$34:$H$73,MATCH(CQ$3,'Standards for Conversions'!$A$34:$A$73,0))))</f>
        <v/>
      </c>
      <c r="CT38" s="10" t="s">
        <v>39</v>
      </c>
      <c r="CU38" s="7"/>
      <c r="CV38" s="7"/>
      <c r="CW38" s="31" t="str">
        <f>IF(CV38/(INDEX('Standards for Conversions'!$H$34:$H$73,MATCH(CU$3,'Standards for Conversions'!$A$34:$A$73,0)))=0,"",CV38/(INDEX('Standards for Conversions'!$H$34:$H$73,MATCH(CU$3,'Standards for Conversions'!$A$34:$A$73,0))))</f>
        <v/>
      </c>
      <c r="CX38" s="10" t="s">
        <v>39</v>
      </c>
      <c r="CY38" s="7"/>
      <c r="CZ38" s="7"/>
      <c r="DA38" s="31" t="str">
        <f>IF(CZ38/(INDEX('Standards for Conversions'!$H$34:$H$73,MATCH(CY$3,'Standards for Conversions'!$A$34:$A$73,0)))=0,"",CZ38/(INDEX('Standards for Conversions'!$H$34:$H$73,MATCH(CY$3,'Standards for Conversions'!$A$34:$A$73,0))))</f>
        <v/>
      </c>
      <c r="DB38" s="10" t="s">
        <v>39</v>
      </c>
      <c r="DC38" s="9"/>
      <c r="DD38" s="9"/>
      <c r="DE38" s="31" t="str">
        <f>IF(DD38/(INDEX('Standards for Conversions'!$H$34:$H$73,MATCH(DC$3,'Standards for Conversions'!$A$34:$A$73,0)))=0,"",DD38/(INDEX('Standards for Conversions'!$H$34:$H$73,MATCH(DC$3,'Standards for Conversions'!$A$34:$A$73,0))))</f>
        <v/>
      </c>
      <c r="DF38" s="10" t="s">
        <v>39</v>
      </c>
      <c r="DG38" s="7"/>
      <c r="DH38" s="7"/>
      <c r="DI38" s="31" t="str">
        <f>IF(DH38/(INDEX('Standards for Conversions'!$H$34:$H$73,MATCH(DG$3,'Standards for Conversions'!$A$34:$A$73,0)))=0,"",DH38/(INDEX('Standards for Conversions'!$H$34:$H$73,MATCH(DG$3,'Standards for Conversions'!$A$34:$A$73,0))))</f>
        <v/>
      </c>
      <c r="DJ38" s="10" t="s">
        <v>39</v>
      </c>
      <c r="DK38" s="7"/>
      <c r="DL38" s="7"/>
      <c r="DM38" s="31" t="str">
        <f>IF(DL38/(INDEX('Standards for Conversions'!$H$34:$H$73,MATCH(DK$3,'Standards for Conversions'!$A$34:$A$73,0)))=0,"",DL38/(INDEX('Standards for Conversions'!$H$34:$H$73,MATCH(DK$3,'Standards for Conversions'!$A$34:$A$73,0))))</f>
        <v/>
      </c>
      <c r="DN38" s="10" t="s">
        <v>39</v>
      </c>
      <c r="DO38" s="7"/>
      <c r="DP38" s="7"/>
      <c r="DQ38" s="31" t="str">
        <f>IF(DP38/(INDEX('Standards for Conversions'!$H$34:$H$73,MATCH(DO$3,'Standards for Conversions'!$A$34:$A$73,0)))=0,"",DP38/(INDEX('Standards for Conversions'!$H$34:$H$73,MATCH(DO$3,'Standards for Conversions'!$A$34:$A$73,0))))</f>
        <v/>
      </c>
      <c r="DR38" s="10" t="s">
        <v>39</v>
      </c>
      <c r="DS38" s="9"/>
      <c r="DT38" s="9"/>
      <c r="DU38" s="31" t="str">
        <f>IF(DT38/(INDEX('Standards for Conversions'!$H$34:$H$73,MATCH(DS$3,'Standards for Conversions'!$A$34:$A$73,0)))=0,"",DT38/(INDEX('Standards for Conversions'!$H$34:$H$73,MATCH(DS$3,'Standards for Conversions'!$A$34:$A$73,0))))</f>
        <v/>
      </c>
      <c r="DV38" s="10" t="s">
        <v>39</v>
      </c>
      <c r="DW38" s="7"/>
      <c r="DX38" s="7"/>
      <c r="DY38" s="31" t="str">
        <f>IF(DX38/(INDEX('Standards for Conversions'!$H$34:$H$73,MATCH(DW$3,'Standards for Conversions'!$A$34:$A$73,0)))=0,"",DX38/(INDEX('Standards for Conversions'!$H$34:$H$73,MATCH(DW$3,'Standards for Conversions'!$A$34:$A$73,0))))</f>
        <v/>
      </c>
      <c r="DZ38" s="10" t="s">
        <v>39</v>
      </c>
      <c r="EA38" s="7"/>
      <c r="EB38" s="7"/>
      <c r="EC38" s="31" t="str">
        <f>IF(EB38/(INDEX('Standards for Conversions'!$H$34:$H$73,MATCH(EA$3,'Standards for Conversions'!$A$34:$A$73,0)))=0,"",EB38/(INDEX('Standards for Conversions'!$H$34:$H$73,MATCH(EA$3,'Standards for Conversions'!$A$34:$A$73,0))))</f>
        <v/>
      </c>
      <c r="ED38" s="10" t="s">
        <v>39</v>
      </c>
      <c r="EE38" s="7"/>
      <c r="EF38" s="7"/>
      <c r="EG38" s="31" t="str">
        <f>IF(EF38/(INDEX('Standards for Conversions'!$H$34:$H$73,MATCH(EE$3,'Standards for Conversions'!$A$34:$A$73,0)))=0,"",EF38/(INDEX('Standards for Conversions'!$H$34:$H$73,MATCH(EE$3,'Standards for Conversions'!$A$34:$A$73,0))))</f>
        <v/>
      </c>
      <c r="EH38" s="10" t="s">
        <v>39</v>
      </c>
      <c r="EI38" s="9"/>
      <c r="EJ38" s="9"/>
      <c r="EK38" s="31" t="str">
        <f>IF(EJ38/(INDEX('Standards for Conversions'!$H$34:$H$73,MATCH(EI$3,'Standards for Conversions'!$A$34:$A$73,0)))=0,"",EJ38/(INDEX('Standards for Conversions'!$H$34:$H$73,MATCH(EI$3,'Standards for Conversions'!$A$34:$A$73,0))))</f>
        <v/>
      </c>
      <c r="EL38" s="10" t="s">
        <v>39</v>
      </c>
      <c r="EM38" s="7"/>
      <c r="EN38" s="7"/>
      <c r="EO38" s="31" t="str">
        <f>IF(EN38/(INDEX('Standards for Conversions'!$H$34:$H$73,MATCH(EM$3,'Standards for Conversions'!$A$34:$A$73,0)))=0,"",EN38/(INDEX('Standards for Conversions'!$H$34:$H$73,MATCH(EM$3,'Standards for Conversions'!$A$34:$A$73,0))))</f>
        <v/>
      </c>
      <c r="EP38" s="10" t="s">
        <v>39</v>
      </c>
      <c r="EQ38" s="7"/>
      <c r="ER38" s="7"/>
      <c r="ES38" s="31" t="str">
        <f>IF(ER38/(INDEX('Standards for Conversions'!$H$34:$H$73,MATCH(EQ$3,'Standards for Conversions'!$A$34:$A$73,0)))=0,"",ER38/(INDEX('Standards for Conversions'!$H$34:$H$73,MATCH(EQ$3,'Standards for Conversions'!$A$34:$A$73,0))))</f>
        <v/>
      </c>
      <c r="ET38" s="10" t="s">
        <v>39</v>
      </c>
      <c r="EU38" s="7"/>
      <c r="EV38" s="7"/>
      <c r="EW38" s="31" t="str">
        <f>IF(EV38/(INDEX('Standards for Conversions'!$H$34:$H$73,MATCH(EU$3,'Standards for Conversions'!$A$34:$A$73,0)))=0,"",EV38/(INDEX('Standards for Conversions'!$H$34:$H$73,MATCH(EU$3,'Standards for Conversions'!$A$34:$A$73,0))))</f>
        <v/>
      </c>
      <c r="EX38" s="10" t="s">
        <v>39</v>
      </c>
      <c r="EY38" s="9"/>
      <c r="EZ38" s="9"/>
      <c r="FA38" s="31" t="str">
        <f>IF(EZ38/(INDEX('Standards for Conversions'!$H$34:$H$73,MATCH(EY$3,'Standards for Conversions'!$A$34:$A$73,0)))=0,"",EZ38/(INDEX('Standards for Conversions'!$H$34:$H$73,MATCH(EY$3,'Standards for Conversions'!$A$34:$A$73,0))))</f>
        <v/>
      </c>
      <c r="FB38" s="10" t="s">
        <v>39</v>
      </c>
      <c r="FC38" s="7"/>
      <c r="FD38" s="7"/>
      <c r="FE38" s="31" t="str">
        <f>IF(FD38/(INDEX('Standards for Conversions'!$H$34:$H$73,MATCH(FC$3,'Standards for Conversions'!$A$34:$A$73,0)))=0,"",FD38/(INDEX('Standards for Conversions'!$H$34:$H$73,MATCH(FC$3,'Standards for Conversions'!$A$34:$A$73,0))))</f>
        <v/>
      </c>
      <c r="FF38" s="10" t="s">
        <v>39</v>
      </c>
      <c r="FG38" s="7"/>
      <c r="FH38" s="7"/>
      <c r="FI38" s="31" t="str">
        <f>IF(FH38/(INDEX('Standards for Conversions'!$H$34:$H$73,MATCH(FG$3,'Standards for Conversions'!$A$34:$A$73,0)))=0,"",FH38/(INDEX('Standards for Conversions'!$H$34:$H$73,MATCH(FG$3,'Standards for Conversions'!$A$34:$A$73,0))))</f>
        <v/>
      </c>
      <c r="FJ38" s="10" t="s">
        <v>39</v>
      </c>
      <c r="FK38" s="7"/>
      <c r="FL38" s="7"/>
      <c r="FM38" s="31" t="str">
        <f>IF(FL38/(INDEX('Standards for Conversions'!$H$34:$H$73,MATCH(FK$3,'Standards for Conversions'!$A$34:$A$73,0)))=0,"",FL38/(INDEX('Standards for Conversions'!$H$34:$H$73,MATCH(FK$3,'Standards for Conversions'!$A$34:$A$73,0))))</f>
        <v/>
      </c>
      <c r="FN38" s="10" t="s">
        <v>39</v>
      </c>
      <c r="FO38" s="9"/>
      <c r="FP38" s="9"/>
      <c r="FQ38" s="31" t="str">
        <f>IF(FP38/(INDEX('Standards for Conversions'!$H$34:$H$73,MATCH(FO$3,'Standards for Conversions'!$A$34:$A$73,0)))=0,"",FP38/(INDEX('Standards for Conversions'!$H$34:$H$73,MATCH(FO$3,'Standards for Conversions'!$A$34:$A$73,0))))</f>
        <v/>
      </c>
      <c r="FR38" s="10" t="s">
        <v>39</v>
      </c>
      <c r="FS38" s="7"/>
      <c r="FT38" s="7"/>
      <c r="FU38" s="31" t="str">
        <f>IF(FT38/(INDEX('Standards for Conversions'!$H$34:$H$73,MATCH(FS$3,'Standards for Conversions'!$A$34:$A$73,0)))=0,"",FT38/(INDEX('Standards for Conversions'!$H$34:$H$73,MATCH(FS$3,'Standards for Conversions'!$A$34:$A$73,0))))</f>
        <v/>
      </c>
      <c r="FV38" s="10" t="s">
        <v>39</v>
      </c>
      <c r="FW38" s="7"/>
      <c r="FX38" s="7"/>
      <c r="FY38" s="31" t="str">
        <f>IF(FX38/(INDEX('Standards for Conversions'!$H$34:$H$73,MATCH(FW$3,'Standards for Conversions'!$A$34:$A$73,0)))=0,"",FX38/(INDEX('Standards for Conversions'!$H$34:$H$73,MATCH(FW$3,'Standards for Conversions'!$A$34:$A$73,0))))</f>
        <v/>
      </c>
      <c r="FZ38" s="10" t="s">
        <v>39</v>
      </c>
      <c r="GA38" s="7"/>
      <c r="GB38" s="7"/>
      <c r="GC38" s="31" t="str">
        <f>IF(GB38/(INDEX('Standards for Conversions'!$H$34:$H$73,MATCH(GA$3,'Standards for Conversions'!$A$34:$A$73,0)))=0,"",GB38/(INDEX('Standards for Conversions'!$H$34:$H$73,MATCH(GA$3,'Standards for Conversions'!$A$34:$A$73,0))))</f>
        <v/>
      </c>
      <c r="GD38" s="10" t="s">
        <v>39</v>
      </c>
      <c r="GE38" s="9"/>
      <c r="GF38" s="9"/>
      <c r="GG38" s="31" t="str">
        <f>IF(GF38/(INDEX('Standards for Conversions'!$H$34:$H$73,MATCH(GE$3,'Standards for Conversions'!$A$34:$A$73,0)))=0,"",GF38/(INDEX('Standards for Conversions'!$H$34:$H$73,MATCH(GE$3,'Standards for Conversions'!$A$34:$A$73,0))))</f>
        <v/>
      </c>
      <c r="GH38" s="10" t="s">
        <v>39</v>
      </c>
      <c r="GI38" s="7"/>
      <c r="GJ38" s="7"/>
      <c r="GK38" s="31" t="str">
        <f>IF(GJ38/(INDEX('Standards for Conversions'!$H$34:$H$73,MATCH(GI$3,'Standards for Conversions'!$A$34:$A$73,0)))=0,"",GJ38/(INDEX('Standards for Conversions'!$H$34:$H$73,MATCH(GI$3,'Standards for Conversions'!$A$34:$A$73,0))))</f>
        <v/>
      </c>
      <c r="GL38" s="10" t="s">
        <v>39</v>
      </c>
      <c r="GM38" s="7"/>
      <c r="GN38" s="7"/>
      <c r="GO38" s="31" t="str">
        <f>IF(GN38/(INDEX('Standards for Conversions'!$H$34:$H$73,MATCH(GM$3,'Standards for Conversions'!$A$34:$A$73,0)))=0,"",GN38/(INDEX('Standards for Conversions'!$H$34:$H$73,MATCH(GM$3,'Standards for Conversions'!$A$34:$A$73,0))))</f>
        <v/>
      </c>
      <c r="GP38" s="10" t="s">
        <v>39</v>
      </c>
      <c r="GQ38" s="7"/>
      <c r="GR38" s="7"/>
      <c r="GS38" s="31" t="str">
        <f>IF(GR38/(INDEX('Standards for Conversions'!$H$34:$H$73,MATCH(GQ$3,'Standards for Conversions'!$A$34:$A$73,0)))=0,"",GR38/(INDEX('Standards for Conversions'!$H$34:$H$73,MATCH(GQ$3,'Standards for Conversions'!$A$34:$A$73,0))))</f>
        <v/>
      </c>
      <c r="GT38" s="10" t="s">
        <v>39</v>
      </c>
      <c r="GU38" s="9"/>
      <c r="GV38" s="9"/>
      <c r="GW38" s="31" t="str">
        <f>IF(GV38/(INDEX('Standards for Conversions'!$H$34:$H$73,MATCH(GU$3,'Standards for Conversions'!$A$34:$A$73,0)))=0,"",GV38/(INDEX('Standards for Conversions'!$H$34:$H$73,MATCH(GU$3,'Standards for Conversions'!$A$34:$A$73,0))))</f>
        <v/>
      </c>
      <c r="GX38" s="10" t="s">
        <v>39</v>
      </c>
      <c r="GY38" s="7"/>
      <c r="GZ38" s="7"/>
      <c r="HA38" s="31" t="str">
        <f>IF(GZ38/(INDEX('Standards for Conversions'!$H$34:$H$73,MATCH(GY$3,'Standards for Conversions'!$A$34:$A$73,0)))=0,"",GZ38/(INDEX('Standards for Conversions'!$H$34:$H$73,MATCH(GY$3,'Standards for Conversions'!$A$34:$A$73,0))))</f>
        <v/>
      </c>
      <c r="HB38" s="10" t="s">
        <v>39</v>
      </c>
      <c r="HC38" s="7"/>
      <c r="HD38" s="7"/>
      <c r="HE38" s="31" t="str">
        <f>IF(HD38/(INDEX('Standards for Conversions'!$H$34:$H$73,MATCH(HC$3,'Standards for Conversions'!$A$34:$A$73,0)))=0,"",HD38/(INDEX('Standards for Conversions'!$H$34:$H$73,MATCH(HC$3,'Standards for Conversions'!$A$34:$A$73,0))))</f>
        <v/>
      </c>
      <c r="HF38" s="10" t="s">
        <v>39</v>
      </c>
      <c r="HG38" s="7"/>
      <c r="HH38" s="7"/>
      <c r="HI38" s="31" t="str">
        <f>IF(HH38/(INDEX('Standards for Conversions'!$H$34:$H$73,MATCH(HG$3,'Standards for Conversions'!$A$34:$A$73,0)))=0,"",HH38/(INDEX('Standards for Conversions'!$H$34:$H$73,MATCH(HG$3,'Standards for Conversions'!$A$34:$A$73,0))))</f>
        <v/>
      </c>
      <c r="HJ38" s="10" t="s">
        <v>39</v>
      </c>
      <c r="HK38" s="9"/>
      <c r="HL38" s="9"/>
      <c r="HM38" s="31" t="str">
        <f>IF(HL38/(INDEX('Standards for Conversions'!$H$34:$H$73,MATCH(HK$3,'Standards for Conversions'!$A$34:$A$73,0)))=0,"",HL38/(INDEX('Standards for Conversions'!$H$34:$H$73,MATCH(HK$3,'Standards for Conversions'!$A$34:$A$73,0))))</f>
        <v/>
      </c>
      <c r="HN38" s="10" t="s">
        <v>39</v>
      </c>
      <c r="HO38" s="7"/>
      <c r="HP38" s="7"/>
      <c r="HQ38" s="31" t="str">
        <f>IF(HP38/(INDEX('Standards for Conversions'!$H$34:$H$73,MATCH(HO$3,'Standards for Conversions'!$A$34:$A$73,0)))=0,"",HP38/(INDEX('Standards for Conversions'!$H$34:$H$73,MATCH(HO$3,'Standards for Conversions'!$A$34:$A$73,0))))</f>
        <v/>
      </c>
      <c r="HR38" s="33" t="s">
        <v>39</v>
      </c>
      <c r="HU38" s="31" t="str">
        <f>IF(HT38/(INDEX('Standards for Conversions'!$H$47:$H$73,MATCH(HS$3,'Standards for Conversions'!$A$47:$A$73,0)))=0,"",HT38/(INDEX('Standards for Conversions'!$H$47:$H$73,MATCH(HS$3,'Standards for Conversions'!$A$47:$A$73,0))))</f>
        <v/>
      </c>
      <c r="HV38" s="33" t="s">
        <v>39</v>
      </c>
      <c r="HY38" s="31" t="str">
        <f>IF(HX38/(INDEX('Standards for Conversions'!$H$47:$H$73,MATCH(HW$3,'Standards for Conversions'!$A$47:$A$73,0)))=0,"",HX38/(INDEX('Standards for Conversions'!$H$47:$H$73,MATCH(HW$3,'Standards for Conversions'!$A$47:$A$73,0))))</f>
        <v/>
      </c>
      <c r="HZ38" s="33"/>
      <c r="IA38" s="33"/>
      <c r="IB38" s="31" t="str">
        <f>IF(IA38/(INDEX('Standards for Conversions'!$H$47:$H$73,MATCH(HZ$3,'Standards for Conversions'!$A$47:$A$73,0)))=0,"",IA38/(INDEX('Standards for Conversions'!$H$47:$H$73,MATCH(HZ$3,'Standards for Conversions'!$A$47:$A$73,0))))</f>
        <v/>
      </c>
      <c r="IC38" s="33" t="s">
        <v>39</v>
      </c>
      <c r="ID38" s="29">
        <v>45</v>
      </c>
      <c r="IE38" s="29">
        <v>600</v>
      </c>
      <c r="IF38" s="31">
        <f>IF(IE38/(INDEX('Standards for Conversions'!$H$47:$H$73,MATCH(ID$3,'Standards for Conversions'!$A$47:$A$73,0)))=0,"",IE38/(INDEX('Standards for Conversions'!$H$47:$H$73,MATCH(ID$3,'Standards for Conversions'!$A$47:$A$73,0))))</f>
        <v>87.147247327713572</v>
      </c>
      <c r="IG38" s="33" t="s">
        <v>39</v>
      </c>
      <c r="IJ38" s="31" t="str">
        <f>IF(II38/(INDEX('Standards for Conversions'!$H$47:$H$73,MATCH(IH$3,'Standards for Conversions'!$A$47:$A$73,0)))=0,"",II38/(INDEX('Standards for Conversions'!$H$47:$H$73,MATCH(IH$3,'Standards for Conversions'!$A$47:$A$73,0))))</f>
        <v/>
      </c>
      <c r="IK38" s="33" t="s">
        <v>39</v>
      </c>
      <c r="IN38" s="31" t="str">
        <f>IF(IM38/(INDEX('Standards for Conversions'!$H$47:$H$73,MATCH(IL$3,'Standards for Conversions'!$A$47:$A$73,0)))=0,"",IM38/(INDEX('Standards for Conversions'!$H$47:$H$73,MATCH(IL$3,'Standards for Conversions'!$A$47:$A$73,0))))</f>
        <v/>
      </c>
      <c r="IO38" s="33" t="s">
        <v>39</v>
      </c>
      <c r="IR38" s="31" t="str">
        <f>IF(IQ38/(INDEX('Standards for Conversions'!$H$47:$H$73,MATCH(IP$3,'Standards for Conversions'!$A$47:$A$73,0)))=0,"",IQ38/(INDEX('Standards for Conversions'!$H$47:$H$73,MATCH(IP$3,'Standards for Conversions'!$A$47:$A$73,0))))</f>
        <v/>
      </c>
      <c r="IS38" s="33" t="s">
        <v>39</v>
      </c>
      <c r="IT38" s="29">
        <v>3</v>
      </c>
      <c r="IU38" s="29">
        <v>53</v>
      </c>
      <c r="IV38" s="31">
        <f>IF(IU38/(INDEX('Standards for Conversions'!$H$47:$H$73,MATCH(IT$3,'Standards for Conversions'!$A$47:$A$73,0)))=0,"",IU38/(INDEX('Standards for Conversions'!$H$47:$H$73,MATCH(IT$3,'Standards for Conversions'!$A$47:$A$73,0))))</f>
        <v>7.6643420943049154</v>
      </c>
      <c r="IW38" s="33" t="s">
        <v>39</v>
      </c>
      <c r="IZ38" s="31" t="str">
        <f>IF(IY38/(INDEX('Standards for Conversions'!$H$47:$H$73,MATCH(IX$3,'Standards for Conversions'!$A$47:$A$73,0)))=0,"",IY38/(INDEX('Standards for Conversions'!$H$47:$H$73,MATCH(IX$3,'Standards for Conversions'!$A$47:$A$73,0))))</f>
        <v/>
      </c>
      <c r="JA38" s="33" t="s">
        <v>39</v>
      </c>
      <c r="JD38" s="31" t="str">
        <f>IF(JC38/(INDEX('Standards for Conversions'!$H$47:$H$73,MATCH(JB$3,'Standards for Conversions'!$A$47:$A$73,0)))=0,"",JC38/(INDEX('Standards for Conversions'!$H$47:$H$73,MATCH(JB$3,'Standards for Conversions'!$A$47:$A$73,0))))</f>
        <v/>
      </c>
      <c r="JE38" s="33" t="s">
        <v>39</v>
      </c>
      <c r="JH38" s="31" t="str">
        <f>IF(JG38/(INDEX('Standards for Conversions'!$H$47:$H$73,MATCH(JF$3,'Standards for Conversions'!$A$47:$A$73,0)))=0,"",JG38/(INDEX('Standards for Conversions'!$H$47:$H$73,MATCH(JF$3,'Standards for Conversions'!$A$47:$A$73,0))))</f>
        <v/>
      </c>
      <c r="JI38" s="48" t="s">
        <v>39</v>
      </c>
      <c r="JJ38" s="29">
        <v>10</v>
      </c>
      <c r="JK38" s="29">
        <v>200</v>
      </c>
      <c r="JL38" s="31">
        <f>IF(JK38/(INDEX('Standards for Conversions'!$H$47:$H$73,MATCH(JJ$3,'Standards for Conversions'!$A$47:$A$73,0)))=0,"",JK38/(INDEX('Standards for Conversions'!$H$47:$H$73,MATCH(JJ$3,'Standards for Conversions'!$A$47:$A$73,0))))</f>
        <v>32.352039338373736</v>
      </c>
      <c r="JM38" s="33" t="s">
        <v>39</v>
      </c>
      <c r="JP38" s="31" t="str">
        <f>IF(JO38/(INDEX('Standards for Conversions'!$H$47:$H$73,MATCH(JN$3,'Standards for Conversions'!$A$47:$A$73,0)))=0,"",JO38/(INDEX('Standards for Conversions'!$H$47:$H$73,MATCH(JN$3,'Standards for Conversions'!$A$47:$A$73,0))))</f>
        <v/>
      </c>
      <c r="JQ38" s="33" t="s">
        <v>39</v>
      </c>
      <c r="JT38" s="31" t="str">
        <f>IF(JS38/(INDEX('Standards for Conversions'!$H$47:$H$73,MATCH(JR$3,'Standards for Conversions'!$A$47:$A$73,0)))=0,"",JS38/(INDEX('Standards for Conversions'!$H$47:$H$73,MATCH(JR$3,'Standards for Conversions'!$A$47:$A$73,0))))</f>
        <v/>
      </c>
      <c r="JU38" s="33" t="s">
        <v>39</v>
      </c>
      <c r="JX38" s="31" t="str">
        <f>IF(JW38/(INDEX('Standards for Conversions'!$H$47:$H$73,MATCH(JV$3,'Standards for Conversions'!$A$47:$A$73,0)))=0,"",JW38/(INDEX('Standards for Conversions'!$H$47:$H$73,MATCH(JV$3,'Standards for Conversions'!$A$47:$A$73,0))))</f>
        <v/>
      </c>
      <c r="JY38" s="33" t="s">
        <v>39</v>
      </c>
      <c r="JZ38" s="29">
        <v>15</v>
      </c>
      <c r="KA38" s="29">
        <v>270</v>
      </c>
      <c r="KB38" s="31">
        <f>IF(KA38/(INDEX('Standards for Conversions'!$H$47:$H$73,MATCH(JZ$3,'Standards for Conversions'!$A$47:$A$73,0)))=0,"",KA38/(INDEX('Standards for Conversions'!$H$47:$H$73,MATCH(JZ$3,'Standards for Conversions'!$A$47:$A$73,0))))</f>
        <v>41.217090955505341</v>
      </c>
      <c r="KC38" s="33" t="s">
        <v>39</v>
      </c>
      <c r="KF38" s="31" t="str">
        <f>IF(KE38/(INDEX('Standards for Conversions'!$H$47:$H$73,MATCH(KD$3,'Standards for Conversions'!$A$47:$A$73,0)))=0,"",KE38/(INDEX('Standards for Conversions'!$H$47:$H$73,MATCH(KD$3,'Standards for Conversions'!$A$47:$A$73,0))))</f>
        <v/>
      </c>
      <c r="KG38" s="33" t="s">
        <v>39</v>
      </c>
      <c r="KJ38" s="31" t="str">
        <f>IF(KI38/(INDEX('Standards for Conversions'!$H$47:$H$73,MATCH(KH$3,'Standards for Conversions'!$A$47:$A$73,0)))=0,"",KI38/(INDEX('Standards for Conversions'!$H$47:$H$73,MATCH(KH$3,'Standards for Conversions'!$A$47:$A$73,0))))</f>
        <v/>
      </c>
      <c r="KK38" s="33" t="s">
        <v>39</v>
      </c>
      <c r="KN38" s="31" t="str">
        <f>IF(KM38/(INDEX('Standards for Conversions'!$H$47:$H$73,MATCH(KL$3,'Standards for Conversions'!$A$47:$A$73,0)))=0,"",KM38/(INDEX('Standards for Conversions'!$H$47:$H$73,MATCH(KL$3,'Standards for Conversions'!$A$47:$A$73,0))))</f>
        <v/>
      </c>
      <c r="KO38" s="33" t="s">
        <v>39</v>
      </c>
      <c r="KP38" s="29">
        <v>12</v>
      </c>
      <c r="KQ38" s="29">
        <v>200</v>
      </c>
      <c r="KR38" s="31">
        <f>IF(KQ38/(INDEX('Standards for Conversions'!$H$47:$H$73,MATCH(KP$3,'Standards for Conversions'!$A$47:$A$73,0)))=0,"",KQ38/(INDEX('Standards for Conversions'!$H$47:$H$73,MATCH(KP$3,'Standards for Conversions'!$A$47:$A$73,0))))</f>
        <v>26.931802381159294</v>
      </c>
      <c r="KS38" s="33" t="s">
        <v>39</v>
      </c>
      <c r="KV38" s="31" t="str">
        <f>IF(KU38/(INDEX('Standards for Conversions'!$H$47:$H$73,MATCH(KT$3,'Standards for Conversions'!$A$47:$A$73,0)))=0,"",KU38/(INDEX('Standards for Conversions'!$H$47:$H$73,MATCH(KT$3,'Standards for Conversions'!$A$47:$A$73,0))))</f>
        <v/>
      </c>
      <c r="KW38" s="33" t="s">
        <v>39</v>
      </c>
      <c r="KZ38" s="31" t="str">
        <f>IF(KY38/(INDEX('Standards for Conversions'!$H$47:$H$73,MATCH(KX$3,'Standards for Conversions'!$A$47:$A$73,0)))=0,"",KY38/(INDEX('Standards for Conversions'!$H$47:$H$73,MATCH(KX$3,'Standards for Conversions'!$A$47:$A$73,0))))</f>
        <v/>
      </c>
      <c r="LA38" s="33" t="s">
        <v>39</v>
      </c>
      <c r="LD38" s="31" t="str">
        <f>IF(LC38/(INDEX('Standards for Conversions'!$H$47:$H$73,MATCH(LB$3,'Standards for Conversions'!$A$47:$A$73,0)))=0,"",LC38/(INDEX('Standards for Conversions'!$H$47:$H$73,MATCH(LB$3,'Standards for Conversions'!$A$47:$A$73,0))))</f>
        <v/>
      </c>
      <c r="LE38" s="48" t="s">
        <v>39</v>
      </c>
      <c r="LF38" s="29">
        <v>45</v>
      </c>
      <c r="LG38" s="29">
        <v>500</v>
      </c>
      <c r="LH38" s="31">
        <f>IF(LG38/(INDEX('Standards for Conversions'!$H$47:$H$73,MATCH(LF$3,'Standards for Conversions'!$A$47:$A$73,0)))=0,"",LG38/(INDEX('Standards for Conversions'!$H$47:$H$73,MATCH(LF$3,'Standards for Conversions'!$A$47:$A$73,0))))</f>
        <v>60.808283363749588</v>
      </c>
      <c r="LL38" s="31" t="str">
        <f>IF(LK38/(INDEX('Standards for Conversions'!$H$47:$H$73,MATCH(LJ$3,'Standards for Conversions'!$A$47:$A$73,0)))=0,"",LK38/(INDEX('Standards for Conversions'!$H$47:$H$73,MATCH(LJ$3,'Standards for Conversions'!$A$47:$A$73,0))))</f>
        <v/>
      </c>
      <c r="LO38" s="31" t="str">
        <f>IF(LN38/(INDEX('Standards for Conversions'!$H$47:$H$73,MATCH(LM$3,'Standards for Conversions'!$A$47:$A$73,0)))=0,"",LN38/(INDEX('Standards for Conversions'!$H$47:$H$73,MATCH(LM$3,'Standards for Conversions'!$A$47:$A$73,0))))</f>
        <v/>
      </c>
      <c r="LR38" s="31" t="str">
        <f>IF(LQ38/(INDEX('Standards for Conversions'!$H$47:$H$73,MATCH(LP$3,'Standards for Conversions'!$A$47:$A$73,0)))=0,"",LQ38/(INDEX('Standards for Conversions'!$H$47:$H$73,MATCH(LP$3,'Standards for Conversions'!$A$47:$A$73,0))))</f>
        <v/>
      </c>
      <c r="LV38" s="31" t="str">
        <f>IF(LU38/(INDEX('Standards for Conversions'!$H$47:$H$73,MATCH(LT$3,'Standards for Conversions'!$A$47:$A$73,0)))=0,"",LU38/(INDEX('Standards for Conversions'!$H$47:$H$73,MATCH(LT$3,'Standards for Conversions'!$A$47:$A$73,0))))</f>
        <v/>
      </c>
      <c r="LY38" s="31" t="str">
        <f>IF(LX38/(INDEX('Standards for Conversions'!$H$47:$H$73,MATCH(LW$3,'Standards for Conversions'!$A$47:$A$73,0)))=0,"",LX38/(INDEX('Standards for Conversions'!$H$47:$H$73,MATCH(LW$3,'Standards for Conversions'!$A$47:$A$73,0))))</f>
        <v/>
      </c>
      <c r="MB38" s="31" t="str">
        <f>IF(MA38/(INDEX('Standards for Conversions'!$H$47:$H$73,MATCH(LZ$3,'Standards for Conversions'!$A$47:$A$73,0)))=0,"",MA38/(INDEX('Standards for Conversions'!$H$47:$H$73,MATCH(LZ$3,'Standards for Conversions'!$A$47:$A$73,0))))</f>
        <v/>
      </c>
      <c r="ME38" s="31" t="str">
        <f>IF(MD38/(INDEX('Standards for Conversions'!$H$47:$H$73,MATCH(MC$3,'Standards for Conversions'!$A$47:$A$73,0)))=0,"",MD38/(INDEX('Standards for Conversions'!$H$47:$H$73,MATCH(MC$3,'Standards for Conversions'!$A$47:$A$73,0))))</f>
        <v/>
      </c>
      <c r="MH38" s="31" t="str">
        <f>IF(MG38/(INDEX('Standards for Conversions'!$H$47:$H$73,MATCH(MF$3,'Standards for Conversions'!$A$47:$A$73,0)))=0,"",MG38/(INDEX('Standards for Conversions'!$H$47:$H$73,MATCH(MF$3,'Standards for Conversions'!$A$47:$A$73,0))))</f>
        <v/>
      </c>
      <c r="MK38" s="31" t="str">
        <f>IF(MJ38/(INDEX('Standards for Conversions'!$H$47:$H$73,MATCH(MI$3,'Standards for Conversions'!$A$47:$A$73,0)))=0,"",MJ38/(INDEX('Standards for Conversions'!$H$47:$H$73,MATCH(MI$3,'Standards for Conversions'!$A$47:$A$73,0))))</f>
        <v/>
      </c>
      <c r="MN38" s="31" t="str">
        <f>IF(MM38/(INDEX('Standards for Conversions'!$H$47:$H$73,MATCH(ML$3,'Standards for Conversions'!$A$47:$A$73,0)))=0,"",MM38/(INDEX('Standards for Conversions'!$H$47:$H$73,MATCH(ML$3,'Standards for Conversions'!$A$47:$A$73,0))))</f>
        <v/>
      </c>
      <c r="MR38" s="31" t="str">
        <f>IF(MQ38/(INDEX('Standards for Conversions'!$H$47:$H$73,MATCH(MP$3,'Standards for Conversions'!$A$47:$A$73,0)))=0,"",MQ38/(INDEX('Standards for Conversions'!$H$47:$H$73,MATCH(MP$3,'Standards for Conversions'!$A$47:$A$73,0))))</f>
        <v/>
      </c>
    </row>
    <row r="39" spans="1:356" hidden="1" x14ac:dyDescent="0.3">
      <c r="A39" s="103" t="s">
        <v>221</v>
      </c>
      <c r="B39" s="10" t="s">
        <v>54</v>
      </c>
      <c r="C39" s="7"/>
      <c r="D39" s="7"/>
      <c r="E39" s="31" t="str">
        <f>IF(D39/(INDEX('Standards for Conversions'!$H$34:$H$73,MATCH(C$3,'Standards for Conversions'!$A$34:$A$73,0)))=0,"",D39/(INDEX('Standards for Conversions'!$H$34:$H$73,MATCH(C$3,'Standards for Conversions'!$A$34:$A$73,0))))</f>
        <v/>
      </c>
      <c r="F39" s="10" t="s">
        <v>54</v>
      </c>
      <c r="G39" s="7"/>
      <c r="H39" s="7"/>
      <c r="I39" s="31" t="str">
        <f>IF(H39/(INDEX('Standards for Conversions'!$H$34:$H$73,MATCH(G$3,'Standards for Conversions'!$A$34:$A$73,0)))=0,"",H39/(INDEX('Standards for Conversions'!$H$34:$H$73,MATCH(G$3,'Standards for Conversions'!$A$34:$A$73,0))))</f>
        <v/>
      </c>
      <c r="J39" s="10" t="s">
        <v>54</v>
      </c>
      <c r="K39" s="9"/>
      <c r="L39" s="9"/>
      <c r="M39" s="31" t="str">
        <f>IF(L39/(INDEX('Standards for Conversions'!$H$34:$H$73,MATCH(K$3,'Standards for Conversions'!$A$34:$A$73,0)))=0,"",L39/(INDEX('Standards for Conversions'!$H$34:$H$73,MATCH(K$3,'Standards for Conversions'!$A$34:$A$73,0))))</f>
        <v/>
      </c>
      <c r="N39" s="10" t="s">
        <v>54</v>
      </c>
      <c r="O39" s="7"/>
      <c r="P39" s="7"/>
      <c r="Q39" s="31" t="str">
        <f>IF(P39/(INDEX('Standards for Conversions'!$H$34:$H$73,MATCH(O$3,'Standards for Conversions'!$A$34:$A$73,0)))=0,"",P39/(INDEX('Standards for Conversions'!$H$34:$H$73,MATCH(O$3,'Standards for Conversions'!$A$34:$A$73,0))))</f>
        <v/>
      </c>
      <c r="R39" s="10" t="s">
        <v>54</v>
      </c>
      <c r="S39" s="7"/>
      <c r="T39" s="7"/>
      <c r="U39" s="31" t="str">
        <f>IF(T39/(INDEX('Standards for Conversions'!$H$34:$H$73,MATCH(S$3,'Standards for Conversions'!$A$34:$A$73,0)))=0,"",T39/(INDEX('Standards for Conversions'!$H$34:$H$73,MATCH(S$3,'Standards for Conversions'!$A$34:$A$73,0))))</f>
        <v/>
      </c>
      <c r="V39" s="10" t="s">
        <v>54</v>
      </c>
      <c r="W39" s="7"/>
      <c r="X39" s="7"/>
      <c r="Y39" s="31" t="str">
        <f>IF(X39/(INDEX('Standards for Conversions'!$H$34:$H$73,MATCH(W$3,'Standards for Conversions'!$A$34:$A$73,0)))=0,"",X39/(INDEX('Standards for Conversions'!$H$34:$H$73,MATCH(W$3,'Standards for Conversions'!$A$34:$A$73,0))))</f>
        <v/>
      </c>
      <c r="Z39" s="10" t="s">
        <v>54</v>
      </c>
      <c r="AA39" s="9"/>
      <c r="AB39" s="9"/>
      <c r="AC39" s="31" t="str">
        <f>IF(AB39/(INDEX('Standards for Conversions'!$H$34:$H$73,MATCH(AA$3,'Standards for Conversions'!$A$34:$A$73,0)))=0,"",AB39/(INDEX('Standards for Conversions'!$H$34:$H$73,MATCH(AA$3,'Standards for Conversions'!$A$34:$A$73,0))))</f>
        <v/>
      </c>
      <c r="AD39" s="10" t="s">
        <v>54</v>
      </c>
      <c r="AE39" s="7"/>
      <c r="AF39" s="7"/>
      <c r="AG39" s="31" t="str">
        <f>IF(AF39/(INDEX('Standards for Conversions'!$H$34:$H$73,MATCH(AE$3,'Standards for Conversions'!$A$34:$A$73,0)))=0,"",AF39/(INDEX('Standards for Conversions'!$H$34:$H$73,MATCH(AE$3,'Standards for Conversions'!$A$34:$A$73,0))))</f>
        <v/>
      </c>
      <c r="AH39" s="10" t="s">
        <v>54</v>
      </c>
      <c r="AI39" s="7"/>
      <c r="AJ39" s="7"/>
      <c r="AK39" s="31" t="str">
        <f>IF(AJ39/(INDEX('Standards for Conversions'!$H$34:$H$73,MATCH(AI$3,'Standards for Conversions'!$A$34:$A$73,0)))=0,"",AJ39/(INDEX('Standards for Conversions'!$H$34:$H$73,MATCH(AI$3,'Standards for Conversions'!$A$34:$A$73,0))))</f>
        <v/>
      </c>
      <c r="AL39" s="10" t="s">
        <v>54</v>
      </c>
      <c r="AM39" s="7"/>
      <c r="AN39" s="7"/>
      <c r="AO39" s="31" t="str">
        <f>IF(AN39/(INDEX('Standards for Conversions'!$H$34:$H$73,MATCH(AM$3,'Standards for Conversions'!$A$34:$A$73,0)))=0,"",AN39/(INDEX('Standards for Conversions'!$H$34:$H$73,MATCH(AM$3,'Standards for Conversions'!$A$34:$A$73,0))))</f>
        <v/>
      </c>
      <c r="AP39" s="10" t="s">
        <v>54</v>
      </c>
      <c r="AQ39" s="9"/>
      <c r="AR39" s="9"/>
      <c r="AS39" s="31" t="str">
        <f>IF(AR39/(INDEX('Standards for Conversions'!$H$34:$H$73,MATCH(AQ$3,'Standards for Conversions'!$A$34:$A$73,0)))=0,"",AR39/(INDEX('Standards for Conversions'!$H$34:$H$73,MATCH(AQ$3,'Standards for Conversions'!$A$34:$A$73,0))))</f>
        <v/>
      </c>
      <c r="AT39" s="10" t="s">
        <v>54</v>
      </c>
      <c r="AU39" s="7"/>
      <c r="AV39" s="7"/>
      <c r="AW39" s="31" t="str">
        <f>IF(AV39/(INDEX('Standards for Conversions'!$H$34:$H$73,MATCH(AU$3,'Standards for Conversions'!$A$34:$A$73,0)))=0,"",AV39/(INDEX('Standards for Conversions'!$H$34:$H$73,MATCH(AU$3,'Standards for Conversions'!$A$34:$A$73,0))))</f>
        <v/>
      </c>
      <c r="AX39" s="10" t="s">
        <v>54</v>
      </c>
      <c r="AY39" s="7"/>
      <c r="AZ39" s="7"/>
      <c r="BA39" s="31" t="str">
        <f>IF(AZ39/(INDEX('Standards for Conversions'!$H$34:$H$73,MATCH(AY$3,'Standards for Conversions'!$A$34:$A$73,0)))=0,"",AZ39/(INDEX('Standards for Conversions'!$H$34:$H$73,MATCH(AY$3,'Standards for Conversions'!$A$34:$A$73,0))))</f>
        <v/>
      </c>
      <c r="BB39" s="10" t="s">
        <v>54</v>
      </c>
      <c r="BC39" s="7"/>
      <c r="BD39" s="7"/>
      <c r="BE39" s="31" t="str">
        <f>IF(BD39/(INDEX('Standards for Conversions'!$H$34:$H$73,MATCH(BC$3,'Standards for Conversions'!$A$34:$A$73,0)))=0,"",BD39/(INDEX('Standards for Conversions'!$H$34:$H$73,MATCH(BC$3,'Standards for Conversions'!$A$34:$A$73,0))))</f>
        <v/>
      </c>
      <c r="BF39" s="10" t="s">
        <v>54</v>
      </c>
      <c r="BG39" s="9"/>
      <c r="BH39" s="9"/>
      <c r="BI39" s="31" t="str">
        <f>IF(BH39/(INDEX('Standards for Conversions'!$H$34:$H$73,MATCH(BG$3,'Standards for Conversions'!$A$34:$A$73,0)))=0,"",BH39/(INDEX('Standards for Conversions'!$H$34:$H$73,MATCH(BG$3,'Standards for Conversions'!$A$34:$A$73,0))))</f>
        <v/>
      </c>
      <c r="BJ39" s="10" t="s">
        <v>54</v>
      </c>
      <c r="BK39" s="7"/>
      <c r="BL39" s="7"/>
      <c r="BM39" s="31" t="str">
        <f>IF(BL39/(INDEX('Standards for Conversions'!$H$34:$H$73,MATCH(BK$3,'Standards for Conversions'!$A$34:$A$73,0)))=0,"",BL39/(INDEX('Standards for Conversions'!$H$34:$H$73,MATCH(BK$3,'Standards for Conversions'!$A$34:$A$73,0))))</f>
        <v/>
      </c>
      <c r="BN39" s="10" t="s">
        <v>54</v>
      </c>
      <c r="BO39" s="7"/>
      <c r="BP39" s="7"/>
      <c r="BQ39" s="31" t="str">
        <f>IF(BP39/(INDEX('Standards for Conversions'!$H$34:$H$73,MATCH(BO$3,'Standards for Conversions'!$A$34:$A$73,0)))=0,"",BP39/(INDEX('Standards for Conversions'!$H$34:$H$73,MATCH(BO$3,'Standards for Conversions'!$A$34:$A$73,0))))</f>
        <v/>
      </c>
      <c r="BR39" s="10" t="s">
        <v>54</v>
      </c>
      <c r="BS39" s="7"/>
      <c r="BT39" s="7"/>
      <c r="BU39" s="31" t="str">
        <f>IF(BT39/(INDEX('Standards for Conversions'!$H$34:$H$73,MATCH(BS$3,'Standards for Conversions'!$A$34:$A$73,0)))=0,"",BT39/(INDEX('Standards for Conversions'!$H$34:$H$73,MATCH(BS$3,'Standards for Conversions'!$A$34:$A$73,0))))</f>
        <v/>
      </c>
      <c r="BV39" s="10" t="s">
        <v>54</v>
      </c>
      <c r="BW39" s="9"/>
      <c r="BX39" s="9"/>
      <c r="BY39" s="31" t="str">
        <f>IF(BX39/(INDEX('Standards for Conversions'!$H$34:$H$73,MATCH(BW$3,'Standards for Conversions'!$A$34:$A$73,0)))=0,"",BX39/(INDEX('Standards for Conversions'!$H$34:$H$73,MATCH(BW$3,'Standards for Conversions'!$A$34:$A$73,0))))</f>
        <v/>
      </c>
      <c r="BZ39" s="10" t="s">
        <v>54</v>
      </c>
      <c r="CA39" s="7"/>
      <c r="CB39" s="7"/>
      <c r="CC39" s="31" t="str">
        <f>IF(CB39/(INDEX('Standards for Conversions'!$H$34:$H$73,MATCH(CA$3,'Standards for Conversions'!$A$34:$A$73,0)))=0,"",CB39/(INDEX('Standards for Conversions'!$H$34:$H$73,MATCH(CA$3,'Standards for Conversions'!$A$34:$A$73,0))))</f>
        <v/>
      </c>
      <c r="CD39" s="10" t="s">
        <v>54</v>
      </c>
      <c r="CE39" s="7"/>
      <c r="CF39" s="7"/>
      <c r="CG39" s="31" t="str">
        <f>IF(CF39/(INDEX('Standards for Conversions'!$H$34:$H$73,MATCH(CE$3,'Standards for Conversions'!$A$34:$A$73,0)))=0,"",CF39/(INDEX('Standards for Conversions'!$H$34:$H$73,MATCH(CE$3,'Standards for Conversions'!$A$34:$A$73,0))))</f>
        <v/>
      </c>
      <c r="CH39" s="10" t="s">
        <v>54</v>
      </c>
      <c r="CI39" s="7"/>
      <c r="CJ39" s="7"/>
      <c r="CK39" s="31" t="str">
        <f>IF(CJ39/(INDEX('Standards for Conversions'!$H$34:$H$73,MATCH(CI$3,'Standards for Conversions'!$A$34:$A$73,0)))=0,"",CJ39/(INDEX('Standards for Conversions'!$H$34:$H$73,MATCH(CI$3,'Standards for Conversions'!$A$34:$A$73,0))))</f>
        <v/>
      </c>
      <c r="CL39" s="10" t="s">
        <v>54</v>
      </c>
      <c r="CM39" s="9"/>
      <c r="CN39" s="9"/>
      <c r="CO39" s="31" t="str">
        <f>IF(CN39/(INDEX('Standards for Conversions'!$H$34:$H$73,MATCH(CM$3,'Standards for Conversions'!$A$34:$A$73,0)))=0,"",CN39/(INDEX('Standards for Conversions'!$H$34:$H$73,MATCH(CM$3,'Standards for Conversions'!$A$34:$A$73,0))))</f>
        <v/>
      </c>
      <c r="CP39" s="10" t="s">
        <v>54</v>
      </c>
      <c r="CQ39" s="7"/>
      <c r="CR39" s="7"/>
      <c r="CS39" s="31" t="str">
        <f>IF(CR39/(INDEX('Standards for Conversions'!$H$34:$H$73,MATCH(CQ$3,'Standards for Conversions'!$A$34:$A$73,0)))=0,"",CR39/(INDEX('Standards for Conversions'!$H$34:$H$73,MATCH(CQ$3,'Standards for Conversions'!$A$34:$A$73,0))))</f>
        <v/>
      </c>
      <c r="CT39" s="10" t="s">
        <v>54</v>
      </c>
      <c r="CU39" s="7"/>
      <c r="CV39" s="7"/>
      <c r="CW39" s="31" t="str">
        <f>IF(CV39/(INDEX('Standards for Conversions'!$H$34:$H$73,MATCH(CU$3,'Standards for Conversions'!$A$34:$A$73,0)))=0,"",CV39/(INDEX('Standards for Conversions'!$H$34:$H$73,MATCH(CU$3,'Standards for Conversions'!$A$34:$A$73,0))))</f>
        <v/>
      </c>
      <c r="CX39" s="10" t="s">
        <v>54</v>
      </c>
      <c r="CY39" s="7"/>
      <c r="CZ39" s="7"/>
      <c r="DA39" s="31" t="str">
        <f>IF(CZ39/(INDEX('Standards for Conversions'!$H$34:$H$73,MATCH(CY$3,'Standards for Conversions'!$A$34:$A$73,0)))=0,"",CZ39/(INDEX('Standards for Conversions'!$H$34:$H$73,MATCH(CY$3,'Standards for Conversions'!$A$34:$A$73,0))))</f>
        <v/>
      </c>
      <c r="DB39" s="10" t="s">
        <v>54</v>
      </c>
      <c r="DC39" s="9"/>
      <c r="DD39" s="9"/>
      <c r="DE39" s="31" t="str">
        <f>IF(DD39/(INDEX('Standards for Conversions'!$H$34:$H$73,MATCH(DC$3,'Standards for Conversions'!$A$34:$A$73,0)))=0,"",DD39/(INDEX('Standards for Conversions'!$H$34:$H$73,MATCH(DC$3,'Standards for Conversions'!$A$34:$A$73,0))))</f>
        <v/>
      </c>
      <c r="DF39" s="10" t="s">
        <v>54</v>
      </c>
      <c r="DG39" s="7"/>
      <c r="DH39" s="7"/>
      <c r="DI39" s="31" t="str">
        <f>IF(DH39/(INDEX('Standards for Conversions'!$H$34:$H$73,MATCH(DG$3,'Standards for Conversions'!$A$34:$A$73,0)))=0,"",DH39/(INDEX('Standards for Conversions'!$H$34:$H$73,MATCH(DG$3,'Standards for Conversions'!$A$34:$A$73,0))))</f>
        <v/>
      </c>
      <c r="DJ39" s="10" t="s">
        <v>54</v>
      </c>
      <c r="DK39" s="7"/>
      <c r="DL39" s="7"/>
      <c r="DM39" s="31" t="str">
        <f>IF(DL39/(INDEX('Standards for Conversions'!$H$34:$H$73,MATCH(DK$3,'Standards for Conversions'!$A$34:$A$73,0)))=0,"",DL39/(INDEX('Standards for Conversions'!$H$34:$H$73,MATCH(DK$3,'Standards for Conversions'!$A$34:$A$73,0))))</f>
        <v/>
      </c>
      <c r="DN39" s="10" t="s">
        <v>54</v>
      </c>
      <c r="DO39" s="7"/>
      <c r="DP39" s="7"/>
      <c r="DQ39" s="31" t="str">
        <f>IF(DP39/(INDEX('Standards for Conversions'!$H$34:$H$73,MATCH(DO$3,'Standards for Conversions'!$A$34:$A$73,0)))=0,"",DP39/(INDEX('Standards for Conversions'!$H$34:$H$73,MATCH(DO$3,'Standards for Conversions'!$A$34:$A$73,0))))</f>
        <v/>
      </c>
      <c r="DR39" s="10" t="s">
        <v>54</v>
      </c>
      <c r="DS39" s="9"/>
      <c r="DT39" s="9"/>
      <c r="DU39" s="31" t="str">
        <f>IF(DT39/(INDEX('Standards for Conversions'!$H$34:$H$73,MATCH(DS$3,'Standards for Conversions'!$A$34:$A$73,0)))=0,"",DT39/(INDEX('Standards for Conversions'!$H$34:$H$73,MATCH(DS$3,'Standards for Conversions'!$A$34:$A$73,0))))</f>
        <v/>
      </c>
      <c r="DV39" s="10" t="s">
        <v>54</v>
      </c>
      <c r="DW39" s="7"/>
      <c r="DX39" s="7"/>
      <c r="DY39" s="31" t="str">
        <f>IF(DX39/(INDEX('Standards for Conversions'!$H$34:$H$73,MATCH(DW$3,'Standards for Conversions'!$A$34:$A$73,0)))=0,"",DX39/(INDEX('Standards for Conversions'!$H$34:$H$73,MATCH(DW$3,'Standards for Conversions'!$A$34:$A$73,0))))</f>
        <v/>
      </c>
      <c r="DZ39" s="10" t="s">
        <v>54</v>
      </c>
      <c r="EA39" s="7"/>
      <c r="EB39" s="7"/>
      <c r="EC39" s="31" t="str">
        <f>IF(EB39/(INDEX('Standards for Conversions'!$H$34:$H$73,MATCH(EA$3,'Standards for Conversions'!$A$34:$A$73,0)))=0,"",EB39/(INDEX('Standards for Conversions'!$H$34:$H$73,MATCH(EA$3,'Standards for Conversions'!$A$34:$A$73,0))))</f>
        <v/>
      </c>
      <c r="ED39" s="10" t="s">
        <v>54</v>
      </c>
      <c r="EE39" s="7"/>
      <c r="EF39" s="7"/>
      <c r="EG39" s="31" t="str">
        <f>IF(EF39/(INDEX('Standards for Conversions'!$H$34:$H$73,MATCH(EE$3,'Standards for Conversions'!$A$34:$A$73,0)))=0,"",EF39/(INDEX('Standards for Conversions'!$H$34:$H$73,MATCH(EE$3,'Standards for Conversions'!$A$34:$A$73,0))))</f>
        <v/>
      </c>
      <c r="EH39" s="10" t="s">
        <v>54</v>
      </c>
      <c r="EI39" s="9"/>
      <c r="EJ39" s="9"/>
      <c r="EK39" s="31" t="str">
        <f>IF(EJ39/(INDEX('Standards for Conversions'!$H$34:$H$73,MATCH(EI$3,'Standards for Conversions'!$A$34:$A$73,0)))=0,"",EJ39/(INDEX('Standards for Conversions'!$H$34:$H$73,MATCH(EI$3,'Standards for Conversions'!$A$34:$A$73,0))))</f>
        <v/>
      </c>
      <c r="EL39" s="10" t="s">
        <v>54</v>
      </c>
      <c r="EM39" s="7"/>
      <c r="EN39" s="7"/>
      <c r="EO39" s="31" t="str">
        <f>IF(EN39/(INDEX('Standards for Conversions'!$H$34:$H$73,MATCH(EM$3,'Standards for Conversions'!$A$34:$A$73,0)))=0,"",EN39/(INDEX('Standards for Conversions'!$H$34:$H$73,MATCH(EM$3,'Standards for Conversions'!$A$34:$A$73,0))))</f>
        <v/>
      </c>
      <c r="EP39" s="10" t="s">
        <v>54</v>
      </c>
      <c r="EQ39" s="7"/>
      <c r="ER39" s="7"/>
      <c r="ES39" s="31" t="str">
        <f>IF(ER39/(INDEX('Standards for Conversions'!$H$34:$H$73,MATCH(EQ$3,'Standards for Conversions'!$A$34:$A$73,0)))=0,"",ER39/(INDEX('Standards for Conversions'!$H$34:$H$73,MATCH(EQ$3,'Standards for Conversions'!$A$34:$A$73,0))))</f>
        <v/>
      </c>
      <c r="ET39" s="10" t="s">
        <v>54</v>
      </c>
      <c r="EU39" s="7"/>
      <c r="EV39" s="7"/>
      <c r="EW39" s="31" t="str">
        <f>IF(EV39/(INDEX('Standards for Conversions'!$H$34:$H$73,MATCH(EU$3,'Standards for Conversions'!$A$34:$A$73,0)))=0,"",EV39/(INDEX('Standards for Conversions'!$H$34:$H$73,MATCH(EU$3,'Standards for Conversions'!$A$34:$A$73,0))))</f>
        <v/>
      </c>
      <c r="EX39" s="10" t="s">
        <v>54</v>
      </c>
      <c r="EY39" s="9"/>
      <c r="EZ39" s="9"/>
      <c r="FA39" s="31" t="str">
        <f>IF(EZ39/(INDEX('Standards for Conversions'!$H$34:$H$73,MATCH(EY$3,'Standards for Conversions'!$A$34:$A$73,0)))=0,"",EZ39/(INDEX('Standards for Conversions'!$H$34:$H$73,MATCH(EY$3,'Standards for Conversions'!$A$34:$A$73,0))))</f>
        <v/>
      </c>
      <c r="FB39" s="10" t="s">
        <v>54</v>
      </c>
      <c r="FC39" s="7"/>
      <c r="FD39" s="7"/>
      <c r="FE39" s="31" t="str">
        <f>IF(FD39/(INDEX('Standards for Conversions'!$H$34:$H$73,MATCH(FC$3,'Standards for Conversions'!$A$34:$A$73,0)))=0,"",FD39/(INDEX('Standards for Conversions'!$H$34:$H$73,MATCH(FC$3,'Standards for Conversions'!$A$34:$A$73,0))))</f>
        <v/>
      </c>
      <c r="FF39" s="10" t="s">
        <v>54</v>
      </c>
      <c r="FG39" s="7"/>
      <c r="FH39" s="7"/>
      <c r="FI39" s="31" t="str">
        <f>IF(FH39/(INDEX('Standards for Conversions'!$H$34:$H$73,MATCH(FG$3,'Standards for Conversions'!$A$34:$A$73,0)))=0,"",FH39/(INDEX('Standards for Conversions'!$H$34:$H$73,MATCH(FG$3,'Standards for Conversions'!$A$34:$A$73,0))))</f>
        <v/>
      </c>
      <c r="FJ39" s="10" t="s">
        <v>54</v>
      </c>
      <c r="FK39" s="7"/>
      <c r="FL39" s="7"/>
      <c r="FM39" s="31" t="str">
        <f>IF(FL39/(INDEX('Standards for Conversions'!$H$34:$H$73,MATCH(FK$3,'Standards for Conversions'!$A$34:$A$73,0)))=0,"",FL39/(INDEX('Standards for Conversions'!$H$34:$H$73,MATCH(FK$3,'Standards for Conversions'!$A$34:$A$73,0))))</f>
        <v/>
      </c>
      <c r="FN39" s="10" t="s">
        <v>54</v>
      </c>
      <c r="FO39" s="9"/>
      <c r="FP39" s="9"/>
      <c r="FQ39" s="31" t="str">
        <f>IF(FP39/(INDEX('Standards for Conversions'!$H$34:$H$73,MATCH(FO$3,'Standards for Conversions'!$A$34:$A$73,0)))=0,"",FP39/(INDEX('Standards for Conversions'!$H$34:$H$73,MATCH(FO$3,'Standards for Conversions'!$A$34:$A$73,0))))</f>
        <v/>
      </c>
      <c r="FR39" s="10" t="s">
        <v>54</v>
      </c>
      <c r="FS39" s="7"/>
      <c r="FT39" s="7"/>
      <c r="FU39" s="31" t="str">
        <f>IF(FT39/(INDEX('Standards for Conversions'!$H$34:$H$73,MATCH(FS$3,'Standards for Conversions'!$A$34:$A$73,0)))=0,"",FT39/(INDEX('Standards for Conversions'!$H$34:$H$73,MATCH(FS$3,'Standards for Conversions'!$A$34:$A$73,0))))</f>
        <v/>
      </c>
      <c r="FV39" s="10" t="s">
        <v>54</v>
      </c>
      <c r="FW39" s="7"/>
      <c r="FX39" s="7"/>
      <c r="FY39" s="31" t="str">
        <f>IF(FX39/(INDEX('Standards for Conversions'!$H$34:$H$73,MATCH(FW$3,'Standards for Conversions'!$A$34:$A$73,0)))=0,"",FX39/(INDEX('Standards for Conversions'!$H$34:$H$73,MATCH(FW$3,'Standards for Conversions'!$A$34:$A$73,0))))</f>
        <v/>
      </c>
      <c r="FZ39" s="10" t="s">
        <v>54</v>
      </c>
      <c r="GA39" s="7"/>
      <c r="GB39" s="7"/>
      <c r="GC39" s="31" t="str">
        <f>IF(GB39/(INDEX('Standards for Conversions'!$H$34:$H$73,MATCH(GA$3,'Standards for Conversions'!$A$34:$A$73,0)))=0,"",GB39/(INDEX('Standards for Conversions'!$H$34:$H$73,MATCH(GA$3,'Standards for Conversions'!$A$34:$A$73,0))))</f>
        <v/>
      </c>
      <c r="GD39" s="10" t="s">
        <v>54</v>
      </c>
      <c r="GE39" s="9"/>
      <c r="GF39" s="9"/>
      <c r="GG39" s="31" t="str">
        <f>IF(GF39/(INDEX('Standards for Conversions'!$H$34:$H$73,MATCH(GE$3,'Standards for Conversions'!$A$34:$A$73,0)))=0,"",GF39/(INDEX('Standards for Conversions'!$H$34:$H$73,MATCH(GE$3,'Standards for Conversions'!$A$34:$A$73,0))))</f>
        <v/>
      </c>
      <c r="GH39" s="10" t="s">
        <v>54</v>
      </c>
      <c r="GI39" s="7"/>
      <c r="GJ39" s="7"/>
      <c r="GK39" s="31" t="str">
        <f>IF(GJ39/(INDEX('Standards for Conversions'!$H$34:$H$73,MATCH(GI$3,'Standards for Conversions'!$A$34:$A$73,0)))=0,"",GJ39/(INDEX('Standards for Conversions'!$H$34:$H$73,MATCH(GI$3,'Standards for Conversions'!$A$34:$A$73,0))))</f>
        <v/>
      </c>
      <c r="GL39" s="10" t="s">
        <v>54</v>
      </c>
      <c r="GM39" s="7"/>
      <c r="GN39" s="7"/>
      <c r="GO39" s="31" t="str">
        <f>IF(GN39/(INDEX('Standards for Conversions'!$H$34:$H$73,MATCH(GM$3,'Standards for Conversions'!$A$34:$A$73,0)))=0,"",GN39/(INDEX('Standards for Conversions'!$H$34:$H$73,MATCH(GM$3,'Standards for Conversions'!$A$34:$A$73,0))))</f>
        <v/>
      </c>
      <c r="GP39" s="10" t="s">
        <v>54</v>
      </c>
      <c r="GQ39" s="7"/>
      <c r="GR39" s="7"/>
      <c r="GS39" s="31" t="str">
        <f>IF(GR39/(INDEX('Standards for Conversions'!$H$34:$H$73,MATCH(GQ$3,'Standards for Conversions'!$A$34:$A$73,0)))=0,"",GR39/(INDEX('Standards for Conversions'!$H$34:$H$73,MATCH(GQ$3,'Standards for Conversions'!$A$34:$A$73,0))))</f>
        <v/>
      </c>
      <c r="GT39" s="10" t="s">
        <v>54</v>
      </c>
      <c r="GU39" s="9"/>
      <c r="GV39" s="9"/>
      <c r="GW39" s="31" t="str">
        <f>IF(GV39/(INDEX('Standards for Conversions'!$H$34:$H$73,MATCH(GU$3,'Standards for Conversions'!$A$34:$A$73,0)))=0,"",GV39/(INDEX('Standards for Conversions'!$H$34:$H$73,MATCH(GU$3,'Standards for Conversions'!$A$34:$A$73,0))))</f>
        <v/>
      </c>
      <c r="GX39" s="10" t="s">
        <v>54</v>
      </c>
      <c r="GY39" s="7"/>
      <c r="GZ39" s="7"/>
      <c r="HA39" s="31" t="str">
        <f>IF(GZ39/(INDEX('Standards for Conversions'!$H$34:$H$73,MATCH(GY$3,'Standards for Conversions'!$A$34:$A$73,0)))=0,"",GZ39/(INDEX('Standards for Conversions'!$H$34:$H$73,MATCH(GY$3,'Standards for Conversions'!$A$34:$A$73,0))))</f>
        <v/>
      </c>
      <c r="HB39" s="10" t="s">
        <v>54</v>
      </c>
      <c r="HC39" s="7"/>
      <c r="HD39" s="7"/>
      <c r="HE39" s="31" t="str">
        <f>IF(HD39/(INDEX('Standards for Conversions'!$H$34:$H$73,MATCH(HC$3,'Standards for Conversions'!$A$34:$A$73,0)))=0,"",HD39/(INDEX('Standards for Conversions'!$H$34:$H$73,MATCH(HC$3,'Standards for Conversions'!$A$34:$A$73,0))))</f>
        <v/>
      </c>
      <c r="HF39" s="10" t="s">
        <v>54</v>
      </c>
      <c r="HG39" s="7"/>
      <c r="HH39" s="7"/>
      <c r="HI39" s="31" t="str">
        <f>IF(HH39/(INDEX('Standards for Conversions'!$H$34:$H$73,MATCH(HG$3,'Standards for Conversions'!$A$34:$A$73,0)))=0,"",HH39/(INDEX('Standards for Conversions'!$H$34:$H$73,MATCH(HG$3,'Standards for Conversions'!$A$34:$A$73,0))))</f>
        <v/>
      </c>
      <c r="HJ39" s="10" t="s">
        <v>54</v>
      </c>
      <c r="HK39" s="9"/>
      <c r="HL39" s="9"/>
      <c r="HM39" s="31" t="str">
        <f>IF(HL39/(INDEX('Standards for Conversions'!$H$34:$H$73,MATCH(HK$3,'Standards for Conversions'!$A$34:$A$73,0)))=0,"",HL39/(INDEX('Standards for Conversions'!$H$34:$H$73,MATCH(HK$3,'Standards for Conversions'!$A$34:$A$73,0))))</f>
        <v/>
      </c>
      <c r="HN39" s="10" t="s">
        <v>54</v>
      </c>
      <c r="HO39" s="7"/>
      <c r="HP39" s="7"/>
      <c r="HQ39" s="31" t="str">
        <f>IF(HP39/(INDEX('Standards for Conversions'!$H$34:$H$73,MATCH(HO$3,'Standards for Conversions'!$A$34:$A$73,0)))=0,"",HP39/(INDEX('Standards for Conversions'!$H$34:$H$73,MATCH(HO$3,'Standards for Conversions'!$A$34:$A$73,0))))</f>
        <v/>
      </c>
      <c r="HR39" s="33" t="s">
        <v>54</v>
      </c>
      <c r="HU39" s="31" t="str">
        <f>IF(HT39/(INDEX('Standards for Conversions'!$H$47:$H$73,MATCH(HS$3,'Standards for Conversions'!$A$47:$A$73,0)))=0,"",HT39/(INDEX('Standards for Conversions'!$H$47:$H$73,MATCH(HS$3,'Standards for Conversions'!$A$47:$A$73,0))))</f>
        <v/>
      </c>
      <c r="HV39" s="33" t="s">
        <v>54</v>
      </c>
      <c r="HY39" s="31" t="str">
        <f>IF(HX39/(INDEX('Standards for Conversions'!$H$47:$H$73,MATCH(HW$3,'Standards for Conversions'!$A$47:$A$73,0)))=0,"",HX39/(INDEX('Standards for Conversions'!$H$47:$H$73,MATCH(HW$3,'Standards for Conversions'!$A$47:$A$73,0))))</f>
        <v/>
      </c>
      <c r="HZ39" s="33">
        <v>20</v>
      </c>
      <c r="IA39" s="33">
        <v>200</v>
      </c>
      <c r="IB39" s="31">
        <f>IF(IA39/(INDEX('Standards for Conversions'!$H$47:$H$73,MATCH(HZ$3,'Standards for Conversions'!$A$47:$A$73,0)))=0,"",IA39/(INDEX('Standards for Conversions'!$H$47:$H$73,MATCH(HZ$3,'Standards for Conversions'!$A$47:$A$73,0))))</f>
        <v>29.049082442571191</v>
      </c>
      <c r="IC39" s="33" t="s">
        <v>54</v>
      </c>
      <c r="IF39" s="31" t="str">
        <f>IF(IE39/(INDEX('Standards for Conversions'!$H$47:$H$73,MATCH(ID$3,'Standards for Conversions'!$A$47:$A$73,0)))=0,"",IE39/(INDEX('Standards for Conversions'!$H$47:$H$73,MATCH(ID$3,'Standards for Conversions'!$A$47:$A$73,0))))</f>
        <v/>
      </c>
      <c r="IG39" s="33" t="s">
        <v>54</v>
      </c>
      <c r="IJ39" s="31" t="str">
        <f>IF(II39/(INDEX('Standards for Conversions'!$H$47:$H$73,MATCH(IH$3,'Standards for Conversions'!$A$47:$A$73,0)))=0,"",II39/(INDEX('Standards for Conversions'!$H$47:$H$73,MATCH(IH$3,'Standards for Conversions'!$A$47:$A$73,0))))</f>
        <v/>
      </c>
      <c r="IK39" s="33" t="s">
        <v>54</v>
      </c>
      <c r="IN39" s="31" t="str">
        <f>IF(IM39/(INDEX('Standards for Conversions'!$H$47:$H$73,MATCH(IL$3,'Standards for Conversions'!$A$47:$A$73,0)))=0,"",IM39/(INDEX('Standards for Conversions'!$H$47:$H$73,MATCH(IL$3,'Standards for Conversions'!$A$47:$A$73,0))))</f>
        <v/>
      </c>
      <c r="IO39" s="33" t="s">
        <v>54</v>
      </c>
      <c r="IP39" s="29">
        <v>13</v>
      </c>
      <c r="IQ39" s="29">
        <v>18</v>
      </c>
      <c r="IR39" s="31">
        <f>IF(IQ39/(INDEX('Standards for Conversions'!$H$47:$H$73,MATCH(IP$3,'Standards for Conversions'!$A$47:$A$73,0)))=0,"",IQ39/(INDEX('Standards for Conversions'!$H$47:$H$73,MATCH(IP$3,'Standards for Conversions'!$A$47:$A$73,0))))</f>
        <v>2.6029841074997826</v>
      </c>
      <c r="IS39" s="33" t="s">
        <v>54</v>
      </c>
      <c r="IV39" s="31" t="str">
        <f>IF(IU39/(INDEX('Standards for Conversions'!$H$47:$H$73,MATCH(IT$3,'Standards for Conversions'!$A$47:$A$73,0)))=0,"",IU39/(INDEX('Standards for Conversions'!$H$47:$H$73,MATCH(IT$3,'Standards for Conversions'!$A$47:$A$73,0))))</f>
        <v/>
      </c>
      <c r="IW39" s="33" t="s">
        <v>54</v>
      </c>
      <c r="IZ39" s="31" t="str">
        <f>IF(IY39/(INDEX('Standards for Conversions'!$H$47:$H$73,MATCH(IX$3,'Standards for Conversions'!$A$47:$A$73,0)))=0,"",IY39/(INDEX('Standards for Conversions'!$H$47:$H$73,MATCH(IX$3,'Standards for Conversions'!$A$47:$A$73,0))))</f>
        <v/>
      </c>
      <c r="JA39" s="48" t="s">
        <v>54</v>
      </c>
      <c r="JD39" s="31" t="str">
        <f>IF(JC39/(INDEX('Standards for Conversions'!$H$47:$H$73,MATCH(JB$3,'Standards for Conversions'!$A$47:$A$73,0)))=0,"",JC39/(INDEX('Standards for Conversions'!$H$47:$H$73,MATCH(JB$3,'Standards for Conversions'!$A$47:$A$73,0))))</f>
        <v/>
      </c>
      <c r="JE39" s="48" t="s">
        <v>54</v>
      </c>
      <c r="JF39" s="29">
        <v>8</v>
      </c>
      <c r="JG39" s="29">
        <v>180</v>
      </c>
      <c r="JH39" s="31">
        <f>IF(JG39/(INDEX('Standards for Conversions'!$H$47:$H$73,MATCH(JF$3,'Standards for Conversions'!$A$47:$A$73,0)))=0,"",JG39/(INDEX('Standards for Conversions'!$H$47:$H$73,MATCH(JF$3,'Standards for Conversions'!$A$47:$A$73,0))))</f>
        <v>29.116835404536364</v>
      </c>
      <c r="JI39" s="48"/>
      <c r="JL39" s="31" t="str">
        <f>IF(JK39/(INDEX('Standards for Conversions'!$H$47:$H$73,MATCH(JJ$3,'Standards for Conversions'!$A$47:$A$73,0)))=0,"",JK39/(INDEX('Standards for Conversions'!$H$47:$H$73,MATCH(JJ$3,'Standards for Conversions'!$A$47:$A$73,0))))</f>
        <v/>
      </c>
      <c r="JM39" s="33" t="s">
        <v>54</v>
      </c>
      <c r="JP39" s="31" t="str">
        <f>IF(JO39/(INDEX('Standards for Conversions'!$H$47:$H$73,MATCH(JN$3,'Standards for Conversions'!$A$47:$A$73,0)))=0,"",JO39/(INDEX('Standards for Conversions'!$H$47:$H$73,MATCH(JN$3,'Standards for Conversions'!$A$47:$A$73,0))))</f>
        <v/>
      </c>
      <c r="JQ39" s="33" t="s">
        <v>54</v>
      </c>
      <c r="JT39" s="31" t="str">
        <f>IF(JS39/(INDEX('Standards for Conversions'!$H$47:$H$73,MATCH(JR$3,'Standards for Conversions'!$A$47:$A$73,0)))=0,"",JS39/(INDEX('Standards for Conversions'!$H$47:$H$73,MATCH(JR$3,'Standards for Conversions'!$A$47:$A$73,0))))</f>
        <v/>
      </c>
      <c r="JU39" s="33" t="s">
        <v>54</v>
      </c>
      <c r="JV39" s="29">
        <v>100</v>
      </c>
      <c r="JW39" s="29">
        <v>80</v>
      </c>
      <c r="JX39" s="31">
        <f>IF(JW39/(INDEX('Standards for Conversions'!$H$47:$H$73,MATCH(JV$3,'Standards for Conversions'!$A$47:$A$73,0)))=0,"",JW39/(INDEX('Standards for Conversions'!$H$47:$H$73,MATCH(JV$3,'Standards for Conversions'!$A$47:$A$73,0))))</f>
        <v>12.212471394223805</v>
      </c>
      <c r="JY39" s="33" t="s">
        <v>54</v>
      </c>
      <c r="KB39" s="31" t="str">
        <f>IF(KA39/(INDEX('Standards for Conversions'!$H$47:$H$73,MATCH(JZ$3,'Standards for Conversions'!$A$47:$A$73,0)))=0,"",KA39/(INDEX('Standards for Conversions'!$H$47:$H$73,MATCH(JZ$3,'Standards for Conversions'!$A$47:$A$73,0))))</f>
        <v/>
      </c>
      <c r="KC39" s="33" t="s">
        <v>54</v>
      </c>
      <c r="KF39" s="31" t="str">
        <f>IF(KE39/(INDEX('Standards for Conversions'!$H$47:$H$73,MATCH(KD$3,'Standards for Conversions'!$A$47:$A$73,0)))=0,"",KE39/(INDEX('Standards for Conversions'!$H$47:$H$73,MATCH(KD$3,'Standards for Conversions'!$A$47:$A$73,0))))</f>
        <v/>
      </c>
      <c r="KG39" s="33" t="s">
        <v>54</v>
      </c>
      <c r="KJ39" s="31" t="str">
        <f>IF(KI39/(INDEX('Standards for Conversions'!$H$47:$H$73,MATCH(KH$3,'Standards for Conversions'!$A$47:$A$73,0)))=0,"",KI39/(INDEX('Standards for Conversions'!$H$47:$H$73,MATCH(KH$3,'Standards for Conversions'!$A$47:$A$73,0))))</f>
        <v/>
      </c>
      <c r="KK39" s="33" t="s">
        <v>54</v>
      </c>
      <c r="KL39" s="29">
        <v>120</v>
      </c>
      <c r="KM39" s="29">
        <v>100</v>
      </c>
      <c r="KN39" s="31">
        <f>IF(KM39/(INDEX('Standards for Conversions'!$H$47:$H$73,MATCH(KL$3,'Standards for Conversions'!$A$47:$A$73,0)))=0,"",KM39/(INDEX('Standards for Conversions'!$H$47:$H$73,MATCH(KL$3,'Standards for Conversions'!$A$47:$A$73,0))))</f>
        <v>13.465901190579647</v>
      </c>
      <c r="KO39" s="33" t="s">
        <v>54</v>
      </c>
      <c r="KR39" s="31" t="str">
        <f>IF(KQ39/(INDEX('Standards for Conversions'!$H$47:$H$73,MATCH(KP$3,'Standards for Conversions'!$A$47:$A$73,0)))=0,"",KQ39/(INDEX('Standards for Conversions'!$H$47:$H$73,MATCH(KP$3,'Standards for Conversions'!$A$47:$A$73,0))))</f>
        <v/>
      </c>
      <c r="KS39" s="33" t="s">
        <v>54</v>
      </c>
      <c r="KV39" s="31" t="str">
        <f>IF(KU39/(INDEX('Standards for Conversions'!$H$47:$H$73,MATCH(KT$3,'Standards for Conversions'!$A$47:$A$73,0)))=0,"",KU39/(INDEX('Standards for Conversions'!$H$47:$H$73,MATCH(KT$3,'Standards for Conversions'!$A$47:$A$73,0))))</f>
        <v/>
      </c>
      <c r="KW39" s="48" t="s">
        <v>54</v>
      </c>
      <c r="KZ39" s="31" t="str">
        <f>IF(KY39/(INDEX('Standards for Conversions'!$H$47:$H$73,MATCH(KX$3,'Standards for Conversions'!$A$47:$A$73,0)))=0,"",KY39/(INDEX('Standards for Conversions'!$H$47:$H$73,MATCH(KX$3,'Standards for Conversions'!$A$47:$A$73,0))))</f>
        <v/>
      </c>
      <c r="LA39" s="48" t="s">
        <v>54</v>
      </c>
      <c r="LD39" s="31" t="str">
        <f>IF(LC39/(INDEX('Standards for Conversions'!$H$47:$H$73,MATCH(LB$3,'Standards for Conversions'!$A$47:$A$73,0)))=0,"",LC39/(INDEX('Standards for Conversions'!$H$47:$H$73,MATCH(LB$3,'Standards for Conversions'!$A$47:$A$73,0))))</f>
        <v/>
      </c>
      <c r="LE39" s="48"/>
      <c r="LH39" s="31" t="str">
        <f>IF(LG39/(INDEX('Standards for Conversions'!$H$47:$H$73,MATCH(LF$3,'Standards for Conversions'!$A$47:$A$73,0)))=0,"",LG39/(INDEX('Standards for Conversions'!$H$47:$H$73,MATCH(LF$3,'Standards for Conversions'!$A$47:$A$73,0))))</f>
        <v/>
      </c>
      <c r="LL39" s="31" t="str">
        <f>IF(LK39/(INDEX('Standards for Conversions'!$H$47:$H$73,MATCH(LJ$3,'Standards for Conversions'!$A$47:$A$73,0)))=0,"",LK39/(INDEX('Standards for Conversions'!$H$47:$H$73,MATCH(LJ$3,'Standards for Conversions'!$A$47:$A$73,0))))</f>
        <v/>
      </c>
      <c r="LO39" s="31" t="str">
        <f>IF(LN39/(INDEX('Standards for Conversions'!$H$47:$H$73,MATCH(LM$3,'Standards for Conversions'!$A$47:$A$73,0)))=0,"",LN39/(INDEX('Standards for Conversions'!$H$47:$H$73,MATCH(LM$3,'Standards for Conversions'!$A$47:$A$73,0))))</f>
        <v/>
      </c>
      <c r="LR39" s="31" t="str">
        <f>IF(LQ39/(INDEX('Standards for Conversions'!$H$47:$H$73,MATCH(LP$3,'Standards for Conversions'!$A$47:$A$73,0)))=0,"",LQ39/(INDEX('Standards for Conversions'!$H$47:$H$73,MATCH(LP$3,'Standards for Conversions'!$A$47:$A$73,0))))</f>
        <v/>
      </c>
      <c r="LV39" s="31" t="str">
        <f>IF(LU39/(INDEX('Standards for Conversions'!$H$47:$H$73,MATCH(LT$3,'Standards for Conversions'!$A$47:$A$73,0)))=0,"",LU39/(INDEX('Standards for Conversions'!$H$47:$H$73,MATCH(LT$3,'Standards for Conversions'!$A$47:$A$73,0))))</f>
        <v/>
      </c>
      <c r="LY39" s="31" t="str">
        <f>IF(LX39/(INDEX('Standards for Conversions'!$H$47:$H$73,MATCH(LW$3,'Standards for Conversions'!$A$47:$A$73,0)))=0,"",LX39/(INDEX('Standards for Conversions'!$H$47:$H$73,MATCH(LW$3,'Standards for Conversions'!$A$47:$A$73,0))))</f>
        <v/>
      </c>
      <c r="MB39" s="31" t="str">
        <f>IF(MA39/(INDEX('Standards for Conversions'!$H$47:$H$73,MATCH(LZ$3,'Standards for Conversions'!$A$47:$A$73,0)))=0,"",MA39/(INDEX('Standards for Conversions'!$H$47:$H$73,MATCH(LZ$3,'Standards for Conversions'!$A$47:$A$73,0))))</f>
        <v/>
      </c>
      <c r="ME39" s="31" t="str">
        <f>IF(MD39/(INDEX('Standards for Conversions'!$H$47:$H$73,MATCH(MC$3,'Standards for Conversions'!$A$47:$A$73,0)))=0,"",MD39/(INDEX('Standards for Conversions'!$H$47:$H$73,MATCH(MC$3,'Standards for Conversions'!$A$47:$A$73,0))))</f>
        <v/>
      </c>
      <c r="MH39" s="31" t="str">
        <f>IF(MG39/(INDEX('Standards for Conversions'!$H$47:$H$73,MATCH(MF$3,'Standards for Conversions'!$A$47:$A$73,0)))=0,"",MG39/(INDEX('Standards for Conversions'!$H$47:$H$73,MATCH(MF$3,'Standards for Conversions'!$A$47:$A$73,0))))</f>
        <v/>
      </c>
      <c r="MK39" s="31" t="str">
        <f>IF(MJ39/(INDEX('Standards for Conversions'!$H$47:$H$73,MATCH(MI$3,'Standards for Conversions'!$A$47:$A$73,0)))=0,"",MJ39/(INDEX('Standards for Conversions'!$H$47:$H$73,MATCH(MI$3,'Standards for Conversions'!$A$47:$A$73,0))))</f>
        <v/>
      </c>
      <c r="MN39" s="31" t="str">
        <f>IF(MM39/(INDEX('Standards for Conversions'!$H$47:$H$73,MATCH(ML$3,'Standards for Conversions'!$A$47:$A$73,0)))=0,"",MM39/(INDEX('Standards for Conversions'!$H$47:$H$73,MATCH(ML$3,'Standards for Conversions'!$A$47:$A$73,0))))</f>
        <v/>
      </c>
      <c r="MR39" s="31" t="str">
        <f>IF(MQ39/(INDEX('Standards for Conversions'!$H$47:$H$73,MATCH(MP$3,'Standards for Conversions'!$A$47:$A$73,0)))=0,"",MQ39/(INDEX('Standards for Conversions'!$H$47:$H$73,MATCH(MP$3,'Standards for Conversions'!$A$47:$A$73,0))))</f>
        <v/>
      </c>
    </row>
    <row r="40" spans="1:356" hidden="1" x14ac:dyDescent="0.3">
      <c r="A40" s="103" t="s">
        <v>222</v>
      </c>
      <c r="B40" s="10" t="s">
        <v>53</v>
      </c>
      <c r="C40" s="7"/>
      <c r="D40" s="7"/>
      <c r="E40" s="31" t="str">
        <f>IF(D40/(INDEX('Standards for Conversions'!$H$34:$H$73,MATCH(C$3,'Standards for Conversions'!$A$34:$A$73,0)))=0,"",D40/(INDEX('Standards for Conversions'!$H$34:$H$73,MATCH(C$3,'Standards for Conversions'!$A$34:$A$73,0))))</f>
        <v/>
      </c>
      <c r="F40" s="10" t="s">
        <v>53</v>
      </c>
      <c r="G40" s="7"/>
      <c r="H40" s="7"/>
      <c r="I40" s="31" t="str">
        <f>IF(H40/(INDEX('Standards for Conversions'!$H$34:$H$73,MATCH(G$3,'Standards for Conversions'!$A$34:$A$73,0)))=0,"",H40/(INDEX('Standards for Conversions'!$H$34:$H$73,MATCH(G$3,'Standards for Conversions'!$A$34:$A$73,0))))</f>
        <v/>
      </c>
      <c r="J40" s="10" t="s">
        <v>53</v>
      </c>
      <c r="K40" s="9"/>
      <c r="L40" s="9"/>
      <c r="M40" s="31" t="str">
        <f>IF(L40/(INDEX('Standards for Conversions'!$H$34:$H$73,MATCH(K$3,'Standards for Conversions'!$A$34:$A$73,0)))=0,"",L40/(INDEX('Standards for Conversions'!$H$34:$H$73,MATCH(K$3,'Standards for Conversions'!$A$34:$A$73,0))))</f>
        <v/>
      </c>
      <c r="N40" s="10" t="s">
        <v>53</v>
      </c>
      <c r="O40" s="7"/>
      <c r="P40" s="7"/>
      <c r="Q40" s="31" t="str">
        <f>IF(P40/(INDEX('Standards for Conversions'!$H$34:$H$73,MATCH(O$3,'Standards for Conversions'!$A$34:$A$73,0)))=0,"",P40/(INDEX('Standards for Conversions'!$H$34:$H$73,MATCH(O$3,'Standards for Conversions'!$A$34:$A$73,0))))</f>
        <v/>
      </c>
      <c r="R40" s="10" t="s">
        <v>53</v>
      </c>
      <c r="S40" s="7"/>
      <c r="T40" s="7"/>
      <c r="U40" s="31" t="str">
        <f>IF(T40/(INDEX('Standards for Conversions'!$H$34:$H$73,MATCH(S$3,'Standards for Conversions'!$A$34:$A$73,0)))=0,"",T40/(INDEX('Standards for Conversions'!$H$34:$H$73,MATCH(S$3,'Standards for Conversions'!$A$34:$A$73,0))))</f>
        <v/>
      </c>
      <c r="V40" s="10" t="s">
        <v>53</v>
      </c>
      <c r="W40" s="7"/>
      <c r="X40" s="7"/>
      <c r="Y40" s="31" t="str">
        <f>IF(X40/(INDEX('Standards for Conversions'!$H$34:$H$73,MATCH(W$3,'Standards for Conversions'!$A$34:$A$73,0)))=0,"",X40/(INDEX('Standards for Conversions'!$H$34:$H$73,MATCH(W$3,'Standards for Conversions'!$A$34:$A$73,0))))</f>
        <v/>
      </c>
      <c r="Z40" s="10" t="s">
        <v>53</v>
      </c>
      <c r="AA40" s="9"/>
      <c r="AB40" s="9"/>
      <c r="AC40" s="31" t="str">
        <f>IF(AB40/(INDEX('Standards for Conversions'!$H$34:$H$73,MATCH(AA$3,'Standards for Conversions'!$A$34:$A$73,0)))=0,"",AB40/(INDEX('Standards for Conversions'!$H$34:$H$73,MATCH(AA$3,'Standards for Conversions'!$A$34:$A$73,0))))</f>
        <v/>
      </c>
      <c r="AD40" s="10" t="s">
        <v>53</v>
      </c>
      <c r="AE40" s="7"/>
      <c r="AF40" s="7"/>
      <c r="AG40" s="31" t="str">
        <f>IF(AF40/(INDEX('Standards for Conversions'!$H$34:$H$73,MATCH(AE$3,'Standards for Conversions'!$A$34:$A$73,0)))=0,"",AF40/(INDEX('Standards for Conversions'!$H$34:$H$73,MATCH(AE$3,'Standards for Conversions'!$A$34:$A$73,0))))</f>
        <v/>
      </c>
      <c r="AH40" s="10" t="s">
        <v>53</v>
      </c>
      <c r="AI40" s="7"/>
      <c r="AJ40" s="7"/>
      <c r="AK40" s="31" t="str">
        <f>IF(AJ40/(INDEX('Standards for Conversions'!$H$34:$H$73,MATCH(AI$3,'Standards for Conversions'!$A$34:$A$73,0)))=0,"",AJ40/(INDEX('Standards for Conversions'!$H$34:$H$73,MATCH(AI$3,'Standards for Conversions'!$A$34:$A$73,0))))</f>
        <v/>
      </c>
      <c r="AL40" s="10" t="s">
        <v>53</v>
      </c>
      <c r="AM40" s="7"/>
      <c r="AN40" s="7"/>
      <c r="AO40" s="31" t="str">
        <f>IF(AN40/(INDEX('Standards for Conversions'!$H$34:$H$73,MATCH(AM$3,'Standards for Conversions'!$A$34:$A$73,0)))=0,"",AN40/(INDEX('Standards for Conversions'!$H$34:$H$73,MATCH(AM$3,'Standards for Conversions'!$A$34:$A$73,0))))</f>
        <v/>
      </c>
      <c r="AP40" s="10" t="s">
        <v>53</v>
      </c>
      <c r="AQ40" s="9"/>
      <c r="AR40" s="9"/>
      <c r="AS40" s="31" t="str">
        <f>IF(AR40/(INDEX('Standards for Conversions'!$H$34:$H$73,MATCH(AQ$3,'Standards for Conversions'!$A$34:$A$73,0)))=0,"",AR40/(INDEX('Standards for Conversions'!$H$34:$H$73,MATCH(AQ$3,'Standards for Conversions'!$A$34:$A$73,0))))</f>
        <v/>
      </c>
      <c r="AT40" s="10" t="s">
        <v>53</v>
      </c>
      <c r="AU40" s="7"/>
      <c r="AV40" s="7"/>
      <c r="AW40" s="31" t="str">
        <f>IF(AV40/(INDEX('Standards for Conversions'!$H$34:$H$73,MATCH(AU$3,'Standards for Conversions'!$A$34:$A$73,0)))=0,"",AV40/(INDEX('Standards for Conversions'!$H$34:$H$73,MATCH(AU$3,'Standards for Conversions'!$A$34:$A$73,0))))</f>
        <v/>
      </c>
      <c r="AX40" s="10" t="s">
        <v>53</v>
      </c>
      <c r="AY40" s="7"/>
      <c r="AZ40" s="7"/>
      <c r="BA40" s="31" t="str">
        <f>IF(AZ40/(INDEX('Standards for Conversions'!$H$34:$H$73,MATCH(AY$3,'Standards for Conversions'!$A$34:$A$73,0)))=0,"",AZ40/(INDEX('Standards for Conversions'!$H$34:$H$73,MATCH(AY$3,'Standards for Conversions'!$A$34:$A$73,0))))</f>
        <v/>
      </c>
      <c r="BB40" s="10" t="s">
        <v>53</v>
      </c>
      <c r="BC40" s="7"/>
      <c r="BD40" s="7"/>
      <c r="BE40" s="31" t="str">
        <f>IF(BD40/(INDEX('Standards for Conversions'!$H$34:$H$73,MATCH(BC$3,'Standards for Conversions'!$A$34:$A$73,0)))=0,"",BD40/(INDEX('Standards for Conversions'!$H$34:$H$73,MATCH(BC$3,'Standards for Conversions'!$A$34:$A$73,0))))</f>
        <v/>
      </c>
      <c r="BF40" s="10" t="s">
        <v>53</v>
      </c>
      <c r="BG40" s="9"/>
      <c r="BH40" s="9"/>
      <c r="BI40" s="31" t="str">
        <f>IF(BH40/(INDEX('Standards for Conversions'!$H$34:$H$73,MATCH(BG$3,'Standards for Conversions'!$A$34:$A$73,0)))=0,"",BH40/(INDEX('Standards for Conversions'!$H$34:$H$73,MATCH(BG$3,'Standards for Conversions'!$A$34:$A$73,0))))</f>
        <v/>
      </c>
      <c r="BJ40" s="10" t="s">
        <v>53</v>
      </c>
      <c r="BK40" s="7"/>
      <c r="BL40" s="7"/>
      <c r="BM40" s="31" t="str">
        <f>IF(BL40/(INDEX('Standards for Conversions'!$H$34:$H$73,MATCH(BK$3,'Standards for Conversions'!$A$34:$A$73,0)))=0,"",BL40/(INDEX('Standards for Conversions'!$H$34:$H$73,MATCH(BK$3,'Standards for Conversions'!$A$34:$A$73,0))))</f>
        <v/>
      </c>
      <c r="BN40" s="10" t="s">
        <v>53</v>
      </c>
      <c r="BO40" s="7"/>
      <c r="BP40" s="7"/>
      <c r="BQ40" s="31" t="str">
        <f>IF(BP40/(INDEX('Standards for Conversions'!$H$34:$H$73,MATCH(BO$3,'Standards for Conversions'!$A$34:$A$73,0)))=0,"",BP40/(INDEX('Standards for Conversions'!$H$34:$H$73,MATCH(BO$3,'Standards for Conversions'!$A$34:$A$73,0))))</f>
        <v/>
      </c>
      <c r="BR40" s="10" t="s">
        <v>53</v>
      </c>
      <c r="BS40" s="7"/>
      <c r="BT40" s="7"/>
      <c r="BU40" s="31" t="str">
        <f>IF(BT40/(INDEX('Standards for Conversions'!$H$34:$H$73,MATCH(BS$3,'Standards for Conversions'!$A$34:$A$73,0)))=0,"",BT40/(INDEX('Standards for Conversions'!$H$34:$H$73,MATCH(BS$3,'Standards for Conversions'!$A$34:$A$73,0))))</f>
        <v/>
      </c>
      <c r="BV40" s="10" t="s">
        <v>53</v>
      </c>
      <c r="BW40" s="9"/>
      <c r="BX40" s="9"/>
      <c r="BY40" s="31" t="str">
        <f>IF(BX40/(INDEX('Standards for Conversions'!$H$34:$H$73,MATCH(BW$3,'Standards for Conversions'!$A$34:$A$73,0)))=0,"",BX40/(INDEX('Standards for Conversions'!$H$34:$H$73,MATCH(BW$3,'Standards for Conversions'!$A$34:$A$73,0))))</f>
        <v/>
      </c>
      <c r="BZ40" s="10" t="s">
        <v>53</v>
      </c>
      <c r="CA40" s="7"/>
      <c r="CB40" s="7"/>
      <c r="CC40" s="31" t="str">
        <f>IF(CB40/(INDEX('Standards for Conversions'!$H$34:$H$73,MATCH(CA$3,'Standards for Conversions'!$A$34:$A$73,0)))=0,"",CB40/(INDEX('Standards for Conversions'!$H$34:$H$73,MATCH(CA$3,'Standards for Conversions'!$A$34:$A$73,0))))</f>
        <v/>
      </c>
      <c r="CD40" s="10" t="s">
        <v>53</v>
      </c>
      <c r="CE40" s="7"/>
      <c r="CF40" s="7"/>
      <c r="CG40" s="31" t="str">
        <f>IF(CF40/(INDEX('Standards for Conversions'!$H$34:$H$73,MATCH(CE$3,'Standards for Conversions'!$A$34:$A$73,0)))=0,"",CF40/(INDEX('Standards for Conversions'!$H$34:$H$73,MATCH(CE$3,'Standards for Conversions'!$A$34:$A$73,0))))</f>
        <v/>
      </c>
      <c r="CH40" s="10" t="s">
        <v>53</v>
      </c>
      <c r="CI40" s="7"/>
      <c r="CJ40" s="7"/>
      <c r="CK40" s="31" t="str">
        <f>IF(CJ40/(INDEX('Standards for Conversions'!$H$34:$H$73,MATCH(CI$3,'Standards for Conversions'!$A$34:$A$73,0)))=0,"",CJ40/(INDEX('Standards for Conversions'!$H$34:$H$73,MATCH(CI$3,'Standards for Conversions'!$A$34:$A$73,0))))</f>
        <v/>
      </c>
      <c r="CL40" s="10" t="s">
        <v>53</v>
      </c>
      <c r="CM40" s="9"/>
      <c r="CN40" s="9"/>
      <c r="CO40" s="31" t="str">
        <f>IF(CN40/(INDEX('Standards for Conversions'!$H$34:$H$73,MATCH(CM$3,'Standards for Conversions'!$A$34:$A$73,0)))=0,"",CN40/(INDEX('Standards for Conversions'!$H$34:$H$73,MATCH(CM$3,'Standards for Conversions'!$A$34:$A$73,0))))</f>
        <v/>
      </c>
      <c r="CP40" s="10" t="s">
        <v>53</v>
      </c>
      <c r="CQ40" s="7"/>
      <c r="CR40" s="7"/>
      <c r="CS40" s="31" t="str">
        <f>IF(CR40/(INDEX('Standards for Conversions'!$H$34:$H$73,MATCH(CQ$3,'Standards for Conversions'!$A$34:$A$73,0)))=0,"",CR40/(INDEX('Standards for Conversions'!$H$34:$H$73,MATCH(CQ$3,'Standards for Conversions'!$A$34:$A$73,0))))</f>
        <v/>
      </c>
      <c r="CT40" s="10" t="s">
        <v>53</v>
      </c>
      <c r="CU40" s="7"/>
      <c r="CV40" s="7"/>
      <c r="CW40" s="31" t="str">
        <f>IF(CV40/(INDEX('Standards for Conversions'!$H$34:$H$73,MATCH(CU$3,'Standards for Conversions'!$A$34:$A$73,0)))=0,"",CV40/(INDEX('Standards for Conversions'!$H$34:$H$73,MATCH(CU$3,'Standards for Conversions'!$A$34:$A$73,0))))</f>
        <v/>
      </c>
      <c r="CX40" s="10" t="s">
        <v>53</v>
      </c>
      <c r="CY40" s="7"/>
      <c r="CZ40" s="7"/>
      <c r="DA40" s="31" t="str">
        <f>IF(CZ40/(INDEX('Standards for Conversions'!$H$34:$H$73,MATCH(CY$3,'Standards for Conversions'!$A$34:$A$73,0)))=0,"",CZ40/(INDEX('Standards for Conversions'!$H$34:$H$73,MATCH(CY$3,'Standards for Conversions'!$A$34:$A$73,0))))</f>
        <v/>
      </c>
      <c r="DB40" s="10" t="s">
        <v>53</v>
      </c>
      <c r="DC40" s="9"/>
      <c r="DD40" s="9"/>
      <c r="DE40" s="31" t="str">
        <f>IF(DD40/(INDEX('Standards for Conversions'!$H$34:$H$73,MATCH(DC$3,'Standards for Conversions'!$A$34:$A$73,0)))=0,"",DD40/(INDEX('Standards for Conversions'!$H$34:$H$73,MATCH(DC$3,'Standards for Conversions'!$A$34:$A$73,0))))</f>
        <v/>
      </c>
      <c r="DF40" s="10" t="s">
        <v>53</v>
      </c>
      <c r="DG40" s="7"/>
      <c r="DH40" s="7"/>
      <c r="DI40" s="31" t="str">
        <f>IF(DH40/(INDEX('Standards for Conversions'!$H$34:$H$73,MATCH(DG$3,'Standards for Conversions'!$A$34:$A$73,0)))=0,"",DH40/(INDEX('Standards for Conversions'!$H$34:$H$73,MATCH(DG$3,'Standards for Conversions'!$A$34:$A$73,0))))</f>
        <v/>
      </c>
      <c r="DJ40" s="10" t="s">
        <v>53</v>
      </c>
      <c r="DK40" s="7"/>
      <c r="DL40" s="7"/>
      <c r="DM40" s="31" t="str">
        <f>IF(DL40/(INDEX('Standards for Conversions'!$H$34:$H$73,MATCH(DK$3,'Standards for Conversions'!$A$34:$A$73,0)))=0,"",DL40/(INDEX('Standards for Conversions'!$H$34:$H$73,MATCH(DK$3,'Standards for Conversions'!$A$34:$A$73,0))))</f>
        <v/>
      </c>
      <c r="DN40" s="10" t="s">
        <v>53</v>
      </c>
      <c r="DO40" s="7"/>
      <c r="DP40" s="7"/>
      <c r="DQ40" s="31" t="str">
        <f>IF(DP40/(INDEX('Standards for Conversions'!$H$34:$H$73,MATCH(DO$3,'Standards for Conversions'!$A$34:$A$73,0)))=0,"",DP40/(INDEX('Standards for Conversions'!$H$34:$H$73,MATCH(DO$3,'Standards for Conversions'!$A$34:$A$73,0))))</f>
        <v/>
      </c>
      <c r="DR40" s="10" t="s">
        <v>53</v>
      </c>
      <c r="DS40" s="9"/>
      <c r="DT40" s="9"/>
      <c r="DU40" s="31" t="str">
        <f>IF(DT40/(INDEX('Standards for Conversions'!$H$34:$H$73,MATCH(DS$3,'Standards for Conversions'!$A$34:$A$73,0)))=0,"",DT40/(INDEX('Standards for Conversions'!$H$34:$H$73,MATCH(DS$3,'Standards for Conversions'!$A$34:$A$73,0))))</f>
        <v/>
      </c>
      <c r="DV40" s="10" t="s">
        <v>53</v>
      </c>
      <c r="DW40" s="7"/>
      <c r="DX40" s="7"/>
      <c r="DY40" s="31" t="str">
        <f>IF(DX40/(INDEX('Standards for Conversions'!$H$34:$H$73,MATCH(DW$3,'Standards for Conversions'!$A$34:$A$73,0)))=0,"",DX40/(INDEX('Standards for Conversions'!$H$34:$H$73,MATCH(DW$3,'Standards for Conversions'!$A$34:$A$73,0))))</f>
        <v/>
      </c>
      <c r="DZ40" s="10" t="s">
        <v>53</v>
      </c>
      <c r="EA40" s="7"/>
      <c r="EB40" s="7"/>
      <c r="EC40" s="31" t="str">
        <f>IF(EB40/(INDEX('Standards for Conversions'!$H$34:$H$73,MATCH(EA$3,'Standards for Conversions'!$A$34:$A$73,0)))=0,"",EB40/(INDEX('Standards for Conversions'!$H$34:$H$73,MATCH(EA$3,'Standards for Conversions'!$A$34:$A$73,0))))</f>
        <v/>
      </c>
      <c r="ED40" s="10" t="s">
        <v>53</v>
      </c>
      <c r="EE40" s="7"/>
      <c r="EF40" s="7"/>
      <c r="EG40" s="31" t="str">
        <f>IF(EF40/(INDEX('Standards for Conversions'!$H$34:$H$73,MATCH(EE$3,'Standards for Conversions'!$A$34:$A$73,0)))=0,"",EF40/(INDEX('Standards for Conversions'!$H$34:$H$73,MATCH(EE$3,'Standards for Conversions'!$A$34:$A$73,0))))</f>
        <v/>
      </c>
      <c r="EH40" s="10" t="s">
        <v>53</v>
      </c>
      <c r="EI40" s="9"/>
      <c r="EJ40" s="9"/>
      <c r="EK40" s="31" t="str">
        <f>IF(EJ40/(INDEX('Standards for Conversions'!$H$34:$H$73,MATCH(EI$3,'Standards for Conversions'!$A$34:$A$73,0)))=0,"",EJ40/(INDEX('Standards for Conversions'!$H$34:$H$73,MATCH(EI$3,'Standards for Conversions'!$A$34:$A$73,0))))</f>
        <v/>
      </c>
      <c r="EL40" s="10" t="s">
        <v>53</v>
      </c>
      <c r="EM40" s="7"/>
      <c r="EN40" s="7"/>
      <c r="EO40" s="31" t="str">
        <f>IF(EN40/(INDEX('Standards for Conversions'!$H$34:$H$73,MATCH(EM$3,'Standards for Conversions'!$A$34:$A$73,0)))=0,"",EN40/(INDEX('Standards for Conversions'!$H$34:$H$73,MATCH(EM$3,'Standards for Conversions'!$A$34:$A$73,0))))</f>
        <v/>
      </c>
      <c r="EP40" s="10" t="s">
        <v>53</v>
      </c>
      <c r="EQ40" s="7"/>
      <c r="ER40" s="7"/>
      <c r="ES40" s="31" t="str">
        <f>IF(ER40/(INDEX('Standards for Conversions'!$H$34:$H$73,MATCH(EQ$3,'Standards for Conversions'!$A$34:$A$73,0)))=0,"",ER40/(INDEX('Standards for Conversions'!$H$34:$H$73,MATCH(EQ$3,'Standards for Conversions'!$A$34:$A$73,0))))</f>
        <v/>
      </c>
      <c r="ET40" s="10" t="s">
        <v>53</v>
      </c>
      <c r="EU40" s="7"/>
      <c r="EV40" s="7"/>
      <c r="EW40" s="31" t="str">
        <f>IF(EV40/(INDEX('Standards for Conversions'!$H$34:$H$73,MATCH(EU$3,'Standards for Conversions'!$A$34:$A$73,0)))=0,"",EV40/(INDEX('Standards for Conversions'!$H$34:$H$73,MATCH(EU$3,'Standards for Conversions'!$A$34:$A$73,0))))</f>
        <v/>
      </c>
      <c r="EX40" s="10" t="s">
        <v>53</v>
      </c>
      <c r="EY40" s="9"/>
      <c r="EZ40" s="9"/>
      <c r="FA40" s="31" t="str">
        <f>IF(EZ40/(INDEX('Standards for Conversions'!$H$34:$H$73,MATCH(EY$3,'Standards for Conversions'!$A$34:$A$73,0)))=0,"",EZ40/(INDEX('Standards for Conversions'!$H$34:$H$73,MATCH(EY$3,'Standards for Conversions'!$A$34:$A$73,0))))</f>
        <v/>
      </c>
      <c r="FB40" s="10" t="s">
        <v>53</v>
      </c>
      <c r="FC40" s="7"/>
      <c r="FD40" s="7"/>
      <c r="FE40" s="31" t="str">
        <f>IF(FD40/(INDEX('Standards for Conversions'!$H$34:$H$73,MATCH(FC$3,'Standards for Conversions'!$A$34:$A$73,0)))=0,"",FD40/(INDEX('Standards for Conversions'!$H$34:$H$73,MATCH(FC$3,'Standards for Conversions'!$A$34:$A$73,0))))</f>
        <v/>
      </c>
      <c r="FF40" s="10" t="s">
        <v>53</v>
      </c>
      <c r="FG40" s="7"/>
      <c r="FH40" s="7"/>
      <c r="FI40" s="31" t="str">
        <f>IF(FH40/(INDEX('Standards for Conversions'!$H$34:$H$73,MATCH(FG$3,'Standards for Conversions'!$A$34:$A$73,0)))=0,"",FH40/(INDEX('Standards for Conversions'!$H$34:$H$73,MATCH(FG$3,'Standards for Conversions'!$A$34:$A$73,0))))</f>
        <v/>
      </c>
      <c r="FJ40" s="10" t="s">
        <v>53</v>
      </c>
      <c r="FK40" s="7"/>
      <c r="FL40" s="7"/>
      <c r="FM40" s="31" t="str">
        <f>IF(FL40/(INDEX('Standards for Conversions'!$H$34:$H$73,MATCH(FK$3,'Standards for Conversions'!$A$34:$A$73,0)))=0,"",FL40/(INDEX('Standards for Conversions'!$H$34:$H$73,MATCH(FK$3,'Standards for Conversions'!$A$34:$A$73,0))))</f>
        <v/>
      </c>
      <c r="FN40" s="10" t="s">
        <v>53</v>
      </c>
      <c r="FO40" s="9"/>
      <c r="FP40" s="9"/>
      <c r="FQ40" s="31" t="str">
        <f>IF(FP40/(INDEX('Standards for Conversions'!$H$34:$H$73,MATCH(FO$3,'Standards for Conversions'!$A$34:$A$73,0)))=0,"",FP40/(INDEX('Standards for Conversions'!$H$34:$H$73,MATCH(FO$3,'Standards for Conversions'!$A$34:$A$73,0))))</f>
        <v/>
      </c>
      <c r="FR40" s="10" t="s">
        <v>53</v>
      </c>
      <c r="FS40" s="7"/>
      <c r="FT40" s="7"/>
      <c r="FU40" s="31" t="str">
        <f>IF(FT40/(INDEX('Standards for Conversions'!$H$34:$H$73,MATCH(FS$3,'Standards for Conversions'!$A$34:$A$73,0)))=0,"",FT40/(INDEX('Standards for Conversions'!$H$34:$H$73,MATCH(FS$3,'Standards for Conversions'!$A$34:$A$73,0))))</f>
        <v/>
      </c>
      <c r="FV40" s="10" t="s">
        <v>53</v>
      </c>
      <c r="FW40" s="7"/>
      <c r="FX40" s="7"/>
      <c r="FY40" s="31" t="str">
        <f>IF(FX40/(INDEX('Standards for Conversions'!$H$34:$H$73,MATCH(FW$3,'Standards for Conversions'!$A$34:$A$73,0)))=0,"",FX40/(INDEX('Standards for Conversions'!$H$34:$H$73,MATCH(FW$3,'Standards for Conversions'!$A$34:$A$73,0))))</f>
        <v/>
      </c>
      <c r="FZ40" s="10" t="s">
        <v>53</v>
      </c>
      <c r="GA40" s="7"/>
      <c r="GB40" s="7"/>
      <c r="GC40" s="31" t="str">
        <f>IF(GB40/(INDEX('Standards for Conversions'!$H$34:$H$73,MATCH(GA$3,'Standards for Conversions'!$A$34:$A$73,0)))=0,"",GB40/(INDEX('Standards for Conversions'!$H$34:$H$73,MATCH(GA$3,'Standards for Conversions'!$A$34:$A$73,0))))</f>
        <v/>
      </c>
      <c r="GD40" s="10" t="s">
        <v>53</v>
      </c>
      <c r="GE40" s="9"/>
      <c r="GF40" s="9"/>
      <c r="GG40" s="31" t="str">
        <f>IF(GF40/(INDEX('Standards for Conversions'!$H$34:$H$73,MATCH(GE$3,'Standards for Conversions'!$A$34:$A$73,0)))=0,"",GF40/(INDEX('Standards for Conversions'!$H$34:$H$73,MATCH(GE$3,'Standards for Conversions'!$A$34:$A$73,0))))</f>
        <v/>
      </c>
      <c r="GH40" s="10" t="s">
        <v>53</v>
      </c>
      <c r="GI40" s="7"/>
      <c r="GJ40" s="7"/>
      <c r="GK40" s="31" t="str">
        <f>IF(GJ40/(INDEX('Standards for Conversions'!$H$34:$H$73,MATCH(GI$3,'Standards for Conversions'!$A$34:$A$73,0)))=0,"",GJ40/(INDEX('Standards for Conversions'!$H$34:$H$73,MATCH(GI$3,'Standards for Conversions'!$A$34:$A$73,0))))</f>
        <v/>
      </c>
      <c r="GL40" s="10" t="s">
        <v>53</v>
      </c>
      <c r="GM40" s="7"/>
      <c r="GN40" s="7"/>
      <c r="GO40" s="31" t="str">
        <f>IF(GN40/(INDEX('Standards for Conversions'!$H$34:$H$73,MATCH(GM$3,'Standards for Conversions'!$A$34:$A$73,0)))=0,"",GN40/(INDEX('Standards for Conversions'!$H$34:$H$73,MATCH(GM$3,'Standards for Conversions'!$A$34:$A$73,0))))</f>
        <v/>
      </c>
      <c r="GP40" s="10" t="s">
        <v>53</v>
      </c>
      <c r="GQ40" s="7"/>
      <c r="GR40" s="7"/>
      <c r="GS40" s="31" t="str">
        <f>IF(GR40/(INDEX('Standards for Conversions'!$H$34:$H$73,MATCH(GQ$3,'Standards for Conversions'!$A$34:$A$73,0)))=0,"",GR40/(INDEX('Standards for Conversions'!$H$34:$H$73,MATCH(GQ$3,'Standards for Conversions'!$A$34:$A$73,0))))</f>
        <v/>
      </c>
      <c r="GT40" s="10" t="s">
        <v>53</v>
      </c>
      <c r="GU40" s="9"/>
      <c r="GV40" s="9"/>
      <c r="GW40" s="31" t="str">
        <f>IF(GV40/(INDEX('Standards for Conversions'!$H$34:$H$73,MATCH(GU$3,'Standards for Conversions'!$A$34:$A$73,0)))=0,"",GV40/(INDEX('Standards for Conversions'!$H$34:$H$73,MATCH(GU$3,'Standards for Conversions'!$A$34:$A$73,0))))</f>
        <v/>
      </c>
      <c r="GX40" s="10" t="s">
        <v>53</v>
      </c>
      <c r="GY40" s="7"/>
      <c r="GZ40" s="7"/>
      <c r="HA40" s="31" t="str">
        <f>IF(GZ40/(INDEX('Standards for Conversions'!$H$34:$H$73,MATCH(GY$3,'Standards for Conversions'!$A$34:$A$73,0)))=0,"",GZ40/(INDEX('Standards for Conversions'!$H$34:$H$73,MATCH(GY$3,'Standards for Conversions'!$A$34:$A$73,0))))</f>
        <v/>
      </c>
      <c r="HB40" s="10" t="s">
        <v>53</v>
      </c>
      <c r="HC40" s="7"/>
      <c r="HD40" s="7"/>
      <c r="HE40" s="31" t="str">
        <f>IF(HD40/(INDEX('Standards for Conversions'!$H$34:$H$73,MATCH(HC$3,'Standards for Conversions'!$A$34:$A$73,0)))=0,"",HD40/(INDEX('Standards for Conversions'!$H$34:$H$73,MATCH(HC$3,'Standards for Conversions'!$A$34:$A$73,0))))</f>
        <v/>
      </c>
      <c r="HF40" s="10" t="s">
        <v>53</v>
      </c>
      <c r="HG40" s="7"/>
      <c r="HH40" s="7"/>
      <c r="HI40" s="31" t="str">
        <f>IF(HH40/(INDEX('Standards for Conversions'!$H$34:$H$73,MATCH(HG$3,'Standards for Conversions'!$A$34:$A$73,0)))=0,"",HH40/(INDEX('Standards for Conversions'!$H$34:$H$73,MATCH(HG$3,'Standards for Conversions'!$A$34:$A$73,0))))</f>
        <v/>
      </c>
      <c r="HJ40" s="10" t="s">
        <v>53</v>
      </c>
      <c r="HK40" s="9"/>
      <c r="HL40" s="9"/>
      <c r="HM40" s="31" t="str">
        <f>IF(HL40/(INDEX('Standards for Conversions'!$H$34:$H$73,MATCH(HK$3,'Standards for Conversions'!$A$34:$A$73,0)))=0,"",HL40/(INDEX('Standards for Conversions'!$H$34:$H$73,MATCH(HK$3,'Standards for Conversions'!$A$34:$A$73,0))))</f>
        <v/>
      </c>
      <c r="HN40" s="10" t="s">
        <v>53</v>
      </c>
      <c r="HO40" s="7"/>
      <c r="HP40" s="7"/>
      <c r="HQ40" s="31" t="str">
        <f>IF(HP40/(INDEX('Standards for Conversions'!$H$34:$H$73,MATCH(HO$3,'Standards for Conversions'!$A$34:$A$73,0)))=0,"",HP40/(INDEX('Standards for Conversions'!$H$34:$H$73,MATCH(HO$3,'Standards for Conversions'!$A$34:$A$73,0))))</f>
        <v/>
      </c>
      <c r="HR40" s="33" t="s">
        <v>53</v>
      </c>
      <c r="HU40" s="31" t="str">
        <f>IF(HT40/(INDEX('Standards for Conversions'!$H$47:$H$73,MATCH(HS$3,'Standards for Conversions'!$A$47:$A$73,0)))=0,"",HT40/(INDEX('Standards for Conversions'!$H$47:$H$73,MATCH(HS$3,'Standards for Conversions'!$A$47:$A$73,0))))</f>
        <v/>
      </c>
      <c r="HV40" s="33" t="s">
        <v>53</v>
      </c>
      <c r="HY40" s="31" t="str">
        <f>IF(HX40/(INDEX('Standards for Conversions'!$H$47:$H$73,MATCH(HW$3,'Standards for Conversions'!$A$47:$A$73,0)))=0,"",HX40/(INDEX('Standards for Conversions'!$H$47:$H$73,MATCH(HW$3,'Standards for Conversions'!$A$47:$A$73,0))))</f>
        <v/>
      </c>
      <c r="HZ40" s="33">
        <v>2500</v>
      </c>
      <c r="IA40" s="33">
        <v>3700</v>
      </c>
      <c r="IB40" s="31">
        <f>IF(IA40/(INDEX('Standards for Conversions'!$H$47:$H$73,MATCH(HZ$3,'Standards for Conversions'!$A$47:$A$73,0)))=0,"",IA40/(INDEX('Standards for Conversions'!$H$47:$H$73,MATCH(HZ$3,'Standards for Conversions'!$A$47:$A$73,0))))</f>
        <v>537.40802518756709</v>
      </c>
      <c r="IC40" s="33" t="s">
        <v>53</v>
      </c>
      <c r="IF40" s="31" t="str">
        <f>IF(IE40/(INDEX('Standards for Conversions'!$H$47:$H$73,MATCH(ID$3,'Standards for Conversions'!$A$47:$A$73,0)))=0,"",IE40/(INDEX('Standards for Conversions'!$H$47:$H$73,MATCH(ID$3,'Standards for Conversions'!$A$47:$A$73,0))))</f>
        <v/>
      </c>
      <c r="IG40" s="33" t="s">
        <v>53</v>
      </c>
      <c r="IJ40" s="31" t="str">
        <f>IF(II40/(INDEX('Standards for Conversions'!$H$47:$H$73,MATCH(IH$3,'Standards for Conversions'!$A$47:$A$73,0)))=0,"",II40/(INDEX('Standards for Conversions'!$H$47:$H$73,MATCH(IH$3,'Standards for Conversions'!$A$47:$A$73,0))))</f>
        <v/>
      </c>
      <c r="IK40" s="33" t="s">
        <v>53</v>
      </c>
      <c r="IN40" s="31" t="str">
        <f>IF(IM40/(INDEX('Standards for Conversions'!$H$47:$H$73,MATCH(IL$3,'Standards for Conversions'!$A$47:$A$73,0)))=0,"",IM40/(INDEX('Standards for Conversions'!$H$47:$H$73,MATCH(IL$3,'Standards for Conversions'!$A$47:$A$73,0))))</f>
        <v/>
      </c>
      <c r="IO40" s="33" t="s">
        <v>53</v>
      </c>
      <c r="IP40" s="29">
        <v>2000</v>
      </c>
      <c r="IQ40" s="29">
        <v>3000</v>
      </c>
      <c r="IR40" s="31">
        <f>IF(IQ40/(INDEX('Standards for Conversions'!$H$47:$H$73,MATCH(IP$3,'Standards for Conversions'!$A$47:$A$73,0)))=0,"",IQ40/(INDEX('Standards for Conversions'!$H$47:$H$73,MATCH(IP$3,'Standards for Conversions'!$A$47:$A$73,0))))</f>
        <v>433.83068458329711</v>
      </c>
      <c r="IS40" s="33" t="s">
        <v>53</v>
      </c>
      <c r="IV40" s="31" t="str">
        <f>IF(IU40/(INDEX('Standards for Conversions'!$H$47:$H$73,MATCH(IT$3,'Standards for Conversions'!$A$47:$A$73,0)))=0,"",IU40/(INDEX('Standards for Conversions'!$H$47:$H$73,MATCH(IT$3,'Standards for Conversions'!$A$47:$A$73,0))))</f>
        <v/>
      </c>
      <c r="IW40" s="33" t="s">
        <v>53</v>
      </c>
      <c r="IZ40" s="31" t="str">
        <f>IF(IY40/(INDEX('Standards for Conversions'!$H$47:$H$73,MATCH(IX$3,'Standards for Conversions'!$A$47:$A$73,0)))=0,"",IY40/(INDEX('Standards for Conversions'!$H$47:$H$73,MATCH(IX$3,'Standards for Conversions'!$A$47:$A$73,0))))</f>
        <v/>
      </c>
      <c r="JA40" s="48" t="s">
        <v>53</v>
      </c>
      <c r="JD40" s="31" t="str">
        <f>IF(JC40/(INDEX('Standards for Conversions'!$H$47:$H$73,MATCH(JB$3,'Standards for Conversions'!$A$47:$A$73,0)))=0,"",JC40/(INDEX('Standards for Conversions'!$H$47:$H$73,MATCH(JB$3,'Standards for Conversions'!$A$47:$A$73,0))))</f>
        <v/>
      </c>
      <c r="JE40" s="48" t="s">
        <v>53</v>
      </c>
      <c r="JF40" s="29">
        <v>3000</v>
      </c>
      <c r="JG40" s="29">
        <v>4500</v>
      </c>
      <c r="JH40" s="31">
        <f>IF(JG40/(INDEX('Standards for Conversions'!$H$47:$H$73,MATCH(JF$3,'Standards for Conversions'!$A$47:$A$73,0)))=0,"",JG40/(INDEX('Standards for Conversions'!$H$47:$H$73,MATCH(JF$3,'Standards for Conversions'!$A$47:$A$73,0))))</f>
        <v>727.9208851134091</v>
      </c>
      <c r="JI40" s="33"/>
      <c r="JL40" s="31" t="str">
        <f>IF(JK40/(INDEX('Standards for Conversions'!$H$47:$H$73,MATCH(JJ$3,'Standards for Conversions'!$A$47:$A$73,0)))=0,"",JK40/(INDEX('Standards for Conversions'!$H$47:$H$73,MATCH(JJ$3,'Standards for Conversions'!$A$47:$A$73,0))))</f>
        <v/>
      </c>
      <c r="JM40" s="33" t="s">
        <v>53</v>
      </c>
      <c r="JP40" s="31" t="str">
        <f>IF(JO40/(INDEX('Standards for Conversions'!$H$47:$H$73,MATCH(JN$3,'Standards for Conversions'!$A$47:$A$73,0)))=0,"",JO40/(INDEX('Standards for Conversions'!$H$47:$H$73,MATCH(JN$3,'Standards for Conversions'!$A$47:$A$73,0))))</f>
        <v/>
      </c>
      <c r="JQ40" s="33" t="s">
        <v>53</v>
      </c>
      <c r="JT40" s="31" t="str">
        <f>IF(JS40/(INDEX('Standards for Conversions'!$H$47:$H$73,MATCH(JR$3,'Standards for Conversions'!$A$47:$A$73,0)))=0,"",JS40/(INDEX('Standards for Conversions'!$H$47:$H$73,MATCH(JR$3,'Standards for Conversions'!$A$47:$A$73,0))))</f>
        <v/>
      </c>
      <c r="JU40" s="33" t="s">
        <v>53</v>
      </c>
      <c r="JV40" s="29">
        <v>2500</v>
      </c>
      <c r="JW40" s="29">
        <v>4000</v>
      </c>
      <c r="JX40" s="31">
        <f>IF(JW40/(INDEX('Standards for Conversions'!$H$47:$H$73,MATCH(JV$3,'Standards for Conversions'!$A$47:$A$73,0)))=0,"",JW40/(INDEX('Standards for Conversions'!$H$47:$H$73,MATCH(JV$3,'Standards for Conversions'!$A$47:$A$73,0))))</f>
        <v>610.62356971119027</v>
      </c>
      <c r="JY40" s="33" t="s">
        <v>53</v>
      </c>
      <c r="KB40" s="31" t="str">
        <f>IF(KA40/(INDEX('Standards for Conversions'!$H$47:$H$73,MATCH(JZ$3,'Standards for Conversions'!$A$47:$A$73,0)))=0,"",KA40/(INDEX('Standards for Conversions'!$H$47:$H$73,MATCH(JZ$3,'Standards for Conversions'!$A$47:$A$73,0))))</f>
        <v/>
      </c>
      <c r="KC40" s="33" t="s">
        <v>53</v>
      </c>
      <c r="KF40" s="31" t="str">
        <f>IF(KE40/(INDEX('Standards for Conversions'!$H$47:$H$73,MATCH(KD$3,'Standards for Conversions'!$A$47:$A$73,0)))=0,"",KE40/(INDEX('Standards for Conversions'!$H$47:$H$73,MATCH(KD$3,'Standards for Conversions'!$A$47:$A$73,0))))</f>
        <v/>
      </c>
      <c r="KG40" s="33" t="s">
        <v>53</v>
      </c>
      <c r="KJ40" s="31" t="str">
        <f>IF(KI40/(INDEX('Standards for Conversions'!$H$47:$H$73,MATCH(KH$3,'Standards for Conversions'!$A$47:$A$73,0)))=0,"",KI40/(INDEX('Standards for Conversions'!$H$47:$H$73,MATCH(KH$3,'Standards for Conversions'!$A$47:$A$73,0))))</f>
        <v/>
      </c>
      <c r="KK40" s="33" t="s">
        <v>53</v>
      </c>
      <c r="KL40" s="29">
        <v>2000</v>
      </c>
      <c r="KM40" s="29">
        <v>3000</v>
      </c>
      <c r="KN40" s="31">
        <f>IF(KM40/(INDEX('Standards for Conversions'!$H$47:$H$73,MATCH(KL$3,'Standards for Conversions'!$A$47:$A$73,0)))=0,"",KM40/(INDEX('Standards for Conversions'!$H$47:$H$73,MATCH(KL$3,'Standards for Conversions'!$A$47:$A$73,0))))</f>
        <v>403.97703571738941</v>
      </c>
      <c r="KO40" s="33" t="s">
        <v>53</v>
      </c>
      <c r="KR40" s="31" t="str">
        <f>IF(KQ40/(INDEX('Standards for Conversions'!$H$47:$H$73,MATCH(KP$3,'Standards for Conversions'!$A$47:$A$73,0)))=0,"",KQ40/(INDEX('Standards for Conversions'!$H$47:$H$73,MATCH(KP$3,'Standards for Conversions'!$A$47:$A$73,0))))</f>
        <v/>
      </c>
      <c r="KS40" s="33" t="s">
        <v>53</v>
      </c>
      <c r="KV40" s="31" t="str">
        <f>IF(KU40/(INDEX('Standards for Conversions'!$H$47:$H$73,MATCH(KT$3,'Standards for Conversions'!$A$47:$A$73,0)))=0,"",KU40/(INDEX('Standards for Conversions'!$H$47:$H$73,MATCH(KT$3,'Standards for Conversions'!$A$47:$A$73,0))))</f>
        <v/>
      </c>
      <c r="KW40" s="48" t="s">
        <v>53</v>
      </c>
      <c r="KZ40" s="31" t="str">
        <f>IF(KY40/(INDEX('Standards for Conversions'!$H$47:$H$73,MATCH(KX$3,'Standards for Conversions'!$A$47:$A$73,0)))=0,"",KY40/(INDEX('Standards for Conversions'!$H$47:$H$73,MATCH(KX$3,'Standards for Conversions'!$A$47:$A$73,0))))</f>
        <v/>
      </c>
      <c r="LA40" s="48" t="s">
        <v>53</v>
      </c>
      <c r="LB40" s="29">
        <v>1500</v>
      </c>
      <c r="LC40" s="29">
        <v>2250</v>
      </c>
      <c r="LD40" s="31">
        <f>IF(LC40/(INDEX('Standards for Conversions'!$H$47:$H$73,MATCH(LB$3,'Standards for Conversions'!$A$47:$A$73,0)))=0,"",LC40/(INDEX('Standards for Conversions'!$H$47:$H$73,MATCH(LB$3,'Standards for Conversions'!$A$47:$A$73,0))))</f>
        <v>273.63727513687314</v>
      </c>
      <c r="LE40" s="33"/>
      <c r="LH40" s="31" t="str">
        <f>IF(LG40/(INDEX('Standards for Conversions'!$H$47:$H$73,MATCH(LF$3,'Standards for Conversions'!$A$47:$A$73,0)))=0,"",LG40/(INDEX('Standards for Conversions'!$H$47:$H$73,MATCH(LF$3,'Standards for Conversions'!$A$47:$A$73,0))))</f>
        <v/>
      </c>
      <c r="LL40" s="31" t="str">
        <f>IF(LK40/(INDEX('Standards for Conversions'!$H$47:$H$73,MATCH(LJ$3,'Standards for Conversions'!$A$47:$A$73,0)))=0,"",LK40/(INDEX('Standards for Conversions'!$H$47:$H$73,MATCH(LJ$3,'Standards for Conversions'!$A$47:$A$73,0))))</f>
        <v/>
      </c>
      <c r="LO40" s="31" t="str">
        <f>IF(LN40/(INDEX('Standards for Conversions'!$H$47:$H$73,MATCH(LM$3,'Standards for Conversions'!$A$47:$A$73,0)))=0,"",LN40/(INDEX('Standards for Conversions'!$H$47:$H$73,MATCH(LM$3,'Standards for Conversions'!$A$47:$A$73,0))))</f>
        <v/>
      </c>
      <c r="LR40" s="31" t="str">
        <f>IF(LQ40/(INDEX('Standards for Conversions'!$H$47:$H$73,MATCH(LP$3,'Standards for Conversions'!$A$47:$A$73,0)))=0,"",LQ40/(INDEX('Standards for Conversions'!$H$47:$H$73,MATCH(LP$3,'Standards for Conversions'!$A$47:$A$73,0))))</f>
        <v/>
      </c>
      <c r="LV40" s="31" t="str">
        <f>IF(LU40/(INDEX('Standards for Conversions'!$H$47:$H$73,MATCH(LT$3,'Standards for Conversions'!$A$47:$A$73,0)))=0,"",LU40/(INDEX('Standards for Conversions'!$H$47:$H$73,MATCH(LT$3,'Standards for Conversions'!$A$47:$A$73,0))))</f>
        <v/>
      </c>
      <c r="LY40" s="31" t="str">
        <f>IF(LX40/(INDEX('Standards for Conversions'!$H$47:$H$73,MATCH(LW$3,'Standards for Conversions'!$A$47:$A$73,0)))=0,"",LX40/(INDEX('Standards for Conversions'!$H$47:$H$73,MATCH(LW$3,'Standards for Conversions'!$A$47:$A$73,0))))</f>
        <v/>
      </c>
      <c r="MB40" s="31" t="str">
        <f>IF(MA40/(INDEX('Standards for Conversions'!$H$47:$H$73,MATCH(LZ$3,'Standards for Conversions'!$A$47:$A$73,0)))=0,"",MA40/(INDEX('Standards for Conversions'!$H$47:$H$73,MATCH(LZ$3,'Standards for Conversions'!$A$47:$A$73,0))))</f>
        <v/>
      </c>
      <c r="ME40" s="31" t="str">
        <f>IF(MD40/(INDEX('Standards for Conversions'!$H$47:$H$73,MATCH(MC$3,'Standards for Conversions'!$A$47:$A$73,0)))=0,"",MD40/(INDEX('Standards for Conversions'!$H$47:$H$73,MATCH(MC$3,'Standards for Conversions'!$A$47:$A$73,0))))</f>
        <v/>
      </c>
      <c r="MH40" s="31" t="str">
        <f>IF(MG40/(INDEX('Standards for Conversions'!$H$47:$H$73,MATCH(MF$3,'Standards for Conversions'!$A$47:$A$73,0)))=0,"",MG40/(INDEX('Standards for Conversions'!$H$47:$H$73,MATCH(MF$3,'Standards for Conversions'!$A$47:$A$73,0))))</f>
        <v/>
      </c>
      <c r="MK40" s="31" t="str">
        <f>IF(MJ40/(INDEX('Standards for Conversions'!$H$47:$H$73,MATCH(MI$3,'Standards for Conversions'!$A$47:$A$73,0)))=0,"",MJ40/(INDEX('Standards for Conversions'!$H$47:$H$73,MATCH(MI$3,'Standards for Conversions'!$A$47:$A$73,0))))</f>
        <v/>
      </c>
      <c r="MN40" s="31" t="str">
        <f>IF(MM40/(INDEX('Standards for Conversions'!$H$47:$H$73,MATCH(ML$3,'Standards for Conversions'!$A$47:$A$73,0)))=0,"",MM40/(INDEX('Standards for Conversions'!$H$47:$H$73,MATCH(ML$3,'Standards for Conversions'!$A$47:$A$73,0))))</f>
        <v/>
      </c>
      <c r="MR40" s="31" t="str">
        <f>IF(MQ40/(INDEX('Standards for Conversions'!$H$47:$H$73,MATCH(MP$3,'Standards for Conversions'!$A$47:$A$73,0)))=0,"",MQ40/(INDEX('Standards for Conversions'!$H$47:$H$73,MATCH(MP$3,'Standards for Conversions'!$A$47:$A$73,0))))</f>
        <v/>
      </c>
    </row>
    <row r="41" spans="1:356" hidden="1" x14ac:dyDescent="0.3">
      <c r="A41" s="103" t="s">
        <v>223</v>
      </c>
      <c r="B41" s="10" t="s">
        <v>38</v>
      </c>
      <c r="C41" s="7"/>
      <c r="D41" s="7"/>
      <c r="E41" s="31" t="str">
        <f>IF(D41/(INDEX('Standards for Conversions'!$H$34:$H$73,MATCH(C$3,'Standards for Conversions'!$A$34:$A$73,0)))=0,"",D41/(INDEX('Standards for Conversions'!$H$34:$H$73,MATCH(C$3,'Standards for Conversions'!$A$34:$A$73,0))))</f>
        <v/>
      </c>
      <c r="F41" s="10" t="s">
        <v>38</v>
      </c>
      <c r="G41" s="7"/>
      <c r="H41" s="7"/>
      <c r="I41" s="31" t="str">
        <f>IF(H41/(INDEX('Standards for Conversions'!$H$34:$H$73,MATCH(G$3,'Standards for Conversions'!$A$34:$A$73,0)))=0,"",H41/(INDEX('Standards for Conversions'!$H$34:$H$73,MATCH(G$3,'Standards for Conversions'!$A$34:$A$73,0))))</f>
        <v/>
      </c>
      <c r="J41" s="10" t="s">
        <v>38</v>
      </c>
      <c r="K41" s="9"/>
      <c r="L41" s="9"/>
      <c r="M41" s="31" t="str">
        <f>IF(L41/(INDEX('Standards for Conversions'!$H$34:$H$73,MATCH(K$3,'Standards for Conversions'!$A$34:$A$73,0)))=0,"",L41/(INDEX('Standards for Conversions'!$H$34:$H$73,MATCH(K$3,'Standards for Conversions'!$A$34:$A$73,0))))</f>
        <v/>
      </c>
      <c r="N41" s="10" t="s">
        <v>38</v>
      </c>
      <c r="O41" s="7"/>
      <c r="P41" s="7"/>
      <c r="Q41" s="31" t="str">
        <f>IF(P41/(INDEX('Standards for Conversions'!$H$34:$H$73,MATCH(O$3,'Standards for Conversions'!$A$34:$A$73,0)))=0,"",P41/(INDEX('Standards for Conversions'!$H$34:$H$73,MATCH(O$3,'Standards for Conversions'!$A$34:$A$73,0))))</f>
        <v/>
      </c>
      <c r="R41" s="10" t="s">
        <v>38</v>
      </c>
      <c r="S41" s="7"/>
      <c r="T41" s="7"/>
      <c r="U41" s="31" t="str">
        <f>IF(T41/(INDEX('Standards for Conversions'!$H$34:$H$73,MATCH(S$3,'Standards for Conversions'!$A$34:$A$73,0)))=0,"",T41/(INDEX('Standards for Conversions'!$H$34:$H$73,MATCH(S$3,'Standards for Conversions'!$A$34:$A$73,0))))</f>
        <v/>
      </c>
      <c r="V41" s="10" t="s">
        <v>38</v>
      </c>
      <c r="W41" s="7"/>
      <c r="X41" s="7"/>
      <c r="Y41" s="31" t="str">
        <f>IF(X41/(INDEX('Standards for Conversions'!$H$34:$H$73,MATCH(W$3,'Standards for Conversions'!$A$34:$A$73,0)))=0,"",X41/(INDEX('Standards for Conversions'!$H$34:$H$73,MATCH(W$3,'Standards for Conversions'!$A$34:$A$73,0))))</f>
        <v/>
      </c>
      <c r="Z41" s="10" t="s">
        <v>38</v>
      </c>
      <c r="AA41" s="9"/>
      <c r="AB41" s="9"/>
      <c r="AC41" s="31" t="str">
        <f>IF(AB41/(INDEX('Standards for Conversions'!$H$34:$H$73,MATCH(AA$3,'Standards for Conversions'!$A$34:$A$73,0)))=0,"",AB41/(INDEX('Standards for Conversions'!$H$34:$H$73,MATCH(AA$3,'Standards for Conversions'!$A$34:$A$73,0))))</f>
        <v/>
      </c>
      <c r="AD41" s="10" t="s">
        <v>38</v>
      </c>
      <c r="AE41" s="7"/>
      <c r="AF41" s="7"/>
      <c r="AG41" s="31" t="str">
        <f>IF(AF41/(INDEX('Standards for Conversions'!$H$34:$H$73,MATCH(AE$3,'Standards for Conversions'!$A$34:$A$73,0)))=0,"",AF41/(INDEX('Standards for Conversions'!$H$34:$H$73,MATCH(AE$3,'Standards for Conversions'!$A$34:$A$73,0))))</f>
        <v/>
      </c>
      <c r="AH41" s="10" t="s">
        <v>38</v>
      </c>
      <c r="AI41" s="7"/>
      <c r="AJ41" s="7"/>
      <c r="AK41" s="31" t="str">
        <f>IF(AJ41/(INDEX('Standards for Conversions'!$H$34:$H$73,MATCH(AI$3,'Standards for Conversions'!$A$34:$A$73,0)))=0,"",AJ41/(INDEX('Standards for Conversions'!$H$34:$H$73,MATCH(AI$3,'Standards for Conversions'!$A$34:$A$73,0))))</f>
        <v/>
      </c>
      <c r="AL41" s="10" t="s">
        <v>38</v>
      </c>
      <c r="AM41" s="7"/>
      <c r="AN41" s="7"/>
      <c r="AO41" s="31" t="str">
        <f>IF(AN41/(INDEX('Standards for Conversions'!$H$34:$H$73,MATCH(AM$3,'Standards for Conversions'!$A$34:$A$73,0)))=0,"",AN41/(INDEX('Standards for Conversions'!$H$34:$H$73,MATCH(AM$3,'Standards for Conversions'!$A$34:$A$73,0))))</f>
        <v/>
      </c>
      <c r="AP41" s="10" t="s">
        <v>38</v>
      </c>
      <c r="AQ41" s="9"/>
      <c r="AR41" s="9"/>
      <c r="AS41" s="31" t="str">
        <f>IF(AR41/(INDEX('Standards for Conversions'!$H$34:$H$73,MATCH(AQ$3,'Standards for Conversions'!$A$34:$A$73,0)))=0,"",AR41/(INDEX('Standards for Conversions'!$H$34:$H$73,MATCH(AQ$3,'Standards for Conversions'!$A$34:$A$73,0))))</f>
        <v/>
      </c>
      <c r="AT41" s="10" t="s">
        <v>38</v>
      </c>
      <c r="AU41" s="7"/>
      <c r="AV41" s="7"/>
      <c r="AW41" s="31" t="str">
        <f>IF(AV41/(INDEX('Standards for Conversions'!$H$34:$H$73,MATCH(AU$3,'Standards for Conversions'!$A$34:$A$73,0)))=0,"",AV41/(INDEX('Standards for Conversions'!$H$34:$H$73,MATCH(AU$3,'Standards for Conversions'!$A$34:$A$73,0))))</f>
        <v/>
      </c>
      <c r="AX41" s="10" t="s">
        <v>38</v>
      </c>
      <c r="AY41" s="7"/>
      <c r="AZ41" s="7"/>
      <c r="BA41" s="31" t="str">
        <f>IF(AZ41/(INDEX('Standards for Conversions'!$H$34:$H$73,MATCH(AY$3,'Standards for Conversions'!$A$34:$A$73,0)))=0,"",AZ41/(INDEX('Standards for Conversions'!$H$34:$H$73,MATCH(AY$3,'Standards for Conversions'!$A$34:$A$73,0))))</f>
        <v/>
      </c>
      <c r="BB41" s="10" t="s">
        <v>38</v>
      </c>
      <c r="BC41" s="7"/>
      <c r="BD41" s="7"/>
      <c r="BE41" s="31" t="str">
        <f>IF(BD41/(INDEX('Standards for Conversions'!$H$34:$H$73,MATCH(BC$3,'Standards for Conversions'!$A$34:$A$73,0)))=0,"",BD41/(INDEX('Standards for Conversions'!$H$34:$H$73,MATCH(BC$3,'Standards for Conversions'!$A$34:$A$73,0))))</f>
        <v/>
      </c>
      <c r="BF41" s="10" t="s">
        <v>38</v>
      </c>
      <c r="BG41" s="9"/>
      <c r="BH41" s="9"/>
      <c r="BI41" s="31" t="str">
        <f>IF(BH41/(INDEX('Standards for Conversions'!$H$34:$H$73,MATCH(BG$3,'Standards for Conversions'!$A$34:$A$73,0)))=0,"",BH41/(INDEX('Standards for Conversions'!$H$34:$H$73,MATCH(BG$3,'Standards for Conversions'!$A$34:$A$73,0))))</f>
        <v/>
      </c>
      <c r="BJ41" s="10" t="s">
        <v>38</v>
      </c>
      <c r="BK41" s="7"/>
      <c r="BL41" s="7"/>
      <c r="BM41" s="31" t="str">
        <f>IF(BL41/(INDEX('Standards for Conversions'!$H$34:$H$73,MATCH(BK$3,'Standards for Conversions'!$A$34:$A$73,0)))=0,"",BL41/(INDEX('Standards for Conversions'!$H$34:$H$73,MATCH(BK$3,'Standards for Conversions'!$A$34:$A$73,0))))</f>
        <v/>
      </c>
      <c r="BN41" s="10" t="s">
        <v>38</v>
      </c>
      <c r="BO41" s="7"/>
      <c r="BP41" s="7"/>
      <c r="BQ41" s="31" t="str">
        <f>IF(BP41/(INDEX('Standards for Conversions'!$H$34:$H$73,MATCH(BO$3,'Standards for Conversions'!$A$34:$A$73,0)))=0,"",BP41/(INDEX('Standards for Conversions'!$H$34:$H$73,MATCH(BO$3,'Standards for Conversions'!$A$34:$A$73,0))))</f>
        <v/>
      </c>
      <c r="BR41" s="10" t="s">
        <v>38</v>
      </c>
      <c r="BS41" s="7"/>
      <c r="BT41" s="7"/>
      <c r="BU41" s="31" t="str">
        <f>IF(BT41/(INDEX('Standards for Conversions'!$H$34:$H$73,MATCH(BS$3,'Standards for Conversions'!$A$34:$A$73,0)))=0,"",BT41/(INDEX('Standards for Conversions'!$H$34:$H$73,MATCH(BS$3,'Standards for Conversions'!$A$34:$A$73,0))))</f>
        <v/>
      </c>
      <c r="BV41" s="10" t="s">
        <v>38</v>
      </c>
      <c r="BW41" s="9"/>
      <c r="BX41" s="9"/>
      <c r="BY41" s="31" t="str">
        <f>IF(BX41/(INDEX('Standards for Conversions'!$H$34:$H$73,MATCH(BW$3,'Standards for Conversions'!$A$34:$A$73,0)))=0,"",BX41/(INDEX('Standards for Conversions'!$H$34:$H$73,MATCH(BW$3,'Standards for Conversions'!$A$34:$A$73,0))))</f>
        <v/>
      </c>
      <c r="BZ41" s="10" t="s">
        <v>38</v>
      </c>
      <c r="CA41" s="7"/>
      <c r="CB41" s="7"/>
      <c r="CC41" s="31" t="str">
        <f>IF(CB41/(INDEX('Standards for Conversions'!$H$34:$H$73,MATCH(CA$3,'Standards for Conversions'!$A$34:$A$73,0)))=0,"",CB41/(INDEX('Standards for Conversions'!$H$34:$H$73,MATCH(CA$3,'Standards for Conversions'!$A$34:$A$73,0))))</f>
        <v/>
      </c>
      <c r="CD41" s="10" t="s">
        <v>38</v>
      </c>
      <c r="CE41" s="7"/>
      <c r="CF41" s="7"/>
      <c r="CG41" s="31" t="str">
        <f>IF(CF41/(INDEX('Standards for Conversions'!$H$34:$H$73,MATCH(CE$3,'Standards for Conversions'!$A$34:$A$73,0)))=0,"",CF41/(INDEX('Standards for Conversions'!$H$34:$H$73,MATCH(CE$3,'Standards for Conversions'!$A$34:$A$73,0))))</f>
        <v/>
      </c>
      <c r="CH41" s="10" t="s">
        <v>38</v>
      </c>
      <c r="CI41" s="7"/>
      <c r="CJ41" s="7"/>
      <c r="CK41" s="31" t="str">
        <f>IF(CJ41/(INDEX('Standards for Conversions'!$H$34:$H$73,MATCH(CI$3,'Standards for Conversions'!$A$34:$A$73,0)))=0,"",CJ41/(INDEX('Standards for Conversions'!$H$34:$H$73,MATCH(CI$3,'Standards for Conversions'!$A$34:$A$73,0))))</f>
        <v/>
      </c>
      <c r="CL41" s="10" t="s">
        <v>38</v>
      </c>
      <c r="CM41" s="9"/>
      <c r="CN41" s="9"/>
      <c r="CO41" s="31" t="str">
        <f>IF(CN41/(INDEX('Standards for Conversions'!$H$34:$H$73,MATCH(CM$3,'Standards for Conversions'!$A$34:$A$73,0)))=0,"",CN41/(INDEX('Standards for Conversions'!$H$34:$H$73,MATCH(CM$3,'Standards for Conversions'!$A$34:$A$73,0))))</f>
        <v/>
      </c>
      <c r="CP41" s="10" t="s">
        <v>38</v>
      </c>
      <c r="CQ41" s="7"/>
      <c r="CR41" s="7"/>
      <c r="CS41" s="31" t="str">
        <f>IF(CR41/(INDEX('Standards for Conversions'!$H$34:$H$73,MATCH(CQ$3,'Standards for Conversions'!$A$34:$A$73,0)))=0,"",CR41/(INDEX('Standards for Conversions'!$H$34:$H$73,MATCH(CQ$3,'Standards for Conversions'!$A$34:$A$73,0))))</f>
        <v/>
      </c>
      <c r="CT41" s="10" t="s">
        <v>38</v>
      </c>
      <c r="CU41" s="7"/>
      <c r="CV41" s="7"/>
      <c r="CW41" s="31" t="str">
        <f>IF(CV41/(INDEX('Standards for Conversions'!$H$34:$H$73,MATCH(CU$3,'Standards for Conversions'!$A$34:$A$73,0)))=0,"",CV41/(INDEX('Standards for Conversions'!$H$34:$H$73,MATCH(CU$3,'Standards for Conversions'!$A$34:$A$73,0))))</f>
        <v/>
      </c>
      <c r="CX41" s="10" t="s">
        <v>38</v>
      </c>
      <c r="CY41" s="7"/>
      <c r="CZ41" s="7"/>
      <c r="DA41" s="31" t="str">
        <f>IF(CZ41/(INDEX('Standards for Conversions'!$H$34:$H$73,MATCH(CY$3,'Standards for Conversions'!$A$34:$A$73,0)))=0,"",CZ41/(INDEX('Standards for Conversions'!$H$34:$H$73,MATCH(CY$3,'Standards for Conversions'!$A$34:$A$73,0))))</f>
        <v/>
      </c>
      <c r="DB41" s="10" t="s">
        <v>38</v>
      </c>
      <c r="DC41" s="9"/>
      <c r="DD41" s="9"/>
      <c r="DE41" s="31" t="str">
        <f>IF(DD41/(INDEX('Standards for Conversions'!$H$34:$H$73,MATCH(DC$3,'Standards for Conversions'!$A$34:$A$73,0)))=0,"",DD41/(INDEX('Standards for Conversions'!$H$34:$H$73,MATCH(DC$3,'Standards for Conversions'!$A$34:$A$73,0))))</f>
        <v/>
      </c>
      <c r="DF41" s="10" t="s">
        <v>38</v>
      </c>
      <c r="DG41" s="7"/>
      <c r="DH41" s="7"/>
      <c r="DI41" s="31" t="str">
        <f>IF(DH41/(INDEX('Standards for Conversions'!$H$34:$H$73,MATCH(DG$3,'Standards for Conversions'!$A$34:$A$73,0)))=0,"",DH41/(INDEX('Standards for Conversions'!$H$34:$H$73,MATCH(DG$3,'Standards for Conversions'!$A$34:$A$73,0))))</f>
        <v/>
      </c>
      <c r="DJ41" s="10" t="s">
        <v>38</v>
      </c>
      <c r="DK41" s="7"/>
      <c r="DL41" s="7"/>
      <c r="DM41" s="31" t="str">
        <f>IF(DL41/(INDEX('Standards for Conversions'!$H$34:$H$73,MATCH(DK$3,'Standards for Conversions'!$A$34:$A$73,0)))=0,"",DL41/(INDEX('Standards for Conversions'!$H$34:$H$73,MATCH(DK$3,'Standards for Conversions'!$A$34:$A$73,0))))</f>
        <v/>
      </c>
      <c r="DN41" s="10" t="s">
        <v>38</v>
      </c>
      <c r="DO41" s="7"/>
      <c r="DP41" s="7"/>
      <c r="DQ41" s="31" t="str">
        <f>IF(DP41/(INDEX('Standards for Conversions'!$H$34:$H$73,MATCH(DO$3,'Standards for Conversions'!$A$34:$A$73,0)))=0,"",DP41/(INDEX('Standards for Conversions'!$H$34:$H$73,MATCH(DO$3,'Standards for Conversions'!$A$34:$A$73,0))))</f>
        <v/>
      </c>
      <c r="DR41" s="10" t="s">
        <v>38</v>
      </c>
      <c r="DS41" s="9"/>
      <c r="DT41" s="9"/>
      <c r="DU41" s="31" t="str">
        <f>IF(DT41/(INDEX('Standards for Conversions'!$H$34:$H$73,MATCH(DS$3,'Standards for Conversions'!$A$34:$A$73,0)))=0,"",DT41/(INDEX('Standards for Conversions'!$H$34:$H$73,MATCH(DS$3,'Standards for Conversions'!$A$34:$A$73,0))))</f>
        <v/>
      </c>
      <c r="DV41" s="10" t="s">
        <v>38</v>
      </c>
      <c r="DW41" s="7"/>
      <c r="DX41" s="7"/>
      <c r="DY41" s="31" t="str">
        <f>IF(DX41/(INDEX('Standards for Conversions'!$H$34:$H$73,MATCH(DW$3,'Standards for Conversions'!$A$34:$A$73,0)))=0,"",DX41/(INDEX('Standards for Conversions'!$H$34:$H$73,MATCH(DW$3,'Standards for Conversions'!$A$34:$A$73,0))))</f>
        <v/>
      </c>
      <c r="DZ41" s="10" t="s">
        <v>38</v>
      </c>
      <c r="EA41" s="7"/>
      <c r="EB41" s="7"/>
      <c r="EC41" s="31" t="str">
        <f>IF(EB41/(INDEX('Standards for Conversions'!$H$34:$H$73,MATCH(EA$3,'Standards for Conversions'!$A$34:$A$73,0)))=0,"",EB41/(INDEX('Standards for Conversions'!$H$34:$H$73,MATCH(EA$3,'Standards for Conversions'!$A$34:$A$73,0))))</f>
        <v/>
      </c>
      <c r="ED41" s="10" t="s">
        <v>38</v>
      </c>
      <c r="EE41" s="7"/>
      <c r="EF41" s="7"/>
      <c r="EG41" s="31" t="str">
        <f>IF(EF41/(INDEX('Standards for Conversions'!$H$34:$H$73,MATCH(EE$3,'Standards for Conversions'!$A$34:$A$73,0)))=0,"",EF41/(INDEX('Standards for Conversions'!$H$34:$H$73,MATCH(EE$3,'Standards for Conversions'!$A$34:$A$73,0))))</f>
        <v/>
      </c>
      <c r="EH41" s="10" t="s">
        <v>38</v>
      </c>
      <c r="EI41" s="9"/>
      <c r="EJ41" s="9"/>
      <c r="EK41" s="31" t="str">
        <f>IF(EJ41/(INDEX('Standards for Conversions'!$H$34:$H$73,MATCH(EI$3,'Standards for Conversions'!$A$34:$A$73,0)))=0,"",EJ41/(INDEX('Standards for Conversions'!$H$34:$H$73,MATCH(EI$3,'Standards for Conversions'!$A$34:$A$73,0))))</f>
        <v/>
      </c>
      <c r="EL41" s="10" t="s">
        <v>38</v>
      </c>
      <c r="EM41" s="7"/>
      <c r="EN41" s="7"/>
      <c r="EO41" s="31" t="str">
        <f>IF(EN41/(INDEX('Standards for Conversions'!$H$34:$H$73,MATCH(EM$3,'Standards for Conversions'!$A$34:$A$73,0)))=0,"",EN41/(INDEX('Standards for Conversions'!$H$34:$H$73,MATCH(EM$3,'Standards for Conversions'!$A$34:$A$73,0))))</f>
        <v/>
      </c>
      <c r="EP41" s="10" t="s">
        <v>38</v>
      </c>
      <c r="EQ41" s="7"/>
      <c r="ER41" s="7"/>
      <c r="ES41" s="31" t="str">
        <f>IF(ER41/(INDEX('Standards for Conversions'!$H$34:$H$73,MATCH(EQ$3,'Standards for Conversions'!$A$34:$A$73,0)))=0,"",ER41/(INDEX('Standards for Conversions'!$H$34:$H$73,MATCH(EQ$3,'Standards for Conversions'!$A$34:$A$73,0))))</f>
        <v/>
      </c>
      <c r="ET41" s="10" t="s">
        <v>38</v>
      </c>
      <c r="EU41" s="7"/>
      <c r="EV41" s="7"/>
      <c r="EW41" s="31" t="str">
        <f>IF(EV41/(INDEX('Standards for Conversions'!$H$34:$H$73,MATCH(EU$3,'Standards for Conversions'!$A$34:$A$73,0)))=0,"",EV41/(INDEX('Standards for Conversions'!$H$34:$H$73,MATCH(EU$3,'Standards for Conversions'!$A$34:$A$73,0))))</f>
        <v/>
      </c>
      <c r="EX41" s="10" t="s">
        <v>38</v>
      </c>
      <c r="EY41" s="9"/>
      <c r="EZ41" s="9"/>
      <c r="FA41" s="31" t="str">
        <f>IF(EZ41/(INDEX('Standards for Conversions'!$H$34:$H$73,MATCH(EY$3,'Standards for Conversions'!$A$34:$A$73,0)))=0,"",EZ41/(INDEX('Standards for Conversions'!$H$34:$H$73,MATCH(EY$3,'Standards for Conversions'!$A$34:$A$73,0))))</f>
        <v/>
      </c>
      <c r="FB41" s="10" t="s">
        <v>38</v>
      </c>
      <c r="FC41" s="7"/>
      <c r="FD41" s="7"/>
      <c r="FE41" s="31" t="str">
        <f>IF(FD41/(INDEX('Standards for Conversions'!$H$34:$H$73,MATCH(FC$3,'Standards for Conversions'!$A$34:$A$73,0)))=0,"",FD41/(INDEX('Standards for Conversions'!$H$34:$H$73,MATCH(FC$3,'Standards for Conversions'!$A$34:$A$73,0))))</f>
        <v/>
      </c>
      <c r="FF41" s="10" t="s">
        <v>38</v>
      </c>
      <c r="FG41" s="7"/>
      <c r="FH41" s="7"/>
      <c r="FI41" s="31" t="str">
        <f>IF(FH41/(INDEX('Standards for Conversions'!$H$34:$H$73,MATCH(FG$3,'Standards for Conversions'!$A$34:$A$73,0)))=0,"",FH41/(INDEX('Standards for Conversions'!$H$34:$H$73,MATCH(FG$3,'Standards for Conversions'!$A$34:$A$73,0))))</f>
        <v/>
      </c>
      <c r="FJ41" s="10" t="s">
        <v>38</v>
      </c>
      <c r="FK41" s="7"/>
      <c r="FL41" s="7"/>
      <c r="FM41" s="31" t="str">
        <f>IF(FL41/(INDEX('Standards for Conversions'!$H$34:$H$73,MATCH(FK$3,'Standards for Conversions'!$A$34:$A$73,0)))=0,"",FL41/(INDEX('Standards for Conversions'!$H$34:$H$73,MATCH(FK$3,'Standards for Conversions'!$A$34:$A$73,0))))</f>
        <v/>
      </c>
      <c r="FN41" s="10" t="s">
        <v>38</v>
      </c>
      <c r="FO41" s="9"/>
      <c r="FP41" s="9"/>
      <c r="FQ41" s="31" t="str">
        <f>IF(FP41/(INDEX('Standards for Conversions'!$H$34:$H$73,MATCH(FO$3,'Standards for Conversions'!$A$34:$A$73,0)))=0,"",FP41/(INDEX('Standards for Conversions'!$H$34:$H$73,MATCH(FO$3,'Standards for Conversions'!$A$34:$A$73,0))))</f>
        <v/>
      </c>
      <c r="FR41" s="10" t="s">
        <v>38</v>
      </c>
      <c r="FS41" s="7"/>
      <c r="FT41" s="7"/>
      <c r="FU41" s="31" t="str">
        <f>IF(FT41/(INDEX('Standards for Conversions'!$H$34:$H$73,MATCH(FS$3,'Standards for Conversions'!$A$34:$A$73,0)))=0,"",FT41/(INDEX('Standards for Conversions'!$H$34:$H$73,MATCH(FS$3,'Standards for Conversions'!$A$34:$A$73,0))))</f>
        <v/>
      </c>
      <c r="FV41" s="10" t="s">
        <v>38</v>
      </c>
      <c r="FW41" s="7"/>
      <c r="FX41" s="7"/>
      <c r="FY41" s="31" t="str">
        <f>IF(FX41/(INDEX('Standards for Conversions'!$H$34:$H$73,MATCH(FW$3,'Standards for Conversions'!$A$34:$A$73,0)))=0,"",FX41/(INDEX('Standards for Conversions'!$H$34:$H$73,MATCH(FW$3,'Standards for Conversions'!$A$34:$A$73,0))))</f>
        <v/>
      </c>
      <c r="FZ41" s="10" t="s">
        <v>38</v>
      </c>
      <c r="GA41" s="7"/>
      <c r="GB41" s="7"/>
      <c r="GC41" s="31" t="str">
        <f>IF(GB41/(INDEX('Standards for Conversions'!$H$34:$H$73,MATCH(GA$3,'Standards for Conversions'!$A$34:$A$73,0)))=0,"",GB41/(INDEX('Standards for Conversions'!$H$34:$H$73,MATCH(GA$3,'Standards for Conversions'!$A$34:$A$73,0))))</f>
        <v/>
      </c>
      <c r="GD41" s="10" t="s">
        <v>38</v>
      </c>
      <c r="GE41" s="9"/>
      <c r="GF41" s="9"/>
      <c r="GG41" s="31" t="str">
        <f>IF(GF41/(INDEX('Standards for Conversions'!$H$34:$H$73,MATCH(GE$3,'Standards for Conversions'!$A$34:$A$73,0)))=0,"",GF41/(INDEX('Standards for Conversions'!$H$34:$H$73,MATCH(GE$3,'Standards for Conversions'!$A$34:$A$73,0))))</f>
        <v/>
      </c>
      <c r="GH41" s="10" t="s">
        <v>38</v>
      </c>
      <c r="GI41" s="7"/>
      <c r="GJ41" s="7"/>
      <c r="GK41" s="31" t="str">
        <f>IF(GJ41/(INDEX('Standards for Conversions'!$H$34:$H$73,MATCH(GI$3,'Standards for Conversions'!$A$34:$A$73,0)))=0,"",GJ41/(INDEX('Standards for Conversions'!$H$34:$H$73,MATCH(GI$3,'Standards for Conversions'!$A$34:$A$73,0))))</f>
        <v/>
      </c>
      <c r="GL41" s="10" t="s">
        <v>38</v>
      </c>
      <c r="GM41" s="7"/>
      <c r="GN41" s="7"/>
      <c r="GO41" s="31" t="str">
        <f>IF(GN41/(INDEX('Standards for Conversions'!$H$34:$H$73,MATCH(GM$3,'Standards for Conversions'!$A$34:$A$73,0)))=0,"",GN41/(INDEX('Standards for Conversions'!$H$34:$H$73,MATCH(GM$3,'Standards for Conversions'!$A$34:$A$73,0))))</f>
        <v/>
      </c>
      <c r="GP41" s="10" t="s">
        <v>38</v>
      </c>
      <c r="GQ41" s="7"/>
      <c r="GR41" s="7"/>
      <c r="GS41" s="31" t="str">
        <f>IF(GR41/(INDEX('Standards for Conversions'!$H$34:$H$73,MATCH(GQ$3,'Standards for Conversions'!$A$34:$A$73,0)))=0,"",GR41/(INDEX('Standards for Conversions'!$H$34:$H$73,MATCH(GQ$3,'Standards for Conversions'!$A$34:$A$73,0))))</f>
        <v/>
      </c>
      <c r="GT41" s="10" t="s">
        <v>38</v>
      </c>
      <c r="GU41" s="9"/>
      <c r="GV41" s="9"/>
      <c r="GW41" s="31" t="str">
        <f>IF(GV41/(INDEX('Standards for Conversions'!$H$34:$H$73,MATCH(GU$3,'Standards for Conversions'!$A$34:$A$73,0)))=0,"",GV41/(INDEX('Standards for Conversions'!$H$34:$H$73,MATCH(GU$3,'Standards for Conversions'!$A$34:$A$73,0))))</f>
        <v/>
      </c>
      <c r="GX41" s="10" t="s">
        <v>38</v>
      </c>
      <c r="GY41" s="7"/>
      <c r="GZ41" s="7"/>
      <c r="HA41" s="31" t="str">
        <f>IF(GZ41/(INDEX('Standards for Conversions'!$H$34:$H$73,MATCH(GY$3,'Standards for Conversions'!$A$34:$A$73,0)))=0,"",GZ41/(INDEX('Standards for Conversions'!$H$34:$H$73,MATCH(GY$3,'Standards for Conversions'!$A$34:$A$73,0))))</f>
        <v/>
      </c>
      <c r="HB41" s="10" t="s">
        <v>38</v>
      </c>
      <c r="HC41" s="7"/>
      <c r="HD41" s="7"/>
      <c r="HE41" s="31" t="str">
        <f>IF(HD41/(INDEX('Standards for Conversions'!$H$34:$H$73,MATCH(HC$3,'Standards for Conversions'!$A$34:$A$73,0)))=0,"",HD41/(INDEX('Standards for Conversions'!$H$34:$H$73,MATCH(HC$3,'Standards for Conversions'!$A$34:$A$73,0))))</f>
        <v/>
      </c>
      <c r="HF41" s="10" t="s">
        <v>38</v>
      </c>
      <c r="HG41" s="7"/>
      <c r="HH41" s="7"/>
      <c r="HI41" s="31" t="str">
        <f>IF(HH41/(INDEX('Standards for Conversions'!$H$34:$H$73,MATCH(HG$3,'Standards for Conversions'!$A$34:$A$73,0)))=0,"",HH41/(INDEX('Standards for Conversions'!$H$34:$H$73,MATCH(HG$3,'Standards for Conversions'!$A$34:$A$73,0))))</f>
        <v/>
      </c>
      <c r="HJ41" s="10" t="s">
        <v>38</v>
      </c>
      <c r="HK41" s="9"/>
      <c r="HL41" s="9"/>
      <c r="HM41" s="31" t="str">
        <f>IF(HL41/(INDEX('Standards for Conversions'!$H$34:$H$73,MATCH(HK$3,'Standards for Conversions'!$A$34:$A$73,0)))=0,"",HL41/(INDEX('Standards for Conversions'!$H$34:$H$73,MATCH(HK$3,'Standards for Conversions'!$A$34:$A$73,0))))</f>
        <v/>
      </c>
      <c r="HN41" s="10" t="s">
        <v>38</v>
      </c>
      <c r="HO41" s="7"/>
      <c r="HP41" s="7"/>
      <c r="HQ41" s="31" t="str">
        <f>IF(HP41/(INDEX('Standards for Conversions'!$H$34:$H$73,MATCH(HO$3,'Standards for Conversions'!$A$34:$A$73,0)))=0,"",HP41/(INDEX('Standards for Conversions'!$H$34:$H$73,MATCH(HO$3,'Standards for Conversions'!$A$34:$A$73,0))))</f>
        <v/>
      </c>
      <c r="HR41" s="33" t="s">
        <v>38</v>
      </c>
      <c r="HU41" s="31" t="str">
        <f>IF(HT41/(INDEX('Standards for Conversions'!$H$47:$H$73,MATCH(HS$3,'Standards for Conversions'!$A$47:$A$73,0)))=0,"",HT41/(INDEX('Standards for Conversions'!$H$47:$H$73,MATCH(HS$3,'Standards for Conversions'!$A$47:$A$73,0))))</f>
        <v/>
      </c>
      <c r="HV41" s="33" t="s">
        <v>38</v>
      </c>
      <c r="HY41" s="31" t="str">
        <f>IF(HX41/(INDEX('Standards for Conversions'!$H$47:$H$73,MATCH(HW$3,'Standards for Conversions'!$A$47:$A$73,0)))=0,"",HX41/(INDEX('Standards for Conversions'!$H$47:$H$73,MATCH(HW$3,'Standards for Conversions'!$A$47:$A$73,0))))</f>
        <v/>
      </c>
      <c r="HZ41" s="33"/>
      <c r="IA41" s="33"/>
      <c r="IB41" s="31" t="str">
        <f>IF(IA41/(INDEX('Standards for Conversions'!$H$47:$H$73,MATCH(HZ$3,'Standards for Conversions'!$A$47:$A$73,0)))=0,"",IA41/(INDEX('Standards for Conversions'!$H$47:$H$73,MATCH(HZ$3,'Standards for Conversions'!$A$47:$A$73,0))))</f>
        <v/>
      </c>
      <c r="IC41" s="33" t="s">
        <v>38</v>
      </c>
      <c r="IF41" s="31" t="str">
        <f>IF(IE41/(INDEX('Standards for Conversions'!$H$47:$H$73,MATCH(ID$3,'Standards for Conversions'!$A$47:$A$73,0)))=0,"",IE41/(INDEX('Standards for Conversions'!$H$47:$H$73,MATCH(ID$3,'Standards for Conversions'!$A$47:$A$73,0))))</f>
        <v/>
      </c>
      <c r="IG41" s="33" t="s">
        <v>38</v>
      </c>
      <c r="IJ41" s="31" t="str">
        <f>IF(II41/(INDEX('Standards for Conversions'!$H$47:$H$73,MATCH(IH$3,'Standards for Conversions'!$A$47:$A$73,0)))=0,"",II41/(INDEX('Standards for Conversions'!$H$47:$H$73,MATCH(IH$3,'Standards for Conversions'!$A$47:$A$73,0))))</f>
        <v/>
      </c>
      <c r="IK41" s="33" t="s">
        <v>38</v>
      </c>
      <c r="IN41" s="31" t="str">
        <f>IF(IM41/(INDEX('Standards for Conversions'!$H$47:$H$73,MATCH(IL$3,'Standards for Conversions'!$A$47:$A$73,0)))=0,"",IM41/(INDEX('Standards for Conversions'!$H$47:$H$73,MATCH(IL$3,'Standards for Conversions'!$A$47:$A$73,0))))</f>
        <v/>
      </c>
      <c r="IO41" s="33" t="s">
        <v>38</v>
      </c>
      <c r="IR41" s="31" t="str">
        <f>IF(IQ41/(INDEX('Standards for Conversions'!$H$47:$H$73,MATCH(IP$3,'Standards for Conversions'!$A$47:$A$73,0)))=0,"",IQ41/(INDEX('Standards for Conversions'!$H$47:$H$73,MATCH(IP$3,'Standards for Conversions'!$A$47:$A$73,0))))</f>
        <v/>
      </c>
      <c r="IS41" s="33" t="s">
        <v>38</v>
      </c>
      <c r="IV41" s="31" t="str">
        <f>IF(IU41/(INDEX('Standards for Conversions'!$H$47:$H$73,MATCH(IT$3,'Standards for Conversions'!$A$47:$A$73,0)))=0,"",IU41/(INDEX('Standards for Conversions'!$H$47:$H$73,MATCH(IT$3,'Standards for Conversions'!$A$47:$A$73,0))))</f>
        <v/>
      </c>
      <c r="IW41" s="33" t="s">
        <v>38</v>
      </c>
      <c r="IZ41" s="31" t="str">
        <f>IF(IY41/(INDEX('Standards for Conversions'!$H$47:$H$73,MATCH(IX$3,'Standards for Conversions'!$A$47:$A$73,0)))=0,"",IY41/(INDEX('Standards for Conversions'!$H$47:$H$73,MATCH(IX$3,'Standards for Conversions'!$A$47:$A$73,0))))</f>
        <v/>
      </c>
      <c r="JA41" s="48" t="s">
        <v>38</v>
      </c>
      <c r="JD41" s="31" t="str">
        <f>IF(JC41/(INDEX('Standards for Conversions'!$H$47:$H$73,MATCH(JB$3,'Standards for Conversions'!$A$47:$A$73,0)))=0,"",JC41/(INDEX('Standards for Conversions'!$H$47:$H$73,MATCH(JB$3,'Standards for Conversions'!$A$47:$A$73,0))))</f>
        <v/>
      </c>
      <c r="JE41" s="48" t="s">
        <v>38</v>
      </c>
      <c r="JF41" s="29">
        <v>850</v>
      </c>
      <c r="JG41" s="29">
        <v>5100</v>
      </c>
      <c r="JH41" s="31">
        <f>IF(JG41/(INDEX('Standards for Conversions'!$H$47:$H$73,MATCH(JF$3,'Standards for Conversions'!$A$47:$A$73,0)))=0,"",JG41/(INDEX('Standards for Conversions'!$H$47:$H$73,MATCH(JF$3,'Standards for Conversions'!$A$47:$A$73,0))))</f>
        <v>824.97700312853033</v>
      </c>
      <c r="JI41" s="33"/>
      <c r="JL41" s="31" t="str">
        <f>IF(JK41/(INDEX('Standards for Conversions'!$H$47:$H$73,MATCH(JJ$3,'Standards for Conversions'!$A$47:$A$73,0)))=0,"",JK41/(INDEX('Standards for Conversions'!$H$47:$H$73,MATCH(JJ$3,'Standards for Conversions'!$A$47:$A$73,0))))</f>
        <v/>
      </c>
      <c r="JM41" s="33" t="s">
        <v>38</v>
      </c>
      <c r="JP41" s="31" t="str">
        <f>IF(JO41/(INDEX('Standards for Conversions'!$H$47:$H$73,MATCH(JN$3,'Standards for Conversions'!$A$47:$A$73,0)))=0,"",JO41/(INDEX('Standards for Conversions'!$H$47:$H$73,MATCH(JN$3,'Standards for Conversions'!$A$47:$A$73,0))))</f>
        <v/>
      </c>
      <c r="JQ41" s="33" t="s">
        <v>38</v>
      </c>
      <c r="JT41" s="31" t="str">
        <f>IF(JS41/(INDEX('Standards for Conversions'!$H$47:$H$73,MATCH(JR$3,'Standards for Conversions'!$A$47:$A$73,0)))=0,"",JS41/(INDEX('Standards for Conversions'!$H$47:$H$73,MATCH(JR$3,'Standards for Conversions'!$A$47:$A$73,0))))</f>
        <v/>
      </c>
      <c r="JU41" s="33" t="s">
        <v>38</v>
      </c>
      <c r="JX41" s="31" t="str">
        <f>IF(JW41/(INDEX('Standards for Conversions'!$H$47:$H$73,MATCH(JV$3,'Standards for Conversions'!$A$47:$A$73,0)))=0,"",JW41/(INDEX('Standards for Conversions'!$H$47:$H$73,MATCH(JV$3,'Standards for Conversions'!$A$47:$A$73,0))))</f>
        <v/>
      </c>
      <c r="JY41" s="33" t="s">
        <v>38</v>
      </c>
      <c r="KB41" s="31" t="str">
        <f>IF(KA41/(INDEX('Standards for Conversions'!$H$47:$H$73,MATCH(JZ$3,'Standards for Conversions'!$A$47:$A$73,0)))=0,"",KA41/(INDEX('Standards for Conversions'!$H$47:$H$73,MATCH(JZ$3,'Standards for Conversions'!$A$47:$A$73,0))))</f>
        <v/>
      </c>
      <c r="KC41" s="33" t="s">
        <v>38</v>
      </c>
      <c r="KF41" s="31" t="str">
        <f>IF(KE41/(INDEX('Standards for Conversions'!$H$47:$H$73,MATCH(KD$3,'Standards for Conversions'!$A$47:$A$73,0)))=0,"",KE41/(INDEX('Standards for Conversions'!$H$47:$H$73,MATCH(KD$3,'Standards for Conversions'!$A$47:$A$73,0))))</f>
        <v/>
      </c>
      <c r="KG41" s="33" t="s">
        <v>38</v>
      </c>
      <c r="KJ41" s="31" t="str">
        <f>IF(KI41/(INDEX('Standards for Conversions'!$H$47:$H$73,MATCH(KH$3,'Standards for Conversions'!$A$47:$A$73,0)))=0,"",KI41/(INDEX('Standards for Conversions'!$H$47:$H$73,MATCH(KH$3,'Standards for Conversions'!$A$47:$A$73,0))))</f>
        <v/>
      </c>
      <c r="KK41" s="33" t="s">
        <v>38</v>
      </c>
      <c r="KN41" s="31" t="str">
        <f>IF(KM41/(INDEX('Standards for Conversions'!$H$47:$H$73,MATCH(KL$3,'Standards for Conversions'!$A$47:$A$73,0)))=0,"",KM41/(INDEX('Standards for Conversions'!$H$47:$H$73,MATCH(KL$3,'Standards for Conversions'!$A$47:$A$73,0))))</f>
        <v/>
      </c>
      <c r="KO41" s="33" t="s">
        <v>38</v>
      </c>
      <c r="KR41" s="31" t="str">
        <f>IF(KQ41/(INDEX('Standards for Conversions'!$H$47:$H$73,MATCH(KP$3,'Standards for Conversions'!$A$47:$A$73,0)))=0,"",KQ41/(INDEX('Standards for Conversions'!$H$47:$H$73,MATCH(KP$3,'Standards for Conversions'!$A$47:$A$73,0))))</f>
        <v/>
      </c>
      <c r="KS41" s="33" t="s">
        <v>38</v>
      </c>
      <c r="KV41" s="31" t="str">
        <f>IF(KU41/(INDEX('Standards for Conversions'!$H$47:$H$73,MATCH(KT$3,'Standards for Conversions'!$A$47:$A$73,0)))=0,"",KU41/(INDEX('Standards for Conversions'!$H$47:$H$73,MATCH(KT$3,'Standards for Conversions'!$A$47:$A$73,0))))</f>
        <v/>
      </c>
      <c r="KW41" s="48" t="s">
        <v>38</v>
      </c>
      <c r="KZ41" s="31" t="str">
        <f>IF(KY41/(INDEX('Standards for Conversions'!$H$47:$H$73,MATCH(KX$3,'Standards for Conversions'!$A$47:$A$73,0)))=0,"",KY41/(INDEX('Standards for Conversions'!$H$47:$H$73,MATCH(KX$3,'Standards for Conversions'!$A$47:$A$73,0))))</f>
        <v/>
      </c>
      <c r="LA41" s="48" t="s">
        <v>38</v>
      </c>
      <c r="LD41" s="31" t="str">
        <f>IF(LC41/(INDEX('Standards for Conversions'!$H$47:$H$73,MATCH(LB$3,'Standards for Conversions'!$A$47:$A$73,0)))=0,"",LC41/(INDEX('Standards for Conversions'!$H$47:$H$73,MATCH(LB$3,'Standards for Conversions'!$A$47:$A$73,0))))</f>
        <v/>
      </c>
      <c r="LE41" s="33"/>
      <c r="LH41" s="31" t="str">
        <f>IF(LG41/(INDEX('Standards for Conversions'!$H$47:$H$73,MATCH(LF$3,'Standards for Conversions'!$A$47:$A$73,0)))=0,"",LG41/(INDEX('Standards for Conversions'!$H$47:$H$73,MATCH(LF$3,'Standards for Conversions'!$A$47:$A$73,0))))</f>
        <v/>
      </c>
      <c r="LL41" s="31" t="str">
        <f>IF(LK41/(INDEX('Standards for Conversions'!$H$47:$H$73,MATCH(LJ$3,'Standards for Conversions'!$A$47:$A$73,0)))=0,"",LK41/(INDEX('Standards for Conversions'!$H$47:$H$73,MATCH(LJ$3,'Standards for Conversions'!$A$47:$A$73,0))))</f>
        <v/>
      </c>
      <c r="LO41" s="31" t="str">
        <f>IF(LN41/(INDEX('Standards for Conversions'!$H$47:$H$73,MATCH(LM$3,'Standards for Conversions'!$A$47:$A$73,0)))=0,"",LN41/(INDEX('Standards for Conversions'!$H$47:$H$73,MATCH(LM$3,'Standards for Conversions'!$A$47:$A$73,0))))</f>
        <v/>
      </c>
      <c r="LR41" s="31" t="str">
        <f>IF(LQ41/(INDEX('Standards for Conversions'!$H$47:$H$73,MATCH(LP$3,'Standards for Conversions'!$A$47:$A$73,0)))=0,"",LQ41/(INDEX('Standards for Conversions'!$H$47:$H$73,MATCH(LP$3,'Standards for Conversions'!$A$47:$A$73,0))))</f>
        <v/>
      </c>
      <c r="LV41" s="31" t="str">
        <f>IF(LU41/(INDEX('Standards for Conversions'!$H$47:$H$73,MATCH(LT$3,'Standards for Conversions'!$A$47:$A$73,0)))=0,"",LU41/(INDEX('Standards for Conversions'!$H$47:$H$73,MATCH(LT$3,'Standards for Conversions'!$A$47:$A$73,0))))</f>
        <v/>
      </c>
      <c r="LY41" s="31" t="str">
        <f>IF(LX41/(INDEX('Standards for Conversions'!$H$47:$H$73,MATCH(LW$3,'Standards for Conversions'!$A$47:$A$73,0)))=0,"",LX41/(INDEX('Standards for Conversions'!$H$47:$H$73,MATCH(LW$3,'Standards for Conversions'!$A$47:$A$73,0))))</f>
        <v/>
      </c>
      <c r="MB41" s="31" t="str">
        <f>IF(MA41/(INDEX('Standards for Conversions'!$H$47:$H$73,MATCH(LZ$3,'Standards for Conversions'!$A$47:$A$73,0)))=0,"",MA41/(INDEX('Standards for Conversions'!$H$47:$H$73,MATCH(LZ$3,'Standards for Conversions'!$A$47:$A$73,0))))</f>
        <v/>
      </c>
      <c r="ME41" s="31" t="str">
        <f>IF(MD41/(INDEX('Standards for Conversions'!$H$47:$H$73,MATCH(MC$3,'Standards for Conversions'!$A$47:$A$73,0)))=0,"",MD41/(INDEX('Standards for Conversions'!$H$47:$H$73,MATCH(MC$3,'Standards for Conversions'!$A$47:$A$73,0))))</f>
        <v/>
      </c>
      <c r="MH41" s="31" t="str">
        <f>IF(MG41/(INDEX('Standards for Conversions'!$H$47:$H$73,MATCH(MF$3,'Standards for Conversions'!$A$47:$A$73,0)))=0,"",MG41/(INDEX('Standards for Conversions'!$H$47:$H$73,MATCH(MF$3,'Standards for Conversions'!$A$47:$A$73,0))))</f>
        <v/>
      </c>
      <c r="MK41" s="31" t="str">
        <f>IF(MJ41/(INDEX('Standards for Conversions'!$H$47:$H$73,MATCH(MI$3,'Standards for Conversions'!$A$47:$A$73,0)))=0,"",MJ41/(INDEX('Standards for Conversions'!$H$47:$H$73,MATCH(MI$3,'Standards for Conversions'!$A$47:$A$73,0))))</f>
        <v/>
      </c>
      <c r="MN41" s="31" t="str">
        <f>IF(MM41/(INDEX('Standards for Conversions'!$H$47:$H$73,MATCH(ML$3,'Standards for Conversions'!$A$47:$A$73,0)))=0,"",MM41/(INDEX('Standards for Conversions'!$H$47:$H$73,MATCH(ML$3,'Standards for Conversions'!$A$47:$A$73,0))))</f>
        <v/>
      </c>
      <c r="MR41" s="31" t="str">
        <f>IF(MQ41/(INDEX('Standards for Conversions'!$H$47:$H$73,MATCH(MP$3,'Standards for Conversions'!$A$47:$A$73,0)))=0,"",MQ41/(INDEX('Standards for Conversions'!$H$47:$H$73,MATCH(MP$3,'Standards for Conversions'!$A$47:$A$73,0))))</f>
        <v/>
      </c>
    </row>
    <row r="42" spans="1:356" hidden="1" x14ac:dyDescent="0.3">
      <c r="A42" s="103" t="s">
        <v>224</v>
      </c>
      <c r="B42" s="10" t="s">
        <v>59</v>
      </c>
      <c r="C42" s="7"/>
      <c r="D42" s="7"/>
      <c r="E42" s="31" t="str">
        <f>IF(D42/(INDEX('Standards for Conversions'!$H$34:$H$73,MATCH(C$3,'Standards for Conversions'!$A$34:$A$73,0)))=0,"",D42/(INDEX('Standards for Conversions'!$H$34:$H$73,MATCH(C$3,'Standards for Conversions'!$A$34:$A$73,0))))</f>
        <v/>
      </c>
      <c r="F42" s="10" t="s">
        <v>59</v>
      </c>
      <c r="G42" s="7"/>
      <c r="H42" s="7"/>
      <c r="I42" s="31" t="str">
        <f>IF(H42/(INDEX('Standards for Conversions'!$H$34:$H$73,MATCH(G$3,'Standards for Conversions'!$A$34:$A$73,0)))=0,"",H42/(INDEX('Standards for Conversions'!$H$34:$H$73,MATCH(G$3,'Standards for Conversions'!$A$34:$A$73,0))))</f>
        <v/>
      </c>
      <c r="J42" s="10" t="s">
        <v>59</v>
      </c>
      <c r="K42" s="9"/>
      <c r="L42" s="9"/>
      <c r="M42" s="31" t="str">
        <f>IF(L42/(INDEX('Standards for Conversions'!$H$34:$H$73,MATCH(K$3,'Standards for Conversions'!$A$34:$A$73,0)))=0,"",L42/(INDEX('Standards for Conversions'!$H$34:$H$73,MATCH(K$3,'Standards for Conversions'!$A$34:$A$73,0))))</f>
        <v/>
      </c>
      <c r="N42" s="10" t="s">
        <v>59</v>
      </c>
      <c r="O42" s="7"/>
      <c r="P42" s="7"/>
      <c r="Q42" s="31" t="str">
        <f>IF(P42/(INDEX('Standards for Conversions'!$H$34:$H$73,MATCH(O$3,'Standards for Conversions'!$A$34:$A$73,0)))=0,"",P42/(INDEX('Standards for Conversions'!$H$34:$H$73,MATCH(O$3,'Standards for Conversions'!$A$34:$A$73,0))))</f>
        <v/>
      </c>
      <c r="R42" s="10" t="s">
        <v>59</v>
      </c>
      <c r="S42" s="7"/>
      <c r="T42" s="7"/>
      <c r="U42" s="31" t="str">
        <f>IF(T42/(INDEX('Standards for Conversions'!$H$34:$H$73,MATCH(S$3,'Standards for Conversions'!$A$34:$A$73,0)))=0,"",T42/(INDEX('Standards for Conversions'!$H$34:$H$73,MATCH(S$3,'Standards for Conversions'!$A$34:$A$73,0))))</f>
        <v/>
      </c>
      <c r="V42" s="10" t="s">
        <v>59</v>
      </c>
      <c r="W42" s="7"/>
      <c r="X42" s="7"/>
      <c r="Y42" s="31" t="str">
        <f>IF(X42/(INDEX('Standards for Conversions'!$H$34:$H$73,MATCH(W$3,'Standards for Conversions'!$A$34:$A$73,0)))=0,"",X42/(INDEX('Standards for Conversions'!$H$34:$H$73,MATCH(W$3,'Standards for Conversions'!$A$34:$A$73,0))))</f>
        <v/>
      </c>
      <c r="Z42" s="10" t="s">
        <v>59</v>
      </c>
      <c r="AA42" s="9"/>
      <c r="AB42" s="9"/>
      <c r="AC42" s="31" t="str">
        <f>IF(AB42/(INDEX('Standards for Conversions'!$H$34:$H$73,MATCH(AA$3,'Standards for Conversions'!$A$34:$A$73,0)))=0,"",AB42/(INDEX('Standards for Conversions'!$H$34:$H$73,MATCH(AA$3,'Standards for Conversions'!$A$34:$A$73,0))))</f>
        <v/>
      </c>
      <c r="AD42" s="10" t="s">
        <v>59</v>
      </c>
      <c r="AE42" s="7"/>
      <c r="AF42" s="7"/>
      <c r="AG42" s="31" t="str">
        <f>IF(AF42/(INDEX('Standards for Conversions'!$H$34:$H$73,MATCH(AE$3,'Standards for Conversions'!$A$34:$A$73,0)))=0,"",AF42/(INDEX('Standards for Conversions'!$H$34:$H$73,MATCH(AE$3,'Standards for Conversions'!$A$34:$A$73,0))))</f>
        <v/>
      </c>
      <c r="AH42" s="10" t="s">
        <v>59</v>
      </c>
      <c r="AI42" s="7"/>
      <c r="AJ42" s="7"/>
      <c r="AK42" s="31" t="str">
        <f>IF(AJ42/(INDEX('Standards for Conversions'!$H$34:$H$73,MATCH(AI$3,'Standards for Conversions'!$A$34:$A$73,0)))=0,"",AJ42/(INDEX('Standards for Conversions'!$H$34:$H$73,MATCH(AI$3,'Standards for Conversions'!$A$34:$A$73,0))))</f>
        <v/>
      </c>
      <c r="AL42" s="10" t="s">
        <v>59</v>
      </c>
      <c r="AM42" s="7"/>
      <c r="AN42" s="7"/>
      <c r="AO42" s="31" t="str">
        <f>IF(AN42/(INDEX('Standards for Conversions'!$H$34:$H$73,MATCH(AM$3,'Standards for Conversions'!$A$34:$A$73,0)))=0,"",AN42/(INDEX('Standards for Conversions'!$H$34:$H$73,MATCH(AM$3,'Standards for Conversions'!$A$34:$A$73,0))))</f>
        <v/>
      </c>
      <c r="AP42" s="10" t="s">
        <v>59</v>
      </c>
      <c r="AQ42" s="9"/>
      <c r="AR42" s="9"/>
      <c r="AS42" s="31" t="str">
        <f>IF(AR42/(INDEX('Standards for Conversions'!$H$34:$H$73,MATCH(AQ$3,'Standards for Conversions'!$A$34:$A$73,0)))=0,"",AR42/(INDEX('Standards for Conversions'!$H$34:$H$73,MATCH(AQ$3,'Standards for Conversions'!$A$34:$A$73,0))))</f>
        <v/>
      </c>
      <c r="AT42" s="10" t="s">
        <v>59</v>
      </c>
      <c r="AU42" s="7"/>
      <c r="AV42" s="7"/>
      <c r="AW42" s="31" t="str">
        <f>IF(AV42/(INDEX('Standards for Conversions'!$H$34:$H$73,MATCH(AU$3,'Standards for Conversions'!$A$34:$A$73,0)))=0,"",AV42/(INDEX('Standards for Conversions'!$H$34:$H$73,MATCH(AU$3,'Standards for Conversions'!$A$34:$A$73,0))))</f>
        <v/>
      </c>
      <c r="AX42" s="10" t="s">
        <v>59</v>
      </c>
      <c r="AY42" s="7"/>
      <c r="AZ42" s="7"/>
      <c r="BA42" s="31" t="str">
        <f>IF(AZ42/(INDEX('Standards for Conversions'!$H$34:$H$73,MATCH(AY$3,'Standards for Conversions'!$A$34:$A$73,0)))=0,"",AZ42/(INDEX('Standards for Conversions'!$H$34:$H$73,MATCH(AY$3,'Standards for Conversions'!$A$34:$A$73,0))))</f>
        <v/>
      </c>
      <c r="BB42" s="10" t="s">
        <v>59</v>
      </c>
      <c r="BC42" s="7"/>
      <c r="BD42" s="7"/>
      <c r="BE42" s="31" t="str">
        <f>IF(BD42/(INDEX('Standards for Conversions'!$H$34:$H$73,MATCH(BC$3,'Standards for Conversions'!$A$34:$A$73,0)))=0,"",BD42/(INDEX('Standards for Conversions'!$H$34:$H$73,MATCH(BC$3,'Standards for Conversions'!$A$34:$A$73,0))))</f>
        <v/>
      </c>
      <c r="BF42" s="10" t="s">
        <v>59</v>
      </c>
      <c r="BG42" s="9"/>
      <c r="BH42" s="9"/>
      <c r="BI42" s="31" t="str">
        <f>IF(BH42/(INDEX('Standards for Conversions'!$H$34:$H$73,MATCH(BG$3,'Standards for Conversions'!$A$34:$A$73,0)))=0,"",BH42/(INDEX('Standards for Conversions'!$H$34:$H$73,MATCH(BG$3,'Standards for Conversions'!$A$34:$A$73,0))))</f>
        <v/>
      </c>
      <c r="BJ42" s="10" t="s">
        <v>59</v>
      </c>
      <c r="BK42" s="7"/>
      <c r="BL42" s="7"/>
      <c r="BM42" s="31" t="str">
        <f>IF(BL42/(INDEX('Standards for Conversions'!$H$34:$H$73,MATCH(BK$3,'Standards for Conversions'!$A$34:$A$73,0)))=0,"",BL42/(INDEX('Standards for Conversions'!$H$34:$H$73,MATCH(BK$3,'Standards for Conversions'!$A$34:$A$73,0))))</f>
        <v/>
      </c>
      <c r="BN42" s="10" t="s">
        <v>59</v>
      </c>
      <c r="BO42" s="7"/>
      <c r="BP42" s="7"/>
      <c r="BQ42" s="31" t="str">
        <f>IF(BP42/(INDEX('Standards for Conversions'!$H$34:$H$73,MATCH(BO$3,'Standards for Conversions'!$A$34:$A$73,0)))=0,"",BP42/(INDEX('Standards for Conversions'!$H$34:$H$73,MATCH(BO$3,'Standards for Conversions'!$A$34:$A$73,0))))</f>
        <v/>
      </c>
      <c r="BR42" s="10" t="s">
        <v>59</v>
      </c>
      <c r="BS42" s="7"/>
      <c r="BT42" s="7"/>
      <c r="BU42" s="31" t="str">
        <f>IF(BT42/(INDEX('Standards for Conversions'!$H$34:$H$73,MATCH(BS$3,'Standards for Conversions'!$A$34:$A$73,0)))=0,"",BT42/(INDEX('Standards for Conversions'!$H$34:$H$73,MATCH(BS$3,'Standards for Conversions'!$A$34:$A$73,0))))</f>
        <v/>
      </c>
      <c r="BV42" s="10" t="s">
        <v>59</v>
      </c>
      <c r="BW42" s="9"/>
      <c r="BX42" s="9"/>
      <c r="BY42" s="31" t="str">
        <f>IF(BX42/(INDEX('Standards for Conversions'!$H$34:$H$73,MATCH(BW$3,'Standards for Conversions'!$A$34:$A$73,0)))=0,"",BX42/(INDEX('Standards for Conversions'!$H$34:$H$73,MATCH(BW$3,'Standards for Conversions'!$A$34:$A$73,0))))</f>
        <v/>
      </c>
      <c r="BZ42" s="10" t="s">
        <v>59</v>
      </c>
      <c r="CA42" s="7"/>
      <c r="CB42" s="7"/>
      <c r="CC42" s="31" t="str">
        <f>IF(CB42/(INDEX('Standards for Conversions'!$H$34:$H$73,MATCH(CA$3,'Standards for Conversions'!$A$34:$A$73,0)))=0,"",CB42/(INDEX('Standards for Conversions'!$H$34:$H$73,MATCH(CA$3,'Standards for Conversions'!$A$34:$A$73,0))))</f>
        <v/>
      </c>
      <c r="CD42" s="10" t="s">
        <v>59</v>
      </c>
      <c r="CE42" s="7"/>
      <c r="CF42" s="7"/>
      <c r="CG42" s="31" t="str">
        <f>IF(CF42/(INDEX('Standards for Conversions'!$H$34:$H$73,MATCH(CE$3,'Standards for Conversions'!$A$34:$A$73,0)))=0,"",CF42/(INDEX('Standards for Conversions'!$H$34:$H$73,MATCH(CE$3,'Standards for Conversions'!$A$34:$A$73,0))))</f>
        <v/>
      </c>
      <c r="CH42" s="10" t="s">
        <v>59</v>
      </c>
      <c r="CI42" s="7"/>
      <c r="CJ42" s="7"/>
      <c r="CK42" s="31" t="str">
        <f>IF(CJ42/(INDEX('Standards for Conversions'!$H$34:$H$73,MATCH(CI$3,'Standards for Conversions'!$A$34:$A$73,0)))=0,"",CJ42/(INDEX('Standards for Conversions'!$H$34:$H$73,MATCH(CI$3,'Standards for Conversions'!$A$34:$A$73,0))))</f>
        <v/>
      </c>
      <c r="CL42" s="10" t="s">
        <v>59</v>
      </c>
      <c r="CM42" s="9"/>
      <c r="CN42" s="9"/>
      <c r="CO42" s="31" t="str">
        <f>IF(CN42/(INDEX('Standards for Conversions'!$H$34:$H$73,MATCH(CM$3,'Standards for Conversions'!$A$34:$A$73,0)))=0,"",CN42/(INDEX('Standards for Conversions'!$H$34:$H$73,MATCH(CM$3,'Standards for Conversions'!$A$34:$A$73,0))))</f>
        <v/>
      </c>
      <c r="CP42" s="10" t="s">
        <v>59</v>
      </c>
      <c r="CQ42" s="7"/>
      <c r="CR42" s="7"/>
      <c r="CS42" s="31" t="str">
        <f>IF(CR42/(INDEX('Standards for Conversions'!$H$34:$H$73,MATCH(CQ$3,'Standards for Conversions'!$A$34:$A$73,0)))=0,"",CR42/(INDEX('Standards for Conversions'!$H$34:$H$73,MATCH(CQ$3,'Standards for Conversions'!$A$34:$A$73,0))))</f>
        <v/>
      </c>
      <c r="CT42" s="10" t="s">
        <v>59</v>
      </c>
      <c r="CU42" s="7"/>
      <c r="CV42" s="7"/>
      <c r="CW42" s="31" t="str">
        <f>IF(CV42/(INDEX('Standards for Conversions'!$H$34:$H$73,MATCH(CU$3,'Standards for Conversions'!$A$34:$A$73,0)))=0,"",CV42/(INDEX('Standards for Conversions'!$H$34:$H$73,MATCH(CU$3,'Standards for Conversions'!$A$34:$A$73,0))))</f>
        <v/>
      </c>
      <c r="CX42" s="10" t="s">
        <v>59</v>
      </c>
      <c r="CY42" s="7"/>
      <c r="CZ42" s="7"/>
      <c r="DA42" s="31" t="str">
        <f>IF(CZ42/(INDEX('Standards for Conversions'!$H$34:$H$73,MATCH(CY$3,'Standards for Conversions'!$A$34:$A$73,0)))=0,"",CZ42/(INDEX('Standards for Conversions'!$H$34:$H$73,MATCH(CY$3,'Standards for Conversions'!$A$34:$A$73,0))))</f>
        <v/>
      </c>
      <c r="DB42" s="10" t="s">
        <v>59</v>
      </c>
      <c r="DC42" s="9"/>
      <c r="DD42" s="9"/>
      <c r="DE42" s="31" t="str">
        <f>IF(DD42/(INDEX('Standards for Conversions'!$H$34:$H$73,MATCH(DC$3,'Standards for Conversions'!$A$34:$A$73,0)))=0,"",DD42/(INDEX('Standards for Conversions'!$H$34:$H$73,MATCH(DC$3,'Standards for Conversions'!$A$34:$A$73,0))))</f>
        <v/>
      </c>
      <c r="DF42" s="10" t="s">
        <v>59</v>
      </c>
      <c r="DG42" s="7"/>
      <c r="DH42" s="7"/>
      <c r="DI42" s="31" t="str">
        <f>IF(DH42/(INDEX('Standards for Conversions'!$H$34:$H$73,MATCH(DG$3,'Standards for Conversions'!$A$34:$A$73,0)))=0,"",DH42/(INDEX('Standards for Conversions'!$H$34:$H$73,MATCH(DG$3,'Standards for Conversions'!$A$34:$A$73,0))))</f>
        <v/>
      </c>
      <c r="DJ42" s="10" t="s">
        <v>59</v>
      </c>
      <c r="DK42" s="7"/>
      <c r="DL42" s="7"/>
      <c r="DM42" s="31" t="str">
        <f>IF(DL42/(INDEX('Standards for Conversions'!$H$34:$H$73,MATCH(DK$3,'Standards for Conversions'!$A$34:$A$73,0)))=0,"",DL42/(INDEX('Standards for Conversions'!$H$34:$H$73,MATCH(DK$3,'Standards for Conversions'!$A$34:$A$73,0))))</f>
        <v/>
      </c>
      <c r="DN42" s="10" t="s">
        <v>59</v>
      </c>
      <c r="DO42" s="7"/>
      <c r="DP42" s="7"/>
      <c r="DQ42" s="31" t="str">
        <f>IF(DP42/(INDEX('Standards for Conversions'!$H$34:$H$73,MATCH(DO$3,'Standards for Conversions'!$A$34:$A$73,0)))=0,"",DP42/(INDEX('Standards for Conversions'!$H$34:$H$73,MATCH(DO$3,'Standards for Conversions'!$A$34:$A$73,0))))</f>
        <v/>
      </c>
      <c r="DR42" s="10" t="s">
        <v>59</v>
      </c>
      <c r="DS42" s="9"/>
      <c r="DT42" s="9"/>
      <c r="DU42" s="31" t="str">
        <f>IF(DT42/(INDEX('Standards for Conversions'!$H$34:$H$73,MATCH(DS$3,'Standards for Conversions'!$A$34:$A$73,0)))=0,"",DT42/(INDEX('Standards for Conversions'!$H$34:$H$73,MATCH(DS$3,'Standards for Conversions'!$A$34:$A$73,0))))</f>
        <v/>
      </c>
      <c r="DV42" s="10" t="s">
        <v>59</v>
      </c>
      <c r="DW42" s="7"/>
      <c r="DX42" s="7"/>
      <c r="DY42" s="31" t="str">
        <f>IF(DX42/(INDEX('Standards for Conversions'!$H$34:$H$73,MATCH(DW$3,'Standards for Conversions'!$A$34:$A$73,0)))=0,"",DX42/(INDEX('Standards for Conversions'!$H$34:$H$73,MATCH(DW$3,'Standards for Conversions'!$A$34:$A$73,0))))</f>
        <v/>
      </c>
      <c r="DZ42" s="10" t="s">
        <v>59</v>
      </c>
      <c r="EA42" s="7"/>
      <c r="EB42" s="7"/>
      <c r="EC42" s="31" t="str">
        <f>IF(EB42/(INDEX('Standards for Conversions'!$H$34:$H$73,MATCH(EA$3,'Standards for Conversions'!$A$34:$A$73,0)))=0,"",EB42/(INDEX('Standards for Conversions'!$H$34:$H$73,MATCH(EA$3,'Standards for Conversions'!$A$34:$A$73,0))))</f>
        <v/>
      </c>
      <c r="ED42" s="10" t="s">
        <v>59</v>
      </c>
      <c r="EE42" s="7"/>
      <c r="EF42" s="7"/>
      <c r="EG42" s="31" t="str">
        <f>IF(EF42/(INDEX('Standards for Conversions'!$H$34:$H$73,MATCH(EE$3,'Standards for Conversions'!$A$34:$A$73,0)))=0,"",EF42/(INDEX('Standards for Conversions'!$H$34:$H$73,MATCH(EE$3,'Standards for Conversions'!$A$34:$A$73,0))))</f>
        <v/>
      </c>
      <c r="EH42" s="10" t="s">
        <v>59</v>
      </c>
      <c r="EI42" s="9"/>
      <c r="EJ42" s="9"/>
      <c r="EK42" s="31" t="str">
        <f>IF(EJ42/(INDEX('Standards for Conversions'!$H$34:$H$73,MATCH(EI$3,'Standards for Conversions'!$A$34:$A$73,0)))=0,"",EJ42/(INDEX('Standards for Conversions'!$H$34:$H$73,MATCH(EI$3,'Standards for Conversions'!$A$34:$A$73,0))))</f>
        <v/>
      </c>
      <c r="EL42" s="10" t="s">
        <v>59</v>
      </c>
      <c r="EM42" s="7"/>
      <c r="EN42" s="7"/>
      <c r="EO42" s="31" t="str">
        <f>IF(EN42/(INDEX('Standards for Conversions'!$H$34:$H$73,MATCH(EM$3,'Standards for Conversions'!$A$34:$A$73,0)))=0,"",EN42/(INDEX('Standards for Conversions'!$H$34:$H$73,MATCH(EM$3,'Standards for Conversions'!$A$34:$A$73,0))))</f>
        <v/>
      </c>
      <c r="EP42" s="10" t="s">
        <v>59</v>
      </c>
      <c r="EQ42" s="7"/>
      <c r="ER42" s="7"/>
      <c r="ES42" s="31" t="str">
        <f>IF(ER42/(INDEX('Standards for Conversions'!$H$34:$H$73,MATCH(EQ$3,'Standards for Conversions'!$A$34:$A$73,0)))=0,"",ER42/(INDEX('Standards for Conversions'!$H$34:$H$73,MATCH(EQ$3,'Standards for Conversions'!$A$34:$A$73,0))))</f>
        <v/>
      </c>
      <c r="ET42" s="10" t="s">
        <v>59</v>
      </c>
      <c r="EU42" s="7"/>
      <c r="EV42" s="7"/>
      <c r="EW42" s="31" t="str">
        <f>IF(EV42/(INDEX('Standards for Conversions'!$H$34:$H$73,MATCH(EU$3,'Standards for Conversions'!$A$34:$A$73,0)))=0,"",EV42/(INDEX('Standards for Conversions'!$H$34:$H$73,MATCH(EU$3,'Standards for Conversions'!$A$34:$A$73,0))))</f>
        <v/>
      </c>
      <c r="EX42" s="10" t="s">
        <v>59</v>
      </c>
      <c r="EY42" s="9"/>
      <c r="EZ42" s="9"/>
      <c r="FA42" s="31" t="str">
        <f>IF(EZ42/(INDEX('Standards for Conversions'!$H$34:$H$73,MATCH(EY$3,'Standards for Conversions'!$A$34:$A$73,0)))=0,"",EZ42/(INDEX('Standards for Conversions'!$H$34:$H$73,MATCH(EY$3,'Standards for Conversions'!$A$34:$A$73,0))))</f>
        <v/>
      </c>
      <c r="FB42" s="10" t="s">
        <v>59</v>
      </c>
      <c r="FC42" s="7"/>
      <c r="FD42" s="7"/>
      <c r="FE42" s="31" t="str">
        <f>IF(FD42/(INDEX('Standards for Conversions'!$H$34:$H$73,MATCH(FC$3,'Standards for Conversions'!$A$34:$A$73,0)))=0,"",FD42/(INDEX('Standards for Conversions'!$H$34:$H$73,MATCH(FC$3,'Standards for Conversions'!$A$34:$A$73,0))))</f>
        <v/>
      </c>
      <c r="FF42" s="10" t="s">
        <v>59</v>
      </c>
      <c r="FG42" s="7"/>
      <c r="FH42" s="7"/>
      <c r="FI42" s="31" t="str">
        <f>IF(FH42/(INDEX('Standards for Conversions'!$H$34:$H$73,MATCH(FG$3,'Standards for Conversions'!$A$34:$A$73,0)))=0,"",FH42/(INDEX('Standards for Conversions'!$H$34:$H$73,MATCH(FG$3,'Standards for Conversions'!$A$34:$A$73,0))))</f>
        <v/>
      </c>
      <c r="FJ42" s="10" t="s">
        <v>59</v>
      </c>
      <c r="FK42" s="7"/>
      <c r="FL42" s="7"/>
      <c r="FM42" s="31" t="str">
        <f>IF(FL42/(INDEX('Standards for Conversions'!$H$34:$H$73,MATCH(FK$3,'Standards for Conversions'!$A$34:$A$73,0)))=0,"",FL42/(INDEX('Standards for Conversions'!$H$34:$H$73,MATCH(FK$3,'Standards for Conversions'!$A$34:$A$73,0))))</f>
        <v/>
      </c>
      <c r="FN42" s="10" t="s">
        <v>59</v>
      </c>
      <c r="FO42" s="9"/>
      <c r="FP42" s="9"/>
      <c r="FQ42" s="31" t="str">
        <f>IF(FP42/(INDEX('Standards for Conversions'!$H$34:$H$73,MATCH(FO$3,'Standards for Conversions'!$A$34:$A$73,0)))=0,"",FP42/(INDEX('Standards for Conversions'!$H$34:$H$73,MATCH(FO$3,'Standards for Conversions'!$A$34:$A$73,0))))</f>
        <v/>
      </c>
      <c r="FR42" s="10" t="s">
        <v>59</v>
      </c>
      <c r="FS42" s="7"/>
      <c r="FT42" s="7"/>
      <c r="FU42" s="31" t="str">
        <f>IF(FT42/(INDEX('Standards for Conversions'!$H$34:$H$73,MATCH(FS$3,'Standards for Conversions'!$A$34:$A$73,0)))=0,"",FT42/(INDEX('Standards for Conversions'!$H$34:$H$73,MATCH(FS$3,'Standards for Conversions'!$A$34:$A$73,0))))</f>
        <v/>
      </c>
      <c r="FV42" s="10" t="s">
        <v>59</v>
      </c>
      <c r="FW42" s="7"/>
      <c r="FX42" s="7"/>
      <c r="FY42" s="31" t="str">
        <f>IF(FX42/(INDEX('Standards for Conversions'!$H$34:$H$73,MATCH(FW$3,'Standards for Conversions'!$A$34:$A$73,0)))=0,"",FX42/(INDEX('Standards for Conversions'!$H$34:$H$73,MATCH(FW$3,'Standards for Conversions'!$A$34:$A$73,0))))</f>
        <v/>
      </c>
      <c r="FZ42" s="10" t="s">
        <v>59</v>
      </c>
      <c r="GA42" s="7"/>
      <c r="GB42" s="7"/>
      <c r="GC42" s="31" t="str">
        <f>IF(GB42/(INDEX('Standards for Conversions'!$H$34:$H$73,MATCH(GA$3,'Standards for Conversions'!$A$34:$A$73,0)))=0,"",GB42/(INDEX('Standards for Conversions'!$H$34:$H$73,MATCH(GA$3,'Standards for Conversions'!$A$34:$A$73,0))))</f>
        <v/>
      </c>
      <c r="GD42" s="10" t="s">
        <v>59</v>
      </c>
      <c r="GE42" s="9"/>
      <c r="GF42" s="9"/>
      <c r="GG42" s="31" t="str">
        <f>IF(GF42/(INDEX('Standards for Conversions'!$H$34:$H$73,MATCH(GE$3,'Standards for Conversions'!$A$34:$A$73,0)))=0,"",GF42/(INDEX('Standards for Conversions'!$H$34:$H$73,MATCH(GE$3,'Standards for Conversions'!$A$34:$A$73,0))))</f>
        <v/>
      </c>
      <c r="GH42" s="10" t="s">
        <v>59</v>
      </c>
      <c r="GI42" s="7"/>
      <c r="GJ42" s="7"/>
      <c r="GK42" s="31" t="str">
        <f>IF(GJ42/(INDEX('Standards for Conversions'!$H$34:$H$73,MATCH(GI$3,'Standards for Conversions'!$A$34:$A$73,0)))=0,"",GJ42/(INDEX('Standards for Conversions'!$H$34:$H$73,MATCH(GI$3,'Standards for Conversions'!$A$34:$A$73,0))))</f>
        <v/>
      </c>
      <c r="GL42" s="10" t="s">
        <v>59</v>
      </c>
      <c r="GM42" s="7"/>
      <c r="GN42" s="7"/>
      <c r="GO42" s="31" t="str">
        <f>IF(GN42/(INDEX('Standards for Conversions'!$H$34:$H$73,MATCH(GM$3,'Standards for Conversions'!$A$34:$A$73,0)))=0,"",GN42/(INDEX('Standards for Conversions'!$H$34:$H$73,MATCH(GM$3,'Standards for Conversions'!$A$34:$A$73,0))))</f>
        <v/>
      </c>
      <c r="GP42" s="10" t="s">
        <v>59</v>
      </c>
      <c r="GQ42" s="7"/>
      <c r="GR42" s="7"/>
      <c r="GS42" s="31" t="str">
        <f>IF(GR42/(INDEX('Standards for Conversions'!$H$34:$H$73,MATCH(GQ$3,'Standards for Conversions'!$A$34:$A$73,0)))=0,"",GR42/(INDEX('Standards for Conversions'!$H$34:$H$73,MATCH(GQ$3,'Standards for Conversions'!$A$34:$A$73,0))))</f>
        <v/>
      </c>
      <c r="GT42" s="10" t="s">
        <v>59</v>
      </c>
      <c r="GU42" s="9"/>
      <c r="GV42" s="9"/>
      <c r="GW42" s="31" t="str">
        <f>IF(GV42/(INDEX('Standards for Conversions'!$H$34:$H$73,MATCH(GU$3,'Standards for Conversions'!$A$34:$A$73,0)))=0,"",GV42/(INDEX('Standards for Conversions'!$H$34:$H$73,MATCH(GU$3,'Standards for Conversions'!$A$34:$A$73,0))))</f>
        <v/>
      </c>
      <c r="GX42" s="10" t="s">
        <v>59</v>
      </c>
      <c r="GY42" s="7"/>
      <c r="GZ42" s="7"/>
      <c r="HA42" s="31" t="str">
        <f>IF(GZ42/(INDEX('Standards for Conversions'!$H$34:$H$73,MATCH(GY$3,'Standards for Conversions'!$A$34:$A$73,0)))=0,"",GZ42/(INDEX('Standards for Conversions'!$H$34:$H$73,MATCH(GY$3,'Standards for Conversions'!$A$34:$A$73,0))))</f>
        <v/>
      </c>
      <c r="HB42" s="10" t="s">
        <v>59</v>
      </c>
      <c r="HC42" s="7"/>
      <c r="HD42" s="7"/>
      <c r="HE42" s="31" t="str">
        <f>IF(HD42/(INDEX('Standards for Conversions'!$H$34:$H$73,MATCH(HC$3,'Standards for Conversions'!$A$34:$A$73,0)))=0,"",HD42/(INDEX('Standards for Conversions'!$H$34:$H$73,MATCH(HC$3,'Standards for Conversions'!$A$34:$A$73,0))))</f>
        <v/>
      </c>
      <c r="HF42" s="10" t="s">
        <v>59</v>
      </c>
      <c r="HG42" s="7"/>
      <c r="HH42" s="7"/>
      <c r="HI42" s="31" t="str">
        <f>IF(HH42/(INDEX('Standards for Conversions'!$H$34:$H$73,MATCH(HG$3,'Standards for Conversions'!$A$34:$A$73,0)))=0,"",HH42/(INDEX('Standards for Conversions'!$H$34:$H$73,MATCH(HG$3,'Standards for Conversions'!$A$34:$A$73,0))))</f>
        <v/>
      </c>
      <c r="HJ42" s="10" t="s">
        <v>59</v>
      </c>
      <c r="HK42" s="9"/>
      <c r="HL42" s="9"/>
      <c r="HM42" s="31" t="str">
        <f>IF(HL42/(INDEX('Standards for Conversions'!$H$34:$H$73,MATCH(HK$3,'Standards for Conversions'!$A$34:$A$73,0)))=0,"",HL42/(INDEX('Standards for Conversions'!$H$34:$H$73,MATCH(HK$3,'Standards for Conversions'!$A$34:$A$73,0))))</f>
        <v/>
      </c>
      <c r="HN42" s="10" t="s">
        <v>59</v>
      </c>
      <c r="HO42" s="7"/>
      <c r="HP42" s="7"/>
      <c r="HQ42" s="31" t="str">
        <f>IF(HP42/(INDEX('Standards for Conversions'!$H$34:$H$73,MATCH(HO$3,'Standards for Conversions'!$A$34:$A$73,0)))=0,"",HP42/(INDEX('Standards for Conversions'!$H$34:$H$73,MATCH(HO$3,'Standards for Conversions'!$A$34:$A$73,0))))</f>
        <v/>
      </c>
      <c r="HR42" s="33" t="s">
        <v>59</v>
      </c>
      <c r="HU42" s="31" t="str">
        <f>IF(HT42/(INDEX('Standards for Conversions'!$H$47:$H$73,MATCH(HS$3,'Standards for Conversions'!$A$47:$A$73,0)))=0,"",HT42/(INDEX('Standards for Conversions'!$H$47:$H$73,MATCH(HS$3,'Standards for Conversions'!$A$47:$A$73,0))))</f>
        <v/>
      </c>
      <c r="HV42" s="33" t="s">
        <v>59</v>
      </c>
      <c r="HY42" s="31" t="str">
        <f>IF(HX42/(INDEX('Standards for Conversions'!$H$47:$H$73,MATCH(HW$3,'Standards for Conversions'!$A$47:$A$73,0)))=0,"",HX42/(INDEX('Standards for Conversions'!$H$47:$H$73,MATCH(HW$3,'Standards for Conversions'!$A$47:$A$73,0))))</f>
        <v/>
      </c>
      <c r="HZ42" s="33">
        <v>100</v>
      </c>
      <c r="IA42" s="33">
        <v>200</v>
      </c>
      <c r="IB42" s="31">
        <f>IF(IA42/(INDEX('Standards for Conversions'!$H$47:$H$73,MATCH(HZ$3,'Standards for Conversions'!$A$47:$A$73,0)))=0,"",IA42/(INDEX('Standards for Conversions'!$H$47:$H$73,MATCH(HZ$3,'Standards for Conversions'!$A$47:$A$73,0))))</f>
        <v>29.049082442571191</v>
      </c>
      <c r="IC42" s="33" t="s">
        <v>59</v>
      </c>
      <c r="IF42" s="31" t="str">
        <f>IF(IE42/(INDEX('Standards for Conversions'!$H$47:$H$73,MATCH(ID$3,'Standards for Conversions'!$A$47:$A$73,0)))=0,"",IE42/(INDEX('Standards for Conversions'!$H$47:$H$73,MATCH(ID$3,'Standards for Conversions'!$A$47:$A$73,0))))</f>
        <v/>
      </c>
      <c r="IG42" s="33" t="s">
        <v>59</v>
      </c>
      <c r="IJ42" s="31" t="str">
        <f>IF(II42/(INDEX('Standards for Conversions'!$H$47:$H$73,MATCH(IH$3,'Standards for Conversions'!$A$47:$A$73,0)))=0,"",II42/(INDEX('Standards for Conversions'!$H$47:$H$73,MATCH(IH$3,'Standards for Conversions'!$A$47:$A$73,0))))</f>
        <v/>
      </c>
      <c r="IK42" s="33" t="s">
        <v>59</v>
      </c>
      <c r="IN42" s="31" t="str">
        <f>IF(IM42/(INDEX('Standards for Conversions'!$H$47:$H$73,MATCH(IL$3,'Standards for Conversions'!$A$47:$A$73,0)))=0,"",IM42/(INDEX('Standards for Conversions'!$H$47:$H$73,MATCH(IL$3,'Standards for Conversions'!$A$47:$A$73,0))))</f>
        <v/>
      </c>
      <c r="IO42" s="48" t="s">
        <v>59</v>
      </c>
      <c r="IP42" s="29">
        <v>4</v>
      </c>
      <c r="IQ42" s="29">
        <v>100</v>
      </c>
      <c r="IR42" s="31">
        <f>IF(IQ42/(INDEX('Standards for Conversions'!$H$47:$H$73,MATCH(IP$3,'Standards for Conversions'!$A$47:$A$73,0)))=0,"",IQ42/(INDEX('Standards for Conversions'!$H$47:$H$73,MATCH(IP$3,'Standards for Conversions'!$A$47:$A$73,0))))</f>
        <v>14.461022819443237</v>
      </c>
      <c r="IS42" s="33" t="s">
        <v>38</v>
      </c>
      <c r="IV42" s="31" t="str">
        <f>IF(IU42/(INDEX('Standards for Conversions'!$H$47:$H$73,MATCH(IT$3,'Standards for Conversions'!$A$47:$A$73,0)))=0,"",IU42/(INDEX('Standards for Conversions'!$H$47:$H$73,MATCH(IT$3,'Standards for Conversions'!$A$47:$A$73,0))))</f>
        <v/>
      </c>
      <c r="IW42" s="33" t="s">
        <v>38</v>
      </c>
      <c r="IZ42" s="31" t="str">
        <f>IF(IY42/(INDEX('Standards for Conversions'!$H$47:$H$73,MATCH(IX$3,'Standards for Conversions'!$A$47:$A$73,0)))=0,"",IY42/(INDEX('Standards for Conversions'!$H$47:$H$73,MATCH(IX$3,'Standards for Conversions'!$A$47:$A$73,0))))</f>
        <v/>
      </c>
      <c r="JA42" s="48" t="s">
        <v>38</v>
      </c>
      <c r="JD42" s="31" t="str">
        <f>IF(JC42/(INDEX('Standards for Conversions'!$H$47:$H$73,MATCH(JB$3,'Standards for Conversions'!$A$47:$A$73,0)))=0,"",JC42/(INDEX('Standards for Conversions'!$H$47:$H$73,MATCH(JB$3,'Standards for Conversions'!$A$47:$A$73,0))))</f>
        <v/>
      </c>
      <c r="JE42" s="48" t="s">
        <v>38</v>
      </c>
      <c r="JF42" s="29">
        <v>7</v>
      </c>
      <c r="JG42" s="29">
        <v>300</v>
      </c>
      <c r="JH42" s="31">
        <f>IF(JG42/(INDEX('Standards for Conversions'!$H$47:$H$73,MATCH(JF$3,'Standards for Conversions'!$A$47:$A$73,0)))=0,"",JG42/(INDEX('Standards for Conversions'!$H$47:$H$73,MATCH(JF$3,'Standards for Conversions'!$A$47:$A$73,0))))</f>
        <v>48.528059007560607</v>
      </c>
      <c r="JI42" s="33"/>
      <c r="JL42" s="31" t="str">
        <f>IF(JK42/(INDEX('Standards for Conversions'!$H$47:$H$73,MATCH(JJ$3,'Standards for Conversions'!$A$47:$A$73,0)))=0,"",JK42/(INDEX('Standards for Conversions'!$H$47:$H$73,MATCH(JJ$3,'Standards for Conversions'!$A$47:$A$73,0))))</f>
        <v/>
      </c>
      <c r="JM42" s="33" t="s">
        <v>59</v>
      </c>
      <c r="JP42" s="31" t="str">
        <f>IF(JO42/(INDEX('Standards for Conversions'!$H$47:$H$73,MATCH(JN$3,'Standards for Conversions'!$A$47:$A$73,0)))=0,"",JO42/(INDEX('Standards for Conversions'!$H$47:$H$73,MATCH(JN$3,'Standards for Conversions'!$A$47:$A$73,0))))</f>
        <v/>
      </c>
      <c r="JQ42" s="33" t="s">
        <v>59</v>
      </c>
      <c r="JT42" s="31" t="str">
        <f>IF(JS42/(INDEX('Standards for Conversions'!$H$47:$H$73,MATCH(JR$3,'Standards for Conversions'!$A$47:$A$73,0)))=0,"",JS42/(INDEX('Standards for Conversions'!$H$47:$H$73,MATCH(JR$3,'Standards for Conversions'!$A$47:$A$73,0))))</f>
        <v/>
      </c>
      <c r="JU42" s="33" t="s">
        <v>59</v>
      </c>
      <c r="JV42" s="29">
        <v>8</v>
      </c>
      <c r="JW42" s="29">
        <v>300</v>
      </c>
      <c r="JX42" s="31">
        <f>IF(JW42/(INDEX('Standards for Conversions'!$H$47:$H$73,MATCH(JV$3,'Standards for Conversions'!$A$47:$A$73,0)))=0,"",JW42/(INDEX('Standards for Conversions'!$H$47:$H$73,MATCH(JV$3,'Standards for Conversions'!$A$47:$A$73,0))))</f>
        <v>45.796767728339269</v>
      </c>
      <c r="JY42" s="33" t="s">
        <v>59</v>
      </c>
      <c r="KB42" s="31" t="str">
        <f>IF(KA42/(INDEX('Standards for Conversions'!$H$47:$H$73,MATCH(JZ$3,'Standards for Conversions'!$A$47:$A$73,0)))=0,"",KA42/(INDEX('Standards for Conversions'!$H$47:$H$73,MATCH(JZ$3,'Standards for Conversions'!$A$47:$A$73,0))))</f>
        <v/>
      </c>
      <c r="KC42" s="33" t="s">
        <v>59</v>
      </c>
      <c r="KF42" s="31" t="str">
        <f>IF(KE42/(INDEX('Standards for Conversions'!$H$47:$H$73,MATCH(KD$3,'Standards for Conversions'!$A$47:$A$73,0)))=0,"",KE42/(INDEX('Standards for Conversions'!$H$47:$H$73,MATCH(KD$3,'Standards for Conversions'!$A$47:$A$73,0))))</f>
        <v/>
      </c>
      <c r="KG42" s="33" t="s">
        <v>59</v>
      </c>
      <c r="KJ42" s="31" t="str">
        <f>IF(KI42/(INDEX('Standards for Conversions'!$H$47:$H$73,MATCH(KH$3,'Standards for Conversions'!$A$47:$A$73,0)))=0,"",KI42/(INDEX('Standards for Conversions'!$H$47:$H$73,MATCH(KH$3,'Standards for Conversions'!$A$47:$A$73,0))))</f>
        <v/>
      </c>
      <c r="KK42" s="48" t="s">
        <v>59</v>
      </c>
      <c r="KL42" s="29">
        <v>10</v>
      </c>
      <c r="KM42" s="29">
        <v>350</v>
      </c>
      <c r="KN42" s="31">
        <f>IF(KM42/(INDEX('Standards for Conversions'!$H$47:$H$73,MATCH(KL$3,'Standards for Conversions'!$A$47:$A$73,0)))=0,"",KM42/(INDEX('Standards for Conversions'!$H$47:$H$73,MATCH(KL$3,'Standards for Conversions'!$A$47:$A$73,0))))</f>
        <v>47.130654167028759</v>
      </c>
      <c r="KO42" s="33" t="s">
        <v>38</v>
      </c>
      <c r="KR42" s="31" t="str">
        <f>IF(KQ42/(INDEX('Standards for Conversions'!$H$47:$H$73,MATCH(KP$3,'Standards for Conversions'!$A$47:$A$73,0)))=0,"",KQ42/(INDEX('Standards for Conversions'!$H$47:$H$73,MATCH(KP$3,'Standards for Conversions'!$A$47:$A$73,0))))</f>
        <v/>
      </c>
      <c r="KS42" s="33" t="s">
        <v>38</v>
      </c>
      <c r="KV42" s="31" t="str">
        <f>IF(KU42/(INDEX('Standards for Conversions'!$H$47:$H$73,MATCH(KT$3,'Standards for Conversions'!$A$47:$A$73,0)))=0,"",KU42/(INDEX('Standards for Conversions'!$H$47:$H$73,MATCH(KT$3,'Standards for Conversions'!$A$47:$A$73,0))))</f>
        <v/>
      </c>
      <c r="KW42" s="48" t="s">
        <v>38</v>
      </c>
      <c r="KZ42" s="31" t="str">
        <f>IF(KY42/(INDEX('Standards for Conversions'!$H$47:$H$73,MATCH(KX$3,'Standards for Conversions'!$A$47:$A$73,0)))=0,"",KY42/(INDEX('Standards for Conversions'!$H$47:$H$73,MATCH(KX$3,'Standards for Conversions'!$A$47:$A$73,0))))</f>
        <v/>
      </c>
      <c r="LA42" s="48" t="s">
        <v>59</v>
      </c>
      <c r="LB42" s="29">
        <v>2</v>
      </c>
      <c r="LC42" s="29">
        <v>40</v>
      </c>
      <c r="LD42" s="31">
        <f>IF(LC42/(INDEX('Standards for Conversions'!$H$47:$H$73,MATCH(LB$3,'Standards for Conversions'!$A$47:$A$73,0)))=0,"",LC42/(INDEX('Standards for Conversions'!$H$47:$H$73,MATCH(LB$3,'Standards for Conversions'!$A$47:$A$73,0))))</f>
        <v>4.8646626690999675</v>
      </c>
      <c r="LE42" s="33"/>
      <c r="LH42" s="31" t="str">
        <f>IF(LG42/(INDEX('Standards for Conversions'!$H$47:$H$73,MATCH(LF$3,'Standards for Conversions'!$A$47:$A$73,0)))=0,"",LG42/(INDEX('Standards for Conversions'!$H$47:$H$73,MATCH(LF$3,'Standards for Conversions'!$A$47:$A$73,0))))</f>
        <v/>
      </c>
      <c r="LL42" s="31" t="str">
        <f>IF(LK42/(INDEX('Standards for Conversions'!$H$47:$H$73,MATCH(LJ$3,'Standards for Conversions'!$A$47:$A$73,0)))=0,"",LK42/(INDEX('Standards for Conversions'!$H$47:$H$73,MATCH(LJ$3,'Standards for Conversions'!$A$47:$A$73,0))))</f>
        <v/>
      </c>
      <c r="LO42" s="31" t="str">
        <f>IF(LN42/(INDEX('Standards for Conversions'!$H$47:$H$73,MATCH(LM$3,'Standards for Conversions'!$A$47:$A$73,0)))=0,"",LN42/(INDEX('Standards for Conversions'!$H$47:$H$73,MATCH(LM$3,'Standards for Conversions'!$A$47:$A$73,0))))</f>
        <v/>
      </c>
      <c r="LR42" s="31" t="str">
        <f>IF(LQ42/(INDEX('Standards for Conversions'!$H$47:$H$73,MATCH(LP$3,'Standards for Conversions'!$A$47:$A$73,0)))=0,"",LQ42/(INDEX('Standards for Conversions'!$H$47:$H$73,MATCH(LP$3,'Standards for Conversions'!$A$47:$A$73,0))))</f>
        <v/>
      </c>
      <c r="LV42" s="31" t="str">
        <f>IF(LU42/(INDEX('Standards for Conversions'!$H$47:$H$73,MATCH(LT$3,'Standards for Conversions'!$A$47:$A$73,0)))=0,"",LU42/(INDEX('Standards for Conversions'!$H$47:$H$73,MATCH(LT$3,'Standards for Conversions'!$A$47:$A$73,0))))</f>
        <v/>
      </c>
      <c r="LY42" s="31" t="str">
        <f>IF(LX42/(INDEX('Standards for Conversions'!$H$47:$H$73,MATCH(LW$3,'Standards for Conversions'!$A$47:$A$73,0)))=0,"",LX42/(INDEX('Standards for Conversions'!$H$47:$H$73,MATCH(LW$3,'Standards for Conversions'!$A$47:$A$73,0))))</f>
        <v/>
      </c>
      <c r="MB42" s="31" t="str">
        <f>IF(MA42/(INDEX('Standards for Conversions'!$H$47:$H$73,MATCH(LZ$3,'Standards for Conversions'!$A$47:$A$73,0)))=0,"",MA42/(INDEX('Standards for Conversions'!$H$47:$H$73,MATCH(LZ$3,'Standards for Conversions'!$A$47:$A$73,0))))</f>
        <v/>
      </c>
      <c r="ME42" s="31" t="str">
        <f>IF(MD42/(INDEX('Standards for Conversions'!$H$47:$H$73,MATCH(MC$3,'Standards for Conversions'!$A$47:$A$73,0)))=0,"",MD42/(INDEX('Standards for Conversions'!$H$47:$H$73,MATCH(MC$3,'Standards for Conversions'!$A$47:$A$73,0))))</f>
        <v/>
      </c>
      <c r="MH42" s="31" t="str">
        <f>IF(MG42/(INDEX('Standards for Conversions'!$H$47:$H$73,MATCH(MF$3,'Standards for Conversions'!$A$47:$A$73,0)))=0,"",MG42/(INDEX('Standards for Conversions'!$H$47:$H$73,MATCH(MF$3,'Standards for Conversions'!$A$47:$A$73,0))))</f>
        <v/>
      </c>
      <c r="MK42" s="31" t="str">
        <f>IF(MJ42/(INDEX('Standards for Conversions'!$H$47:$H$73,MATCH(MI$3,'Standards for Conversions'!$A$47:$A$73,0)))=0,"",MJ42/(INDEX('Standards for Conversions'!$H$47:$H$73,MATCH(MI$3,'Standards for Conversions'!$A$47:$A$73,0))))</f>
        <v/>
      </c>
      <c r="MN42" s="31" t="str">
        <f>IF(MM42/(INDEX('Standards for Conversions'!$H$47:$H$73,MATCH(ML$3,'Standards for Conversions'!$A$47:$A$73,0)))=0,"",MM42/(INDEX('Standards for Conversions'!$H$47:$H$73,MATCH(ML$3,'Standards for Conversions'!$A$47:$A$73,0))))</f>
        <v/>
      </c>
      <c r="MR42" s="31" t="str">
        <f>IF(MQ42/(INDEX('Standards for Conversions'!$H$47:$H$73,MATCH(MP$3,'Standards for Conversions'!$A$47:$A$73,0)))=0,"",MQ42/(INDEX('Standards for Conversions'!$H$47:$H$73,MATCH(MP$3,'Standards for Conversions'!$A$47:$A$73,0))))</f>
        <v/>
      </c>
    </row>
    <row r="43" spans="1:356" hidden="1" x14ac:dyDescent="0.3">
      <c r="A43" s="103" t="s">
        <v>225</v>
      </c>
      <c r="B43" s="10" t="s">
        <v>38</v>
      </c>
      <c r="C43" s="7"/>
      <c r="D43" s="7"/>
      <c r="E43" s="31" t="str">
        <f>IF(D43/(INDEX('Standards for Conversions'!$H$34:$H$73,MATCH(C$3,'Standards for Conversions'!$A$34:$A$73,0)))=0,"",D43/(INDEX('Standards for Conversions'!$H$34:$H$73,MATCH(C$3,'Standards for Conversions'!$A$34:$A$73,0))))</f>
        <v/>
      </c>
      <c r="F43" s="10" t="s">
        <v>38</v>
      </c>
      <c r="G43" s="7"/>
      <c r="H43" s="7"/>
      <c r="I43" s="31" t="str">
        <f>IF(H43/(INDEX('Standards for Conversions'!$H$34:$H$73,MATCH(G$3,'Standards for Conversions'!$A$34:$A$73,0)))=0,"",H43/(INDEX('Standards for Conversions'!$H$34:$H$73,MATCH(G$3,'Standards for Conversions'!$A$34:$A$73,0))))</f>
        <v/>
      </c>
      <c r="J43" s="10" t="s">
        <v>38</v>
      </c>
      <c r="K43" s="9"/>
      <c r="L43" s="9"/>
      <c r="M43" s="31" t="str">
        <f>IF(L43/(INDEX('Standards for Conversions'!$H$34:$H$73,MATCH(K$3,'Standards for Conversions'!$A$34:$A$73,0)))=0,"",L43/(INDEX('Standards for Conversions'!$H$34:$H$73,MATCH(K$3,'Standards for Conversions'!$A$34:$A$73,0))))</f>
        <v/>
      </c>
      <c r="N43" s="10" t="s">
        <v>38</v>
      </c>
      <c r="O43" s="7"/>
      <c r="P43" s="7"/>
      <c r="Q43" s="31" t="str">
        <f>IF(P43/(INDEX('Standards for Conversions'!$H$34:$H$73,MATCH(O$3,'Standards for Conversions'!$A$34:$A$73,0)))=0,"",P43/(INDEX('Standards for Conversions'!$H$34:$H$73,MATCH(O$3,'Standards for Conversions'!$A$34:$A$73,0))))</f>
        <v/>
      </c>
      <c r="R43" s="10" t="s">
        <v>38</v>
      </c>
      <c r="S43" s="7"/>
      <c r="T43" s="7"/>
      <c r="U43" s="31" t="str">
        <f>IF(T43/(INDEX('Standards for Conversions'!$H$34:$H$73,MATCH(S$3,'Standards for Conversions'!$A$34:$A$73,0)))=0,"",T43/(INDEX('Standards for Conversions'!$H$34:$H$73,MATCH(S$3,'Standards for Conversions'!$A$34:$A$73,0))))</f>
        <v/>
      </c>
      <c r="V43" s="10" t="s">
        <v>38</v>
      </c>
      <c r="W43" s="7"/>
      <c r="X43" s="7"/>
      <c r="Y43" s="31" t="str">
        <f>IF(X43/(INDEX('Standards for Conversions'!$H$34:$H$73,MATCH(W$3,'Standards for Conversions'!$A$34:$A$73,0)))=0,"",X43/(INDEX('Standards for Conversions'!$H$34:$H$73,MATCH(W$3,'Standards for Conversions'!$A$34:$A$73,0))))</f>
        <v/>
      </c>
      <c r="Z43" s="10" t="s">
        <v>38</v>
      </c>
      <c r="AA43" s="9"/>
      <c r="AB43" s="9"/>
      <c r="AC43" s="31" t="str">
        <f>IF(AB43/(INDEX('Standards for Conversions'!$H$34:$H$73,MATCH(AA$3,'Standards for Conversions'!$A$34:$A$73,0)))=0,"",AB43/(INDEX('Standards for Conversions'!$H$34:$H$73,MATCH(AA$3,'Standards for Conversions'!$A$34:$A$73,0))))</f>
        <v/>
      </c>
      <c r="AD43" s="10" t="s">
        <v>38</v>
      </c>
      <c r="AE43" s="7"/>
      <c r="AF43" s="7"/>
      <c r="AG43" s="31" t="str">
        <f>IF(AF43/(INDEX('Standards for Conversions'!$H$34:$H$73,MATCH(AE$3,'Standards for Conversions'!$A$34:$A$73,0)))=0,"",AF43/(INDEX('Standards for Conversions'!$H$34:$H$73,MATCH(AE$3,'Standards for Conversions'!$A$34:$A$73,0))))</f>
        <v/>
      </c>
      <c r="AH43" s="10" t="s">
        <v>38</v>
      </c>
      <c r="AI43" s="7"/>
      <c r="AJ43" s="7"/>
      <c r="AK43" s="31" t="str">
        <f>IF(AJ43/(INDEX('Standards for Conversions'!$H$34:$H$73,MATCH(AI$3,'Standards for Conversions'!$A$34:$A$73,0)))=0,"",AJ43/(INDEX('Standards for Conversions'!$H$34:$H$73,MATCH(AI$3,'Standards for Conversions'!$A$34:$A$73,0))))</f>
        <v/>
      </c>
      <c r="AL43" s="10" t="s">
        <v>38</v>
      </c>
      <c r="AM43" s="7"/>
      <c r="AN43" s="7"/>
      <c r="AO43" s="31" t="str">
        <f>IF(AN43/(INDEX('Standards for Conversions'!$H$34:$H$73,MATCH(AM$3,'Standards for Conversions'!$A$34:$A$73,0)))=0,"",AN43/(INDEX('Standards for Conversions'!$H$34:$H$73,MATCH(AM$3,'Standards for Conversions'!$A$34:$A$73,0))))</f>
        <v/>
      </c>
      <c r="AP43" s="10" t="s">
        <v>38</v>
      </c>
      <c r="AQ43" s="9"/>
      <c r="AR43" s="9"/>
      <c r="AS43" s="31" t="str">
        <f>IF(AR43/(INDEX('Standards for Conversions'!$H$34:$H$73,MATCH(AQ$3,'Standards for Conversions'!$A$34:$A$73,0)))=0,"",AR43/(INDEX('Standards for Conversions'!$H$34:$H$73,MATCH(AQ$3,'Standards for Conversions'!$A$34:$A$73,0))))</f>
        <v/>
      </c>
      <c r="AT43" s="10" t="s">
        <v>38</v>
      </c>
      <c r="AU43" s="7"/>
      <c r="AV43" s="7"/>
      <c r="AW43" s="31" t="str">
        <f>IF(AV43/(INDEX('Standards for Conversions'!$H$34:$H$73,MATCH(AU$3,'Standards for Conversions'!$A$34:$A$73,0)))=0,"",AV43/(INDEX('Standards for Conversions'!$H$34:$H$73,MATCH(AU$3,'Standards for Conversions'!$A$34:$A$73,0))))</f>
        <v/>
      </c>
      <c r="AX43" s="10" t="s">
        <v>38</v>
      </c>
      <c r="AY43" s="7"/>
      <c r="AZ43" s="7"/>
      <c r="BA43" s="31" t="str">
        <f>IF(AZ43/(INDEX('Standards for Conversions'!$H$34:$H$73,MATCH(AY$3,'Standards for Conversions'!$A$34:$A$73,0)))=0,"",AZ43/(INDEX('Standards for Conversions'!$H$34:$H$73,MATCH(AY$3,'Standards for Conversions'!$A$34:$A$73,0))))</f>
        <v/>
      </c>
      <c r="BB43" s="10" t="s">
        <v>38</v>
      </c>
      <c r="BC43" s="7"/>
      <c r="BD43" s="7"/>
      <c r="BE43" s="31" t="str">
        <f>IF(BD43/(INDEX('Standards for Conversions'!$H$34:$H$73,MATCH(BC$3,'Standards for Conversions'!$A$34:$A$73,0)))=0,"",BD43/(INDEX('Standards for Conversions'!$H$34:$H$73,MATCH(BC$3,'Standards for Conversions'!$A$34:$A$73,0))))</f>
        <v/>
      </c>
      <c r="BF43" s="10" t="s">
        <v>38</v>
      </c>
      <c r="BG43" s="9"/>
      <c r="BH43" s="9"/>
      <c r="BI43" s="31" t="str">
        <f>IF(BH43/(INDEX('Standards for Conversions'!$H$34:$H$73,MATCH(BG$3,'Standards for Conversions'!$A$34:$A$73,0)))=0,"",BH43/(INDEX('Standards for Conversions'!$H$34:$H$73,MATCH(BG$3,'Standards for Conversions'!$A$34:$A$73,0))))</f>
        <v/>
      </c>
      <c r="BJ43" s="10" t="s">
        <v>38</v>
      </c>
      <c r="BK43" s="7"/>
      <c r="BL43" s="7"/>
      <c r="BM43" s="31" t="str">
        <f>IF(BL43/(INDEX('Standards for Conversions'!$H$34:$H$73,MATCH(BK$3,'Standards for Conversions'!$A$34:$A$73,0)))=0,"",BL43/(INDEX('Standards for Conversions'!$H$34:$H$73,MATCH(BK$3,'Standards for Conversions'!$A$34:$A$73,0))))</f>
        <v/>
      </c>
      <c r="BN43" s="10" t="s">
        <v>38</v>
      </c>
      <c r="BO43" s="7"/>
      <c r="BP43" s="7"/>
      <c r="BQ43" s="31" t="str">
        <f>IF(BP43/(INDEX('Standards for Conversions'!$H$34:$H$73,MATCH(BO$3,'Standards for Conversions'!$A$34:$A$73,0)))=0,"",BP43/(INDEX('Standards for Conversions'!$H$34:$H$73,MATCH(BO$3,'Standards for Conversions'!$A$34:$A$73,0))))</f>
        <v/>
      </c>
      <c r="BR43" s="10" t="s">
        <v>38</v>
      </c>
      <c r="BS43" s="7"/>
      <c r="BT43" s="7"/>
      <c r="BU43" s="31" t="str">
        <f>IF(BT43/(INDEX('Standards for Conversions'!$H$34:$H$73,MATCH(BS$3,'Standards for Conversions'!$A$34:$A$73,0)))=0,"",BT43/(INDEX('Standards for Conversions'!$H$34:$H$73,MATCH(BS$3,'Standards for Conversions'!$A$34:$A$73,0))))</f>
        <v/>
      </c>
      <c r="BV43" s="10" t="s">
        <v>38</v>
      </c>
      <c r="BW43" s="9"/>
      <c r="BX43" s="9"/>
      <c r="BY43" s="31" t="str">
        <f>IF(BX43/(INDEX('Standards for Conversions'!$H$34:$H$73,MATCH(BW$3,'Standards for Conversions'!$A$34:$A$73,0)))=0,"",BX43/(INDEX('Standards for Conversions'!$H$34:$H$73,MATCH(BW$3,'Standards for Conversions'!$A$34:$A$73,0))))</f>
        <v/>
      </c>
      <c r="BZ43" s="10" t="s">
        <v>38</v>
      </c>
      <c r="CA43" s="7"/>
      <c r="CB43" s="7"/>
      <c r="CC43" s="31" t="str">
        <f>IF(CB43/(INDEX('Standards for Conversions'!$H$34:$H$73,MATCH(CA$3,'Standards for Conversions'!$A$34:$A$73,0)))=0,"",CB43/(INDEX('Standards for Conversions'!$H$34:$H$73,MATCH(CA$3,'Standards for Conversions'!$A$34:$A$73,0))))</f>
        <v/>
      </c>
      <c r="CD43" s="10" t="s">
        <v>38</v>
      </c>
      <c r="CE43" s="7"/>
      <c r="CF43" s="7"/>
      <c r="CG43" s="31" t="str">
        <f>IF(CF43/(INDEX('Standards for Conversions'!$H$34:$H$73,MATCH(CE$3,'Standards for Conversions'!$A$34:$A$73,0)))=0,"",CF43/(INDEX('Standards for Conversions'!$H$34:$H$73,MATCH(CE$3,'Standards for Conversions'!$A$34:$A$73,0))))</f>
        <v/>
      </c>
      <c r="CH43" s="10" t="s">
        <v>38</v>
      </c>
      <c r="CI43" s="7"/>
      <c r="CJ43" s="7"/>
      <c r="CK43" s="31" t="str">
        <f>IF(CJ43/(INDEX('Standards for Conversions'!$H$34:$H$73,MATCH(CI$3,'Standards for Conversions'!$A$34:$A$73,0)))=0,"",CJ43/(INDEX('Standards for Conversions'!$H$34:$H$73,MATCH(CI$3,'Standards for Conversions'!$A$34:$A$73,0))))</f>
        <v/>
      </c>
      <c r="CL43" s="10" t="s">
        <v>38</v>
      </c>
      <c r="CM43" s="9"/>
      <c r="CN43" s="9"/>
      <c r="CO43" s="31" t="str">
        <f>IF(CN43/(INDEX('Standards for Conversions'!$H$34:$H$73,MATCH(CM$3,'Standards for Conversions'!$A$34:$A$73,0)))=0,"",CN43/(INDEX('Standards for Conversions'!$H$34:$H$73,MATCH(CM$3,'Standards for Conversions'!$A$34:$A$73,0))))</f>
        <v/>
      </c>
      <c r="CP43" s="10" t="s">
        <v>38</v>
      </c>
      <c r="CQ43" s="7"/>
      <c r="CR43" s="7"/>
      <c r="CS43" s="31" t="str">
        <f>IF(CR43/(INDEX('Standards for Conversions'!$H$34:$H$73,MATCH(CQ$3,'Standards for Conversions'!$A$34:$A$73,0)))=0,"",CR43/(INDEX('Standards for Conversions'!$H$34:$H$73,MATCH(CQ$3,'Standards for Conversions'!$A$34:$A$73,0))))</f>
        <v/>
      </c>
      <c r="CT43" s="10" t="s">
        <v>38</v>
      </c>
      <c r="CU43" s="7"/>
      <c r="CV43" s="7"/>
      <c r="CW43" s="31" t="str">
        <f>IF(CV43/(INDEX('Standards for Conversions'!$H$34:$H$73,MATCH(CU$3,'Standards for Conversions'!$A$34:$A$73,0)))=0,"",CV43/(INDEX('Standards for Conversions'!$H$34:$H$73,MATCH(CU$3,'Standards for Conversions'!$A$34:$A$73,0))))</f>
        <v/>
      </c>
      <c r="CX43" s="10" t="s">
        <v>38</v>
      </c>
      <c r="CY43" s="7"/>
      <c r="CZ43" s="7"/>
      <c r="DA43" s="31" t="str">
        <f>IF(CZ43/(INDEX('Standards for Conversions'!$H$34:$H$73,MATCH(CY$3,'Standards for Conversions'!$A$34:$A$73,0)))=0,"",CZ43/(INDEX('Standards for Conversions'!$H$34:$H$73,MATCH(CY$3,'Standards for Conversions'!$A$34:$A$73,0))))</f>
        <v/>
      </c>
      <c r="DB43" s="10" t="s">
        <v>38</v>
      </c>
      <c r="DC43" s="9"/>
      <c r="DD43" s="9"/>
      <c r="DE43" s="31" t="str">
        <f>IF(DD43/(INDEX('Standards for Conversions'!$H$34:$H$73,MATCH(DC$3,'Standards for Conversions'!$A$34:$A$73,0)))=0,"",DD43/(INDEX('Standards for Conversions'!$H$34:$H$73,MATCH(DC$3,'Standards for Conversions'!$A$34:$A$73,0))))</f>
        <v/>
      </c>
      <c r="DF43" s="10" t="s">
        <v>38</v>
      </c>
      <c r="DG43" s="7"/>
      <c r="DH43" s="7"/>
      <c r="DI43" s="31" t="str">
        <f>IF(DH43/(INDEX('Standards for Conversions'!$H$34:$H$73,MATCH(DG$3,'Standards for Conversions'!$A$34:$A$73,0)))=0,"",DH43/(INDEX('Standards for Conversions'!$H$34:$H$73,MATCH(DG$3,'Standards for Conversions'!$A$34:$A$73,0))))</f>
        <v/>
      </c>
      <c r="DJ43" s="10" t="s">
        <v>38</v>
      </c>
      <c r="DK43" s="7"/>
      <c r="DL43" s="7"/>
      <c r="DM43" s="31" t="str">
        <f>IF(DL43/(INDEX('Standards for Conversions'!$H$34:$H$73,MATCH(DK$3,'Standards for Conversions'!$A$34:$A$73,0)))=0,"",DL43/(INDEX('Standards for Conversions'!$H$34:$H$73,MATCH(DK$3,'Standards for Conversions'!$A$34:$A$73,0))))</f>
        <v/>
      </c>
      <c r="DN43" s="10" t="s">
        <v>38</v>
      </c>
      <c r="DO43" s="7"/>
      <c r="DP43" s="7"/>
      <c r="DQ43" s="31" t="str">
        <f>IF(DP43/(INDEX('Standards for Conversions'!$H$34:$H$73,MATCH(DO$3,'Standards for Conversions'!$A$34:$A$73,0)))=0,"",DP43/(INDEX('Standards for Conversions'!$H$34:$H$73,MATCH(DO$3,'Standards for Conversions'!$A$34:$A$73,0))))</f>
        <v/>
      </c>
      <c r="DR43" s="10" t="s">
        <v>38</v>
      </c>
      <c r="DS43" s="9"/>
      <c r="DT43" s="9"/>
      <c r="DU43" s="31" t="str">
        <f>IF(DT43/(INDEX('Standards for Conversions'!$H$34:$H$73,MATCH(DS$3,'Standards for Conversions'!$A$34:$A$73,0)))=0,"",DT43/(INDEX('Standards for Conversions'!$H$34:$H$73,MATCH(DS$3,'Standards for Conversions'!$A$34:$A$73,0))))</f>
        <v/>
      </c>
      <c r="DV43" s="10" t="s">
        <v>38</v>
      </c>
      <c r="DW43" s="7"/>
      <c r="DX43" s="7"/>
      <c r="DY43" s="31" t="str">
        <f>IF(DX43/(INDEX('Standards for Conversions'!$H$34:$H$73,MATCH(DW$3,'Standards for Conversions'!$A$34:$A$73,0)))=0,"",DX43/(INDEX('Standards for Conversions'!$H$34:$H$73,MATCH(DW$3,'Standards for Conversions'!$A$34:$A$73,0))))</f>
        <v/>
      </c>
      <c r="DZ43" s="10" t="s">
        <v>38</v>
      </c>
      <c r="EA43" s="7"/>
      <c r="EB43" s="7"/>
      <c r="EC43" s="31" t="str">
        <f>IF(EB43/(INDEX('Standards for Conversions'!$H$34:$H$73,MATCH(EA$3,'Standards for Conversions'!$A$34:$A$73,0)))=0,"",EB43/(INDEX('Standards for Conversions'!$H$34:$H$73,MATCH(EA$3,'Standards for Conversions'!$A$34:$A$73,0))))</f>
        <v/>
      </c>
      <c r="ED43" s="10" t="s">
        <v>38</v>
      </c>
      <c r="EE43" s="7"/>
      <c r="EF43" s="7"/>
      <c r="EG43" s="31" t="str">
        <f>IF(EF43/(INDEX('Standards for Conversions'!$H$34:$H$73,MATCH(EE$3,'Standards for Conversions'!$A$34:$A$73,0)))=0,"",EF43/(INDEX('Standards for Conversions'!$H$34:$H$73,MATCH(EE$3,'Standards for Conversions'!$A$34:$A$73,0))))</f>
        <v/>
      </c>
      <c r="EH43" s="10" t="s">
        <v>38</v>
      </c>
      <c r="EI43" s="9"/>
      <c r="EJ43" s="9"/>
      <c r="EK43" s="31" t="str">
        <f>IF(EJ43/(INDEX('Standards for Conversions'!$H$34:$H$73,MATCH(EI$3,'Standards for Conversions'!$A$34:$A$73,0)))=0,"",EJ43/(INDEX('Standards for Conversions'!$H$34:$H$73,MATCH(EI$3,'Standards for Conversions'!$A$34:$A$73,0))))</f>
        <v/>
      </c>
      <c r="EL43" s="10" t="s">
        <v>38</v>
      </c>
      <c r="EM43" s="7"/>
      <c r="EN43" s="7"/>
      <c r="EO43" s="31" t="str">
        <f>IF(EN43/(INDEX('Standards for Conversions'!$H$34:$H$73,MATCH(EM$3,'Standards for Conversions'!$A$34:$A$73,0)))=0,"",EN43/(INDEX('Standards for Conversions'!$H$34:$H$73,MATCH(EM$3,'Standards for Conversions'!$A$34:$A$73,0))))</f>
        <v/>
      </c>
      <c r="EP43" s="10" t="s">
        <v>38</v>
      </c>
      <c r="EQ43" s="7"/>
      <c r="ER43" s="7"/>
      <c r="ES43" s="31" t="str">
        <f>IF(ER43/(INDEX('Standards for Conversions'!$H$34:$H$73,MATCH(EQ$3,'Standards for Conversions'!$A$34:$A$73,0)))=0,"",ER43/(INDEX('Standards for Conversions'!$H$34:$H$73,MATCH(EQ$3,'Standards for Conversions'!$A$34:$A$73,0))))</f>
        <v/>
      </c>
      <c r="ET43" s="10" t="s">
        <v>38</v>
      </c>
      <c r="EU43" s="7"/>
      <c r="EV43" s="7"/>
      <c r="EW43" s="31" t="str">
        <f>IF(EV43/(INDEX('Standards for Conversions'!$H$34:$H$73,MATCH(EU$3,'Standards for Conversions'!$A$34:$A$73,0)))=0,"",EV43/(INDEX('Standards for Conversions'!$H$34:$H$73,MATCH(EU$3,'Standards for Conversions'!$A$34:$A$73,0))))</f>
        <v/>
      </c>
      <c r="EX43" s="10" t="s">
        <v>38</v>
      </c>
      <c r="EY43" s="9"/>
      <c r="EZ43" s="9"/>
      <c r="FA43" s="31" t="str">
        <f>IF(EZ43/(INDEX('Standards for Conversions'!$H$34:$H$73,MATCH(EY$3,'Standards for Conversions'!$A$34:$A$73,0)))=0,"",EZ43/(INDEX('Standards for Conversions'!$H$34:$H$73,MATCH(EY$3,'Standards for Conversions'!$A$34:$A$73,0))))</f>
        <v/>
      </c>
      <c r="FB43" s="10" t="s">
        <v>38</v>
      </c>
      <c r="FC43" s="7"/>
      <c r="FD43" s="7"/>
      <c r="FE43" s="31" t="str">
        <f>IF(FD43/(INDEX('Standards for Conversions'!$H$34:$H$73,MATCH(FC$3,'Standards for Conversions'!$A$34:$A$73,0)))=0,"",FD43/(INDEX('Standards for Conversions'!$H$34:$H$73,MATCH(FC$3,'Standards for Conversions'!$A$34:$A$73,0))))</f>
        <v/>
      </c>
      <c r="FF43" s="10" t="s">
        <v>38</v>
      </c>
      <c r="FG43" s="7"/>
      <c r="FH43" s="7"/>
      <c r="FI43" s="31" t="str">
        <f>IF(FH43/(INDEX('Standards for Conversions'!$H$34:$H$73,MATCH(FG$3,'Standards for Conversions'!$A$34:$A$73,0)))=0,"",FH43/(INDEX('Standards for Conversions'!$H$34:$H$73,MATCH(FG$3,'Standards for Conversions'!$A$34:$A$73,0))))</f>
        <v/>
      </c>
      <c r="FJ43" s="10" t="s">
        <v>38</v>
      </c>
      <c r="FK43" s="7"/>
      <c r="FL43" s="7"/>
      <c r="FM43" s="31" t="str">
        <f>IF(FL43/(INDEX('Standards for Conversions'!$H$34:$H$73,MATCH(FK$3,'Standards for Conversions'!$A$34:$A$73,0)))=0,"",FL43/(INDEX('Standards for Conversions'!$H$34:$H$73,MATCH(FK$3,'Standards for Conversions'!$A$34:$A$73,0))))</f>
        <v/>
      </c>
      <c r="FN43" s="10" t="s">
        <v>38</v>
      </c>
      <c r="FO43" s="9"/>
      <c r="FP43" s="9"/>
      <c r="FQ43" s="31" t="str">
        <f>IF(FP43/(INDEX('Standards for Conversions'!$H$34:$H$73,MATCH(FO$3,'Standards for Conversions'!$A$34:$A$73,0)))=0,"",FP43/(INDEX('Standards for Conversions'!$H$34:$H$73,MATCH(FO$3,'Standards for Conversions'!$A$34:$A$73,0))))</f>
        <v/>
      </c>
      <c r="FR43" s="10" t="s">
        <v>38</v>
      </c>
      <c r="FS43" s="7"/>
      <c r="FT43" s="7"/>
      <c r="FU43" s="31" t="str">
        <f>IF(FT43/(INDEX('Standards for Conversions'!$H$34:$H$73,MATCH(FS$3,'Standards for Conversions'!$A$34:$A$73,0)))=0,"",FT43/(INDEX('Standards for Conversions'!$H$34:$H$73,MATCH(FS$3,'Standards for Conversions'!$A$34:$A$73,0))))</f>
        <v/>
      </c>
      <c r="FV43" s="10" t="s">
        <v>38</v>
      </c>
      <c r="FW43" s="7"/>
      <c r="FX43" s="7"/>
      <c r="FY43" s="31" t="str">
        <f>IF(FX43/(INDEX('Standards for Conversions'!$H$34:$H$73,MATCH(FW$3,'Standards for Conversions'!$A$34:$A$73,0)))=0,"",FX43/(INDEX('Standards for Conversions'!$H$34:$H$73,MATCH(FW$3,'Standards for Conversions'!$A$34:$A$73,0))))</f>
        <v/>
      </c>
      <c r="FZ43" s="10" t="s">
        <v>38</v>
      </c>
      <c r="GA43" s="7"/>
      <c r="GB43" s="7"/>
      <c r="GC43" s="31" t="str">
        <f>IF(GB43/(INDEX('Standards for Conversions'!$H$34:$H$73,MATCH(GA$3,'Standards for Conversions'!$A$34:$A$73,0)))=0,"",GB43/(INDEX('Standards for Conversions'!$H$34:$H$73,MATCH(GA$3,'Standards for Conversions'!$A$34:$A$73,0))))</f>
        <v/>
      </c>
      <c r="GD43" s="10" t="s">
        <v>38</v>
      </c>
      <c r="GE43" s="9"/>
      <c r="GF43" s="9"/>
      <c r="GG43" s="31" t="str">
        <f>IF(GF43/(INDEX('Standards for Conversions'!$H$34:$H$73,MATCH(GE$3,'Standards for Conversions'!$A$34:$A$73,0)))=0,"",GF43/(INDEX('Standards for Conversions'!$H$34:$H$73,MATCH(GE$3,'Standards for Conversions'!$A$34:$A$73,0))))</f>
        <v/>
      </c>
      <c r="GH43" s="10" t="s">
        <v>38</v>
      </c>
      <c r="GI43" s="7"/>
      <c r="GJ43" s="7"/>
      <c r="GK43" s="31" t="str">
        <f>IF(GJ43/(INDEX('Standards for Conversions'!$H$34:$H$73,MATCH(GI$3,'Standards for Conversions'!$A$34:$A$73,0)))=0,"",GJ43/(INDEX('Standards for Conversions'!$H$34:$H$73,MATCH(GI$3,'Standards for Conversions'!$A$34:$A$73,0))))</f>
        <v/>
      </c>
      <c r="GL43" s="10" t="s">
        <v>38</v>
      </c>
      <c r="GM43" s="7"/>
      <c r="GN43" s="7"/>
      <c r="GO43" s="31" t="str">
        <f>IF(GN43/(INDEX('Standards for Conversions'!$H$34:$H$73,MATCH(GM$3,'Standards for Conversions'!$A$34:$A$73,0)))=0,"",GN43/(INDEX('Standards for Conversions'!$H$34:$H$73,MATCH(GM$3,'Standards for Conversions'!$A$34:$A$73,0))))</f>
        <v/>
      </c>
      <c r="GP43" s="10" t="s">
        <v>38</v>
      </c>
      <c r="GQ43" s="7"/>
      <c r="GR43" s="7"/>
      <c r="GS43" s="31" t="str">
        <f>IF(GR43/(INDEX('Standards for Conversions'!$H$34:$H$73,MATCH(GQ$3,'Standards for Conversions'!$A$34:$A$73,0)))=0,"",GR43/(INDEX('Standards for Conversions'!$H$34:$H$73,MATCH(GQ$3,'Standards for Conversions'!$A$34:$A$73,0))))</f>
        <v/>
      </c>
      <c r="GT43" s="10" t="s">
        <v>38</v>
      </c>
      <c r="GU43" s="9"/>
      <c r="GV43" s="9"/>
      <c r="GW43" s="31" t="str">
        <f>IF(GV43/(INDEX('Standards for Conversions'!$H$34:$H$73,MATCH(GU$3,'Standards for Conversions'!$A$34:$A$73,0)))=0,"",GV43/(INDEX('Standards for Conversions'!$H$34:$H$73,MATCH(GU$3,'Standards for Conversions'!$A$34:$A$73,0))))</f>
        <v/>
      </c>
      <c r="GX43" s="10" t="s">
        <v>38</v>
      </c>
      <c r="GY43" s="7"/>
      <c r="GZ43" s="7"/>
      <c r="HA43" s="31" t="str">
        <f>IF(GZ43/(INDEX('Standards for Conversions'!$H$34:$H$73,MATCH(GY$3,'Standards for Conversions'!$A$34:$A$73,0)))=0,"",GZ43/(INDEX('Standards for Conversions'!$H$34:$H$73,MATCH(GY$3,'Standards for Conversions'!$A$34:$A$73,0))))</f>
        <v/>
      </c>
      <c r="HB43" s="10" t="s">
        <v>38</v>
      </c>
      <c r="HC43" s="7"/>
      <c r="HD43" s="7"/>
      <c r="HE43" s="31" t="str">
        <f>IF(HD43/(INDEX('Standards for Conversions'!$H$34:$H$73,MATCH(HC$3,'Standards for Conversions'!$A$34:$A$73,0)))=0,"",HD43/(INDEX('Standards for Conversions'!$H$34:$H$73,MATCH(HC$3,'Standards for Conversions'!$A$34:$A$73,0))))</f>
        <v/>
      </c>
      <c r="HF43" s="10" t="s">
        <v>38</v>
      </c>
      <c r="HG43" s="7"/>
      <c r="HH43" s="7"/>
      <c r="HI43" s="31" t="str">
        <f>IF(HH43/(INDEX('Standards for Conversions'!$H$34:$H$73,MATCH(HG$3,'Standards for Conversions'!$A$34:$A$73,0)))=0,"",HH43/(INDEX('Standards for Conversions'!$H$34:$H$73,MATCH(HG$3,'Standards for Conversions'!$A$34:$A$73,0))))</f>
        <v/>
      </c>
      <c r="HJ43" s="10" t="s">
        <v>38</v>
      </c>
      <c r="HK43" s="9"/>
      <c r="HL43" s="9"/>
      <c r="HM43" s="31" t="str">
        <f>IF(HL43/(INDEX('Standards for Conversions'!$H$34:$H$73,MATCH(HK$3,'Standards for Conversions'!$A$34:$A$73,0)))=0,"",HL43/(INDEX('Standards for Conversions'!$H$34:$H$73,MATCH(HK$3,'Standards for Conversions'!$A$34:$A$73,0))))</f>
        <v/>
      </c>
      <c r="HN43" s="10" t="s">
        <v>38</v>
      </c>
      <c r="HO43" s="7"/>
      <c r="HP43" s="7"/>
      <c r="HQ43" s="31" t="str">
        <f>IF(HP43/(INDEX('Standards for Conversions'!$H$34:$H$73,MATCH(HO$3,'Standards for Conversions'!$A$34:$A$73,0)))=0,"",HP43/(INDEX('Standards for Conversions'!$H$34:$H$73,MATCH(HO$3,'Standards for Conversions'!$A$34:$A$73,0))))</f>
        <v/>
      </c>
      <c r="HR43" s="33" t="s">
        <v>38</v>
      </c>
      <c r="HU43" s="31" t="str">
        <f>IF(HT43/(INDEX('Standards for Conversions'!$H$47:$H$73,MATCH(HS$3,'Standards for Conversions'!$A$47:$A$73,0)))=0,"",HT43/(INDEX('Standards for Conversions'!$H$47:$H$73,MATCH(HS$3,'Standards for Conversions'!$A$47:$A$73,0))))</f>
        <v/>
      </c>
      <c r="HV43" s="33" t="s">
        <v>38</v>
      </c>
      <c r="HY43" s="31" t="str">
        <f>IF(HX43/(INDEX('Standards for Conversions'!$H$47:$H$73,MATCH(HW$3,'Standards for Conversions'!$A$47:$A$73,0)))=0,"",HX43/(INDEX('Standards for Conversions'!$H$47:$H$73,MATCH(HW$3,'Standards for Conversions'!$A$47:$A$73,0))))</f>
        <v/>
      </c>
      <c r="HZ43" s="33">
        <v>100</v>
      </c>
      <c r="IA43" s="33">
        <v>500</v>
      </c>
      <c r="IB43" s="31">
        <f>IF(IA43/(INDEX('Standards for Conversions'!$H$47:$H$73,MATCH(HZ$3,'Standards for Conversions'!$A$47:$A$73,0)))=0,"",IA43/(INDEX('Standards for Conversions'!$H$47:$H$73,MATCH(HZ$3,'Standards for Conversions'!$A$47:$A$73,0))))</f>
        <v>72.622706106427984</v>
      </c>
      <c r="IC43" s="33" t="s">
        <v>38</v>
      </c>
      <c r="IF43" s="31" t="str">
        <f>IF(IE43/(INDEX('Standards for Conversions'!$H$47:$H$73,MATCH(ID$3,'Standards for Conversions'!$A$47:$A$73,0)))=0,"",IE43/(INDEX('Standards for Conversions'!$H$47:$H$73,MATCH(ID$3,'Standards for Conversions'!$A$47:$A$73,0))))</f>
        <v/>
      </c>
      <c r="IG43" s="33" t="s">
        <v>38</v>
      </c>
      <c r="IJ43" s="31" t="str">
        <f>IF(II43/(INDEX('Standards for Conversions'!$H$47:$H$73,MATCH(IH$3,'Standards for Conversions'!$A$47:$A$73,0)))=0,"",II43/(INDEX('Standards for Conversions'!$H$47:$H$73,MATCH(IH$3,'Standards for Conversions'!$A$47:$A$73,0))))</f>
        <v/>
      </c>
      <c r="IK43" s="33" t="s">
        <v>38</v>
      </c>
      <c r="IN43" s="31" t="str">
        <f>IF(IM43/(INDEX('Standards for Conversions'!$H$47:$H$73,MATCH(IL$3,'Standards for Conversions'!$A$47:$A$73,0)))=0,"",IM43/(INDEX('Standards for Conversions'!$H$47:$H$73,MATCH(IL$3,'Standards for Conversions'!$A$47:$A$73,0))))</f>
        <v/>
      </c>
      <c r="IO43" s="33" t="s">
        <v>38</v>
      </c>
      <c r="IP43" s="29">
        <v>23</v>
      </c>
      <c r="IQ43" s="29">
        <v>127</v>
      </c>
      <c r="IR43" s="31">
        <f>IF(IQ43/(INDEX('Standards for Conversions'!$H$47:$H$73,MATCH(IP$3,'Standards for Conversions'!$A$47:$A$73,0)))=0,"",IQ43/(INDEX('Standards for Conversions'!$H$47:$H$73,MATCH(IP$3,'Standards for Conversions'!$A$47:$A$73,0))))</f>
        <v>18.365498980692909</v>
      </c>
      <c r="IS43" s="33" t="s">
        <v>38</v>
      </c>
      <c r="IV43" s="31" t="str">
        <f>IF(IU43/(INDEX('Standards for Conversions'!$H$47:$H$73,MATCH(IT$3,'Standards for Conversions'!$A$47:$A$73,0)))=0,"",IU43/(INDEX('Standards for Conversions'!$H$47:$H$73,MATCH(IT$3,'Standards for Conversions'!$A$47:$A$73,0))))</f>
        <v/>
      </c>
      <c r="IW43" s="33" t="s">
        <v>38</v>
      </c>
      <c r="IZ43" s="31" t="str">
        <f>IF(IY43/(INDEX('Standards for Conversions'!$H$47:$H$73,MATCH(IX$3,'Standards for Conversions'!$A$47:$A$73,0)))=0,"",IY43/(INDEX('Standards for Conversions'!$H$47:$H$73,MATCH(IX$3,'Standards for Conversions'!$A$47:$A$73,0))))</f>
        <v/>
      </c>
      <c r="JA43" s="48" t="s">
        <v>38</v>
      </c>
      <c r="JD43" s="31" t="str">
        <f>IF(JC43/(INDEX('Standards for Conversions'!$H$47:$H$73,MATCH(JB$3,'Standards for Conversions'!$A$47:$A$73,0)))=0,"",JC43/(INDEX('Standards for Conversions'!$H$47:$H$73,MATCH(JB$3,'Standards for Conversions'!$A$47:$A$73,0))))</f>
        <v/>
      </c>
      <c r="JE43" s="48" t="s">
        <v>38</v>
      </c>
      <c r="JF43" s="29">
        <v>13</v>
      </c>
      <c r="JG43" s="29">
        <v>130</v>
      </c>
      <c r="JH43" s="31">
        <f>IF(JG43/(INDEX('Standards for Conversions'!$H$47:$H$73,MATCH(JF$3,'Standards for Conversions'!$A$47:$A$73,0)))=0,"",JG43/(INDEX('Standards for Conversions'!$H$47:$H$73,MATCH(JF$3,'Standards for Conversions'!$A$47:$A$73,0))))</f>
        <v>21.028825569942931</v>
      </c>
      <c r="JI43" s="33"/>
      <c r="JL43" s="31" t="str">
        <f>IF(JK43/(INDEX('Standards for Conversions'!$H$47:$H$73,MATCH(JJ$3,'Standards for Conversions'!$A$47:$A$73,0)))=0,"",JK43/(INDEX('Standards for Conversions'!$H$47:$H$73,MATCH(JJ$3,'Standards for Conversions'!$A$47:$A$73,0))))</f>
        <v/>
      </c>
      <c r="JM43" s="33" t="s">
        <v>38</v>
      </c>
      <c r="JP43" s="31" t="str">
        <f>IF(JO43/(INDEX('Standards for Conversions'!$H$47:$H$73,MATCH(JN$3,'Standards for Conversions'!$A$47:$A$73,0)))=0,"",JO43/(INDEX('Standards for Conversions'!$H$47:$H$73,MATCH(JN$3,'Standards for Conversions'!$A$47:$A$73,0))))</f>
        <v/>
      </c>
      <c r="JQ43" s="33" t="s">
        <v>38</v>
      </c>
      <c r="JT43" s="31" t="str">
        <f>IF(JS43/(INDEX('Standards for Conversions'!$H$47:$H$73,MATCH(JR$3,'Standards for Conversions'!$A$47:$A$73,0)))=0,"",JS43/(INDEX('Standards for Conversions'!$H$47:$H$73,MATCH(JR$3,'Standards for Conversions'!$A$47:$A$73,0))))</f>
        <v/>
      </c>
      <c r="JU43" s="33" t="s">
        <v>38</v>
      </c>
      <c r="JV43" s="29">
        <v>15</v>
      </c>
      <c r="JW43" s="29">
        <v>150</v>
      </c>
      <c r="JX43" s="31">
        <f>IF(JW43/(INDEX('Standards for Conversions'!$H$47:$H$73,MATCH(JV$3,'Standards for Conversions'!$A$47:$A$73,0)))=0,"",JW43/(INDEX('Standards for Conversions'!$H$47:$H$73,MATCH(JV$3,'Standards for Conversions'!$A$47:$A$73,0))))</f>
        <v>22.898383864169634</v>
      </c>
      <c r="JY43" s="33" t="s">
        <v>38</v>
      </c>
      <c r="KB43" s="31" t="str">
        <f>IF(KA43/(INDEX('Standards for Conversions'!$H$47:$H$73,MATCH(JZ$3,'Standards for Conversions'!$A$47:$A$73,0)))=0,"",KA43/(INDEX('Standards for Conversions'!$H$47:$H$73,MATCH(JZ$3,'Standards for Conversions'!$A$47:$A$73,0))))</f>
        <v/>
      </c>
      <c r="KC43" s="33" t="s">
        <v>38</v>
      </c>
      <c r="KF43" s="31" t="str">
        <f>IF(KE43/(INDEX('Standards for Conversions'!$H$47:$H$73,MATCH(KD$3,'Standards for Conversions'!$A$47:$A$73,0)))=0,"",KE43/(INDEX('Standards for Conversions'!$H$47:$H$73,MATCH(KD$3,'Standards for Conversions'!$A$47:$A$73,0))))</f>
        <v/>
      </c>
      <c r="KG43" s="33" t="s">
        <v>38</v>
      </c>
      <c r="KJ43" s="31" t="str">
        <f>IF(KI43/(INDEX('Standards for Conversions'!$H$47:$H$73,MATCH(KH$3,'Standards for Conversions'!$A$47:$A$73,0)))=0,"",KI43/(INDEX('Standards for Conversions'!$H$47:$H$73,MATCH(KH$3,'Standards for Conversions'!$A$47:$A$73,0))))</f>
        <v/>
      </c>
      <c r="KK43" s="33" t="s">
        <v>38</v>
      </c>
      <c r="KL43" s="29">
        <v>15</v>
      </c>
      <c r="KM43" s="29">
        <v>120</v>
      </c>
      <c r="KN43" s="31">
        <f>IF(KM43/(INDEX('Standards for Conversions'!$H$47:$H$73,MATCH(KL$3,'Standards for Conversions'!$A$47:$A$73,0)))=0,"",KM43/(INDEX('Standards for Conversions'!$H$47:$H$73,MATCH(KL$3,'Standards for Conversions'!$A$47:$A$73,0))))</f>
        <v>16.159081428695576</v>
      </c>
      <c r="KO43" s="33" t="s">
        <v>38</v>
      </c>
      <c r="KR43" s="31" t="str">
        <f>IF(KQ43/(INDEX('Standards for Conversions'!$H$47:$H$73,MATCH(KP$3,'Standards for Conversions'!$A$47:$A$73,0)))=0,"",KQ43/(INDEX('Standards for Conversions'!$H$47:$H$73,MATCH(KP$3,'Standards for Conversions'!$A$47:$A$73,0))))</f>
        <v/>
      </c>
      <c r="KS43" s="33" t="s">
        <v>38</v>
      </c>
      <c r="KV43" s="31" t="str">
        <f>IF(KU43/(INDEX('Standards for Conversions'!$H$47:$H$73,MATCH(KT$3,'Standards for Conversions'!$A$47:$A$73,0)))=0,"",KU43/(INDEX('Standards for Conversions'!$H$47:$H$73,MATCH(KT$3,'Standards for Conversions'!$A$47:$A$73,0))))</f>
        <v/>
      </c>
      <c r="KW43" s="48" t="s">
        <v>38</v>
      </c>
      <c r="KZ43" s="31" t="str">
        <f>IF(KY43/(INDEX('Standards for Conversions'!$H$47:$H$73,MATCH(KX$3,'Standards for Conversions'!$A$47:$A$73,0)))=0,"",KY43/(INDEX('Standards for Conversions'!$H$47:$H$73,MATCH(KX$3,'Standards for Conversions'!$A$47:$A$73,0))))</f>
        <v/>
      </c>
      <c r="LA43" s="48" t="s">
        <v>38</v>
      </c>
      <c r="LD43" s="31" t="str">
        <f>IF(LC43/(INDEX('Standards for Conversions'!$H$47:$H$73,MATCH(LB$3,'Standards for Conversions'!$A$47:$A$73,0)))=0,"",LC43/(INDEX('Standards for Conversions'!$H$47:$H$73,MATCH(LB$3,'Standards for Conversions'!$A$47:$A$73,0))))</f>
        <v/>
      </c>
      <c r="LE43" s="33"/>
      <c r="LH43" s="31" t="str">
        <f>IF(LG43/(INDEX('Standards for Conversions'!$H$47:$H$73,MATCH(LF$3,'Standards for Conversions'!$A$47:$A$73,0)))=0,"",LG43/(INDEX('Standards for Conversions'!$H$47:$H$73,MATCH(LF$3,'Standards for Conversions'!$A$47:$A$73,0))))</f>
        <v/>
      </c>
      <c r="LL43" s="31" t="str">
        <f>IF(LK43/(INDEX('Standards for Conversions'!$H$47:$H$73,MATCH(LJ$3,'Standards for Conversions'!$A$47:$A$73,0)))=0,"",LK43/(INDEX('Standards for Conversions'!$H$47:$H$73,MATCH(LJ$3,'Standards for Conversions'!$A$47:$A$73,0))))</f>
        <v/>
      </c>
      <c r="LO43" s="31" t="str">
        <f>IF(LN43/(INDEX('Standards for Conversions'!$H$47:$H$73,MATCH(LM$3,'Standards for Conversions'!$A$47:$A$73,0)))=0,"",LN43/(INDEX('Standards for Conversions'!$H$47:$H$73,MATCH(LM$3,'Standards for Conversions'!$A$47:$A$73,0))))</f>
        <v/>
      </c>
      <c r="LR43" s="31" t="str">
        <f>IF(LQ43/(INDEX('Standards for Conversions'!$H$47:$H$73,MATCH(LP$3,'Standards for Conversions'!$A$47:$A$73,0)))=0,"",LQ43/(INDEX('Standards for Conversions'!$H$47:$H$73,MATCH(LP$3,'Standards for Conversions'!$A$47:$A$73,0))))</f>
        <v/>
      </c>
      <c r="LV43" s="31" t="str">
        <f>IF(LU43/(INDEX('Standards for Conversions'!$H$47:$H$73,MATCH(LT$3,'Standards for Conversions'!$A$47:$A$73,0)))=0,"",LU43/(INDEX('Standards for Conversions'!$H$47:$H$73,MATCH(LT$3,'Standards for Conversions'!$A$47:$A$73,0))))</f>
        <v/>
      </c>
      <c r="LY43" s="31" t="str">
        <f>IF(LX43/(INDEX('Standards for Conversions'!$H$47:$H$73,MATCH(LW$3,'Standards for Conversions'!$A$47:$A$73,0)))=0,"",LX43/(INDEX('Standards for Conversions'!$H$47:$H$73,MATCH(LW$3,'Standards for Conversions'!$A$47:$A$73,0))))</f>
        <v/>
      </c>
      <c r="MB43" s="31" t="str">
        <f>IF(MA43/(INDEX('Standards for Conversions'!$H$47:$H$73,MATCH(LZ$3,'Standards for Conversions'!$A$47:$A$73,0)))=0,"",MA43/(INDEX('Standards for Conversions'!$H$47:$H$73,MATCH(LZ$3,'Standards for Conversions'!$A$47:$A$73,0))))</f>
        <v/>
      </c>
      <c r="ME43" s="31" t="str">
        <f>IF(MD43/(INDEX('Standards for Conversions'!$H$47:$H$73,MATCH(MC$3,'Standards for Conversions'!$A$47:$A$73,0)))=0,"",MD43/(INDEX('Standards for Conversions'!$H$47:$H$73,MATCH(MC$3,'Standards for Conversions'!$A$47:$A$73,0))))</f>
        <v/>
      </c>
      <c r="MH43" s="31" t="str">
        <f>IF(MG43/(INDEX('Standards for Conversions'!$H$47:$H$73,MATCH(MF$3,'Standards for Conversions'!$A$47:$A$73,0)))=0,"",MG43/(INDEX('Standards for Conversions'!$H$47:$H$73,MATCH(MF$3,'Standards for Conversions'!$A$47:$A$73,0))))</f>
        <v/>
      </c>
      <c r="MK43" s="31" t="str">
        <f>IF(MJ43/(INDEX('Standards for Conversions'!$H$47:$H$73,MATCH(MI$3,'Standards for Conversions'!$A$47:$A$73,0)))=0,"",MJ43/(INDEX('Standards for Conversions'!$H$47:$H$73,MATCH(MI$3,'Standards for Conversions'!$A$47:$A$73,0))))</f>
        <v/>
      </c>
      <c r="MN43" s="31" t="str">
        <f>IF(MM43/(INDEX('Standards for Conversions'!$H$47:$H$73,MATCH(ML$3,'Standards for Conversions'!$A$47:$A$73,0)))=0,"",MM43/(INDEX('Standards for Conversions'!$H$47:$H$73,MATCH(ML$3,'Standards for Conversions'!$A$47:$A$73,0))))</f>
        <v/>
      </c>
      <c r="MR43" s="31" t="str">
        <f>IF(MQ43/(INDEX('Standards for Conversions'!$H$47:$H$73,MATCH(MP$3,'Standards for Conversions'!$A$47:$A$73,0)))=0,"",MQ43/(INDEX('Standards for Conversions'!$H$47:$H$73,MATCH(MP$3,'Standards for Conversions'!$A$47:$A$73,0))))</f>
        <v/>
      </c>
    </row>
    <row r="44" spans="1:356" hidden="1" x14ac:dyDescent="0.3">
      <c r="A44" s="103" t="s">
        <v>226</v>
      </c>
      <c r="B44" s="10" t="s">
        <v>38</v>
      </c>
      <c r="C44" s="7"/>
      <c r="D44" s="7"/>
      <c r="E44" s="31" t="str">
        <f>IF(D44/(INDEX('Standards for Conversions'!$H$34:$H$73,MATCH(C$3,'Standards for Conversions'!$A$34:$A$73,0)))=0,"",D44/(INDEX('Standards for Conversions'!$H$34:$H$73,MATCH(C$3,'Standards for Conversions'!$A$34:$A$73,0))))</f>
        <v/>
      </c>
      <c r="F44" s="10" t="s">
        <v>38</v>
      </c>
      <c r="G44" s="7"/>
      <c r="H44" s="7"/>
      <c r="I44" s="31" t="str">
        <f>IF(H44/(INDEX('Standards for Conversions'!$H$34:$H$73,MATCH(G$3,'Standards for Conversions'!$A$34:$A$73,0)))=0,"",H44/(INDEX('Standards for Conversions'!$H$34:$H$73,MATCH(G$3,'Standards for Conversions'!$A$34:$A$73,0))))</f>
        <v/>
      </c>
      <c r="J44" s="10" t="s">
        <v>38</v>
      </c>
      <c r="K44" s="9"/>
      <c r="L44" s="9"/>
      <c r="M44" s="31" t="str">
        <f>IF(L44/(INDEX('Standards for Conversions'!$H$34:$H$73,MATCH(K$3,'Standards for Conversions'!$A$34:$A$73,0)))=0,"",L44/(INDEX('Standards for Conversions'!$H$34:$H$73,MATCH(K$3,'Standards for Conversions'!$A$34:$A$73,0))))</f>
        <v/>
      </c>
      <c r="N44" s="10" t="s">
        <v>38</v>
      </c>
      <c r="O44" s="7"/>
      <c r="P44" s="7"/>
      <c r="Q44" s="31" t="str">
        <f>IF(P44/(INDEX('Standards for Conversions'!$H$34:$H$73,MATCH(O$3,'Standards for Conversions'!$A$34:$A$73,0)))=0,"",P44/(INDEX('Standards for Conversions'!$H$34:$H$73,MATCH(O$3,'Standards for Conversions'!$A$34:$A$73,0))))</f>
        <v/>
      </c>
      <c r="R44" s="10" t="s">
        <v>38</v>
      </c>
      <c r="S44" s="7"/>
      <c r="T44" s="7"/>
      <c r="U44" s="31" t="str">
        <f>IF(T44/(INDEX('Standards for Conversions'!$H$34:$H$73,MATCH(S$3,'Standards for Conversions'!$A$34:$A$73,0)))=0,"",T44/(INDEX('Standards for Conversions'!$H$34:$H$73,MATCH(S$3,'Standards for Conversions'!$A$34:$A$73,0))))</f>
        <v/>
      </c>
      <c r="V44" s="10" t="s">
        <v>38</v>
      </c>
      <c r="W44" s="7"/>
      <c r="X44" s="7"/>
      <c r="Y44" s="31" t="str">
        <f>IF(X44/(INDEX('Standards for Conversions'!$H$34:$H$73,MATCH(W$3,'Standards for Conversions'!$A$34:$A$73,0)))=0,"",X44/(INDEX('Standards for Conversions'!$H$34:$H$73,MATCH(W$3,'Standards for Conversions'!$A$34:$A$73,0))))</f>
        <v/>
      </c>
      <c r="Z44" s="10" t="s">
        <v>38</v>
      </c>
      <c r="AA44" s="9"/>
      <c r="AB44" s="9"/>
      <c r="AC44" s="31" t="str">
        <f>IF(AB44/(INDEX('Standards for Conversions'!$H$34:$H$73,MATCH(AA$3,'Standards for Conversions'!$A$34:$A$73,0)))=0,"",AB44/(INDEX('Standards for Conversions'!$H$34:$H$73,MATCH(AA$3,'Standards for Conversions'!$A$34:$A$73,0))))</f>
        <v/>
      </c>
      <c r="AD44" s="10" t="s">
        <v>38</v>
      </c>
      <c r="AE44" s="7"/>
      <c r="AF44" s="7"/>
      <c r="AG44" s="31" t="str">
        <f>IF(AF44/(INDEX('Standards for Conversions'!$H$34:$H$73,MATCH(AE$3,'Standards for Conversions'!$A$34:$A$73,0)))=0,"",AF44/(INDEX('Standards for Conversions'!$H$34:$H$73,MATCH(AE$3,'Standards for Conversions'!$A$34:$A$73,0))))</f>
        <v/>
      </c>
      <c r="AH44" s="10" t="s">
        <v>38</v>
      </c>
      <c r="AI44" s="7"/>
      <c r="AJ44" s="7"/>
      <c r="AK44" s="31" t="str">
        <f>IF(AJ44/(INDEX('Standards for Conversions'!$H$34:$H$73,MATCH(AI$3,'Standards for Conversions'!$A$34:$A$73,0)))=0,"",AJ44/(INDEX('Standards for Conversions'!$H$34:$H$73,MATCH(AI$3,'Standards for Conversions'!$A$34:$A$73,0))))</f>
        <v/>
      </c>
      <c r="AL44" s="10" t="s">
        <v>38</v>
      </c>
      <c r="AM44" s="7"/>
      <c r="AN44" s="7"/>
      <c r="AO44" s="31" t="str">
        <f>IF(AN44/(INDEX('Standards for Conversions'!$H$34:$H$73,MATCH(AM$3,'Standards for Conversions'!$A$34:$A$73,0)))=0,"",AN44/(INDEX('Standards for Conversions'!$H$34:$H$73,MATCH(AM$3,'Standards for Conversions'!$A$34:$A$73,0))))</f>
        <v/>
      </c>
      <c r="AP44" s="10" t="s">
        <v>38</v>
      </c>
      <c r="AQ44" s="9"/>
      <c r="AR44" s="9"/>
      <c r="AS44" s="31" t="str">
        <f>IF(AR44/(INDEX('Standards for Conversions'!$H$34:$H$73,MATCH(AQ$3,'Standards for Conversions'!$A$34:$A$73,0)))=0,"",AR44/(INDEX('Standards for Conversions'!$H$34:$H$73,MATCH(AQ$3,'Standards for Conversions'!$A$34:$A$73,0))))</f>
        <v/>
      </c>
      <c r="AT44" s="10" t="s">
        <v>38</v>
      </c>
      <c r="AU44" s="7"/>
      <c r="AV44" s="7"/>
      <c r="AW44" s="31" t="str">
        <f>IF(AV44/(INDEX('Standards for Conversions'!$H$34:$H$73,MATCH(AU$3,'Standards for Conversions'!$A$34:$A$73,0)))=0,"",AV44/(INDEX('Standards for Conversions'!$H$34:$H$73,MATCH(AU$3,'Standards for Conversions'!$A$34:$A$73,0))))</f>
        <v/>
      </c>
      <c r="AX44" s="10" t="s">
        <v>38</v>
      </c>
      <c r="AY44" s="7"/>
      <c r="AZ44" s="7"/>
      <c r="BA44" s="31" t="str">
        <f>IF(AZ44/(INDEX('Standards for Conversions'!$H$34:$H$73,MATCH(AY$3,'Standards for Conversions'!$A$34:$A$73,0)))=0,"",AZ44/(INDEX('Standards for Conversions'!$H$34:$H$73,MATCH(AY$3,'Standards for Conversions'!$A$34:$A$73,0))))</f>
        <v/>
      </c>
      <c r="BB44" s="10" t="s">
        <v>38</v>
      </c>
      <c r="BC44" s="7"/>
      <c r="BD44" s="7"/>
      <c r="BE44" s="31" t="str">
        <f>IF(BD44/(INDEX('Standards for Conversions'!$H$34:$H$73,MATCH(BC$3,'Standards for Conversions'!$A$34:$A$73,0)))=0,"",BD44/(INDEX('Standards for Conversions'!$H$34:$H$73,MATCH(BC$3,'Standards for Conversions'!$A$34:$A$73,0))))</f>
        <v/>
      </c>
      <c r="BF44" s="10" t="s">
        <v>38</v>
      </c>
      <c r="BG44" s="9"/>
      <c r="BH44" s="9"/>
      <c r="BI44" s="31" t="str">
        <f>IF(BH44/(INDEX('Standards for Conversions'!$H$34:$H$73,MATCH(BG$3,'Standards for Conversions'!$A$34:$A$73,0)))=0,"",BH44/(INDEX('Standards for Conversions'!$H$34:$H$73,MATCH(BG$3,'Standards for Conversions'!$A$34:$A$73,0))))</f>
        <v/>
      </c>
      <c r="BJ44" s="10" t="s">
        <v>38</v>
      </c>
      <c r="BK44" s="7"/>
      <c r="BL44" s="7"/>
      <c r="BM44" s="31" t="str">
        <f>IF(BL44/(INDEX('Standards for Conversions'!$H$34:$H$73,MATCH(BK$3,'Standards for Conversions'!$A$34:$A$73,0)))=0,"",BL44/(INDEX('Standards for Conversions'!$H$34:$H$73,MATCH(BK$3,'Standards for Conversions'!$A$34:$A$73,0))))</f>
        <v/>
      </c>
      <c r="BN44" s="10" t="s">
        <v>38</v>
      </c>
      <c r="BO44" s="7"/>
      <c r="BP44" s="7"/>
      <c r="BQ44" s="31" t="str">
        <f>IF(BP44/(INDEX('Standards for Conversions'!$H$34:$H$73,MATCH(BO$3,'Standards for Conversions'!$A$34:$A$73,0)))=0,"",BP44/(INDEX('Standards for Conversions'!$H$34:$H$73,MATCH(BO$3,'Standards for Conversions'!$A$34:$A$73,0))))</f>
        <v/>
      </c>
      <c r="BR44" s="10" t="s">
        <v>38</v>
      </c>
      <c r="BS44" s="7"/>
      <c r="BT44" s="7"/>
      <c r="BU44" s="31" t="str">
        <f>IF(BT44/(INDEX('Standards for Conversions'!$H$34:$H$73,MATCH(BS$3,'Standards for Conversions'!$A$34:$A$73,0)))=0,"",BT44/(INDEX('Standards for Conversions'!$H$34:$H$73,MATCH(BS$3,'Standards for Conversions'!$A$34:$A$73,0))))</f>
        <v/>
      </c>
      <c r="BV44" s="10" t="s">
        <v>38</v>
      </c>
      <c r="BW44" s="9"/>
      <c r="BX44" s="9"/>
      <c r="BY44" s="31" t="str">
        <f>IF(BX44/(INDEX('Standards for Conversions'!$H$34:$H$73,MATCH(BW$3,'Standards for Conversions'!$A$34:$A$73,0)))=0,"",BX44/(INDEX('Standards for Conversions'!$H$34:$H$73,MATCH(BW$3,'Standards for Conversions'!$A$34:$A$73,0))))</f>
        <v/>
      </c>
      <c r="BZ44" s="10" t="s">
        <v>38</v>
      </c>
      <c r="CA44" s="7"/>
      <c r="CB44" s="7"/>
      <c r="CC44" s="31" t="str">
        <f>IF(CB44/(INDEX('Standards for Conversions'!$H$34:$H$73,MATCH(CA$3,'Standards for Conversions'!$A$34:$A$73,0)))=0,"",CB44/(INDEX('Standards for Conversions'!$H$34:$H$73,MATCH(CA$3,'Standards for Conversions'!$A$34:$A$73,0))))</f>
        <v/>
      </c>
      <c r="CD44" s="10" t="s">
        <v>38</v>
      </c>
      <c r="CE44" s="7"/>
      <c r="CF44" s="7"/>
      <c r="CG44" s="31" t="str">
        <f>IF(CF44/(INDEX('Standards for Conversions'!$H$34:$H$73,MATCH(CE$3,'Standards for Conversions'!$A$34:$A$73,0)))=0,"",CF44/(INDEX('Standards for Conversions'!$H$34:$H$73,MATCH(CE$3,'Standards for Conversions'!$A$34:$A$73,0))))</f>
        <v/>
      </c>
      <c r="CH44" s="10" t="s">
        <v>38</v>
      </c>
      <c r="CI44" s="7"/>
      <c r="CJ44" s="7"/>
      <c r="CK44" s="31" t="str">
        <f>IF(CJ44/(INDEX('Standards for Conversions'!$H$34:$H$73,MATCH(CI$3,'Standards for Conversions'!$A$34:$A$73,0)))=0,"",CJ44/(INDEX('Standards for Conversions'!$H$34:$H$73,MATCH(CI$3,'Standards for Conversions'!$A$34:$A$73,0))))</f>
        <v/>
      </c>
      <c r="CL44" s="10" t="s">
        <v>38</v>
      </c>
      <c r="CM44" s="9"/>
      <c r="CN44" s="9"/>
      <c r="CO44" s="31" t="str">
        <f>IF(CN44/(INDEX('Standards for Conversions'!$H$34:$H$73,MATCH(CM$3,'Standards for Conversions'!$A$34:$A$73,0)))=0,"",CN44/(INDEX('Standards for Conversions'!$H$34:$H$73,MATCH(CM$3,'Standards for Conversions'!$A$34:$A$73,0))))</f>
        <v/>
      </c>
      <c r="CP44" s="10" t="s">
        <v>38</v>
      </c>
      <c r="CQ44" s="7"/>
      <c r="CR44" s="7"/>
      <c r="CS44" s="31" t="str">
        <f>IF(CR44/(INDEX('Standards for Conversions'!$H$34:$H$73,MATCH(CQ$3,'Standards for Conversions'!$A$34:$A$73,0)))=0,"",CR44/(INDEX('Standards for Conversions'!$H$34:$H$73,MATCH(CQ$3,'Standards for Conversions'!$A$34:$A$73,0))))</f>
        <v/>
      </c>
      <c r="CT44" s="10" t="s">
        <v>38</v>
      </c>
      <c r="CU44" s="7"/>
      <c r="CV44" s="7"/>
      <c r="CW44" s="31" t="str">
        <f>IF(CV44/(INDEX('Standards for Conversions'!$H$34:$H$73,MATCH(CU$3,'Standards for Conversions'!$A$34:$A$73,0)))=0,"",CV44/(INDEX('Standards for Conversions'!$H$34:$H$73,MATCH(CU$3,'Standards for Conversions'!$A$34:$A$73,0))))</f>
        <v/>
      </c>
      <c r="CX44" s="10" t="s">
        <v>38</v>
      </c>
      <c r="CY44" s="7"/>
      <c r="CZ44" s="7"/>
      <c r="DA44" s="31" t="str">
        <f>IF(CZ44/(INDEX('Standards for Conversions'!$H$34:$H$73,MATCH(CY$3,'Standards for Conversions'!$A$34:$A$73,0)))=0,"",CZ44/(INDEX('Standards for Conversions'!$H$34:$H$73,MATCH(CY$3,'Standards for Conversions'!$A$34:$A$73,0))))</f>
        <v/>
      </c>
      <c r="DB44" s="10" t="s">
        <v>38</v>
      </c>
      <c r="DC44" s="9"/>
      <c r="DD44" s="9"/>
      <c r="DE44" s="31" t="str">
        <f>IF(DD44/(INDEX('Standards for Conversions'!$H$34:$H$73,MATCH(DC$3,'Standards for Conversions'!$A$34:$A$73,0)))=0,"",DD44/(INDEX('Standards for Conversions'!$H$34:$H$73,MATCH(DC$3,'Standards for Conversions'!$A$34:$A$73,0))))</f>
        <v/>
      </c>
      <c r="DF44" s="10" t="s">
        <v>38</v>
      </c>
      <c r="DG44" s="7"/>
      <c r="DH44" s="7"/>
      <c r="DI44" s="31" t="str">
        <f>IF(DH44/(INDEX('Standards for Conversions'!$H$34:$H$73,MATCH(DG$3,'Standards for Conversions'!$A$34:$A$73,0)))=0,"",DH44/(INDEX('Standards for Conversions'!$H$34:$H$73,MATCH(DG$3,'Standards for Conversions'!$A$34:$A$73,0))))</f>
        <v/>
      </c>
      <c r="DJ44" s="10" t="s">
        <v>38</v>
      </c>
      <c r="DK44" s="7"/>
      <c r="DL44" s="7"/>
      <c r="DM44" s="31" t="str">
        <f>IF(DL44/(INDEX('Standards for Conversions'!$H$34:$H$73,MATCH(DK$3,'Standards for Conversions'!$A$34:$A$73,0)))=0,"",DL44/(INDEX('Standards for Conversions'!$H$34:$H$73,MATCH(DK$3,'Standards for Conversions'!$A$34:$A$73,0))))</f>
        <v/>
      </c>
      <c r="DN44" s="10" t="s">
        <v>38</v>
      </c>
      <c r="DO44" s="7"/>
      <c r="DP44" s="7"/>
      <c r="DQ44" s="31" t="str">
        <f>IF(DP44/(INDEX('Standards for Conversions'!$H$34:$H$73,MATCH(DO$3,'Standards for Conversions'!$A$34:$A$73,0)))=0,"",DP44/(INDEX('Standards for Conversions'!$H$34:$H$73,MATCH(DO$3,'Standards for Conversions'!$A$34:$A$73,0))))</f>
        <v/>
      </c>
      <c r="DR44" s="10" t="s">
        <v>38</v>
      </c>
      <c r="DS44" s="9"/>
      <c r="DT44" s="9"/>
      <c r="DU44" s="31" t="str">
        <f>IF(DT44/(INDEX('Standards for Conversions'!$H$34:$H$73,MATCH(DS$3,'Standards for Conversions'!$A$34:$A$73,0)))=0,"",DT44/(INDEX('Standards for Conversions'!$H$34:$H$73,MATCH(DS$3,'Standards for Conversions'!$A$34:$A$73,0))))</f>
        <v/>
      </c>
      <c r="DV44" s="10" t="s">
        <v>38</v>
      </c>
      <c r="DW44" s="7"/>
      <c r="DX44" s="7"/>
      <c r="DY44" s="31" t="str">
        <f>IF(DX44/(INDEX('Standards for Conversions'!$H$34:$H$73,MATCH(DW$3,'Standards for Conversions'!$A$34:$A$73,0)))=0,"",DX44/(INDEX('Standards for Conversions'!$H$34:$H$73,MATCH(DW$3,'Standards for Conversions'!$A$34:$A$73,0))))</f>
        <v/>
      </c>
      <c r="DZ44" s="10" t="s">
        <v>38</v>
      </c>
      <c r="EA44" s="7"/>
      <c r="EB44" s="7"/>
      <c r="EC44" s="31" t="str">
        <f>IF(EB44/(INDEX('Standards for Conversions'!$H$34:$H$73,MATCH(EA$3,'Standards for Conversions'!$A$34:$A$73,0)))=0,"",EB44/(INDEX('Standards for Conversions'!$H$34:$H$73,MATCH(EA$3,'Standards for Conversions'!$A$34:$A$73,0))))</f>
        <v/>
      </c>
      <c r="ED44" s="10" t="s">
        <v>38</v>
      </c>
      <c r="EE44" s="7"/>
      <c r="EF44" s="7"/>
      <c r="EG44" s="31" t="str">
        <f>IF(EF44/(INDEX('Standards for Conversions'!$H$34:$H$73,MATCH(EE$3,'Standards for Conversions'!$A$34:$A$73,0)))=0,"",EF44/(INDEX('Standards for Conversions'!$H$34:$H$73,MATCH(EE$3,'Standards for Conversions'!$A$34:$A$73,0))))</f>
        <v/>
      </c>
      <c r="EH44" s="10" t="s">
        <v>38</v>
      </c>
      <c r="EI44" s="9"/>
      <c r="EJ44" s="9"/>
      <c r="EK44" s="31" t="str">
        <f>IF(EJ44/(INDEX('Standards for Conversions'!$H$34:$H$73,MATCH(EI$3,'Standards for Conversions'!$A$34:$A$73,0)))=0,"",EJ44/(INDEX('Standards for Conversions'!$H$34:$H$73,MATCH(EI$3,'Standards for Conversions'!$A$34:$A$73,0))))</f>
        <v/>
      </c>
      <c r="EL44" s="10" t="s">
        <v>38</v>
      </c>
      <c r="EM44" s="7"/>
      <c r="EN44" s="7"/>
      <c r="EO44" s="31" t="str">
        <f>IF(EN44/(INDEX('Standards for Conversions'!$H$34:$H$73,MATCH(EM$3,'Standards for Conversions'!$A$34:$A$73,0)))=0,"",EN44/(INDEX('Standards for Conversions'!$H$34:$H$73,MATCH(EM$3,'Standards for Conversions'!$A$34:$A$73,0))))</f>
        <v/>
      </c>
      <c r="EP44" s="10" t="s">
        <v>38</v>
      </c>
      <c r="EQ44" s="7"/>
      <c r="ER44" s="7"/>
      <c r="ES44" s="31" t="str">
        <f>IF(ER44/(INDEX('Standards for Conversions'!$H$34:$H$73,MATCH(EQ$3,'Standards for Conversions'!$A$34:$A$73,0)))=0,"",ER44/(INDEX('Standards for Conversions'!$H$34:$H$73,MATCH(EQ$3,'Standards for Conversions'!$A$34:$A$73,0))))</f>
        <v/>
      </c>
      <c r="ET44" s="10" t="s">
        <v>38</v>
      </c>
      <c r="EU44" s="7"/>
      <c r="EV44" s="7"/>
      <c r="EW44" s="31" t="str">
        <f>IF(EV44/(INDEX('Standards for Conversions'!$H$34:$H$73,MATCH(EU$3,'Standards for Conversions'!$A$34:$A$73,0)))=0,"",EV44/(INDEX('Standards for Conversions'!$H$34:$H$73,MATCH(EU$3,'Standards for Conversions'!$A$34:$A$73,0))))</f>
        <v/>
      </c>
      <c r="EX44" s="10" t="s">
        <v>38</v>
      </c>
      <c r="EY44" s="9"/>
      <c r="EZ44" s="9"/>
      <c r="FA44" s="31" t="str">
        <f>IF(EZ44/(INDEX('Standards for Conversions'!$H$34:$H$73,MATCH(EY$3,'Standards for Conversions'!$A$34:$A$73,0)))=0,"",EZ44/(INDEX('Standards for Conversions'!$H$34:$H$73,MATCH(EY$3,'Standards for Conversions'!$A$34:$A$73,0))))</f>
        <v/>
      </c>
      <c r="FB44" s="10" t="s">
        <v>38</v>
      </c>
      <c r="FC44" s="7"/>
      <c r="FD44" s="7"/>
      <c r="FE44" s="31" t="str">
        <f>IF(FD44/(INDEX('Standards for Conversions'!$H$34:$H$73,MATCH(FC$3,'Standards for Conversions'!$A$34:$A$73,0)))=0,"",FD44/(INDEX('Standards for Conversions'!$H$34:$H$73,MATCH(FC$3,'Standards for Conversions'!$A$34:$A$73,0))))</f>
        <v/>
      </c>
      <c r="FF44" s="10" t="s">
        <v>38</v>
      </c>
      <c r="FG44" s="7"/>
      <c r="FH44" s="7"/>
      <c r="FI44" s="31" t="str">
        <f>IF(FH44/(INDEX('Standards for Conversions'!$H$34:$H$73,MATCH(FG$3,'Standards for Conversions'!$A$34:$A$73,0)))=0,"",FH44/(INDEX('Standards for Conversions'!$H$34:$H$73,MATCH(FG$3,'Standards for Conversions'!$A$34:$A$73,0))))</f>
        <v/>
      </c>
      <c r="FJ44" s="10" t="s">
        <v>38</v>
      </c>
      <c r="FK44" s="7"/>
      <c r="FL44" s="7"/>
      <c r="FM44" s="31" t="str">
        <f>IF(FL44/(INDEX('Standards for Conversions'!$H$34:$H$73,MATCH(FK$3,'Standards for Conversions'!$A$34:$A$73,0)))=0,"",FL44/(INDEX('Standards for Conversions'!$H$34:$H$73,MATCH(FK$3,'Standards for Conversions'!$A$34:$A$73,0))))</f>
        <v/>
      </c>
      <c r="FN44" s="10" t="s">
        <v>38</v>
      </c>
      <c r="FO44" s="9"/>
      <c r="FP44" s="9"/>
      <c r="FQ44" s="31" t="str">
        <f>IF(FP44/(INDEX('Standards for Conversions'!$H$34:$H$73,MATCH(FO$3,'Standards for Conversions'!$A$34:$A$73,0)))=0,"",FP44/(INDEX('Standards for Conversions'!$H$34:$H$73,MATCH(FO$3,'Standards for Conversions'!$A$34:$A$73,0))))</f>
        <v/>
      </c>
      <c r="FR44" s="10" t="s">
        <v>38</v>
      </c>
      <c r="FS44" s="7"/>
      <c r="FT44" s="7"/>
      <c r="FU44" s="31" t="str">
        <f>IF(FT44/(INDEX('Standards for Conversions'!$H$34:$H$73,MATCH(FS$3,'Standards for Conversions'!$A$34:$A$73,0)))=0,"",FT44/(INDEX('Standards for Conversions'!$H$34:$H$73,MATCH(FS$3,'Standards for Conversions'!$A$34:$A$73,0))))</f>
        <v/>
      </c>
      <c r="FV44" s="10" t="s">
        <v>38</v>
      </c>
      <c r="FW44" s="7"/>
      <c r="FX44" s="7"/>
      <c r="FY44" s="31" t="str">
        <f>IF(FX44/(INDEX('Standards for Conversions'!$H$34:$H$73,MATCH(FW$3,'Standards for Conversions'!$A$34:$A$73,0)))=0,"",FX44/(INDEX('Standards for Conversions'!$H$34:$H$73,MATCH(FW$3,'Standards for Conversions'!$A$34:$A$73,0))))</f>
        <v/>
      </c>
      <c r="FZ44" s="10" t="s">
        <v>38</v>
      </c>
      <c r="GA44" s="7"/>
      <c r="GB44" s="7"/>
      <c r="GC44" s="31" t="str">
        <f>IF(GB44/(INDEX('Standards for Conversions'!$H$34:$H$73,MATCH(GA$3,'Standards for Conversions'!$A$34:$A$73,0)))=0,"",GB44/(INDEX('Standards for Conversions'!$H$34:$H$73,MATCH(GA$3,'Standards for Conversions'!$A$34:$A$73,0))))</f>
        <v/>
      </c>
      <c r="GD44" s="10" t="s">
        <v>38</v>
      </c>
      <c r="GE44" s="9"/>
      <c r="GF44" s="9"/>
      <c r="GG44" s="31" t="str">
        <f>IF(GF44/(INDEX('Standards for Conversions'!$H$34:$H$73,MATCH(GE$3,'Standards for Conversions'!$A$34:$A$73,0)))=0,"",GF44/(INDEX('Standards for Conversions'!$H$34:$H$73,MATCH(GE$3,'Standards for Conversions'!$A$34:$A$73,0))))</f>
        <v/>
      </c>
      <c r="GH44" s="10" t="s">
        <v>38</v>
      </c>
      <c r="GI44" s="7"/>
      <c r="GJ44" s="7"/>
      <c r="GK44" s="31" t="str">
        <f>IF(GJ44/(INDEX('Standards for Conversions'!$H$34:$H$73,MATCH(GI$3,'Standards for Conversions'!$A$34:$A$73,0)))=0,"",GJ44/(INDEX('Standards for Conversions'!$H$34:$H$73,MATCH(GI$3,'Standards for Conversions'!$A$34:$A$73,0))))</f>
        <v/>
      </c>
      <c r="GL44" s="10" t="s">
        <v>38</v>
      </c>
      <c r="GM44" s="7"/>
      <c r="GN44" s="7"/>
      <c r="GO44" s="31" t="str">
        <f>IF(GN44/(INDEX('Standards for Conversions'!$H$34:$H$73,MATCH(GM$3,'Standards for Conversions'!$A$34:$A$73,0)))=0,"",GN44/(INDEX('Standards for Conversions'!$H$34:$H$73,MATCH(GM$3,'Standards for Conversions'!$A$34:$A$73,0))))</f>
        <v/>
      </c>
      <c r="GP44" s="10" t="s">
        <v>38</v>
      </c>
      <c r="GQ44" s="7"/>
      <c r="GR44" s="7"/>
      <c r="GS44" s="31" t="str">
        <f>IF(GR44/(INDEX('Standards for Conversions'!$H$34:$H$73,MATCH(GQ$3,'Standards for Conversions'!$A$34:$A$73,0)))=0,"",GR44/(INDEX('Standards for Conversions'!$H$34:$H$73,MATCH(GQ$3,'Standards for Conversions'!$A$34:$A$73,0))))</f>
        <v/>
      </c>
      <c r="GT44" s="10" t="s">
        <v>38</v>
      </c>
      <c r="GU44" s="9"/>
      <c r="GV44" s="9"/>
      <c r="GW44" s="31" t="str">
        <f>IF(GV44/(INDEX('Standards for Conversions'!$H$34:$H$73,MATCH(GU$3,'Standards for Conversions'!$A$34:$A$73,0)))=0,"",GV44/(INDEX('Standards for Conversions'!$H$34:$H$73,MATCH(GU$3,'Standards for Conversions'!$A$34:$A$73,0))))</f>
        <v/>
      </c>
      <c r="GX44" s="10" t="s">
        <v>38</v>
      </c>
      <c r="GY44" s="7"/>
      <c r="GZ44" s="7"/>
      <c r="HA44" s="31" t="str">
        <f>IF(GZ44/(INDEX('Standards for Conversions'!$H$34:$H$73,MATCH(GY$3,'Standards for Conversions'!$A$34:$A$73,0)))=0,"",GZ44/(INDEX('Standards for Conversions'!$H$34:$H$73,MATCH(GY$3,'Standards for Conversions'!$A$34:$A$73,0))))</f>
        <v/>
      </c>
      <c r="HB44" s="10" t="s">
        <v>38</v>
      </c>
      <c r="HC44" s="7"/>
      <c r="HD44" s="7"/>
      <c r="HE44" s="31" t="str">
        <f>IF(HD44/(INDEX('Standards for Conversions'!$H$34:$H$73,MATCH(HC$3,'Standards for Conversions'!$A$34:$A$73,0)))=0,"",HD44/(INDEX('Standards for Conversions'!$H$34:$H$73,MATCH(HC$3,'Standards for Conversions'!$A$34:$A$73,0))))</f>
        <v/>
      </c>
      <c r="HF44" s="10" t="s">
        <v>38</v>
      </c>
      <c r="HG44" s="7"/>
      <c r="HH44" s="7"/>
      <c r="HI44" s="31" t="str">
        <f>IF(HH44/(INDEX('Standards for Conversions'!$H$34:$H$73,MATCH(HG$3,'Standards for Conversions'!$A$34:$A$73,0)))=0,"",HH44/(INDEX('Standards for Conversions'!$H$34:$H$73,MATCH(HG$3,'Standards for Conversions'!$A$34:$A$73,0))))</f>
        <v/>
      </c>
      <c r="HJ44" s="10" t="s">
        <v>38</v>
      </c>
      <c r="HK44" s="9"/>
      <c r="HL44" s="9"/>
      <c r="HM44" s="31" t="str">
        <f>IF(HL44/(INDEX('Standards for Conversions'!$H$34:$H$73,MATCH(HK$3,'Standards for Conversions'!$A$34:$A$73,0)))=0,"",HL44/(INDEX('Standards for Conversions'!$H$34:$H$73,MATCH(HK$3,'Standards for Conversions'!$A$34:$A$73,0))))</f>
        <v/>
      </c>
      <c r="HN44" s="10" t="s">
        <v>38</v>
      </c>
      <c r="HO44" s="7"/>
      <c r="HP44" s="7"/>
      <c r="HQ44" s="31" t="str">
        <f>IF(HP44/(INDEX('Standards for Conversions'!$H$34:$H$73,MATCH(HO$3,'Standards for Conversions'!$A$34:$A$73,0)))=0,"",HP44/(INDEX('Standards for Conversions'!$H$34:$H$73,MATCH(HO$3,'Standards for Conversions'!$A$34:$A$73,0))))</f>
        <v/>
      </c>
      <c r="HR44" s="33" t="s">
        <v>38</v>
      </c>
      <c r="HU44" s="31" t="str">
        <f>IF(HT44/(INDEX('Standards for Conversions'!$H$47:$H$73,MATCH(HS$3,'Standards for Conversions'!$A$47:$A$73,0)))=0,"",HT44/(INDEX('Standards for Conversions'!$H$47:$H$73,MATCH(HS$3,'Standards for Conversions'!$A$47:$A$73,0))))</f>
        <v/>
      </c>
      <c r="HV44" s="33" t="s">
        <v>38</v>
      </c>
      <c r="HY44" s="31" t="str">
        <f>IF(HX44/(INDEX('Standards for Conversions'!$H$47:$H$73,MATCH(HW$3,'Standards for Conversions'!$A$47:$A$73,0)))=0,"",HX44/(INDEX('Standards for Conversions'!$H$47:$H$73,MATCH(HW$3,'Standards for Conversions'!$A$47:$A$73,0))))</f>
        <v/>
      </c>
      <c r="HZ44" s="33">
        <v>1000</v>
      </c>
      <c r="IA44" s="33">
        <v>4000</v>
      </c>
      <c r="IB44" s="31">
        <f>IF(IA44/(INDEX('Standards for Conversions'!$H$47:$H$73,MATCH(HZ$3,'Standards for Conversions'!$A$47:$A$73,0)))=0,"",IA44/(INDEX('Standards for Conversions'!$H$47:$H$73,MATCH(HZ$3,'Standards for Conversions'!$A$47:$A$73,0))))</f>
        <v>580.98164885142387</v>
      </c>
      <c r="IC44" s="33" t="s">
        <v>38</v>
      </c>
      <c r="IF44" s="31" t="str">
        <f>IF(IE44/(INDEX('Standards for Conversions'!$H$47:$H$73,MATCH(ID$3,'Standards for Conversions'!$A$47:$A$73,0)))=0,"",IE44/(INDEX('Standards for Conversions'!$H$47:$H$73,MATCH(ID$3,'Standards for Conversions'!$A$47:$A$73,0))))</f>
        <v/>
      </c>
      <c r="IG44" s="33" t="s">
        <v>38</v>
      </c>
      <c r="IJ44" s="31" t="str">
        <f>IF(II44/(INDEX('Standards for Conversions'!$H$47:$H$73,MATCH(IH$3,'Standards for Conversions'!$A$47:$A$73,0)))=0,"",II44/(INDEX('Standards for Conversions'!$H$47:$H$73,MATCH(IH$3,'Standards for Conversions'!$A$47:$A$73,0))))</f>
        <v/>
      </c>
      <c r="IK44" s="33" t="s">
        <v>38</v>
      </c>
      <c r="IN44" s="31" t="str">
        <f>IF(IM44/(INDEX('Standards for Conversions'!$H$47:$H$73,MATCH(IL$3,'Standards for Conversions'!$A$47:$A$73,0)))=0,"",IM44/(INDEX('Standards for Conversions'!$H$47:$H$73,MATCH(IL$3,'Standards for Conversions'!$A$47:$A$73,0))))</f>
        <v/>
      </c>
      <c r="IO44" s="33" t="s">
        <v>38</v>
      </c>
      <c r="IP44" s="29">
        <v>126</v>
      </c>
      <c r="IQ44" s="29">
        <v>6122</v>
      </c>
      <c r="IR44" s="31">
        <f>IF(IQ44/(INDEX('Standards for Conversions'!$H$47:$H$73,MATCH(IP$3,'Standards for Conversions'!$A$47:$A$73,0)))=0,"",IQ44/(INDEX('Standards for Conversions'!$H$47:$H$73,MATCH(IP$3,'Standards for Conversions'!$A$47:$A$73,0))))</f>
        <v>885.30381700631494</v>
      </c>
      <c r="IS44" s="33" t="s">
        <v>38</v>
      </c>
      <c r="IV44" s="31" t="str">
        <f>IF(IU44/(INDEX('Standards for Conversions'!$H$47:$H$73,MATCH(IT$3,'Standards for Conversions'!$A$47:$A$73,0)))=0,"",IU44/(INDEX('Standards for Conversions'!$H$47:$H$73,MATCH(IT$3,'Standards for Conversions'!$A$47:$A$73,0))))</f>
        <v/>
      </c>
      <c r="IW44" s="33" t="s">
        <v>38</v>
      </c>
      <c r="IZ44" s="31" t="str">
        <f>IF(IY44/(INDEX('Standards for Conversions'!$H$47:$H$73,MATCH(IX$3,'Standards for Conversions'!$A$47:$A$73,0)))=0,"",IY44/(INDEX('Standards for Conversions'!$H$47:$H$73,MATCH(IX$3,'Standards for Conversions'!$A$47:$A$73,0))))</f>
        <v/>
      </c>
      <c r="JA44" s="48" t="s">
        <v>38</v>
      </c>
      <c r="JD44" s="31" t="str">
        <f>IF(JC44/(INDEX('Standards for Conversions'!$H$47:$H$73,MATCH(JB$3,'Standards for Conversions'!$A$47:$A$73,0)))=0,"",JC44/(INDEX('Standards for Conversions'!$H$47:$H$73,MATCH(JB$3,'Standards for Conversions'!$A$47:$A$73,0))))</f>
        <v/>
      </c>
      <c r="JE44" s="48" t="s">
        <v>38</v>
      </c>
      <c r="JF44" s="29">
        <v>280</v>
      </c>
      <c r="JG44" s="29">
        <v>820</v>
      </c>
      <c r="JH44" s="31">
        <f>IF(JG44/(INDEX('Standards for Conversions'!$H$47:$H$73,MATCH(JF$3,'Standards for Conversions'!$A$47:$A$73,0)))=0,"",JG44/(INDEX('Standards for Conversions'!$H$47:$H$73,MATCH(JF$3,'Standards for Conversions'!$A$47:$A$73,0))))</f>
        <v>132.64336128733234</v>
      </c>
      <c r="JI44" s="33"/>
      <c r="JL44" s="31" t="str">
        <f>IF(JK44/(INDEX('Standards for Conversions'!$H$47:$H$73,MATCH(JJ$3,'Standards for Conversions'!$A$47:$A$73,0)))=0,"",JK44/(INDEX('Standards for Conversions'!$H$47:$H$73,MATCH(JJ$3,'Standards for Conversions'!$A$47:$A$73,0))))</f>
        <v/>
      </c>
      <c r="JM44" s="33" t="s">
        <v>38</v>
      </c>
      <c r="JP44" s="31" t="str">
        <f>IF(JO44/(INDEX('Standards for Conversions'!$H$47:$H$73,MATCH(JN$3,'Standards for Conversions'!$A$47:$A$73,0)))=0,"",JO44/(INDEX('Standards for Conversions'!$H$47:$H$73,MATCH(JN$3,'Standards for Conversions'!$A$47:$A$73,0))))</f>
        <v/>
      </c>
      <c r="JQ44" s="33" t="s">
        <v>38</v>
      </c>
      <c r="JT44" s="31" t="str">
        <f>IF(JS44/(INDEX('Standards for Conversions'!$H$47:$H$73,MATCH(JR$3,'Standards for Conversions'!$A$47:$A$73,0)))=0,"",JS44/(INDEX('Standards for Conversions'!$H$47:$H$73,MATCH(JR$3,'Standards for Conversions'!$A$47:$A$73,0))))</f>
        <v/>
      </c>
      <c r="JU44" s="33" t="s">
        <v>38</v>
      </c>
      <c r="JV44" s="29">
        <v>300</v>
      </c>
      <c r="JW44" s="29">
        <v>900</v>
      </c>
      <c r="JX44" s="31">
        <f>IF(JW44/(INDEX('Standards for Conversions'!$H$47:$H$73,MATCH(JV$3,'Standards for Conversions'!$A$47:$A$73,0)))=0,"",JW44/(INDEX('Standards for Conversions'!$H$47:$H$73,MATCH(JV$3,'Standards for Conversions'!$A$47:$A$73,0))))</f>
        <v>137.39030318501781</v>
      </c>
      <c r="JY44" s="33" t="s">
        <v>38</v>
      </c>
      <c r="KB44" s="31" t="str">
        <f>IF(KA44/(INDEX('Standards for Conversions'!$H$47:$H$73,MATCH(JZ$3,'Standards for Conversions'!$A$47:$A$73,0)))=0,"",KA44/(INDEX('Standards for Conversions'!$H$47:$H$73,MATCH(JZ$3,'Standards for Conversions'!$A$47:$A$73,0))))</f>
        <v/>
      </c>
      <c r="KC44" s="33" t="s">
        <v>38</v>
      </c>
      <c r="KF44" s="31" t="str">
        <f>IF(KE44/(INDEX('Standards for Conversions'!$H$47:$H$73,MATCH(KD$3,'Standards for Conversions'!$A$47:$A$73,0)))=0,"",KE44/(INDEX('Standards for Conversions'!$H$47:$H$73,MATCH(KD$3,'Standards for Conversions'!$A$47:$A$73,0))))</f>
        <v/>
      </c>
      <c r="KG44" s="33" t="s">
        <v>38</v>
      </c>
      <c r="KJ44" s="31" t="str">
        <f>IF(KI44/(INDEX('Standards for Conversions'!$H$47:$H$73,MATCH(KH$3,'Standards for Conversions'!$A$47:$A$73,0)))=0,"",KI44/(INDEX('Standards for Conversions'!$H$47:$H$73,MATCH(KH$3,'Standards for Conversions'!$A$47:$A$73,0))))</f>
        <v/>
      </c>
      <c r="KK44" s="33" t="s">
        <v>38</v>
      </c>
      <c r="KL44" s="29">
        <v>320</v>
      </c>
      <c r="KM44" s="29">
        <v>1000</v>
      </c>
      <c r="KN44" s="31">
        <f>IF(KM44/(INDEX('Standards for Conversions'!$H$47:$H$73,MATCH(KL$3,'Standards for Conversions'!$A$47:$A$73,0)))=0,"",KM44/(INDEX('Standards for Conversions'!$H$47:$H$73,MATCH(KL$3,'Standards for Conversions'!$A$47:$A$73,0))))</f>
        <v>134.65901190579646</v>
      </c>
      <c r="KO44" s="33" t="s">
        <v>38</v>
      </c>
      <c r="KR44" s="31" t="str">
        <f>IF(KQ44/(INDEX('Standards for Conversions'!$H$47:$H$73,MATCH(KP$3,'Standards for Conversions'!$A$47:$A$73,0)))=0,"",KQ44/(INDEX('Standards for Conversions'!$H$47:$H$73,MATCH(KP$3,'Standards for Conversions'!$A$47:$A$73,0))))</f>
        <v/>
      </c>
      <c r="KS44" s="33" t="s">
        <v>38</v>
      </c>
      <c r="KV44" s="31" t="str">
        <f>IF(KU44/(INDEX('Standards for Conversions'!$H$47:$H$73,MATCH(KT$3,'Standards for Conversions'!$A$47:$A$73,0)))=0,"",KU44/(INDEX('Standards for Conversions'!$H$47:$H$73,MATCH(KT$3,'Standards for Conversions'!$A$47:$A$73,0))))</f>
        <v/>
      </c>
      <c r="KW44" s="48" t="s">
        <v>38</v>
      </c>
      <c r="KZ44" s="31" t="str">
        <f>IF(KY44/(INDEX('Standards for Conversions'!$H$47:$H$73,MATCH(KX$3,'Standards for Conversions'!$A$47:$A$73,0)))=0,"",KY44/(INDEX('Standards for Conversions'!$H$47:$H$73,MATCH(KX$3,'Standards for Conversions'!$A$47:$A$73,0))))</f>
        <v/>
      </c>
      <c r="LA44" s="48" t="s">
        <v>38</v>
      </c>
      <c r="LB44" s="29">
        <v>743</v>
      </c>
      <c r="LC44" s="29">
        <v>4120</v>
      </c>
      <c r="LD44" s="31">
        <f>IF(LC44/(INDEX('Standards for Conversions'!$H$47:$H$73,MATCH(LB$3,'Standards for Conversions'!$A$47:$A$73,0)))=0,"",LC44/(INDEX('Standards for Conversions'!$H$47:$H$73,MATCH(LB$3,'Standards for Conversions'!$A$47:$A$73,0))))</f>
        <v>501.06025491729662</v>
      </c>
      <c r="LE44" s="33"/>
      <c r="LH44" s="31" t="str">
        <f>IF(LG44/(INDEX('Standards for Conversions'!$H$47:$H$73,MATCH(LF$3,'Standards for Conversions'!$A$47:$A$73,0)))=0,"",LG44/(INDEX('Standards for Conversions'!$H$47:$H$73,MATCH(LF$3,'Standards for Conversions'!$A$47:$A$73,0))))</f>
        <v/>
      </c>
      <c r="LL44" s="31" t="str">
        <f>IF(LK44/(INDEX('Standards for Conversions'!$H$47:$H$73,MATCH(LJ$3,'Standards for Conversions'!$A$47:$A$73,0)))=0,"",LK44/(INDEX('Standards for Conversions'!$H$47:$H$73,MATCH(LJ$3,'Standards for Conversions'!$A$47:$A$73,0))))</f>
        <v/>
      </c>
      <c r="LO44" s="31" t="str">
        <f>IF(LN44/(INDEX('Standards for Conversions'!$H$47:$H$73,MATCH(LM$3,'Standards for Conversions'!$A$47:$A$73,0)))=0,"",LN44/(INDEX('Standards for Conversions'!$H$47:$H$73,MATCH(LM$3,'Standards for Conversions'!$A$47:$A$73,0))))</f>
        <v/>
      </c>
      <c r="LR44" s="31" t="str">
        <f>IF(LQ44/(INDEX('Standards for Conversions'!$H$47:$H$73,MATCH(LP$3,'Standards for Conversions'!$A$47:$A$73,0)))=0,"",LQ44/(INDEX('Standards for Conversions'!$H$47:$H$73,MATCH(LP$3,'Standards for Conversions'!$A$47:$A$73,0))))</f>
        <v/>
      </c>
      <c r="LV44" s="31" t="str">
        <f>IF(LU44/(INDEX('Standards for Conversions'!$H$47:$H$73,MATCH(LT$3,'Standards for Conversions'!$A$47:$A$73,0)))=0,"",LU44/(INDEX('Standards for Conversions'!$H$47:$H$73,MATCH(LT$3,'Standards for Conversions'!$A$47:$A$73,0))))</f>
        <v/>
      </c>
      <c r="LY44" s="31" t="str">
        <f>IF(LX44/(INDEX('Standards for Conversions'!$H$47:$H$73,MATCH(LW$3,'Standards for Conversions'!$A$47:$A$73,0)))=0,"",LX44/(INDEX('Standards for Conversions'!$H$47:$H$73,MATCH(LW$3,'Standards for Conversions'!$A$47:$A$73,0))))</f>
        <v/>
      </c>
      <c r="MB44" s="31" t="str">
        <f>IF(MA44/(INDEX('Standards for Conversions'!$H$47:$H$73,MATCH(LZ$3,'Standards for Conversions'!$A$47:$A$73,0)))=0,"",MA44/(INDEX('Standards for Conversions'!$H$47:$H$73,MATCH(LZ$3,'Standards for Conversions'!$A$47:$A$73,0))))</f>
        <v/>
      </c>
      <c r="ME44" s="31" t="str">
        <f>IF(MD44/(INDEX('Standards for Conversions'!$H$47:$H$73,MATCH(MC$3,'Standards for Conversions'!$A$47:$A$73,0)))=0,"",MD44/(INDEX('Standards for Conversions'!$H$47:$H$73,MATCH(MC$3,'Standards for Conversions'!$A$47:$A$73,0))))</f>
        <v/>
      </c>
      <c r="MH44" s="31" t="str">
        <f>IF(MG44/(INDEX('Standards for Conversions'!$H$47:$H$73,MATCH(MF$3,'Standards for Conversions'!$A$47:$A$73,0)))=0,"",MG44/(INDEX('Standards for Conversions'!$H$47:$H$73,MATCH(MF$3,'Standards for Conversions'!$A$47:$A$73,0))))</f>
        <v/>
      </c>
      <c r="MK44" s="31" t="str">
        <f>IF(MJ44/(INDEX('Standards for Conversions'!$H$47:$H$73,MATCH(MI$3,'Standards for Conversions'!$A$47:$A$73,0)))=0,"",MJ44/(INDEX('Standards for Conversions'!$H$47:$H$73,MATCH(MI$3,'Standards for Conversions'!$A$47:$A$73,0))))</f>
        <v/>
      </c>
      <c r="MN44" s="31" t="str">
        <f>IF(MM44/(INDEX('Standards for Conversions'!$H$47:$H$73,MATCH(ML$3,'Standards for Conversions'!$A$47:$A$73,0)))=0,"",MM44/(INDEX('Standards for Conversions'!$H$47:$H$73,MATCH(ML$3,'Standards for Conversions'!$A$47:$A$73,0))))</f>
        <v/>
      </c>
      <c r="MR44" s="31" t="str">
        <f>IF(MQ44/(INDEX('Standards for Conversions'!$H$47:$H$73,MATCH(MP$3,'Standards for Conversions'!$A$47:$A$73,0)))=0,"",MQ44/(INDEX('Standards for Conversions'!$H$47:$H$73,MATCH(MP$3,'Standards for Conversions'!$A$47:$A$73,0))))</f>
        <v/>
      </c>
    </row>
    <row r="45" spans="1:356" hidden="1" x14ac:dyDescent="0.3">
      <c r="A45" s="103" t="s">
        <v>227</v>
      </c>
      <c r="B45" s="10" t="s">
        <v>53</v>
      </c>
      <c r="C45" s="7"/>
      <c r="D45" s="7"/>
      <c r="E45" s="31" t="str">
        <f>IF(D45/(INDEX('Standards for Conversions'!$H$34:$H$73,MATCH(C$3,'Standards for Conversions'!$A$34:$A$73,0)))=0,"",D45/(INDEX('Standards for Conversions'!$H$34:$H$73,MATCH(C$3,'Standards for Conversions'!$A$34:$A$73,0))))</f>
        <v/>
      </c>
      <c r="F45" s="10" t="s">
        <v>53</v>
      </c>
      <c r="G45" s="7"/>
      <c r="H45" s="7"/>
      <c r="I45" s="31" t="str">
        <f>IF(H45/(INDEX('Standards for Conversions'!$H$34:$H$73,MATCH(G$3,'Standards for Conversions'!$A$34:$A$73,0)))=0,"",H45/(INDEX('Standards for Conversions'!$H$34:$H$73,MATCH(G$3,'Standards for Conversions'!$A$34:$A$73,0))))</f>
        <v/>
      </c>
      <c r="J45" s="10" t="s">
        <v>53</v>
      </c>
      <c r="K45" s="9"/>
      <c r="L45" s="9"/>
      <c r="M45" s="31" t="str">
        <f>IF(L45/(INDEX('Standards for Conversions'!$H$34:$H$73,MATCH(K$3,'Standards for Conversions'!$A$34:$A$73,0)))=0,"",L45/(INDEX('Standards for Conversions'!$H$34:$H$73,MATCH(K$3,'Standards for Conversions'!$A$34:$A$73,0))))</f>
        <v/>
      </c>
      <c r="N45" s="10" t="s">
        <v>53</v>
      </c>
      <c r="O45" s="7"/>
      <c r="P45" s="7"/>
      <c r="Q45" s="31" t="str">
        <f>IF(P45/(INDEX('Standards for Conversions'!$H$34:$H$73,MATCH(O$3,'Standards for Conversions'!$A$34:$A$73,0)))=0,"",P45/(INDEX('Standards for Conversions'!$H$34:$H$73,MATCH(O$3,'Standards for Conversions'!$A$34:$A$73,0))))</f>
        <v/>
      </c>
      <c r="R45" s="10" t="s">
        <v>53</v>
      </c>
      <c r="S45" s="7"/>
      <c r="T45" s="7"/>
      <c r="U45" s="31" t="str">
        <f>IF(T45/(INDEX('Standards for Conversions'!$H$34:$H$73,MATCH(S$3,'Standards for Conversions'!$A$34:$A$73,0)))=0,"",T45/(INDEX('Standards for Conversions'!$H$34:$H$73,MATCH(S$3,'Standards for Conversions'!$A$34:$A$73,0))))</f>
        <v/>
      </c>
      <c r="V45" s="10" t="s">
        <v>53</v>
      </c>
      <c r="W45" s="7"/>
      <c r="X45" s="7"/>
      <c r="Y45" s="31" t="str">
        <f>IF(X45/(INDEX('Standards for Conversions'!$H$34:$H$73,MATCH(W$3,'Standards for Conversions'!$A$34:$A$73,0)))=0,"",X45/(INDEX('Standards for Conversions'!$H$34:$H$73,MATCH(W$3,'Standards for Conversions'!$A$34:$A$73,0))))</f>
        <v/>
      </c>
      <c r="Z45" s="10" t="s">
        <v>53</v>
      </c>
      <c r="AA45" s="9"/>
      <c r="AB45" s="9"/>
      <c r="AC45" s="31" t="str">
        <f>IF(AB45/(INDEX('Standards for Conversions'!$H$34:$H$73,MATCH(AA$3,'Standards for Conversions'!$A$34:$A$73,0)))=0,"",AB45/(INDEX('Standards for Conversions'!$H$34:$H$73,MATCH(AA$3,'Standards for Conversions'!$A$34:$A$73,0))))</f>
        <v/>
      </c>
      <c r="AD45" s="10" t="s">
        <v>53</v>
      </c>
      <c r="AE45" s="7"/>
      <c r="AF45" s="7"/>
      <c r="AG45" s="31" t="str">
        <f>IF(AF45/(INDEX('Standards for Conversions'!$H$34:$H$73,MATCH(AE$3,'Standards for Conversions'!$A$34:$A$73,0)))=0,"",AF45/(INDEX('Standards for Conversions'!$H$34:$H$73,MATCH(AE$3,'Standards for Conversions'!$A$34:$A$73,0))))</f>
        <v/>
      </c>
      <c r="AH45" s="10" t="s">
        <v>53</v>
      </c>
      <c r="AI45" s="7"/>
      <c r="AJ45" s="7"/>
      <c r="AK45" s="31" t="str">
        <f>IF(AJ45/(INDEX('Standards for Conversions'!$H$34:$H$73,MATCH(AI$3,'Standards for Conversions'!$A$34:$A$73,0)))=0,"",AJ45/(INDEX('Standards for Conversions'!$H$34:$H$73,MATCH(AI$3,'Standards for Conversions'!$A$34:$A$73,0))))</f>
        <v/>
      </c>
      <c r="AL45" s="10" t="s">
        <v>53</v>
      </c>
      <c r="AM45" s="7"/>
      <c r="AN45" s="7"/>
      <c r="AO45" s="31" t="str">
        <f>IF(AN45/(INDEX('Standards for Conversions'!$H$34:$H$73,MATCH(AM$3,'Standards for Conversions'!$A$34:$A$73,0)))=0,"",AN45/(INDEX('Standards for Conversions'!$H$34:$H$73,MATCH(AM$3,'Standards for Conversions'!$A$34:$A$73,0))))</f>
        <v/>
      </c>
      <c r="AP45" s="10" t="s">
        <v>53</v>
      </c>
      <c r="AQ45" s="9"/>
      <c r="AR45" s="9"/>
      <c r="AS45" s="31" t="str">
        <f>IF(AR45/(INDEX('Standards for Conversions'!$H$34:$H$73,MATCH(AQ$3,'Standards for Conversions'!$A$34:$A$73,0)))=0,"",AR45/(INDEX('Standards for Conversions'!$H$34:$H$73,MATCH(AQ$3,'Standards for Conversions'!$A$34:$A$73,0))))</f>
        <v/>
      </c>
      <c r="AT45" s="10" t="s">
        <v>53</v>
      </c>
      <c r="AU45" s="7"/>
      <c r="AV45" s="7"/>
      <c r="AW45" s="31" t="str">
        <f>IF(AV45/(INDEX('Standards for Conversions'!$H$34:$H$73,MATCH(AU$3,'Standards for Conversions'!$A$34:$A$73,0)))=0,"",AV45/(INDEX('Standards for Conversions'!$H$34:$H$73,MATCH(AU$3,'Standards for Conversions'!$A$34:$A$73,0))))</f>
        <v/>
      </c>
      <c r="AX45" s="10" t="s">
        <v>53</v>
      </c>
      <c r="AY45" s="7"/>
      <c r="AZ45" s="7"/>
      <c r="BA45" s="31" t="str">
        <f>IF(AZ45/(INDEX('Standards for Conversions'!$H$34:$H$73,MATCH(AY$3,'Standards for Conversions'!$A$34:$A$73,0)))=0,"",AZ45/(INDEX('Standards for Conversions'!$H$34:$H$73,MATCH(AY$3,'Standards for Conversions'!$A$34:$A$73,0))))</f>
        <v/>
      </c>
      <c r="BB45" s="10" t="s">
        <v>53</v>
      </c>
      <c r="BC45" s="7"/>
      <c r="BD45" s="7"/>
      <c r="BE45" s="31" t="str">
        <f>IF(BD45/(INDEX('Standards for Conversions'!$H$34:$H$73,MATCH(BC$3,'Standards for Conversions'!$A$34:$A$73,0)))=0,"",BD45/(INDEX('Standards for Conversions'!$H$34:$H$73,MATCH(BC$3,'Standards for Conversions'!$A$34:$A$73,0))))</f>
        <v/>
      </c>
      <c r="BF45" s="10" t="s">
        <v>53</v>
      </c>
      <c r="BG45" s="9"/>
      <c r="BH45" s="9"/>
      <c r="BI45" s="31" t="str">
        <f>IF(BH45/(INDEX('Standards for Conversions'!$H$34:$H$73,MATCH(BG$3,'Standards for Conversions'!$A$34:$A$73,0)))=0,"",BH45/(INDEX('Standards for Conversions'!$H$34:$H$73,MATCH(BG$3,'Standards for Conversions'!$A$34:$A$73,0))))</f>
        <v/>
      </c>
      <c r="BJ45" s="10" t="s">
        <v>53</v>
      </c>
      <c r="BK45" s="7"/>
      <c r="BL45" s="7"/>
      <c r="BM45" s="31" t="str">
        <f>IF(BL45/(INDEX('Standards for Conversions'!$H$34:$H$73,MATCH(BK$3,'Standards for Conversions'!$A$34:$A$73,0)))=0,"",BL45/(INDEX('Standards for Conversions'!$H$34:$H$73,MATCH(BK$3,'Standards for Conversions'!$A$34:$A$73,0))))</f>
        <v/>
      </c>
      <c r="BN45" s="10" t="s">
        <v>53</v>
      </c>
      <c r="BO45" s="7"/>
      <c r="BP45" s="7"/>
      <c r="BQ45" s="31" t="str">
        <f>IF(BP45/(INDEX('Standards for Conversions'!$H$34:$H$73,MATCH(BO$3,'Standards for Conversions'!$A$34:$A$73,0)))=0,"",BP45/(INDEX('Standards for Conversions'!$H$34:$H$73,MATCH(BO$3,'Standards for Conversions'!$A$34:$A$73,0))))</f>
        <v/>
      </c>
      <c r="BR45" s="10" t="s">
        <v>53</v>
      </c>
      <c r="BS45" s="7"/>
      <c r="BT45" s="7"/>
      <c r="BU45" s="31" t="str">
        <f>IF(BT45/(INDEX('Standards for Conversions'!$H$34:$H$73,MATCH(BS$3,'Standards for Conversions'!$A$34:$A$73,0)))=0,"",BT45/(INDEX('Standards for Conversions'!$H$34:$H$73,MATCH(BS$3,'Standards for Conversions'!$A$34:$A$73,0))))</f>
        <v/>
      </c>
      <c r="BV45" s="10" t="s">
        <v>53</v>
      </c>
      <c r="BW45" s="9"/>
      <c r="BX45" s="9"/>
      <c r="BY45" s="31" t="str">
        <f>IF(BX45/(INDEX('Standards for Conversions'!$H$34:$H$73,MATCH(BW$3,'Standards for Conversions'!$A$34:$A$73,0)))=0,"",BX45/(INDEX('Standards for Conversions'!$H$34:$H$73,MATCH(BW$3,'Standards for Conversions'!$A$34:$A$73,0))))</f>
        <v/>
      </c>
      <c r="BZ45" s="10" t="s">
        <v>53</v>
      </c>
      <c r="CA45" s="7"/>
      <c r="CB45" s="7"/>
      <c r="CC45" s="31" t="str">
        <f>IF(CB45/(INDEX('Standards for Conversions'!$H$34:$H$73,MATCH(CA$3,'Standards for Conversions'!$A$34:$A$73,0)))=0,"",CB45/(INDEX('Standards for Conversions'!$H$34:$H$73,MATCH(CA$3,'Standards for Conversions'!$A$34:$A$73,0))))</f>
        <v/>
      </c>
      <c r="CD45" s="10" t="s">
        <v>53</v>
      </c>
      <c r="CE45" s="7"/>
      <c r="CF45" s="7"/>
      <c r="CG45" s="31" t="str">
        <f>IF(CF45/(INDEX('Standards for Conversions'!$H$34:$H$73,MATCH(CE$3,'Standards for Conversions'!$A$34:$A$73,0)))=0,"",CF45/(INDEX('Standards for Conversions'!$H$34:$H$73,MATCH(CE$3,'Standards for Conversions'!$A$34:$A$73,0))))</f>
        <v/>
      </c>
      <c r="CH45" s="10" t="s">
        <v>53</v>
      </c>
      <c r="CI45" s="7"/>
      <c r="CJ45" s="7"/>
      <c r="CK45" s="31" t="str">
        <f>IF(CJ45/(INDEX('Standards for Conversions'!$H$34:$H$73,MATCH(CI$3,'Standards for Conversions'!$A$34:$A$73,0)))=0,"",CJ45/(INDEX('Standards for Conversions'!$H$34:$H$73,MATCH(CI$3,'Standards for Conversions'!$A$34:$A$73,0))))</f>
        <v/>
      </c>
      <c r="CL45" s="10" t="s">
        <v>53</v>
      </c>
      <c r="CM45" s="9"/>
      <c r="CN45" s="9"/>
      <c r="CO45" s="31" t="str">
        <f>IF(CN45/(INDEX('Standards for Conversions'!$H$34:$H$73,MATCH(CM$3,'Standards for Conversions'!$A$34:$A$73,0)))=0,"",CN45/(INDEX('Standards for Conversions'!$H$34:$H$73,MATCH(CM$3,'Standards for Conversions'!$A$34:$A$73,0))))</f>
        <v/>
      </c>
      <c r="CP45" s="10" t="s">
        <v>53</v>
      </c>
      <c r="CQ45" s="7"/>
      <c r="CR45" s="7"/>
      <c r="CS45" s="31" t="str">
        <f>IF(CR45/(INDEX('Standards for Conversions'!$H$34:$H$73,MATCH(CQ$3,'Standards for Conversions'!$A$34:$A$73,0)))=0,"",CR45/(INDEX('Standards for Conversions'!$H$34:$H$73,MATCH(CQ$3,'Standards for Conversions'!$A$34:$A$73,0))))</f>
        <v/>
      </c>
      <c r="CT45" s="10" t="s">
        <v>53</v>
      </c>
      <c r="CU45" s="7"/>
      <c r="CV45" s="7"/>
      <c r="CW45" s="31" t="str">
        <f>IF(CV45/(INDEX('Standards for Conversions'!$H$34:$H$73,MATCH(CU$3,'Standards for Conversions'!$A$34:$A$73,0)))=0,"",CV45/(INDEX('Standards for Conversions'!$H$34:$H$73,MATCH(CU$3,'Standards for Conversions'!$A$34:$A$73,0))))</f>
        <v/>
      </c>
      <c r="CX45" s="10" t="s">
        <v>53</v>
      </c>
      <c r="CY45" s="7"/>
      <c r="CZ45" s="7"/>
      <c r="DA45" s="31" t="str">
        <f>IF(CZ45/(INDEX('Standards for Conversions'!$H$34:$H$73,MATCH(CY$3,'Standards for Conversions'!$A$34:$A$73,0)))=0,"",CZ45/(INDEX('Standards for Conversions'!$H$34:$H$73,MATCH(CY$3,'Standards for Conversions'!$A$34:$A$73,0))))</f>
        <v/>
      </c>
      <c r="DB45" s="10" t="s">
        <v>53</v>
      </c>
      <c r="DC45" s="9"/>
      <c r="DD45" s="9"/>
      <c r="DE45" s="31" t="str">
        <f>IF(DD45/(INDEX('Standards for Conversions'!$H$34:$H$73,MATCH(DC$3,'Standards for Conversions'!$A$34:$A$73,0)))=0,"",DD45/(INDEX('Standards for Conversions'!$H$34:$H$73,MATCH(DC$3,'Standards for Conversions'!$A$34:$A$73,0))))</f>
        <v/>
      </c>
      <c r="DF45" s="10" t="s">
        <v>53</v>
      </c>
      <c r="DG45" s="7"/>
      <c r="DH45" s="7"/>
      <c r="DI45" s="31" t="str">
        <f>IF(DH45/(INDEX('Standards for Conversions'!$H$34:$H$73,MATCH(DG$3,'Standards for Conversions'!$A$34:$A$73,0)))=0,"",DH45/(INDEX('Standards for Conversions'!$H$34:$H$73,MATCH(DG$3,'Standards for Conversions'!$A$34:$A$73,0))))</f>
        <v/>
      </c>
      <c r="DJ45" s="10" t="s">
        <v>53</v>
      </c>
      <c r="DK45" s="7"/>
      <c r="DL45" s="7"/>
      <c r="DM45" s="31" t="str">
        <f>IF(DL45/(INDEX('Standards for Conversions'!$H$34:$H$73,MATCH(DK$3,'Standards for Conversions'!$A$34:$A$73,0)))=0,"",DL45/(INDEX('Standards for Conversions'!$H$34:$H$73,MATCH(DK$3,'Standards for Conversions'!$A$34:$A$73,0))))</f>
        <v/>
      </c>
      <c r="DN45" s="10" t="s">
        <v>53</v>
      </c>
      <c r="DO45" s="7"/>
      <c r="DP45" s="7"/>
      <c r="DQ45" s="31" t="str">
        <f>IF(DP45/(INDEX('Standards for Conversions'!$H$34:$H$73,MATCH(DO$3,'Standards for Conversions'!$A$34:$A$73,0)))=0,"",DP45/(INDEX('Standards for Conversions'!$H$34:$H$73,MATCH(DO$3,'Standards for Conversions'!$A$34:$A$73,0))))</f>
        <v/>
      </c>
      <c r="DR45" s="10" t="s">
        <v>53</v>
      </c>
      <c r="DS45" s="9"/>
      <c r="DT45" s="9"/>
      <c r="DU45" s="31" t="str">
        <f>IF(DT45/(INDEX('Standards for Conversions'!$H$34:$H$73,MATCH(DS$3,'Standards for Conversions'!$A$34:$A$73,0)))=0,"",DT45/(INDEX('Standards for Conversions'!$H$34:$H$73,MATCH(DS$3,'Standards for Conversions'!$A$34:$A$73,0))))</f>
        <v/>
      </c>
      <c r="DV45" s="10" t="s">
        <v>53</v>
      </c>
      <c r="DW45" s="7"/>
      <c r="DX45" s="7"/>
      <c r="DY45" s="31" t="str">
        <f>IF(DX45/(INDEX('Standards for Conversions'!$H$34:$H$73,MATCH(DW$3,'Standards for Conversions'!$A$34:$A$73,0)))=0,"",DX45/(INDEX('Standards for Conversions'!$H$34:$H$73,MATCH(DW$3,'Standards for Conversions'!$A$34:$A$73,0))))</f>
        <v/>
      </c>
      <c r="DZ45" s="10" t="s">
        <v>53</v>
      </c>
      <c r="EA45" s="7"/>
      <c r="EB45" s="7"/>
      <c r="EC45" s="31" t="str">
        <f>IF(EB45/(INDEX('Standards for Conversions'!$H$34:$H$73,MATCH(EA$3,'Standards for Conversions'!$A$34:$A$73,0)))=0,"",EB45/(INDEX('Standards for Conversions'!$H$34:$H$73,MATCH(EA$3,'Standards for Conversions'!$A$34:$A$73,0))))</f>
        <v/>
      </c>
      <c r="ED45" s="10" t="s">
        <v>53</v>
      </c>
      <c r="EE45" s="7"/>
      <c r="EF45" s="7"/>
      <c r="EG45" s="31" t="str">
        <f>IF(EF45/(INDEX('Standards for Conversions'!$H$34:$H$73,MATCH(EE$3,'Standards for Conversions'!$A$34:$A$73,0)))=0,"",EF45/(INDEX('Standards for Conversions'!$H$34:$H$73,MATCH(EE$3,'Standards for Conversions'!$A$34:$A$73,0))))</f>
        <v/>
      </c>
      <c r="EH45" s="10" t="s">
        <v>53</v>
      </c>
      <c r="EI45" s="9"/>
      <c r="EJ45" s="9"/>
      <c r="EK45" s="31" t="str">
        <f>IF(EJ45/(INDEX('Standards for Conversions'!$H$34:$H$73,MATCH(EI$3,'Standards for Conversions'!$A$34:$A$73,0)))=0,"",EJ45/(INDEX('Standards for Conversions'!$H$34:$H$73,MATCH(EI$3,'Standards for Conversions'!$A$34:$A$73,0))))</f>
        <v/>
      </c>
      <c r="EL45" s="10" t="s">
        <v>53</v>
      </c>
      <c r="EM45" s="7"/>
      <c r="EN45" s="7"/>
      <c r="EO45" s="31" t="str">
        <f>IF(EN45/(INDEX('Standards for Conversions'!$H$34:$H$73,MATCH(EM$3,'Standards for Conversions'!$A$34:$A$73,0)))=0,"",EN45/(INDEX('Standards for Conversions'!$H$34:$H$73,MATCH(EM$3,'Standards for Conversions'!$A$34:$A$73,0))))</f>
        <v/>
      </c>
      <c r="EP45" s="10" t="s">
        <v>53</v>
      </c>
      <c r="EQ45" s="7"/>
      <c r="ER45" s="7"/>
      <c r="ES45" s="31" t="str">
        <f>IF(ER45/(INDEX('Standards for Conversions'!$H$34:$H$73,MATCH(EQ$3,'Standards for Conversions'!$A$34:$A$73,0)))=0,"",ER45/(INDEX('Standards for Conversions'!$H$34:$H$73,MATCH(EQ$3,'Standards for Conversions'!$A$34:$A$73,0))))</f>
        <v/>
      </c>
      <c r="ET45" s="10" t="s">
        <v>53</v>
      </c>
      <c r="EU45" s="7"/>
      <c r="EV45" s="7"/>
      <c r="EW45" s="31" t="str">
        <f>IF(EV45/(INDEX('Standards for Conversions'!$H$34:$H$73,MATCH(EU$3,'Standards for Conversions'!$A$34:$A$73,0)))=0,"",EV45/(INDEX('Standards for Conversions'!$H$34:$H$73,MATCH(EU$3,'Standards for Conversions'!$A$34:$A$73,0))))</f>
        <v/>
      </c>
      <c r="EX45" s="10" t="s">
        <v>53</v>
      </c>
      <c r="EY45" s="9"/>
      <c r="EZ45" s="9"/>
      <c r="FA45" s="31" t="str">
        <f>IF(EZ45/(INDEX('Standards for Conversions'!$H$34:$H$73,MATCH(EY$3,'Standards for Conversions'!$A$34:$A$73,0)))=0,"",EZ45/(INDEX('Standards for Conversions'!$H$34:$H$73,MATCH(EY$3,'Standards for Conversions'!$A$34:$A$73,0))))</f>
        <v/>
      </c>
      <c r="FB45" s="10" t="s">
        <v>53</v>
      </c>
      <c r="FC45" s="7"/>
      <c r="FD45" s="7"/>
      <c r="FE45" s="31" t="str">
        <f>IF(FD45/(INDEX('Standards for Conversions'!$H$34:$H$73,MATCH(FC$3,'Standards for Conversions'!$A$34:$A$73,0)))=0,"",FD45/(INDEX('Standards for Conversions'!$H$34:$H$73,MATCH(FC$3,'Standards for Conversions'!$A$34:$A$73,0))))</f>
        <v/>
      </c>
      <c r="FF45" s="10" t="s">
        <v>53</v>
      </c>
      <c r="FG45" s="7"/>
      <c r="FH45" s="7"/>
      <c r="FI45" s="31" t="str">
        <f>IF(FH45/(INDEX('Standards for Conversions'!$H$34:$H$73,MATCH(FG$3,'Standards for Conversions'!$A$34:$A$73,0)))=0,"",FH45/(INDEX('Standards for Conversions'!$H$34:$H$73,MATCH(FG$3,'Standards for Conversions'!$A$34:$A$73,0))))</f>
        <v/>
      </c>
      <c r="FJ45" s="10" t="s">
        <v>53</v>
      </c>
      <c r="FK45" s="7"/>
      <c r="FL45" s="7"/>
      <c r="FM45" s="31" t="str">
        <f>IF(FL45/(INDEX('Standards for Conversions'!$H$34:$H$73,MATCH(FK$3,'Standards for Conversions'!$A$34:$A$73,0)))=0,"",FL45/(INDEX('Standards for Conversions'!$H$34:$H$73,MATCH(FK$3,'Standards for Conversions'!$A$34:$A$73,0))))</f>
        <v/>
      </c>
      <c r="FN45" s="10" t="s">
        <v>53</v>
      </c>
      <c r="FO45" s="9"/>
      <c r="FP45" s="9"/>
      <c r="FQ45" s="31" t="str">
        <f>IF(FP45/(INDEX('Standards for Conversions'!$H$34:$H$73,MATCH(FO$3,'Standards for Conversions'!$A$34:$A$73,0)))=0,"",FP45/(INDEX('Standards for Conversions'!$H$34:$H$73,MATCH(FO$3,'Standards for Conversions'!$A$34:$A$73,0))))</f>
        <v/>
      </c>
      <c r="FR45" s="10" t="s">
        <v>53</v>
      </c>
      <c r="FS45" s="7"/>
      <c r="FT45" s="7"/>
      <c r="FU45" s="31" t="str">
        <f>IF(FT45/(INDEX('Standards for Conversions'!$H$34:$H$73,MATCH(FS$3,'Standards for Conversions'!$A$34:$A$73,0)))=0,"",FT45/(INDEX('Standards for Conversions'!$H$34:$H$73,MATCH(FS$3,'Standards for Conversions'!$A$34:$A$73,0))))</f>
        <v/>
      </c>
      <c r="FV45" s="10" t="s">
        <v>53</v>
      </c>
      <c r="FW45" s="7"/>
      <c r="FX45" s="7"/>
      <c r="FY45" s="31" t="str">
        <f>IF(FX45/(INDEX('Standards for Conversions'!$H$34:$H$73,MATCH(FW$3,'Standards for Conversions'!$A$34:$A$73,0)))=0,"",FX45/(INDEX('Standards for Conversions'!$H$34:$H$73,MATCH(FW$3,'Standards for Conversions'!$A$34:$A$73,0))))</f>
        <v/>
      </c>
      <c r="FZ45" s="10" t="s">
        <v>53</v>
      </c>
      <c r="GA45" s="7"/>
      <c r="GB45" s="7"/>
      <c r="GC45" s="31" t="str">
        <f>IF(GB45/(INDEX('Standards for Conversions'!$H$34:$H$73,MATCH(GA$3,'Standards for Conversions'!$A$34:$A$73,0)))=0,"",GB45/(INDEX('Standards for Conversions'!$H$34:$H$73,MATCH(GA$3,'Standards for Conversions'!$A$34:$A$73,0))))</f>
        <v/>
      </c>
      <c r="GD45" s="10" t="s">
        <v>53</v>
      </c>
      <c r="GE45" s="9"/>
      <c r="GF45" s="9"/>
      <c r="GG45" s="31" t="str">
        <f>IF(GF45/(INDEX('Standards for Conversions'!$H$34:$H$73,MATCH(GE$3,'Standards for Conversions'!$A$34:$A$73,0)))=0,"",GF45/(INDEX('Standards for Conversions'!$H$34:$H$73,MATCH(GE$3,'Standards for Conversions'!$A$34:$A$73,0))))</f>
        <v/>
      </c>
      <c r="GH45" s="10" t="s">
        <v>53</v>
      </c>
      <c r="GI45" s="7"/>
      <c r="GJ45" s="7"/>
      <c r="GK45" s="31" t="str">
        <f>IF(GJ45/(INDEX('Standards for Conversions'!$H$34:$H$73,MATCH(GI$3,'Standards for Conversions'!$A$34:$A$73,0)))=0,"",GJ45/(INDEX('Standards for Conversions'!$H$34:$H$73,MATCH(GI$3,'Standards for Conversions'!$A$34:$A$73,0))))</f>
        <v/>
      </c>
      <c r="GL45" s="10" t="s">
        <v>53</v>
      </c>
      <c r="GM45" s="7"/>
      <c r="GN45" s="7"/>
      <c r="GO45" s="31" t="str">
        <f>IF(GN45/(INDEX('Standards for Conversions'!$H$34:$H$73,MATCH(GM$3,'Standards for Conversions'!$A$34:$A$73,0)))=0,"",GN45/(INDEX('Standards for Conversions'!$H$34:$H$73,MATCH(GM$3,'Standards for Conversions'!$A$34:$A$73,0))))</f>
        <v/>
      </c>
      <c r="GP45" s="10" t="s">
        <v>53</v>
      </c>
      <c r="GQ45" s="7"/>
      <c r="GR45" s="7"/>
      <c r="GS45" s="31" t="str">
        <f>IF(GR45/(INDEX('Standards for Conversions'!$H$34:$H$73,MATCH(GQ$3,'Standards for Conversions'!$A$34:$A$73,0)))=0,"",GR45/(INDEX('Standards for Conversions'!$H$34:$H$73,MATCH(GQ$3,'Standards for Conversions'!$A$34:$A$73,0))))</f>
        <v/>
      </c>
      <c r="GT45" s="10" t="s">
        <v>53</v>
      </c>
      <c r="GU45" s="9"/>
      <c r="GV45" s="9"/>
      <c r="GW45" s="31" t="str">
        <f>IF(GV45/(INDEX('Standards for Conversions'!$H$34:$H$73,MATCH(GU$3,'Standards for Conversions'!$A$34:$A$73,0)))=0,"",GV45/(INDEX('Standards for Conversions'!$H$34:$H$73,MATCH(GU$3,'Standards for Conversions'!$A$34:$A$73,0))))</f>
        <v/>
      </c>
      <c r="GX45" s="10" t="s">
        <v>53</v>
      </c>
      <c r="GY45" s="7"/>
      <c r="GZ45" s="7"/>
      <c r="HA45" s="31" t="str">
        <f>IF(GZ45/(INDEX('Standards for Conversions'!$H$34:$H$73,MATCH(GY$3,'Standards for Conversions'!$A$34:$A$73,0)))=0,"",GZ45/(INDEX('Standards for Conversions'!$H$34:$H$73,MATCH(GY$3,'Standards for Conversions'!$A$34:$A$73,0))))</f>
        <v/>
      </c>
      <c r="HB45" s="10" t="s">
        <v>53</v>
      </c>
      <c r="HC45" s="7"/>
      <c r="HD45" s="7"/>
      <c r="HE45" s="31" t="str">
        <f>IF(HD45/(INDEX('Standards for Conversions'!$H$34:$H$73,MATCH(HC$3,'Standards for Conversions'!$A$34:$A$73,0)))=0,"",HD45/(INDEX('Standards for Conversions'!$H$34:$H$73,MATCH(HC$3,'Standards for Conversions'!$A$34:$A$73,0))))</f>
        <v/>
      </c>
      <c r="HF45" s="10" t="s">
        <v>53</v>
      </c>
      <c r="HG45" s="7"/>
      <c r="HH45" s="7"/>
      <c r="HI45" s="31" t="str">
        <f>IF(HH45/(INDEX('Standards for Conversions'!$H$34:$H$73,MATCH(HG$3,'Standards for Conversions'!$A$34:$A$73,0)))=0,"",HH45/(INDEX('Standards for Conversions'!$H$34:$H$73,MATCH(HG$3,'Standards for Conversions'!$A$34:$A$73,0))))</f>
        <v/>
      </c>
      <c r="HJ45" s="10" t="s">
        <v>53</v>
      </c>
      <c r="HK45" s="9"/>
      <c r="HL45" s="9"/>
      <c r="HM45" s="31" t="str">
        <f>IF(HL45/(INDEX('Standards for Conversions'!$H$34:$H$73,MATCH(HK$3,'Standards for Conversions'!$A$34:$A$73,0)))=0,"",HL45/(INDEX('Standards for Conversions'!$H$34:$H$73,MATCH(HK$3,'Standards for Conversions'!$A$34:$A$73,0))))</f>
        <v/>
      </c>
      <c r="HN45" s="10" t="s">
        <v>53</v>
      </c>
      <c r="HO45" s="7"/>
      <c r="HP45" s="7"/>
      <c r="HQ45" s="31" t="str">
        <f>IF(HP45/(INDEX('Standards for Conversions'!$H$34:$H$73,MATCH(HO$3,'Standards for Conversions'!$A$34:$A$73,0)))=0,"",HP45/(INDEX('Standards for Conversions'!$H$34:$H$73,MATCH(HO$3,'Standards for Conversions'!$A$34:$A$73,0))))</f>
        <v/>
      </c>
      <c r="HR45" s="33" t="s">
        <v>53</v>
      </c>
      <c r="HU45" s="31" t="str">
        <f>IF(HT45/(INDEX('Standards for Conversions'!$H$47:$H$73,MATCH(HS$3,'Standards for Conversions'!$A$47:$A$73,0)))=0,"",HT45/(INDEX('Standards for Conversions'!$H$47:$H$73,MATCH(HS$3,'Standards for Conversions'!$A$47:$A$73,0))))</f>
        <v/>
      </c>
      <c r="HV45" s="33" t="s">
        <v>53</v>
      </c>
      <c r="HY45" s="31" t="str">
        <f>IF(HX45/(INDEX('Standards for Conversions'!$H$47:$H$73,MATCH(HW$3,'Standards for Conversions'!$A$47:$A$73,0)))=0,"",HX45/(INDEX('Standards for Conversions'!$H$47:$H$73,MATCH(HW$3,'Standards for Conversions'!$A$47:$A$73,0))))</f>
        <v/>
      </c>
      <c r="HZ45" s="33">
        <v>400</v>
      </c>
      <c r="IA45" s="33">
        <v>800</v>
      </c>
      <c r="IB45" s="31">
        <f>IF(IA45/(INDEX('Standards for Conversions'!$H$47:$H$73,MATCH(HZ$3,'Standards for Conversions'!$A$47:$A$73,0)))=0,"",IA45/(INDEX('Standards for Conversions'!$H$47:$H$73,MATCH(HZ$3,'Standards for Conversions'!$A$47:$A$73,0))))</f>
        <v>116.19632977028476</v>
      </c>
      <c r="IC45" s="33" t="s">
        <v>53</v>
      </c>
      <c r="IF45" s="31" t="str">
        <f>IF(IE45/(INDEX('Standards for Conversions'!$H$47:$H$73,MATCH(ID$3,'Standards for Conversions'!$A$47:$A$73,0)))=0,"",IE45/(INDEX('Standards for Conversions'!$H$47:$H$73,MATCH(ID$3,'Standards for Conversions'!$A$47:$A$73,0))))</f>
        <v/>
      </c>
      <c r="IG45" s="33" t="s">
        <v>53</v>
      </c>
      <c r="IJ45" s="31" t="str">
        <f>IF(II45/(INDEX('Standards for Conversions'!$H$47:$H$73,MATCH(IH$3,'Standards for Conversions'!$A$47:$A$73,0)))=0,"",II45/(INDEX('Standards for Conversions'!$H$47:$H$73,MATCH(IH$3,'Standards for Conversions'!$A$47:$A$73,0))))</f>
        <v/>
      </c>
      <c r="IK45" s="33" t="s">
        <v>53</v>
      </c>
      <c r="IN45" s="31" t="str">
        <f>IF(IM45/(INDEX('Standards for Conversions'!$H$47:$H$73,MATCH(IL$3,'Standards for Conversions'!$A$47:$A$73,0)))=0,"",IM45/(INDEX('Standards for Conversions'!$H$47:$H$73,MATCH(IL$3,'Standards for Conversions'!$A$47:$A$73,0))))</f>
        <v/>
      </c>
      <c r="IO45" s="33" t="s">
        <v>53</v>
      </c>
      <c r="IP45" s="29">
        <v>400</v>
      </c>
      <c r="IQ45" s="29">
        <v>800</v>
      </c>
      <c r="IR45" s="31">
        <f>IF(IQ45/(INDEX('Standards for Conversions'!$H$47:$H$73,MATCH(IP$3,'Standards for Conversions'!$A$47:$A$73,0)))=0,"",IQ45/(INDEX('Standards for Conversions'!$H$47:$H$73,MATCH(IP$3,'Standards for Conversions'!$A$47:$A$73,0))))</f>
        <v>115.68818255554589</v>
      </c>
      <c r="IS45" s="33" t="s">
        <v>53</v>
      </c>
      <c r="IV45" s="31" t="str">
        <f>IF(IU45/(INDEX('Standards for Conversions'!$H$47:$H$73,MATCH(IT$3,'Standards for Conversions'!$A$47:$A$73,0)))=0,"",IU45/(INDEX('Standards for Conversions'!$H$47:$H$73,MATCH(IT$3,'Standards for Conversions'!$A$47:$A$73,0))))</f>
        <v/>
      </c>
      <c r="IW45" s="33" t="s">
        <v>53</v>
      </c>
      <c r="IZ45" s="31" t="str">
        <f>IF(IY45/(INDEX('Standards for Conversions'!$H$47:$H$73,MATCH(IX$3,'Standards for Conversions'!$A$47:$A$73,0)))=0,"",IY45/(INDEX('Standards for Conversions'!$H$47:$H$73,MATCH(IX$3,'Standards for Conversions'!$A$47:$A$73,0))))</f>
        <v/>
      </c>
      <c r="JA45" s="48" t="s">
        <v>53</v>
      </c>
      <c r="JD45" s="31" t="str">
        <f>IF(JC45/(INDEX('Standards for Conversions'!$H$47:$H$73,MATCH(JB$3,'Standards for Conversions'!$A$47:$A$73,0)))=0,"",JC45/(INDEX('Standards for Conversions'!$H$47:$H$73,MATCH(JB$3,'Standards for Conversions'!$A$47:$A$73,0))))</f>
        <v/>
      </c>
      <c r="JE45" s="48" t="s">
        <v>53</v>
      </c>
      <c r="JF45" s="29">
        <v>100</v>
      </c>
      <c r="JG45" s="29">
        <v>300</v>
      </c>
      <c r="JH45" s="31">
        <f>IF(JG45/(INDEX('Standards for Conversions'!$H$47:$H$73,MATCH(JF$3,'Standards for Conversions'!$A$47:$A$73,0)))=0,"",JG45/(INDEX('Standards for Conversions'!$H$47:$H$73,MATCH(JF$3,'Standards for Conversions'!$A$47:$A$73,0))))</f>
        <v>48.528059007560607</v>
      </c>
      <c r="JI45" s="33"/>
      <c r="JL45" s="31" t="str">
        <f>IF(JK45/(INDEX('Standards for Conversions'!$H$47:$H$73,MATCH(JJ$3,'Standards for Conversions'!$A$47:$A$73,0)))=0,"",JK45/(INDEX('Standards for Conversions'!$H$47:$H$73,MATCH(JJ$3,'Standards for Conversions'!$A$47:$A$73,0))))</f>
        <v/>
      </c>
      <c r="JM45" s="33" t="s">
        <v>53</v>
      </c>
      <c r="JP45" s="31" t="str">
        <f>IF(JO45/(INDEX('Standards for Conversions'!$H$47:$H$73,MATCH(JN$3,'Standards for Conversions'!$A$47:$A$73,0)))=0,"",JO45/(INDEX('Standards for Conversions'!$H$47:$H$73,MATCH(JN$3,'Standards for Conversions'!$A$47:$A$73,0))))</f>
        <v/>
      </c>
      <c r="JQ45" s="33" t="s">
        <v>53</v>
      </c>
      <c r="JT45" s="31" t="str">
        <f>IF(JS45/(INDEX('Standards for Conversions'!$H$47:$H$73,MATCH(JR$3,'Standards for Conversions'!$A$47:$A$73,0)))=0,"",JS45/(INDEX('Standards for Conversions'!$H$47:$H$73,MATCH(JR$3,'Standards for Conversions'!$A$47:$A$73,0))))</f>
        <v/>
      </c>
      <c r="JU45" s="33" t="s">
        <v>53</v>
      </c>
      <c r="JV45" s="29">
        <v>200</v>
      </c>
      <c r="JW45" s="29">
        <v>600</v>
      </c>
      <c r="JX45" s="31">
        <f>IF(JW45/(INDEX('Standards for Conversions'!$H$47:$H$73,MATCH(JV$3,'Standards for Conversions'!$A$47:$A$73,0)))=0,"",JW45/(INDEX('Standards for Conversions'!$H$47:$H$73,MATCH(JV$3,'Standards for Conversions'!$A$47:$A$73,0))))</f>
        <v>91.593535456678538</v>
      </c>
      <c r="JY45" s="33" t="s">
        <v>53</v>
      </c>
      <c r="KB45" s="31" t="str">
        <f>IF(KA45/(INDEX('Standards for Conversions'!$H$47:$H$73,MATCH(JZ$3,'Standards for Conversions'!$A$47:$A$73,0)))=0,"",KA45/(INDEX('Standards for Conversions'!$H$47:$H$73,MATCH(JZ$3,'Standards for Conversions'!$A$47:$A$73,0))))</f>
        <v/>
      </c>
      <c r="KC45" s="33" t="s">
        <v>53</v>
      </c>
      <c r="KF45" s="31" t="str">
        <f>IF(KE45/(INDEX('Standards for Conversions'!$H$47:$H$73,MATCH(KD$3,'Standards for Conversions'!$A$47:$A$73,0)))=0,"",KE45/(INDEX('Standards for Conversions'!$H$47:$H$73,MATCH(KD$3,'Standards for Conversions'!$A$47:$A$73,0))))</f>
        <v/>
      </c>
      <c r="KG45" s="33" t="s">
        <v>53</v>
      </c>
      <c r="KJ45" s="31" t="str">
        <f>IF(KI45/(INDEX('Standards for Conversions'!$H$47:$H$73,MATCH(KH$3,'Standards for Conversions'!$A$47:$A$73,0)))=0,"",KI45/(INDEX('Standards for Conversions'!$H$47:$H$73,MATCH(KH$3,'Standards for Conversions'!$A$47:$A$73,0))))</f>
        <v/>
      </c>
      <c r="KK45" s="33" t="s">
        <v>53</v>
      </c>
      <c r="KL45" s="29">
        <v>100</v>
      </c>
      <c r="KM45" s="29">
        <v>300</v>
      </c>
      <c r="KN45" s="31">
        <f>IF(KM45/(INDEX('Standards for Conversions'!$H$47:$H$73,MATCH(KL$3,'Standards for Conversions'!$A$47:$A$73,0)))=0,"",KM45/(INDEX('Standards for Conversions'!$H$47:$H$73,MATCH(KL$3,'Standards for Conversions'!$A$47:$A$73,0))))</f>
        <v>40.397703571738937</v>
      </c>
      <c r="KO45" s="33" t="s">
        <v>53</v>
      </c>
      <c r="KR45" s="31" t="str">
        <f>IF(KQ45/(INDEX('Standards for Conversions'!$H$47:$H$73,MATCH(KP$3,'Standards for Conversions'!$A$47:$A$73,0)))=0,"",KQ45/(INDEX('Standards for Conversions'!$H$47:$H$73,MATCH(KP$3,'Standards for Conversions'!$A$47:$A$73,0))))</f>
        <v/>
      </c>
      <c r="KS45" s="33" t="s">
        <v>53</v>
      </c>
      <c r="KV45" s="31" t="str">
        <f>IF(KU45/(INDEX('Standards for Conversions'!$H$47:$H$73,MATCH(KT$3,'Standards for Conversions'!$A$47:$A$73,0)))=0,"",KU45/(INDEX('Standards for Conversions'!$H$47:$H$73,MATCH(KT$3,'Standards for Conversions'!$A$47:$A$73,0))))</f>
        <v/>
      </c>
      <c r="KW45" s="48" t="s">
        <v>53</v>
      </c>
      <c r="KZ45" s="31" t="str">
        <f>IF(KY45/(INDEX('Standards for Conversions'!$H$47:$H$73,MATCH(KX$3,'Standards for Conversions'!$A$47:$A$73,0)))=0,"",KY45/(INDEX('Standards for Conversions'!$H$47:$H$73,MATCH(KX$3,'Standards for Conversions'!$A$47:$A$73,0))))</f>
        <v/>
      </c>
      <c r="LA45" s="48" t="s">
        <v>53</v>
      </c>
      <c r="LB45" s="29">
        <v>58</v>
      </c>
      <c r="LC45" s="29">
        <v>250</v>
      </c>
      <c r="LD45" s="31">
        <f>IF(LC45/(INDEX('Standards for Conversions'!$H$47:$H$73,MATCH(LB$3,'Standards for Conversions'!$A$47:$A$73,0)))=0,"",LC45/(INDEX('Standards for Conversions'!$H$47:$H$73,MATCH(LB$3,'Standards for Conversions'!$A$47:$A$73,0))))</f>
        <v>30.404141681874794</v>
      </c>
      <c r="LE45" s="33"/>
      <c r="LH45" s="31" t="str">
        <f>IF(LG45/(INDEX('Standards for Conversions'!$H$47:$H$73,MATCH(LF$3,'Standards for Conversions'!$A$47:$A$73,0)))=0,"",LG45/(INDEX('Standards for Conversions'!$H$47:$H$73,MATCH(LF$3,'Standards for Conversions'!$A$47:$A$73,0))))</f>
        <v/>
      </c>
      <c r="LL45" s="31" t="str">
        <f>IF(LK45/(INDEX('Standards for Conversions'!$H$47:$H$73,MATCH(LJ$3,'Standards for Conversions'!$A$47:$A$73,0)))=0,"",LK45/(INDEX('Standards for Conversions'!$H$47:$H$73,MATCH(LJ$3,'Standards for Conversions'!$A$47:$A$73,0))))</f>
        <v/>
      </c>
      <c r="LO45" s="31" t="str">
        <f>IF(LN45/(INDEX('Standards for Conversions'!$H$47:$H$73,MATCH(LM$3,'Standards for Conversions'!$A$47:$A$73,0)))=0,"",LN45/(INDEX('Standards for Conversions'!$H$47:$H$73,MATCH(LM$3,'Standards for Conversions'!$A$47:$A$73,0))))</f>
        <v/>
      </c>
      <c r="LR45" s="31" t="str">
        <f>IF(LQ45/(INDEX('Standards for Conversions'!$H$47:$H$73,MATCH(LP$3,'Standards for Conversions'!$A$47:$A$73,0)))=0,"",LQ45/(INDEX('Standards for Conversions'!$H$47:$H$73,MATCH(LP$3,'Standards for Conversions'!$A$47:$A$73,0))))</f>
        <v/>
      </c>
      <c r="LV45" s="31" t="str">
        <f>IF(LU45/(INDEX('Standards for Conversions'!$H$47:$H$73,MATCH(LT$3,'Standards for Conversions'!$A$47:$A$73,0)))=0,"",LU45/(INDEX('Standards for Conversions'!$H$47:$H$73,MATCH(LT$3,'Standards for Conversions'!$A$47:$A$73,0))))</f>
        <v/>
      </c>
      <c r="LY45" s="31" t="str">
        <f>IF(LX45/(INDEX('Standards for Conversions'!$H$47:$H$73,MATCH(LW$3,'Standards for Conversions'!$A$47:$A$73,0)))=0,"",LX45/(INDEX('Standards for Conversions'!$H$47:$H$73,MATCH(LW$3,'Standards for Conversions'!$A$47:$A$73,0))))</f>
        <v/>
      </c>
      <c r="MB45" s="31" t="str">
        <f>IF(MA45/(INDEX('Standards for Conversions'!$H$47:$H$73,MATCH(LZ$3,'Standards for Conversions'!$A$47:$A$73,0)))=0,"",MA45/(INDEX('Standards for Conversions'!$H$47:$H$73,MATCH(LZ$3,'Standards for Conversions'!$A$47:$A$73,0))))</f>
        <v/>
      </c>
      <c r="ME45" s="31" t="str">
        <f>IF(MD45/(INDEX('Standards for Conversions'!$H$47:$H$73,MATCH(MC$3,'Standards for Conversions'!$A$47:$A$73,0)))=0,"",MD45/(INDEX('Standards for Conversions'!$H$47:$H$73,MATCH(MC$3,'Standards for Conversions'!$A$47:$A$73,0))))</f>
        <v/>
      </c>
      <c r="MH45" s="31" t="str">
        <f>IF(MG45/(INDEX('Standards for Conversions'!$H$47:$H$73,MATCH(MF$3,'Standards for Conversions'!$A$47:$A$73,0)))=0,"",MG45/(INDEX('Standards for Conversions'!$H$47:$H$73,MATCH(MF$3,'Standards for Conversions'!$A$47:$A$73,0))))</f>
        <v/>
      </c>
      <c r="MK45" s="31" t="str">
        <f>IF(MJ45/(INDEX('Standards for Conversions'!$H$47:$H$73,MATCH(MI$3,'Standards for Conversions'!$A$47:$A$73,0)))=0,"",MJ45/(INDEX('Standards for Conversions'!$H$47:$H$73,MATCH(MI$3,'Standards for Conversions'!$A$47:$A$73,0))))</f>
        <v/>
      </c>
      <c r="MN45" s="31" t="str">
        <f>IF(MM45/(INDEX('Standards for Conversions'!$H$47:$H$73,MATCH(ML$3,'Standards for Conversions'!$A$47:$A$73,0)))=0,"",MM45/(INDEX('Standards for Conversions'!$H$47:$H$73,MATCH(ML$3,'Standards for Conversions'!$A$47:$A$73,0))))</f>
        <v/>
      </c>
      <c r="MR45" s="31" t="str">
        <f>IF(MQ45/(INDEX('Standards for Conversions'!$H$47:$H$73,MATCH(MP$3,'Standards for Conversions'!$A$47:$A$73,0)))=0,"",MQ45/(INDEX('Standards for Conversions'!$H$47:$H$73,MATCH(MP$3,'Standards for Conversions'!$A$47:$A$73,0))))</f>
        <v/>
      </c>
    </row>
    <row r="46" spans="1:356" hidden="1" x14ac:dyDescent="0.3">
      <c r="A46" s="103" t="s">
        <v>228</v>
      </c>
      <c r="B46" s="10" t="s">
        <v>40</v>
      </c>
      <c r="C46" s="7"/>
      <c r="D46" s="7"/>
      <c r="E46" s="31" t="str">
        <f>IF(D46/(INDEX('Standards for Conversions'!$H$34:$H$73,MATCH(C$3,'Standards for Conversions'!$A$34:$A$73,0)))=0,"",D46/(INDEX('Standards for Conversions'!$H$34:$H$73,MATCH(C$3,'Standards for Conversions'!$A$34:$A$73,0))))</f>
        <v/>
      </c>
      <c r="F46" s="10" t="s">
        <v>40</v>
      </c>
      <c r="G46" s="7"/>
      <c r="H46" s="7"/>
      <c r="I46" s="31" t="str">
        <f>IF(H46/(INDEX('Standards for Conversions'!$H$34:$H$73,MATCH(G$3,'Standards for Conversions'!$A$34:$A$73,0)))=0,"",H46/(INDEX('Standards for Conversions'!$H$34:$H$73,MATCH(G$3,'Standards for Conversions'!$A$34:$A$73,0))))</f>
        <v/>
      </c>
      <c r="J46" s="10" t="s">
        <v>40</v>
      </c>
      <c r="K46" s="9"/>
      <c r="L46" s="9"/>
      <c r="M46" s="31" t="str">
        <f>IF(L46/(INDEX('Standards for Conversions'!$H$34:$H$73,MATCH(K$3,'Standards for Conversions'!$A$34:$A$73,0)))=0,"",L46/(INDEX('Standards for Conversions'!$H$34:$H$73,MATCH(K$3,'Standards for Conversions'!$A$34:$A$73,0))))</f>
        <v/>
      </c>
      <c r="N46" s="10" t="s">
        <v>40</v>
      </c>
      <c r="O46" s="7"/>
      <c r="P46" s="7"/>
      <c r="Q46" s="31" t="str">
        <f>IF(P46/(INDEX('Standards for Conversions'!$H$34:$H$73,MATCH(O$3,'Standards for Conversions'!$A$34:$A$73,0)))=0,"",P46/(INDEX('Standards for Conversions'!$H$34:$H$73,MATCH(O$3,'Standards for Conversions'!$A$34:$A$73,0))))</f>
        <v/>
      </c>
      <c r="R46" s="10" t="s">
        <v>40</v>
      </c>
      <c r="S46" s="7"/>
      <c r="T46" s="7"/>
      <c r="U46" s="31" t="str">
        <f>IF(T46/(INDEX('Standards for Conversions'!$H$34:$H$73,MATCH(S$3,'Standards for Conversions'!$A$34:$A$73,0)))=0,"",T46/(INDEX('Standards for Conversions'!$H$34:$H$73,MATCH(S$3,'Standards for Conversions'!$A$34:$A$73,0))))</f>
        <v/>
      </c>
      <c r="V46" s="10" t="s">
        <v>40</v>
      </c>
      <c r="W46" s="7"/>
      <c r="X46" s="7"/>
      <c r="Y46" s="31" t="str">
        <f>IF(X46/(INDEX('Standards for Conversions'!$H$34:$H$73,MATCH(W$3,'Standards for Conversions'!$A$34:$A$73,0)))=0,"",X46/(INDEX('Standards for Conversions'!$H$34:$H$73,MATCH(W$3,'Standards for Conversions'!$A$34:$A$73,0))))</f>
        <v/>
      </c>
      <c r="Z46" s="10" t="s">
        <v>40</v>
      </c>
      <c r="AA46" s="9"/>
      <c r="AB46" s="9"/>
      <c r="AC46" s="31" t="str">
        <f>IF(AB46/(INDEX('Standards for Conversions'!$H$34:$H$73,MATCH(AA$3,'Standards for Conversions'!$A$34:$A$73,0)))=0,"",AB46/(INDEX('Standards for Conversions'!$H$34:$H$73,MATCH(AA$3,'Standards for Conversions'!$A$34:$A$73,0))))</f>
        <v/>
      </c>
      <c r="AD46" s="10" t="s">
        <v>40</v>
      </c>
      <c r="AE46" s="7"/>
      <c r="AF46" s="7"/>
      <c r="AG46" s="31" t="str">
        <f>IF(AF46/(INDEX('Standards for Conversions'!$H$34:$H$73,MATCH(AE$3,'Standards for Conversions'!$A$34:$A$73,0)))=0,"",AF46/(INDEX('Standards for Conversions'!$H$34:$H$73,MATCH(AE$3,'Standards for Conversions'!$A$34:$A$73,0))))</f>
        <v/>
      </c>
      <c r="AH46" s="10" t="s">
        <v>40</v>
      </c>
      <c r="AI46" s="7"/>
      <c r="AJ46" s="7"/>
      <c r="AK46" s="31" t="str">
        <f>IF(AJ46/(INDEX('Standards for Conversions'!$H$34:$H$73,MATCH(AI$3,'Standards for Conversions'!$A$34:$A$73,0)))=0,"",AJ46/(INDEX('Standards for Conversions'!$H$34:$H$73,MATCH(AI$3,'Standards for Conversions'!$A$34:$A$73,0))))</f>
        <v/>
      </c>
      <c r="AL46" s="10" t="s">
        <v>40</v>
      </c>
      <c r="AM46" s="7"/>
      <c r="AN46" s="7"/>
      <c r="AO46" s="31" t="str">
        <f>IF(AN46/(INDEX('Standards for Conversions'!$H$34:$H$73,MATCH(AM$3,'Standards for Conversions'!$A$34:$A$73,0)))=0,"",AN46/(INDEX('Standards for Conversions'!$H$34:$H$73,MATCH(AM$3,'Standards for Conversions'!$A$34:$A$73,0))))</f>
        <v/>
      </c>
      <c r="AP46" s="10" t="s">
        <v>40</v>
      </c>
      <c r="AQ46" s="9"/>
      <c r="AR46" s="9"/>
      <c r="AS46" s="31" t="str">
        <f>IF(AR46/(INDEX('Standards for Conversions'!$H$34:$H$73,MATCH(AQ$3,'Standards for Conversions'!$A$34:$A$73,0)))=0,"",AR46/(INDEX('Standards for Conversions'!$H$34:$H$73,MATCH(AQ$3,'Standards for Conversions'!$A$34:$A$73,0))))</f>
        <v/>
      </c>
      <c r="AT46" s="10" t="s">
        <v>40</v>
      </c>
      <c r="AU46" s="7"/>
      <c r="AV46" s="7"/>
      <c r="AW46" s="31" t="str">
        <f>IF(AV46/(INDEX('Standards for Conversions'!$H$34:$H$73,MATCH(AU$3,'Standards for Conversions'!$A$34:$A$73,0)))=0,"",AV46/(INDEX('Standards for Conversions'!$H$34:$H$73,MATCH(AU$3,'Standards for Conversions'!$A$34:$A$73,0))))</f>
        <v/>
      </c>
      <c r="AX46" s="10" t="s">
        <v>40</v>
      </c>
      <c r="AY46" s="7"/>
      <c r="AZ46" s="7"/>
      <c r="BA46" s="31" t="str">
        <f>IF(AZ46/(INDEX('Standards for Conversions'!$H$34:$H$73,MATCH(AY$3,'Standards for Conversions'!$A$34:$A$73,0)))=0,"",AZ46/(INDEX('Standards for Conversions'!$H$34:$H$73,MATCH(AY$3,'Standards for Conversions'!$A$34:$A$73,0))))</f>
        <v/>
      </c>
      <c r="BB46" s="10" t="s">
        <v>40</v>
      </c>
      <c r="BC46" s="7"/>
      <c r="BD46" s="7"/>
      <c r="BE46" s="31" t="str">
        <f>IF(BD46/(INDEX('Standards for Conversions'!$H$34:$H$73,MATCH(BC$3,'Standards for Conversions'!$A$34:$A$73,0)))=0,"",BD46/(INDEX('Standards for Conversions'!$H$34:$H$73,MATCH(BC$3,'Standards for Conversions'!$A$34:$A$73,0))))</f>
        <v/>
      </c>
      <c r="BF46" s="10" t="s">
        <v>40</v>
      </c>
      <c r="BG46" s="9"/>
      <c r="BH46" s="9"/>
      <c r="BI46" s="31" t="str">
        <f>IF(BH46/(INDEX('Standards for Conversions'!$H$34:$H$73,MATCH(BG$3,'Standards for Conversions'!$A$34:$A$73,0)))=0,"",BH46/(INDEX('Standards for Conversions'!$H$34:$H$73,MATCH(BG$3,'Standards for Conversions'!$A$34:$A$73,0))))</f>
        <v/>
      </c>
      <c r="BJ46" s="10" t="s">
        <v>40</v>
      </c>
      <c r="BK46" s="7"/>
      <c r="BL46" s="7"/>
      <c r="BM46" s="31" t="str">
        <f>IF(BL46/(INDEX('Standards for Conversions'!$H$34:$H$73,MATCH(BK$3,'Standards for Conversions'!$A$34:$A$73,0)))=0,"",BL46/(INDEX('Standards for Conversions'!$H$34:$H$73,MATCH(BK$3,'Standards for Conversions'!$A$34:$A$73,0))))</f>
        <v/>
      </c>
      <c r="BN46" s="10" t="s">
        <v>40</v>
      </c>
      <c r="BO46" s="7"/>
      <c r="BP46" s="7"/>
      <c r="BQ46" s="31" t="str">
        <f>IF(BP46/(INDEX('Standards for Conversions'!$H$34:$H$73,MATCH(BO$3,'Standards for Conversions'!$A$34:$A$73,0)))=0,"",BP46/(INDEX('Standards for Conversions'!$H$34:$H$73,MATCH(BO$3,'Standards for Conversions'!$A$34:$A$73,0))))</f>
        <v/>
      </c>
      <c r="BR46" s="10" t="s">
        <v>40</v>
      </c>
      <c r="BS46" s="7"/>
      <c r="BT46" s="7"/>
      <c r="BU46" s="31" t="str">
        <f>IF(BT46/(INDEX('Standards for Conversions'!$H$34:$H$73,MATCH(BS$3,'Standards for Conversions'!$A$34:$A$73,0)))=0,"",BT46/(INDEX('Standards for Conversions'!$H$34:$H$73,MATCH(BS$3,'Standards for Conversions'!$A$34:$A$73,0))))</f>
        <v/>
      </c>
      <c r="BV46" s="10" t="s">
        <v>40</v>
      </c>
      <c r="BW46" s="9"/>
      <c r="BX46" s="9"/>
      <c r="BY46" s="31" t="str">
        <f>IF(BX46/(INDEX('Standards for Conversions'!$H$34:$H$73,MATCH(BW$3,'Standards for Conversions'!$A$34:$A$73,0)))=0,"",BX46/(INDEX('Standards for Conversions'!$H$34:$H$73,MATCH(BW$3,'Standards for Conversions'!$A$34:$A$73,0))))</f>
        <v/>
      </c>
      <c r="BZ46" s="10" t="s">
        <v>40</v>
      </c>
      <c r="CA46" s="7"/>
      <c r="CB46" s="7"/>
      <c r="CC46" s="31" t="str">
        <f>IF(CB46/(INDEX('Standards for Conversions'!$H$34:$H$73,MATCH(CA$3,'Standards for Conversions'!$A$34:$A$73,0)))=0,"",CB46/(INDEX('Standards for Conversions'!$H$34:$H$73,MATCH(CA$3,'Standards for Conversions'!$A$34:$A$73,0))))</f>
        <v/>
      </c>
      <c r="CD46" s="10" t="s">
        <v>40</v>
      </c>
      <c r="CE46" s="7"/>
      <c r="CF46" s="7"/>
      <c r="CG46" s="31" t="str">
        <f>IF(CF46/(INDEX('Standards for Conversions'!$H$34:$H$73,MATCH(CE$3,'Standards for Conversions'!$A$34:$A$73,0)))=0,"",CF46/(INDEX('Standards for Conversions'!$H$34:$H$73,MATCH(CE$3,'Standards for Conversions'!$A$34:$A$73,0))))</f>
        <v/>
      </c>
      <c r="CH46" s="10" t="s">
        <v>40</v>
      </c>
      <c r="CI46" s="7"/>
      <c r="CJ46" s="7"/>
      <c r="CK46" s="31" t="str">
        <f>IF(CJ46/(INDEX('Standards for Conversions'!$H$34:$H$73,MATCH(CI$3,'Standards for Conversions'!$A$34:$A$73,0)))=0,"",CJ46/(INDEX('Standards for Conversions'!$H$34:$H$73,MATCH(CI$3,'Standards for Conversions'!$A$34:$A$73,0))))</f>
        <v/>
      </c>
      <c r="CL46" s="10" t="s">
        <v>40</v>
      </c>
      <c r="CM46" s="9"/>
      <c r="CN46" s="9"/>
      <c r="CO46" s="31" t="str">
        <f>IF(CN46/(INDEX('Standards for Conversions'!$H$34:$H$73,MATCH(CM$3,'Standards for Conversions'!$A$34:$A$73,0)))=0,"",CN46/(INDEX('Standards for Conversions'!$H$34:$H$73,MATCH(CM$3,'Standards for Conversions'!$A$34:$A$73,0))))</f>
        <v/>
      </c>
      <c r="CP46" s="10" t="s">
        <v>40</v>
      </c>
      <c r="CQ46" s="7"/>
      <c r="CR46" s="7"/>
      <c r="CS46" s="31" t="str">
        <f>IF(CR46/(INDEX('Standards for Conversions'!$H$34:$H$73,MATCH(CQ$3,'Standards for Conversions'!$A$34:$A$73,0)))=0,"",CR46/(INDEX('Standards for Conversions'!$H$34:$H$73,MATCH(CQ$3,'Standards for Conversions'!$A$34:$A$73,0))))</f>
        <v/>
      </c>
      <c r="CT46" s="10" t="s">
        <v>40</v>
      </c>
      <c r="CU46" s="7"/>
      <c r="CV46" s="7"/>
      <c r="CW46" s="31" t="str">
        <f>IF(CV46/(INDEX('Standards for Conversions'!$H$34:$H$73,MATCH(CU$3,'Standards for Conversions'!$A$34:$A$73,0)))=0,"",CV46/(INDEX('Standards for Conversions'!$H$34:$H$73,MATCH(CU$3,'Standards for Conversions'!$A$34:$A$73,0))))</f>
        <v/>
      </c>
      <c r="CX46" s="10" t="s">
        <v>40</v>
      </c>
      <c r="CY46" s="7"/>
      <c r="CZ46" s="7"/>
      <c r="DA46" s="31" t="str">
        <f>IF(CZ46/(INDEX('Standards for Conversions'!$H$34:$H$73,MATCH(CY$3,'Standards for Conversions'!$A$34:$A$73,0)))=0,"",CZ46/(INDEX('Standards for Conversions'!$H$34:$H$73,MATCH(CY$3,'Standards for Conversions'!$A$34:$A$73,0))))</f>
        <v/>
      </c>
      <c r="DB46" s="10" t="s">
        <v>40</v>
      </c>
      <c r="DC46" s="9"/>
      <c r="DD46" s="9"/>
      <c r="DE46" s="31" t="str">
        <f>IF(DD46/(INDEX('Standards for Conversions'!$H$34:$H$73,MATCH(DC$3,'Standards for Conversions'!$A$34:$A$73,0)))=0,"",DD46/(INDEX('Standards for Conversions'!$H$34:$H$73,MATCH(DC$3,'Standards for Conversions'!$A$34:$A$73,0))))</f>
        <v/>
      </c>
      <c r="DF46" s="10" t="s">
        <v>40</v>
      </c>
      <c r="DG46" s="7"/>
      <c r="DH46" s="7"/>
      <c r="DI46" s="31" t="str">
        <f>IF(DH46/(INDEX('Standards for Conversions'!$H$34:$H$73,MATCH(DG$3,'Standards for Conversions'!$A$34:$A$73,0)))=0,"",DH46/(INDEX('Standards for Conversions'!$H$34:$H$73,MATCH(DG$3,'Standards for Conversions'!$A$34:$A$73,0))))</f>
        <v/>
      </c>
      <c r="DJ46" s="10" t="s">
        <v>40</v>
      </c>
      <c r="DK46" s="7"/>
      <c r="DL46" s="7"/>
      <c r="DM46" s="31" t="str">
        <f>IF(DL46/(INDEX('Standards for Conversions'!$H$34:$H$73,MATCH(DK$3,'Standards for Conversions'!$A$34:$A$73,0)))=0,"",DL46/(INDEX('Standards for Conversions'!$H$34:$H$73,MATCH(DK$3,'Standards for Conversions'!$A$34:$A$73,0))))</f>
        <v/>
      </c>
      <c r="DN46" s="10" t="s">
        <v>40</v>
      </c>
      <c r="DO46" s="7"/>
      <c r="DP46" s="7"/>
      <c r="DQ46" s="31" t="str">
        <f>IF(DP46/(INDEX('Standards for Conversions'!$H$34:$H$73,MATCH(DO$3,'Standards for Conversions'!$A$34:$A$73,0)))=0,"",DP46/(INDEX('Standards for Conversions'!$H$34:$H$73,MATCH(DO$3,'Standards for Conversions'!$A$34:$A$73,0))))</f>
        <v/>
      </c>
      <c r="DR46" s="10" t="s">
        <v>40</v>
      </c>
      <c r="DS46" s="9"/>
      <c r="DT46" s="9"/>
      <c r="DU46" s="31" t="str">
        <f>IF(DT46/(INDEX('Standards for Conversions'!$H$34:$H$73,MATCH(DS$3,'Standards for Conversions'!$A$34:$A$73,0)))=0,"",DT46/(INDEX('Standards for Conversions'!$H$34:$H$73,MATCH(DS$3,'Standards for Conversions'!$A$34:$A$73,0))))</f>
        <v/>
      </c>
      <c r="DV46" s="10" t="s">
        <v>40</v>
      </c>
      <c r="DW46" s="7"/>
      <c r="DX46" s="7"/>
      <c r="DY46" s="31" t="str">
        <f>IF(DX46/(INDEX('Standards for Conversions'!$H$34:$H$73,MATCH(DW$3,'Standards for Conversions'!$A$34:$A$73,0)))=0,"",DX46/(INDEX('Standards for Conversions'!$H$34:$H$73,MATCH(DW$3,'Standards for Conversions'!$A$34:$A$73,0))))</f>
        <v/>
      </c>
      <c r="DZ46" s="10" t="s">
        <v>40</v>
      </c>
      <c r="EA46" s="7"/>
      <c r="EB46" s="7"/>
      <c r="EC46" s="31" t="str">
        <f>IF(EB46/(INDEX('Standards for Conversions'!$H$34:$H$73,MATCH(EA$3,'Standards for Conversions'!$A$34:$A$73,0)))=0,"",EB46/(INDEX('Standards for Conversions'!$H$34:$H$73,MATCH(EA$3,'Standards for Conversions'!$A$34:$A$73,0))))</f>
        <v/>
      </c>
      <c r="ED46" s="10" t="s">
        <v>40</v>
      </c>
      <c r="EE46" s="7"/>
      <c r="EF46" s="7"/>
      <c r="EG46" s="31" t="str">
        <f>IF(EF46/(INDEX('Standards for Conversions'!$H$34:$H$73,MATCH(EE$3,'Standards for Conversions'!$A$34:$A$73,0)))=0,"",EF46/(INDEX('Standards for Conversions'!$H$34:$H$73,MATCH(EE$3,'Standards for Conversions'!$A$34:$A$73,0))))</f>
        <v/>
      </c>
      <c r="EH46" s="10" t="s">
        <v>40</v>
      </c>
      <c r="EI46" s="9"/>
      <c r="EJ46" s="9"/>
      <c r="EK46" s="31" t="str">
        <f>IF(EJ46/(INDEX('Standards for Conversions'!$H$34:$H$73,MATCH(EI$3,'Standards for Conversions'!$A$34:$A$73,0)))=0,"",EJ46/(INDEX('Standards for Conversions'!$H$34:$H$73,MATCH(EI$3,'Standards for Conversions'!$A$34:$A$73,0))))</f>
        <v/>
      </c>
      <c r="EL46" s="10" t="s">
        <v>40</v>
      </c>
      <c r="EM46" s="7"/>
      <c r="EN46" s="7"/>
      <c r="EO46" s="31" t="str">
        <f>IF(EN46/(INDEX('Standards for Conversions'!$H$34:$H$73,MATCH(EM$3,'Standards for Conversions'!$A$34:$A$73,0)))=0,"",EN46/(INDEX('Standards for Conversions'!$H$34:$H$73,MATCH(EM$3,'Standards for Conversions'!$A$34:$A$73,0))))</f>
        <v/>
      </c>
      <c r="EP46" s="10" t="s">
        <v>40</v>
      </c>
      <c r="EQ46" s="7"/>
      <c r="ER46" s="7"/>
      <c r="ES46" s="31" t="str">
        <f>IF(ER46/(INDEX('Standards for Conversions'!$H$34:$H$73,MATCH(EQ$3,'Standards for Conversions'!$A$34:$A$73,0)))=0,"",ER46/(INDEX('Standards for Conversions'!$H$34:$H$73,MATCH(EQ$3,'Standards for Conversions'!$A$34:$A$73,0))))</f>
        <v/>
      </c>
      <c r="ET46" s="10" t="s">
        <v>40</v>
      </c>
      <c r="EU46" s="7"/>
      <c r="EV46" s="7"/>
      <c r="EW46" s="31" t="str">
        <f>IF(EV46/(INDEX('Standards for Conversions'!$H$34:$H$73,MATCH(EU$3,'Standards for Conversions'!$A$34:$A$73,0)))=0,"",EV46/(INDEX('Standards for Conversions'!$H$34:$H$73,MATCH(EU$3,'Standards for Conversions'!$A$34:$A$73,0))))</f>
        <v/>
      </c>
      <c r="EX46" s="10" t="s">
        <v>40</v>
      </c>
      <c r="EY46" s="9"/>
      <c r="EZ46" s="9"/>
      <c r="FA46" s="31" t="str">
        <f>IF(EZ46/(INDEX('Standards for Conversions'!$H$34:$H$73,MATCH(EY$3,'Standards for Conversions'!$A$34:$A$73,0)))=0,"",EZ46/(INDEX('Standards for Conversions'!$H$34:$H$73,MATCH(EY$3,'Standards for Conversions'!$A$34:$A$73,0))))</f>
        <v/>
      </c>
      <c r="FB46" s="10" t="s">
        <v>40</v>
      </c>
      <c r="FC46" s="7"/>
      <c r="FD46" s="7"/>
      <c r="FE46" s="31" t="str">
        <f>IF(FD46/(INDEX('Standards for Conversions'!$H$34:$H$73,MATCH(FC$3,'Standards for Conversions'!$A$34:$A$73,0)))=0,"",FD46/(INDEX('Standards for Conversions'!$H$34:$H$73,MATCH(FC$3,'Standards for Conversions'!$A$34:$A$73,0))))</f>
        <v/>
      </c>
      <c r="FF46" s="10" t="s">
        <v>40</v>
      </c>
      <c r="FG46" s="7"/>
      <c r="FH46" s="7"/>
      <c r="FI46" s="31" t="str">
        <f>IF(FH46/(INDEX('Standards for Conversions'!$H$34:$H$73,MATCH(FG$3,'Standards for Conversions'!$A$34:$A$73,0)))=0,"",FH46/(INDEX('Standards for Conversions'!$H$34:$H$73,MATCH(FG$3,'Standards for Conversions'!$A$34:$A$73,0))))</f>
        <v/>
      </c>
      <c r="FJ46" s="10" t="s">
        <v>40</v>
      </c>
      <c r="FK46" s="7"/>
      <c r="FL46" s="7"/>
      <c r="FM46" s="31" t="str">
        <f>IF(FL46/(INDEX('Standards for Conversions'!$H$34:$H$73,MATCH(FK$3,'Standards for Conversions'!$A$34:$A$73,0)))=0,"",FL46/(INDEX('Standards for Conversions'!$H$34:$H$73,MATCH(FK$3,'Standards for Conversions'!$A$34:$A$73,0))))</f>
        <v/>
      </c>
      <c r="FN46" s="10" t="s">
        <v>40</v>
      </c>
      <c r="FO46" s="9"/>
      <c r="FP46" s="9"/>
      <c r="FQ46" s="31" t="str">
        <f>IF(FP46/(INDEX('Standards for Conversions'!$H$34:$H$73,MATCH(FO$3,'Standards for Conversions'!$A$34:$A$73,0)))=0,"",FP46/(INDEX('Standards for Conversions'!$H$34:$H$73,MATCH(FO$3,'Standards for Conversions'!$A$34:$A$73,0))))</f>
        <v/>
      </c>
      <c r="FR46" s="10" t="s">
        <v>40</v>
      </c>
      <c r="FS46" s="7"/>
      <c r="FT46" s="7"/>
      <c r="FU46" s="31" t="str">
        <f>IF(FT46/(INDEX('Standards for Conversions'!$H$34:$H$73,MATCH(FS$3,'Standards for Conversions'!$A$34:$A$73,0)))=0,"",FT46/(INDEX('Standards for Conversions'!$H$34:$H$73,MATCH(FS$3,'Standards for Conversions'!$A$34:$A$73,0))))</f>
        <v/>
      </c>
      <c r="FV46" s="10" t="s">
        <v>40</v>
      </c>
      <c r="FW46" s="7"/>
      <c r="FX46" s="7"/>
      <c r="FY46" s="31" t="str">
        <f>IF(FX46/(INDEX('Standards for Conversions'!$H$34:$H$73,MATCH(FW$3,'Standards for Conversions'!$A$34:$A$73,0)))=0,"",FX46/(INDEX('Standards for Conversions'!$H$34:$H$73,MATCH(FW$3,'Standards for Conversions'!$A$34:$A$73,0))))</f>
        <v/>
      </c>
      <c r="FZ46" s="10" t="s">
        <v>40</v>
      </c>
      <c r="GA46" s="7"/>
      <c r="GB46" s="7"/>
      <c r="GC46" s="31" t="str">
        <f>IF(GB46/(INDEX('Standards for Conversions'!$H$34:$H$73,MATCH(GA$3,'Standards for Conversions'!$A$34:$A$73,0)))=0,"",GB46/(INDEX('Standards for Conversions'!$H$34:$H$73,MATCH(GA$3,'Standards for Conversions'!$A$34:$A$73,0))))</f>
        <v/>
      </c>
      <c r="GD46" s="10" t="s">
        <v>40</v>
      </c>
      <c r="GE46" s="9"/>
      <c r="GF46" s="9"/>
      <c r="GG46" s="31" t="str">
        <f>IF(GF46/(INDEX('Standards for Conversions'!$H$34:$H$73,MATCH(GE$3,'Standards for Conversions'!$A$34:$A$73,0)))=0,"",GF46/(INDEX('Standards for Conversions'!$H$34:$H$73,MATCH(GE$3,'Standards for Conversions'!$A$34:$A$73,0))))</f>
        <v/>
      </c>
      <c r="GH46" s="10" t="s">
        <v>40</v>
      </c>
      <c r="GI46" s="7"/>
      <c r="GJ46" s="7"/>
      <c r="GK46" s="31" t="str">
        <f>IF(GJ46/(INDEX('Standards for Conversions'!$H$34:$H$73,MATCH(GI$3,'Standards for Conversions'!$A$34:$A$73,0)))=0,"",GJ46/(INDEX('Standards for Conversions'!$H$34:$H$73,MATCH(GI$3,'Standards for Conversions'!$A$34:$A$73,0))))</f>
        <v/>
      </c>
      <c r="GL46" s="10" t="s">
        <v>40</v>
      </c>
      <c r="GM46" s="7"/>
      <c r="GN46" s="7"/>
      <c r="GO46" s="31" t="str">
        <f>IF(GN46/(INDEX('Standards for Conversions'!$H$34:$H$73,MATCH(GM$3,'Standards for Conversions'!$A$34:$A$73,0)))=0,"",GN46/(INDEX('Standards for Conversions'!$H$34:$H$73,MATCH(GM$3,'Standards for Conversions'!$A$34:$A$73,0))))</f>
        <v/>
      </c>
      <c r="GP46" s="10" t="s">
        <v>40</v>
      </c>
      <c r="GQ46" s="7"/>
      <c r="GR46" s="7"/>
      <c r="GS46" s="31" t="str">
        <f>IF(GR46/(INDEX('Standards for Conversions'!$H$34:$H$73,MATCH(GQ$3,'Standards for Conversions'!$A$34:$A$73,0)))=0,"",GR46/(INDEX('Standards for Conversions'!$H$34:$H$73,MATCH(GQ$3,'Standards for Conversions'!$A$34:$A$73,0))))</f>
        <v/>
      </c>
      <c r="GT46" s="10" t="s">
        <v>40</v>
      </c>
      <c r="GU46" s="9"/>
      <c r="GV46" s="9"/>
      <c r="GW46" s="31" t="str">
        <f>IF(GV46/(INDEX('Standards for Conversions'!$H$34:$H$73,MATCH(GU$3,'Standards for Conversions'!$A$34:$A$73,0)))=0,"",GV46/(INDEX('Standards for Conversions'!$H$34:$H$73,MATCH(GU$3,'Standards for Conversions'!$A$34:$A$73,0))))</f>
        <v/>
      </c>
      <c r="GX46" s="10" t="s">
        <v>40</v>
      </c>
      <c r="GY46" s="7"/>
      <c r="GZ46" s="7"/>
      <c r="HA46" s="31" t="str">
        <f>IF(GZ46/(INDEX('Standards for Conversions'!$H$34:$H$73,MATCH(GY$3,'Standards for Conversions'!$A$34:$A$73,0)))=0,"",GZ46/(INDEX('Standards for Conversions'!$H$34:$H$73,MATCH(GY$3,'Standards for Conversions'!$A$34:$A$73,0))))</f>
        <v/>
      </c>
      <c r="HB46" s="10" t="s">
        <v>40</v>
      </c>
      <c r="HC46" s="7"/>
      <c r="HD46" s="7"/>
      <c r="HE46" s="31" t="str">
        <f>IF(HD46/(INDEX('Standards for Conversions'!$H$34:$H$73,MATCH(HC$3,'Standards for Conversions'!$A$34:$A$73,0)))=0,"",HD46/(INDEX('Standards for Conversions'!$H$34:$H$73,MATCH(HC$3,'Standards for Conversions'!$A$34:$A$73,0))))</f>
        <v/>
      </c>
      <c r="HF46" s="10" t="s">
        <v>40</v>
      </c>
      <c r="HG46" s="7"/>
      <c r="HH46" s="7"/>
      <c r="HI46" s="31" t="str">
        <f>IF(HH46/(INDEX('Standards for Conversions'!$H$34:$H$73,MATCH(HG$3,'Standards for Conversions'!$A$34:$A$73,0)))=0,"",HH46/(INDEX('Standards for Conversions'!$H$34:$H$73,MATCH(HG$3,'Standards for Conversions'!$A$34:$A$73,0))))</f>
        <v/>
      </c>
      <c r="HJ46" s="10" t="s">
        <v>40</v>
      </c>
      <c r="HK46" s="9"/>
      <c r="HL46" s="9"/>
      <c r="HM46" s="31" t="str">
        <f>IF(HL46/(INDEX('Standards for Conversions'!$H$34:$H$73,MATCH(HK$3,'Standards for Conversions'!$A$34:$A$73,0)))=0,"",HL46/(INDEX('Standards for Conversions'!$H$34:$H$73,MATCH(HK$3,'Standards for Conversions'!$A$34:$A$73,0))))</f>
        <v/>
      </c>
      <c r="HN46" s="10" t="s">
        <v>40</v>
      </c>
      <c r="HO46" s="7"/>
      <c r="HP46" s="7"/>
      <c r="HQ46" s="31" t="str">
        <f>IF(HP46/(INDEX('Standards for Conversions'!$H$34:$H$73,MATCH(HO$3,'Standards for Conversions'!$A$34:$A$73,0)))=0,"",HP46/(INDEX('Standards for Conversions'!$H$34:$H$73,MATCH(HO$3,'Standards for Conversions'!$A$34:$A$73,0))))</f>
        <v/>
      </c>
      <c r="HR46" s="33" t="s">
        <v>40</v>
      </c>
      <c r="HU46" s="31" t="str">
        <f>IF(HT46/(INDEX('Standards for Conversions'!$H$47:$H$73,MATCH(HS$3,'Standards for Conversions'!$A$47:$A$73,0)))=0,"",HT46/(INDEX('Standards for Conversions'!$H$47:$H$73,MATCH(HS$3,'Standards for Conversions'!$A$47:$A$73,0))))</f>
        <v/>
      </c>
      <c r="HV46" s="33" t="s">
        <v>40</v>
      </c>
      <c r="HY46" s="31" t="str">
        <f>IF(HX46/(INDEX('Standards for Conversions'!$H$47:$H$73,MATCH(HW$3,'Standards for Conversions'!$A$47:$A$73,0)))=0,"",HX46/(INDEX('Standards for Conversions'!$H$47:$H$73,MATCH(HW$3,'Standards for Conversions'!$A$47:$A$73,0))))</f>
        <v/>
      </c>
      <c r="HZ46" s="33"/>
      <c r="IA46" s="33"/>
      <c r="IB46" s="31" t="str">
        <f>IF(IA46/(INDEX('Standards for Conversions'!$H$47:$H$73,MATCH(HZ$3,'Standards for Conversions'!$A$47:$A$73,0)))=0,"",IA46/(INDEX('Standards for Conversions'!$H$47:$H$73,MATCH(HZ$3,'Standards for Conversions'!$A$47:$A$73,0))))</f>
        <v/>
      </c>
      <c r="IC46" s="33" t="s">
        <v>40</v>
      </c>
      <c r="ID46" s="29">
        <v>50</v>
      </c>
      <c r="IE46" s="29">
        <v>400</v>
      </c>
      <c r="IF46" s="31">
        <f>IF(IE46/(INDEX('Standards for Conversions'!$H$47:$H$73,MATCH(ID$3,'Standards for Conversions'!$A$47:$A$73,0)))=0,"",IE46/(INDEX('Standards for Conversions'!$H$47:$H$73,MATCH(ID$3,'Standards for Conversions'!$A$47:$A$73,0))))</f>
        <v>58.098164885142381</v>
      </c>
      <c r="IG46" s="33" t="s">
        <v>40</v>
      </c>
      <c r="IJ46" s="31" t="str">
        <f>IF(II46/(INDEX('Standards for Conversions'!$H$47:$H$73,MATCH(IH$3,'Standards for Conversions'!$A$47:$A$73,0)))=0,"",II46/(INDEX('Standards for Conversions'!$H$47:$H$73,MATCH(IH$3,'Standards for Conversions'!$A$47:$A$73,0))))</f>
        <v/>
      </c>
      <c r="IK46" s="33" t="s">
        <v>40</v>
      </c>
      <c r="IN46" s="31" t="str">
        <f>IF(IM46/(INDEX('Standards for Conversions'!$H$47:$H$73,MATCH(IL$3,'Standards for Conversions'!$A$47:$A$73,0)))=0,"",IM46/(INDEX('Standards for Conversions'!$H$47:$H$73,MATCH(IL$3,'Standards for Conversions'!$A$47:$A$73,0))))</f>
        <v/>
      </c>
      <c r="IO46" s="33" t="s">
        <v>40</v>
      </c>
      <c r="IR46" s="31" t="str">
        <f>IF(IQ46/(INDEX('Standards for Conversions'!$H$47:$H$73,MATCH(IP$3,'Standards for Conversions'!$A$47:$A$73,0)))=0,"",IQ46/(INDEX('Standards for Conversions'!$H$47:$H$73,MATCH(IP$3,'Standards for Conversions'!$A$47:$A$73,0))))</f>
        <v/>
      </c>
      <c r="IS46" s="33" t="s">
        <v>40</v>
      </c>
      <c r="IT46" s="29">
        <v>67</v>
      </c>
      <c r="IU46" s="29">
        <v>230</v>
      </c>
      <c r="IV46" s="31">
        <f>IF(IU46/(INDEX('Standards for Conversions'!$H$47:$H$73,MATCH(IT$3,'Standards for Conversions'!$A$47:$A$73,0)))=0,"",IU46/(INDEX('Standards for Conversions'!$H$47:$H$73,MATCH(IT$3,'Standards for Conversions'!$A$47:$A$73,0))))</f>
        <v>33.260352484719441</v>
      </c>
      <c r="IW46" s="33" t="s">
        <v>40</v>
      </c>
      <c r="IZ46" s="31" t="str">
        <f>IF(IY46/(INDEX('Standards for Conversions'!$H$47:$H$73,MATCH(IX$3,'Standards for Conversions'!$A$47:$A$73,0)))=0,"",IY46/(INDEX('Standards for Conversions'!$H$47:$H$73,MATCH(IX$3,'Standards for Conversions'!$A$47:$A$73,0))))</f>
        <v/>
      </c>
      <c r="JA46" s="33" t="s">
        <v>40</v>
      </c>
      <c r="JD46" s="31" t="str">
        <f>IF(JC46/(INDEX('Standards for Conversions'!$H$47:$H$73,MATCH(JB$3,'Standards for Conversions'!$A$47:$A$73,0)))=0,"",JC46/(INDEX('Standards for Conversions'!$H$47:$H$73,MATCH(JB$3,'Standards for Conversions'!$A$47:$A$73,0))))</f>
        <v/>
      </c>
      <c r="JE46" s="33" t="s">
        <v>40</v>
      </c>
      <c r="JH46" s="31" t="str">
        <f>IF(JG46/(INDEX('Standards for Conversions'!$H$47:$H$73,MATCH(JF$3,'Standards for Conversions'!$A$47:$A$73,0)))=0,"",JG46/(INDEX('Standards for Conversions'!$H$47:$H$73,MATCH(JF$3,'Standards for Conversions'!$A$47:$A$73,0))))</f>
        <v/>
      </c>
      <c r="JI46" s="48" t="s">
        <v>40</v>
      </c>
      <c r="JJ46" s="29">
        <v>100</v>
      </c>
      <c r="JK46" s="29">
        <v>400</v>
      </c>
      <c r="JL46" s="31">
        <f>IF(JK46/(INDEX('Standards for Conversions'!$H$47:$H$73,MATCH(JJ$3,'Standards for Conversions'!$A$47:$A$73,0)))=0,"",JK46/(INDEX('Standards for Conversions'!$H$47:$H$73,MATCH(JJ$3,'Standards for Conversions'!$A$47:$A$73,0))))</f>
        <v>64.704078676747471</v>
      </c>
      <c r="JM46" s="33" t="s">
        <v>40</v>
      </c>
      <c r="JP46" s="31" t="str">
        <f>IF(JO46/(INDEX('Standards for Conversions'!$H$47:$H$73,MATCH(JN$3,'Standards for Conversions'!$A$47:$A$73,0)))=0,"",JO46/(INDEX('Standards for Conversions'!$H$47:$H$73,MATCH(JN$3,'Standards for Conversions'!$A$47:$A$73,0))))</f>
        <v/>
      </c>
      <c r="JQ46" s="33" t="s">
        <v>40</v>
      </c>
      <c r="JT46" s="31" t="str">
        <f>IF(JS46/(INDEX('Standards for Conversions'!$H$47:$H$73,MATCH(JR$3,'Standards for Conversions'!$A$47:$A$73,0)))=0,"",JS46/(INDEX('Standards for Conversions'!$H$47:$H$73,MATCH(JR$3,'Standards for Conversions'!$A$47:$A$73,0))))</f>
        <v/>
      </c>
      <c r="JU46" s="33" t="s">
        <v>40</v>
      </c>
      <c r="JX46" s="31" t="str">
        <f>IF(JW46/(INDEX('Standards for Conversions'!$H$47:$H$73,MATCH(JV$3,'Standards for Conversions'!$A$47:$A$73,0)))=0,"",JW46/(INDEX('Standards for Conversions'!$H$47:$H$73,MATCH(JV$3,'Standards for Conversions'!$A$47:$A$73,0))))</f>
        <v/>
      </c>
      <c r="JY46" s="33" t="s">
        <v>40</v>
      </c>
      <c r="JZ46" s="29">
        <v>120</v>
      </c>
      <c r="KA46" s="29">
        <v>500</v>
      </c>
      <c r="KB46" s="31">
        <f>IF(KA46/(INDEX('Standards for Conversions'!$H$47:$H$73,MATCH(JZ$3,'Standards for Conversions'!$A$47:$A$73,0)))=0,"",KA46/(INDEX('Standards for Conversions'!$H$47:$H$73,MATCH(JZ$3,'Standards for Conversions'!$A$47:$A$73,0))))</f>
        <v>76.327946213898784</v>
      </c>
      <c r="KC46" s="33" t="s">
        <v>40</v>
      </c>
      <c r="KF46" s="31" t="str">
        <f>IF(KE46/(INDEX('Standards for Conversions'!$H$47:$H$73,MATCH(KD$3,'Standards for Conversions'!$A$47:$A$73,0)))=0,"",KE46/(INDEX('Standards for Conversions'!$H$47:$H$73,MATCH(KD$3,'Standards for Conversions'!$A$47:$A$73,0))))</f>
        <v/>
      </c>
      <c r="KG46" s="33" t="s">
        <v>40</v>
      </c>
      <c r="KJ46" s="31" t="str">
        <f>IF(KI46/(INDEX('Standards for Conversions'!$H$47:$H$73,MATCH(KH$3,'Standards for Conversions'!$A$47:$A$73,0)))=0,"",KI46/(INDEX('Standards for Conversions'!$H$47:$H$73,MATCH(KH$3,'Standards for Conversions'!$A$47:$A$73,0))))</f>
        <v/>
      </c>
      <c r="KK46" s="33" t="s">
        <v>40</v>
      </c>
      <c r="KN46" s="31" t="str">
        <f>IF(KM46/(INDEX('Standards for Conversions'!$H$47:$H$73,MATCH(KL$3,'Standards for Conversions'!$A$47:$A$73,0)))=0,"",KM46/(INDEX('Standards for Conversions'!$H$47:$H$73,MATCH(KL$3,'Standards for Conversions'!$A$47:$A$73,0))))</f>
        <v/>
      </c>
      <c r="KO46" s="33" t="s">
        <v>40</v>
      </c>
      <c r="KP46" s="29">
        <v>100</v>
      </c>
      <c r="KQ46" s="29">
        <v>400</v>
      </c>
      <c r="KR46" s="31">
        <f>IF(KQ46/(INDEX('Standards for Conversions'!$H$47:$H$73,MATCH(KP$3,'Standards for Conversions'!$A$47:$A$73,0)))=0,"",KQ46/(INDEX('Standards for Conversions'!$H$47:$H$73,MATCH(KP$3,'Standards for Conversions'!$A$47:$A$73,0))))</f>
        <v>53.863604762318587</v>
      </c>
      <c r="KS46" s="33" t="s">
        <v>40</v>
      </c>
      <c r="KV46" s="31" t="str">
        <f>IF(KU46/(INDEX('Standards for Conversions'!$H$47:$H$73,MATCH(KT$3,'Standards for Conversions'!$A$47:$A$73,0)))=0,"",KU46/(INDEX('Standards for Conversions'!$H$47:$H$73,MATCH(KT$3,'Standards for Conversions'!$A$47:$A$73,0))))</f>
        <v/>
      </c>
      <c r="KW46" s="33" t="s">
        <v>40</v>
      </c>
      <c r="KZ46" s="31" t="str">
        <f>IF(KY46/(INDEX('Standards for Conversions'!$H$47:$H$73,MATCH(KX$3,'Standards for Conversions'!$A$47:$A$73,0)))=0,"",KY46/(INDEX('Standards for Conversions'!$H$47:$H$73,MATCH(KX$3,'Standards for Conversions'!$A$47:$A$73,0))))</f>
        <v/>
      </c>
      <c r="LA46" s="33" t="s">
        <v>40</v>
      </c>
      <c r="LD46" s="31" t="str">
        <f>IF(LC46/(INDEX('Standards for Conversions'!$H$47:$H$73,MATCH(LB$3,'Standards for Conversions'!$A$47:$A$73,0)))=0,"",LC46/(INDEX('Standards for Conversions'!$H$47:$H$73,MATCH(LB$3,'Standards for Conversions'!$A$47:$A$73,0))))</f>
        <v/>
      </c>
      <c r="LE46" s="48" t="s">
        <v>40</v>
      </c>
      <c r="LF46" s="29">
        <v>90</v>
      </c>
      <c r="LG46" s="29">
        <v>710</v>
      </c>
      <c r="LH46" s="31">
        <f>IF(LG46/(INDEX('Standards for Conversions'!$H$47:$H$73,MATCH(LF$3,'Standards for Conversions'!$A$47:$A$73,0)))=0,"",LG46/(INDEX('Standards for Conversions'!$H$47:$H$73,MATCH(LF$3,'Standards for Conversions'!$A$47:$A$73,0))))</f>
        <v>86.347762376524415</v>
      </c>
      <c r="LL46" s="31" t="str">
        <f>IF(LK46/(INDEX('Standards for Conversions'!$H$47:$H$73,MATCH(LJ$3,'Standards for Conversions'!$A$47:$A$73,0)))=0,"",LK46/(INDEX('Standards for Conversions'!$H$47:$H$73,MATCH(LJ$3,'Standards for Conversions'!$A$47:$A$73,0))))</f>
        <v/>
      </c>
      <c r="LO46" s="31" t="str">
        <f>IF(LN46/(INDEX('Standards for Conversions'!$H$47:$H$73,MATCH(LM$3,'Standards for Conversions'!$A$47:$A$73,0)))=0,"",LN46/(INDEX('Standards for Conversions'!$H$47:$H$73,MATCH(LM$3,'Standards for Conversions'!$A$47:$A$73,0))))</f>
        <v/>
      </c>
      <c r="LR46" s="31" t="str">
        <f>IF(LQ46/(INDEX('Standards for Conversions'!$H$47:$H$73,MATCH(LP$3,'Standards for Conversions'!$A$47:$A$73,0)))=0,"",LQ46/(INDEX('Standards for Conversions'!$H$47:$H$73,MATCH(LP$3,'Standards for Conversions'!$A$47:$A$73,0))))</f>
        <v/>
      </c>
      <c r="LV46" s="31" t="str">
        <f>IF(LU46/(INDEX('Standards for Conversions'!$H$47:$H$73,MATCH(LT$3,'Standards for Conversions'!$A$47:$A$73,0)))=0,"",LU46/(INDEX('Standards for Conversions'!$H$47:$H$73,MATCH(LT$3,'Standards for Conversions'!$A$47:$A$73,0))))</f>
        <v/>
      </c>
      <c r="LY46" s="31" t="str">
        <f>IF(LX46/(INDEX('Standards for Conversions'!$H$47:$H$73,MATCH(LW$3,'Standards for Conversions'!$A$47:$A$73,0)))=0,"",LX46/(INDEX('Standards for Conversions'!$H$47:$H$73,MATCH(LW$3,'Standards for Conversions'!$A$47:$A$73,0))))</f>
        <v/>
      </c>
      <c r="MB46" s="31" t="str">
        <f>IF(MA46/(INDEX('Standards for Conversions'!$H$47:$H$73,MATCH(LZ$3,'Standards for Conversions'!$A$47:$A$73,0)))=0,"",MA46/(INDEX('Standards for Conversions'!$H$47:$H$73,MATCH(LZ$3,'Standards for Conversions'!$A$47:$A$73,0))))</f>
        <v/>
      </c>
      <c r="ME46" s="31" t="str">
        <f>IF(MD46/(INDEX('Standards for Conversions'!$H$47:$H$73,MATCH(MC$3,'Standards for Conversions'!$A$47:$A$73,0)))=0,"",MD46/(INDEX('Standards for Conversions'!$H$47:$H$73,MATCH(MC$3,'Standards for Conversions'!$A$47:$A$73,0))))</f>
        <v/>
      </c>
      <c r="MH46" s="31" t="str">
        <f>IF(MG46/(INDEX('Standards for Conversions'!$H$47:$H$73,MATCH(MF$3,'Standards for Conversions'!$A$47:$A$73,0)))=0,"",MG46/(INDEX('Standards for Conversions'!$H$47:$H$73,MATCH(MF$3,'Standards for Conversions'!$A$47:$A$73,0))))</f>
        <v/>
      </c>
      <c r="MK46" s="31" t="str">
        <f>IF(MJ46/(INDEX('Standards for Conversions'!$H$47:$H$73,MATCH(MI$3,'Standards for Conversions'!$A$47:$A$73,0)))=0,"",MJ46/(INDEX('Standards for Conversions'!$H$47:$H$73,MATCH(MI$3,'Standards for Conversions'!$A$47:$A$73,0))))</f>
        <v/>
      </c>
      <c r="MN46" s="31" t="str">
        <f>IF(MM46/(INDEX('Standards for Conversions'!$H$47:$H$73,MATCH(ML$3,'Standards for Conversions'!$A$47:$A$73,0)))=0,"",MM46/(INDEX('Standards for Conversions'!$H$47:$H$73,MATCH(ML$3,'Standards for Conversions'!$A$47:$A$73,0))))</f>
        <v/>
      </c>
      <c r="MR46" s="31" t="str">
        <f>IF(MQ46/(INDEX('Standards for Conversions'!$H$47:$H$73,MATCH(MP$3,'Standards for Conversions'!$A$47:$A$73,0)))=0,"",MQ46/(INDEX('Standards for Conversions'!$H$47:$H$73,MATCH(MP$3,'Standards for Conversions'!$A$47:$A$73,0))))</f>
        <v/>
      </c>
    </row>
    <row r="47" spans="1:356" hidden="1" x14ac:dyDescent="0.3">
      <c r="A47" s="103" t="s">
        <v>228</v>
      </c>
      <c r="B47" s="10" t="s">
        <v>42</v>
      </c>
      <c r="C47" s="7"/>
      <c r="D47" s="7"/>
      <c r="E47" s="31" t="str">
        <f>IF(D47/(INDEX('Standards for Conversions'!$H$34:$H$73,MATCH(C$3,'Standards for Conversions'!$A$34:$A$73,0)))=0,"",D47/(INDEX('Standards for Conversions'!$H$34:$H$73,MATCH(C$3,'Standards for Conversions'!$A$34:$A$73,0))))</f>
        <v/>
      </c>
      <c r="F47" s="10" t="s">
        <v>42</v>
      </c>
      <c r="G47" s="7"/>
      <c r="H47" s="7"/>
      <c r="I47" s="31" t="str">
        <f>IF(H47/(INDEX('Standards for Conversions'!$H$34:$H$73,MATCH(G$3,'Standards for Conversions'!$A$34:$A$73,0)))=0,"",H47/(INDEX('Standards for Conversions'!$H$34:$H$73,MATCH(G$3,'Standards for Conversions'!$A$34:$A$73,0))))</f>
        <v/>
      </c>
      <c r="J47" s="10" t="s">
        <v>42</v>
      </c>
      <c r="K47" s="9"/>
      <c r="L47" s="9"/>
      <c r="M47" s="31" t="str">
        <f>IF(L47/(INDEX('Standards for Conversions'!$H$34:$H$73,MATCH(K$3,'Standards for Conversions'!$A$34:$A$73,0)))=0,"",L47/(INDEX('Standards for Conversions'!$H$34:$H$73,MATCH(K$3,'Standards for Conversions'!$A$34:$A$73,0))))</f>
        <v/>
      </c>
      <c r="N47" s="10" t="s">
        <v>42</v>
      </c>
      <c r="O47" s="7"/>
      <c r="P47" s="7"/>
      <c r="Q47" s="31" t="str">
        <f>IF(P47/(INDEX('Standards for Conversions'!$H$34:$H$73,MATCH(O$3,'Standards for Conversions'!$A$34:$A$73,0)))=0,"",P47/(INDEX('Standards for Conversions'!$H$34:$H$73,MATCH(O$3,'Standards for Conversions'!$A$34:$A$73,0))))</f>
        <v/>
      </c>
      <c r="R47" s="10" t="s">
        <v>42</v>
      </c>
      <c r="S47" s="7"/>
      <c r="T47" s="7"/>
      <c r="U47" s="31" t="str">
        <f>IF(T47/(INDEX('Standards for Conversions'!$H$34:$H$73,MATCH(S$3,'Standards for Conversions'!$A$34:$A$73,0)))=0,"",T47/(INDEX('Standards for Conversions'!$H$34:$H$73,MATCH(S$3,'Standards for Conversions'!$A$34:$A$73,0))))</f>
        <v/>
      </c>
      <c r="V47" s="10" t="s">
        <v>42</v>
      </c>
      <c r="W47" s="7"/>
      <c r="X47" s="7"/>
      <c r="Y47" s="31" t="str">
        <f>IF(X47/(INDEX('Standards for Conversions'!$H$34:$H$73,MATCH(W$3,'Standards for Conversions'!$A$34:$A$73,0)))=0,"",X47/(INDEX('Standards for Conversions'!$H$34:$H$73,MATCH(W$3,'Standards for Conversions'!$A$34:$A$73,0))))</f>
        <v/>
      </c>
      <c r="Z47" s="10" t="s">
        <v>42</v>
      </c>
      <c r="AA47" s="9"/>
      <c r="AB47" s="9"/>
      <c r="AC47" s="31" t="str">
        <f>IF(AB47/(INDEX('Standards for Conversions'!$H$34:$H$73,MATCH(AA$3,'Standards for Conversions'!$A$34:$A$73,0)))=0,"",AB47/(INDEX('Standards for Conversions'!$H$34:$H$73,MATCH(AA$3,'Standards for Conversions'!$A$34:$A$73,0))))</f>
        <v/>
      </c>
      <c r="AD47" s="10" t="s">
        <v>42</v>
      </c>
      <c r="AE47" s="7"/>
      <c r="AF47" s="7"/>
      <c r="AG47" s="31" t="str">
        <f>IF(AF47/(INDEX('Standards for Conversions'!$H$34:$H$73,MATCH(AE$3,'Standards for Conversions'!$A$34:$A$73,0)))=0,"",AF47/(INDEX('Standards for Conversions'!$H$34:$H$73,MATCH(AE$3,'Standards for Conversions'!$A$34:$A$73,0))))</f>
        <v/>
      </c>
      <c r="AH47" s="10" t="s">
        <v>42</v>
      </c>
      <c r="AI47" s="7"/>
      <c r="AJ47" s="7"/>
      <c r="AK47" s="31" t="str">
        <f>IF(AJ47/(INDEX('Standards for Conversions'!$H$34:$H$73,MATCH(AI$3,'Standards for Conversions'!$A$34:$A$73,0)))=0,"",AJ47/(INDEX('Standards for Conversions'!$H$34:$H$73,MATCH(AI$3,'Standards for Conversions'!$A$34:$A$73,0))))</f>
        <v/>
      </c>
      <c r="AL47" s="10" t="s">
        <v>42</v>
      </c>
      <c r="AM47" s="7"/>
      <c r="AN47" s="7"/>
      <c r="AO47" s="31" t="str">
        <f>IF(AN47/(INDEX('Standards for Conversions'!$H$34:$H$73,MATCH(AM$3,'Standards for Conversions'!$A$34:$A$73,0)))=0,"",AN47/(INDEX('Standards for Conversions'!$H$34:$H$73,MATCH(AM$3,'Standards for Conversions'!$A$34:$A$73,0))))</f>
        <v/>
      </c>
      <c r="AP47" s="10" t="s">
        <v>42</v>
      </c>
      <c r="AQ47" s="9"/>
      <c r="AR47" s="9"/>
      <c r="AS47" s="31" t="str">
        <f>IF(AR47/(INDEX('Standards for Conversions'!$H$34:$H$73,MATCH(AQ$3,'Standards for Conversions'!$A$34:$A$73,0)))=0,"",AR47/(INDEX('Standards for Conversions'!$H$34:$H$73,MATCH(AQ$3,'Standards for Conversions'!$A$34:$A$73,0))))</f>
        <v/>
      </c>
      <c r="AT47" s="10" t="s">
        <v>42</v>
      </c>
      <c r="AU47" s="7"/>
      <c r="AV47" s="7"/>
      <c r="AW47" s="31" t="str">
        <f>IF(AV47/(INDEX('Standards for Conversions'!$H$34:$H$73,MATCH(AU$3,'Standards for Conversions'!$A$34:$A$73,0)))=0,"",AV47/(INDEX('Standards for Conversions'!$H$34:$H$73,MATCH(AU$3,'Standards for Conversions'!$A$34:$A$73,0))))</f>
        <v/>
      </c>
      <c r="AX47" s="10" t="s">
        <v>42</v>
      </c>
      <c r="AY47" s="7"/>
      <c r="AZ47" s="7"/>
      <c r="BA47" s="31" t="str">
        <f>IF(AZ47/(INDEX('Standards for Conversions'!$H$34:$H$73,MATCH(AY$3,'Standards for Conversions'!$A$34:$A$73,0)))=0,"",AZ47/(INDEX('Standards for Conversions'!$H$34:$H$73,MATCH(AY$3,'Standards for Conversions'!$A$34:$A$73,0))))</f>
        <v/>
      </c>
      <c r="BB47" s="10" t="s">
        <v>42</v>
      </c>
      <c r="BC47" s="7"/>
      <c r="BD47" s="7"/>
      <c r="BE47" s="31" t="str">
        <f>IF(BD47/(INDEX('Standards for Conversions'!$H$34:$H$73,MATCH(BC$3,'Standards for Conversions'!$A$34:$A$73,0)))=0,"",BD47/(INDEX('Standards for Conversions'!$H$34:$H$73,MATCH(BC$3,'Standards for Conversions'!$A$34:$A$73,0))))</f>
        <v/>
      </c>
      <c r="BF47" s="10" t="s">
        <v>42</v>
      </c>
      <c r="BG47" s="9"/>
      <c r="BH47" s="9"/>
      <c r="BI47" s="31" t="str">
        <f>IF(BH47/(INDEX('Standards for Conversions'!$H$34:$H$73,MATCH(BG$3,'Standards for Conversions'!$A$34:$A$73,0)))=0,"",BH47/(INDEX('Standards for Conversions'!$H$34:$H$73,MATCH(BG$3,'Standards for Conversions'!$A$34:$A$73,0))))</f>
        <v/>
      </c>
      <c r="BJ47" s="10" t="s">
        <v>42</v>
      </c>
      <c r="BK47" s="7"/>
      <c r="BL47" s="7"/>
      <c r="BM47" s="31" t="str">
        <f>IF(BL47/(INDEX('Standards for Conversions'!$H$34:$H$73,MATCH(BK$3,'Standards for Conversions'!$A$34:$A$73,0)))=0,"",BL47/(INDEX('Standards for Conversions'!$H$34:$H$73,MATCH(BK$3,'Standards for Conversions'!$A$34:$A$73,0))))</f>
        <v/>
      </c>
      <c r="BN47" s="10" t="s">
        <v>42</v>
      </c>
      <c r="BO47" s="7"/>
      <c r="BP47" s="7"/>
      <c r="BQ47" s="31" t="str">
        <f>IF(BP47/(INDEX('Standards for Conversions'!$H$34:$H$73,MATCH(BO$3,'Standards for Conversions'!$A$34:$A$73,0)))=0,"",BP47/(INDEX('Standards for Conversions'!$H$34:$H$73,MATCH(BO$3,'Standards for Conversions'!$A$34:$A$73,0))))</f>
        <v/>
      </c>
      <c r="BR47" s="10" t="s">
        <v>42</v>
      </c>
      <c r="BS47" s="7"/>
      <c r="BT47" s="7"/>
      <c r="BU47" s="31" t="str">
        <f>IF(BT47/(INDEX('Standards for Conversions'!$H$34:$H$73,MATCH(BS$3,'Standards for Conversions'!$A$34:$A$73,0)))=0,"",BT47/(INDEX('Standards for Conversions'!$H$34:$H$73,MATCH(BS$3,'Standards for Conversions'!$A$34:$A$73,0))))</f>
        <v/>
      </c>
      <c r="BV47" s="10" t="s">
        <v>42</v>
      </c>
      <c r="BW47" s="9"/>
      <c r="BX47" s="9"/>
      <c r="BY47" s="31" t="str">
        <f>IF(BX47/(INDEX('Standards for Conversions'!$H$34:$H$73,MATCH(BW$3,'Standards for Conversions'!$A$34:$A$73,0)))=0,"",BX47/(INDEX('Standards for Conversions'!$H$34:$H$73,MATCH(BW$3,'Standards for Conversions'!$A$34:$A$73,0))))</f>
        <v/>
      </c>
      <c r="BZ47" s="10" t="s">
        <v>42</v>
      </c>
      <c r="CA47" s="7"/>
      <c r="CB47" s="7"/>
      <c r="CC47" s="31" t="str">
        <f>IF(CB47/(INDEX('Standards for Conversions'!$H$34:$H$73,MATCH(CA$3,'Standards for Conversions'!$A$34:$A$73,0)))=0,"",CB47/(INDEX('Standards for Conversions'!$H$34:$H$73,MATCH(CA$3,'Standards for Conversions'!$A$34:$A$73,0))))</f>
        <v/>
      </c>
      <c r="CD47" s="10" t="s">
        <v>42</v>
      </c>
      <c r="CE47" s="7"/>
      <c r="CF47" s="7"/>
      <c r="CG47" s="31" t="str">
        <f>IF(CF47/(INDEX('Standards for Conversions'!$H$34:$H$73,MATCH(CE$3,'Standards for Conversions'!$A$34:$A$73,0)))=0,"",CF47/(INDEX('Standards for Conversions'!$H$34:$H$73,MATCH(CE$3,'Standards for Conversions'!$A$34:$A$73,0))))</f>
        <v/>
      </c>
      <c r="CH47" s="10" t="s">
        <v>42</v>
      </c>
      <c r="CI47" s="7"/>
      <c r="CJ47" s="7"/>
      <c r="CK47" s="31" t="str">
        <f>IF(CJ47/(INDEX('Standards for Conversions'!$H$34:$H$73,MATCH(CI$3,'Standards for Conversions'!$A$34:$A$73,0)))=0,"",CJ47/(INDEX('Standards for Conversions'!$H$34:$H$73,MATCH(CI$3,'Standards for Conversions'!$A$34:$A$73,0))))</f>
        <v/>
      </c>
      <c r="CL47" s="10" t="s">
        <v>42</v>
      </c>
      <c r="CM47" s="9"/>
      <c r="CN47" s="9"/>
      <c r="CO47" s="31" t="str">
        <f>IF(CN47/(INDEX('Standards for Conversions'!$H$34:$H$73,MATCH(CM$3,'Standards for Conversions'!$A$34:$A$73,0)))=0,"",CN47/(INDEX('Standards for Conversions'!$H$34:$H$73,MATCH(CM$3,'Standards for Conversions'!$A$34:$A$73,0))))</f>
        <v/>
      </c>
      <c r="CP47" s="10" t="s">
        <v>42</v>
      </c>
      <c r="CQ47" s="7"/>
      <c r="CR47" s="7"/>
      <c r="CS47" s="31" t="str">
        <f>IF(CR47/(INDEX('Standards for Conversions'!$H$34:$H$73,MATCH(CQ$3,'Standards for Conversions'!$A$34:$A$73,0)))=0,"",CR47/(INDEX('Standards for Conversions'!$H$34:$H$73,MATCH(CQ$3,'Standards for Conversions'!$A$34:$A$73,0))))</f>
        <v/>
      </c>
      <c r="CT47" s="10" t="s">
        <v>42</v>
      </c>
      <c r="CU47" s="7"/>
      <c r="CV47" s="7"/>
      <c r="CW47" s="31" t="str">
        <f>IF(CV47/(INDEX('Standards for Conversions'!$H$34:$H$73,MATCH(CU$3,'Standards for Conversions'!$A$34:$A$73,0)))=0,"",CV47/(INDEX('Standards for Conversions'!$H$34:$H$73,MATCH(CU$3,'Standards for Conversions'!$A$34:$A$73,0))))</f>
        <v/>
      </c>
      <c r="CX47" s="10" t="s">
        <v>42</v>
      </c>
      <c r="CY47" s="7"/>
      <c r="CZ47" s="7"/>
      <c r="DA47" s="31" t="str">
        <f>IF(CZ47/(INDEX('Standards for Conversions'!$H$34:$H$73,MATCH(CY$3,'Standards for Conversions'!$A$34:$A$73,0)))=0,"",CZ47/(INDEX('Standards for Conversions'!$H$34:$H$73,MATCH(CY$3,'Standards for Conversions'!$A$34:$A$73,0))))</f>
        <v/>
      </c>
      <c r="DB47" s="10" t="s">
        <v>42</v>
      </c>
      <c r="DC47" s="9"/>
      <c r="DD47" s="9"/>
      <c r="DE47" s="31" t="str">
        <f>IF(DD47/(INDEX('Standards for Conversions'!$H$34:$H$73,MATCH(DC$3,'Standards for Conversions'!$A$34:$A$73,0)))=0,"",DD47/(INDEX('Standards for Conversions'!$H$34:$H$73,MATCH(DC$3,'Standards for Conversions'!$A$34:$A$73,0))))</f>
        <v/>
      </c>
      <c r="DF47" s="10" t="s">
        <v>42</v>
      </c>
      <c r="DG47" s="7"/>
      <c r="DH47" s="7"/>
      <c r="DI47" s="31" t="str">
        <f>IF(DH47/(INDEX('Standards for Conversions'!$H$34:$H$73,MATCH(DG$3,'Standards for Conversions'!$A$34:$A$73,0)))=0,"",DH47/(INDEX('Standards for Conversions'!$H$34:$H$73,MATCH(DG$3,'Standards for Conversions'!$A$34:$A$73,0))))</f>
        <v/>
      </c>
      <c r="DJ47" s="10" t="s">
        <v>42</v>
      </c>
      <c r="DK47" s="7"/>
      <c r="DL47" s="7"/>
      <c r="DM47" s="31" t="str">
        <f>IF(DL47/(INDEX('Standards for Conversions'!$H$34:$H$73,MATCH(DK$3,'Standards for Conversions'!$A$34:$A$73,0)))=0,"",DL47/(INDEX('Standards for Conversions'!$H$34:$H$73,MATCH(DK$3,'Standards for Conversions'!$A$34:$A$73,0))))</f>
        <v/>
      </c>
      <c r="DN47" s="10" t="s">
        <v>42</v>
      </c>
      <c r="DO47" s="7"/>
      <c r="DP47" s="7"/>
      <c r="DQ47" s="31" t="str">
        <f>IF(DP47/(INDEX('Standards for Conversions'!$H$34:$H$73,MATCH(DO$3,'Standards for Conversions'!$A$34:$A$73,0)))=0,"",DP47/(INDEX('Standards for Conversions'!$H$34:$H$73,MATCH(DO$3,'Standards for Conversions'!$A$34:$A$73,0))))</f>
        <v/>
      </c>
      <c r="DR47" s="10" t="s">
        <v>42</v>
      </c>
      <c r="DS47" s="9"/>
      <c r="DT47" s="9"/>
      <c r="DU47" s="31" t="str">
        <f>IF(DT47/(INDEX('Standards for Conversions'!$H$34:$H$73,MATCH(DS$3,'Standards for Conversions'!$A$34:$A$73,0)))=0,"",DT47/(INDEX('Standards for Conversions'!$H$34:$H$73,MATCH(DS$3,'Standards for Conversions'!$A$34:$A$73,0))))</f>
        <v/>
      </c>
      <c r="DV47" s="10" t="s">
        <v>42</v>
      </c>
      <c r="DW47" s="7"/>
      <c r="DX47" s="7"/>
      <c r="DY47" s="31" t="str">
        <f>IF(DX47/(INDEX('Standards for Conversions'!$H$34:$H$73,MATCH(DW$3,'Standards for Conversions'!$A$34:$A$73,0)))=0,"",DX47/(INDEX('Standards for Conversions'!$H$34:$H$73,MATCH(DW$3,'Standards for Conversions'!$A$34:$A$73,0))))</f>
        <v/>
      </c>
      <c r="DZ47" s="10" t="s">
        <v>42</v>
      </c>
      <c r="EA47" s="7"/>
      <c r="EB47" s="7"/>
      <c r="EC47" s="31" t="str">
        <f>IF(EB47/(INDEX('Standards for Conversions'!$H$34:$H$73,MATCH(EA$3,'Standards for Conversions'!$A$34:$A$73,0)))=0,"",EB47/(INDEX('Standards for Conversions'!$H$34:$H$73,MATCH(EA$3,'Standards for Conversions'!$A$34:$A$73,0))))</f>
        <v/>
      </c>
      <c r="ED47" s="10" t="s">
        <v>42</v>
      </c>
      <c r="EE47" s="7"/>
      <c r="EF47" s="7"/>
      <c r="EG47" s="31" t="str">
        <f>IF(EF47/(INDEX('Standards for Conversions'!$H$34:$H$73,MATCH(EE$3,'Standards for Conversions'!$A$34:$A$73,0)))=0,"",EF47/(INDEX('Standards for Conversions'!$H$34:$H$73,MATCH(EE$3,'Standards for Conversions'!$A$34:$A$73,0))))</f>
        <v/>
      </c>
      <c r="EH47" s="10" t="s">
        <v>42</v>
      </c>
      <c r="EI47" s="9"/>
      <c r="EJ47" s="9"/>
      <c r="EK47" s="31" t="str">
        <f>IF(EJ47/(INDEX('Standards for Conversions'!$H$34:$H$73,MATCH(EI$3,'Standards for Conversions'!$A$34:$A$73,0)))=0,"",EJ47/(INDEX('Standards for Conversions'!$H$34:$H$73,MATCH(EI$3,'Standards for Conversions'!$A$34:$A$73,0))))</f>
        <v/>
      </c>
      <c r="EL47" s="10" t="s">
        <v>42</v>
      </c>
      <c r="EM47" s="7"/>
      <c r="EN47" s="7"/>
      <c r="EO47" s="31" t="str">
        <f>IF(EN47/(INDEX('Standards for Conversions'!$H$34:$H$73,MATCH(EM$3,'Standards for Conversions'!$A$34:$A$73,0)))=0,"",EN47/(INDEX('Standards for Conversions'!$H$34:$H$73,MATCH(EM$3,'Standards for Conversions'!$A$34:$A$73,0))))</f>
        <v/>
      </c>
      <c r="EP47" s="10" t="s">
        <v>42</v>
      </c>
      <c r="EQ47" s="7"/>
      <c r="ER47" s="7"/>
      <c r="ES47" s="31" t="str">
        <f>IF(ER47/(INDEX('Standards for Conversions'!$H$34:$H$73,MATCH(EQ$3,'Standards for Conversions'!$A$34:$A$73,0)))=0,"",ER47/(INDEX('Standards for Conversions'!$H$34:$H$73,MATCH(EQ$3,'Standards for Conversions'!$A$34:$A$73,0))))</f>
        <v/>
      </c>
      <c r="ET47" s="10" t="s">
        <v>42</v>
      </c>
      <c r="EU47" s="7"/>
      <c r="EV47" s="7"/>
      <c r="EW47" s="31" t="str">
        <f>IF(EV47/(INDEX('Standards for Conversions'!$H$34:$H$73,MATCH(EU$3,'Standards for Conversions'!$A$34:$A$73,0)))=0,"",EV47/(INDEX('Standards for Conversions'!$H$34:$H$73,MATCH(EU$3,'Standards for Conversions'!$A$34:$A$73,0))))</f>
        <v/>
      </c>
      <c r="EX47" s="10" t="s">
        <v>42</v>
      </c>
      <c r="EY47" s="9"/>
      <c r="EZ47" s="9"/>
      <c r="FA47" s="31" t="str">
        <f>IF(EZ47/(INDEX('Standards for Conversions'!$H$34:$H$73,MATCH(EY$3,'Standards for Conversions'!$A$34:$A$73,0)))=0,"",EZ47/(INDEX('Standards for Conversions'!$H$34:$H$73,MATCH(EY$3,'Standards for Conversions'!$A$34:$A$73,0))))</f>
        <v/>
      </c>
      <c r="FB47" s="10" t="s">
        <v>42</v>
      </c>
      <c r="FC47" s="7"/>
      <c r="FD47" s="7"/>
      <c r="FE47" s="31" t="str">
        <f>IF(FD47/(INDEX('Standards for Conversions'!$H$34:$H$73,MATCH(FC$3,'Standards for Conversions'!$A$34:$A$73,0)))=0,"",FD47/(INDEX('Standards for Conversions'!$H$34:$H$73,MATCH(FC$3,'Standards for Conversions'!$A$34:$A$73,0))))</f>
        <v/>
      </c>
      <c r="FF47" s="10" t="s">
        <v>42</v>
      </c>
      <c r="FG47" s="7"/>
      <c r="FH47" s="7"/>
      <c r="FI47" s="31" t="str">
        <f>IF(FH47/(INDEX('Standards for Conversions'!$H$34:$H$73,MATCH(FG$3,'Standards for Conversions'!$A$34:$A$73,0)))=0,"",FH47/(INDEX('Standards for Conversions'!$H$34:$H$73,MATCH(FG$3,'Standards for Conversions'!$A$34:$A$73,0))))</f>
        <v/>
      </c>
      <c r="FJ47" s="10" t="s">
        <v>42</v>
      </c>
      <c r="FK47" s="7"/>
      <c r="FL47" s="7"/>
      <c r="FM47" s="31" t="str">
        <f>IF(FL47/(INDEX('Standards for Conversions'!$H$34:$H$73,MATCH(FK$3,'Standards for Conversions'!$A$34:$A$73,0)))=0,"",FL47/(INDEX('Standards for Conversions'!$H$34:$H$73,MATCH(FK$3,'Standards for Conversions'!$A$34:$A$73,0))))</f>
        <v/>
      </c>
      <c r="FN47" s="10" t="s">
        <v>42</v>
      </c>
      <c r="FO47" s="9"/>
      <c r="FP47" s="9"/>
      <c r="FQ47" s="31" t="str">
        <f>IF(FP47/(INDEX('Standards for Conversions'!$H$34:$H$73,MATCH(FO$3,'Standards for Conversions'!$A$34:$A$73,0)))=0,"",FP47/(INDEX('Standards for Conversions'!$H$34:$H$73,MATCH(FO$3,'Standards for Conversions'!$A$34:$A$73,0))))</f>
        <v/>
      </c>
      <c r="FR47" s="10" t="s">
        <v>42</v>
      </c>
      <c r="FS47" s="7"/>
      <c r="FT47" s="7"/>
      <c r="FU47" s="31" t="str">
        <f>IF(FT47/(INDEX('Standards for Conversions'!$H$34:$H$73,MATCH(FS$3,'Standards for Conversions'!$A$34:$A$73,0)))=0,"",FT47/(INDEX('Standards for Conversions'!$H$34:$H$73,MATCH(FS$3,'Standards for Conversions'!$A$34:$A$73,0))))</f>
        <v/>
      </c>
      <c r="FV47" s="10" t="s">
        <v>42</v>
      </c>
      <c r="FW47" s="7"/>
      <c r="FX47" s="7"/>
      <c r="FY47" s="31" t="str">
        <f>IF(FX47/(INDEX('Standards for Conversions'!$H$34:$H$73,MATCH(FW$3,'Standards for Conversions'!$A$34:$A$73,0)))=0,"",FX47/(INDEX('Standards for Conversions'!$H$34:$H$73,MATCH(FW$3,'Standards for Conversions'!$A$34:$A$73,0))))</f>
        <v/>
      </c>
      <c r="FZ47" s="10" t="s">
        <v>42</v>
      </c>
      <c r="GA47" s="7"/>
      <c r="GB47" s="7"/>
      <c r="GC47" s="31" t="str">
        <f>IF(GB47/(INDEX('Standards for Conversions'!$H$34:$H$73,MATCH(GA$3,'Standards for Conversions'!$A$34:$A$73,0)))=0,"",GB47/(INDEX('Standards for Conversions'!$H$34:$H$73,MATCH(GA$3,'Standards for Conversions'!$A$34:$A$73,0))))</f>
        <v/>
      </c>
      <c r="GD47" s="10" t="s">
        <v>42</v>
      </c>
      <c r="GE47" s="9"/>
      <c r="GF47" s="9"/>
      <c r="GG47" s="31" t="str">
        <f>IF(GF47/(INDEX('Standards for Conversions'!$H$34:$H$73,MATCH(GE$3,'Standards for Conversions'!$A$34:$A$73,0)))=0,"",GF47/(INDEX('Standards for Conversions'!$H$34:$H$73,MATCH(GE$3,'Standards for Conversions'!$A$34:$A$73,0))))</f>
        <v/>
      </c>
      <c r="GH47" s="10" t="s">
        <v>42</v>
      </c>
      <c r="GI47" s="7"/>
      <c r="GJ47" s="7"/>
      <c r="GK47" s="31" t="str">
        <f>IF(GJ47/(INDEX('Standards for Conversions'!$H$34:$H$73,MATCH(GI$3,'Standards for Conversions'!$A$34:$A$73,0)))=0,"",GJ47/(INDEX('Standards for Conversions'!$H$34:$H$73,MATCH(GI$3,'Standards for Conversions'!$A$34:$A$73,0))))</f>
        <v/>
      </c>
      <c r="GL47" s="10" t="s">
        <v>42</v>
      </c>
      <c r="GM47" s="7"/>
      <c r="GN47" s="7"/>
      <c r="GO47" s="31" t="str">
        <f>IF(GN47/(INDEX('Standards for Conversions'!$H$34:$H$73,MATCH(GM$3,'Standards for Conversions'!$A$34:$A$73,0)))=0,"",GN47/(INDEX('Standards for Conversions'!$H$34:$H$73,MATCH(GM$3,'Standards for Conversions'!$A$34:$A$73,0))))</f>
        <v/>
      </c>
      <c r="GP47" s="10" t="s">
        <v>42</v>
      </c>
      <c r="GQ47" s="7"/>
      <c r="GR47" s="7"/>
      <c r="GS47" s="31" t="str">
        <f>IF(GR47/(INDEX('Standards for Conversions'!$H$34:$H$73,MATCH(GQ$3,'Standards for Conversions'!$A$34:$A$73,0)))=0,"",GR47/(INDEX('Standards for Conversions'!$H$34:$H$73,MATCH(GQ$3,'Standards for Conversions'!$A$34:$A$73,0))))</f>
        <v/>
      </c>
      <c r="GT47" s="10" t="s">
        <v>42</v>
      </c>
      <c r="GU47" s="9"/>
      <c r="GV47" s="9"/>
      <c r="GW47" s="31" t="str">
        <f>IF(GV47/(INDEX('Standards for Conversions'!$H$34:$H$73,MATCH(GU$3,'Standards for Conversions'!$A$34:$A$73,0)))=0,"",GV47/(INDEX('Standards for Conversions'!$H$34:$H$73,MATCH(GU$3,'Standards for Conversions'!$A$34:$A$73,0))))</f>
        <v/>
      </c>
      <c r="GX47" s="10" t="s">
        <v>42</v>
      </c>
      <c r="GY47" s="7"/>
      <c r="GZ47" s="7"/>
      <c r="HA47" s="31" t="str">
        <f>IF(GZ47/(INDEX('Standards for Conversions'!$H$34:$H$73,MATCH(GY$3,'Standards for Conversions'!$A$34:$A$73,0)))=0,"",GZ47/(INDEX('Standards for Conversions'!$H$34:$H$73,MATCH(GY$3,'Standards for Conversions'!$A$34:$A$73,0))))</f>
        <v/>
      </c>
      <c r="HB47" s="10" t="s">
        <v>42</v>
      </c>
      <c r="HC47" s="7"/>
      <c r="HD47" s="7"/>
      <c r="HE47" s="31" t="str">
        <f>IF(HD47/(INDEX('Standards for Conversions'!$H$34:$H$73,MATCH(HC$3,'Standards for Conversions'!$A$34:$A$73,0)))=0,"",HD47/(INDEX('Standards for Conversions'!$H$34:$H$73,MATCH(HC$3,'Standards for Conversions'!$A$34:$A$73,0))))</f>
        <v/>
      </c>
      <c r="HF47" s="10" t="s">
        <v>42</v>
      </c>
      <c r="HG47" s="7"/>
      <c r="HH47" s="7"/>
      <c r="HI47" s="31" t="str">
        <f>IF(HH47/(INDEX('Standards for Conversions'!$H$34:$H$73,MATCH(HG$3,'Standards for Conversions'!$A$34:$A$73,0)))=0,"",HH47/(INDEX('Standards for Conversions'!$H$34:$H$73,MATCH(HG$3,'Standards for Conversions'!$A$34:$A$73,0))))</f>
        <v/>
      </c>
      <c r="HJ47" s="10" t="s">
        <v>42</v>
      </c>
      <c r="HK47" s="9"/>
      <c r="HL47" s="9"/>
      <c r="HM47" s="31" t="str">
        <f>IF(HL47/(INDEX('Standards for Conversions'!$H$34:$H$73,MATCH(HK$3,'Standards for Conversions'!$A$34:$A$73,0)))=0,"",HL47/(INDEX('Standards for Conversions'!$H$34:$H$73,MATCH(HK$3,'Standards for Conversions'!$A$34:$A$73,0))))</f>
        <v/>
      </c>
      <c r="HN47" s="10" t="s">
        <v>42</v>
      </c>
      <c r="HO47" s="7"/>
      <c r="HP47" s="7"/>
      <c r="HQ47" s="31" t="str">
        <f>IF(HP47/(INDEX('Standards for Conversions'!$H$34:$H$73,MATCH(HO$3,'Standards for Conversions'!$A$34:$A$73,0)))=0,"",HP47/(INDEX('Standards for Conversions'!$H$34:$H$73,MATCH(HO$3,'Standards for Conversions'!$A$34:$A$73,0))))</f>
        <v/>
      </c>
      <c r="HR47" s="33" t="s">
        <v>42</v>
      </c>
      <c r="HU47" s="31" t="str">
        <f>IF(HT47/(INDEX('Standards for Conversions'!$H$47:$H$73,MATCH(HS$3,'Standards for Conversions'!$A$47:$A$73,0)))=0,"",HT47/(INDEX('Standards for Conversions'!$H$47:$H$73,MATCH(HS$3,'Standards for Conversions'!$A$47:$A$73,0))))</f>
        <v/>
      </c>
      <c r="HV47" s="33" t="s">
        <v>42</v>
      </c>
      <c r="HY47" s="31" t="str">
        <f>IF(HX47/(INDEX('Standards for Conversions'!$H$47:$H$73,MATCH(HW$3,'Standards for Conversions'!$A$47:$A$73,0)))=0,"",HX47/(INDEX('Standards for Conversions'!$H$47:$H$73,MATCH(HW$3,'Standards for Conversions'!$A$47:$A$73,0))))</f>
        <v/>
      </c>
      <c r="HZ47" s="33"/>
      <c r="IA47" s="33"/>
      <c r="IB47" s="31" t="str">
        <f>IF(IA47/(INDEX('Standards for Conversions'!$H$47:$H$73,MATCH(HZ$3,'Standards for Conversions'!$A$47:$A$73,0)))=0,"",IA47/(INDEX('Standards for Conversions'!$H$47:$H$73,MATCH(HZ$3,'Standards for Conversions'!$A$47:$A$73,0))))</f>
        <v/>
      </c>
      <c r="IC47" s="33" t="s">
        <v>42</v>
      </c>
      <c r="IF47" s="31" t="str">
        <f>IF(IE47/(INDEX('Standards for Conversions'!$H$47:$H$73,MATCH(ID$3,'Standards for Conversions'!$A$47:$A$73,0)))=0,"",IE47/(INDEX('Standards for Conversions'!$H$47:$H$73,MATCH(ID$3,'Standards for Conversions'!$A$47:$A$73,0))))</f>
        <v/>
      </c>
      <c r="IG47" s="33" t="s">
        <v>42</v>
      </c>
      <c r="IJ47" s="31" t="str">
        <f>IF(II47/(INDEX('Standards for Conversions'!$H$47:$H$73,MATCH(IH$3,'Standards for Conversions'!$A$47:$A$73,0)))=0,"",II47/(INDEX('Standards for Conversions'!$H$47:$H$73,MATCH(IH$3,'Standards for Conversions'!$A$47:$A$73,0))))</f>
        <v/>
      </c>
      <c r="IK47" s="33" t="s">
        <v>42</v>
      </c>
      <c r="IN47" s="31" t="str">
        <f>IF(IM47/(INDEX('Standards for Conversions'!$H$47:$H$73,MATCH(IL$3,'Standards for Conversions'!$A$47:$A$73,0)))=0,"",IM47/(INDEX('Standards for Conversions'!$H$47:$H$73,MATCH(IL$3,'Standards for Conversions'!$A$47:$A$73,0))))</f>
        <v/>
      </c>
      <c r="IO47" s="33" t="s">
        <v>42</v>
      </c>
      <c r="IR47" s="31" t="str">
        <f>IF(IQ47/(INDEX('Standards for Conversions'!$H$47:$H$73,MATCH(IP$3,'Standards for Conversions'!$A$47:$A$73,0)))=0,"",IQ47/(INDEX('Standards for Conversions'!$H$47:$H$73,MATCH(IP$3,'Standards for Conversions'!$A$47:$A$73,0))))</f>
        <v/>
      </c>
      <c r="IS47" s="33" t="s">
        <v>42</v>
      </c>
      <c r="IV47" s="31" t="str">
        <f>IF(IU47/(INDEX('Standards for Conversions'!$H$47:$H$73,MATCH(IT$3,'Standards for Conversions'!$A$47:$A$73,0)))=0,"",IU47/(INDEX('Standards for Conversions'!$H$47:$H$73,MATCH(IT$3,'Standards for Conversions'!$A$47:$A$73,0))))</f>
        <v/>
      </c>
      <c r="IW47" s="33" t="s">
        <v>42</v>
      </c>
      <c r="IZ47" s="31" t="str">
        <f>IF(IY47/(INDEX('Standards for Conversions'!$H$47:$H$73,MATCH(IX$3,'Standards for Conversions'!$A$47:$A$73,0)))=0,"",IY47/(INDEX('Standards for Conversions'!$H$47:$H$73,MATCH(IX$3,'Standards for Conversions'!$A$47:$A$73,0))))</f>
        <v/>
      </c>
      <c r="JA47" s="48" t="s">
        <v>42</v>
      </c>
      <c r="JD47" s="31" t="str">
        <f>IF(JC47/(INDEX('Standards for Conversions'!$H$47:$H$73,MATCH(JB$3,'Standards for Conversions'!$A$47:$A$73,0)))=0,"",JC47/(INDEX('Standards for Conversions'!$H$47:$H$73,MATCH(JB$3,'Standards for Conversions'!$A$47:$A$73,0))))</f>
        <v/>
      </c>
      <c r="JE47" s="48" t="s">
        <v>42</v>
      </c>
      <c r="JF47" s="29">
        <v>24</v>
      </c>
      <c r="JG47" s="29">
        <v>350</v>
      </c>
      <c r="JH47" s="31">
        <f>IF(JG47/(INDEX('Standards for Conversions'!$H$47:$H$73,MATCH(JF$3,'Standards for Conversions'!$A$47:$A$73,0)))=0,"",JG47/(INDEX('Standards for Conversions'!$H$47:$H$73,MATCH(JF$3,'Standards for Conversions'!$A$47:$A$73,0))))</f>
        <v>56.616068842154043</v>
      </c>
      <c r="JI47" s="33"/>
      <c r="JL47" s="31" t="str">
        <f>IF(JK47/(INDEX('Standards for Conversions'!$H$47:$H$73,MATCH(JJ$3,'Standards for Conversions'!$A$47:$A$73,0)))=0,"",JK47/(INDEX('Standards for Conversions'!$H$47:$H$73,MATCH(JJ$3,'Standards for Conversions'!$A$47:$A$73,0))))</f>
        <v/>
      </c>
      <c r="JM47" s="33" t="s">
        <v>42</v>
      </c>
      <c r="JP47" s="31" t="str">
        <f>IF(JO47/(INDEX('Standards for Conversions'!$H$47:$H$73,MATCH(JN$3,'Standards for Conversions'!$A$47:$A$73,0)))=0,"",JO47/(INDEX('Standards for Conversions'!$H$47:$H$73,MATCH(JN$3,'Standards for Conversions'!$A$47:$A$73,0))))</f>
        <v/>
      </c>
      <c r="JQ47" s="33" t="s">
        <v>42</v>
      </c>
      <c r="JT47" s="31" t="str">
        <f>IF(JS47/(INDEX('Standards for Conversions'!$H$47:$H$73,MATCH(JR$3,'Standards for Conversions'!$A$47:$A$73,0)))=0,"",JS47/(INDEX('Standards for Conversions'!$H$47:$H$73,MATCH(JR$3,'Standards for Conversions'!$A$47:$A$73,0))))</f>
        <v/>
      </c>
      <c r="JU47" s="33" t="s">
        <v>42</v>
      </c>
      <c r="JV47" s="29">
        <v>20</v>
      </c>
      <c r="JW47" s="29">
        <v>300</v>
      </c>
      <c r="JX47" s="31">
        <f>IF(JW47/(INDEX('Standards for Conversions'!$H$47:$H$73,MATCH(JV$3,'Standards for Conversions'!$A$47:$A$73,0)))=0,"",JW47/(INDEX('Standards for Conversions'!$H$47:$H$73,MATCH(JV$3,'Standards for Conversions'!$A$47:$A$73,0))))</f>
        <v>45.796767728339269</v>
      </c>
      <c r="JY47" s="33" t="s">
        <v>42</v>
      </c>
      <c r="KB47" s="31" t="str">
        <f>IF(KA47/(INDEX('Standards for Conversions'!$H$47:$H$73,MATCH(JZ$3,'Standards for Conversions'!$A$47:$A$73,0)))=0,"",KA47/(INDEX('Standards for Conversions'!$H$47:$H$73,MATCH(JZ$3,'Standards for Conversions'!$A$47:$A$73,0))))</f>
        <v/>
      </c>
      <c r="KC47" s="33" t="s">
        <v>42</v>
      </c>
      <c r="KF47" s="31" t="str">
        <f>IF(KE47/(INDEX('Standards for Conversions'!$H$47:$H$73,MATCH(KD$3,'Standards for Conversions'!$A$47:$A$73,0)))=0,"",KE47/(INDEX('Standards for Conversions'!$H$47:$H$73,MATCH(KD$3,'Standards for Conversions'!$A$47:$A$73,0))))</f>
        <v/>
      </c>
      <c r="KG47" s="33" t="s">
        <v>42</v>
      </c>
      <c r="KJ47" s="31" t="str">
        <f>IF(KI47/(INDEX('Standards for Conversions'!$H$47:$H$73,MATCH(KH$3,'Standards for Conversions'!$A$47:$A$73,0)))=0,"",KI47/(INDEX('Standards for Conversions'!$H$47:$H$73,MATCH(KH$3,'Standards for Conversions'!$A$47:$A$73,0))))</f>
        <v/>
      </c>
      <c r="KK47" s="33" t="s">
        <v>42</v>
      </c>
      <c r="KL47" s="29">
        <v>25</v>
      </c>
      <c r="KM47" s="29">
        <v>350</v>
      </c>
      <c r="KN47" s="31">
        <f>IF(KM47/(INDEX('Standards for Conversions'!$H$47:$H$73,MATCH(KL$3,'Standards for Conversions'!$A$47:$A$73,0)))=0,"",KM47/(INDEX('Standards for Conversions'!$H$47:$H$73,MATCH(KL$3,'Standards for Conversions'!$A$47:$A$73,0))))</f>
        <v>47.130654167028759</v>
      </c>
      <c r="KO47" s="33" t="s">
        <v>42</v>
      </c>
      <c r="KR47" s="31" t="str">
        <f>IF(KQ47/(INDEX('Standards for Conversions'!$H$47:$H$73,MATCH(KP$3,'Standards for Conversions'!$A$47:$A$73,0)))=0,"",KQ47/(INDEX('Standards for Conversions'!$H$47:$H$73,MATCH(KP$3,'Standards for Conversions'!$A$47:$A$73,0))))</f>
        <v/>
      </c>
      <c r="KS47" s="33" t="s">
        <v>42</v>
      </c>
      <c r="KV47" s="31" t="str">
        <f>IF(KU47/(INDEX('Standards for Conversions'!$H$47:$H$73,MATCH(KT$3,'Standards for Conversions'!$A$47:$A$73,0)))=0,"",KU47/(INDEX('Standards for Conversions'!$H$47:$H$73,MATCH(KT$3,'Standards for Conversions'!$A$47:$A$73,0))))</f>
        <v/>
      </c>
      <c r="KW47" s="48" t="s">
        <v>42</v>
      </c>
      <c r="KZ47" s="31" t="str">
        <f>IF(KY47/(INDEX('Standards for Conversions'!$H$47:$H$73,MATCH(KX$3,'Standards for Conversions'!$A$47:$A$73,0)))=0,"",KY47/(INDEX('Standards for Conversions'!$H$47:$H$73,MATCH(KX$3,'Standards for Conversions'!$A$47:$A$73,0))))</f>
        <v/>
      </c>
      <c r="LA47" s="48" t="s">
        <v>42</v>
      </c>
      <c r="LD47" s="31" t="str">
        <f>IF(LC47/(INDEX('Standards for Conversions'!$H$47:$H$73,MATCH(LB$3,'Standards for Conversions'!$A$47:$A$73,0)))=0,"",LC47/(INDEX('Standards for Conversions'!$H$47:$H$73,MATCH(LB$3,'Standards for Conversions'!$A$47:$A$73,0))))</f>
        <v/>
      </c>
      <c r="LE47" s="33"/>
      <c r="LH47" s="31" t="str">
        <f>IF(LG47/(INDEX('Standards for Conversions'!$H$47:$H$73,MATCH(LF$3,'Standards for Conversions'!$A$47:$A$73,0)))=0,"",LG47/(INDEX('Standards for Conversions'!$H$47:$H$73,MATCH(LF$3,'Standards for Conversions'!$A$47:$A$73,0))))</f>
        <v/>
      </c>
      <c r="LL47" s="31" t="str">
        <f>IF(LK47/(INDEX('Standards for Conversions'!$H$47:$H$73,MATCH(LJ$3,'Standards for Conversions'!$A$47:$A$73,0)))=0,"",LK47/(INDEX('Standards for Conversions'!$H$47:$H$73,MATCH(LJ$3,'Standards for Conversions'!$A$47:$A$73,0))))</f>
        <v/>
      </c>
      <c r="LO47" s="31" t="str">
        <f>IF(LN47/(INDEX('Standards for Conversions'!$H$47:$H$73,MATCH(LM$3,'Standards for Conversions'!$A$47:$A$73,0)))=0,"",LN47/(INDEX('Standards for Conversions'!$H$47:$H$73,MATCH(LM$3,'Standards for Conversions'!$A$47:$A$73,0))))</f>
        <v/>
      </c>
      <c r="LR47" s="31" t="str">
        <f>IF(LQ47/(INDEX('Standards for Conversions'!$H$47:$H$73,MATCH(LP$3,'Standards for Conversions'!$A$47:$A$73,0)))=0,"",LQ47/(INDEX('Standards for Conversions'!$H$47:$H$73,MATCH(LP$3,'Standards for Conversions'!$A$47:$A$73,0))))</f>
        <v/>
      </c>
      <c r="LV47" s="31" t="str">
        <f>IF(LU47/(INDEX('Standards for Conversions'!$H$47:$H$73,MATCH(LT$3,'Standards for Conversions'!$A$47:$A$73,0)))=0,"",LU47/(INDEX('Standards for Conversions'!$H$47:$H$73,MATCH(LT$3,'Standards for Conversions'!$A$47:$A$73,0))))</f>
        <v/>
      </c>
      <c r="LY47" s="31" t="str">
        <f>IF(LX47/(INDEX('Standards for Conversions'!$H$47:$H$73,MATCH(LW$3,'Standards for Conversions'!$A$47:$A$73,0)))=0,"",LX47/(INDEX('Standards for Conversions'!$H$47:$H$73,MATCH(LW$3,'Standards for Conversions'!$A$47:$A$73,0))))</f>
        <v/>
      </c>
      <c r="MB47" s="31" t="str">
        <f>IF(MA47/(INDEX('Standards for Conversions'!$H$47:$H$73,MATCH(LZ$3,'Standards for Conversions'!$A$47:$A$73,0)))=0,"",MA47/(INDEX('Standards for Conversions'!$H$47:$H$73,MATCH(LZ$3,'Standards for Conversions'!$A$47:$A$73,0))))</f>
        <v/>
      </c>
      <c r="ME47" s="31" t="str">
        <f>IF(MD47/(INDEX('Standards for Conversions'!$H$47:$H$73,MATCH(MC$3,'Standards for Conversions'!$A$47:$A$73,0)))=0,"",MD47/(INDEX('Standards for Conversions'!$H$47:$H$73,MATCH(MC$3,'Standards for Conversions'!$A$47:$A$73,0))))</f>
        <v/>
      </c>
      <c r="MH47" s="31" t="str">
        <f>IF(MG47/(INDEX('Standards for Conversions'!$H$47:$H$73,MATCH(MF$3,'Standards for Conversions'!$A$47:$A$73,0)))=0,"",MG47/(INDEX('Standards for Conversions'!$H$47:$H$73,MATCH(MF$3,'Standards for Conversions'!$A$47:$A$73,0))))</f>
        <v/>
      </c>
      <c r="MK47" s="31" t="str">
        <f>IF(MJ47/(INDEX('Standards for Conversions'!$H$47:$H$73,MATCH(MI$3,'Standards for Conversions'!$A$47:$A$73,0)))=0,"",MJ47/(INDEX('Standards for Conversions'!$H$47:$H$73,MATCH(MI$3,'Standards for Conversions'!$A$47:$A$73,0))))</f>
        <v/>
      </c>
      <c r="MN47" s="31" t="str">
        <f>IF(MM47/(INDEX('Standards for Conversions'!$H$47:$H$73,MATCH(ML$3,'Standards for Conversions'!$A$47:$A$73,0)))=0,"",MM47/(INDEX('Standards for Conversions'!$H$47:$H$73,MATCH(ML$3,'Standards for Conversions'!$A$47:$A$73,0))))</f>
        <v/>
      </c>
      <c r="MR47" s="31" t="str">
        <f>IF(MQ47/(INDEX('Standards for Conversions'!$H$47:$H$73,MATCH(MP$3,'Standards for Conversions'!$A$47:$A$73,0)))=0,"",MQ47/(INDEX('Standards for Conversions'!$H$47:$H$73,MATCH(MP$3,'Standards for Conversions'!$A$47:$A$73,0))))</f>
        <v/>
      </c>
    </row>
    <row r="48" spans="1:356" hidden="1" x14ac:dyDescent="0.3">
      <c r="A48" s="103" t="s">
        <v>229</v>
      </c>
      <c r="B48" s="10" t="s">
        <v>40</v>
      </c>
      <c r="C48" s="7"/>
      <c r="D48" s="7"/>
      <c r="E48" s="31" t="str">
        <f>IF(D48/(INDEX('Standards for Conversions'!$H$34:$H$73,MATCH(C$3,'Standards for Conversions'!$A$34:$A$73,0)))=0,"",D48/(INDEX('Standards for Conversions'!$H$34:$H$73,MATCH(C$3,'Standards for Conversions'!$A$34:$A$73,0))))</f>
        <v/>
      </c>
      <c r="F48" s="10" t="s">
        <v>40</v>
      </c>
      <c r="G48" s="7"/>
      <c r="H48" s="7"/>
      <c r="I48" s="31" t="str">
        <f>IF(H48/(INDEX('Standards for Conversions'!$H$34:$H$73,MATCH(G$3,'Standards for Conversions'!$A$34:$A$73,0)))=0,"",H48/(INDEX('Standards for Conversions'!$H$34:$H$73,MATCH(G$3,'Standards for Conversions'!$A$34:$A$73,0))))</f>
        <v/>
      </c>
      <c r="J48" s="10" t="s">
        <v>40</v>
      </c>
      <c r="K48" s="9"/>
      <c r="L48" s="9"/>
      <c r="M48" s="31" t="str">
        <f>IF(L48/(INDEX('Standards for Conversions'!$H$34:$H$73,MATCH(K$3,'Standards for Conversions'!$A$34:$A$73,0)))=0,"",L48/(INDEX('Standards for Conversions'!$H$34:$H$73,MATCH(K$3,'Standards for Conversions'!$A$34:$A$73,0))))</f>
        <v/>
      </c>
      <c r="N48" s="10" t="s">
        <v>40</v>
      </c>
      <c r="O48" s="7"/>
      <c r="P48" s="7"/>
      <c r="Q48" s="31" t="str">
        <f>IF(P48/(INDEX('Standards for Conversions'!$H$34:$H$73,MATCH(O$3,'Standards for Conversions'!$A$34:$A$73,0)))=0,"",P48/(INDEX('Standards for Conversions'!$H$34:$H$73,MATCH(O$3,'Standards for Conversions'!$A$34:$A$73,0))))</f>
        <v/>
      </c>
      <c r="R48" s="10" t="s">
        <v>40</v>
      </c>
      <c r="S48" s="7"/>
      <c r="T48" s="7"/>
      <c r="U48" s="31" t="str">
        <f>IF(T48/(INDEX('Standards for Conversions'!$H$34:$H$73,MATCH(S$3,'Standards for Conversions'!$A$34:$A$73,0)))=0,"",T48/(INDEX('Standards for Conversions'!$H$34:$H$73,MATCH(S$3,'Standards for Conversions'!$A$34:$A$73,0))))</f>
        <v/>
      </c>
      <c r="V48" s="10" t="s">
        <v>40</v>
      </c>
      <c r="W48" s="7"/>
      <c r="X48" s="7"/>
      <c r="Y48" s="31" t="str">
        <f>IF(X48/(INDEX('Standards for Conversions'!$H$34:$H$73,MATCH(W$3,'Standards for Conversions'!$A$34:$A$73,0)))=0,"",X48/(INDEX('Standards for Conversions'!$H$34:$H$73,MATCH(W$3,'Standards for Conversions'!$A$34:$A$73,0))))</f>
        <v/>
      </c>
      <c r="Z48" s="10" t="s">
        <v>40</v>
      </c>
      <c r="AA48" s="9"/>
      <c r="AB48" s="9"/>
      <c r="AC48" s="31" t="str">
        <f>IF(AB48/(INDEX('Standards for Conversions'!$H$34:$H$73,MATCH(AA$3,'Standards for Conversions'!$A$34:$A$73,0)))=0,"",AB48/(INDEX('Standards for Conversions'!$H$34:$H$73,MATCH(AA$3,'Standards for Conversions'!$A$34:$A$73,0))))</f>
        <v/>
      </c>
      <c r="AD48" s="10" t="s">
        <v>40</v>
      </c>
      <c r="AE48" s="7"/>
      <c r="AF48" s="7"/>
      <c r="AG48" s="31" t="str">
        <f>IF(AF48/(INDEX('Standards for Conversions'!$H$34:$H$73,MATCH(AE$3,'Standards for Conversions'!$A$34:$A$73,0)))=0,"",AF48/(INDEX('Standards for Conversions'!$H$34:$H$73,MATCH(AE$3,'Standards for Conversions'!$A$34:$A$73,0))))</f>
        <v/>
      </c>
      <c r="AH48" s="10" t="s">
        <v>40</v>
      </c>
      <c r="AI48" s="7"/>
      <c r="AJ48" s="7"/>
      <c r="AK48" s="31" t="str">
        <f>IF(AJ48/(INDEX('Standards for Conversions'!$H$34:$H$73,MATCH(AI$3,'Standards for Conversions'!$A$34:$A$73,0)))=0,"",AJ48/(INDEX('Standards for Conversions'!$H$34:$H$73,MATCH(AI$3,'Standards for Conversions'!$A$34:$A$73,0))))</f>
        <v/>
      </c>
      <c r="AL48" s="10" t="s">
        <v>40</v>
      </c>
      <c r="AM48" s="7"/>
      <c r="AN48" s="7"/>
      <c r="AO48" s="31" t="str">
        <f>IF(AN48/(INDEX('Standards for Conversions'!$H$34:$H$73,MATCH(AM$3,'Standards for Conversions'!$A$34:$A$73,0)))=0,"",AN48/(INDEX('Standards for Conversions'!$H$34:$H$73,MATCH(AM$3,'Standards for Conversions'!$A$34:$A$73,0))))</f>
        <v/>
      </c>
      <c r="AP48" s="10" t="s">
        <v>40</v>
      </c>
      <c r="AQ48" s="9"/>
      <c r="AR48" s="9"/>
      <c r="AS48" s="31" t="str">
        <f>IF(AR48/(INDEX('Standards for Conversions'!$H$34:$H$73,MATCH(AQ$3,'Standards for Conversions'!$A$34:$A$73,0)))=0,"",AR48/(INDEX('Standards for Conversions'!$H$34:$H$73,MATCH(AQ$3,'Standards for Conversions'!$A$34:$A$73,0))))</f>
        <v/>
      </c>
      <c r="AT48" s="10" t="s">
        <v>40</v>
      </c>
      <c r="AU48" s="7"/>
      <c r="AV48" s="7"/>
      <c r="AW48" s="31" t="str">
        <f>IF(AV48/(INDEX('Standards for Conversions'!$H$34:$H$73,MATCH(AU$3,'Standards for Conversions'!$A$34:$A$73,0)))=0,"",AV48/(INDEX('Standards for Conversions'!$H$34:$H$73,MATCH(AU$3,'Standards for Conversions'!$A$34:$A$73,0))))</f>
        <v/>
      </c>
      <c r="AX48" s="10" t="s">
        <v>40</v>
      </c>
      <c r="AY48" s="7"/>
      <c r="AZ48" s="7"/>
      <c r="BA48" s="31" t="str">
        <f>IF(AZ48/(INDEX('Standards for Conversions'!$H$34:$H$73,MATCH(AY$3,'Standards for Conversions'!$A$34:$A$73,0)))=0,"",AZ48/(INDEX('Standards for Conversions'!$H$34:$H$73,MATCH(AY$3,'Standards for Conversions'!$A$34:$A$73,0))))</f>
        <v/>
      </c>
      <c r="BB48" s="10" t="s">
        <v>40</v>
      </c>
      <c r="BC48" s="7"/>
      <c r="BD48" s="7"/>
      <c r="BE48" s="31" t="str">
        <f>IF(BD48/(INDEX('Standards for Conversions'!$H$34:$H$73,MATCH(BC$3,'Standards for Conversions'!$A$34:$A$73,0)))=0,"",BD48/(INDEX('Standards for Conversions'!$H$34:$H$73,MATCH(BC$3,'Standards for Conversions'!$A$34:$A$73,0))))</f>
        <v/>
      </c>
      <c r="BF48" s="10" t="s">
        <v>40</v>
      </c>
      <c r="BG48" s="9"/>
      <c r="BH48" s="9"/>
      <c r="BI48" s="31" t="str">
        <f>IF(BH48/(INDEX('Standards for Conversions'!$H$34:$H$73,MATCH(BG$3,'Standards for Conversions'!$A$34:$A$73,0)))=0,"",BH48/(INDEX('Standards for Conversions'!$H$34:$H$73,MATCH(BG$3,'Standards for Conversions'!$A$34:$A$73,0))))</f>
        <v/>
      </c>
      <c r="BJ48" s="10" t="s">
        <v>40</v>
      </c>
      <c r="BK48" s="7"/>
      <c r="BL48" s="7"/>
      <c r="BM48" s="31" t="str">
        <f>IF(BL48/(INDEX('Standards for Conversions'!$H$34:$H$73,MATCH(BK$3,'Standards for Conversions'!$A$34:$A$73,0)))=0,"",BL48/(INDEX('Standards for Conversions'!$H$34:$H$73,MATCH(BK$3,'Standards for Conversions'!$A$34:$A$73,0))))</f>
        <v/>
      </c>
      <c r="BN48" s="10" t="s">
        <v>40</v>
      </c>
      <c r="BO48" s="7"/>
      <c r="BP48" s="7"/>
      <c r="BQ48" s="31" t="str">
        <f>IF(BP48/(INDEX('Standards for Conversions'!$H$34:$H$73,MATCH(BO$3,'Standards for Conversions'!$A$34:$A$73,0)))=0,"",BP48/(INDEX('Standards for Conversions'!$H$34:$H$73,MATCH(BO$3,'Standards for Conversions'!$A$34:$A$73,0))))</f>
        <v/>
      </c>
      <c r="BR48" s="10" t="s">
        <v>40</v>
      </c>
      <c r="BS48" s="7"/>
      <c r="BT48" s="7"/>
      <c r="BU48" s="31" t="str">
        <f>IF(BT48/(INDEX('Standards for Conversions'!$H$34:$H$73,MATCH(BS$3,'Standards for Conversions'!$A$34:$A$73,0)))=0,"",BT48/(INDEX('Standards for Conversions'!$H$34:$H$73,MATCH(BS$3,'Standards for Conversions'!$A$34:$A$73,0))))</f>
        <v/>
      </c>
      <c r="BV48" s="10" t="s">
        <v>40</v>
      </c>
      <c r="BW48" s="9"/>
      <c r="BX48" s="9"/>
      <c r="BY48" s="31" t="str">
        <f>IF(BX48/(INDEX('Standards for Conversions'!$H$34:$H$73,MATCH(BW$3,'Standards for Conversions'!$A$34:$A$73,0)))=0,"",BX48/(INDEX('Standards for Conversions'!$H$34:$H$73,MATCH(BW$3,'Standards for Conversions'!$A$34:$A$73,0))))</f>
        <v/>
      </c>
      <c r="BZ48" s="10" t="s">
        <v>40</v>
      </c>
      <c r="CA48" s="7"/>
      <c r="CB48" s="7"/>
      <c r="CC48" s="31" t="str">
        <f>IF(CB48/(INDEX('Standards for Conversions'!$H$34:$H$73,MATCH(CA$3,'Standards for Conversions'!$A$34:$A$73,0)))=0,"",CB48/(INDEX('Standards for Conversions'!$H$34:$H$73,MATCH(CA$3,'Standards for Conversions'!$A$34:$A$73,0))))</f>
        <v/>
      </c>
      <c r="CD48" s="10" t="s">
        <v>40</v>
      </c>
      <c r="CE48" s="7"/>
      <c r="CF48" s="7"/>
      <c r="CG48" s="31" t="str">
        <f>IF(CF48/(INDEX('Standards for Conversions'!$H$34:$H$73,MATCH(CE$3,'Standards for Conversions'!$A$34:$A$73,0)))=0,"",CF48/(INDEX('Standards for Conversions'!$H$34:$H$73,MATCH(CE$3,'Standards for Conversions'!$A$34:$A$73,0))))</f>
        <v/>
      </c>
      <c r="CH48" s="10" t="s">
        <v>40</v>
      </c>
      <c r="CI48" s="7"/>
      <c r="CJ48" s="7"/>
      <c r="CK48" s="31" t="str">
        <f>IF(CJ48/(INDEX('Standards for Conversions'!$H$34:$H$73,MATCH(CI$3,'Standards for Conversions'!$A$34:$A$73,0)))=0,"",CJ48/(INDEX('Standards for Conversions'!$H$34:$H$73,MATCH(CI$3,'Standards for Conversions'!$A$34:$A$73,0))))</f>
        <v/>
      </c>
      <c r="CL48" s="10" t="s">
        <v>40</v>
      </c>
      <c r="CM48" s="9"/>
      <c r="CN48" s="9"/>
      <c r="CO48" s="31" t="str">
        <f>IF(CN48/(INDEX('Standards for Conversions'!$H$34:$H$73,MATCH(CM$3,'Standards for Conversions'!$A$34:$A$73,0)))=0,"",CN48/(INDEX('Standards for Conversions'!$H$34:$H$73,MATCH(CM$3,'Standards for Conversions'!$A$34:$A$73,0))))</f>
        <v/>
      </c>
      <c r="CP48" s="10" t="s">
        <v>40</v>
      </c>
      <c r="CQ48" s="7"/>
      <c r="CR48" s="7"/>
      <c r="CS48" s="31" t="str">
        <f>IF(CR48/(INDEX('Standards for Conversions'!$H$34:$H$73,MATCH(CQ$3,'Standards for Conversions'!$A$34:$A$73,0)))=0,"",CR48/(INDEX('Standards for Conversions'!$H$34:$H$73,MATCH(CQ$3,'Standards for Conversions'!$A$34:$A$73,0))))</f>
        <v/>
      </c>
      <c r="CT48" s="10" t="s">
        <v>40</v>
      </c>
      <c r="CU48" s="7"/>
      <c r="CV48" s="7"/>
      <c r="CW48" s="31" t="str">
        <f>IF(CV48/(INDEX('Standards for Conversions'!$H$34:$H$73,MATCH(CU$3,'Standards for Conversions'!$A$34:$A$73,0)))=0,"",CV48/(INDEX('Standards for Conversions'!$H$34:$H$73,MATCH(CU$3,'Standards for Conversions'!$A$34:$A$73,0))))</f>
        <v/>
      </c>
      <c r="CX48" s="10" t="s">
        <v>40</v>
      </c>
      <c r="CY48" s="7"/>
      <c r="CZ48" s="7"/>
      <c r="DA48" s="31" t="str">
        <f>IF(CZ48/(INDEX('Standards for Conversions'!$H$34:$H$73,MATCH(CY$3,'Standards for Conversions'!$A$34:$A$73,0)))=0,"",CZ48/(INDEX('Standards for Conversions'!$H$34:$H$73,MATCH(CY$3,'Standards for Conversions'!$A$34:$A$73,0))))</f>
        <v/>
      </c>
      <c r="DB48" s="10" t="s">
        <v>40</v>
      </c>
      <c r="DC48" s="9"/>
      <c r="DD48" s="9"/>
      <c r="DE48" s="31" t="str">
        <f>IF(DD48/(INDEX('Standards for Conversions'!$H$34:$H$73,MATCH(DC$3,'Standards for Conversions'!$A$34:$A$73,0)))=0,"",DD48/(INDEX('Standards for Conversions'!$H$34:$H$73,MATCH(DC$3,'Standards for Conversions'!$A$34:$A$73,0))))</f>
        <v/>
      </c>
      <c r="DF48" s="10" t="s">
        <v>40</v>
      </c>
      <c r="DG48" s="7"/>
      <c r="DH48" s="7"/>
      <c r="DI48" s="31" t="str">
        <f>IF(DH48/(INDEX('Standards for Conversions'!$H$34:$H$73,MATCH(DG$3,'Standards for Conversions'!$A$34:$A$73,0)))=0,"",DH48/(INDEX('Standards for Conversions'!$H$34:$H$73,MATCH(DG$3,'Standards for Conversions'!$A$34:$A$73,0))))</f>
        <v/>
      </c>
      <c r="DJ48" s="10" t="s">
        <v>40</v>
      </c>
      <c r="DK48" s="7"/>
      <c r="DL48" s="7"/>
      <c r="DM48" s="31" t="str">
        <f>IF(DL48/(INDEX('Standards for Conversions'!$H$34:$H$73,MATCH(DK$3,'Standards for Conversions'!$A$34:$A$73,0)))=0,"",DL48/(INDEX('Standards for Conversions'!$H$34:$H$73,MATCH(DK$3,'Standards for Conversions'!$A$34:$A$73,0))))</f>
        <v/>
      </c>
      <c r="DN48" s="10" t="s">
        <v>40</v>
      </c>
      <c r="DO48" s="7"/>
      <c r="DP48" s="7"/>
      <c r="DQ48" s="31" t="str">
        <f>IF(DP48/(INDEX('Standards for Conversions'!$H$34:$H$73,MATCH(DO$3,'Standards for Conversions'!$A$34:$A$73,0)))=0,"",DP48/(INDEX('Standards for Conversions'!$H$34:$H$73,MATCH(DO$3,'Standards for Conversions'!$A$34:$A$73,0))))</f>
        <v/>
      </c>
      <c r="DR48" s="10" t="s">
        <v>40</v>
      </c>
      <c r="DS48" s="9"/>
      <c r="DT48" s="9"/>
      <c r="DU48" s="31" t="str">
        <f>IF(DT48/(INDEX('Standards for Conversions'!$H$34:$H$73,MATCH(DS$3,'Standards for Conversions'!$A$34:$A$73,0)))=0,"",DT48/(INDEX('Standards for Conversions'!$H$34:$H$73,MATCH(DS$3,'Standards for Conversions'!$A$34:$A$73,0))))</f>
        <v/>
      </c>
      <c r="DV48" s="10" t="s">
        <v>40</v>
      </c>
      <c r="DW48" s="7"/>
      <c r="DX48" s="7"/>
      <c r="DY48" s="31" t="str">
        <f>IF(DX48/(INDEX('Standards for Conversions'!$H$34:$H$73,MATCH(DW$3,'Standards for Conversions'!$A$34:$A$73,0)))=0,"",DX48/(INDEX('Standards for Conversions'!$H$34:$H$73,MATCH(DW$3,'Standards for Conversions'!$A$34:$A$73,0))))</f>
        <v/>
      </c>
      <c r="DZ48" s="10" t="s">
        <v>40</v>
      </c>
      <c r="EA48" s="7"/>
      <c r="EB48" s="7"/>
      <c r="EC48" s="31" t="str">
        <f>IF(EB48/(INDEX('Standards for Conversions'!$H$34:$H$73,MATCH(EA$3,'Standards for Conversions'!$A$34:$A$73,0)))=0,"",EB48/(INDEX('Standards for Conversions'!$H$34:$H$73,MATCH(EA$3,'Standards for Conversions'!$A$34:$A$73,0))))</f>
        <v/>
      </c>
      <c r="ED48" s="10" t="s">
        <v>40</v>
      </c>
      <c r="EE48" s="7"/>
      <c r="EF48" s="7"/>
      <c r="EG48" s="31" t="str">
        <f>IF(EF48/(INDEX('Standards for Conversions'!$H$34:$H$73,MATCH(EE$3,'Standards for Conversions'!$A$34:$A$73,0)))=0,"",EF48/(INDEX('Standards for Conversions'!$H$34:$H$73,MATCH(EE$3,'Standards for Conversions'!$A$34:$A$73,0))))</f>
        <v/>
      </c>
      <c r="EH48" s="10" t="s">
        <v>40</v>
      </c>
      <c r="EI48" s="9"/>
      <c r="EJ48" s="9"/>
      <c r="EK48" s="31" t="str">
        <f>IF(EJ48/(INDEX('Standards for Conversions'!$H$34:$H$73,MATCH(EI$3,'Standards for Conversions'!$A$34:$A$73,0)))=0,"",EJ48/(INDEX('Standards for Conversions'!$H$34:$H$73,MATCH(EI$3,'Standards for Conversions'!$A$34:$A$73,0))))</f>
        <v/>
      </c>
      <c r="EL48" s="10" t="s">
        <v>40</v>
      </c>
      <c r="EM48" s="7"/>
      <c r="EN48" s="7"/>
      <c r="EO48" s="31" t="str">
        <f>IF(EN48/(INDEX('Standards for Conversions'!$H$34:$H$73,MATCH(EM$3,'Standards for Conversions'!$A$34:$A$73,0)))=0,"",EN48/(INDEX('Standards for Conversions'!$H$34:$H$73,MATCH(EM$3,'Standards for Conversions'!$A$34:$A$73,0))))</f>
        <v/>
      </c>
      <c r="EP48" s="10" t="s">
        <v>40</v>
      </c>
      <c r="EQ48" s="7"/>
      <c r="ER48" s="7"/>
      <c r="ES48" s="31" t="str">
        <f>IF(ER48/(INDEX('Standards for Conversions'!$H$34:$H$73,MATCH(EQ$3,'Standards for Conversions'!$A$34:$A$73,0)))=0,"",ER48/(INDEX('Standards for Conversions'!$H$34:$H$73,MATCH(EQ$3,'Standards for Conversions'!$A$34:$A$73,0))))</f>
        <v/>
      </c>
      <c r="ET48" s="10" t="s">
        <v>40</v>
      </c>
      <c r="EU48" s="7"/>
      <c r="EV48" s="7"/>
      <c r="EW48" s="31" t="str">
        <f>IF(EV48/(INDEX('Standards for Conversions'!$H$34:$H$73,MATCH(EU$3,'Standards for Conversions'!$A$34:$A$73,0)))=0,"",EV48/(INDEX('Standards for Conversions'!$H$34:$H$73,MATCH(EU$3,'Standards for Conversions'!$A$34:$A$73,0))))</f>
        <v/>
      </c>
      <c r="EX48" s="10" t="s">
        <v>40</v>
      </c>
      <c r="EY48" s="9"/>
      <c r="EZ48" s="9"/>
      <c r="FA48" s="31" t="str">
        <f>IF(EZ48/(INDEX('Standards for Conversions'!$H$34:$H$73,MATCH(EY$3,'Standards for Conversions'!$A$34:$A$73,0)))=0,"",EZ48/(INDEX('Standards for Conversions'!$H$34:$H$73,MATCH(EY$3,'Standards for Conversions'!$A$34:$A$73,0))))</f>
        <v/>
      </c>
      <c r="FB48" s="10" t="s">
        <v>40</v>
      </c>
      <c r="FC48" s="7"/>
      <c r="FD48" s="7"/>
      <c r="FE48" s="31" t="str">
        <f>IF(FD48/(INDEX('Standards for Conversions'!$H$34:$H$73,MATCH(FC$3,'Standards for Conversions'!$A$34:$A$73,0)))=0,"",FD48/(INDEX('Standards for Conversions'!$H$34:$H$73,MATCH(FC$3,'Standards for Conversions'!$A$34:$A$73,0))))</f>
        <v/>
      </c>
      <c r="FF48" s="10" t="s">
        <v>40</v>
      </c>
      <c r="FG48" s="7"/>
      <c r="FH48" s="7"/>
      <c r="FI48" s="31" t="str">
        <f>IF(FH48/(INDEX('Standards for Conversions'!$H$34:$H$73,MATCH(FG$3,'Standards for Conversions'!$A$34:$A$73,0)))=0,"",FH48/(INDEX('Standards for Conversions'!$H$34:$H$73,MATCH(FG$3,'Standards for Conversions'!$A$34:$A$73,0))))</f>
        <v/>
      </c>
      <c r="FJ48" s="10" t="s">
        <v>40</v>
      </c>
      <c r="FK48" s="7"/>
      <c r="FL48" s="7"/>
      <c r="FM48" s="31" t="str">
        <f>IF(FL48/(INDEX('Standards for Conversions'!$H$34:$H$73,MATCH(FK$3,'Standards for Conversions'!$A$34:$A$73,0)))=0,"",FL48/(INDEX('Standards for Conversions'!$H$34:$H$73,MATCH(FK$3,'Standards for Conversions'!$A$34:$A$73,0))))</f>
        <v/>
      </c>
      <c r="FN48" s="10" t="s">
        <v>40</v>
      </c>
      <c r="FO48" s="9"/>
      <c r="FP48" s="9"/>
      <c r="FQ48" s="31" t="str">
        <f>IF(FP48/(INDEX('Standards for Conversions'!$H$34:$H$73,MATCH(FO$3,'Standards for Conversions'!$A$34:$A$73,0)))=0,"",FP48/(INDEX('Standards for Conversions'!$H$34:$H$73,MATCH(FO$3,'Standards for Conversions'!$A$34:$A$73,0))))</f>
        <v/>
      </c>
      <c r="FR48" s="10" t="s">
        <v>40</v>
      </c>
      <c r="FS48" s="7"/>
      <c r="FT48" s="7"/>
      <c r="FU48" s="31" t="str">
        <f>IF(FT48/(INDEX('Standards for Conversions'!$H$34:$H$73,MATCH(FS$3,'Standards for Conversions'!$A$34:$A$73,0)))=0,"",FT48/(INDEX('Standards for Conversions'!$H$34:$H$73,MATCH(FS$3,'Standards for Conversions'!$A$34:$A$73,0))))</f>
        <v/>
      </c>
      <c r="FV48" s="10" t="s">
        <v>40</v>
      </c>
      <c r="FW48" s="7"/>
      <c r="FX48" s="7"/>
      <c r="FY48" s="31" t="str">
        <f>IF(FX48/(INDEX('Standards for Conversions'!$H$34:$H$73,MATCH(FW$3,'Standards for Conversions'!$A$34:$A$73,0)))=0,"",FX48/(INDEX('Standards for Conversions'!$H$34:$H$73,MATCH(FW$3,'Standards for Conversions'!$A$34:$A$73,0))))</f>
        <v/>
      </c>
      <c r="FZ48" s="10" t="s">
        <v>40</v>
      </c>
      <c r="GA48" s="7"/>
      <c r="GB48" s="7"/>
      <c r="GC48" s="31" t="str">
        <f>IF(GB48/(INDEX('Standards for Conversions'!$H$34:$H$73,MATCH(GA$3,'Standards for Conversions'!$A$34:$A$73,0)))=0,"",GB48/(INDEX('Standards for Conversions'!$H$34:$H$73,MATCH(GA$3,'Standards for Conversions'!$A$34:$A$73,0))))</f>
        <v/>
      </c>
      <c r="GD48" s="10" t="s">
        <v>40</v>
      </c>
      <c r="GE48" s="9"/>
      <c r="GF48" s="9"/>
      <c r="GG48" s="31" t="str">
        <f>IF(GF48/(INDEX('Standards for Conversions'!$H$34:$H$73,MATCH(GE$3,'Standards for Conversions'!$A$34:$A$73,0)))=0,"",GF48/(INDEX('Standards for Conversions'!$H$34:$H$73,MATCH(GE$3,'Standards for Conversions'!$A$34:$A$73,0))))</f>
        <v/>
      </c>
      <c r="GH48" s="10" t="s">
        <v>40</v>
      </c>
      <c r="GI48" s="7"/>
      <c r="GJ48" s="7"/>
      <c r="GK48" s="31" t="str">
        <f>IF(GJ48/(INDEX('Standards for Conversions'!$H$34:$H$73,MATCH(GI$3,'Standards for Conversions'!$A$34:$A$73,0)))=0,"",GJ48/(INDEX('Standards for Conversions'!$H$34:$H$73,MATCH(GI$3,'Standards for Conversions'!$A$34:$A$73,0))))</f>
        <v/>
      </c>
      <c r="GL48" s="10" t="s">
        <v>40</v>
      </c>
      <c r="GM48" s="7"/>
      <c r="GN48" s="7"/>
      <c r="GO48" s="31" t="str">
        <f>IF(GN48/(INDEX('Standards for Conversions'!$H$34:$H$73,MATCH(GM$3,'Standards for Conversions'!$A$34:$A$73,0)))=0,"",GN48/(INDEX('Standards for Conversions'!$H$34:$H$73,MATCH(GM$3,'Standards for Conversions'!$A$34:$A$73,0))))</f>
        <v/>
      </c>
      <c r="GP48" s="10" t="s">
        <v>40</v>
      </c>
      <c r="GQ48" s="7"/>
      <c r="GR48" s="7"/>
      <c r="GS48" s="31" t="str">
        <f>IF(GR48/(INDEX('Standards for Conversions'!$H$34:$H$73,MATCH(GQ$3,'Standards for Conversions'!$A$34:$A$73,0)))=0,"",GR48/(INDEX('Standards for Conversions'!$H$34:$H$73,MATCH(GQ$3,'Standards for Conversions'!$A$34:$A$73,0))))</f>
        <v/>
      </c>
      <c r="GT48" s="10" t="s">
        <v>40</v>
      </c>
      <c r="GU48" s="9"/>
      <c r="GV48" s="9"/>
      <c r="GW48" s="31" t="str">
        <f>IF(GV48/(INDEX('Standards for Conversions'!$H$34:$H$73,MATCH(GU$3,'Standards for Conversions'!$A$34:$A$73,0)))=0,"",GV48/(INDEX('Standards for Conversions'!$H$34:$H$73,MATCH(GU$3,'Standards for Conversions'!$A$34:$A$73,0))))</f>
        <v/>
      </c>
      <c r="GX48" s="10" t="s">
        <v>40</v>
      </c>
      <c r="GY48" s="7"/>
      <c r="GZ48" s="7"/>
      <c r="HA48" s="31" t="str">
        <f>IF(GZ48/(INDEX('Standards for Conversions'!$H$34:$H$73,MATCH(GY$3,'Standards for Conversions'!$A$34:$A$73,0)))=0,"",GZ48/(INDEX('Standards for Conversions'!$H$34:$H$73,MATCH(GY$3,'Standards for Conversions'!$A$34:$A$73,0))))</f>
        <v/>
      </c>
      <c r="HB48" s="10" t="s">
        <v>40</v>
      </c>
      <c r="HC48" s="7"/>
      <c r="HD48" s="7"/>
      <c r="HE48" s="31" t="str">
        <f>IF(HD48/(INDEX('Standards for Conversions'!$H$34:$H$73,MATCH(HC$3,'Standards for Conversions'!$A$34:$A$73,0)))=0,"",HD48/(INDEX('Standards for Conversions'!$H$34:$H$73,MATCH(HC$3,'Standards for Conversions'!$A$34:$A$73,0))))</f>
        <v/>
      </c>
      <c r="HF48" s="10" t="s">
        <v>40</v>
      </c>
      <c r="HG48" s="7"/>
      <c r="HH48" s="7"/>
      <c r="HI48" s="31" t="str">
        <f>IF(HH48/(INDEX('Standards for Conversions'!$H$34:$H$73,MATCH(HG$3,'Standards for Conversions'!$A$34:$A$73,0)))=0,"",HH48/(INDEX('Standards for Conversions'!$H$34:$H$73,MATCH(HG$3,'Standards for Conversions'!$A$34:$A$73,0))))</f>
        <v/>
      </c>
      <c r="HJ48" s="10" t="s">
        <v>40</v>
      </c>
      <c r="HK48" s="9"/>
      <c r="HL48" s="9"/>
      <c r="HM48" s="31" t="str">
        <f>IF(HL48/(INDEX('Standards for Conversions'!$H$34:$H$73,MATCH(HK$3,'Standards for Conversions'!$A$34:$A$73,0)))=0,"",HL48/(INDEX('Standards for Conversions'!$H$34:$H$73,MATCH(HK$3,'Standards for Conversions'!$A$34:$A$73,0))))</f>
        <v/>
      </c>
      <c r="HN48" s="10" t="s">
        <v>40</v>
      </c>
      <c r="HO48" s="7"/>
      <c r="HP48" s="7"/>
      <c r="HQ48" s="31" t="str">
        <f>IF(HP48/(INDEX('Standards for Conversions'!$H$34:$H$73,MATCH(HO$3,'Standards for Conversions'!$A$34:$A$73,0)))=0,"",HP48/(INDEX('Standards for Conversions'!$H$34:$H$73,MATCH(HO$3,'Standards for Conversions'!$A$34:$A$73,0))))</f>
        <v/>
      </c>
      <c r="HR48" s="33" t="s">
        <v>40</v>
      </c>
      <c r="HU48" s="31" t="str">
        <f>IF(HT48/(INDEX('Standards for Conversions'!$H$47:$H$73,MATCH(HS$3,'Standards for Conversions'!$A$47:$A$73,0)))=0,"",HT48/(INDEX('Standards for Conversions'!$H$47:$H$73,MATCH(HS$3,'Standards for Conversions'!$A$47:$A$73,0))))</f>
        <v/>
      </c>
      <c r="HV48" s="33" t="s">
        <v>40</v>
      </c>
      <c r="HY48" s="31" t="str">
        <f>IF(HX48/(INDEX('Standards for Conversions'!$H$47:$H$73,MATCH(HW$3,'Standards for Conversions'!$A$47:$A$73,0)))=0,"",HX48/(INDEX('Standards for Conversions'!$H$47:$H$73,MATCH(HW$3,'Standards for Conversions'!$A$47:$A$73,0))))</f>
        <v/>
      </c>
      <c r="HZ48" s="33">
        <v>175</v>
      </c>
      <c r="IA48" s="33">
        <v>1800</v>
      </c>
      <c r="IB48" s="31">
        <f>IF(IA48/(INDEX('Standards for Conversions'!$H$47:$H$73,MATCH(HZ$3,'Standards for Conversions'!$A$47:$A$73,0)))=0,"",IA48/(INDEX('Standards for Conversions'!$H$47:$H$73,MATCH(HZ$3,'Standards for Conversions'!$A$47:$A$73,0))))</f>
        <v>261.44174198314073</v>
      </c>
      <c r="IC48" s="33" t="s">
        <v>40</v>
      </c>
      <c r="IF48" s="31" t="str">
        <f>IF(IE48/(INDEX('Standards for Conversions'!$H$47:$H$73,MATCH(ID$3,'Standards for Conversions'!$A$47:$A$73,0)))=0,"",IE48/(INDEX('Standards for Conversions'!$H$47:$H$73,MATCH(ID$3,'Standards for Conversions'!$A$47:$A$73,0))))</f>
        <v/>
      </c>
      <c r="IG48" s="33" t="s">
        <v>40</v>
      </c>
      <c r="IJ48" s="31" t="str">
        <f>IF(II48/(INDEX('Standards for Conversions'!$H$47:$H$73,MATCH(IH$3,'Standards for Conversions'!$A$47:$A$73,0)))=0,"",II48/(INDEX('Standards for Conversions'!$H$47:$H$73,MATCH(IH$3,'Standards for Conversions'!$A$47:$A$73,0))))</f>
        <v/>
      </c>
      <c r="IK48" s="33" t="s">
        <v>40</v>
      </c>
      <c r="IN48" s="31" t="str">
        <f>IF(IM48/(INDEX('Standards for Conversions'!$H$47:$H$73,MATCH(IL$3,'Standards for Conversions'!$A$47:$A$73,0)))=0,"",IM48/(INDEX('Standards for Conversions'!$H$47:$H$73,MATCH(IL$3,'Standards for Conversions'!$A$47:$A$73,0))))</f>
        <v/>
      </c>
      <c r="IO48" s="33" t="s">
        <v>40</v>
      </c>
      <c r="IP48" s="29">
        <v>50</v>
      </c>
      <c r="IQ48" s="29">
        <v>400</v>
      </c>
      <c r="IR48" s="31">
        <f>IF(IQ48/(INDEX('Standards for Conversions'!$H$47:$H$73,MATCH(IP$3,'Standards for Conversions'!$A$47:$A$73,0)))=0,"",IQ48/(INDEX('Standards for Conversions'!$H$47:$H$73,MATCH(IP$3,'Standards for Conversions'!$A$47:$A$73,0))))</f>
        <v>57.844091277772947</v>
      </c>
      <c r="IS48" s="33" t="s">
        <v>40</v>
      </c>
      <c r="IT48" s="29">
        <v>93</v>
      </c>
      <c r="IU48" s="29">
        <v>690</v>
      </c>
      <c r="IV48" s="31">
        <f>IF(IU48/(INDEX('Standards for Conversions'!$H$47:$H$73,MATCH(IT$3,'Standards for Conversions'!$A$47:$A$73,0)))=0,"",IU48/(INDEX('Standards for Conversions'!$H$47:$H$73,MATCH(IT$3,'Standards for Conversions'!$A$47:$A$73,0))))</f>
        <v>99.781057454158329</v>
      </c>
      <c r="IW48" s="33" t="s">
        <v>40</v>
      </c>
      <c r="IZ48" s="31" t="str">
        <f>IF(IY48/(INDEX('Standards for Conversions'!$H$47:$H$73,MATCH(IX$3,'Standards for Conversions'!$A$47:$A$73,0)))=0,"",IY48/(INDEX('Standards for Conversions'!$H$47:$H$73,MATCH(IX$3,'Standards for Conversions'!$A$47:$A$73,0))))</f>
        <v/>
      </c>
      <c r="JA48" s="33" t="s">
        <v>40</v>
      </c>
      <c r="JD48" s="31" t="str">
        <f>IF(JC48/(INDEX('Standards for Conversions'!$H$47:$H$73,MATCH(JB$3,'Standards for Conversions'!$A$47:$A$73,0)))=0,"",JC48/(INDEX('Standards for Conversions'!$H$47:$H$73,MATCH(JB$3,'Standards for Conversions'!$A$47:$A$73,0))))</f>
        <v/>
      </c>
      <c r="JE48" s="33" t="s">
        <v>40</v>
      </c>
      <c r="JF48" s="29">
        <v>20</v>
      </c>
      <c r="JG48" s="29">
        <v>300</v>
      </c>
      <c r="JH48" s="31">
        <f>IF(JG48/(INDEX('Standards for Conversions'!$H$47:$H$73,MATCH(JF$3,'Standards for Conversions'!$A$47:$A$73,0)))=0,"",JG48/(INDEX('Standards for Conversions'!$H$47:$H$73,MATCH(JF$3,'Standards for Conversions'!$A$47:$A$73,0))))</f>
        <v>48.528059007560607</v>
      </c>
      <c r="JI48" s="48" t="s">
        <v>40</v>
      </c>
      <c r="JJ48" s="29">
        <v>85</v>
      </c>
      <c r="JK48" s="29">
        <v>500</v>
      </c>
      <c r="JL48" s="31">
        <f>IF(JK48/(INDEX('Standards for Conversions'!$H$47:$H$73,MATCH(JJ$3,'Standards for Conversions'!$A$47:$A$73,0)))=0,"",JK48/(INDEX('Standards for Conversions'!$H$47:$H$73,MATCH(JJ$3,'Standards for Conversions'!$A$47:$A$73,0))))</f>
        <v>80.880098345934343</v>
      </c>
      <c r="JM48" s="33" t="s">
        <v>40</v>
      </c>
      <c r="JP48" s="31" t="str">
        <f>IF(JO48/(INDEX('Standards for Conversions'!$H$47:$H$73,MATCH(JN$3,'Standards for Conversions'!$A$47:$A$73,0)))=0,"",JO48/(INDEX('Standards for Conversions'!$H$47:$H$73,MATCH(JN$3,'Standards for Conversions'!$A$47:$A$73,0))))</f>
        <v/>
      </c>
      <c r="JQ48" s="33" t="s">
        <v>40</v>
      </c>
      <c r="JT48" s="31" t="str">
        <f>IF(JS48/(INDEX('Standards for Conversions'!$H$47:$H$73,MATCH(JR$3,'Standards for Conversions'!$A$47:$A$73,0)))=0,"",JS48/(INDEX('Standards for Conversions'!$H$47:$H$73,MATCH(JR$3,'Standards for Conversions'!$A$47:$A$73,0))))</f>
        <v/>
      </c>
      <c r="JU48" s="33" t="s">
        <v>40</v>
      </c>
      <c r="JV48" s="29">
        <v>40</v>
      </c>
      <c r="JW48" s="29">
        <v>350</v>
      </c>
      <c r="JX48" s="31">
        <f>IF(JW48/(INDEX('Standards for Conversions'!$H$47:$H$73,MATCH(JV$3,'Standards for Conversions'!$A$47:$A$73,0)))=0,"",JW48/(INDEX('Standards for Conversions'!$H$47:$H$73,MATCH(JV$3,'Standards for Conversions'!$A$47:$A$73,0))))</f>
        <v>53.429562349729146</v>
      </c>
      <c r="JY48" s="33" t="s">
        <v>40</v>
      </c>
      <c r="JZ48" s="29">
        <v>90</v>
      </c>
      <c r="KA48" s="29">
        <v>600</v>
      </c>
      <c r="KB48" s="31">
        <f>IF(KA48/(INDEX('Standards for Conversions'!$H$47:$H$73,MATCH(JZ$3,'Standards for Conversions'!$A$47:$A$73,0)))=0,"",KA48/(INDEX('Standards for Conversions'!$H$47:$H$73,MATCH(JZ$3,'Standards for Conversions'!$A$47:$A$73,0))))</f>
        <v>91.593535456678538</v>
      </c>
      <c r="KC48" s="33" t="s">
        <v>40</v>
      </c>
      <c r="KF48" s="31" t="str">
        <f>IF(KE48/(INDEX('Standards for Conversions'!$H$47:$H$73,MATCH(KD$3,'Standards for Conversions'!$A$47:$A$73,0)))=0,"",KE48/(INDEX('Standards for Conversions'!$H$47:$H$73,MATCH(KD$3,'Standards for Conversions'!$A$47:$A$73,0))))</f>
        <v/>
      </c>
      <c r="KG48" s="33" t="s">
        <v>40</v>
      </c>
      <c r="KJ48" s="31" t="str">
        <f>IF(KI48/(INDEX('Standards for Conversions'!$H$47:$H$73,MATCH(KH$3,'Standards for Conversions'!$A$47:$A$73,0)))=0,"",KI48/(INDEX('Standards for Conversions'!$H$47:$H$73,MATCH(KH$3,'Standards for Conversions'!$A$47:$A$73,0))))</f>
        <v/>
      </c>
      <c r="KK48" s="33" t="s">
        <v>40</v>
      </c>
      <c r="KL48" s="29">
        <v>40</v>
      </c>
      <c r="KM48" s="29">
        <v>300</v>
      </c>
      <c r="KN48" s="31">
        <f>IF(KM48/(INDEX('Standards for Conversions'!$H$47:$H$73,MATCH(KL$3,'Standards for Conversions'!$A$47:$A$73,0)))=0,"",KM48/(INDEX('Standards for Conversions'!$H$47:$H$73,MATCH(KL$3,'Standards for Conversions'!$A$47:$A$73,0))))</f>
        <v>40.397703571738937</v>
      </c>
      <c r="KO48" s="33" t="s">
        <v>40</v>
      </c>
      <c r="KP48" s="29">
        <v>95</v>
      </c>
      <c r="KQ48" s="29">
        <v>700</v>
      </c>
      <c r="KR48" s="31">
        <f>IF(KQ48/(INDEX('Standards for Conversions'!$H$47:$H$73,MATCH(KP$3,'Standards for Conversions'!$A$47:$A$73,0)))=0,"",KQ48/(INDEX('Standards for Conversions'!$H$47:$H$73,MATCH(KP$3,'Standards for Conversions'!$A$47:$A$73,0))))</f>
        <v>94.261308334057517</v>
      </c>
      <c r="KS48" s="33" t="s">
        <v>40</v>
      </c>
      <c r="KV48" s="31" t="str">
        <f>IF(KU48/(INDEX('Standards for Conversions'!$H$47:$H$73,MATCH(KT$3,'Standards for Conversions'!$A$47:$A$73,0)))=0,"",KU48/(INDEX('Standards for Conversions'!$H$47:$H$73,MATCH(KT$3,'Standards for Conversions'!$A$47:$A$73,0))))</f>
        <v/>
      </c>
      <c r="KW48" s="33" t="s">
        <v>40</v>
      </c>
      <c r="KZ48" s="31" t="str">
        <f>IF(KY48/(INDEX('Standards for Conversions'!$H$47:$H$73,MATCH(KX$3,'Standards for Conversions'!$A$47:$A$73,0)))=0,"",KY48/(INDEX('Standards for Conversions'!$H$47:$H$73,MATCH(KX$3,'Standards for Conversions'!$A$47:$A$73,0))))</f>
        <v/>
      </c>
      <c r="LA48" s="33" t="s">
        <v>40</v>
      </c>
      <c r="LB48" s="29">
        <v>18</v>
      </c>
      <c r="LC48" s="29">
        <v>70</v>
      </c>
      <c r="LD48" s="31">
        <f>IF(LC48/(INDEX('Standards for Conversions'!$H$47:$H$73,MATCH(LB$3,'Standards for Conversions'!$A$47:$A$73,0)))=0,"",LC48/(INDEX('Standards for Conversions'!$H$47:$H$73,MATCH(LB$3,'Standards for Conversions'!$A$47:$A$73,0))))</f>
        <v>8.5131596709249422</v>
      </c>
      <c r="LE48" s="48" t="s">
        <v>40</v>
      </c>
      <c r="LF48" s="29">
        <v>155</v>
      </c>
      <c r="LG48" s="29">
        <v>1700</v>
      </c>
      <c r="LH48" s="31">
        <f>IF(LG48/(INDEX('Standards for Conversions'!$H$47:$H$73,MATCH(LF$3,'Standards for Conversions'!$A$47:$A$73,0)))=0,"",LG48/(INDEX('Standards for Conversions'!$H$47:$H$73,MATCH(LF$3,'Standards for Conversions'!$A$47:$A$73,0))))</f>
        <v>206.7481634367486</v>
      </c>
      <c r="LL48" s="31" t="str">
        <f>IF(LK48/(INDEX('Standards for Conversions'!$H$47:$H$73,MATCH(LJ$3,'Standards for Conversions'!$A$47:$A$73,0)))=0,"",LK48/(INDEX('Standards for Conversions'!$H$47:$H$73,MATCH(LJ$3,'Standards for Conversions'!$A$47:$A$73,0))))</f>
        <v/>
      </c>
      <c r="LO48" s="31" t="str">
        <f>IF(LN48/(INDEX('Standards for Conversions'!$H$47:$H$73,MATCH(LM$3,'Standards for Conversions'!$A$47:$A$73,0)))=0,"",LN48/(INDEX('Standards for Conversions'!$H$47:$H$73,MATCH(LM$3,'Standards for Conversions'!$A$47:$A$73,0))))</f>
        <v/>
      </c>
      <c r="LR48" s="31" t="str">
        <f>IF(LQ48/(INDEX('Standards for Conversions'!$H$47:$H$73,MATCH(LP$3,'Standards for Conversions'!$A$47:$A$73,0)))=0,"",LQ48/(INDEX('Standards for Conversions'!$H$47:$H$73,MATCH(LP$3,'Standards for Conversions'!$A$47:$A$73,0))))</f>
        <v/>
      </c>
      <c r="LV48" s="31" t="str">
        <f>IF(LU48/(INDEX('Standards for Conversions'!$H$47:$H$73,MATCH(LT$3,'Standards for Conversions'!$A$47:$A$73,0)))=0,"",LU48/(INDEX('Standards for Conversions'!$H$47:$H$73,MATCH(LT$3,'Standards for Conversions'!$A$47:$A$73,0))))</f>
        <v/>
      </c>
      <c r="LY48" s="31" t="str">
        <f>IF(LX48/(INDEX('Standards for Conversions'!$H$47:$H$73,MATCH(LW$3,'Standards for Conversions'!$A$47:$A$73,0)))=0,"",LX48/(INDEX('Standards for Conversions'!$H$47:$H$73,MATCH(LW$3,'Standards for Conversions'!$A$47:$A$73,0))))</f>
        <v/>
      </c>
      <c r="MB48" s="31" t="str">
        <f>IF(MA48/(INDEX('Standards for Conversions'!$H$47:$H$73,MATCH(LZ$3,'Standards for Conversions'!$A$47:$A$73,0)))=0,"",MA48/(INDEX('Standards for Conversions'!$H$47:$H$73,MATCH(LZ$3,'Standards for Conversions'!$A$47:$A$73,0))))</f>
        <v/>
      </c>
      <c r="ME48" s="31" t="str">
        <f>IF(MD48/(INDEX('Standards for Conversions'!$H$47:$H$73,MATCH(MC$3,'Standards for Conversions'!$A$47:$A$73,0)))=0,"",MD48/(INDEX('Standards for Conversions'!$H$47:$H$73,MATCH(MC$3,'Standards for Conversions'!$A$47:$A$73,0))))</f>
        <v/>
      </c>
      <c r="MH48" s="31" t="str">
        <f>IF(MG48/(INDEX('Standards for Conversions'!$H$47:$H$73,MATCH(MF$3,'Standards for Conversions'!$A$47:$A$73,0)))=0,"",MG48/(INDEX('Standards for Conversions'!$H$47:$H$73,MATCH(MF$3,'Standards for Conversions'!$A$47:$A$73,0))))</f>
        <v/>
      </c>
      <c r="MK48" s="31" t="str">
        <f>IF(MJ48/(INDEX('Standards for Conversions'!$H$47:$H$73,MATCH(MI$3,'Standards for Conversions'!$A$47:$A$73,0)))=0,"",MJ48/(INDEX('Standards for Conversions'!$H$47:$H$73,MATCH(MI$3,'Standards for Conversions'!$A$47:$A$73,0))))</f>
        <v/>
      </c>
      <c r="MN48" s="31" t="str">
        <f>IF(MM48/(INDEX('Standards for Conversions'!$H$47:$H$73,MATCH(ML$3,'Standards for Conversions'!$A$47:$A$73,0)))=0,"",MM48/(INDEX('Standards for Conversions'!$H$47:$H$73,MATCH(ML$3,'Standards for Conversions'!$A$47:$A$73,0))))</f>
        <v/>
      </c>
      <c r="MR48" s="31" t="str">
        <f>IF(MQ48/(INDEX('Standards for Conversions'!$H$47:$H$73,MATCH(MP$3,'Standards for Conversions'!$A$47:$A$73,0)))=0,"",MQ48/(INDEX('Standards for Conversions'!$H$47:$H$73,MATCH(MP$3,'Standards for Conversions'!$A$47:$A$73,0))))</f>
        <v/>
      </c>
    </row>
    <row r="49" spans="1:373" hidden="1" x14ac:dyDescent="0.3">
      <c r="A49" s="103" t="s">
        <v>231</v>
      </c>
      <c r="B49" s="10" t="s">
        <v>40</v>
      </c>
      <c r="C49" s="7"/>
      <c r="D49" s="7"/>
      <c r="E49" s="31" t="str">
        <f>IF(D49/(INDEX('Standards for Conversions'!$H$34:$H$73,MATCH(C$3,'Standards for Conversions'!$A$34:$A$73,0)))=0,"",D49/(INDEX('Standards for Conversions'!$H$34:$H$73,MATCH(C$3,'Standards for Conversions'!$A$34:$A$73,0))))</f>
        <v/>
      </c>
      <c r="F49" s="10" t="s">
        <v>40</v>
      </c>
      <c r="G49" s="7"/>
      <c r="H49" s="7"/>
      <c r="I49" s="31" t="str">
        <f>IF(H49/(INDEX('Standards for Conversions'!$H$34:$H$73,MATCH(G$3,'Standards for Conversions'!$A$34:$A$73,0)))=0,"",H49/(INDEX('Standards for Conversions'!$H$34:$H$73,MATCH(G$3,'Standards for Conversions'!$A$34:$A$73,0))))</f>
        <v/>
      </c>
      <c r="J49" s="10" t="s">
        <v>40</v>
      </c>
      <c r="K49" s="9"/>
      <c r="L49" s="9"/>
      <c r="M49" s="31" t="str">
        <f>IF(L49/(INDEX('Standards for Conversions'!$H$34:$H$73,MATCH(K$3,'Standards for Conversions'!$A$34:$A$73,0)))=0,"",L49/(INDEX('Standards for Conversions'!$H$34:$H$73,MATCH(K$3,'Standards for Conversions'!$A$34:$A$73,0))))</f>
        <v/>
      </c>
      <c r="N49" s="10" t="s">
        <v>40</v>
      </c>
      <c r="O49" s="7"/>
      <c r="P49" s="7"/>
      <c r="Q49" s="31" t="str">
        <f>IF(P49/(INDEX('Standards for Conversions'!$H$34:$H$73,MATCH(O$3,'Standards for Conversions'!$A$34:$A$73,0)))=0,"",P49/(INDEX('Standards for Conversions'!$H$34:$H$73,MATCH(O$3,'Standards for Conversions'!$A$34:$A$73,0))))</f>
        <v/>
      </c>
      <c r="R49" s="10" t="s">
        <v>40</v>
      </c>
      <c r="S49" s="7"/>
      <c r="T49" s="7"/>
      <c r="U49" s="31" t="str">
        <f>IF(T49/(INDEX('Standards for Conversions'!$H$34:$H$73,MATCH(S$3,'Standards for Conversions'!$A$34:$A$73,0)))=0,"",T49/(INDEX('Standards for Conversions'!$H$34:$H$73,MATCH(S$3,'Standards for Conversions'!$A$34:$A$73,0))))</f>
        <v/>
      </c>
      <c r="V49" s="10" t="s">
        <v>40</v>
      </c>
      <c r="W49" s="7"/>
      <c r="X49" s="7"/>
      <c r="Y49" s="31" t="str">
        <f>IF(X49/(INDEX('Standards for Conversions'!$H$34:$H$73,MATCH(W$3,'Standards for Conversions'!$A$34:$A$73,0)))=0,"",X49/(INDEX('Standards for Conversions'!$H$34:$H$73,MATCH(W$3,'Standards for Conversions'!$A$34:$A$73,0))))</f>
        <v/>
      </c>
      <c r="Z49" s="10" t="s">
        <v>40</v>
      </c>
      <c r="AA49" s="9"/>
      <c r="AB49" s="9"/>
      <c r="AC49" s="31" t="str">
        <f>IF(AB49/(INDEX('Standards for Conversions'!$H$34:$H$73,MATCH(AA$3,'Standards for Conversions'!$A$34:$A$73,0)))=0,"",AB49/(INDEX('Standards for Conversions'!$H$34:$H$73,MATCH(AA$3,'Standards for Conversions'!$A$34:$A$73,0))))</f>
        <v/>
      </c>
      <c r="AD49" s="10" t="s">
        <v>40</v>
      </c>
      <c r="AE49" s="7"/>
      <c r="AF49" s="7"/>
      <c r="AG49" s="31" t="str">
        <f>IF(AF49/(INDEX('Standards for Conversions'!$H$34:$H$73,MATCH(AE$3,'Standards for Conversions'!$A$34:$A$73,0)))=0,"",AF49/(INDEX('Standards for Conversions'!$H$34:$H$73,MATCH(AE$3,'Standards for Conversions'!$A$34:$A$73,0))))</f>
        <v/>
      </c>
      <c r="AH49" s="10" t="s">
        <v>40</v>
      </c>
      <c r="AI49" s="7"/>
      <c r="AJ49" s="7"/>
      <c r="AK49" s="31" t="str">
        <f>IF(AJ49/(INDEX('Standards for Conversions'!$H$34:$H$73,MATCH(AI$3,'Standards for Conversions'!$A$34:$A$73,0)))=0,"",AJ49/(INDEX('Standards for Conversions'!$H$34:$H$73,MATCH(AI$3,'Standards for Conversions'!$A$34:$A$73,0))))</f>
        <v/>
      </c>
      <c r="AL49" s="10" t="s">
        <v>40</v>
      </c>
      <c r="AM49" s="7"/>
      <c r="AN49" s="7"/>
      <c r="AO49" s="31" t="str">
        <f>IF(AN49/(INDEX('Standards for Conversions'!$H$34:$H$73,MATCH(AM$3,'Standards for Conversions'!$A$34:$A$73,0)))=0,"",AN49/(INDEX('Standards for Conversions'!$H$34:$H$73,MATCH(AM$3,'Standards for Conversions'!$A$34:$A$73,0))))</f>
        <v/>
      </c>
      <c r="AP49" s="10" t="s">
        <v>40</v>
      </c>
      <c r="AQ49" s="9"/>
      <c r="AR49" s="9"/>
      <c r="AS49" s="31" t="str">
        <f>IF(AR49/(INDEX('Standards for Conversions'!$H$34:$H$73,MATCH(AQ$3,'Standards for Conversions'!$A$34:$A$73,0)))=0,"",AR49/(INDEX('Standards for Conversions'!$H$34:$H$73,MATCH(AQ$3,'Standards for Conversions'!$A$34:$A$73,0))))</f>
        <v/>
      </c>
      <c r="AT49" s="10" t="s">
        <v>40</v>
      </c>
      <c r="AU49" s="7"/>
      <c r="AV49" s="7"/>
      <c r="AW49" s="31" t="str">
        <f>IF(AV49/(INDEX('Standards for Conversions'!$H$34:$H$73,MATCH(AU$3,'Standards for Conversions'!$A$34:$A$73,0)))=0,"",AV49/(INDEX('Standards for Conversions'!$H$34:$H$73,MATCH(AU$3,'Standards for Conversions'!$A$34:$A$73,0))))</f>
        <v/>
      </c>
      <c r="AX49" s="10" t="s">
        <v>40</v>
      </c>
      <c r="AY49" s="7"/>
      <c r="AZ49" s="7"/>
      <c r="BA49" s="31" t="str">
        <f>IF(AZ49/(INDEX('Standards for Conversions'!$H$34:$H$73,MATCH(AY$3,'Standards for Conversions'!$A$34:$A$73,0)))=0,"",AZ49/(INDEX('Standards for Conversions'!$H$34:$H$73,MATCH(AY$3,'Standards for Conversions'!$A$34:$A$73,0))))</f>
        <v/>
      </c>
      <c r="BB49" s="10" t="s">
        <v>40</v>
      </c>
      <c r="BC49" s="7"/>
      <c r="BD49" s="7"/>
      <c r="BE49" s="31" t="str">
        <f>IF(BD49/(INDEX('Standards for Conversions'!$H$34:$H$73,MATCH(BC$3,'Standards for Conversions'!$A$34:$A$73,0)))=0,"",BD49/(INDEX('Standards for Conversions'!$H$34:$H$73,MATCH(BC$3,'Standards for Conversions'!$A$34:$A$73,0))))</f>
        <v/>
      </c>
      <c r="BF49" s="10" t="s">
        <v>40</v>
      </c>
      <c r="BG49" s="9"/>
      <c r="BH49" s="9"/>
      <c r="BI49" s="31" t="str">
        <f>IF(BH49/(INDEX('Standards for Conversions'!$H$34:$H$73,MATCH(BG$3,'Standards for Conversions'!$A$34:$A$73,0)))=0,"",BH49/(INDEX('Standards for Conversions'!$H$34:$H$73,MATCH(BG$3,'Standards for Conversions'!$A$34:$A$73,0))))</f>
        <v/>
      </c>
      <c r="BJ49" s="10" t="s">
        <v>40</v>
      </c>
      <c r="BK49" s="7"/>
      <c r="BL49" s="7"/>
      <c r="BM49" s="31" t="str">
        <f>IF(BL49/(INDEX('Standards for Conversions'!$H$34:$H$73,MATCH(BK$3,'Standards for Conversions'!$A$34:$A$73,0)))=0,"",BL49/(INDEX('Standards for Conversions'!$H$34:$H$73,MATCH(BK$3,'Standards for Conversions'!$A$34:$A$73,0))))</f>
        <v/>
      </c>
      <c r="BN49" s="10" t="s">
        <v>40</v>
      </c>
      <c r="BO49" s="7"/>
      <c r="BP49" s="7"/>
      <c r="BQ49" s="31" t="str">
        <f>IF(BP49/(INDEX('Standards for Conversions'!$H$34:$H$73,MATCH(BO$3,'Standards for Conversions'!$A$34:$A$73,0)))=0,"",BP49/(INDEX('Standards for Conversions'!$H$34:$H$73,MATCH(BO$3,'Standards for Conversions'!$A$34:$A$73,0))))</f>
        <v/>
      </c>
      <c r="BR49" s="10" t="s">
        <v>40</v>
      </c>
      <c r="BS49" s="7"/>
      <c r="BT49" s="7"/>
      <c r="BU49" s="31" t="str">
        <f>IF(BT49/(INDEX('Standards for Conversions'!$H$34:$H$73,MATCH(BS$3,'Standards for Conversions'!$A$34:$A$73,0)))=0,"",BT49/(INDEX('Standards for Conversions'!$H$34:$H$73,MATCH(BS$3,'Standards for Conversions'!$A$34:$A$73,0))))</f>
        <v/>
      </c>
      <c r="BV49" s="10" t="s">
        <v>40</v>
      </c>
      <c r="BW49" s="9"/>
      <c r="BX49" s="9"/>
      <c r="BY49" s="31" t="str">
        <f>IF(BX49/(INDEX('Standards for Conversions'!$H$34:$H$73,MATCH(BW$3,'Standards for Conversions'!$A$34:$A$73,0)))=0,"",BX49/(INDEX('Standards for Conversions'!$H$34:$H$73,MATCH(BW$3,'Standards for Conversions'!$A$34:$A$73,0))))</f>
        <v/>
      </c>
      <c r="BZ49" s="10" t="s">
        <v>40</v>
      </c>
      <c r="CA49" s="7"/>
      <c r="CB49" s="7"/>
      <c r="CC49" s="31" t="str">
        <f>IF(CB49/(INDEX('Standards for Conversions'!$H$34:$H$73,MATCH(CA$3,'Standards for Conversions'!$A$34:$A$73,0)))=0,"",CB49/(INDEX('Standards for Conversions'!$H$34:$H$73,MATCH(CA$3,'Standards for Conversions'!$A$34:$A$73,0))))</f>
        <v/>
      </c>
      <c r="CD49" s="10" t="s">
        <v>40</v>
      </c>
      <c r="CE49" s="7"/>
      <c r="CF49" s="7"/>
      <c r="CG49" s="31" t="str">
        <f>IF(CF49/(INDEX('Standards for Conversions'!$H$34:$H$73,MATCH(CE$3,'Standards for Conversions'!$A$34:$A$73,0)))=0,"",CF49/(INDEX('Standards for Conversions'!$H$34:$H$73,MATCH(CE$3,'Standards for Conversions'!$A$34:$A$73,0))))</f>
        <v/>
      </c>
      <c r="CH49" s="10" t="s">
        <v>40</v>
      </c>
      <c r="CI49" s="7"/>
      <c r="CJ49" s="7"/>
      <c r="CK49" s="31" t="str">
        <f>IF(CJ49/(INDEX('Standards for Conversions'!$H$34:$H$73,MATCH(CI$3,'Standards for Conversions'!$A$34:$A$73,0)))=0,"",CJ49/(INDEX('Standards for Conversions'!$H$34:$H$73,MATCH(CI$3,'Standards for Conversions'!$A$34:$A$73,0))))</f>
        <v/>
      </c>
      <c r="CL49" s="10" t="s">
        <v>40</v>
      </c>
      <c r="CM49" s="9"/>
      <c r="CN49" s="9"/>
      <c r="CO49" s="31" t="str">
        <f>IF(CN49/(INDEX('Standards for Conversions'!$H$34:$H$73,MATCH(CM$3,'Standards for Conversions'!$A$34:$A$73,0)))=0,"",CN49/(INDEX('Standards for Conversions'!$H$34:$H$73,MATCH(CM$3,'Standards for Conversions'!$A$34:$A$73,0))))</f>
        <v/>
      </c>
      <c r="CP49" s="10" t="s">
        <v>40</v>
      </c>
      <c r="CQ49" s="7"/>
      <c r="CR49" s="7"/>
      <c r="CS49" s="31" t="str">
        <f>IF(CR49/(INDEX('Standards for Conversions'!$H$34:$H$73,MATCH(CQ$3,'Standards for Conversions'!$A$34:$A$73,0)))=0,"",CR49/(INDEX('Standards for Conversions'!$H$34:$H$73,MATCH(CQ$3,'Standards for Conversions'!$A$34:$A$73,0))))</f>
        <v/>
      </c>
      <c r="CT49" s="10" t="s">
        <v>40</v>
      </c>
      <c r="CU49" s="7"/>
      <c r="CV49" s="7"/>
      <c r="CW49" s="31" t="str">
        <f>IF(CV49/(INDEX('Standards for Conversions'!$H$34:$H$73,MATCH(CU$3,'Standards for Conversions'!$A$34:$A$73,0)))=0,"",CV49/(INDEX('Standards for Conversions'!$H$34:$H$73,MATCH(CU$3,'Standards for Conversions'!$A$34:$A$73,0))))</f>
        <v/>
      </c>
      <c r="CX49" s="10" t="s">
        <v>40</v>
      </c>
      <c r="CY49" s="7"/>
      <c r="CZ49" s="7"/>
      <c r="DA49" s="31" t="str">
        <f>IF(CZ49/(INDEX('Standards for Conversions'!$H$34:$H$73,MATCH(CY$3,'Standards for Conversions'!$A$34:$A$73,0)))=0,"",CZ49/(INDEX('Standards for Conversions'!$H$34:$H$73,MATCH(CY$3,'Standards for Conversions'!$A$34:$A$73,0))))</f>
        <v/>
      </c>
      <c r="DB49" s="10" t="s">
        <v>40</v>
      </c>
      <c r="DC49" s="9"/>
      <c r="DD49" s="9"/>
      <c r="DE49" s="31" t="str">
        <f>IF(DD49/(INDEX('Standards for Conversions'!$H$34:$H$73,MATCH(DC$3,'Standards for Conversions'!$A$34:$A$73,0)))=0,"",DD49/(INDEX('Standards for Conversions'!$H$34:$H$73,MATCH(DC$3,'Standards for Conversions'!$A$34:$A$73,0))))</f>
        <v/>
      </c>
      <c r="DF49" s="10" t="s">
        <v>40</v>
      </c>
      <c r="DG49" s="7"/>
      <c r="DH49" s="7"/>
      <c r="DI49" s="31" t="str">
        <f>IF(DH49/(INDEX('Standards for Conversions'!$H$34:$H$73,MATCH(DG$3,'Standards for Conversions'!$A$34:$A$73,0)))=0,"",DH49/(INDEX('Standards for Conversions'!$H$34:$H$73,MATCH(DG$3,'Standards for Conversions'!$A$34:$A$73,0))))</f>
        <v/>
      </c>
      <c r="DJ49" s="10" t="s">
        <v>40</v>
      </c>
      <c r="DK49" s="7"/>
      <c r="DL49" s="7"/>
      <c r="DM49" s="31" t="str">
        <f>IF(DL49/(INDEX('Standards for Conversions'!$H$34:$H$73,MATCH(DK$3,'Standards for Conversions'!$A$34:$A$73,0)))=0,"",DL49/(INDEX('Standards for Conversions'!$H$34:$H$73,MATCH(DK$3,'Standards for Conversions'!$A$34:$A$73,0))))</f>
        <v/>
      </c>
      <c r="DN49" s="10" t="s">
        <v>40</v>
      </c>
      <c r="DO49" s="7"/>
      <c r="DP49" s="7"/>
      <c r="DQ49" s="31" t="str">
        <f>IF(DP49/(INDEX('Standards for Conversions'!$H$34:$H$73,MATCH(DO$3,'Standards for Conversions'!$A$34:$A$73,0)))=0,"",DP49/(INDEX('Standards for Conversions'!$H$34:$H$73,MATCH(DO$3,'Standards for Conversions'!$A$34:$A$73,0))))</f>
        <v/>
      </c>
      <c r="DR49" s="10" t="s">
        <v>40</v>
      </c>
      <c r="DS49" s="9"/>
      <c r="DT49" s="9"/>
      <c r="DU49" s="31" t="str">
        <f>IF(DT49/(INDEX('Standards for Conversions'!$H$34:$H$73,MATCH(DS$3,'Standards for Conversions'!$A$34:$A$73,0)))=0,"",DT49/(INDEX('Standards for Conversions'!$H$34:$H$73,MATCH(DS$3,'Standards for Conversions'!$A$34:$A$73,0))))</f>
        <v/>
      </c>
      <c r="DV49" s="10" t="s">
        <v>40</v>
      </c>
      <c r="DW49" s="7"/>
      <c r="DX49" s="7"/>
      <c r="DY49" s="31" t="str">
        <f>IF(DX49/(INDEX('Standards for Conversions'!$H$34:$H$73,MATCH(DW$3,'Standards for Conversions'!$A$34:$A$73,0)))=0,"",DX49/(INDEX('Standards for Conversions'!$H$34:$H$73,MATCH(DW$3,'Standards for Conversions'!$A$34:$A$73,0))))</f>
        <v/>
      </c>
      <c r="DZ49" s="10" t="s">
        <v>40</v>
      </c>
      <c r="EA49" s="7"/>
      <c r="EB49" s="7"/>
      <c r="EC49" s="31" t="str">
        <f>IF(EB49/(INDEX('Standards for Conversions'!$H$34:$H$73,MATCH(EA$3,'Standards for Conversions'!$A$34:$A$73,0)))=0,"",EB49/(INDEX('Standards for Conversions'!$H$34:$H$73,MATCH(EA$3,'Standards for Conversions'!$A$34:$A$73,0))))</f>
        <v/>
      </c>
      <c r="ED49" s="10" t="s">
        <v>40</v>
      </c>
      <c r="EE49" s="7"/>
      <c r="EF49" s="7"/>
      <c r="EG49" s="31" t="str">
        <f>IF(EF49/(INDEX('Standards for Conversions'!$H$34:$H$73,MATCH(EE$3,'Standards for Conversions'!$A$34:$A$73,0)))=0,"",EF49/(INDEX('Standards for Conversions'!$H$34:$H$73,MATCH(EE$3,'Standards for Conversions'!$A$34:$A$73,0))))</f>
        <v/>
      </c>
      <c r="EH49" s="10" t="s">
        <v>40</v>
      </c>
      <c r="EI49" s="9"/>
      <c r="EJ49" s="9"/>
      <c r="EK49" s="31" t="str">
        <f>IF(EJ49/(INDEX('Standards for Conversions'!$H$34:$H$73,MATCH(EI$3,'Standards for Conversions'!$A$34:$A$73,0)))=0,"",EJ49/(INDEX('Standards for Conversions'!$H$34:$H$73,MATCH(EI$3,'Standards for Conversions'!$A$34:$A$73,0))))</f>
        <v/>
      </c>
      <c r="EL49" s="10" t="s">
        <v>40</v>
      </c>
      <c r="EM49" s="7"/>
      <c r="EN49" s="7"/>
      <c r="EO49" s="31" t="str">
        <f>IF(EN49/(INDEX('Standards for Conversions'!$H$34:$H$73,MATCH(EM$3,'Standards for Conversions'!$A$34:$A$73,0)))=0,"",EN49/(INDEX('Standards for Conversions'!$H$34:$H$73,MATCH(EM$3,'Standards for Conversions'!$A$34:$A$73,0))))</f>
        <v/>
      </c>
      <c r="EP49" s="10" t="s">
        <v>40</v>
      </c>
      <c r="EQ49" s="7"/>
      <c r="ER49" s="7"/>
      <c r="ES49" s="31" t="str">
        <f>IF(ER49/(INDEX('Standards for Conversions'!$H$34:$H$73,MATCH(EQ$3,'Standards for Conversions'!$A$34:$A$73,0)))=0,"",ER49/(INDEX('Standards for Conversions'!$H$34:$H$73,MATCH(EQ$3,'Standards for Conversions'!$A$34:$A$73,0))))</f>
        <v/>
      </c>
      <c r="ET49" s="10" t="s">
        <v>40</v>
      </c>
      <c r="EU49" s="7"/>
      <c r="EV49" s="7"/>
      <c r="EW49" s="31" t="str">
        <f>IF(EV49/(INDEX('Standards for Conversions'!$H$34:$H$73,MATCH(EU$3,'Standards for Conversions'!$A$34:$A$73,0)))=0,"",EV49/(INDEX('Standards for Conversions'!$H$34:$H$73,MATCH(EU$3,'Standards for Conversions'!$A$34:$A$73,0))))</f>
        <v/>
      </c>
      <c r="EX49" s="10" t="s">
        <v>40</v>
      </c>
      <c r="EY49" s="9"/>
      <c r="EZ49" s="9"/>
      <c r="FA49" s="31" t="str">
        <f>IF(EZ49/(INDEX('Standards for Conversions'!$H$34:$H$73,MATCH(EY$3,'Standards for Conversions'!$A$34:$A$73,0)))=0,"",EZ49/(INDEX('Standards for Conversions'!$H$34:$H$73,MATCH(EY$3,'Standards for Conversions'!$A$34:$A$73,0))))</f>
        <v/>
      </c>
      <c r="FB49" s="10" t="s">
        <v>40</v>
      </c>
      <c r="FC49" s="7"/>
      <c r="FD49" s="7"/>
      <c r="FE49" s="31" t="str">
        <f>IF(FD49/(INDEX('Standards for Conversions'!$H$34:$H$73,MATCH(FC$3,'Standards for Conversions'!$A$34:$A$73,0)))=0,"",FD49/(INDEX('Standards for Conversions'!$H$34:$H$73,MATCH(FC$3,'Standards for Conversions'!$A$34:$A$73,0))))</f>
        <v/>
      </c>
      <c r="FF49" s="10" t="s">
        <v>40</v>
      </c>
      <c r="FG49" s="7"/>
      <c r="FH49" s="7"/>
      <c r="FI49" s="31" t="str">
        <f>IF(FH49/(INDEX('Standards for Conversions'!$H$34:$H$73,MATCH(FG$3,'Standards for Conversions'!$A$34:$A$73,0)))=0,"",FH49/(INDEX('Standards for Conversions'!$H$34:$H$73,MATCH(FG$3,'Standards for Conversions'!$A$34:$A$73,0))))</f>
        <v/>
      </c>
      <c r="FJ49" s="10" t="s">
        <v>40</v>
      </c>
      <c r="FK49" s="7"/>
      <c r="FL49" s="7"/>
      <c r="FM49" s="31" t="str">
        <f>IF(FL49/(INDEX('Standards for Conversions'!$H$34:$H$73,MATCH(FK$3,'Standards for Conversions'!$A$34:$A$73,0)))=0,"",FL49/(INDEX('Standards for Conversions'!$H$34:$H$73,MATCH(FK$3,'Standards for Conversions'!$A$34:$A$73,0))))</f>
        <v/>
      </c>
      <c r="FN49" s="10" t="s">
        <v>40</v>
      </c>
      <c r="FO49" s="9"/>
      <c r="FP49" s="9"/>
      <c r="FQ49" s="31" t="str">
        <f>IF(FP49/(INDEX('Standards for Conversions'!$H$34:$H$73,MATCH(FO$3,'Standards for Conversions'!$A$34:$A$73,0)))=0,"",FP49/(INDEX('Standards for Conversions'!$H$34:$H$73,MATCH(FO$3,'Standards for Conversions'!$A$34:$A$73,0))))</f>
        <v/>
      </c>
      <c r="FR49" s="10" t="s">
        <v>40</v>
      </c>
      <c r="FS49" s="7"/>
      <c r="FT49" s="7"/>
      <c r="FU49" s="31" t="str">
        <f>IF(FT49/(INDEX('Standards for Conversions'!$H$34:$H$73,MATCH(FS$3,'Standards for Conversions'!$A$34:$A$73,0)))=0,"",FT49/(INDEX('Standards for Conversions'!$H$34:$H$73,MATCH(FS$3,'Standards for Conversions'!$A$34:$A$73,0))))</f>
        <v/>
      </c>
      <c r="FV49" s="10" t="s">
        <v>40</v>
      </c>
      <c r="FW49" s="7"/>
      <c r="FX49" s="7"/>
      <c r="FY49" s="31" t="str">
        <f>IF(FX49/(INDEX('Standards for Conversions'!$H$34:$H$73,MATCH(FW$3,'Standards for Conversions'!$A$34:$A$73,0)))=0,"",FX49/(INDEX('Standards for Conversions'!$H$34:$H$73,MATCH(FW$3,'Standards for Conversions'!$A$34:$A$73,0))))</f>
        <v/>
      </c>
      <c r="FZ49" s="10" t="s">
        <v>40</v>
      </c>
      <c r="GA49" s="7"/>
      <c r="GB49" s="7"/>
      <c r="GC49" s="31" t="str">
        <f>IF(GB49/(INDEX('Standards for Conversions'!$H$34:$H$73,MATCH(GA$3,'Standards for Conversions'!$A$34:$A$73,0)))=0,"",GB49/(INDEX('Standards for Conversions'!$H$34:$H$73,MATCH(GA$3,'Standards for Conversions'!$A$34:$A$73,0))))</f>
        <v/>
      </c>
      <c r="GD49" s="10" t="s">
        <v>40</v>
      </c>
      <c r="GE49" s="9"/>
      <c r="GF49" s="9"/>
      <c r="GG49" s="31" t="str">
        <f>IF(GF49/(INDEX('Standards for Conversions'!$H$34:$H$73,MATCH(GE$3,'Standards for Conversions'!$A$34:$A$73,0)))=0,"",GF49/(INDEX('Standards for Conversions'!$H$34:$H$73,MATCH(GE$3,'Standards for Conversions'!$A$34:$A$73,0))))</f>
        <v/>
      </c>
      <c r="GH49" s="10" t="s">
        <v>40</v>
      </c>
      <c r="GI49" s="7"/>
      <c r="GJ49" s="7"/>
      <c r="GK49" s="31" t="str">
        <f>IF(GJ49/(INDEX('Standards for Conversions'!$H$34:$H$73,MATCH(GI$3,'Standards for Conversions'!$A$34:$A$73,0)))=0,"",GJ49/(INDEX('Standards for Conversions'!$H$34:$H$73,MATCH(GI$3,'Standards for Conversions'!$A$34:$A$73,0))))</f>
        <v/>
      </c>
      <c r="GL49" s="10" t="s">
        <v>40</v>
      </c>
      <c r="GM49" s="7"/>
      <c r="GN49" s="7"/>
      <c r="GO49" s="31" t="str">
        <f>IF(GN49/(INDEX('Standards for Conversions'!$H$34:$H$73,MATCH(GM$3,'Standards for Conversions'!$A$34:$A$73,0)))=0,"",GN49/(INDEX('Standards for Conversions'!$H$34:$H$73,MATCH(GM$3,'Standards for Conversions'!$A$34:$A$73,0))))</f>
        <v/>
      </c>
      <c r="GP49" s="10" t="s">
        <v>40</v>
      </c>
      <c r="GQ49" s="7"/>
      <c r="GR49" s="7"/>
      <c r="GS49" s="31" t="str">
        <f>IF(GR49/(INDEX('Standards for Conversions'!$H$34:$H$73,MATCH(GQ$3,'Standards for Conversions'!$A$34:$A$73,0)))=0,"",GR49/(INDEX('Standards for Conversions'!$H$34:$H$73,MATCH(GQ$3,'Standards for Conversions'!$A$34:$A$73,0))))</f>
        <v/>
      </c>
      <c r="GT49" s="10" t="s">
        <v>40</v>
      </c>
      <c r="GU49" s="9"/>
      <c r="GV49" s="9"/>
      <c r="GW49" s="31" t="str">
        <f>IF(GV49/(INDEX('Standards for Conversions'!$H$34:$H$73,MATCH(GU$3,'Standards for Conversions'!$A$34:$A$73,0)))=0,"",GV49/(INDEX('Standards for Conversions'!$H$34:$H$73,MATCH(GU$3,'Standards for Conversions'!$A$34:$A$73,0))))</f>
        <v/>
      </c>
      <c r="GX49" s="10" t="s">
        <v>40</v>
      </c>
      <c r="GY49" s="7"/>
      <c r="GZ49" s="7"/>
      <c r="HA49" s="31" t="str">
        <f>IF(GZ49/(INDEX('Standards for Conversions'!$H$34:$H$73,MATCH(GY$3,'Standards for Conversions'!$A$34:$A$73,0)))=0,"",GZ49/(INDEX('Standards for Conversions'!$H$34:$H$73,MATCH(GY$3,'Standards for Conversions'!$A$34:$A$73,0))))</f>
        <v/>
      </c>
      <c r="HB49" s="10" t="s">
        <v>40</v>
      </c>
      <c r="HC49" s="7"/>
      <c r="HD49" s="7"/>
      <c r="HE49" s="31" t="str">
        <f>IF(HD49/(INDEX('Standards for Conversions'!$H$34:$H$73,MATCH(HC$3,'Standards for Conversions'!$A$34:$A$73,0)))=0,"",HD49/(INDEX('Standards for Conversions'!$H$34:$H$73,MATCH(HC$3,'Standards for Conversions'!$A$34:$A$73,0))))</f>
        <v/>
      </c>
      <c r="HF49" s="10" t="s">
        <v>40</v>
      </c>
      <c r="HG49" s="7"/>
      <c r="HH49" s="7"/>
      <c r="HI49" s="31" t="str">
        <f>IF(HH49/(INDEX('Standards for Conversions'!$H$34:$H$73,MATCH(HG$3,'Standards for Conversions'!$A$34:$A$73,0)))=0,"",HH49/(INDEX('Standards for Conversions'!$H$34:$H$73,MATCH(HG$3,'Standards for Conversions'!$A$34:$A$73,0))))</f>
        <v/>
      </c>
      <c r="HJ49" s="10" t="s">
        <v>40</v>
      </c>
      <c r="HK49" s="9"/>
      <c r="HL49" s="9"/>
      <c r="HM49" s="31" t="str">
        <f>IF(HL49/(INDEX('Standards for Conversions'!$H$34:$H$73,MATCH(HK$3,'Standards for Conversions'!$A$34:$A$73,0)))=0,"",HL49/(INDEX('Standards for Conversions'!$H$34:$H$73,MATCH(HK$3,'Standards for Conversions'!$A$34:$A$73,0))))</f>
        <v/>
      </c>
      <c r="HN49" s="10" t="s">
        <v>40</v>
      </c>
      <c r="HO49" s="7"/>
      <c r="HP49" s="7"/>
      <c r="HQ49" s="31" t="str">
        <f>IF(HP49/(INDEX('Standards for Conversions'!$H$34:$H$73,MATCH(HO$3,'Standards for Conversions'!$A$34:$A$73,0)))=0,"",HP49/(INDEX('Standards for Conversions'!$H$34:$H$73,MATCH(HO$3,'Standards for Conversions'!$A$34:$A$73,0))))</f>
        <v/>
      </c>
      <c r="HR49" s="33" t="s">
        <v>40</v>
      </c>
      <c r="HU49" s="31" t="str">
        <f>IF(HT49/(INDEX('Standards for Conversions'!$H$47:$H$73,MATCH(HS$3,'Standards for Conversions'!$A$47:$A$73,0)))=0,"",HT49/(INDEX('Standards for Conversions'!$H$47:$H$73,MATCH(HS$3,'Standards for Conversions'!$A$47:$A$73,0))))</f>
        <v/>
      </c>
      <c r="HV49" s="33" t="s">
        <v>40</v>
      </c>
      <c r="HY49" s="31" t="str">
        <f>IF(HX49/(INDEX('Standards for Conversions'!$H$47:$H$73,MATCH(HW$3,'Standards for Conversions'!$A$47:$A$73,0)))=0,"",HX49/(INDEX('Standards for Conversions'!$H$47:$H$73,MATCH(HW$3,'Standards for Conversions'!$A$47:$A$73,0))))</f>
        <v/>
      </c>
      <c r="HZ49" s="33"/>
      <c r="IA49" s="33"/>
      <c r="IB49" s="31" t="str">
        <f>IF(IA49/(INDEX('Standards for Conversions'!$H$47:$H$73,MATCH(HZ$3,'Standards for Conversions'!$A$47:$A$73,0)))=0,"",IA49/(INDEX('Standards for Conversions'!$H$47:$H$73,MATCH(HZ$3,'Standards for Conversions'!$A$47:$A$73,0))))</f>
        <v/>
      </c>
      <c r="IC49" s="33" t="s">
        <v>40</v>
      </c>
      <c r="ID49" s="29">
        <v>125</v>
      </c>
      <c r="IE49" s="29">
        <v>2200</v>
      </c>
      <c r="IF49" s="31">
        <f>IF(IE49/(INDEX('Standards for Conversions'!$H$47:$H$73,MATCH(ID$3,'Standards for Conversions'!$A$47:$A$73,0)))=0,"",IE49/(INDEX('Standards for Conversions'!$H$47:$H$73,MATCH(ID$3,'Standards for Conversions'!$A$47:$A$73,0))))</f>
        <v>319.53990686828308</v>
      </c>
      <c r="IG49" s="33" t="s">
        <v>40</v>
      </c>
      <c r="IJ49" s="31" t="str">
        <f>IF(II49/(INDEX('Standards for Conversions'!$H$47:$H$73,MATCH(IH$3,'Standards for Conversions'!$A$47:$A$73,0)))=0,"",II49/(INDEX('Standards for Conversions'!$H$47:$H$73,MATCH(IH$3,'Standards for Conversions'!$A$47:$A$73,0))))</f>
        <v/>
      </c>
      <c r="IK49" s="33" t="s">
        <v>40</v>
      </c>
      <c r="IN49" s="31" t="str">
        <f>IF(IM49/(INDEX('Standards for Conversions'!$H$47:$H$73,MATCH(IL$3,'Standards for Conversions'!$A$47:$A$73,0)))=0,"",IM49/(INDEX('Standards for Conversions'!$H$47:$H$73,MATCH(IL$3,'Standards for Conversions'!$A$47:$A$73,0))))</f>
        <v/>
      </c>
      <c r="IO49" s="33" t="s">
        <v>40</v>
      </c>
      <c r="IR49" s="31" t="str">
        <f>IF(IQ49/(INDEX('Standards for Conversions'!$H$47:$H$73,MATCH(IP$3,'Standards for Conversions'!$A$47:$A$73,0)))=0,"",IQ49/(INDEX('Standards for Conversions'!$H$47:$H$73,MATCH(IP$3,'Standards for Conversions'!$A$47:$A$73,0))))</f>
        <v/>
      </c>
      <c r="IS49" s="33" t="s">
        <v>40</v>
      </c>
      <c r="IT49" s="29">
        <v>102</v>
      </c>
      <c r="IU49" s="29">
        <v>953</v>
      </c>
      <c r="IV49" s="31">
        <f>IF(IU49/(INDEX('Standards for Conversions'!$H$47:$H$73,MATCH(IT$3,'Standards for Conversions'!$A$47:$A$73,0)))=0,"",IU49/(INDEX('Standards for Conversions'!$H$47:$H$73,MATCH(IT$3,'Standards for Conversions'!$A$47:$A$73,0))))</f>
        <v>137.81354746929404</v>
      </c>
      <c r="IW49" s="33" t="s">
        <v>40</v>
      </c>
      <c r="IZ49" s="31" t="str">
        <f>IF(IY49/(INDEX('Standards for Conversions'!$H$47:$H$73,MATCH(IX$3,'Standards for Conversions'!$A$47:$A$73,0)))=0,"",IY49/(INDEX('Standards for Conversions'!$H$47:$H$73,MATCH(IX$3,'Standards for Conversions'!$A$47:$A$73,0))))</f>
        <v/>
      </c>
      <c r="JA49" s="33" t="s">
        <v>40</v>
      </c>
      <c r="JD49" s="31" t="str">
        <f>IF(JC49/(INDEX('Standards for Conversions'!$H$47:$H$73,MATCH(JB$3,'Standards for Conversions'!$A$47:$A$73,0)))=0,"",JC49/(INDEX('Standards for Conversions'!$H$47:$H$73,MATCH(JB$3,'Standards for Conversions'!$A$47:$A$73,0))))</f>
        <v/>
      </c>
      <c r="JE49" s="33" t="s">
        <v>40</v>
      </c>
      <c r="JH49" s="31" t="str">
        <f>IF(JG49/(INDEX('Standards for Conversions'!$H$47:$H$73,MATCH(JF$3,'Standards for Conversions'!$A$47:$A$73,0)))=0,"",JG49/(INDEX('Standards for Conversions'!$H$47:$H$73,MATCH(JF$3,'Standards for Conversions'!$A$47:$A$73,0))))</f>
        <v/>
      </c>
      <c r="JI49" s="48" t="s">
        <v>40</v>
      </c>
      <c r="JJ49" s="29">
        <v>130</v>
      </c>
      <c r="JK49" s="29">
        <v>2000</v>
      </c>
      <c r="JL49" s="31">
        <f>IF(JK49/(INDEX('Standards for Conversions'!$H$47:$H$73,MATCH(JJ$3,'Standards for Conversions'!$A$47:$A$73,0)))=0,"",JK49/(INDEX('Standards for Conversions'!$H$47:$H$73,MATCH(JJ$3,'Standards for Conversions'!$A$47:$A$73,0))))</f>
        <v>323.52039338373737</v>
      </c>
      <c r="JM49" s="33" t="s">
        <v>40</v>
      </c>
      <c r="JP49" s="31" t="str">
        <f>IF(JO49/(INDEX('Standards for Conversions'!$H$47:$H$73,MATCH(JN$3,'Standards for Conversions'!$A$47:$A$73,0)))=0,"",JO49/(INDEX('Standards for Conversions'!$H$47:$H$73,MATCH(JN$3,'Standards for Conversions'!$A$47:$A$73,0))))</f>
        <v/>
      </c>
      <c r="JQ49" s="33" t="s">
        <v>40</v>
      </c>
      <c r="JT49" s="31" t="str">
        <f>IF(JS49/(INDEX('Standards for Conversions'!$H$47:$H$73,MATCH(JR$3,'Standards for Conversions'!$A$47:$A$73,0)))=0,"",JS49/(INDEX('Standards for Conversions'!$H$47:$H$73,MATCH(JR$3,'Standards for Conversions'!$A$47:$A$73,0))))</f>
        <v/>
      </c>
      <c r="JU49" s="33" t="s">
        <v>40</v>
      </c>
      <c r="JX49" s="31" t="str">
        <f>IF(JW49/(INDEX('Standards for Conversions'!$H$47:$H$73,MATCH(JV$3,'Standards for Conversions'!$A$47:$A$73,0)))=0,"",JW49/(INDEX('Standards for Conversions'!$H$47:$H$73,MATCH(JV$3,'Standards for Conversions'!$A$47:$A$73,0))))</f>
        <v/>
      </c>
      <c r="JY49" s="33" t="s">
        <v>40</v>
      </c>
      <c r="JZ49" s="29">
        <v>140</v>
      </c>
      <c r="KA49" s="29">
        <v>2200</v>
      </c>
      <c r="KB49" s="31">
        <f>IF(KA49/(INDEX('Standards for Conversions'!$H$47:$H$73,MATCH(JZ$3,'Standards for Conversions'!$A$47:$A$73,0)))=0,"",KA49/(INDEX('Standards for Conversions'!$H$47:$H$73,MATCH(JZ$3,'Standards for Conversions'!$A$47:$A$73,0))))</f>
        <v>335.84296334115464</v>
      </c>
      <c r="KC49" s="33" t="s">
        <v>40</v>
      </c>
      <c r="KF49" s="31" t="str">
        <f>IF(KE49/(INDEX('Standards for Conversions'!$H$47:$H$73,MATCH(KD$3,'Standards for Conversions'!$A$47:$A$73,0)))=0,"",KE49/(INDEX('Standards for Conversions'!$H$47:$H$73,MATCH(KD$3,'Standards for Conversions'!$A$47:$A$73,0))))</f>
        <v/>
      </c>
      <c r="KG49" s="33" t="s">
        <v>40</v>
      </c>
      <c r="KJ49" s="31" t="str">
        <f>IF(KI49/(INDEX('Standards for Conversions'!$H$47:$H$73,MATCH(KH$3,'Standards for Conversions'!$A$47:$A$73,0)))=0,"",KI49/(INDEX('Standards for Conversions'!$H$47:$H$73,MATCH(KH$3,'Standards for Conversions'!$A$47:$A$73,0))))</f>
        <v/>
      </c>
      <c r="KK49" s="33" t="s">
        <v>40</v>
      </c>
      <c r="KN49" s="31" t="str">
        <f>IF(KM49/(INDEX('Standards for Conversions'!$H$47:$H$73,MATCH(KL$3,'Standards for Conversions'!$A$47:$A$73,0)))=0,"",KM49/(INDEX('Standards for Conversions'!$H$47:$H$73,MATCH(KL$3,'Standards for Conversions'!$A$47:$A$73,0))))</f>
        <v/>
      </c>
      <c r="KO49" s="33" t="s">
        <v>40</v>
      </c>
      <c r="KP49" s="29">
        <v>145</v>
      </c>
      <c r="KQ49" s="29">
        <v>3000</v>
      </c>
      <c r="KR49" s="31">
        <f>IF(KQ49/(INDEX('Standards for Conversions'!$H$47:$H$73,MATCH(KP$3,'Standards for Conversions'!$A$47:$A$73,0)))=0,"",KQ49/(INDEX('Standards for Conversions'!$H$47:$H$73,MATCH(KP$3,'Standards for Conversions'!$A$47:$A$73,0))))</f>
        <v>403.97703571738941</v>
      </c>
      <c r="KS49" s="33" t="s">
        <v>40</v>
      </c>
      <c r="KV49" s="31" t="str">
        <f>IF(KU49/(INDEX('Standards for Conversions'!$H$47:$H$73,MATCH(KT$3,'Standards for Conversions'!$A$47:$A$73,0)))=0,"",KU49/(INDEX('Standards for Conversions'!$H$47:$H$73,MATCH(KT$3,'Standards for Conversions'!$A$47:$A$73,0))))</f>
        <v/>
      </c>
      <c r="KW49" s="33" t="s">
        <v>40</v>
      </c>
      <c r="KZ49" s="31" t="str">
        <f>IF(KY49/(INDEX('Standards for Conversions'!$H$47:$H$73,MATCH(KX$3,'Standards for Conversions'!$A$47:$A$73,0)))=0,"",KY49/(INDEX('Standards for Conversions'!$H$47:$H$73,MATCH(KX$3,'Standards for Conversions'!$A$47:$A$73,0))))</f>
        <v/>
      </c>
      <c r="LA49" s="33" t="s">
        <v>40</v>
      </c>
      <c r="LD49" s="31" t="str">
        <f>IF(LC49/(INDEX('Standards for Conversions'!$H$47:$H$73,MATCH(LB$3,'Standards for Conversions'!$A$47:$A$73,0)))=0,"",LC49/(INDEX('Standards for Conversions'!$H$47:$H$73,MATCH(LB$3,'Standards for Conversions'!$A$47:$A$73,0))))</f>
        <v/>
      </c>
      <c r="LE49" s="48" t="s">
        <v>40</v>
      </c>
      <c r="LF49" s="29">
        <v>81</v>
      </c>
      <c r="LG49" s="29">
        <v>1700</v>
      </c>
      <c r="LH49" s="31">
        <f>IF(LG49/(INDEX('Standards for Conversions'!$H$47:$H$73,MATCH(LF$3,'Standards for Conversions'!$A$47:$A$73,0)))=0,"",LG49/(INDEX('Standards for Conversions'!$H$47:$H$73,MATCH(LF$3,'Standards for Conversions'!$A$47:$A$73,0))))</f>
        <v>206.7481634367486</v>
      </c>
      <c r="LL49" s="31" t="str">
        <f>IF(LK49/(INDEX('Standards for Conversions'!$H$47:$H$73,MATCH(LJ$3,'Standards for Conversions'!$A$47:$A$73,0)))=0,"",LK49/(INDEX('Standards for Conversions'!$H$47:$H$73,MATCH(LJ$3,'Standards for Conversions'!$A$47:$A$73,0))))</f>
        <v/>
      </c>
      <c r="LO49" s="31" t="str">
        <f>IF(LN49/(INDEX('Standards for Conversions'!$H$47:$H$73,MATCH(LM$3,'Standards for Conversions'!$A$47:$A$73,0)))=0,"",LN49/(INDEX('Standards for Conversions'!$H$47:$H$73,MATCH(LM$3,'Standards for Conversions'!$A$47:$A$73,0))))</f>
        <v/>
      </c>
      <c r="LR49" s="31" t="str">
        <f>IF(LQ49/(INDEX('Standards for Conversions'!$H$47:$H$73,MATCH(LP$3,'Standards for Conversions'!$A$47:$A$73,0)))=0,"",LQ49/(INDEX('Standards for Conversions'!$H$47:$H$73,MATCH(LP$3,'Standards for Conversions'!$A$47:$A$73,0))))</f>
        <v/>
      </c>
      <c r="LV49" s="31" t="str">
        <f>IF(LU49/(INDEX('Standards for Conversions'!$H$47:$H$73,MATCH(LT$3,'Standards for Conversions'!$A$47:$A$73,0)))=0,"",LU49/(INDEX('Standards for Conversions'!$H$47:$H$73,MATCH(LT$3,'Standards for Conversions'!$A$47:$A$73,0))))</f>
        <v/>
      </c>
      <c r="LY49" s="31" t="str">
        <f>IF(LX49/(INDEX('Standards for Conversions'!$H$47:$H$73,MATCH(LW$3,'Standards for Conversions'!$A$47:$A$73,0)))=0,"",LX49/(INDEX('Standards for Conversions'!$H$47:$H$73,MATCH(LW$3,'Standards for Conversions'!$A$47:$A$73,0))))</f>
        <v/>
      </c>
      <c r="MB49" s="31" t="str">
        <f>IF(MA49/(INDEX('Standards for Conversions'!$H$47:$H$73,MATCH(LZ$3,'Standards for Conversions'!$A$47:$A$73,0)))=0,"",MA49/(INDEX('Standards for Conversions'!$H$47:$H$73,MATCH(LZ$3,'Standards for Conversions'!$A$47:$A$73,0))))</f>
        <v/>
      </c>
      <c r="ME49" s="31" t="str">
        <f>IF(MD49/(INDEX('Standards for Conversions'!$H$47:$H$73,MATCH(MC$3,'Standards for Conversions'!$A$47:$A$73,0)))=0,"",MD49/(INDEX('Standards for Conversions'!$H$47:$H$73,MATCH(MC$3,'Standards for Conversions'!$A$47:$A$73,0))))</f>
        <v/>
      </c>
      <c r="MH49" s="31" t="str">
        <f>IF(MG49/(INDEX('Standards for Conversions'!$H$47:$H$73,MATCH(MF$3,'Standards for Conversions'!$A$47:$A$73,0)))=0,"",MG49/(INDEX('Standards for Conversions'!$H$47:$H$73,MATCH(MF$3,'Standards for Conversions'!$A$47:$A$73,0))))</f>
        <v/>
      </c>
      <c r="MK49" s="31" t="str">
        <f>IF(MJ49/(INDEX('Standards for Conversions'!$H$47:$H$73,MATCH(MI$3,'Standards for Conversions'!$A$47:$A$73,0)))=0,"",MJ49/(INDEX('Standards for Conversions'!$H$47:$H$73,MATCH(MI$3,'Standards for Conversions'!$A$47:$A$73,0))))</f>
        <v/>
      </c>
      <c r="MN49" s="31" t="str">
        <f>IF(MM49/(INDEX('Standards for Conversions'!$H$47:$H$73,MATCH(ML$3,'Standards for Conversions'!$A$47:$A$73,0)))=0,"",MM49/(INDEX('Standards for Conversions'!$H$47:$H$73,MATCH(ML$3,'Standards for Conversions'!$A$47:$A$73,0))))</f>
        <v/>
      </c>
      <c r="MR49" s="31" t="str">
        <f>IF(MQ49/(INDEX('Standards for Conversions'!$H$47:$H$73,MATCH(MP$3,'Standards for Conversions'!$A$47:$A$73,0)))=0,"",MQ49/(INDEX('Standards for Conversions'!$H$47:$H$73,MATCH(MP$3,'Standards for Conversions'!$A$47:$A$73,0))))</f>
        <v/>
      </c>
    </row>
    <row r="50" spans="1:373" hidden="1" x14ac:dyDescent="0.3">
      <c r="A50" s="103" t="s">
        <v>230</v>
      </c>
      <c r="B50" s="10" t="s">
        <v>38</v>
      </c>
      <c r="C50" s="7"/>
      <c r="D50" s="7"/>
      <c r="E50" s="31" t="str">
        <f>IF(D50/(INDEX('Standards for Conversions'!$H$34:$H$73,MATCH(C$3,'Standards for Conversions'!$A$34:$A$73,0)))=0,"",D50/(INDEX('Standards for Conversions'!$H$34:$H$73,MATCH(C$3,'Standards for Conversions'!$A$34:$A$73,0))))</f>
        <v/>
      </c>
      <c r="F50" s="10" t="s">
        <v>38</v>
      </c>
      <c r="G50" s="7"/>
      <c r="H50" s="7"/>
      <c r="I50" s="31" t="str">
        <f>IF(H50/(INDEX('Standards for Conversions'!$H$34:$H$73,MATCH(G$3,'Standards for Conversions'!$A$34:$A$73,0)))=0,"",H50/(INDEX('Standards for Conversions'!$H$34:$H$73,MATCH(G$3,'Standards for Conversions'!$A$34:$A$73,0))))</f>
        <v/>
      </c>
      <c r="J50" s="10" t="s">
        <v>38</v>
      </c>
      <c r="K50" s="9"/>
      <c r="L50" s="9"/>
      <c r="M50" s="31" t="str">
        <f>IF(L50/(INDEX('Standards for Conversions'!$H$34:$H$73,MATCH(K$3,'Standards for Conversions'!$A$34:$A$73,0)))=0,"",L50/(INDEX('Standards for Conversions'!$H$34:$H$73,MATCH(K$3,'Standards for Conversions'!$A$34:$A$73,0))))</f>
        <v/>
      </c>
      <c r="N50" s="10" t="s">
        <v>38</v>
      </c>
      <c r="O50" s="7"/>
      <c r="P50" s="7"/>
      <c r="Q50" s="31" t="str">
        <f>IF(P50/(INDEX('Standards for Conversions'!$H$34:$H$73,MATCH(O$3,'Standards for Conversions'!$A$34:$A$73,0)))=0,"",P50/(INDEX('Standards for Conversions'!$H$34:$H$73,MATCH(O$3,'Standards for Conversions'!$A$34:$A$73,0))))</f>
        <v/>
      </c>
      <c r="R50" s="10" t="s">
        <v>38</v>
      </c>
      <c r="S50" s="7"/>
      <c r="T50" s="7"/>
      <c r="U50" s="31" t="str">
        <f>IF(T50/(INDEX('Standards for Conversions'!$H$34:$H$73,MATCH(S$3,'Standards for Conversions'!$A$34:$A$73,0)))=0,"",T50/(INDEX('Standards for Conversions'!$H$34:$H$73,MATCH(S$3,'Standards for Conversions'!$A$34:$A$73,0))))</f>
        <v/>
      </c>
      <c r="V50" s="10" t="s">
        <v>38</v>
      </c>
      <c r="W50" s="7"/>
      <c r="X50" s="7"/>
      <c r="Y50" s="31" t="str">
        <f>IF(X50/(INDEX('Standards for Conversions'!$H$34:$H$73,MATCH(W$3,'Standards for Conversions'!$A$34:$A$73,0)))=0,"",X50/(INDEX('Standards for Conversions'!$H$34:$H$73,MATCH(W$3,'Standards for Conversions'!$A$34:$A$73,0))))</f>
        <v/>
      </c>
      <c r="Z50" s="10" t="s">
        <v>38</v>
      </c>
      <c r="AA50" s="9"/>
      <c r="AB50" s="9"/>
      <c r="AC50" s="31" t="str">
        <f>IF(AB50/(INDEX('Standards for Conversions'!$H$34:$H$73,MATCH(AA$3,'Standards for Conversions'!$A$34:$A$73,0)))=0,"",AB50/(INDEX('Standards for Conversions'!$H$34:$H$73,MATCH(AA$3,'Standards for Conversions'!$A$34:$A$73,0))))</f>
        <v/>
      </c>
      <c r="AD50" s="10" t="s">
        <v>38</v>
      </c>
      <c r="AE50" s="7"/>
      <c r="AF50" s="7"/>
      <c r="AG50" s="31" t="str">
        <f>IF(AF50/(INDEX('Standards for Conversions'!$H$34:$H$73,MATCH(AE$3,'Standards for Conversions'!$A$34:$A$73,0)))=0,"",AF50/(INDEX('Standards for Conversions'!$H$34:$H$73,MATCH(AE$3,'Standards for Conversions'!$A$34:$A$73,0))))</f>
        <v/>
      </c>
      <c r="AH50" s="10" t="s">
        <v>38</v>
      </c>
      <c r="AI50" s="7"/>
      <c r="AJ50" s="7"/>
      <c r="AK50" s="31" t="str">
        <f>IF(AJ50/(INDEX('Standards for Conversions'!$H$34:$H$73,MATCH(AI$3,'Standards for Conversions'!$A$34:$A$73,0)))=0,"",AJ50/(INDEX('Standards for Conversions'!$H$34:$H$73,MATCH(AI$3,'Standards for Conversions'!$A$34:$A$73,0))))</f>
        <v/>
      </c>
      <c r="AL50" s="10" t="s">
        <v>38</v>
      </c>
      <c r="AM50" s="7"/>
      <c r="AN50" s="7"/>
      <c r="AO50" s="31" t="str">
        <f>IF(AN50/(INDEX('Standards for Conversions'!$H$34:$H$73,MATCH(AM$3,'Standards for Conversions'!$A$34:$A$73,0)))=0,"",AN50/(INDEX('Standards for Conversions'!$H$34:$H$73,MATCH(AM$3,'Standards for Conversions'!$A$34:$A$73,0))))</f>
        <v/>
      </c>
      <c r="AP50" s="10" t="s">
        <v>38</v>
      </c>
      <c r="AQ50" s="9"/>
      <c r="AR50" s="9"/>
      <c r="AS50" s="31" t="str">
        <f>IF(AR50/(INDEX('Standards for Conversions'!$H$34:$H$73,MATCH(AQ$3,'Standards for Conversions'!$A$34:$A$73,0)))=0,"",AR50/(INDEX('Standards for Conversions'!$H$34:$H$73,MATCH(AQ$3,'Standards for Conversions'!$A$34:$A$73,0))))</f>
        <v/>
      </c>
      <c r="AT50" s="10" t="s">
        <v>38</v>
      </c>
      <c r="AU50" s="7"/>
      <c r="AV50" s="7"/>
      <c r="AW50" s="31" t="str">
        <f>IF(AV50/(INDEX('Standards for Conversions'!$H$34:$H$73,MATCH(AU$3,'Standards for Conversions'!$A$34:$A$73,0)))=0,"",AV50/(INDEX('Standards for Conversions'!$H$34:$H$73,MATCH(AU$3,'Standards for Conversions'!$A$34:$A$73,0))))</f>
        <v/>
      </c>
      <c r="AX50" s="10" t="s">
        <v>38</v>
      </c>
      <c r="AY50" s="7"/>
      <c r="AZ50" s="7"/>
      <c r="BA50" s="31" t="str">
        <f>IF(AZ50/(INDEX('Standards for Conversions'!$H$34:$H$73,MATCH(AY$3,'Standards for Conversions'!$A$34:$A$73,0)))=0,"",AZ50/(INDEX('Standards for Conversions'!$H$34:$H$73,MATCH(AY$3,'Standards for Conversions'!$A$34:$A$73,0))))</f>
        <v/>
      </c>
      <c r="BB50" s="10" t="s">
        <v>38</v>
      </c>
      <c r="BC50" s="7"/>
      <c r="BD50" s="7"/>
      <c r="BE50" s="31" t="str">
        <f>IF(BD50/(INDEX('Standards for Conversions'!$H$34:$H$73,MATCH(BC$3,'Standards for Conversions'!$A$34:$A$73,0)))=0,"",BD50/(INDEX('Standards for Conversions'!$H$34:$H$73,MATCH(BC$3,'Standards for Conversions'!$A$34:$A$73,0))))</f>
        <v/>
      </c>
      <c r="BF50" s="10" t="s">
        <v>38</v>
      </c>
      <c r="BG50" s="9"/>
      <c r="BH50" s="9"/>
      <c r="BI50" s="31" t="str">
        <f>IF(BH50/(INDEX('Standards for Conversions'!$H$34:$H$73,MATCH(BG$3,'Standards for Conversions'!$A$34:$A$73,0)))=0,"",BH50/(INDEX('Standards for Conversions'!$H$34:$H$73,MATCH(BG$3,'Standards for Conversions'!$A$34:$A$73,0))))</f>
        <v/>
      </c>
      <c r="BJ50" s="10" t="s">
        <v>38</v>
      </c>
      <c r="BK50" s="7"/>
      <c r="BL50" s="7"/>
      <c r="BM50" s="31" t="str">
        <f>IF(BL50/(INDEX('Standards for Conversions'!$H$34:$H$73,MATCH(BK$3,'Standards for Conversions'!$A$34:$A$73,0)))=0,"",BL50/(INDEX('Standards for Conversions'!$H$34:$H$73,MATCH(BK$3,'Standards for Conversions'!$A$34:$A$73,0))))</f>
        <v/>
      </c>
      <c r="BN50" s="10" t="s">
        <v>38</v>
      </c>
      <c r="BO50" s="7"/>
      <c r="BP50" s="7"/>
      <c r="BQ50" s="31" t="str">
        <f>IF(BP50/(INDEX('Standards for Conversions'!$H$34:$H$73,MATCH(BO$3,'Standards for Conversions'!$A$34:$A$73,0)))=0,"",BP50/(INDEX('Standards for Conversions'!$H$34:$H$73,MATCH(BO$3,'Standards for Conversions'!$A$34:$A$73,0))))</f>
        <v/>
      </c>
      <c r="BR50" s="10" t="s">
        <v>38</v>
      </c>
      <c r="BS50" s="7"/>
      <c r="BT50" s="7"/>
      <c r="BU50" s="31" t="str">
        <f>IF(BT50/(INDEX('Standards for Conversions'!$H$34:$H$73,MATCH(BS$3,'Standards for Conversions'!$A$34:$A$73,0)))=0,"",BT50/(INDEX('Standards for Conversions'!$H$34:$H$73,MATCH(BS$3,'Standards for Conversions'!$A$34:$A$73,0))))</f>
        <v/>
      </c>
      <c r="BV50" s="10" t="s">
        <v>38</v>
      </c>
      <c r="BW50" s="9"/>
      <c r="BX50" s="9"/>
      <c r="BY50" s="31" t="str">
        <f>IF(BX50/(INDEX('Standards for Conversions'!$H$34:$H$73,MATCH(BW$3,'Standards for Conversions'!$A$34:$A$73,0)))=0,"",BX50/(INDEX('Standards for Conversions'!$H$34:$H$73,MATCH(BW$3,'Standards for Conversions'!$A$34:$A$73,0))))</f>
        <v/>
      </c>
      <c r="BZ50" s="10" t="s">
        <v>38</v>
      </c>
      <c r="CA50" s="7"/>
      <c r="CB50" s="7"/>
      <c r="CC50" s="31" t="str">
        <f>IF(CB50/(INDEX('Standards for Conversions'!$H$34:$H$73,MATCH(CA$3,'Standards for Conversions'!$A$34:$A$73,0)))=0,"",CB50/(INDEX('Standards for Conversions'!$H$34:$H$73,MATCH(CA$3,'Standards for Conversions'!$A$34:$A$73,0))))</f>
        <v/>
      </c>
      <c r="CD50" s="10" t="s">
        <v>38</v>
      </c>
      <c r="CE50" s="7"/>
      <c r="CF50" s="7"/>
      <c r="CG50" s="31" t="str">
        <f>IF(CF50/(INDEX('Standards for Conversions'!$H$34:$H$73,MATCH(CE$3,'Standards for Conversions'!$A$34:$A$73,0)))=0,"",CF50/(INDEX('Standards for Conversions'!$H$34:$H$73,MATCH(CE$3,'Standards for Conversions'!$A$34:$A$73,0))))</f>
        <v/>
      </c>
      <c r="CH50" s="10" t="s">
        <v>38</v>
      </c>
      <c r="CI50" s="7"/>
      <c r="CJ50" s="7"/>
      <c r="CK50" s="31" t="str">
        <f>IF(CJ50/(INDEX('Standards for Conversions'!$H$34:$H$73,MATCH(CI$3,'Standards for Conversions'!$A$34:$A$73,0)))=0,"",CJ50/(INDEX('Standards for Conversions'!$H$34:$H$73,MATCH(CI$3,'Standards for Conversions'!$A$34:$A$73,0))))</f>
        <v/>
      </c>
      <c r="CL50" s="10" t="s">
        <v>38</v>
      </c>
      <c r="CM50" s="9"/>
      <c r="CN50" s="9"/>
      <c r="CO50" s="31" t="str">
        <f>IF(CN50/(INDEX('Standards for Conversions'!$H$34:$H$73,MATCH(CM$3,'Standards for Conversions'!$A$34:$A$73,0)))=0,"",CN50/(INDEX('Standards for Conversions'!$H$34:$H$73,MATCH(CM$3,'Standards for Conversions'!$A$34:$A$73,0))))</f>
        <v/>
      </c>
      <c r="CP50" s="10" t="s">
        <v>38</v>
      </c>
      <c r="CQ50" s="7"/>
      <c r="CR50" s="7"/>
      <c r="CS50" s="31" t="str">
        <f>IF(CR50/(INDEX('Standards for Conversions'!$H$34:$H$73,MATCH(CQ$3,'Standards for Conversions'!$A$34:$A$73,0)))=0,"",CR50/(INDEX('Standards for Conversions'!$H$34:$H$73,MATCH(CQ$3,'Standards for Conversions'!$A$34:$A$73,0))))</f>
        <v/>
      </c>
      <c r="CT50" s="10" t="s">
        <v>38</v>
      </c>
      <c r="CU50" s="7"/>
      <c r="CV50" s="7"/>
      <c r="CW50" s="31" t="str">
        <f>IF(CV50/(INDEX('Standards for Conversions'!$H$34:$H$73,MATCH(CU$3,'Standards for Conversions'!$A$34:$A$73,0)))=0,"",CV50/(INDEX('Standards for Conversions'!$H$34:$H$73,MATCH(CU$3,'Standards for Conversions'!$A$34:$A$73,0))))</f>
        <v/>
      </c>
      <c r="CX50" s="10" t="s">
        <v>38</v>
      </c>
      <c r="CY50" s="7"/>
      <c r="CZ50" s="7"/>
      <c r="DA50" s="31" t="str">
        <f>IF(CZ50/(INDEX('Standards for Conversions'!$H$34:$H$73,MATCH(CY$3,'Standards for Conversions'!$A$34:$A$73,0)))=0,"",CZ50/(INDEX('Standards for Conversions'!$H$34:$H$73,MATCH(CY$3,'Standards for Conversions'!$A$34:$A$73,0))))</f>
        <v/>
      </c>
      <c r="DB50" s="10" t="s">
        <v>38</v>
      </c>
      <c r="DC50" s="9"/>
      <c r="DD50" s="9"/>
      <c r="DE50" s="31" t="str">
        <f>IF(DD50/(INDEX('Standards for Conversions'!$H$34:$H$73,MATCH(DC$3,'Standards for Conversions'!$A$34:$A$73,0)))=0,"",DD50/(INDEX('Standards for Conversions'!$H$34:$H$73,MATCH(DC$3,'Standards for Conversions'!$A$34:$A$73,0))))</f>
        <v/>
      </c>
      <c r="DF50" s="10" t="s">
        <v>38</v>
      </c>
      <c r="DG50" s="7"/>
      <c r="DH50" s="7"/>
      <c r="DI50" s="31" t="str">
        <f>IF(DH50/(INDEX('Standards for Conversions'!$H$34:$H$73,MATCH(DG$3,'Standards for Conversions'!$A$34:$A$73,0)))=0,"",DH50/(INDEX('Standards for Conversions'!$H$34:$H$73,MATCH(DG$3,'Standards for Conversions'!$A$34:$A$73,0))))</f>
        <v/>
      </c>
      <c r="DJ50" s="10" t="s">
        <v>38</v>
      </c>
      <c r="DK50" s="7"/>
      <c r="DL50" s="7"/>
      <c r="DM50" s="31" t="str">
        <f>IF(DL50/(INDEX('Standards for Conversions'!$H$34:$H$73,MATCH(DK$3,'Standards for Conversions'!$A$34:$A$73,0)))=0,"",DL50/(INDEX('Standards for Conversions'!$H$34:$H$73,MATCH(DK$3,'Standards for Conversions'!$A$34:$A$73,0))))</f>
        <v/>
      </c>
      <c r="DN50" s="10" t="s">
        <v>38</v>
      </c>
      <c r="DO50" s="7"/>
      <c r="DP50" s="7"/>
      <c r="DQ50" s="31" t="str">
        <f>IF(DP50/(INDEX('Standards for Conversions'!$H$34:$H$73,MATCH(DO$3,'Standards for Conversions'!$A$34:$A$73,0)))=0,"",DP50/(INDEX('Standards for Conversions'!$H$34:$H$73,MATCH(DO$3,'Standards for Conversions'!$A$34:$A$73,0))))</f>
        <v/>
      </c>
      <c r="DR50" s="10" t="s">
        <v>38</v>
      </c>
      <c r="DS50" s="9"/>
      <c r="DT50" s="9"/>
      <c r="DU50" s="31" t="str">
        <f>IF(DT50/(INDEX('Standards for Conversions'!$H$34:$H$73,MATCH(DS$3,'Standards for Conversions'!$A$34:$A$73,0)))=0,"",DT50/(INDEX('Standards for Conversions'!$H$34:$H$73,MATCH(DS$3,'Standards for Conversions'!$A$34:$A$73,0))))</f>
        <v/>
      </c>
      <c r="DV50" s="10" t="s">
        <v>38</v>
      </c>
      <c r="DW50" s="7"/>
      <c r="DX50" s="7"/>
      <c r="DY50" s="31" t="str">
        <f>IF(DX50/(INDEX('Standards for Conversions'!$H$34:$H$73,MATCH(DW$3,'Standards for Conversions'!$A$34:$A$73,0)))=0,"",DX50/(INDEX('Standards for Conversions'!$H$34:$H$73,MATCH(DW$3,'Standards for Conversions'!$A$34:$A$73,0))))</f>
        <v/>
      </c>
      <c r="DZ50" s="10" t="s">
        <v>38</v>
      </c>
      <c r="EA50" s="7"/>
      <c r="EB50" s="7"/>
      <c r="EC50" s="31" t="str">
        <f>IF(EB50/(INDEX('Standards for Conversions'!$H$34:$H$73,MATCH(EA$3,'Standards for Conversions'!$A$34:$A$73,0)))=0,"",EB50/(INDEX('Standards for Conversions'!$H$34:$H$73,MATCH(EA$3,'Standards for Conversions'!$A$34:$A$73,0))))</f>
        <v/>
      </c>
      <c r="ED50" s="10" t="s">
        <v>38</v>
      </c>
      <c r="EE50" s="7"/>
      <c r="EF50" s="7"/>
      <c r="EG50" s="31" t="str">
        <f>IF(EF50/(INDEX('Standards for Conversions'!$H$34:$H$73,MATCH(EE$3,'Standards for Conversions'!$A$34:$A$73,0)))=0,"",EF50/(INDEX('Standards for Conversions'!$H$34:$H$73,MATCH(EE$3,'Standards for Conversions'!$A$34:$A$73,0))))</f>
        <v/>
      </c>
      <c r="EH50" s="10" t="s">
        <v>38</v>
      </c>
      <c r="EI50" s="9"/>
      <c r="EJ50" s="9"/>
      <c r="EK50" s="31" t="str">
        <f>IF(EJ50/(INDEX('Standards for Conversions'!$H$34:$H$73,MATCH(EI$3,'Standards for Conversions'!$A$34:$A$73,0)))=0,"",EJ50/(INDEX('Standards for Conversions'!$H$34:$H$73,MATCH(EI$3,'Standards for Conversions'!$A$34:$A$73,0))))</f>
        <v/>
      </c>
      <c r="EL50" s="10" t="s">
        <v>38</v>
      </c>
      <c r="EM50" s="7"/>
      <c r="EN50" s="7"/>
      <c r="EO50" s="31" t="str">
        <f>IF(EN50/(INDEX('Standards for Conversions'!$H$34:$H$73,MATCH(EM$3,'Standards for Conversions'!$A$34:$A$73,0)))=0,"",EN50/(INDEX('Standards for Conversions'!$H$34:$H$73,MATCH(EM$3,'Standards for Conversions'!$A$34:$A$73,0))))</f>
        <v/>
      </c>
      <c r="EP50" s="10" t="s">
        <v>38</v>
      </c>
      <c r="EQ50" s="7"/>
      <c r="ER50" s="7"/>
      <c r="ES50" s="31" t="str">
        <f>IF(ER50/(INDEX('Standards for Conversions'!$H$34:$H$73,MATCH(EQ$3,'Standards for Conversions'!$A$34:$A$73,0)))=0,"",ER50/(INDEX('Standards for Conversions'!$H$34:$H$73,MATCH(EQ$3,'Standards for Conversions'!$A$34:$A$73,0))))</f>
        <v/>
      </c>
      <c r="ET50" s="10" t="s">
        <v>38</v>
      </c>
      <c r="EU50" s="7"/>
      <c r="EV50" s="7"/>
      <c r="EW50" s="31" t="str">
        <f>IF(EV50/(INDEX('Standards for Conversions'!$H$34:$H$73,MATCH(EU$3,'Standards for Conversions'!$A$34:$A$73,0)))=0,"",EV50/(INDEX('Standards for Conversions'!$H$34:$H$73,MATCH(EU$3,'Standards for Conversions'!$A$34:$A$73,0))))</f>
        <v/>
      </c>
      <c r="EX50" s="10" t="s">
        <v>38</v>
      </c>
      <c r="EY50" s="9"/>
      <c r="EZ50" s="9"/>
      <c r="FA50" s="31" t="str">
        <f>IF(EZ50/(INDEX('Standards for Conversions'!$H$34:$H$73,MATCH(EY$3,'Standards for Conversions'!$A$34:$A$73,0)))=0,"",EZ50/(INDEX('Standards for Conversions'!$H$34:$H$73,MATCH(EY$3,'Standards for Conversions'!$A$34:$A$73,0))))</f>
        <v/>
      </c>
      <c r="FB50" s="10" t="s">
        <v>38</v>
      </c>
      <c r="FC50" s="7"/>
      <c r="FD50" s="7"/>
      <c r="FE50" s="31" t="str">
        <f>IF(FD50/(INDEX('Standards for Conversions'!$H$34:$H$73,MATCH(FC$3,'Standards for Conversions'!$A$34:$A$73,0)))=0,"",FD50/(INDEX('Standards for Conversions'!$H$34:$H$73,MATCH(FC$3,'Standards for Conversions'!$A$34:$A$73,0))))</f>
        <v/>
      </c>
      <c r="FF50" s="10" t="s">
        <v>38</v>
      </c>
      <c r="FG50" s="7"/>
      <c r="FH50" s="7"/>
      <c r="FI50" s="31" t="str">
        <f>IF(FH50/(INDEX('Standards for Conversions'!$H$34:$H$73,MATCH(FG$3,'Standards for Conversions'!$A$34:$A$73,0)))=0,"",FH50/(INDEX('Standards for Conversions'!$H$34:$H$73,MATCH(FG$3,'Standards for Conversions'!$A$34:$A$73,0))))</f>
        <v/>
      </c>
      <c r="FJ50" s="10" t="s">
        <v>38</v>
      </c>
      <c r="FK50" s="7"/>
      <c r="FL50" s="7"/>
      <c r="FM50" s="31" t="str">
        <f>IF(FL50/(INDEX('Standards for Conversions'!$H$34:$H$73,MATCH(FK$3,'Standards for Conversions'!$A$34:$A$73,0)))=0,"",FL50/(INDEX('Standards for Conversions'!$H$34:$H$73,MATCH(FK$3,'Standards for Conversions'!$A$34:$A$73,0))))</f>
        <v/>
      </c>
      <c r="FN50" s="10" t="s">
        <v>38</v>
      </c>
      <c r="FO50" s="9"/>
      <c r="FP50" s="9"/>
      <c r="FQ50" s="31" t="str">
        <f>IF(FP50/(INDEX('Standards for Conversions'!$H$34:$H$73,MATCH(FO$3,'Standards for Conversions'!$A$34:$A$73,0)))=0,"",FP50/(INDEX('Standards for Conversions'!$H$34:$H$73,MATCH(FO$3,'Standards for Conversions'!$A$34:$A$73,0))))</f>
        <v/>
      </c>
      <c r="FR50" s="10" t="s">
        <v>38</v>
      </c>
      <c r="FS50" s="7"/>
      <c r="FT50" s="7"/>
      <c r="FU50" s="31" t="str">
        <f>IF(FT50/(INDEX('Standards for Conversions'!$H$34:$H$73,MATCH(FS$3,'Standards for Conversions'!$A$34:$A$73,0)))=0,"",FT50/(INDEX('Standards for Conversions'!$H$34:$H$73,MATCH(FS$3,'Standards for Conversions'!$A$34:$A$73,0))))</f>
        <v/>
      </c>
      <c r="FV50" s="10" t="s">
        <v>38</v>
      </c>
      <c r="FW50" s="7"/>
      <c r="FX50" s="7"/>
      <c r="FY50" s="31" t="str">
        <f>IF(FX50/(INDEX('Standards for Conversions'!$H$34:$H$73,MATCH(FW$3,'Standards for Conversions'!$A$34:$A$73,0)))=0,"",FX50/(INDEX('Standards for Conversions'!$H$34:$H$73,MATCH(FW$3,'Standards for Conversions'!$A$34:$A$73,0))))</f>
        <v/>
      </c>
      <c r="FZ50" s="10" t="s">
        <v>38</v>
      </c>
      <c r="GA50" s="7"/>
      <c r="GB50" s="7"/>
      <c r="GC50" s="31" t="str">
        <f>IF(GB50/(INDEX('Standards for Conversions'!$H$34:$H$73,MATCH(GA$3,'Standards for Conversions'!$A$34:$A$73,0)))=0,"",GB50/(INDEX('Standards for Conversions'!$H$34:$H$73,MATCH(GA$3,'Standards for Conversions'!$A$34:$A$73,0))))</f>
        <v/>
      </c>
      <c r="GD50" s="10" t="s">
        <v>38</v>
      </c>
      <c r="GE50" s="9"/>
      <c r="GF50" s="9"/>
      <c r="GG50" s="31" t="str">
        <f>IF(GF50/(INDEX('Standards for Conversions'!$H$34:$H$73,MATCH(GE$3,'Standards for Conversions'!$A$34:$A$73,0)))=0,"",GF50/(INDEX('Standards for Conversions'!$H$34:$H$73,MATCH(GE$3,'Standards for Conversions'!$A$34:$A$73,0))))</f>
        <v/>
      </c>
      <c r="GH50" s="10" t="s">
        <v>38</v>
      </c>
      <c r="GI50" s="7"/>
      <c r="GJ50" s="7"/>
      <c r="GK50" s="31" t="str">
        <f>IF(GJ50/(INDEX('Standards for Conversions'!$H$34:$H$73,MATCH(GI$3,'Standards for Conversions'!$A$34:$A$73,0)))=0,"",GJ50/(INDEX('Standards for Conversions'!$H$34:$H$73,MATCH(GI$3,'Standards for Conversions'!$A$34:$A$73,0))))</f>
        <v/>
      </c>
      <c r="GL50" s="10" t="s">
        <v>38</v>
      </c>
      <c r="GM50" s="7"/>
      <c r="GN50" s="7"/>
      <c r="GO50" s="31" t="str">
        <f>IF(GN50/(INDEX('Standards for Conversions'!$H$34:$H$73,MATCH(GM$3,'Standards for Conversions'!$A$34:$A$73,0)))=0,"",GN50/(INDEX('Standards for Conversions'!$H$34:$H$73,MATCH(GM$3,'Standards for Conversions'!$A$34:$A$73,0))))</f>
        <v/>
      </c>
      <c r="GP50" s="10" t="s">
        <v>38</v>
      </c>
      <c r="GQ50" s="7"/>
      <c r="GR50" s="7"/>
      <c r="GS50" s="31" t="str">
        <f>IF(GR50/(INDEX('Standards for Conversions'!$H$34:$H$73,MATCH(GQ$3,'Standards for Conversions'!$A$34:$A$73,0)))=0,"",GR50/(INDEX('Standards for Conversions'!$H$34:$H$73,MATCH(GQ$3,'Standards for Conversions'!$A$34:$A$73,0))))</f>
        <v/>
      </c>
      <c r="GT50" s="10" t="s">
        <v>38</v>
      </c>
      <c r="GU50" s="9"/>
      <c r="GV50" s="9"/>
      <c r="GW50" s="31" t="str">
        <f>IF(GV50/(INDEX('Standards for Conversions'!$H$34:$H$73,MATCH(GU$3,'Standards for Conversions'!$A$34:$A$73,0)))=0,"",GV50/(INDEX('Standards for Conversions'!$H$34:$H$73,MATCH(GU$3,'Standards for Conversions'!$A$34:$A$73,0))))</f>
        <v/>
      </c>
      <c r="GX50" s="10" t="s">
        <v>38</v>
      </c>
      <c r="GY50" s="7"/>
      <c r="GZ50" s="7"/>
      <c r="HA50" s="31" t="str">
        <f>IF(GZ50/(INDEX('Standards for Conversions'!$H$34:$H$73,MATCH(GY$3,'Standards for Conversions'!$A$34:$A$73,0)))=0,"",GZ50/(INDEX('Standards for Conversions'!$H$34:$H$73,MATCH(GY$3,'Standards for Conversions'!$A$34:$A$73,0))))</f>
        <v/>
      </c>
      <c r="HB50" s="10" t="s">
        <v>38</v>
      </c>
      <c r="HC50" s="7"/>
      <c r="HD50" s="7"/>
      <c r="HE50" s="31" t="str">
        <f>IF(HD50/(INDEX('Standards for Conversions'!$H$34:$H$73,MATCH(HC$3,'Standards for Conversions'!$A$34:$A$73,0)))=0,"",HD50/(INDEX('Standards for Conversions'!$H$34:$H$73,MATCH(HC$3,'Standards for Conversions'!$A$34:$A$73,0))))</f>
        <v/>
      </c>
      <c r="HF50" s="10" t="s">
        <v>38</v>
      </c>
      <c r="HG50" s="7"/>
      <c r="HH50" s="7"/>
      <c r="HI50" s="31" t="str">
        <f>IF(HH50/(INDEX('Standards for Conversions'!$H$34:$H$73,MATCH(HG$3,'Standards for Conversions'!$A$34:$A$73,0)))=0,"",HH50/(INDEX('Standards for Conversions'!$H$34:$H$73,MATCH(HG$3,'Standards for Conversions'!$A$34:$A$73,0))))</f>
        <v/>
      </c>
      <c r="HJ50" s="10" t="s">
        <v>38</v>
      </c>
      <c r="HK50" s="9"/>
      <c r="HL50" s="9"/>
      <c r="HM50" s="31" t="str">
        <f>IF(HL50/(INDEX('Standards for Conversions'!$H$34:$H$73,MATCH(HK$3,'Standards for Conversions'!$A$34:$A$73,0)))=0,"",HL50/(INDEX('Standards for Conversions'!$H$34:$H$73,MATCH(HK$3,'Standards for Conversions'!$A$34:$A$73,0))))</f>
        <v/>
      </c>
      <c r="HN50" s="10" t="s">
        <v>38</v>
      </c>
      <c r="HO50" s="7"/>
      <c r="HP50" s="7"/>
      <c r="HQ50" s="31" t="str">
        <f>IF(HP50/(INDEX('Standards for Conversions'!$H$34:$H$73,MATCH(HO$3,'Standards for Conversions'!$A$34:$A$73,0)))=0,"",HP50/(INDEX('Standards for Conversions'!$H$34:$H$73,MATCH(HO$3,'Standards for Conversions'!$A$34:$A$73,0))))</f>
        <v/>
      </c>
      <c r="HR50" s="33" t="s">
        <v>38</v>
      </c>
      <c r="HU50" s="31" t="str">
        <f>IF(HT50/(INDEX('Standards for Conversions'!$H$47:$H$73,MATCH(HS$3,'Standards for Conversions'!$A$47:$A$73,0)))=0,"",HT50/(INDEX('Standards for Conversions'!$H$47:$H$73,MATCH(HS$3,'Standards for Conversions'!$A$47:$A$73,0))))</f>
        <v/>
      </c>
      <c r="HV50" s="33" t="s">
        <v>38</v>
      </c>
      <c r="HY50" s="31" t="str">
        <f>IF(HX50/(INDEX('Standards for Conversions'!$H$47:$H$73,MATCH(HW$3,'Standards for Conversions'!$A$47:$A$73,0)))=0,"",HX50/(INDEX('Standards for Conversions'!$H$47:$H$73,MATCH(HW$3,'Standards for Conversions'!$A$47:$A$73,0))))</f>
        <v/>
      </c>
      <c r="HZ50" s="33"/>
      <c r="IA50" s="33"/>
      <c r="IB50" s="31" t="str">
        <f>IF(IA50/(INDEX('Standards for Conversions'!$H$47:$H$73,MATCH(HZ$3,'Standards for Conversions'!$A$47:$A$73,0)))=0,"",IA50/(INDEX('Standards for Conversions'!$H$47:$H$73,MATCH(HZ$3,'Standards for Conversions'!$A$47:$A$73,0))))</f>
        <v/>
      </c>
      <c r="IC50" s="48" t="s">
        <v>38</v>
      </c>
      <c r="ID50" s="29">
        <v>5</v>
      </c>
      <c r="IE50" s="29">
        <v>125</v>
      </c>
      <c r="IF50" s="31">
        <f>IF(IE50/(INDEX('Standards for Conversions'!$H$47:$H$73,MATCH(ID$3,'Standards for Conversions'!$A$47:$A$73,0)))=0,"",IE50/(INDEX('Standards for Conversions'!$H$47:$H$73,MATCH(ID$3,'Standards for Conversions'!$A$47:$A$73,0))))</f>
        <v>18.155676526606996</v>
      </c>
      <c r="IG50" s="33" t="s">
        <v>40</v>
      </c>
      <c r="IJ50" s="31" t="str">
        <f>IF(II50/(INDEX('Standards for Conversions'!$H$47:$H$73,MATCH(IH$3,'Standards for Conversions'!$A$47:$A$73,0)))=0,"",II50/(INDEX('Standards for Conversions'!$H$47:$H$73,MATCH(IH$3,'Standards for Conversions'!$A$47:$A$73,0))))</f>
        <v/>
      </c>
      <c r="IK50" s="33" t="s">
        <v>40</v>
      </c>
      <c r="IN50" s="31" t="str">
        <f>IF(IM50/(INDEX('Standards for Conversions'!$H$47:$H$73,MATCH(IL$3,'Standards for Conversions'!$A$47:$A$73,0)))=0,"",IM50/(INDEX('Standards for Conversions'!$H$47:$H$73,MATCH(IL$3,'Standards for Conversions'!$A$47:$A$73,0))))</f>
        <v/>
      </c>
      <c r="IO50" s="33" t="s">
        <v>40</v>
      </c>
      <c r="IR50" s="31" t="str">
        <f>IF(IQ50/(INDEX('Standards for Conversions'!$H$47:$H$73,MATCH(IP$3,'Standards for Conversions'!$A$47:$A$73,0)))=0,"",IQ50/(INDEX('Standards for Conversions'!$H$47:$H$73,MATCH(IP$3,'Standards for Conversions'!$A$47:$A$73,0))))</f>
        <v/>
      </c>
      <c r="IS50" s="33" t="s">
        <v>40</v>
      </c>
      <c r="IV50" s="31" t="str">
        <f>IF(IU50/(INDEX('Standards for Conversions'!$H$47:$H$73,MATCH(IT$3,'Standards for Conversions'!$A$47:$A$73,0)))=0,"",IU50/(INDEX('Standards for Conversions'!$H$47:$H$73,MATCH(IT$3,'Standards for Conversions'!$A$47:$A$73,0))))</f>
        <v/>
      </c>
      <c r="IW50" s="33" t="s">
        <v>40</v>
      </c>
      <c r="IZ50" s="31" t="str">
        <f>IF(IY50/(INDEX('Standards for Conversions'!$H$47:$H$73,MATCH(IX$3,'Standards for Conversions'!$A$47:$A$73,0)))=0,"",IY50/(INDEX('Standards for Conversions'!$H$47:$H$73,MATCH(IX$3,'Standards for Conversions'!$A$47:$A$73,0))))</f>
        <v/>
      </c>
      <c r="JA50" s="33" t="s">
        <v>40</v>
      </c>
      <c r="JD50" s="31" t="str">
        <f>IF(JC50/(INDEX('Standards for Conversions'!$H$47:$H$73,MATCH(JB$3,'Standards for Conversions'!$A$47:$A$73,0)))=0,"",JC50/(INDEX('Standards for Conversions'!$H$47:$H$73,MATCH(JB$3,'Standards for Conversions'!$A$47:$A$73,0))))</f>
        <v/>
      </c>
      <c r="JE50" s="33" t="s">
        <v>40</v>
      </c>
      <c r="JH50" s="31" t="str">
        <f>IF(JG50/(INDEX('Standards for Conversions'!$H$47:$H$73,MATCH(JF$3,'Standards for Conversions'!$A$47:$A$73,0)))=0,"",JG50/(INDEX('Standards for Conversions'!$H$47:$H$73,MATCH(JF$3,'Standards for Conversions'!$A$47:$A$73,0))))</f>
        <v/>
      </c>
      <c r="JI50" s="48" t="s">
        <v>40</v>
      </c>
      <c r="JJ50" s="29">
        <v>2</v>
      </c>
      <c r="JK50" s="29">
        <v>15</v>
      </c>
      <c r="JL50" s="31">
        <f>IF(JK50/(INDEX('Standards for Conversions'!$H$47:$H$73,MATCH(JJ$3,'Standards for Conversions'!$A$47:$A$73,0)))=0,"",JK50/(INDEX('Standards for Conversions'!$H$47:$H$73,MATCH(JJ$3,'Standards for Conversions'!$A$47:$A$73,0))))</f>
        <v>2.4264029503780304</v>
      </c>
      <c r="JM50" s="33" t="s">
        <v>40</v>
      </c>
      <c r="JP50" s="31" t="str">
        <f>IF(JO50/(INDEX('Standards for Conversions'!$H$47:$H$73,MATCH(JN$3,'Standards for Conversions'!$A$47:$A$73,0)))=0,"",JO50/(INDEX('Standards for Conversions'!$H$47:$H$73,MATCH(JN$3,'Standards for Conversions'!$A$47:$A$73,0))))</f>
        <v/>
      </c>
      <c r="JQ50" s="33" t="s">
        <v>40</v>
      </c>
      <c r="JT50" s="31" t="str">
        <f>IF(JS50/(INDEX('Standards for Conversions'!$H$47:$H$73,MATCH(JR$3,'Standards for Conversions'!$A$47:$A$73,0)))=0,"",JS50/(INDEX('Standards for Conversions'!$H$47:$H$73,MATCH(JR$3,'Standards for Conversions'!$A$47:$A$73,0))))</f>
        <v/>
      </c>
      <c r="JU50" s="33" t="s">
        <v>40</v>
      </c>
      <c r="JX50" s="31" t="str">
        <f>IF(JW50/(INDEX('Standards for Conversions'!$H$47:$H$73,MATCH(JV$3,'Standards for Conversions'!$A$47:$A$73,0)))=0,"",JW50/(INDEX('Standards for Conversions'!$H$47:$H$73,MATCH(JV$3,'Standards for Conversions'!$A$47:$A$73,0))))</f>
        <v/>
      </c>
      <c r="JY50" s="33" t="s">
        <v>40</v>
      </c>
      <c r="JZ50" s="29">
        <v>4</v>
      </c>
      <c r="KA50" s="29">
        <v>100</v>
      </c>
      <c r="KB50" s="31">
        <f>IF(KA50/(INDEX('Standards for Conversions'!$H$47:$H$73,MATCH(JZ$3,'Standards for Conversions'!$A$47:$A$73,0)))=0,"",KA50/(INDEX('Standards for Conversions'!$H$47:$H$73,MATCH(JZ$3,'Standards for Conversions'!$A$47:$A$73,0))))</f>
        <v>15.265589242779756</v>
      </c>
      <c r="KC50" s="33" t="s">
        <v>40</v>
      </c>
      <c r="KF50" s="31" t="str">
        <f>IF(KE50/(INDEX('Standards for Conversions'!$H$47:$H$73,MATCH(KD$3,'Standards for Conversions'!$A$47:$A$73,0)))=0,"",KE50/(INDEX('Standards for Conversions'!$H$47:$H$73,MATCH(KD$3,'Standards for Conversions'!$A$47:$A$73,0))))</f>
        <v/>
      </c>
      <c r="KG50" s="33" t="s">
        <v>40</v>
      </c>
      <c r="KJ50" s="31" t="str">
        <f>IF(KI50/(INDEX('Standards for Conversions'!$H$47:$H$73,MATCH(KH$3,'Standards for Conversions'!$A$47:$A$73,0)))=0,"",KI50/(INDEX('Standards for Conversions'!$H$47:$H$73,MATCH(KH$3,'Standards for Conversions'!$A$47:$A$73,0))))</f>
        <v/>
      </c>
      <c r="KK50" s="33" t="s">
        <v>40</v>
      </c>
      <c r="KN50" s="31" t="str">
        <f>IF(KM50/(INDEX('Standards for Conversions'!$H$47:$H$73,MATCH(KL$3,'Standards for Conversions'!$A$47:$A$73,0)))=0,"",KM50/(INDEX('Standards for Conversions'!$H$47:$H$73,MATCH(KL$3,'Standards for Conversions'!$A$47:$A$73,0))))</f>
        <v/>
      </c>
      <c r="KO50" s="33" t="s">
        <v>40</v>
      </c>
      <c r="KP50" s="29">
        <v>5</v>
      </c>
      <c r="KQ50" s="29">
        <v>100</v>
      </c>
      <c r="KR50" s="31">
        <f>IF(KQ50/(INDEX('Standards for Conversions'!$H$47:$H$73,MATCH(KP$3,'Standards for Conversions'!$A$47:$A$73,0)))=0,"",KQ50/(INDEX('Standards for Conversions'!$H$47:$H$73,MATCH(KP$3,'Standards for Conversions'!$A$47:$A$73,0))))</f>
        <v>13.465901190579647</v>
      </c>
      <c r="KS50" s="33" t="s">
        <v>40</v>
      </c>
      <c r="KV50" s="31" t="str">
        <f>IF(KU50/(INDEX('Standards for Conversions'!$H$47:$H$73,MATCH(KT$3,'Standards for Conversions'!$A$47:$A$73,0)))=0,"",KU50/(INDEX('Standards for Conversions'!$H$47:$H$73,MATCH(KT$3,'Standards for Conversions'!$A$47:$A$73,0))))</f>
        <v/>
      </c>
      <c r="KW50" s="33" t="s">
        <v>40</v>
      </c>
      <c r="KZ50" s="31" t="str">
        <f>IF(KY50/(INDEX('Standards for Conversions'!$H$47:$H$73,MATCH(KX$3,'Standards for Conversions'!$A$47:$A$73,0)))=0,"",KY50/(INDEX('Standards for Conversions'!$H$47:$H$73,MATCH(KX$3,'Standards for Conversions'!$A$47:$A$73,0))))</f>
        <v/>
      </c>
      <c r="LA50" s="33" t="s">
        <v>40</v>
      </c>
      <c r="LD50" s="31" t="str">
        <f>IF(LC50/(INDEX('Standards for Conversions'!$H$47:$H$73,MATCH(LB$3,'Standards for Conversions'!$A$47:$A$73,0)))=0,"",LC50/(INDEX('Standards for Conversions'!$H$47:$H$73,MATCH(LB$3,'Standards for Conversions'!$A$47:$A$73,0))))</f>
        <v/>
      </c>
      <c r="LE50" s="48" t="s">
        <v>38</v>
      </c>
      <c r="LF50" s="29">
        <v>4</v>
      </c>
      <c r="LG50" s="29">
        <v>80</v>
      </c>
      <c r="LH50" s="31">
        <f>IF(LG50/(INDEX('Standards for Conversions'!$H$47:$H$73,MATCH(LF$3,'Standards for Conversions'!$A$47:$A$73,0)))=0,"",LG50/(INDEX('Standards for Conversions'!$H$47:$H$73,MATCH(LF$3,'Standards for Conversions'!$A$47:$A$73,0))))</f>
        <v>9.7293253381999349</v>
      </c>
      <c r="LL50" s="31" t="str">
        <f>IF(LK50/(INDEX('Standards for Conversions'!$H$47:$H$73,MATCH(LJ$3,'Standards for Conversions'!$A$47:$A$73,0)))=0,"",LK50/(INDEX('Standards for Conversions'!$H$47:$H$73,MATCH(LJ$3,'Standards for Conversions'!$A$47:$A$73,0))))</f>
        <v/>
      </c>
      <c r="LO50" s="31" t="str">
        <f>IF(LN50/(INDEX('Standards for Conversions'!$H$47:$H$73,MATCH(LM$3,'Standards for Conversions'!$A$47:$A$73,0)))=0,"",LN50/(INDEX('Standards for Conversions'!$H$47:$H$73,MATCH(LM$3,'Standards for Conversions'!$A$47:$A$73,0))))</f>
        <v/>
      </c>
      <c r="LR50" s="31" t="str">
        <f>IF(LQ50/(INDEX('Standards for Conversions'!$H$47:$H$73,MATCH(LP$3,'Standards for Conversions'!$A$47:$A$73,0)))=0,"",LQ50/(INDEX('Standards for Conversions'!$H$47:$H$73,MATCH(LP$3,'Standards for Conversions'!$A$47:$A$73,0))))</f>
        <v/>
      </c>
      <c r="LV50" s="31" t="str">
        <f>IF(LU50/(INDEX('Standards for Conversions'!$H$47:$H$73,MATCH(LT$3,'Standards for Conversions'!$A$47:$A$73,0)))=0,"",LU50/(INDEX('Standards for Conversions'!$H$47:$H$73,MATCH(LT$3,'Standards for Conversions'!$A$47:$A$73,0))))</f>
        <v/>
      </c>
      <c r="LY50" s="31" t="str">
        <f>IF(LX50/(INDEX('Standards for Conversions'!$H$47:$H$73,MATCH(LW$3,'Standards for Conversions'!$A$47:$A$73,0)))=0,"",LX50/(INDEX('Standards for Conversions'!$H$47:$H$73,MATCH(LW$3,'Standards for Conversions'!$A$47:$A$73,0))))</f>
        <v/>
      </c>
      <c r="MB50" s="31" t="str">
        <f>IF(MA50/(INDEX('Standards for Conversions'!$H$47:$H$73,MATCH(LZ$3,'Standards for Conversions'!$A$47:$A$73,0)))=0,"",MA50/(INDEX('Standards for Conversions'!$H$47:$H$73,MATCH(LZ$3,'Standards for Conversions'!$A$47:$A$73,0))))</f>
        <v/>
      </c>
      <c r="ME50" s="31" t="str">
        <f>IF(MD50/(INDEX('Standards for Conversions'!$H$47:$H$73,MATCH(MC$3,'Standards for Conversions'!$A$47:$A$73,0)))=0,"",MD50/(INDEX('Standards for Conversions'!$H$47:$H$73,MATCH(MC$3,'Standards for Conversions'!$A$47:$A$73,0))))</f>
        <v/>
      </c>
      <c r="MH50" s="31" t="str">
        <f>IF(MG50/(INDEX('Standards for Conversions'!$H$47:$H$73,MATCH(MF$3,'Standards for Conversions'!$A$47:$A$73,0)))=0,"",MG50/(INDEX('Standards for Conversions'!$H$47:$H$73,MATCH(MF$3,'Standards for Conversions'!$A$47:$A$73,0))))</f>
        <v/>
      </c>
      <c r="MK50" s="31" t="str">
        <f>IF(MJ50/(INDEX('Standards for Conversions'!$H$47:$H$73,MATCH(MI$3,'Standards for Conversions'!$A$47:$A$73,0)))=0,"",MJ50/(INDEX('Standards for Conversions'!$H$47:$H$73,MATCH(MI$3,'Standards for Conversions'!$A$47:$A$73,0))))</f>
        <v/>
      </c>
      <c r="MN50" s="31" t="str">
        <f>IF(MM50/(INDEX('Standards for Conversions'!$H$47:$H$73,MATCH(ML$3,'Standards for Conversions'!$A$47:$A$73,0)))=0,"",MM50/(INDEX('Standards for Conversions'!$H$47:$H$73,MATCH(ML$3,'Standards for Conversions'!$A$47:$A$73,0))))</f>
        <v/>
      </c>
      <c r="MR50" s="31" t="str">
        <f>IF(MQ50/(INDEX('Standards for Conversions'!$H$47:$H$73,MATCH(MP$3,'Standards for Conversions'!$A$47:$A$73,0)))=0,"",MQ50/(INDEX('Standards for Conversions'!$H$47:$H$73,MATCH(MP$3,'Standards for Conversions'!$A$47:$A$73,0))))</f>
        <v/>
      </c>
    </row>
    <row r="51" spans="1:373" hidden="1" x14ac:dyDescent="0.3">
      <c r="A51" s="103" t="s">
        <v>232</v>
      </c>
      <c r="C51" s="7"/>
      <c r="D51" s="7"/>
      <c r="E51" s="31" t="str">
        <f>IF(D51/(INDEX('Standards for Conversions'!$H$34:$H$73,MATCH(C$3,'Standards for Conversions'!$A$34:$A$73,0)))=0,"",D51/(INDEX('Standards for Conversions'!$H$34:$H$73,MATCH(C$3,'Standards for Conversions'!$A$34:$A$73,0))))</f>
        <v/>
      </c>
      <c r="G51" s="7"/>
      <c r="H51" s="7"/>
      <c r="I51" s="31" t="str">
        <f>IF(H51/(INDEX('Standards for Conversions'!$H$34:$H$73,MATCH(G$3,'Standards for Conversions'!$A$34:$A$73,0)))=0,"",H51/(INDEX('Standards for Conversions'!$H$34:$H$73,MATCH(G$3,'Standards for Conversions'!$A$34:$A$73,0))))</f>
        <v/>
      </c>
      <c r="K51" s="9"/>
      <c r="L51" s="9"/>
      <c r="M51" s="31" t="str">
        <f>IF(L51/(INDEX('Standards for Conversions'!$H$34:$H$73,MATCH(K$3,'Standards for Conversions'!$A$34:$A$73,0)))=0,"",L51/(INDEX('Standards for Conversions'!$H$34:$H$73,MATCH(K$3,'Standards for Conversions'!$A$34:$A$73,0))))</f>
        <v/>
      </c>
      <c r="O51" s="7"/>
      <c r="P51" s="7"/>
      <c r="Q51" s="31" t="str">
        <f>IF(P51/(INDEX('Standards for Conversions'!$H$34:$H$73,MATCH(O$3,'Standards for Conversions'!$A$34:$A$73,0)))=0,"",P51/(INDEX('Standards for Conversions'!$H$34:$H$73,MATCH(O$3,'Standards for Conversions'!$A$34:$A$73,0))))</f>
        <v/>
      </c>
      <c r="S51" s="7"/>
      <c r="T51" s="7"/>
      <c r="U51" s="31" t="str">
        <f>IF(T51/(INDEX('Standards for Conversions'!$H$34:$H$73,MATCH(S$3,'Standards for Conversions'!$A$34:$A$73,0)))=0,"",T51/(INDEX('Standards for Conversions'!$H$34:$H$73,MATCH(S$3,'Standards for Conversions'!$A$34:$A$73,0))))</f>
        <v/>
      </c>
      <c r="W51" s="7"/>
      <c r="X51" s="7"/>
      <c r="Y51" s="31" t="str">
        <f>IF(X51/(INDEX('Standards for Conversions'!$H$34:$H$73,MATCH(W$3,'Standards for Conversions'!$A$34:$A$73,0)))=0,"",X51/(INDEX('Standards for Conversions'!$H$34:$H$73,MATCH(W$3,'Standards for Conversions'!$A$34:$A$73,0))))</f>
        <v/>
      </c>
      <c r="AA51" s="9"/>
      <c r="AB51" s="9"/>
      <c r="AC51" s="31" t="str">
        <f>IF(AB51/(INDEX('Standards for Conversions'!$H$34:$H$73,MATCH(AA$3,'Standards for Conversions'!$A$34:$A$73,0)))=0,"",AB51/(INDEX('Standards for Conversions'!$H$34:$H$73,MATCH(AA$3,'Standards for Conversions'!$A$34:$A$73,0))))</f>
        <v/>
      </c>
      <c r="AE51" s="7"/>
      <c r="AF51" s="7"/>
      <c r="AG51" s="31" t="str">
        <f>IF(AF51/(INDEX('Standards for Conversions'!$H$34:$H$73,MATCH(AE$3,'Standards for Conversions'!$A$34:$A$73,0)))=0,"",AF51/(INDEX('Standards for Conversions'!$H$34:$H$73,MATCH(AE$3,'Standards for Conversions'!$A$34:$A$73,0))))</f>
        <v/>
      </c>
      <c r="AI51" s="7"/>
      <c r="AJ51" s="7"/>
      <c r="AK51" s="31" t="str">
        <f>IF(AJ51/(INDEX('Standards for Conversions'!$H$34:$H$73,MATCH(AI$3,'Standards for Conversions'!$A$34:$A$73,0)))=0,"",AJ51/(INDEX('Standards for Conversions'!$H$34:$H$73,MATCH(AI$3,'Standards for Conversions'!$A$34:$A$73,0))))</f>
        <v/>
      </c>
      <c r="AM51" s="7"/>
      <c r="AN51" s="7"/>
      <c r="AO51" s="31" t="str">
        <f>IF(AN51/(INDEX('Standards for Conversions'!$H$34:$H$73,MATCH(AM$3,'Standards for Conversions'!$A$34:$A$73,0)))=0,"",AN51/(INDEX('Standards for Conversions'!$H$34:$H$73,MATCH(AM$3,'Standards for Conversions'!$A$34:$A$73,0))))</f>
        <v/>
      </c>
      <c r="AQ51" s="9"/>
      <c r="AR51" s="9"/>
      <c r="AS51" s="31" t="str">
        <f>IF(AR51/(INDEX('Standards for Conversions'!$H$34:$H$73,MATCH(AQ$3,'Standards for Conversions'!$A$34:$A$73,0)))=0,"",AR51/(INDEX('Standards for Conversions'!$H$34:$H$73,MATCH(AQ$3,'Standards for Conversions'!$A$34:$A$73,0))))</f>
        <v/>
      </c>
      <c r="AU51" s="7"/>
      <c r="AV51" s="7"/>
      <c r="AW51" s="31" t="str">
        <f>IF(AV51/(INDEX('Standards for Conversions'!$H$34:$H$73,MATCH(AU$3,'Standards for Conversions'!$A$34:$A$73,0)))=0,"",AV51/(INDEX('Standards for Conversions'!$H$34:$H$73,MATCH(AU$3,'Standards for Conversions'!$A$34:$A$73,0))))</f>
        <v/>
      </c>
      <c r="AY51" s="7"/>
      <c r="AZ51" s="7"/>
      <c r="BA51" s="31" t="str">
        <f>IF(AZ51/(INDEX('Standards for Conversions'!$H$34:$H$73,MATCH(AY$3,'Standards for Conversions'!$A$34:$A$73,0)))=0,"",AZ51/(INDEX('Standards for Conversions'!$H$34:$H$73,MATCH(AY$3,'Standards for Conversions'!$A$34:$A$73,0))))</f>
        <v/>
      </c>
      <c r="BC51" s="7"/>
      <c r="BD51" s="7"/>
      <c r="BE51" s="31" t="str">
        <f>IF(BD51/(INDEX('Standards for Conversions'!$H$34:$H$73,MATCH(BC$3,'Standards for Conversions'!$A$34:$A$73,0)))=0,"",BD51/(INDEX('Standards for Conversions'!$H$34:$H$73,MATCH(BC$3,'Standards for Conversions'!$A$34:$A$73,0))))</f>
        <v/>
      </c>
      <c r="BG51" s="9"/>
      <c r="BH51" s="9"/>
      <c r="BI51" s="31" t="str">
        <f>IF(BH51/(INDEX('Standards for Conversions'!$H$34:$H$73,MATCH(BG$3,'Standards for Conversions'!$A$34:$A$73,0)))=0,"",BH51/(INDEX('Standards for Conversions'!$H$34:$H$73,MATCH(BG$3,'Standards for Conversions'!$A$34:$A$73,0))))</f>
        <v/>
      </c>
      <c r="BK51" s="7"/>
      <c r="BL51" s="7"/>
      <c r="BM51" s="31" t="str">
        <f>IF(BL51/(INDEX('Standards for Conversions'!$H$34:$H$73,MATCH(BK$3,'Standards for Conversions'!$A$34:$A$73,0)))=0,"",BL51/(INDEX('Standards for Conversions'!$H$34:$H$73,MATCH(BK$3,'Standards for Conversions'!$A$34:$A$73,0))))</f>
        <v/>
      </c>
      <c r="BO51" s="7"/>
      <c r="BP51" s="7"/>
      <c r="BQ51" s="31" t="str">
        <f>IF(BP51/(INDEX('Standards for Conversions'!$H$34:$H$73,MATCH(BO$3,'Standards for Conversions'!$A$34:$A$73,0)))=0,"",BP51/(INDEX('Standards for Conversions'!$H$34:$H$73,MATCH(BO$3,'Standards for Conversions'!$A$34:$A$73,0))))</f>
        <v/>
      </c>
      <c r="BS51" s="7"/>
      <c r="BT51" s="7"/>
      <c r="BU51" s="31" t="str">
        <f>IF(BT51/(INDEX('Standards for Conversions'!$H$34:$H$73,MATCH(BS$3,'Standards for Conversions'!$A$34:$A$73,0)))=0,"",BT51/(INDEX('Standards for Conversions'!$H$34:$H$73,MATCH(BS$3,'Standards for Conversions'!$A$34:$A$73,0))))</f>
        <v/>
      </c>
      <c r="BW51" s="9"/>
      <c r="BX51" s="9"/>
      <c r="BY51" s="31" t="str">
        <f>IF(BX51/(INDEX('Standards for Conversions'!$H$34:$H$73,MATCH(BW$3,'Standards for Conversions'!$A$34:$A$73,0)))=0,"",BX51/(INDEX('Standards for Conversions'!$H$34:$H$73,MATCH(BW$3,'Standards for Conversions'!$A$34:$A$73,0))))</f>
        <v/>
      </c>
      <c r="CA51" s="7"/>
      <c r="CB51" s="7"/>
      <c r="CC51" s="31" t="str">
        <f>IF(CB51/(INDEX('Standards for Conversions'!$H$34:$H$73,MATCH(CA$3,'Standards for Conversions'!$A$34:$A$73,0)))=0,"",CB51/(INDEX('Standards for Conversions'!$H$34:$H$73,MATCH(CA$3,'Standards for Conversions'!$A$34:$A$73,0))))</f>
        <v/>
      </c>
      <c r="CE51" s="7"/>
      <c r="CF51" s="7"/>
      <c r="CG51" s="31" t="str">
        <f>IF(CF51/(INDEX('Standards for Conversions'!$H$34:$H$73,MATCH(CE$3,'Standards for Conversions'!$A$34:$A$73,0)))=0,"",CF51/(INDEX('Standards for Conversions'!$H$34:$H$73,MATCH(CE$3,'Standards for Conversions'!$A$34:$A$73,0))))</f>
        <v/>
      </c>
      <c r="CI51" s="7"/>
      <c r="CJ51" s="7"/>
      <c r="CK51" s="31" t="str">
        <f>IF(CJ51/(INDEX('Standards for Conversions'!$H$34:$H$73,MATCH(CI$3,'Standards for Conversions'!$A$34:$A$73,0)))=0,"",CJ51/(INDEX('Standards for Conversions'!$H$34:$H$73,MATCH(CI$3,'Standards for Conversions'!$A$34:$A$73,0))))</f>
        <v/>
      </c>
      <c r="CM51" s="9"/>
      <c r="CN51" s="9"/>
      <c r="CO51" s="31" t="str">
        <f>IF(CN51/(INDEX('Standards for Conversions'!$H$34:$H$73,MATCH(CM$3,'Standards for Conversions'!$A$34:$A$73,0)))=0,"",CN51/(INDEX('Standards for Conversions'!$H$34:$H$73,MATCH(CM$3,'Standards for Conversions'!$A$34:$A$73,0))))</f>
        <v/>
      </c>
      <c r="CQ51" s="7"/>
      <c r="CR51" s="7"/>
      <c r="CS51" s="31" t="str">
        <f>IF(CR51/(INDEX('Standards for Conversions'!$H$34:$H$73,MATCH(CQ$3,'Standards for Conversions'!$A$34:$A$73,0)))=0,"",CR51/(INDEX('Standards for Conversions'!$H$34:$H$73,MATCH(CQ$3,'Standards for Conversions'!$A$34:$A$73,0))))</f>
        <v/>
      </c>
      <c r="CU51" s="7"/>
      <c r="CV51" s="7"/>
      <c r="CW51" s="31" t="str">
        <f>IF(CV51/(INDEX('Standards for Conversions'!$H$34:$H$73,MATCH(CU$3,'Standards for Conversions'!$A$34:$A$73,0)))=0,"",CV51/(INDEX('Standards for Conversions'!$H$34:$H$73,MATCH(CU$3,'Standards for Conversions'!$A$34:$A$73,0))))</f>
        <v/>
      </c>
      <c r="CY51" s="7"/>
      <c r="CZ51" s="7"/>
      <c r="DA51" s="31" t="str">
        <f>IF(CZ51/(INDEX('Standards for Conversions'!$H$34:$H$73,MATCH(CY$3,'Standards for Conversions'!$A$34:$A$73,0)))=0,"",CZ51/(INDEX('Standards for Conversions'!$H$34:$H$73,MATCH(CY$3,'Standards for Conversions'!$A$34:$A$73,0))))</f>
        <v/>
      </c>
      <c r="DC51" s="9"/>
      <c r="DD51" s="9"/>
      <c r="DE51" s="31" t="str">
        <f>IF(DD51/(INDEX('Standards for Conversions'!$H$34:$H$73,MATCH(DC$3,'Standards for Conversions'!$A$34:$A$73,0)))=0,"",DD51/(INDEX('Standards for Conversions'!$H$34:$H$73,MATCH(DC$3,'Standards for Conversions'!$A$34:$A$73,0))))</f>
        <v/>
      </c>
      <c r="DG51" s="7"/>
      <c r="DH51" s="7"/>
      <c r="DI51" s="31" t="str">
        <f>IF(DH51/(INDEX('Standards for Conversions'!$H$34:$H$73,MATCH(DG$3,'Standards for Conversions'!$A$34:$A$73,0)))=0,"",DH51/(INDEX('Standards for Conversions'!$H$34:$H$73,MATCH(DG$3,'Standards for Conversions'!$A$34:$A$73,0))))</f>
        <v/>
      </c>
      <c r="DK51" s="7"/>
      <c r="DL51" s="7"/>
      <c r="DM51" s="31" t="str">
        <f>IF(DL51/(INDEX('Standards for Conversions'!$H$34:$H$73,MATCH(DK$3,'Standards for Conversions'!$A$34:$A$73,0)))=0,"",DL51/(INDEX('Standards for Conversions'!$H$34:$H$73,MATCH(DK$3,'Standards for Conversions'!$A$34:$A$73,0))))</f>
        <v/>
      </c>
      <c r="DO51" s="7"/>
      <c r="DP51" s="7"/>
      <c r="DQ51" s="31" t="str">
        <f>IF(DP51/(INDEX('Standards for Conversions'!$H$34:$H$73,MATCH(DO$3,'Standards for Conversions'!$A$34:$A$73,0)))=0,"",DP51/(INDEX('Standards for Conversions'!$H$34:$H$73,MATCH(DO$3,'Standards for Conversions'!$A$34:$A$73,0))))</f>
        <v/>
      </c>
      <c r="DS51" s="9"/>
      <c r="DT51" s="9"/>
      <c r="DU51" s="31" t="str">
        <f>IF(DT51/(INDEX('Standards for Conversions'!$H$34:$H$73,MATCH(DS$3,'Standards for Conversions'!$A$34:$A$73,0)))=0,"",DT51/(INDEX('Standards for Conversions'!$H$34:$H$73,MATCH(DS$3,'Standards for Conversions'!$A$34:$A$73,0))))</f>
        <v/>
      </c>
      <c r="DW51" s="7"/>
      <c r="DX51" s="7"/>
      <c r="DY51" s="31" t="str">
        <f>IF(DX51/(INDEX('Standards for Conversions'!$H$34:$H$73,MATCH(DW$3,'Standards for Conversions'!$A$34:$A$73,0)))=0,"",DX51/(INDEX('Standards for Conversions'!$H$34:$H$73,MATCH(DW$3,'Standards for Conversions'!$A$34:$A$73,0))))</f>
        <v/>
      </c>
      <c r="EA51" s="7"/>
      <c r="EB51" s="7"/>
      <c r="EC51" s="31" t="str">
        <f>IF(EB51/(INDEX('Standards for Conversions'!$H$34:$H$73,MATCH(EA$3,'Standards for Conversions'!$A$34:$A$73,0)))=0,"",EB51/(INDEX('Standards for Conversions'!$H$34:$H$73,MATCH(EA$3,'Standards for Conversions'!$A$34:$A$73,0))))</f>
        <v/>
      </c>
      <c r="EE51" s="7"/>
      <c r="EF51" s="7"/>
      <c r="EG51" s="31" t="str">
        <f>IF(EF51/(INDEX('Standards for Conversions'!$H$34:$H$73,MATCH(EE$3,'Standards for Conversions'!$A$34:$A$73,0)))=0,"",EF51/(INDEX('Standards for Conversions'!$H$34:$H$73,MATCH(EE$3,'Standards for Conversions'!$A$34:$A$73,0))))</f>
        <v/>
      </c>
      <c r="EI51" s="9"/>
      <c r="EJ51" s="9"/>
      <c r="EK51" s="31" t="str">
        <f>IF(EJ51/(INDEX('Standards for Conversions'!$H$34:$H$73,MATCH(EI$3,'Standards for Conversions'!$A$34:$A$73,0)))=0,"",EJ51/(INDEX('Standards for Conversions'!$H$34:$H$73,MATCH(EI$3,'Standards for Conversions'!$A$34:$A$73,0))))</f>
        <v/>
      </c>
      <c r="EM51" s="7"/>
      <c r="EN51" s="7"/>
      <c r="EO51" s="31" t="str">
        <f>IF(EN51/(INDEX('Standards for Conversions'!$H$34:$H$73,MATCH(EM$3,'Standards for Conversions'!$A$34:$A$73,0)))=0,"",EN51/(INDEX('Standards for Conversions'!$H$34:$H$73,MATCH(EM$3,'Standards for Conversions'!$A$34:$A$73,0))))</f>
        <v/>
      </c>
      <c r="EQ51" s="7"/>
      <c r="ER51" s="7"/>
      <c r="ES51" s="31" t="str">
        <f>IF(ER51/(INDEX('Standards for Conversions'!$H$34:$H$73,MATCH(EQ$3,'Standards for Conversions'!$A$34:$A$73,0)))=0,"",ER51/(INDEX('Standards for Conversions'!$H$34:$H$73,MATCH(EQ$3,'Standards for Conversions'!$A$34:$A$73,0))))</f>
        <v/>
      </c>
      <c r="EU51" s="7"/>
      <c r="EV51" s="7"/>
      <c r="EW51" s="31" t="str">
        <f>IF(EV51/(INDEX('Standards for Conversions'!$H$34:$H$73,MATCH(EU$3,'Standards for Conversions'!$A$34:$A$73,0)))=0,"",EV51/(INDEX('Standards for Conversions'!$H$34:$H$73,MATCH(EU$3,'Standards for Conversions'!$A$34:$A$73,0))))</f>
        <v/>
      </c>
      <c r="EY51" s="9"/>
      <c r="EZ51" s="9"/>
      <c r="FA51" s="31" t="str">
        <f>IF(EZ51/(INDEX('Standards for Conversions'!$H$34:$H$73,MATCH(EY$3,'Standards for Conversions'!$A$34:$A$73,0)))=0,"",EZ51/(INDEX('Standards for Conversions'!$H$34:$H$73,MATCH(EY$3,'Standards for Conversions'!$A$34:$A$73,0))))</f>
        <v/>
      </c>
      <c r="FC51" s="7"/>
      <c r="FD51" s="7"/>
      <c r="FE51" s="31" t="str">
        <f>IF(FD51/(INDEX('Standards for Conversions'!$H$34:$H$73,MATCH(FC$3,'Standards for Conversions'!$A$34:$A$73,0)))=0,"",FD51/(INDEX('Standards for Conversions'!$H$34:$H$73,MATCH(FC$3,'Standards for Conversions'!$A$34:$A$73,0))))</f>
        <v/>
      </c>
      <c r="FG51" s="7"/>
      <c r="FH51" s="7"/>
      <c r="FI51" s="31" t="str">
        <f>IF(FH51/(INDEX('Standards for Conversions'!$H$34:$H$73,MATCH(FG$3,'Standards for Conversions'!$A$34:$A$73,0)))=0,"",FH51/(INDEX('Standards for Conversions'!$H$34:$H$73,MATCH(FG$3,'Standards for Conversions'!$A$34:$A$73,0))))</f>
        <v/>
      </c>
      <c r="FK51" s="7"/>
      <c r="FL51" s="7"/>
      <c r="FM51" s="31" t="str">
        <f>IF(FL51/(INDEX('Standards for Conversions'!$H$34:$H$73,MATCH(FK$3,'Standards for Conversions'!$A$34:$A$73,0)))=0,"",FL51/(INDEX('Standards for Conversions'!$H$34:$H$73,MATCH(FK$3,'Standards for Conversions'!$A$34:$A$73,0))))</f>
        <v/>
      </c>
      <c r="FO51" s="9"/>
      <c r="FP51" s="9"/>
      <c r="FQ51" s="31" t="str">
        <f>IF(FP51/(INDEX('Standards for Conversions'!$H$34:$H$73,MATCH(FO$3,'Standards for Conversions'!$A$34:$A$73,0)))=0,"",FP51/(INDEX('Standards for Conversions'!$H$34:$H$73,MATCH(FO$3,'Standards for Conversions'!$A$34:$A$73,0))))</f>
        <v/>
      </c>
      <c r="FS51" s="7"/>
      <c r="FT51" s="7"/>
      <c r="FU51" s="31" t="str">
        <f>IF(FT51/(INDEX('Standards for Conversions'!$H$34:$H$73,MATCH(FS$3,'Standards for Conversions'!$A$34:$A$73,0)))=0,"",FT51/(INDEX('Standards for Conversions'!$H$34:$H$73,MATCH(FS$3,'Standards for Conversions'!$A$34:$A$73,0))))</f>
        <v/>
      </c>
      <c r="FW51" s="7"/>
      <c r="FX51" s="7"/>
      <c r="FY51" s="31" t="str">
        <f>IF(FX51/(INDEX('Standards for Conversions'!$H$34:$H$73,MATCH(FW$3,'Standards for Conversions'!$A$34:$A$73,0)))=0,"",FX51/(INDEX('Standards for Conversions'!$H$34:$H$73,MATCH(FW$3,'Standards for Conversions'!$A$34:$A$73,0))))</f>
        <v/>
      </c>
      <c r="GA51" s="7"/>
      <c r="GB51" s="7"/>
      <c r="GC51" s="31" t="str">
        <f>IF(GB51/(INDEX('Standards for Conversions'!$H$34:$H$73,MATCH(GA$3,'Standards for Conversions'!$A$34:$A$73,0)))=0,"",GB51/(INDEX('Standards for Conversions'!$H$34:$H$73,MATCH(GA$3,'Standards for Conversions'!$A$34:$A$73,0))))</f>
        <v/>
      </c>
      <c r="GE51" s="9"/>
      <c r="GF51" s="9"/>
      <c r="GG51" s="31" t="str">
        <f>IF(GF51/(INDEX('Standards for Conversions'!$H$34:$H$73,MATCH(GE$3,'Standards for Conversions'!$A$34:$A$73,0)))=0,"",GF51/(INDEX('Standards for Conversions'!$H$34:$H$73,MATCH(GE$3,'Standards for Conversions'!$A$34:$A$73,0))))</f>
        <v/>
      </c>
      <c r="GI51" s="7"/>
      <c r="GJ51" s="7"/>
      <c r="GK51" s="31" t="str">
        <f>IF(GJ51/(INDEX('Standards for Conversions'!$H$34:$H$73,MATCH(GI$3,'Standards for Conversions'!$A$34:$A$73,0)))=0,"",GJ51/(INDEX('Standards for Conversions'!$H$34:$H$73,MATCH(GI$3,'Standards for Conversions'!$A$34:$A$73,0))))</f>
        <v/>
      </c>
      <c r="GM51" s="7"/>
      <c r="GN51" s="7"/>
      <c r="GO51" s="31" t="str">
        <f>IF(GN51/(INDEX('Standards for Conversions'!$H$34:$H$73,MATCH(GM$3,'Standards for Conversions'!$A$34:$A$73,0)))=0,"",GN51/(INDEX('Standards for Conversions'!$H$34:$H$73,MATCH(GM$3,'Standards for Conversions'!$A$34:$A$73,0))))</f>
        <v/>
      </c>
      <c r="GQ51" s="7"/>
      <c r="GR51" s="7"/>
      <c r="GS51" s="31" t="str">
        <f>IF(GR51/(INDEX('Standards for Conversions'!$H$34:$H$73,MATCH(GQ$3,'Standards for Conversions'!$A$34:$A$73,0)))=0,"",GR51/(INDEX('Standards for Conversions'!$H$34:$H$73,MATCH(GQ$3,'Standards for Conversions'!$A$34:$A$73,0))))</f>
        <v/>
      </c>
      <c r="GU51" s="9"/>
      <c r="GV51" s="9"/>
      <c r="GW51" s="31" t="str">
        <f>IF(GV51/(INDEX('Standards for Conversions'!$H$34:$H$73,MATCH(GU$3,'Standards for Conversions'!$A$34:$A$73,0)))=0,"",GV51/(INDEX('Standards for Conversions'!$H$34:$H$73,MATCH(GU$3,'Standards for Conversions'!$A$34:$A$73,0))))</f>
        <v/>
      </c>
      <c r="GY51" s="7"/>
      <c r="GZ51" s="7"/>
      <c r="HA51" s="31" t="str">
        <f>IF(GZ51/(INDEX('Standards for Conversions'!$H$34:$H$73,MATCH(GY$3,'Standards for Conversions'!$A$34:$A$73,0)))=0,"",GZ51/(INDEX('Standards for Conversions'!$H$34:$H$73,MATCH(GY$3,'Standards for Conversions'!$A$34:$A$73,0))))</f>
        <v/>
      </c>
      <c r="HC51" s="7"/>
      <c r="HD51" s="7"/>
      <c r="HE51" s="31" t="str">
        <f>IF(HD51/(INDEX('Standards for Conversions'!$H$34:$H$73,MATCH(HC$3,'Standards for Conversions'!$A$34:$A$73,0)))=0,"",HD51/(INDEX('Standards for Conversions'!$H$34:$H$73,MATCH(HC$3,'Standards for Conversions'!$A$34:$A$73,0))))</f>
        <v/>
      </c>
      <c r="HG51" s="7"/>
      <c r="HH51" s="7"/>
      <c r="HI51" s="31" t="str">
        <f>IF(HH51/(INDEX('Standards for Conversions'!$H$34:$H$73,MATCH(HG$3,'Standards for Conversions'!$A$34:$A$73,0)))=0,"",HH51/(INDEX('Standards for Conversions'!$H$34:$H$73,MATCH(HG$3,'Standards for Conversions'!$A$34:$A$73,0))))</f>
        <v/>
      </c>
      <c r="HK51" s="9"/>
      <c r="HL51" s="9"/>
      <c r="HM51" s="31" t="str">
        <f>IF(HL51/(INDEX('Standards for Conversions'!$H$34:$H$73,MATCH(HK$3,'Standards for Conversions'!$A$34:$A$73,0)))=0,"",HL51/(INDEX('Standards for Conversions'!$H$34:$H$73,MATCH(HK$3,'Standards for Conversions'!$A$34:$A$73,0))))</f>
        <v/>
      </c>
      <c r="HO51" s="7"/>
      <c r="HP51" s="7"/>
      <c r="HQ51" s="31" t="str">
        <f>IF(HP51/(INDEX('Standards for Conversions'!$H$34:$H$73,MATCH(HO$3,'Standards for Conversions'!$A$34:$A$73,0)))=0,"",HP51/(INDEX('Standards for Conversions'!$H$34:$H$73,MATCH(HO$3,'Standards for Conversions'!$A$34:$A$73,0))))</f>
        <v/>
      </c>
      <c r="HU51" s="31" t="str">
        <f>IF(HT51/(INDEX('Standards for Conversions'!$H$47:$H$73,MATCH(HS$3,'Standards for Conversions'!$A$47:$A$73,0)))=0,"",HT51/(INDEX('Standards for Conversions'!$H$47:$H$73,MATCH(HS$3,'Standards for Conversions'!$A$47:$A$73,0))))</f>
        <v/>
      </c>
      <c r="HY51" s="31" t="str">
        <f>IF(HX51/(INDEX('Standards for Conversions'!$H$47:$H$73,MATCH(HW$3,'Standards for Conversions'!$A$47:$A$73,0)))=0,"",HX51/(INDEX('Standards for Conversions'!$H$47:$H$73,MATCH(HW$3,'Standards for Conversions'!$A$47:$A$73,0))))</f>
        <v/>
      </c>
      <c r="HZ51" s="33"/>
      <c r="IA51" s="33"/>
      <c r="IB51" s="31" t="str">
        <f>IF(IA51/(INDEX('Standards for Conversions'!$H$47:$H$73,MATCH(HZ$3,'Standards for Conversions'!$A$47:$A$73,0)))=0,"",IA51/(INDEX('Standards for Conversions'!$H$47:$H$73,MATCH(HZ$3,'Standards for Conversions'!$A$47:$A$73,0))))</f>
        <v/>
      </c>
      <c r="IE51" s="29">
        <v>1600</v>
      </c>
      <c r="IF51" s="31">
        <f>IF(IE51/(INDEX('Standards for Conversions'!$H$47:$H$73,MATCH(ID$3,'Standards for Conversions'!$A$47:$A$73,0)))=0,"",IE51/(INDEX('Standards for Conversions'!$H$47:$H$73,MATCH(ID$3,'Standards for Conversions'!$A$47:$A$73,0))))</f>
        <v>232.39265954056953</v>
      </c>
      <c r="IJ51" s="31" t="str">
        <f>IF(II51/(INDEX('Standards for Conversions'!$H$47:$H$73,MATCH(IH$3,'Standards for Conversions'!$A$47:$A$73,0)))=0,"",II51/(INDEX('Standards for Conversions'!$H$47:$H$73,MATCH(IH$3,'Standards for Conversions'!$A$47:$A$73,0))))</f>
        <v/>
      </c>
      <c r="IN51" s="31" t="str">
        <f>IF(IM51/(INDEX('Standards for Conversions'!$H$47:$H$73,MATCH(IL$3,'Standards for Conversions'!$A$47:$A$73,0)))=0,"",IM51/(INDEX('Standards for Conversions'!$H$47:$H$73,MATCH(IL$3,'Standards for Conversions'!$A$47:$A$73,0))))</f>
        <v/>
      </c>
      <c r="IR51" s="31" t="str">
        <f>IF(IQ51/(INDEX('Standards for Conversions'!$H$47:$H$73,MATCH(IP$3,'Standards for Conversions'!$A$47:$A$73,0)))=0,"",IQ51/(INDEX('Standards for Conversions'!$H$47:$H$73,MATCH(IP$3,'Standards for Conversions'!$A$47:$A$73,0))))</f>
        <v/>
      </c>
      <c r="IU51" s="29">
        <v>1800</v>
      </c>
      <c r="IV51" s="31">
        <f>IF(IU51/(INDEX('Standards for Conversions'!$H$47:$H$73,MATCH(IT$3,'Standards for Conversions'!$A$47:$A$73,0)))=0,"",IU51/(INDEX('Standards for Conversions'!$H$47:$H$73,MATCH(IT$3,'Standards for Conversions'!$A$47:$A$73,0))))</f>
        <v>260.29841074997825</v>
      </c>
      <c r="IZ51" s="31" t="str">
        <f>IF(IY51/(INDEX('Standards for Conversions'!$H$47:$H$73,MATCH(IX$3,'Standards for Conversions'!$A$47:$A$73,0)))=0,"",IY51/(INDEX('Standards for Conversions'!$H$47:$H$73,MATCH(IX$3,'Standards for Conversions'!$A$47:$A$73,0))))</f>
        <v/>
      </c>
      <c r="JA51" s="33"/>
      <c r="JD51" s="31" t="str">
        <f>IF(JC51/(INDEX('Standards for Conversions'!$H$47:$H$73,MATCH(JB$3,'Standards for Conversions'!$A$47:$A$73,0)))=0,"",JC51/(INDEX('Standards for Conversions'!$H$47:$H$73,MATCH(JB$3,'Standards for Conversions'!$A$47:$A$73,0))))</f>
        <v/>
      </c>
      <c r="JE51" s="33"/>
      <c r="JH51" s="31" t="str">
        <f>IF(JG51/(INDEX('Standards for Conversions'!$H$47:$H$73,MATCH(JF$3,'Standards for Conversions'!$A$47:$A$73,0)))=0,"",JG51/(INDEX('Standards for Conversions'!$H$47:$H$73,MATCH(JF$3,'Standards for Conversions'!$A$47:$A$73,0))))</f>
        <v/>
      </c>
      <c r="JI51" s="33"/>
      <c r="JK51" s="29">
        <v>2500</v>
      </c>
      <c r="JL51" s="31">
        <f>IF(JK51/(INDEX('Standards for Conversions'!$H$47:$H$73,MATCH(JJ$3,'Standards for Conversions'!$A$47:$A$73,0)))=0,"",JK51/(INDEX('Standards for Conversions'!$H$47:$H$73,MATCH(JJ$3,'Standards for Conversions'!$A$47:$A$73,0))))</f>
        <v>404.40049172967173</v>
      </c>
      <c r="JP51" s="31" t="str">
        <f>IF(JO51/(INDEX('Standards for Conversions'!$H$47:$H$73,MATCH(JN$3,'Standards for Conversions'!$A$47:$A$73,0)))=0,"",JO51/(INDEX('Standards for Conversions'!$H$47:$H$73,MATCH(JN$3,'Standards for Conversions'!$A$47:$A$73,0))))</f>
        <v/>
      </c>
      <c r="JT51" s="31" t="str">
        <f>IF(JS51/(INDEX('Standards for Conversions'!$H$47:$H$73,MATCH(JR$3,'Standards for Conversions'!$A$47:$A$73,0)))=0,"",JS51/(INDEX('Standards for Conversions'!$H$47:$H$73,MATCH(JR$3,'Standards for Conversions'!$A$47:$A$73,0))))</f>
        <v/>
      </c>
      <c r="JX51" s="31" t="str">
        <f>IF(JW51/(INDEX('Standards for Conversions'!$H$47:$H$73,MATCH(JV$3,'Standards for Conversions'!$A$47:$A$73,0)))=0,"",JW51/(INDEX('Standards for Conversions'!$H$47:$H$73,MATCH(JV$3,'Standards for Conversions'!$A$47:$A$73,0))))</f>
        <v/>
      </c>
      <c r="KA51" s="29">
        <v>3000</v>
      </c>
      <c r="KB51" s="31">
        <f>IF(KA51/(INDEX('Standards for Conversions'!$H$47:$H$73,MATCH(JZ$3,'Standards for Conversions'!$A$47:$A$73,0)))=0,"",KA51/(INDEX('Standards for Conversions'!$H$47:$H$73,MATCH(JZ$3,'Standards for Conversions'!$A$47:$A$73,0))))</f>
        <v>457.96767728339267</v>
      </c>
      <c r="KF51" s="31" t="str">
        <f>IF(KE51/(INDEX('Standards for Conversions'!$H$47:$H$73,MATCH(KD$3,'Standards for Conversions'!$A$47:$A$73,0)))=0,"",KE51/(INDEX('Standards for Conversions'!$H$47:$H$73,MATCH(KD$3,'Standards for Conversions'!$A$47:$A$73,0))))</f>
        <v/>
      </c>
      <c r="KJ51" s="31" t="str">
        <f>IF(KI51/(INDEX('Standards for Conversions'!$H$47:$H$73,MATCH(KH$3,'Standards for Conversions'!$A$47:$A$73,0)))=0,"",KI51/(INDEX('Standards for Conversions'!$H$47:$H$73,MATCH(KH$3,'Standards for Conversions'!$A$47:$A$73,0))))</f>
        <v/>
      </c>
      <c r="KN51" s="31" t="str">
        <f>IF(KM51/(INDEX('Standards for Conversions'!$H$47:$H$73,MATCH(KL$3,'Standards for Conversions'!$A$47:$A$73,0)))=0,"",KM51/(INDEX('Standards for Conversions'!$H$47:$H$73,MATCH(KL$3,'Standards for Conversions'!$A$47:$A$73,0))))</f>
        <v/>
      </c>
      <c r="KQ51" s="29">
        <v>2800</v>
      </c>
      <c r="KR51" s="31">
        <f>IF(KQ51/(INDEX('Standards for Conversions'!$H$47:$H$73,MATCH(KP$3,'Standards for Conversions'!$A$47:$A$73,0)))=0,"",KQ51/(INDEX('Standards for Conversions'!$H$47:$H$73,MATCH(KP$3,'Standards for Conversions'!$A$47:$A$73,0))))</f>
        <v>377.04523333623007</v>
      </c>
      <c r="KV51" s="31" t="str">
        <f>IF(KU51/(INDEX('Standards for Conversions'!$H$47:$H$73,MATCH(KT$3,'Standards for Conversions'!$A$47:$A$73,0)))=0,"",KU51/(INDEX('Standards for Conversions'!$H$47:$H$73,MATCH(KT$3,'Standards for Conversions'!$A$47:$A$73,0))))</f>
        <v/>
      </c>
      <c r="KW51" s="33"/>
      <c r="KZ51" s="31" t="str">
        <f>IF(KY51/(INDEX('Standards for Conversions'!$H$47:$H$73,MATCH(KX$3,'Standards for Conversions'!$A$47:$A$73,0)))=0,"",KY51/(INDEX('Standards for Conversions'!$H$47:$H$73,MATCH(KX$3,'Standards for Conversions'!$A$47:$A$73,0))))</f>
        <v/>
      </c>
      <c r="LA51" s="33" t="s">
        <v>47</v>
      </c>
      <c r="LD51" s="31" t="str">
        <f>IF(LC51/(INDEX('Standards for Conversions'!$H$47:$H$73,MATCH(LB$3,'Standards for Conversions'!$A$47:$A$73,0)))=0,"",LC51/(INDEX('Standards for Conversions'!$H$47:$H$73,MATCH(LB$3,'Standards for Conversions'!$A$47:$A$73,0))))</f>
        <v/>
      </c>
      <c r="LE51" s="48" t="s">
        <v>47</v>
      </c>
      <c r="LF51" s="29">
        <v>695</v>
      </c>
      <c r="LG51" s="29">
        <v>2720</v>
      </c>
      <c r="LH51" s="31">
        <f>IF(LG51/(INDEX('Standards for Conversions'!$H$47:$H$73,MATCH(LF$3,'Standards for Conversions'!$A$47:$A$73,0)))=0,"",LG51/(INDEX('Standards for Conversions'!$H$47:$H$73,MATCH(LF$3,'Standards for Conversions'!$A$47:$A$73,0))))</f>
        <v>330.79706149879775</v>
      </c>
      <c r="LL51" s="31" t="str">
        <f>IF(LK51/(INDEX('Standards for Conversions'!$H$47:$H$73,MATCH(LJ$3,'Standards for Conversions'!$A$47:$A$73,0)))=0,"",LK51/(INDEX('Standards for Conversions'!$H$47:$H$73,MATCH(LJ$3,'Standards for Conversions'!$A$47:$A$73,0))))</f>
        <v/>
      </c>
      <c r="LO51" s="31" t="str">
        <f>IF(LN51/(INDEX('Standards for Conversions'!$H$47:$H$73,MATCH(LM$3,'Standards for Conversions'!$A$47:$A$73,0)))=0,"",LN51/(INDEX('Standards for Conversions'!$H$47:$H$73,MATCH(LM$3,'Standards for Conversions'!$A$47:$A$73,0))))</f>
        <v/>
      </c>
      <c r="LR51" s="31" t="str">
        <f>IF(LQ51/(INDEX('Standards for Conversions'!$H$47:$H$73,MATCH(LP$3,'Standards for Conversions'!$A$47:$A$73,0)))=0,"",LQ51/(INDEX('Standards for Conversions'!$H$47:$H$73,MATCH(LP$3,'Standards for Conversions'!$A$47:$A$73,0))))</f>
        <v/>
      </c>
      <c r="LV51" s="31" t="str">
        <f>IF(LU51/(INDEX('Standards for Conversions'!$H$47:$H$73,MATCH(LT$3,'Standards for Conversions'!$A$47:$A$73,0)))=0,"",LU51/(INDEX('Standards for Conversions'!$H$47:$H$73,MATCH(LT$3,'Standards for Conversions'!$A$47:$A$73,0))))</f>
        <v/>
      </c>
      <c r="LY51" s="31" t="str">
        <f>IF(LX51/(INDEX('Standards for Conversions'!$H$47:$H$73,MATCH(LW$3,'Standards for Conversions'!$A$47:$A$73,0)))=0,"",LX51/(INDEX('Standards for Conversions'!$H$47:$H$73,MATCH(LW$3,'Standards for Conversions'!$A$47:$A$73,0))))</f>
        <v/>
      </c>
      <c r="MB51" s="31" t="str">
        <f>IF(MA51/(INDEX('Standards for Conversions'!$H$47:$H$73,MATCH(LZ$3,'Standards for Conversions'!$A$47:$A$73,0)))=0,"",MA51/(INDEX('Standards for Conversions'!$H$47:$H$73,MATCH(LZ$3,'Standards for Conversions'!$A$47:$A$73,0))))</f>
        <v/>
      </c>
      <c r="ME51" s="31" t="str">
        <f>IF(MD51/(INDEX('Standards for Conversions'!$H$47:$H$73,MATCH(MC$3,'Standards for Conversions'!$A$47:$A$73,0)))=0,"",MD51/(INDEX('Standards for Conversions'!$H$47:$H$73,MATCH(MC$3,'Standards for Conversions'!$A$47:$A$73,0))))</f>
        <v/>
      </c>
      <c r="MH51" s="31" t="str">
        <f>IF(MG51/(INDEX('Standards for Conversions'!$H$47:$H$73,MATCH(MF$3,'Standards for Conversions'!$A$47:$A$73,0)))=0,"",MG51/(INDEX('Standards for Conversions'!$H$47:$H$73,MATCH(MF$3,'Standards for Conversions'!$A$47:$A$73,0))))</f>
        <v/>
      </c>
      <c r="MK51" s="31" t="str">
        <f>IF(MJ51/(INDEX('Standards for Conversions'!$H$47:$H$73,MATCH(MI$3,'Standards for Conversions'!$A$47:$A$73,0)))=0,"",MJ51/(INDEX('Standards for Conversions'!$H$47:$H$73,MATCH(MI$3,'Standards for Conversions'!$A$47:$A$73,0))))</f>
        <v/>
      </c>
      <c r="MN51" s="31" t="str">
        <f>IF(MM51/(INDEX('Standards for Conversions'!$H$47:$H$73,MATCH(ML$3,'Standards for Conversions'!$A$47:$A$73,0)))=0,"",MM51/(INDEX('Standards for Conversions'!$H$47:$H$73,MATCH(ML$3,'Standards for Conversions'!$A$47:$A$73,0))))</f>
        <v/>
      </c>
      <c r="MR51" s="31" t="str">
        <f>IF(MQ51/(INDEX('Standards for Conversions'!$H$47:$H$73,MATCH(MP$3,'Standards for Conversions'!$A$47:$A$73,0)))=0,"",MQ51/(INDEX('Standards for Conversions'!$H$47:$H$73,MATCH(MP$3,'Standards for Conversions'!$A$47:$A$73,0))))</f>
        <v/>
      </c>
    </row>
    <row r="52" spans="1:373" hidden="1" x14ac:dyDescent="0.3">
      <c r="A52" s="103" t="s">
        <v>233</v>
      </c>
      <c r="B52" s="10" t="s">
        <v>38</v>
      </c>
      <c r="C52" s="7"/>
      <c r="D52" s="7"/>
      <c r="E52" s="31" t="str">
        <f>IF(D52/(INDEX('Standards for Conversions'!$H$34:$H$73,MATCH(C$3,'Standards for Conversions'!$A$34:$A$73,0)))=0,"",D52/(INDEX('Standards for Conversions'!$H$34:$H$73,MATCH(C$3,'Standards for Conversions'!$A$34:$A$73,0))))</f>
        <v/>
      </c>
      <c r="F52" s="10" t="s">
        <v>38</v>
      </c>
      <c r="G52" s="7"/>
      <c r="H52" s="7"/>
      <c r="I52" s="31" t="str">
        <f>IF(H52/(INDEX('Standards for Conversions'!$H$34:$H$73,MATCH(G$3,'Standards for Conversions'!$A$34:$A$73,0)))=0,"",H52/(INDEX('Standards for Conversions'!$H$34:$H$73,MATCH(G$3,'Standards for Conversions'!$A$34:$A$73,0))))</f>
        <v/>
      </c>
      <c r="J52" s="10" t="s">
        <v>38</v>
      </c>
      <c r="K52" s="9"/>
      <c r="L52" s="9"/>
      <c r="M52" s="31" t="str">
        <f>IF(L52/(INDEX('Standards for Conversions'!$H$34:$H$73,MATCH(K$3,'Standards for Conversions'!$A$34:$A$73,0)))=0,"",L52/(INDEX('Standards for Conversions'!$H$34:$H$73,MATCH(K$3,'Standards for Conversions'!$A$34:$A$73,0))))</f>
        <v/>
      </c>
      <c r="N52" s="10" t="s">
        <v>38</v>
      </c>
      <c r="O52" s="7"/>
      <c r="P52" s="7"/>
      <c r="Q52" s="31" t="str">
        <f>IF(P52/(INDEX('Standards for Conversions'!$H$34:$H$73,MATCH(O$3,'Standards for Conversions'!$A$34:$A$73,0)))=0,"",P52/(INDEX('Standards for Conversions'!$H$34:$H$73,MATCH(O$3,'Standards for Conversions'!$A$34:$A$73,0))))</f>
        <v/>
      </c>
      <c r="R52" s="10" t="s">
        <v>38</v>
      </c>
      <c r="S52" s="7"/>
      <c r="T52" s="7"/>
      <c r="U52" s="31" t="str">
        <f>IF(T52/(INDEX('Standards for Conversions'!$H$34:$H$73,MATCH(S$3,'Standards for Conversions'!$A$34:$A$73,0)))=0,"",T52/(INDEX('Standards for Conversions'!$H$34:$H$73,MATCH(S$3,'Standards for Conversions'!$A$34:$A$73,0))))</f>
        <v/>
      </c>
      <c r="V52" s="10" t="s">
        <v>38</v>
      </c>
      <c r="W52" s="7"/>
      <c r="X52" s="7"/>
      <c r="Y52" s="31" t="str">
        <f>IF(X52/(INDEX('Standards for Conversions'!$H$34:$H$73,MATCH(W$3,'Standards for Conversions'!$A$34:$A$73,0)))=0,"",X52/(INDEX('Standards for Conversions'!$H$34:$H$73,MATCH(W$3,'Standards for Conversions'!$A$34:$A$73,0))))</f>
        <v/>
      </c>
      <c r="Z52" s="10" t="s">
        <v>38</v>
      </c>
      <c r="AA52" s="9"/>
      <c r="AB52" s="9"/>
      <c r="AC52" s="31" t="str">
        <f>IF(AB52/(INDEX('Standards for Conversions'!$H$34:$H$73,MATCH(AA$3,'Standards for Conversions'!$A$34:$A$73,0)))=0,"",AB52/(INDEX('Standards for Conversions'!$H$34:$H$73,MATCH(AA$3,'Standards for Conversions'!$A$34:$A$73,0))))</f>
        <v/>
      </c>
      <c r="AD52" s="10" t="s">
        <v>38</v>
      </c>
      <c r="AE52" s="7"/>
      <c r="AF52" s="7"/>
      <c r="AG52" s="31" t="str">
        <f>IF(AF52/(INDEX('Standards for Conversions'!$H$34:$H$73,MATCH(AE$3,'Standards for Conversions'!$A$34:$A$73,0)))=0,"",AF52/(INDEX('Standards for Conversions'!$H$34:$H$73,MATCH(AE$3,'Standards for Conversions'!$A$34:$A$73,0))))</f>
        <v/>
      </c>
      <c r="AH52" s="10" t="s">
        <v>38</v>
      </c>
      <c r="AI52" s="7"/>
      <c r="AJ52" s="7"/>
      <c r="AK52" s="31" t="str">
        <f>IF(AJ52/(INDEX('Standards for Conversions'!$H$34:$H$73,MATCH(AI$3,'Standards for Conversions'!$A$34:$A$73,0)))=0,"",AJ52/(INDEX('Standards for Conversions'!$H$34:$H$73,MATCH(AI$3,'Standards for Conversions'!$A$34:$A$73,0))))</f>
        <v/>
      </c>
      <c r="AL52" s="10" t="s">
        <v>38</v>
      </c>
      <c r="AM52" s="7"/>
      <c r="AN52" s="7"/>
      <c r="AO52" s="31" t="str">
        <f>IF(AN52/(INDEX('Standards for Conversions'!$H$34:$H$73,MATCH(AM$3,'Standards for Conversions'!$A$34:$A$73,0)))=0,"",AN52/(INDEX('Standards for Conversions'!$H$34:$H$73,MATCH(AM$3,'Standards for Conversions'!$A$34:$A$73,0))))</f>
        <v/>
      </c>
      <c r="AP52" s="10" t="s">
        <v>38</v>
      </c>
      <c r="AQ52" s="9"/>
      <c r="AR52" s="9"/>
      <c r="AS52" s="31" t="str">
        <f>IF(AR52/(INDEX('Standards for Conversions'!$H$34:$H$73,MATCH(AQ$3,'Standards for Conversions'!$A$34:$A$73,0)))=0,"",AR52/(INDEX('Standards for Conversions'!$H$34:$H$73,MATCH(AQ$3,'Standards for Conversions'!$A$34:$A$73,0))))</f>
        <v/>
      </c>
      <c r="AT52" s="10" t="s">
        <v>38</v>
      </c>
      <c r="AU52" s="7"/>
      <c r="AV52" s="7"/>
      <c r="AW52" s="31" t="str">
        <f>IF(AV52/(INDEX('Standards for Conversions'!$H$34:$H$73,MATCH(AU$3,'Standards for Conversions'!$A$34:$A$73,0)))=0,"",AV52/(INDEX('Standards for Conversions'!$H$34:$H$73,MATCH(AU$3,'Standards for Conversions'!$A$34:$A$73,0))))</f>
        <v/>
      </c>
      <c r="AX52" s="10" t="s">
        <v>38</v>
      </c>
      <c r="AY52" s="7"/>
      <c r="AZ52" s="7"/>
      <c r="BA52" s="31" t="str">
        <f>IF(AZ52/(INDEX('Standards for Conversions'!$H$34:$H$73,MATCH(AY$3,'Standards for Conversions'!$A$34:$A$73,0)))=0,"",AZ52/(INDEX('Standards for Conversions'!$H$34:$H$73,MATCH(AY$3,'Standards for Conversions'!$A$34:$A$73,0))))</f>
        <v/>
      </c>
      <c r="BB52" s="10" t="s">
        <v>38</v>
      </c>
      <c r="BC52" s="7"/>
      <c r="BD52" s="7"/>
      <c r="BE52" s="31" t="str">
        <f>IF(BD52/(INDEX('Standards for Conversions'!$H$34:$H$73,MATCH(BC$3,'Standards for Conversions'!$A$34:$A$73,0)))=0,"",BD52/(INDEX('Standards for Conversions'!$H$34:$H$73,MATCH(BC$3,'Standards for Conversions'!$A$34:$A$73,0))))</f>
        <v/>
      </c>
      <c r="BF52" s="10" t="s">
        <v>38</v>
      </c>
      <c r="BG52" s="9"/>
      <c r="BH52" s="9"/>
      <c r="BI52" s="31" t="str">
        <f>IF(BH52/(INDEX('Standards for Conversions'!$H$34:$H$73,MATCH(BG$3,'Standards for Conversions'!$A$34:$A$73,0)))=0,"",BH52/(INDEX('Standards for Conversions'!$H$34:$H$73,MATCH(BG$3,'Standards for Conversions'!$A$34:$A$73,0))))</f>
        <v/>
      </c>
      <c r="BJ52" s="10" t="s">
        <v>38</v>
      </c>
      <c r="BK52" s="7"/>
      <c r="BL52" s="7"/>
      <c r="BM52" s="31" t="str">
        <f>IF(BL52/(INDEX('Standards for Conversions'!$H$34:$H$73,MATCH(BK$3,'Standards for Conversions'!$A$34:$A$73,0)))=0,"",BL52/(INDEX('Standards for Conversions'!$H$34:$H$73,MATCH(BK$3,'Standards for Conversions'!$A$34:$A$73,0))))</f>
        <v/>
      </c>
      <c r="BN52" s="10" t="s">
        <v>38</v>
      </c>
      <c r="BO52" s="7"/>
      <c r="BP52" s="7"/>
      <c r="BQ52" s="31" t="str">
        <f>IF(BP52/(INDEX('Standards for Conversions'!$H$34:$H$73,MATCH(BO$3,'Standards for Conversions'!$A$34:$A$73,0)))=0,"",BP52/(INDEX('Standards for Conversions'!$H$34:$H$73,MATCH(BO$3,'Standards for Conversions'!$A$34:$A$73,0))))</f>
        <v/>
      </c>
      <c r="BR52" s="10" t="s">
        <v>38</v>
      </c>
      <c r="BS52" s="7"/>
      <c r="BT52" s="7"/>
      <c r="BU52" s="31" t="str">
        <f>IF(BT52/(INDEX('Standards for Conversions'!$H$34:$H$73,MATCH(BS$3,'Standards for Conversions'!$A$34:$A$73,0)))=0,"",BT52/(INDEX('Standards for Conversions'!$H$34:$H$73,MATCH(BS$3,'Standards for Conversions'!$A$34:$A$73,0))))</f>
        <v/>
      </c>
      <c r="BV52" s="10" t="s">
        <v>38</v>
      </c>
      <c r="BW52" s="9"/>
      <c r="BX52" s="9"/>
      <c r="BY52" s="31" t="str">
        <f>IF(BX52/(INDEX('Standards for Conversions'!$H$34:$H$73,MATCH(BW$3,'Standards for Conversions'!$A$34:$A$73,0)))=0,"",BX52/(INDEX('Standards for Conversions'!$H$34:$H$73,MATCH(BW$3,'Standards for Conversions'!$A$34:$A$73,0))))</f>
        <v/>
      </c>
      <c r="BZ52" s="10" t="s">
        <v>38</v>
      </c>
      <c r="CA52" s="7"/>
      <c r="CB52" s="7"/>
      <c r="CC52" s="31" t="str">
        <f>IF(CB52/(INDEX('Standards for Conversions'!$H$34:$H$73,MATCH(CA$3,'Standards for Conversions'!$A$34:$A$73,0)))=0,"",CB52/(INDEX('Standards for Conversions'!$H$34:$H$73,MATCH(CA$3,'Standards for Conversions'!$A$34:$A$73,0))))</f>
        <v/>
      </c>
      <c r="CD52" s="10" t="s">
        <v>38</v>
      </c>
      <c r="CE52" s="7"/>
      <c r="CF52" s="7"/>
      <c r="CG52" s="31" t="str">
        <f>IF(CF52/(INDEX('Standards for Conversions'!$H$34:$H$73,MATCH(CE$3,'Standards for Conversions'!$A$34:$A$73,0)))=0,"",CF52/(INDEX('Standards for Conversions'!$H$34:$H$73,MATCH(CE$3,'Standards for Conversions'!$A$34:$A$73,0))))</f>
        <v/>
      </c>
      <c r="CH52" s="10" t="s">
        <v>38</v>
      </c>
      <c r="CI52" s="7"/>
      <c r="CJ52" s="7"/>
      <c r="CK52" s="31" t="str">
        <f>IF(CJ52/(INDEX('Standards for Conversions'!$H$34:$H$73,MATCH(CI$3,'Standards for Conversions'!$A$34:$A$73,0)))=0,"",CJ52/(INDEX('Standards for Conversions'!$H$34:$H$73,MATCH(CI$3,'Standards for Conversions'!$A$34:$A$73,0))))</f>
        <v/>
      </c>
      <c r="CL52" s="10" t="s">
        <v>38</v>
      </c>
      <c r="CM52" s="9"/>
      <c r="CN52" s="9"/>
      <c r="CO52" s="31" t="str">
        <f>IF(CN52/(INDEX('Standards for Conversions'!$H$34:$H$73,MATCH(CM$3,'Standards for Conversions'!$A$34:$A$73,0)))=0,"",CN52/(INDEX('Standards for Conversions'!$H$34:$H$73,MATCH(CM$3,'Standards for Conversions'!$A$34:$A$73,0))))</f>
        <v/>
      </c>
      <c r="CP52" s="10" t="s">
        <v>38</v>
      </c>
      <c r="CQ52" s="7"/>
      <c r="CR52" s="7"/>
      <c r="CS52" s="31" t="str">
        <f>IF(CR52/(INDEX('Standards for Conversions'!$H$34:$H$73,MATCH(CQ$3,'Standards for Conversions'!$A$34:$A$73,0)))=0,"",CR52/(INDEX('Standards for Conversions'!$H$34:$H$73,MATCH(CQ$3,'Standards for Conversions'!$A$34:$A$73,0))))</f>
        <v/>
      </c>
      <c r="CT52" s="10" t="s">
        <v>38</v>
      </c>
      <c r="CU52" s="7"/>
      <c r="CV52" s="7"/>
      <c r="CW52" s="31" t="str">
        <f>IF(CV52/(INDEX('Standards for Conversions'!$H$34:$H$73,MATCH(CU$3,'Standards for Conversions'!$A$34:$A$73,0)))=0,"",CV52/(INDEX('Standards for Conversions'!$H$34:$H$73,MATCH(CU$3,'Standards for Conversions'!$A$34:$A$73,0))))</f>
        <v/>
      </c>
      <c r="CX52" s="10" t="s">
        <v>38</v>
      </c>
      <c r="CY52" s="7"/>
      <c r="CZ52" s="7"/>
      <c r="DA52" s="31" t="str">
        <f>IF(CZ52/(INDEX('Standards for Conversions'!$H$34:$H$73,MATCH(CY$3,'Standards for Conversions'!$A$34:$A$73,0)))=0,"",CZ52/(INDEX('Standards for Conversions'!$H$34:$H$73,MATCH(CY$3,'Standards for Conversions'!$A$34:$A$73,0))))</f>
        <v/>
      </c>
      <c r="DB52" s="10" t="s">
        <v>38</v>
      </c>
      <c r="DC52" s="9"/>
      <c r="DD52" s="9"/>
      <c r="DE52" s="31" t="str">
        <f>IF(DD52/(INDEX('Standards for Conversions'!$H$34:$H$73,MATCH(DC$3,'Standards for Conversions'!$A$34:$A$73,0)))=0,"",DD52/(INDEX('Standards for Conversions'!$H$34:$H$73,MATCH(DC$3,'Standards for Conversions'!$A$34:$A$73,0))))</f>
        <v/>
      </c>
      <c r="DF52" s="10" t="s">
        <v>38</v>
      </c>
      <c r="DG52" s="7"/>
      <c r="DH52" s="7"/>
      <c r="DI52" s="31" t="str">
        <f>IF(DH52/(INDEX('Standards for Conversions'!$H$34:$H$73,MATCH(DG$3,'Standards for Conversions'!$A$34:$A$73,0)))=0,"",DH52/(INDEX('Standards for Conversions'!$H$34:$H$73,MATCH(DG$3,'Standards for Conversions'!$A$34:$A$73,0))))</f>
        <v/>
      </c>
      <c r="DJ52" s="10" t="s">
        <v>38</v>
      </c>
      <c r="DK52" s="7"/>
      <c r="DL52" s="7"/>
      <c r="DM52" s="31" t="str">
        <f>IF(DL52/(INDEX('Standards for Conversions'!$H$34:$H$73,MATCH(DK$3,'Standards for Conversions'!$A$34:$A$73,0)))=0,"",DL52/(INDEX('Standards for Conversions'!$H$34:$H$73,MATCH(DK$3,'Standards for Conversions'!$A$34:$A$73,0))))</f>
        <v/>
      </c>
      <c r="DN52" s="10" t="s">
        <v>38</v>
      </c>
      <c r="DO52" s="7"/>
      <c r="DP52" s="7"/>
      <c r="DQ52" s="31" t="str">
        <f>IF(DP52/(INDEX('Standards for Conversions'!$H$34:$H$73,MATCH(DO$3,'Standards for Conversions'!$A$34:$A$73,0)))=0,"",DP52/(INDEX('Standards for Conversions'!$H$34:$H$73,MATCH(DO$3,'Standards for Conversions'!$A$34:$A$73,0))))</f>
        <v/>
      </c>
      <c r="DR52" s="10" t="s">
        <v>38</v>
      </c>
      <c r="DS52" s="9"/>
      <c r="DT52" s="9"/>
      <c r="DU52" s="31" t="str">
        <f>IF(DT52/(INDEX('Standards for Conversions'!$H$34:$H$73,MATCH(DS$3,'Standards for Conversions'!$A$34:$A$73,0)))=0,"",DT52/(INDEX('Standards for Conversions'!$H$34:$H$73,MATCH(DS$3,'Standards for Conversions'!$A$34:$A$73,0))))</f>
        <v/>
      </c>
      <c r="DV52" s="10" t="s">
        <v>38</v>
      </c>
      <c r="DW52" s="7"/>
      <c r="DX52" s="7"/>
      <c r="DY52" s="31" t="str">
        <f>IF(DX52/(INDEX('Standards for Conversions'!$H$34:$H$73,MATCH(DW$3,'Standards for Conversions'!$A$34:$A$73,0)))=0,"",DX52/(INDEX('Standards for Conversions'!$H$34:$H$73,MATCH(DW$3,'Standards for Conversions'!$A$34:$A$73,0))))</f>
        <v/>
      </c>
      <c r="DZ52" s="10" t="s">
        <v>38</v>
      </c>
      <c r="EA52" s="7"/>
      <c r="EB52" s="7"/>
      <c r="EC52" s="31" t="str">
        <f>IF(EB52/(INDEX('Standards for Conversions'!$H$34:$H$73,MATCH(EA$3,'Standards for Conversions'!$A$34:$A$73,0)))=0,"",EB52/(INDEX('Standards for Conversions'!$H$34:$H$73,MATCH(EA$3,'Standards for Conversions'!$A$34:$A$73,0))))</f>
        <v/>
      </c>
      <c r="ED52" s="10" t="s">
        <v>38</v>
      </c>
      <c r="EE52" s="7"/>
      <c r="EF52" s="7"/>
      <c r="EG52" s="31" t="str">
        <f>IF(EF52/(INDEX('Standards for Conversions'!$H$34:$H$73,MATCH(EE$3,'Standards for Conversions'!$A$34:$A$73,0)))=0,"",EF52/(INDEX('Standards for Conversions'!$H$34:$H$73,MATCH(EE$3,'Standards for Conversions'!$A$34:$A$73,0))))</f>
        <v/>
      </c>
      <c r="EH52" s="10" t="s">
        <v>38</v>
      </c>
      <c r="EI52" s="9"/>
      <c r="EJ52" s="9"/>
      <c r="EK52" s="31" t="str">
        <f>IF(EJ52/(INDEX('Standards for Conversions'!$H$34:$H$73,MATCH(EI$3,'Standards for Conversions'!$A$34:$A$73,0)))=0,"",EJ52/(INDEX('Standards for Conversions'!$H$34:$H$73,MATCH(EI$3,'Standards for Conversions'!$A$34:$A$73,0))))</f>
        <v/>
      </c>
      <c r="EL52" s="10" t="s">
        <v>38</v>
      </c>
      <c r="EM52" s="7"/>
      <c r="EN52" s="7"/>
      <c r="EO52" s="31" t="str">
        <f>IF(EN52/(INDEX('Standards for Conversions'!$H$34:$H$73,MATCH(EM$3,'Standards for Conversions'!$A$34:$A$73,0)))=0,"",EN52/(INDEX('Standards for Conversions'!$H$34:$H$73,MATCH(EM$3,'Standards for Conversions'!$A$34:$A$73,0))))</f>
        <v/>
      </c>
      <c r="EP52" s="10" t="s">
        <v>38</v>
      </c>
      <c r="EQ52" s="7"/>
      <c r="ER52" s="7"/>
      <c r="ES52" s="31" t="str">
        <f>IF(ER52/(INDEX('Standards for Conversions'!$H$34:$H$73,MATCH(EQ$3,'Standards for Conversions'!$A$34:$A$73,0)))=0,"",ER52/(INDEX('Standards for Conversions'!$H$34:$H$73,MATCH(EQ$3,'Standards for Conversions'!$A$34:$A$73,0))))</f>
        <v/>
      </c>
      <c r="ET52" s="10" t="s">
        <v>38</v>
      </c>
      <c r="EU52" s="7"/>
      <c r="EV52" s="7"/>
      <c r="EW52" s="31" t="str">
        <f>IF(EV52/(INDEX('Standards for Conversions'!$H$34:$H$73,MATCH(EU$3,'Standards for Conversions'!$A$34:$A$73,0)))=0,"",EV52/(INDEX('Standards for Conversions'!$H$34:$H$73,MATCH(EU$3,'Standards for Conversions'!$A$34:$A$73,0))))</f>
        <v/>
      </c>
      <c r="EX52" s="10" t="s">
        <v>38</v>
      </c>
      <c r="EY52" s="9"/>
      <c r="EZ52" s="9"/>
      <c r="FA52" s="31" t="str">
        <f>IF(EZ52/(INDEX('Standards for Conversions'!$H$34:$H$73,MATCH(EY$3,'Standards for Conversions'!$A$34:$A$73,0)))=0,"",EZ52/(INDEX('Standards for Conversions'!$H$34:$H$73,MATCH(EY$3,'Standards for Conversions'!$A$34:$A$73,0))))</f>
        <v/>
      </c>
      <c r="FB52" s="10" t="s">
        <v>38</v>
      </c>
      <c r="FC52" s="7"/>
      <c r="FD52" s="7"/>
      <c r="FE52" s="31" t="str">
        <f>IF(FD52/(INDEX('Standards for Conversions'!$H$34:$H$73,MATCH(FC$3,'Standards for Conversions'!$A$34:$A$73,0)))=0,"",FD52/(INDEX('Standards for Conversions'!$H$34:$H$73,MATCH(FC$3,'Standards for Conversions'!$A$34:$A$73,0))))</f>
        <v/>
      </c>
      <c r="FF52" s="10" t="s">
        <v>38</v>
      </c>
      <c r="FG52" s="7"/>
      <c r="FH52" s="7"/>
      <c r="FI52" s="31" t="str">
        <f>IF(FH52/(INDEX('Standards for Conversions'!$H$34:$H$73,MATCH(FG$3,'Standards for Conversions'!$A$34:$A$73,0)))=0,"",FH52/(INDEX('Standards for Conversions'!$H$34:$H$73,MATCH(FG$3,'Standards for Conversions'!$A$34:$A$73,0))))</f>
        <v/>
      </c>
      <c r="FJ52" s="10" t="s">
        <v>38</v>
      </c>
      <c r="FK52" s="7"/>
      <c r="FL52" s="7"/>
      <c r="FM52" s="31" t="str">
        <f>IF(FL52/(INDEX('Standards for Conversions'!$H$34:$H$73,MATCH(FK$3,'Standards for Conversions'!$A$34:$A$73,0)))=0,"",FL52/(INDEX('Standards for Conversions'!$H$34:$H$73,MATCH(FK$3,'Standards for Conversions'!$A$34:$A$73,0))))</f>
        <v/>
      </c>
      <c r="FN52" s="10" t="s">
        <v>38</v>
      </c>
      <c r="FO52" s="9"/>
      <c r="FP52" s="9"/>
      <c r="FQ52" s="31" t="str">
        <f>IF(FP52/(INDEX('Standards for Conversions'!$H$34:$H$73,MATCH(FO$3,'Standards for Conversions'!$A$34:$A$73,0)))=0,"",FP52/(INDEX('Standards for Conversions'!$H$34:$H$73,MATCH(FO$3,'Standards for Conversions'!$A$34:$A$73,0))))</f>
        <v/>
      </c>
      <c r="FR52" s="10" t="s">
        <v>38</v>
      </c>
      <c r="FS52" s="7"/>
      <c r="FT52" s="7"/>
      <c r="FU52" s="31" t="str">
        <f>IF(FT52/(INDEX('Standards for Conversions'!$H$34:$H$73,MATCH(FS$3,'Standards for Conversions'!$A$34:$A$73,0)))=0,"",FT52/(INDEX('Standards for Conversions'!$H$34:$H$73,MATCH(FS$3,'Standards for Conversions'!$A$34:$A$73,0))))</f>
        <v/>
      </c>
      <c r="FV52" s="10" t="s">
        <v>38</v>
      </c>
      <c r="FW52" s="7"/>
      <c r="FX52" s="7"/>
      <c r="FY52" s="31" t="str">
        <f>IF(FX52/(INDEX('Standards for Conversions'!$H$34:$H$73,MATCH(FW$3,'Standards for Conversions'!$A$34:$A$73,0)))=0,"",FX52/(INDEX('Standards for Conversions'!$H$34:$H$73,MATCH(FW$3,'Standards for Conversions'!$A$34:$A$73,0))))</f>
        <v/>
      </c>
      <c r="FZ52" s="10" t="s">
        <v>38</v>
      </c>
      <c r="GA52" s="7"/>
      <c r="GB52" s="7"/>
      <c r="GC52" s="31" t="str">
        <f>IF(GB52/(INDEX('Standards for Conversions'!$H$34:$H$73,MATCH(GA$3,'Standards for Conversions'!$A$34:$A$73,0)))=0,"",GB52/(INDEX('Standards for Conversions'!$H$34:$H$73,MATCH(GA$3,'Standards for Conversions'!$A$34:$A$73,0))))</f>
        <v/>
      </c>
      <c r="GD52" s="10" t="s">
        <v>38</v>
      </c>
      <c r="GE52" s="9"/>
      <c r="GF52" s="9"/>
      <c r="GG52" s="31" t="str">
        <f>IF(GF52/(INDEX('Standards for Conversions'!$H$34:$H$73,MATCH(GE$3,'Standards for Conversions'!$A$34:$A$73,0)))=0,"",GF52/(INDEX('Standards for Conversions'!$H$34:$H$73,MATCH(GE$3,'Standards for Conversions'!$A$34:$A$73,0))))</f>
        <v/>
      </c>
      <c r="GH52" s="10" t="s">
        <v>38</v>
      </c>
      <c r="GI52" s="7"/>
      <c r="GJ52" s="7"/>
      <c r="GK52" s="31" t="str">
        <f>IF(GJ52/(INDEX('Standards for Conversions'!$H$34:$H$73,MATCH(GI$3,'Standards for Conversions'!$A$34:$A$73,0)))=0,"",GJ52/(INDEX('Standards for Conversions'!$H$34:$H$73,MATCH(GI$3,'Standards for Conversions'!$A$34:$A$73,0))))</f>
        <v/>
      </c>
      <c r="GL52" s="10" t="s">
        <v>38</v>
      </c>
      <c r="GM52" s="7"/>
      <c r="GN52" s="7"/>
      <c r="GO52" s="31" t="str">
        <f>IF(GN52/(INDEX('Standards for Conversions'!$H$34:$H$73,MATCH(GM$3,'Standards for Conversions'!$A$34:$A$73,0)))=0,"",GN52/(INDEX('Standards for Conversions'!$H$34:$H$73,MATCH(GM$3,'Standards for Conversions'!$A$34:$A$73,0))))</f>
        <v/>
      </c>
      <c r="GP52" s="10" t="s">
        <v>38</v>
      </c>
      <c r="GQ52" s="7"/>
      <c r="GR52" s="7"/>
      <c r="GS52" s="31" t="str">
        <f>IF(GR52/(INDEX('Standards for Conversions'!$H$34:$H$73,MATCH(GQ$3,'Standards for Conversions'!$A$34:$A$73,0)))=0,"",GR52/(INDEX('Standards for Conversions'!$H$34:$H$73,MATCH(GQ$3,'Standards for Conversions'!$A$34:$A$73,0))))</f>
        <v/>
      </c>
      <c r="GT52" s="10" t="s">
        <v>38</v>
      </c>
      <c r="GU52" s="9"/>
      <c r="GV52" s="9"/>
      <c r="GW52" s="31" t="str">
        <f>IF(GV52/(INDEX('Standards for Conversions'!$H$34:$H$73,MATCH(GU$3,'Standards for Conversions'!$A$34:$A$73,0)))=0,"",GV52/(INDEX('Standards for Conversions'!$H$34:$H$73,MATCH(GU$3,'Standards for Conversions'!$A$34:$A$73,0))))</f>
        <v/>
      </c>
      <c r="GX52" s="10" t="s">
        <v>38</v>
      </c>
      <c r="GY52" s="7"/>
      <c r="GZ52" s="7"/>
      <c r="HA52" s="31" t="str">
        <f>IF(GZ52/(INDEX('Standards for Conversions'!$H$34:$H$73,MATCH(GY$3,'Standards for Conversions'!$A$34:$A$73,0)))=0,"",GZ52/(INDEX('Standards for Conversions'!$H$34:$H$73,MATCH(GY$3,'Standards for Conversions'!$A$34:$A$73,0))))</f>
        <v/>
      </c>
      <c r="HB52" s="10" t="s">
        <v>38</v>
      </c>
      <c r="HC52" s="7"/>
      <c r="HD52" s="7"/>
      <c r="HE52" s="31" t="str">
        <f>IF(HD52/(INDEX('Standards for Conversions'!$H$34:$H$73,MATCH(HC$3,'Standards for Conversions'!$A$34:$A$73,0)))=0,"",HD52/(INDEX('Standards for Conversions'!$H$34:$H$73,MATCH(HC$3,'Standards for Conversions'!$A$34:$A$73,0))))</f>
        <v/>
      </c>
      <c r="HF52" s="10" t="s">
        <v>38</v>
      </c>
      <c r="HG52" s="7"/>
      <c r="HH52" s="7"/>
      <c r="HI52" s="31" t="str">
        <f>IF(HH52/(INDEX('Standards for Conversions'!$H$34:$H$73,MATCH(HG$3,'Standards for Conversions'!$A$34:$A$73,0)))=0,"",HH52/(INDEX('Standards for Conversions'!$H$34:$H$73,MATCH(HG$3,'Standards for Conversions'!$A$34:$A$73,0))))</f>
        <v/>
      </c>
      <c r="HJ52" s="10" t="s">
        <v>38</v>
      </c>
      <c r="HK52" s="9"/>
      <c r="HL52" s="9"/>
      <c r="HM52" s="31" t="str">
        <f>IF(HL52/(INDEX('Standards for Conversions'!$H$34:$H$73,MATCH(HK$3,'Standards for Conversions'!$A$34:$A$73,0)))=0,"",HL52/(INDEX('Standards for Conversions'!$H$34:$H$73,MATCH(HK$3,'Standards for Conversions'!$A$34:$A$73,0))))</f>
        <v/>
      </c>
      <c r="HN52" s="10" t="s">
        <v>38</v>
      </c>
      <c r="HO52" s="7"/>
      <c r="HP52" s="7"/>
      <c r="HQ52" s="31" t="str">
        <f>IF(HP52/(INDEX('Standards for Conversions'!$H$34:$H$73,MATCH(HO$3,'Standards for Conversions'!$A$34:$A$73,0)))=0,"",HP52/(INDEX('Standards for Conversions'!$H$34:$H$73,MATCH(HO$3,'Standards for Conversions'!$A$34:$A$73,0))))</f>
        <v/>
      </c>
      <c r="HR52" s="33" t="s">
        <v>38</v>
      </c>
      <c r="HU52" s="31" t="str">
        <f>IF(HT52/(INDEX('Standards for Conversions'!$H$47:$H$73,MATCH(HS$3,'Standards for Conversions'!$A$47:$A$73,0)))=0,"",HT52/(INDEX('Standards for Conversions'!$H$47:$H$73,MATCH(HS$3,'Standards for Conversions'!$A$47:$A$73,0))))</f>
        <v/>
      </c>
      <c r="HV52" s="33" t="s">
        <v>38</v>
      </c>
      <c r="HY52" s="31" t="str">
        <f>IF(HX52/(INDEX('Standards for Conversions'!$H$47:$H$73,MATCH(HW$3,'Standards for Conversions'!$A$47:$A$73,0)))=0,"",HX52/(INDEX('Standards for Conversions'!$H$47:$H$73,MATCH(HW$3,'Standards for Conversions'!$A$47:$A$73,0))))</f>
        <v/>
      </c>
      <c r="HZ52" s="33">
        <v>6</v>
      </c>
      <c r="IA52" s="33">
        <v>250</v>
      </c>
      <c r="IB52" s="31">
        <f>IF(IA52/(INDEX('Standards for Conversions'!$H$47:$H$73,MATCH(HZ$3,'Standards for Conversions'!$A$47:$A$73,0)))=0,"",IA52/(INDEX('Standards for Conversions'!$H$47:$H$73,MATCH(HZ$3,'Standards for Conversions'!$A$47:$A$73,0))))</f>
        <v>36.311353053213992</v>
      </c>
      <c r="IC52" s="33" t="s">
        <v>38</v>
      </c>
      <c r="IF52" s="31" t="str">
        <f>IF(IE52/(INDEX('Standards for Conversions'!$H$47:$H$73,MATCH(ID$3,'Standards for Conversions'!$A$47:$A$73,0)))=0,"",IE52/(INDEX('Standards for Conversions'!$H$47:$H$73,MATCH(ID$3,'Standards for Conversions'!$A$47:$A$73,0))))</f>
        <v/>
      </c>
      <c r="IG52" s="33" t="s">
        <v>38</v>
      </c>
      <c r="IJ52" s="31" t="str">
        <f>IF(II52/(INDEX('Standards for Conversions'!$H$47:$H$73,MATCH(IH$3,'Standards for Conversions'!$A$47:$A$73,0)))=0,"",II52/(INDEX('Standards for Conversions'!$H$47:$H$73,MATCH(IH$3,'Standards for Conversions'!$A$47:$A$73,0))))</f>
        <v/>
      </c>
      <c r="IK52" s="33" t="s">
        <v>38</v>
      </c>
      <c r="IN52" s="31" t="str">
        <f>IF(IM52/(INDEX('Standards for Conversions'!$H$47:$H$73,MATCH(IL$3,'Standards for Conversions'!$A$47:$A$73,0)))=0,"",IM52/(INDEX('Standards for Conversions'!$H$47:$H$73,MATCH(IL$3,'Standards for Conversions'!$A$47:$A$73,0))))</f>
        <v/>
      </c>
      <c r="IO52" s="33" t="s">
        <v>38</v>
      </c>
      <c r="IP52" s="29">
        <v>5</v>
      </c>
      <c r="IQ52" s="29">
        <v>200</v>
      </c>
      <c r="IR52" s="31">
        <f>IF(IQ52/(INDEX('Standards for Conversions'!$H$47:$H$73,MATCH(IP$3,'Standards for Conversions'!$A$47:$A$73,0)))=0,"",IQ52/(INDEX('Standards for Conversions'!$H$47:$H$73,MATCH(IP$3,'Standards for Conversions'!$A$47:$A$73,0))))</f>
        <v>28.922045638886473</v>
      </c>
      <c r="IS52" s="33" t="s">
        <v>38</v>
      </c>
      <c r="IV52" s="31" t="str">
        <f>IF(IU52/(INDEX('Standards for Conversions'!$H$47:$H$73,MATCH(IT$3,'Standards for Conversions'!$A$47:$A$73,0)))=0,"",IU52/(INDEX('Standards for Conversions'!$H$47:$H$73,MATCH(IT$3,'Standards for Conversions'!$A$47:$A$73,0))))</f>
        <v/>
      </c>
      <c r="IW52" s="33" t="s">
        <v>38</v>
      </c>
      <c r="IZ52" s="31" t="str">
        <f>IF(IY52/(INDEX('Standards for Conversions'!$H$47:$H$73,MATCH(IX$3,'Standards for Conversions'!$A$47:$A$73,0)))=0,"",IY52/(INDEX('Standards for Conversions'!$H$47:$H$73,MATCH(IX$3,'Standards for Conversions'!$A$47:$A$73,0))))</f>
        <v/>
      </c>
      <c r="JA52" s="48" t="s">
        <v>38</v>
      </c>
      <c r="JD52" s="31" t="str">
        <f>IF(JC52/(INDEX('Standards for Conversions'!$H$47:$H$73,MATCH(JB$3,'Standards for Conversions'!$A$47:$A$73,0)))=0,"",JC52/(INDEX('Standards for Conversions'!$H$47:$H$73,MATCH(JB$3,'Standards for Conversions'!$A$47:$A$73,0))))</f>
        <v/>
      </c>
      <c r="JE52" s="48" t="s">
        <v>38</v>
      </c>
      <c r="JF52" s="29">
        <v>5</v>
      </c>
      <c r="JG52" s="29">
        <v>200</v>
      </c>
      <c r="JH52" s="31">
        <f>IF(JG52/(INDEX('Standards for Conversions'!$H$47:$H$73,MATCH(JF$3,'Standards for Conversions'!$A$47:$A$73,0)))=0,"",JG52/(INDEX('Standards for Conversions'!$H$47:$H$73,MATCH(JF$3,'Standards for Conversions'!$A$47:$A$73,0))))</f>
        <v>32.352039338373736</v>
      </c>
      <c r="JI52" s="33"/>
      <c r="JL52" s="31" t="str">
        <f>IF(JK52/(INDEX('Standards for Conversions'!$H$47:$H$73,MATCH(JJ$3,'Standards for Conversions'!$A$47:$A$73,0)))=0,"",JK52/(INDEX('Standards for Conversions'!$H$47:$H$73,MATCH(JJ$3,'Standards for Conversions'!$A$47:$A$73,0))))</f>
        <v/>
      </c>
      <c r="JM52" s="33" t="s">
        <v>38</v>
      </c>
      <c r="JP52" s="31" t="str">
        <f>IF(JO52/(INDEX('Standards for Conversions'!$H$47:$H$73,MATCH(JN$3,'Standards for Conversions'!$A$47:$A$73,0)))=0,"",JO52/(INDEX('Standards for Conversions'!$H$47:$H$73,MATCH(JN$3,'Standards for Conversions'!$A$47:$A$73,0))))</f>
        <v/>
      </c>
      <c r="JQ52" s="33" t="s">
        <v>38</v>
      </c>
      <c r="JT52" s="31" t="str">
        <f>IF(JS52/(INDEX('Standards for Conversions'!$H$47:$H$73,MATCH(JR$3,'Standards for Conversions'!$A$47:$A$73,0)))=0,"",JS52/(INDEX('Standards for Conversions'!$H$47:$H$73,MATCH(JR$3,'Standards for Conversions'!$A$47:$A$73,0))))</f>
        <v/>
      </c>
      <c r="JU52" s="33" t="s">
        <v>38</v>
      </c>
      <c r="JV52" s="29">
        <v>6</v>
      </c>
      <c r="JW52" s="29">
        <v>200</v>
      </c>
      <c r="JX52" s="31">
        <f>IF(JW52/(INDEX('Standards for Conversions'!$H$47:$H$73,MATCH(JV$3,'Standards for Conversions'!$A$47:$A$73,0)))=0,"",JW52/(INDEX('Standards for Conversions'!$H$47:$H$73,MATCH(JV$3,'Standards for Conversions'!$A$47:$A$73,0))))</f>
        <v>30.531178485559511</v>
      </c>
      <c r="JY52" s="33" t="s">
        <v>38</v>
      </c>
      <c r="KB52" s="31" t="str">
        <f>IF(KA52/(INDEX('Standards for Conversions'!$H$47:$H$73,MATCH(JZ$3,'Standards for Conversions'!$A$47:$A$73,0)))=0,"",KA52/(INDEX('Standards for Conversions'!$H$47:$H$73,MATCH(JZ$3,'Standards for Conversions'!$A$47:$A$73,0))))</f>
        <v/>
      </c>
      <c r="KC52" s="33" t="s">
        <v>38</v>
      </c>
      <c r="KF52" s="31" t="str">
        <f>IF(KE52/(INDEX('Standards for Conversions'!$H$47:$H$73,MATCH(KD$3,'Standards for Conversions'!$A$47:$A$73,0)))=0,"",KE52/(INDEX('Standards for Conversions'!$H$47:$H$73,MATCH(KD$3,'Standards for Conversions'!$A$47:$A$73,0))))</f>
        <v/>
      </c>
      <c r="KG52" s="33" t="s">
        <v>38</v>
      </c>
      <c r="KJ52" s="31" t="str">
        <f>IF(KI52/(INDEX('Standards for Conversions'!$H$47:$H$73,MATCH(KH$3,'Standards for Conversions'!$A$47:$A$73,0)))=0,"",KI52/(INDEX('Standards for Conversions'!$H$47:$H$73,MATCH(KH$3,'Standards for Conversions'!$A$47:$A$73,0))))</f>
        <v/>
      </c>
      <c r="KK52" s="33" t="s">
        <v>38</v>
      </c>
      <c r="KL52" s="29">
        <v>7</v>
      </c>
      <c r="KM52" s="29">
        <v>220</v>
      </c>
      <c r="KN52" s="31">
        <f>IF(KM52/(INDEX('Standards for Conversions'!$H$47:$H$73,MATCH(KL$3,'Standards for Conversions'!$A$47:$A$73,0)))=0,"",KM52/(INDEX('Standards for Conversions'!$H$47:$H$73,MATCH(KL$3,'Standards for Conversions'!$A$47:$A$73,0))))</f>
        <v>29.624982619275222</v>
      </c>
      <c r="KO52" s="33" t="s">
        <v>38</v>
      </c>
      <c r="KR52" s="31" t="str">
        <f>IF(KQ52/(INDEX('Standards for Conversions'!$H$47:$H$73,MATCH(KP$3,'Standards for Conversions'!$A$47:$A$73,0)))=0,"",KQ52/(INDEX('Standards for Conversions'!$H$47:$H$73,MATCH(KP$3,'Standards for Conversions'!$A$47:$A$73,0))))</f>
        <v/>
      </c>
      <c r="KS52" s="33" t="s">
        <v>38</v>
      </c>
      <c r="KV52" s="31" t="str">
        <f>IF(KU52/(INDEX('Standards for Conversions'!$H$47:$H$73,MATCH(KT$3,'Standards for Conversions'!$A$47:$A$73,0)))=0,"",KU52/(INDEX('Standards for Conversions'!$H$47:$H$73,MATCH(KT$3,'Standards for Conversions'!$A$47:$A$73,0))))</f>
        <v/>
      </c>
      <c r="KW52" s="48" t="s">
        <v>38</v>
      </c>
      <c r="KZ52" s="31" t="str">
        <f>IF(KY52/(INDEX('Standards for Conversions'!$H$47:$H$73,MATCH(KX$3,'Standards for Conversions'!$A$47:$A$73,0)))=0,"",KY52/(INDEX('Standards for Conversions'!$H$47:$H$73,MATCH(KX$3,'Standards for Conversions'!$A$47:$A$73,0))))</f>
        <v/>
      </c>
      <c r="LA52" s="48" t="s">
        <v>38</v>
      </c>
      <c r="LD52" s="31" t="str">
        <f>IF(LC52/(INDEX('Standards for Conversions'!$H$47:$H$73,MATCH(LB$3,'Standards for Conversions'!$A$47:$A$73,0)))=0,"",LC52/(INDEX('Standards for Conversions'!$H$47:$H$73,MATCH(LB$3,'Standards for Conversions'!$A$47:$A$73,0))))</f>
        <v/>
      </c>
      <c r="LE52" s="33"/>
      <c r="LH52" s="31" t="str">
        <f>IF(LG52/(INDEX('Standards for Conversions'!$H$47:$H$73,MATCH(LF$3,'Standards for Conversions'!$A$47:$A$73,0)))=0,"",LG52/(INDEX('Standards for Conversions'!$H$47:$H$73,MATCH(LF$3,'Standards for Conversions'!$A$47:$A$73,0))))</f>
        <v/>
      </c>
      <c r="LL52" s="31" t="str">
        <f>IF(LK52/(INDEX('Standards for Conversions'!$H$47:$H$73,MATCH(LJ$3,'Standards for Conversions'!$A$47:$A$73,0)))=0,"",LK52/(INDEX('Standards for Conversions'!$H$47:$H$73,MATCH(LJ$3,'Standards for Conversions'!$A$47:$A$73,0))))</f>
        <v/>
      </c>
      <c r="LO52" s="31" t="str">
        <f>IF(LN52/(INDEX('Standards for Conversions'!$H$47:$H$73,MATCH(LM$3,'Standards for Conversions'!$A$47:$A$73,0)))=0,"",LN52/(INDEX('Standards for Conversions'!$H$47:$H$73,MATCH(LM$3,'Standards for Conversions'!$A$47:$A$73,0))))</f>
        <v/>
      </c>
      <c r="LR52" s="31" t="str">
        <f>IF(LQ52/(INDEX('Standards for Conversions'!$H$47:$H$73,MATCH(LP$3,'Standards for Conversions'!$A$47:$A$73,0)))=0,"",LQ52/(INDEX('Standards for Conversions'!$H$47:$H$73,MATCH(LP$3,'Standards for Conversions'!$A$47:$A$73,0))))</f>
        <v/>
      </c>
      <c r="LV52" s="31" t="str">
        <f>IF(LU52/(INDEX('Standards for Conversions'!$H$47:$H$73,MATCH(LT$3,'Standards for Conversions'!$A$47:$A$73,0)))=0,"",LU52/(INDEX('Standards for Conversions'!$H$47:$H$73,MATCH(LT$3,'Standards for Conversions'!$A$47:$A$73,0))))</f>
        <v/>
      </c>
      <c r="LY52" s="31" t="str">
        <f>IF(LX52/(INDEX('Standards for Conversions'!$H$47:$H$73,MATCH(LW$3,'Standards for Conversions'!$A$47:$A$73,0)))=0,"",LX52/(INDEX('Standards for Conversions'!$H$47:$H$73,MATCH(LW$3,'Standards for Conversions'!$A$47:$A$73,0))))</f>
        <v/>
      </c>
      <c r="MB52" s="31" t="str">
        <f>IF(MA52/(INDEX('Standards for Conversions'!$H$47:$H$73,MATCH(LZ$3,'Standards for Conversions'!$A$47:$A$73,0)))=0,"",MA52/(INDEX('Standards for Conversions'!$H$47:$H$73,MATCH(LZ$3,'Standards for Conversions'!$A$47:$A$73,0))))</f>
        <v/>
      </c>
      <c r="ME52" s="31" t="str">
        <f>IF(MD52/(INDEX('Standards for Conversions'!$H$47:$H$73,MATCH(MC$3,'Standards for Conversions'!$A$47:$A$73,0)))=0,"",MD52/(INDEX('Standards for Conversions'!$H$47:$H$73,MATCH(MC$3,'Standards for Conversions'!$A$47:$A$73,0))))</f>
        <v/>
      </c>
      <c r="MH52" s="31" t="str">
        <f>IF(MG52/(INDEX('Standards for Conversions'!$H$47:$H$73,MATCH(MF$3,'Standards for Conversions'!$A$47:$A$73,0)))=0,"",MG52/(INDEX('Standards for Conversions'!$H$47:$H$73,MATCH(MF$3,'Standards for Conversions'!$A$47:$A$73,0))))</f>
        <v/>
      </c>
      <c r="MK52" s="31" t="str">
        <f>IF(MJ52/(INDEX('Standards for Conversions'!$H$47:$H$73,MATCH(MI$3,'Standards for Conversions'!$A$47:$A$73,0)))=0,"",MJ52/(INDEX('Standards for Conversions'!$H$47:$H$73,MATCH(MI$3,'Standards for Conversions'!$A$47:$A$73,0))))</f>
        <v/>
      </c>
      <c r="MN52" s="31" t="str">
        <f>IF(MM52/(INDEX('Standards for Conversions'!$H$47:$H$73,MATCH(ML$3,'Standards for Conversions'!$A$47:$A$73,0)))=0,"",MM52/(INDEX('Standards for Conversions'!$H$47:$H$73,MATCH(ML$3,'Standards for Conversions'!$A$47:$A$73,0))))</f>
        <v/>
      </c>
      <c r="MR52" s="31" t="str">
        <f>IF(MQ52/(INDEX('Standards for Conversions'!$H$47:$H$73,MATCH(MP$3,'Standards for Conversions'!$A$47:$A$73,0)))=0,"",MQ52/(INDEX('Standards for Conversions'!$H$47:$H$73,MATCH(MP$3,'Standards for Conversions'!$A$47:$A$73,0))))</f>
        <v/>
      </c>
    </row>
    <row r="53" spans="1:373" hidden="1" x14ac:dyDescent="0.3">
      <c r="A53" s="103" t="s">
        <v>234</v>
      </c>
      <c r="C53" s="7"/>
      <c r="D53" s="7"/>
      <c r="E53" s="31" t="str">
        <f>IF(D53/(INDEX('Standards for Conversions'!$H$34:$H$73,MATCH(C$3,'Standards for Conversions'!$A$34:$A$73,0)))=0,"",D53/(INDEX('Standards for Conversions'!$H$34:$H$73,MATCH(C$3,'Standards for Conversions'!$A$34:$A$73,0))))</f>
        <v/>
      </c>
      <c r="G53" s="7"/>
      <c r="H53" s="7"/>
      <c r="I53" s="31" t="str">
        <f>IF(H53/(INDEX('Standards for Conversions'!$H$34:$H$73,MATCH(G$3,'Standards for Conversions'!$A$34:$A$73,0)))=0,"",H53/(INDEX('Standards for Conversions'!$H$34:$H$73,MATCH(G$3,'Standards for Conversions'!$A$34:$A$73,0))))</f>
        <v/>
      </c>
      <c r="K53" s="9"/>
      <c r="L53" s="9"/>
      <c r="M53" s="31" t="str">
        <f>IF(L53/(INDEX('Standards for Conversions'!$H$34:$H$73,MATCH(K$3,'Standards for Conversions'!$A$34:$A$73,0)))=0,"",L53/(INDEX('Standards for Conversions'!$H$34:$H$73,MATCH(K$3,'Standards for Conversions'!$A$34:$A$73,0))))</f>
        <v/>
      </c>
      <c r="O53" s="7"/>
      <c r="P53" s="7"/>
      <c r="Q53" s="31" t="str">
        <f>IF(P53/(INDEX('Standards for Conversions'!$H$34:$H$73,MATCH(O$3,'Standards for Conversions'!$A$34:$A$73,0)))=0,"",P53/(INDEX('Standards for Conversions'!$H$34:$H$73,MATCH(O$3,'Standards for Conversions'!$A$34:$A$73,0))))</f>
        <v/>
      </c>
      <c r="S53" s="7"/>
      <c r="T53" s="7"/>
      <c r="U53" s="31" t="str">
        <f>IF(T53/(INDEX('Standards for Conversions'!$H$34:$H$73,MATCH(S$3,'Standards for Conversions'!$A$34:$A$73,0)))=0,"",T53/(INDEX('Standards for Conversions'!$H$34:$H$73,MATCH(S$3,'Standards for Conversions'!$A$34:$A$73,0))))</f>
        <v/>
      </c>
      <c r="W53" s="7"/>
      <c r="X53" s="7"/>
      <c r="Y53" s="31" t="str">
        <f>IF(X53/(INDEX('Standards for Conversions'!$H$34:$H$73,MATCH(W$3,'Standards for Conversions'!$A$34:$A$73,0)))=0,"",X53/(INDEX('Standards for Conversions'!$H$34:$H$73,MATCH(W$3,'Standards for Conversions'!$A$34:$A$73,0))))</f>
        <v/>
      </c>
      <c r="AA53" s="9"/>
      <c r="AB53" s="9"/>
      <c r="AC53" s="31" t="str">
        <f>IF(AB53/(INDEX('Standards for Conversions'!$H$34:$H$73,MATCH(AA$3,'Standards for Conversions'!$A$34:$A$73,0)))=0,"",AB53/(INDEX('Standards for Conversions'!$H$34:$H$73,MATCH(AA$3,'Standards for Conversions'!$A$34:$A$73,0))))</f>
        <v/>
      </c>
      <c r="AE53" s="7"/>
      <c r="AF53" s="7"/>
      <c r="AG53" s="31" t="str">
        <f>IF(AF53/(INDEX('Standards for Conversions'!$H$34:$H$73,MATCH(AE$3,'Standards for Conversions'!$A$34:$A$73,0)))=0,"",AF53/(INDEX('Standards for Conversions'!$H$34:$H$73,MATCH(AE$3,'Standards for Conversions'!$A$34:$A$73,0))))</f>
        <v/>
      </c>
      <c r="AI53" s="7"/>
      <c r="AJ53" s="7"/>
      <c r="AK53" s="31" t="str">
        <f>IF(AJ53/(INDEX('Standards for Conversions'!$H$34:$H$73,MATCH(AI$3,'Standards for Conversions'!$A$34:$A$73,0)))=0,"",AJ53/(INDEX('Standards for Conversions'!$H$34:$H$73,MATCH(AI$3,'Standards for Conversions'!$A$34:$A$73,0))))</f>
        <v/>
      </c>
      <c r="AM53" s="7"/>
      <c r="AN53" s="7"/>
      <c r="AO53" s="31" t="str">
        <f>IF(AN53/(INDEX('Standards for Conversions'!$H$34:$H$73,MATCH(AM$3,'Standards for Conversions'!$A$34:$A$73,0)))=0,"",AN53/(INDEX('Standards for Conversions'!$H$34:$H$73,MATCH(AM$3,'Standards for Conversions'!$A$34:$A$73,0))))</f>
        <v/>
      </c>
      <c r="AQ53" s="9"/>
      <c r="AR53" s="9"/>
      <c r="AS53" s="31" t="str">
        <f>IF(AR53/(INDEX('Standards for Conversions'!$H$34:$H$73,MATCH(AQ$3,'Standards for Conversions'!$A$34:$A$73,0)))=0,"",AR53/(INDEX('Standards for Conversions'!$H$34:$H$73,MATCH(AQ$3,'Standards for Conversions'!$A$34:$A$73,0))))</f>
        <v/>
      </c>
      <c r="AU53" s="7"/>
      <c r="AV53" s="7"/>
      <c r="AW53" s="31" t="str">
        <f>IF(AV53/(INDEX('Standards for Conversions'!$H$34:$H$73,MATCH(AU$3,'Standards for Conversions'!$A$34:$A$73,0)))=0,"",AV53/(INDEX('Standards for Conversions'!$H$34:$H$73,MATCH(AU$3,'Standards for Conversions'!$A$34:$A$73,0))))</f>
        <v/>
      </c>
      <c r="AY53" s="7"/>
      <c r="AZ53" s="7"/>
      <c r="BA53" s="31" t="str">
        <f>IF(AZ53/(INDEX('Standards for Conversions'!$H$34:$H$73,MATCH(AY$3,'Standards for Conversions'!$A$34:$A$73,0)))=0,"",AZ53/(INDEX('Standards for Conversions'!$H$34:$H$73,MATCH(AY$3,'Standards for Conversions'!$A$34:$A$73,0))))</f>
        <v/>
      </c>
      <c r="BC53" s="7"/>
      <c r="BD53" s="7"/>
      <c r="BE53" s="31" t="str">
        <f>IF(BD53/(INDEX('Standards for Conversions'!$H$34:$H$73,MATCH(BC$3,'Standards for Conversions'!$A$34:$A$73,0)))=0,"",BD53/(INDEX('Standards for Conversions'!$H$34:$H$73,MATCH(BC$3,'Standards for Conversions'!$A$34:$A$73,0))))</f>
        <v/>
      </c>
      <c r="BG53" s="9"/>
      <c r="BH53" s="9"/>
      <c r="BI53" s="31" t="str">
        <f>IF(BH53/(INDEX('Standards for Conversions'!$H$34:$H$73,MATCH(BG$3,'Standards for Conversions'!$A$34:$A$73,0)))=0,"",BH53/(INDEX('Standards for Conversions'!$H$34:$H$73,MATCH(BG$3,'Standards for Conversions'!$A$34:$A$73,0))))</f>
        <v/>
      </c>
      <c r="BK53" s="7"/>
      <c r="BL53" s="7"/>
      <c r="BM53" s="31" t="str">
        <f>IF(BL53/(INDEX('Standards for Conversions'!$H$34:$H$73,MATCH(BK$3,'Standards for Conversions'!$A$34:$A$73,0)))=0,"",BL53/(INDEX('Standards for Conversions'!$H$34:$H$73,MATCH(BK$3,'Standards for Conversions'!$A$34:$A$73,0))))</f>
        <v/>
      </c>
      <c r="BO53" s="7"/>
      <c r="BP53" s="7"/>
      <c r="BQ53" s="31" t="str">
        <f>IF(BP53/(INDEX('Standards for Conversions'!$H$34:$H$73,MATCH(BO$3,'Standards for Conversions'!$A$34:$A$73,0)))=0,"",BP53/(INDEX('Standards for Conversions'!$H$34:$H$73,MATCH(BO$3,'Standards for Conversions'!$A$34:$A$73,0))))</f>
        <v/>
      </c>
      <c r="BS53" s="7"/>
      <c r="BT53" s="7"/>
      <c r="BU53" s="31" t="str">
        <f>IF(BT53/(INDEX('Standards for Conversions'!$H$34:$H$73,MATCH(BS$3,'Standards for Conversions'!$A$34:$A$73,0)))=0,"",BT53/(INDEX('Standards for Conversions'!$H$34:$H$73,MATCH(BS$3,'Standards for Conversions'!$A$34:$A$73,0))))</f>
        <v/>
      </c>
      <c r="BW53" s="9"/>
      <c r="BX53" s="9"/>
      <c r="BY53" s="31" t="str">
        <f>IF(BX53/(INDEX('Standards for Conversions'!$H$34:$H$73,MATCH(BW$3,'Standards for Conversions'!$A$34:$A$73,0)))=0,"",BX53/(INDEX('Standards for Conversions'!$H$34:$H$73,MATCH(BW$3,'Standards for Conversions'!$A$34:$A$73,0))))</f>
        <v/>
      </c>
      <c r="CA53" s="7"/>
      <c r="CB53" s="7"/>
      <c r="CC53" s="31" t="str">
        <f>IF(CB53/(INDEX('Standards for Conversions'!$H$34:$H$73,MATCH(CA$3,'Standards for Conversions'!$A$34:$A$73,0)))=0,"",CB53/(INDEX('Standards for Conversions'!$H$34:$H$73,MATCH(CA$3,'Standards for Conversions'!$A$34:$A$73,0))))</f>
        <v/>
      </c>
      <c r="CE53" s="7"/>
      <c r="CF53" s="7"/>
      <c r="CG53" s="31" t="str">
        <f>IF(CF53/(INDEX('Standards for Conversions'!$H$34:$H$73,MATCH(CE$3,'Standards for Conversions'!$A$34:$A$73,0)))=0,"",CF53/(INDEX('Standards for Conversions'!$H$34:$H$73,MATCH(CE$3,'Standards for Conversions'!$A$34:$A$73,0))))</f>
        <v/>
      </c>
      <c r="CI53" s="7"/>
      <c r="CJ53" s="7"/>
      <c r="CK53" s="31" t="str">
        <f>IF(CJ53/(INDEX('Standards for Conversions'!$H$34:$H$73,MATCH(CI$3,'Standards for Conversions'!$A$34:$A$73,0)))=0,"",CJ53/(INDEX('Standards for Conversions'!$H$34:$H$73,MATCH(CI$3,'Standards for Conversions'!$A$34:$A$73,0))))</f>
        <v/>
      </c>
      <c r="CM53" s="9"/>
      <c r="CN53" s="9"/>
      <c r="CO53" s="31" t="str">
        <f>IF(CN53/(INDEX('Standards for Conversions'!$H$34:$H$73,MATCH(CM$3,'Standards for Conversions'!$A$34:$A$73,0)))=0,"",CN53/(INDEX('Standards for Conversions'!$H$34:$H$73,MATCH(CM$3,'Standards for Conversions'!$A$34:$A$73,0))))</f>
        <v/>
      </c>
      <c r="CQ53" s="7"/>
      <c r="CR53" s="7"/>
      <c r="CS53" s="31" t="str">
        <f>IF(CR53/(INDEX('Standards for Conversions'!$H$34:$H$73,MATCH(CQ$3,'Standards for Conversions'!$A$34:$A$73,0)))=0,"",CR53/(INDEX('Standards for Conversions'!$H$34:$H$73,MATCH(CQ$3,'Standards for Conversions'!$A$34:$A$73,0))))</f>
        <v/>
      </c>
      <c r="CU53" s="7"/>
      <c r="CV53" s="7"/>
      <c r="CW53" s="31" t="str">
        <f>IF(CV53/(INDEX('Standards for Conversions'!$H$34:$H$73,MATCH(CU$3,'Standards for Conversions'!$A$34:$A$73,0)))=0,"",CV53/(INDEX('Standards for Conversions'!$H$34:$H$73,MATCH(CU$3,'Standards for Conversions'!$A$34:$A$73,0))))</f>
        <v/>
      </c>
      <c r="CY53" s="7"/>
      <c r="CZ53" s="7"/>
      <c r="DA53" s="31" t="str">
        <f>IF(CZ53/(INDEX('Standards for Conversions'!$H$34:$H$73,MATCH(CY$3,'Standards for Conversions'!$A$34:$A$73,0)))=0,"",CZ53/(INDEX('Standards for Conversions'!$H$34:$H$73,MATCH(CY$3,'Standards for Conversions'!$A$34:$A$73,0))))</f>
        <v/>
      </c>
      <c r="DC53" s="9"/>
      <c r="DD53" s="9"/>
      <c r="DE53" s="31" t="str">
        <f>IF(DD53/(INDEX('Standards for Conversions'!$H$34:$H$73,MATCH(DC$3,'Standards for Conversions'!$A$34:$A$73,0)))=0,"",DD53/(INDEX('Standards for Conversions'!$H$34:$H$73,MATCH(DC$3,'Standards for Conversions'!$A$34:$A$73,0))))</f>
        <v/>
      </c>
      <c r="DG53" s="7"/>
      <c r="DH53" s="7"/>
      <c r="DI53" s="31" t="str">
        <f>IF(DH53/(INDEX('Standards for Conversions'!$H$34:$H$73,MATCH(DG$3,'Standards for Conversions'!$A$34:$A$73,0)))=0,"",DH53/(INDEX('Standards for Conversions'!$H$34:$H$73,MATCH(DG$3,'Standards for Conversions'!$A$34:$A$73,0))))</f>
        <v/>
      </c>
      <c r="DK53" s="7"/>
      <c r="DL53" s="7"/>
      <c r="DM53" s="31" t="str">
        <f>IF(DL53/(INDEX('Standards for Conversions'!$H$34:$H$73,MATCH(DK$3,'Standards for Conversions'!$A$34:$A$73,0)))=0,"",DL53/(INDEX('Standards for Conversions'!$H$34:$H$73,MATCH(DK$3,'Standards for Conversions'!$A$34:$A$73,0))))</f>
        <v/>
      </c>
      <c r="DO53" s="7"/>
      <c r="DP53" s="7"/>
      <c r="DQ53" s="31" t="str">
        <f>IF(DP53/(INDEX('Standards for Conversions'!$H$34:$H$73,MATCH(DO$3,'Standards for Conversions'!$A$34:$A$73,0)))=0,"",DP53/(INDEX('Standards for Conversions'!$H$34:$H$73,MATCH(DO$3,'Standards for Conversions'!$A$34:$A$73,0))))</f>
        <v/>
      </c>
      <c r="DS53" s="9"/>
      <c r="DT53" s="9"/>
      <c r="DU53" s="31" t="str">
        <f>IF(DT53/(INDEX('Standards for Conversions'!$H$34:$H$73,MATCH(DS$3,'Standards for Conversions'!$A$34:$A$73,0)))=0,"",DT53/(INDEX('Standards for Conversions'!$H$34:$H$73,MATCH(DS$3,'Standards for Conversions'!$A$34:$A$73,0))))</f>
        <v/>
      </c>
      <c r="DW53" s="7"/>
      <c r="DX53" s="7"/>
      <c r="DY53" s="31" t="str">
        <f>IF(DX53/(INDEX('Standards for Conversions'!$H$34:$H$73,MATCH(DW$3,'Standards for Conversions'!$A$34:$A$73,0)))=0,"",DX53/(INDEX('Standards for Conversions'!$H$34:$H$73,MATCH(DW$3,'Standards for Conversions'!$A$34:$A$73,0))))</f>
        <v/>
      </c>
      <c r="EA53" s="7"/>
      <c r="EB53" s="7"/>
      <c r="EC53" s="31" t="str">
        <f>IF(EB53/(INDEX('Standards for Conversions'!$H$34:$H$73,MATCH(EA$3,'Standards for Conversions'!$A$34:$A$73,0)))=0,"",EB53/(INDEX('Standards for Conversions'!$H$34:$H$73,MATCH(EA$3,'Standards for Conversions'!$A$34:$A$73,0))))</f>
        <v/>
      </c>
      <c r="EE53" s="7"/>
      <c r="EF53" s="7"/>
      <c r="EG53" s="31" t="str">
        <f>IF(EF53/(INDEX('Standards for Conversions'!$H$34:$H$73,MATCH(EE$3,'Standards for Conversions'!$A$34:$A$73,0)))=0,"",EF53/(INDEX('Standards for Conversions'!$H$34:$H$73,MATCH(EE$3,'Standards for Conversions'!$A$34:$A$73,0))))</f>
        <v/>
      </c>
      <c r="EI53" s="9"/>
      <c r="EJ53" s="9"/>
      <c r="EK53" s="31" t="str">
        <f>IF(EJ53/(INDEX('Standards for Conversions'!$H$34:$H$73,MATCH(EI$3,'Standards for Conversions'!$A$34:$A$73,0)))=0,"",EJ53/(INDEX('Standards for Conversions'!$H$34:$H$73,MATCH(EI$3,'Standards for Conversions'!$A$34:$A$73,0))))</f>
        <v/>
      </c>
      <c r="EM53" s="7"/>
      <c r="EN53" s="7"/>
      <c r="EO53" s="31" t="str">
        <f>IF(EN53/(INDEX('Standards for Conversions'!$H$34:$H$73,MATCH(EM$3,'Standards for Conversions'!$A$34:$A$73,0)))=0,"",EN53/(INDEX('Standards for Conversions'!$H$34:$H$73,MATCH(EM$3,'Standards for Conversions'!$A$34:$A$73,0))))</f>
        <v/>
      </c>
      <c r="EQ53" s="7"/>
      <c r="ER53" s="7"/>
      <c r="ES53" s="31" t="str">
        <f>IF(ER53/(INDEX('Standards for Conversions'!$H$34:$H$73,MATCH(EQ$3,'Standards for Conversions'!$A$34:$A$73,0)))=0,"",ER53/(INDEX('Standards for Conversions'!$H$34:$H$73,MATCH(EQ$3,'Standards for Conversions'!$A$34:$A$73,0))))</f>
        <v/>
      </c>
      <c r="EU53" s="7"/>
      <c r="EV53" s="7"/>
      <c r="EW53" s="31" t="str">
        <f>IF(EV53/(INDEX('Standards for Conversions'!$H$34:$H$73,MATCH(EU$3,'Standards for Conversions'!$A$34:$A$73,0)))=0,"",EV53/(INDEX('Standards for Conversions'!$H$34:$H$73,MATCH(EU$3,'Standards for Conversions'!$A$34:$A$73,0))))</f>
        <v/>
      </c>
      <c r="EY53" s="9"/>
      <c r="EZ53" s="9"/>
      <c r="FA53" s="31" t="str">
        <f>IF(EZ53/(INDEX('Standards for Conversions'!$H$34:$H$73,MATCH(EY$3,'Standards for Conversions'!$A$34:$A$73,0)))=0,"",EZ53/(INDEX('Standards for Conversions'!$H$34:$H$73,MATCH(EY$3,'Standards for Conversions'!$A$34:$A$73,0))))</f>
        <v/>
      </c>
      <c r="FC53" s="7"/>
      <c r="FD53" s="7"/>
      <c r="FE53" s="31" t="str">
        <f>IF(FD53/(INDEX('Standards for Conversions'!$H$34:$H$73,MATCH(FC$3,'Standards for Conversions'!$A$34:$A$73,0)))=0,"",FD53/(INDEX('Standards for Conversions'!$H$34:$H$73,MATCH(FC$3,'Standards for Conversions'!$A$34:$A$73,0))))</f>
        <v/>
      </c>
      <c r="FG53" s="7"/>
      <c r="FH53" s="7"/>
      <c r="FI53" s="31" t="str">
        <f>IF(FH53/(INDEX('Standards for Conversions'!$H$34:$H$73,MATCH(FG$3,'Standards for Conversions'!$A$34:$A$73,0)))=0,"",FH53/(INDEX('Standards for Conversions'!$H$34:$H$73,MATCH(FG$3,'Standards for Conversions'!$A$34:$A$73,0))))</f>
        <v/>
      </c>
      <c r="FK53" s="7"/>
      <c r="FL53" s="7"/>
      <c r="FM53" s="31" t="str">
        <f>IF(FL53/(INDEX('Standards for Conversions'!$H$34:$H$73,MATCH(FK$3,'Standards for Conversions'!$A$34:$A$73,0)))=0,"",FL53/(INDEX('Standards for Conversions'!$H$34:$H$73,MATCH(FK$3,'Standards for Conversions'!$A$34:$A$73,0))))</f>
        <v/>
      </c>
      <c r="FO53" s="9"/>
      <c r="FP53" s="9"/>
      <c r="FQ53" s="31" t="str">
        <f>IF(FP53/(INDEX('Standards for Conversions'!$H$34:$H$73,MATCH(FO$3,'Standards for Conversions'!$A$34:$A$73,0)))=0,"",FP53/(INDEX('Standards for Conversions'!$H$34:$H$73,MATCH(FO$3,'Standards for Conversions'!$A$34:$A$73,0))))</f>
        <v/>
      </c>
      <c r="FS53" s="7"/>
      <c r="FT53" s="7"/>
      <c r="FU53" s="31" t="str">
        <f>IF(FT53/(INDEX('Standards for Conversions'!$H$34:$H$73,MATCH(FS$3,'Standards for Conversions'!$A$34:$A$73,0)))=0,"",FT53/(INDEX('Standards for Conversions'!$H$34:$H$73,MATCH(FS$3,'Standards for Conversions'!$A$34:$A$73,0))))</f>
        <v/>
      </c>
      <c r="FW53" s="7"/>
      <c r="FX53" s="7"/>
      <c r="FY53" s="31" t="str">
        <f>IF(FX53/(INDEX('Standards for Conversions'!$H$34:$H$73,MATCH(FW$3,'Standards for Conversions'!$A$34:$A$73,0)))=0,"",FX53/(INDEX('Standards for Conversions'!$H$34:$H$73,MATCH(FW$3,'Standards for Conversions'!$A$34:$A$73,0))))</f>
        <v/>
      </c>
      <c r="GA53" s="7"/>
      <c r="GB53" s="7"/>
      <c r="GC53" s="31" t="str">
        <f>IF(GB53/(INDEX('Standards for Conversions'!$H$34:$H$73,MATCH(GA$3,'Standards for Conversions'!$A$34:$A$73,0)))=0,"",GB53/(INDEX('Standards for Conversions'!$H$34:$H$73,MATCH(GA$3,'Standards for Conversions'!$A$34:$A$73,0))))</f>
        <v/>
      </c>
      <c r="GE53" s="9"/>
      <c r="GF53" s="9"/>
      <c r="GG53" s="31" t="str">
        <f>IF(GF53/(INDEX('Standards for Conversions'!$H$34:$H$73,MATCH(GE$3,'Standards for Conversions'!$A$34:$A$73,0)))=0,"",GF53/(INDEX('Standards for Conversions'!$H$34:$H$73,MATCH(GE$3,'Standards for Conversions'!$A$34:$A$73,0))))</f>
        <v/>
      </c>
      <c r="GI53" s="7"/>
      <c r="GJ53" s="7"/>
      <c r="GK53" s="31" t="str">
        <f>IF(GJ53/(INDEX('Standards for Conversions'!$H$34:$H$73,MATCH(GI$3,'Standards for Conversions'!$A$34:$A$73,0)))=0,"",GJ53/(INDEX('Standards for Conversions'!$H$34:$H$73,MATCH(GI$3,'Standards for Conversions'!$A$34:$A$73,0))))</f>
        <v/>
      </c>
      <c r="GM53" s="7"/>
      <c r="GN53" s="7"/>
      <c r="GO53" s="31" t="str">
        <f>IF(GN53/(INDEX('Standards for Conversions'!$H$34:$H$73,MATCH(GM$3,'Standards for Conversions'!$A$34:$A$73,0)))=0,"",GN53/(INDEX('Standards for Conversions'!$H$34:$H$73,MATCH(GM$3,'Standards for Conversions'!$A$34:$A$73,0))))</f>
        <v/>
      </c>
      <c r="GQ53" s="7"/>
      <c r="GR53" s="7"/>
      <c r="GS53" s="31" t="str">
        <f>IF(GR53/(INDEX('Standards for Conversions'!$H$34:$H$73,MATCH(GQ$3,'Standards for Conversions'!$A$34:$A$73,0)))=0,"",GR53/(INDEX('Standards for Conversions'!$H$34:$H$73,MATCH(GQ$3,'Standards for Conversions'!$A$34:$A$73,0))))</f>
        <v/>
      </c>
      <c r="GU53" s="9"/>
      <c r="GV53" s="9"/>
      <c r="GW53" s="31" t="str">
        <f>IF(GV53/(INDEX('Standards for Conversions'!$H$34:$H$73,MATCH(GU$3,'Standards for Conversions'!$A$34:$A$73,0)))=0,"",GV53/(INDEX('Standards for Conversions'!$H$34:$H$73,MATCH(GU$3,'Standards for Conversions'!$A$34:$A$73,0))))</f>
        <v/>
      </c>
      <c r="GY53" s="7"/>
      <c r="GZ53" s="7"/>
      <c r="HA53" s="31" t="str">
        <f>IF(GZ53/(INDEX('Standards for Conversions'!$H$34:$H$73,MATCH(GY$3,'Standards for Conversions'!$A$34:$A$73,0)))=0,"",GZ53/(INDEX('Standards for Conversions'!$H$34:$H$73,MATCH(GY$3,'Standards for Conversions'!$A$34:$A$73,0))))</f>
        <v/>
      </c>
      <c r="HC53" s="7"/>
      <c r="HD53" s="7"/>
      <c r="HE53" s="31" t="str">
        <f>IF(HD53/(INDEX('Standards for Conversions'!$H$34:$H$73,MATCH(HC$3,'Standards for Conversions'!$A$34:$A$73,0)))=0,"",HD53/(INDEX('Standards for Conversions'!$H$34:$H$73,MATCH(HC$3,'Standards for Conversions'!$A$34:$A$73,0))))</f>
        <v/>
      </c>
      <c r="HG53" s="7"/>
      <c r="HH53" s="7"/>
      <c r="HI53" s="31" t="str">
        <f>IF(HH53/(INDEX('Standards for Conversions'!$H$34:$H$73,MATCH(HG$3,'Standards for Conversions'!$A$34:$A$73,0)))=0,"",HH53/(INDEX('Standards for Conversions'!$H$34:$H$73,MATCH(HG$3,'Standards for Conversions'!$A$34:$A$73,0))))</f>
        <v/>
      </c>
      <c r="HK53" s="9"/>
      <c r="HL53" s="9"/>
      <c r="HM53" s="31" t="str">
        <f>IF(HL53/(INDEX('Standards for Conversions'!$H$34:$H$73,MATCH(HK$3,'Standards for Conversions'!$A$34:$A$73,0)))=0,"",HL53/(INDEX('Standards for Conversions'!$H$34:$H$73,MATCH(HK$3,'Standards for Conversions'!$A$34:$A$73,0))))</f>
        <v/>
      </c>
      <c r="HO53" s="7"/>
      <c r="HP53" s="7"/>
      <c r="HQ53" s="31" t="str">
        <f>IF(HP53/(INDEX('Standards for Conversions'!$H$34:$H$73,MATCH(HO$3,'Standards for Conversions'!$A$34:$A$73,0)))=0,"",HP53/(INDEX('Standards for Conversions'!$H$34:$H$73,MATCH(HO$3,'Standards for Conversions'!$A$34:$A$73,0))))</f>
        <v/>
      </c>
      <c r="HU53" s="31" t="str">
        <f>IF(HT53/(INDEX('Standards for Conversions'!$H$47:$H$73,MATCH(HS$3,'Standards for Conversions'!$A$47:$A$73,0)))=0,"",HT53/(INDEX('Standards for Conversions'!$H$47:$H$73,MATCH(HS$3,'Standards for Conversions'!$A$47:$A$73,0))))</f>
        <v/>
      </c>
      <c r="HY53" s="31" t="str">
        <f>IF(HX53/(INDEX('Standards for Conversions'!$H$47:$H$73,MATCH(HW$3,'Standards for Conversions'!$A$47:$A$73,0)))=0,"",HX53/(INDEX('Standards for Conversions'!$H$47:$H$73,MATCH(HW$3,'Standards for Conversions'!$A$47:$A$73,0))))</f>
        <v/>
      </c>
      <c r="HZ53" s="33"/>
      <c r="IA53" s="33"/>
      <c r="IB53" s="31" t="str">
        <f>IF(IA53/(INDEX('Standards for Conversions'!$H$47:$H$73,MATCH(HZ$3,'Standards for Conversions'!$A$47:$A$73,0)))=0,"",IA53/(INDEX('Standards for Conversions'!$H$47:$H$73,MATCH(HZ$3,'Standards for Conversions'!$A$47:$A$73,0))))</f>
        <v/>
      </c>
      <c r="IE53" s="29">
        <v>5000</v>
      </c>
      <c r="IF53" s="31">
        <f>IF(IE53/(INDEX('Standards for Conversions'!$H$47:$H$73,MATCH(ID$3,'Standards for Conversions'!$A$47:$A$73,0)))=0,"",IE53/(INDEX('Standards for Conversions'!$H$47:$H$73,MATCH(ID$3,'Standards for Conversions'!$A$47:$A$73,0))))</f>
        <v>726.22706106427984</v>
      </c>
      <c r="IJ53" s="31" t="str">
        <f>IF(II53/(INDEX('Standards for Conversions'!$H$47:$H$73,MATCH(IH$3,'Standards for Conversions'!$A$47:$A$73,0)))=0,"",II53/(INDEX('Standards for Conversions'!$H$47:$H$73,MATCH(IH$3,'Standards for Conversions'!$A$47:$A$73,0))))</f>
        <v/>
      </c>
      <c r="IN53" s="31" t="str">
        <f>IF(IM53/(INDEX('Standards for Conversions'!$H$47:$H$73,MATCH(IL$3,'Standards for Conversions'!$A$47:$A$73,0)))=0,"",IM53/(INDEX('Standards for Conversions'!$H$47:$H$73,MATCH(IL$3,'Standards for Conversions'!$A$47:$A$73,0))))</f>
        <v/>
      </c>
      <c r="IR53" s="31" t="str">
        <f>IF(IQ53/(INDEX('Standards for Conversions'!$H$47:$H$73,MATCH(IP$3,'Standards for Conversions'!$A$47:$A$73,0)))=0,"",IQ53/(INDEX('Standards for Conversions'!$H$47:$H$73,MATCH(IP$3,'Standards for Conversions'!$A$47:$A$73,0))))</f>
        <v/>
      </c>
      <c r="IU53" s="29">
        <v>2870</v>
      </c>
      <c r="IV53" s="31">
        <f>IF(IU53/(INDEX('Standards for Conversions'!$H$47:$H$73,MATCH(IT$3,'Standards for Conversions'!$A$47:$A$73,0)))=0,"",IU53/(INDEX('Standards for Conversions'!$H$47:$H$73,MATCH(IT$3,'Standards for Conversions'!$A$47:$A$73,0))))</f>
        <v>415.0313549180209</v>
      </c>
      <c r="IZ53" s="31" t="str">
        <f>IF(IY53/(INDEX('Standards for Conversions'!$H$47:$H$73,MATCH(IX$3,'Standards for Conversions'!$A$47:$A$73,0)))=0,"",IY53/(INDEX('Standards for Conversions'!$H$47:$H$73,MATCH(IX$3,'Standards for Conversions'!$A$47:$A$73,0))))</f>
        <v/>
      </c>
      <c r="JA53" s="33"/>
      <c r="JD53" s="31" t="str">
        <f>IF(JC53/(INDEX('Standards for Conversions'!$H$47:$H$73,MATCH(JB$3,'Standards for Conversions'!$A$47:$A$73,0)))=0,"",JC53/(INDEX('Standards for Conversions'!$H$47:$H$73,MATCH(JB$3,'Standards for Conversions'!$A$47:$A$73,0))))</f>
        <v/>
      </c>
      <c r="JE53" s="33"/>
      <c r="JH53" s="31" t="str">
        <f>IF(JG53/(INDEX('Standards for Conversions'!$H$47:$H$73,MATCH(JF$3,'Standards for Conversions'!$A$47:$A$73,0)))=0,"",JG53/(INDEX('Standards for Conversions'!$H$47:$H$73,MATCH(JF$3,'Standards for Conversions'!$A$47:$A$73,0))))</f>
        <v/>
      </c>
      <c r="JI53" s="33"/>
      <c r="JK53" s="29">
        <v>4000</v>
      </c>
      <c r="JL53" s="31">
        <f>IF(JK53/(INDEX('Standards for Conversions'!$H$47:$H$73,MATCH(JJ$3,'Standards for Conversions'!$A$47:$A$73,0)))=0,"",JK53/(INDEX('Standards for Conversions'!$H$47:$H$73,MATCH(JJ$3,'Standards for Conversions'!$A$47:$A$73,0))))</f>
        <v>647.04078676747474</v>
      </c>
      <c r="JP53" s="31" t="str">
        <f>IF(JO53/(INDEX('Standards for Conversions'!$H$47:$H$73,MATCH(JN$3,'Standards for Conversions'!$A$47:$A$73,0)))=0,"",JO53/(INDEX('Standards for Conversions'!$H$47:$H$73,MATCH(JN$3,'Standards for Conversions'!$A$47:$A$73,0))))</f>
        <v/>
      </c>
      <c r="JT53" s="31" t="str">
        <f>IF(JS53/(INDEX('Standards for Conversions'!$H$47:$H$73,MATCH(JR$3,'Standards for Conversions'!$A$47:$A$73,0)))=0,"",JS53/(INDEX('Standards for Conversions'!$H$47:$H$73,MATCH(JR$3,'Standards for Conversions'!$A$47:$A$73,0))))</f>
        <v/>
      </c>
      <c r="JX53" s="31" t="str">
        <f>IF(JW53/(INDEX('Standards for Conversions'!$H$47:$H$73,MATCH(JV$3,'Standards for Conversions'!$A$47:$A$73,0)))=0,"",JW53/(INDEX('Standards for Conversions'!$H$47:$H$73,MATCH(JV$3,'Standards for Conversions'!$A$47:$A$73,0))))</f>
        <v/>
      </c>
      <c r="KA53" s="29">
        <v>3500</v>
      </c>
      <c r="KB53" s="31">
        <f>IF(KA53/(INDEX('Standards for Conversions'!$H$47:$H$73,MATCH(JZ$3,'Standards for Conversions'!$A$47:$A$73,0)))=0,"",KA53/(INDEX('Standards for Conversions'!$H$47:$H$73,MATCH(JZ$3,'Standards for Conversions'!$A$47:$A$73,0))))</f>
        <v>534.29562349729144</v>
      </c>
      <c r="KF53" s="31" t="str">
        <f>IF(KE53/(INDEX('Standards for Conversions'!$H$47:$H$73,MATCH(KD$3,'Standards for Conversions'!$A$47:$A$73,0)))=0,"",KE53/(INDEX('Standards for Conversions'!$H$47:$H$73,MATCH(KD$3,'Standards for Conversions'!$A$47:$A$73,0))))</f>
        <v/>
      </c>
      <c r="KJ53" s="31" t="str">
        <f>IF(KI53/(INDEX('Standards for Conversions'!$H$47:$H$73,MATCH(KH$3,'Standards for Conversions'!$A$47:$A$73,0)))=0,"",KI53/(INDEX('Standards for Conversions'!$H$47:$H$73,MATCH(KH$3,'Standards for Conversions'!$A$47:$A$73,0))))</f>
        <v/>
      </c>
      <c r="KN53" s="31" t="str">
        <f>IF(KM53/(INDEX('Standards for Conversions'!$H$47:$H$73,MATCH(KL$3,'Standards for Conversions'!$A$47:$A$73,0)))=0,"",KM53/(INDEX('Standards for Conversions'!$H$47:$H$73,MATCH(KL$3,'Standards for Conversions'!$A$47:$A$73,0))))</f>
        <v/>
      </c>
      <c r="KQ53" s="29">
        <v>4000</v>
      </c>
      <c r="KR53" s="31">
        <f>IF(KQ53/(INDEX('Standards for Conversions'!$H$47:$H$73,MATCH(KP$3,'Standards for Conversions'!$A$47:$A$73,0)))=0,"",KQ53/(INDEX('Standards for Conversions'!$H$47:$H$73,MATCH(KP$3,'Standards for Conversions'!$A$47:$A$73,0))))</f>
        <v>538.63604762318585</v>
      </c>
      <c r="KV53" s="31" t="str">
        <f>IF(KU53/(INDEX('Standards for Conversions'!$H$47:$H$73,MATCH(KT$3,'Standards for Conversions'!$A$47:$A$73,0)))=0,"",KU53/(INDEX('Standards for Conversions'!$H$47:$H$73,MATCH(KT$3,'Standards for Conversions'!$A$47:$A$73,0))))</f>
        <v/>
      </c>
      <c r="KW53" s="33"/>
      <c r="KZ53" s="31" t="str">
        <f>IF(KY53/(INDEX('Standards for Conversions'!$H$47:$H$73,MATCH(KX$3,'Standards for Conversions'!$A$47:$A$73,0)))=0,"",KY53/(INDEX('Standards for Conversions'!$H$47:$H$73,MATCH(KX$3,'Standards for Conversions'!$A$47:$A$73,0))))</f>
        <v/>
      </c>
      <c r="LA53" s="33" t="s">
        <v>91</v>
      </c>
      <c r="LD53" s="31" t="str">
        <f>IF(LC53/(INDEX('Standards for Conversions'!$H$47:$H$73,MATCH(LB$3,'Standards for Conversions'!$A$47:$A$73,0)))=0,"",LC53/(INDEX('Standards for Conversions'!$H$47:$H$73,MATCH(LB$3,'Standards for Conversions'!$A$47:$A$73,0))))</f>
        <v/>
      </c>
      <c r="LE53" s="48" t="s">
        <v>91</v>
      </c>
      <c r="LF53" s="29">
        <v>104</v>
      </c>
      <c r="LG53" s="29">
        <v>400</v>
      </c>
      <c r="LH53" s="31">
        <f>IF(LG53/(INDEX('Standards for Conversions'!$H$47:$H$73,MATCH(LF$3,'Standards for Conversions'!$A$47:$A$73,0)))=0,"",LG53/(INDEX('Standards for Conversions'!$H$47:$H$73,MATCH(LF$3,'Standards for Conversions'!$A$47:$A$73,0))))</f>
        <v>48.646626690999675</v>
      </c>
      <c r="LL53" s="31" t="str">
        <f>IF(LK53/(INDEX('Standards for Conversions'!$H$47:$H$73,MATCH(LJ$3,'Standards for Conversions'!$A$47:$A$73,0)))=0,"",LK53/(INDEX('Standards for Conversions'!$H$47:$H$73,MATCH(LJ$3,'Standards for Conversions'!$A$47:$A$73,0))))</f>
        <v/>
      </c>
      <c r="LO53" s="31" t="str">
        <f>IF(LN53/(INDEX('Standards for Conversions'!$H$47:$H$73,MATCH(LM$3,'Standards for Conversions'!$A$47:$A$73,0)))=0,"",LN53/(INDEX('Standards for Conversions'!$H$47:$H$73,MATCH(LM$3,'Standards for Conversions'!$A$47:$A$73,0))))</f>
        <v/>
      </c>
      <c r="LR53" s="31" t="str">
        <f>IF(LQ53/(INDEX('Standards for Conversions'!$H$47:$H$73,MATCH(LP$3,'Standards for Conversions'!$A$47:$A$73,0)))=0,"",LQ53/(INDEX('Standards for Conversions'!$H$47:$H$73,MATCH(LP$3,'Standards for Conversions'!$A$47:$A$73,0))))</f>
        <v/>
      </c>
      <c r="LV53" s="31" t="str">
        <f>IF(LU53/(INDEX('Standards for Conversions'!$H$47:$H$73,MATCH(LT$3,'Standards for Conversions'!$A$47:$A$73,0)))=0,"",LU53/(INDEX('Standards for Conversions'!$H$47:$H$73,MATCH(LT$3,'Standards for Conversions'!$A$47:$A$73,0))))</f>
        <v/>
      </c>
      <c r="LY53" s="31" t="str">
        <f>IF(LX53/(INDEX('Standards for Conversions'!$H$47:$H$73,MATCH(LW$3,'Standards for Conversions'!$A$47:$A$73,0)))=0,"",LX53/(INDEX('Standards for Conversions'!$H$47:$H$73,MATCH(LW$3,'Standards for Conversions'!$A$47:$A$73,0))))</f>
        <v/>
      </c>
      <c r="MB53" s="31" t="str">
        <f>IF(MA53/(INDEX('Standards for Conversions'!$H$47:$H$73,MATCH(LZ$3,'Standards for Conversions'!$A$47:$A$73,0)))=0,"",MA53/(INDEX('Standards for Conversions'!$H$47:$H$73,MATCH(LZ$3,'Standards for Conversions'!$A$47:$A$73,0))))</f>
        <v/>
      </c>
      <c r="ME53" s="31" t="str">
        <f>IF(MD53/(INDEX('Standards for Conversions'!$H$47:$H$73,MATCH(MC$3,'Standards for Conversions'!$A$47:$A$73,0)))=0,"",MD53/(INDEX('Standards for Conversions'!$H$47:$H$73,MATCH(MC$3,'Standards for Conversions'!$A$47:$A$73,0))))</f>
        <v/>
      </c>
      <c r="MH53" s="31" t="str">
        <f>IF(MG53/(INDEX('Standards for Conversions'!$H$47:$H$73,MATCH(MF$3,'Standards for Conversions'!$A$47:$A$73,0)))=0,"",MG53/(INDEX('Standards for Conversions'!$H$47:$H$73,MATCH(MF$3,'Standards for Conversions'!$A$47:$A$73,0))))</f>
        <v/>
      </c>
      <c r="MK53" s="31" t="str">
        <f>IF(MJ53/(INDEX('Standards for Conversions'!$H$47:$H$73,MATCH(MI$3,'Standards for Conversions'!$A$47:$A$73,0)))=0,"",MJ53/(INDEX('Standards for Conversions'!$H$47:$H$73,MATCH(MI$3,'Standards for Conversions'!$A$47:$A$73,0))))</f>
        <v/>
      </c>
      <c r="MN53" s="31" t="str">
        <f>IF(MM53/(INDEX('Standards for Conversions'!$H$47:$H$73,MATCH(ML$3,'Standards for Conversions'!$A$47:$A$73,0)))=0,"",MM53/(INDEX('Standards for Conversions'!$H$47:$H$73,MATCH(ML$3,'Standards for Conversions'!$A$47:$A$73,0))))</f>
        <v/>
      </c>
      <c r="MR53" s="31" t="str">
        <f>IF(MQ53/(INDEX('Standards for Conversions'!$H$47:$H$73,MATCH(MP$3,'Standards for Conversions'!$A$47:$A$73,0)))=0,"",MQ53/(INDEX('Standards for Conversions'!$H$47:$H$73,MATCH(MP$3,'Standards for Conversions'!$A$47:$A$73,0))))</f>
        <v/>
      </c>
    </row>
    <row r="54" spans="1:373" hidden="1" x14ac:dyDescent="0.3">
      <c r="A54" s="103" t="s">
        <v>235</v>
      </c>
      <c r="C54" s="7"/>
      <c r="D54" s="7"/>
      <c r="E54" s="31" t="str">
        <f>IF(D54/(INDEX('Standards for Conversions'!$H$34:$H$73,MATCH(C$3,'Standards for Conversions'!$A$34:$A$73,0)))=0,"",D54/(INDEX('Standards for Conversions'!$H$34:$H$73,MATCH(C$3,'Standards for Conversions'!$A$34:$A$73,0))))</f>
        <v/>
      </c>
      <c r="F54" s="10" t="s">
        <v>40</v>
      </c>
      <c r="G54" s="7"/>
      <c r="H54" s="7"/>
      <c r="I54" s="31" t="str">
        <f>IF(H54/(INDEX('Standards for Conversions'!$H$34:$H$73,MATCH(G$3,'Standards for Conversions'!$A$34:$A$73,0)))=0,"",H54/(INDEX('Standards for Conversions'!$H$34:$H$73,MATCH(G$3,'Standards for Conversions'!$A$34:$A$73,0))))</f>
        <v/>
      </c>
      <c r="J54" s="10" t="s">
        <v>40</v>
      </c>
      <c r="K54" s="9"/>
      <c r="L54" s="9"/>
      <c r="M54" s="31" t="str">
        <f>IF(L54/(INDEX('Standards for Conversions'!$H$34:$H$73,MATCH(K$3,'Standards for Conversions'!$A$34:$A$73,0)))=0,"",L54/(INDEX('Standards for Conversions'!$H$34:$H$73,MATCH(K$3,'Standards for Conversions'!$A$34:$A$73,0))))</f>
        <v/>
      </c>
      <c r="N54" s="10" t="s">
        <v>40</v>
      </c>
      <c r="O54" s="7"/>
      <c r="P54" s="7"/>
      <c r="Q54" s="31" t="str">
        <f>IF(P54/(INDEX('Standards for Conversions'!$H$34:$H$73,MATCH(O$3,'Standards for Conversions'!$A$34:$A$73,0)))=0,"",P54/(INDEX('Standards for Conversions'!$H$34:$H$73,MATCH(O$3,'Standards for Conversions'!$A$34:$A$73,0))))</f>
        <v/>
      </c>
      <c r="S54" s="7"/>
      <c r="T54" s="7"/>
      <c r="U54" s="31" t="str">
        <f>IF(T54/(INDEX('Standards for Conversions'!$H$34:$H$73,MATCH(S$3,'Standards for Conversions'!$A$34:$A$73,0)))=0,"",T54/(INDEX('Standards for Conversions'!$H$34:$H$73,MATCH(S$3,'Standards for Conversions'!$A$34:$A$73,0))))</f>
        <v/>
      </c>
      <c r="V54" s="10" t="s">
        <v>40</v>
      </c>
      <c r="W54" s="7"/>
      <c r="X54" s="7"/>
      <c r="Y54" s="31" t="str">
        <f>IF(X54/(INDEX('Standards for Conversions'!$H$34:$H$73,MATCH(W$3,'Standards for Conversions'!$A$34:$A$73,0)))=0,"",X54/(INDEX('Standards for Conversions'!$H$34:$H$73,MATCH(W$3,'Standards for Conversions'!$A$34:$A$73,0))))</f>
        <v/>
      </c>
      <c r="Z54" s="10" t="s">
        <v>40</v>
      </c>
      <c r="AA54" s="9"/>
      <c r="AB54" s="9"/>
      <c r="AC54" s="31" t="str">
        <f>IF(AB54/(INDEX('Standards for Conversions'!$H$34:$H$73,MATCH(AA$3,'Standards for Conversions'!$A$34:$A$73,0)))=0,"",AB54/(INDEX('Standards for Conversions'!$H$34:$H$73,MATCH(AA$3,'Standards for Conversions'!$A$34:$A$73,0))))</f>
        <v/>
      </c>
      <c r="AD54" s="10" t="s">
        <v>40</v>
      </c>
      <c r="AE54" s="7"/>
      <c r="AF54" s="7"/>
      <c r="AG54" s="31" t="str">
        <f>IF(AF54/(INDEX('Standards for Conversions'!$H$34:$H$73,MATCH(AE$3,'Standards for Conversions'!$A$34:$A$73,0)))=0,"",AF54/(INDEX('Standards for Conversions'!$H$34:$H$73,MATCH(AE$3,'Standards for Conversions'!$A$34:$A$73,0))))</f>
        <v/>
      </c>
      <c r="AI54" s="7"/>
      <c r="AJ54" s="7"/>
      <c r="AK54" s="31" t="str">
        <f>IF(AJ54/(INDEX('Standards for Conversions'!$H$34:$H$73,MATCH(AI$3,'Standards for Conversions'!$A$34:$A$73,0)))=0,"",AJ54/(INDEX('Standards for Conversions'!$H$34:$H$73,MATCH(AI$3,'Standards for Conversions'!$A$34:$A$73,0))))</f>
        <v/>
      </c>
      <c r="AL54" s="10" t="s">
        <v>40</v>
      </c>
      <c r="AM54" s="7"/>
      <c r="AN54" s="7"/>
      <c r="AO54" s="31" t="str">
        <f>IF(AN54/(INDEX('Standards for Conversions'!$H$34:$H$73,MATCH(AM$3,'Standards for Conversions'!$A$34:$A$73,0)))=0,"",AN54/(INDEX('Standards for Conversions'!$H$34:$H$73,MATCH(AM$3,'Standards for Conversions'!$A$34:$A$73,0))))</f>
        <v/>
      </c>
      <c r="AP54" s="10" t="s">
        <v>40</v>
      </c>
      <c r="AQ54" s="9"/>
      <c r="AR54" s="9"/>
      <c r="AS54" s="31" t="str">
        <f>IF(AR54/(INDEX('Standards for Conversions'!$H$34:$H$73,MATCH(AQ$3,'Standards for Conversions'!$A$34:$A$73,0)))=0,"",AR54/(INDEX('Standards for Conversions'!$H$34:$H$73,MATCH(AQ$3,'Standards for Conversions'!$A$34:$A$73,0))))</f>
        <v/>
      </c>
      <c r="AT54" s="10" t="s">
        <v>40</v>
      </c>
      <c r="AU54" s="7"/>
      <c r="AV54" s="7"/>
      <c r="AW54" s="31" t="str">
        <f>IF(AV54/(INDEX('Standards for Conversions'!$H$34:$H$73,MATCH(AU$3,'Standards for Conversions'!$A$34:$A$73,0)))=0,"",AV54/(INDEX('Standards for Conversions'!$H$34:$H$73,MATCH(AU$3,'Standards for Conversions'!$A$34:$A$73,0))))</f>
        <v/>
      </c>
      <c r="AY54" s="7"/>
      <c r="AZ54" s="7"/>
      <c r="BA54" s="31" t="str">
        <f>IF(AZ54/(INDEX('Standards for Conversions'!$H$34:$H$73,MATCH(AY$3,'Standards for Conversions'!$A$34:$A$73,0)))=0,"",AZ54/(INDEX('Standards for Conversions'!$H$34:$H$73,MATCH(AY$3,'Standards for Conversions'!$A$34:$A$73,0))))</f>
        <v/>
      </c>
      <c r="BB54" s="10" t="s">
        <v>40</v>
      </c>
      <c r="BC54" s="7"/>
      <c r="BD54" s="7"/>
      <c r="BE54" s="31" t="str">
        <f>IF(BD54/(INDEX('Standards for Conversions'!$H$34:$H$73,MATCH(BC$3,'Standards for Conversions'!$A$34:$A$73,0)))=0,"",BD54/(INDEX('Standards for Conversions'!$H$34:$H$73,MATCH(BC$3,'Standards for Conversions'!$A$34:$A$73,0))))</f>
        <v/>
      </c>
      <c r="BF54" s="10" t="s">
        <v>40</v>
      </c>
      <c r="BG54" s="9"/>
      <c r="BH54" s="9"/>
      <c r="BI54" s="31" t="str">
        <f>IF(BH54/(INDEX('Standards for Conversions'!$H$34:$H$73,MATCH(BG$3,'Standards for Conversions'!$A$34:$A$73,0)))=0,"",BH54/(INDEX('Standards for Conversions'!$H$34:$H$73,MATCH(BG$3,'Standards for Conversions'!$A$34:$A$73,0))))</f>
        <v/>
      </c>
      <c r="BJ54" s="10" t="s">
        <v>40</v>
      </c>
      <c r="BK54" s="7"/>
      <c r="BL54" s="7"/>
      <c r="BM54" s="31" t="str">
        <f>IF(BL54/(INDEX('Standards for Conversions'!$H$34:$H$73,MATCH(BK$3,'Standards for Conversions'!$A$34:$A$73,0)))=0,"",BL54/(INDEX('Standards for Conversions'!$H$34:$H$73,MATCH(BK$3,'Standards for Conversions'!$A$34:$A$73,0))))</f>
        <v/>
      </c>
      <c r="BO54" s="7"/>
      <c r="BP54" s="7"/>
      <c r="BQ54" s="31" t="str">
        <f>IF(BP54/(INDEX('Standards for Conversions'!$H$34:$H$73,MATCH(BO$3,'Standards for Conversions'!$A$34:$A$73,0)))=0,"",BP54/(INDEX('Standards for Conversions'!$H$34:$H$73,MATCH(BO$3,'Standards for Conversions'!$A$34:$A$73,0))))</f>
        <v/>
      </c>
      <c r="BR54" s="10" t="s">
        <v>40</v>
      </c>
      <c r="BS54" s="7"/>
      <c r="BT54" s="7"/>
      <c r="BU54" s="31" t="str">
        <f>IF(BT54/(INDEX('Standards for Conversions'!$H$34:$H$73,MATCH(BS$3,'Standards for Conversions'!$A$34:$A$73,0)))=0,"",BT54/(INDEX('Standards for Conversions'!$H$34:$H$73,MATCH(BS$3,'Standards for Conversions'!$A$34:$A$73,0))))</f>
        <v/>
      </c>
      <c r="BV54" s="10" t="s">
        <v>40</v>
      </c>
      <c r="BW54" s="9"/>
      <c r="BX54" s="9"/>
      <c r="BY54" s="31" t="str">
        <f>IF(BX54/(INDEX('Standards for Conversions'!$H$34:$H$73,MATCH(BW$3,'Standards for Conversions'!$A$34:$A$73,0)))=0,"",BX54/(INDEX('Standards for Conversions'!$H$34:$H$73,MATCH(BW$3,'Standards for Conversions'!$A$34:$A$73,0))))</f>
        <v/>
      </c>
      <c r="BZ54" s="10" t="s">
        <v>40</v>
      </c>
      <c r="CA54" s="7"/>
      <c r="CB54" s="7"/>
      <c r="CC54" s="31" t="str">
        <f>IF(CB54/(INDEX('Standards for Conversions'!$H$34:$H$73,MATCH(CA$3,'Standards for Conversions'!$A$34:$A$73,0)))=0,"",CB54/(INDEX('Standards for Conversions'!$H$34:$H$73,MATCH(CA$3,'Standards for Conversions'!$A$34:$A$73,0))))</f>
        <v/>
      </c>
      <c r="CE54" s="7"/>
      <c r="CF54" s="7"/>
      <c r="CG54" s="31" t="str">
        <f>IF(CF54/(INDEX('Standards for Conversions'!$H$34:$H$73,MATCH(CE$3,'Standards for Conversions'!$A$34:$A$73,0)))=0,"",CF54/(INDEX('Standards for Conversions'!$H$34:$H$73,MATCH(CE$3,'Standards for Conversions'!$A$34:$A$73,0))))</f>
        <v/>
      </c>
      <c r="CH54" s="10" t="s">
        <v>40</v>
      </c>
      <c r="CI54" s="7"/>
      <c r="CJ54" s="7"/>
      <c r="CK54" s="31" t="str">
        <f>IF(CJ54/(INDEX('Standards for Conversions'!$H$34:$H$73,MATCH(CI$3,'Standards for Conversions'!$A$34:$A$73,0)))=0,"",CJ54/(INDEX('Standards for Conversions'!$H$34:$H$73,MATCH(CI$3,'Standards for Conversions'!$A$34:$A$73,0))))</f>
        <v/>
      </c>
      <c r="CL54" s="10" t="s">
        <v>40</v>
      </c>
      <c r="CM54" s="9"/>
      <c r="CN54" s="9"/>
      <c r="CO54" s="31" t="str">
        <f>IF(CN54/(INDEX('Standards for Conversions'!$H$34:$H$73,MATCH(CM$3,'Standards for Conversions'!$A$34:$A$73,0)))=0,"",CN54/(INDEX('Standards for Conversions'!$H$34:$H$73,MATCH(CM$3,'Standards for Conversions'!$A$34:$A$73,0))))</f>
        <v/>
      </c>
      <c r="CP54" s="10" t="s">
        <v>40</v>
      </c>
      <c r="CQ54" s="7"/>
      <c r="CR54" s="7"/>
      <c r="CS54" s="31" t="str">
        <f>IF(CR54/(INDEX('Standards for Conversions'!$H$34:$H$73,MATCH(CQ$3,'Standards for Conversions'!$A$34:$A$73,0)))=0,"",CR54/(INDEX('Standards for Conversions'!$H$34:$H$73,MATCH(CQ$3,'Standards for Conversions'!$A$34:$A$73,0))))</f>
        <v/>
      </c>
      <c r="CU54" s="7"/>
      <c r="CV54" s="7"/>
      <c r="CW54" s="31" t="str">
        <f>IF(CV54/(INDEX('Standards for Conversions'!$H$34:$H$73,MATCH(CU$3,'Standards for Conversions'!$A$34:$A$73,0)))=0,"",CV54/(INDEX('Standards for Conversions'!$H$34:$H$73,MATCH(CU$3,'Standards for Conversions'!$A$34:$A$73,0))))</f>
        <v/>
      </c>
      <c r="CX54" s="10" t="s">
        <v>40</v>
      </c>
      <c r="CY54" s="7"/>
      <c r="CZ54" s="7"/>
      <c r="DA54" s="31" t="str">
        <f>IF(CZ54/(INDEX('Standards for Conversions'!$H$34:$H$73,MATCH(CY$3,'Standards for Conversions'!$A$34:$A$73,0)))=0,"",CZ54/(INDEX('Standards for Conversions'!$H$34:$H$73,MATCH(CY$3,'Standards for Conversions'!$A$34:$A$73,0))))</f>
        <v/>
      </c>
      <c r="DB54" s="10" t="s">
        <v>40</v>
      </c>
      <c r="DC54" s="9"/>
      <c r="DD54" s="9"/>
      <c r="DE54" s="31" t="str">
        <f>IF(DD54/(INDEX('Standards for Conversions'!$H$34:$H$73,MATCH(DC$3,'Standards for Conversions'!$A$34:$A$73,0)))=0,"",DD54/(INDEX('Standards for Conversions'!$H$34:$H$73,MATCH(DC$3,'Standards for Conversions'!$A$34:$A$73,0))))</f>
        <v/>
      </c>
      <c r="DF54" s="10" t="s">
        <v>40</v>
      </c>
      <c r="DG54" s="7"/>
      <c r="DH54" s="7"/>
      <c r="DI54" s="31" t="str">
        <f>IF(DH54/(INDEX('Standards for Conversions'!$H$34:$H$73,MATCH(DG$3,'Standards for Conversions'!$A$34:$A$73,0)))=0,"",DH54/(INDEX('Standards for Conversions'!$H$34:$H$73,MATCH(DG$3,'Standards for Conversions'!$A$34:$A$73,0))))</f>
        <v/>
      </c>
      <c r="DK54" s="7"/>
      <c r="DL54" s="7"/>
      <c r="DM54" s="31" t="str">
        <f>IF(DL54/(INDEX('Standards for Conversions'!$H$34:$H$73,MATCH(DK$3,'Standards for Conversions'!$A$34:$A$73,0)))=0,"",DL54/(INDEX('Standards for Conversions'!$H$34:$H$73,MATCH(DK$3,'Standards for Conversions'!$A$34:$A$73,0))))</f>
        <v/>
      </c>
      <c r="DN54" s="10" t="s">
        <v>40</v>
      </c>
      <c r="DO54" s="7"/>
      <c r="DP54" s="7"/>
      <c r="DQ54" s="31" t="str">
        <f>IF(DP54/(INDEX('Standards for Conversions'!$H$34:$H$73,MATCH(DO$3,'Standards for Conversions'!$A$34:$A$73,0)))=0,"",DP54/(INDEX('Standards for Conversions'!$H$34:$H$73,MATCH(DO$3,'Standards for Conversions'!$A$34:$A$73,0))))</f>
        <v/>
      </c>
      <c r="DR54" s="10" t="s">
        <v>40</v>
      </c>
      <c r="DS54" s="9"/>
      <c r="DT54" s="9"/>
      <c r="DU54" s="31" t="str">
        <f>IF(DT54/(INDEX('Standards for Conversions'!$H$34:$H$73,MATCH(DS$3,'Standards for Conversions'!$A$34:$A$73,0)))=0,"",DT54/(INDEX('Standards for Conversions'!$H$34:$H$73,MATCH(DS$3,'Standards for Conversions'!$A$34:$A$73,0))))</f>
        <v/>
      </c>
      <c r="DV54" s="10" t="s">
        <v>40</v>
      </c>
      <c r="DW54" s="7"/>
      <c r="DX54" s="7"/>
      <c r="DY54" s="31" t="str">
        <f>IF(DX54/(INDEX('Standards for Conversions'!$H$34:$H$73,MATCH(DW$3,'Standards for Conversions'!$A$34:$A$73,0)))=0,"",DX54/(INDEX('Standards for Conversions'!$H$34:$H$73,MATCH(DW$3,'Standards for Conversions'!$A$34:$A$73,0))))</f>
        <v/>
      </c>
      <c r="EA54" s="7"/>
      <c r="EB54" s="7"/>
      <c r="EC54" s="31" t="str">
        <f>IF(EB54/(INDEX('Standards for Conversions'!$H$34:$H$73,MATCH(EA$3,'Standards for Conversions'!$A$34:$A$73,0)))=0,"",EB54/(INDEX('Standards for Conversions'!$H$34:$H$73,MATCH(EA$3,'Standards for Conversions'!$A$34:$A$73,0))))</f>
        <v/>
      </c>
      <c r="ED54" s="10" t="s">
        <v>40</v>
      </c>
      <c r="EE54" s="7"/>
      <c r="EF54" s="7"/>
      <c r="EG54" s="31" t="str">
        <f>IF(EF54/(INDEX('Standards for Conversions'!$H$34:$H$73,MATCH(EE$3,'Standards for Conversions'!$A$34:$A$73,0)))=0,"",EF54/(INDEX('Standards for Conversions'!$H$34:$H$73,MATCH(EE$3,'Standards for Conversions'!$A$34:$A$73,0))))</f>
        <v/>
      </c>
      <c r="EH54" s="10" t="s">
        <v>40</v>
      </c>
      <c r="EI54" s="9"/>
      <c r="EJ54" s="9"/>
      <c r="EK54" s="31" t="str">
        <f>IF(EJ54/(INDEX('Standards for Conversions'!$H$34:$H$73,MATCH(EI$3,'Standards for Conversions'!$A$34:$A$73,0)))=0,"",EJ54/(INDEX('Standards for Conversions'!$H$34:$H$73,MATCH(EI$3,'Standards for Conversions'!$A$34:$A$73,0))))</f>
        <v/>
      </c>
      <c r="EL54" s="10" t="s">
        <v>40</v>
      </c>
      <c r="EM54" s="7"/>
      <c r="EN54" s="7"/>
      <c r="EO54" s="31" t="str">
        <f>IF(EN54/(INDEX('Standards for Conversions'!$H$34:$H$73,MATCH(EM$3,'Standards for Conversions'!$A$34:$A$73,0)))=0,"",EN54/(INDEX('Standards for Conversions'!$H$34:$H$73,MATCH(EM$3,'Standards for Conversions'!$A$34:$A$73,0))))</f>
        <v/>
      </c>
      <c r="EQ54" s="7"/>
      <c r="ER54" s="7"/>
      <c r="ES54" s="31" t="str">
        <f>IF(ER54/(INDEX('Standards for Conversions'!$H$34:$H$73,MATCH(EQ$3,'Standards for Conversions'!$A$34:$A$73,0)))=0,"",ER54/(INDEX('Standards for Conversions'!$H$34:$H$73,MATCH(EQ$3,'Standards for Conversions'!$A$34:$A$73,0))))</f>
        <v/>
      </c>
      <c r="ET54" s="10" t="s">
        <v>40</v>
      </c>
      <c r="EU54" s="7"/>
      <c r="EV54" s="7"/>
      <c r="EW54" s="31" t="str">
        <f>IF(EV54/(INDEX('Standards for Conversions'!$H$34:$H$73,MATCH(EU$3,'Standards for Conversions'!$A$34:$A$73,0)))=0,"",EV54/(INDEX('Standards for Conversions'!$H$34:$H$73,MATCH(EU$3,'Standards for Conversions'!$A$34:$A$73,0))))</f>
        <v/>
      </c>
      <c r="EX54" s="10" t="s">
        <v>40</v>
      </c>
      <c r="EY54" s="9"/>
      <c r="EZ54" s="9"/>
      <c r="FA54" s="31" t="str">
        <f>IF(EZ54/(INDEX('Standards for Conversions'!$H$34:$H$73,MATCH(EY$3,'Standards for Conversions'!$A$34:$A$73,0)))=0,"",EZ54/(INDEX('Standards for Conversions'!$H$34:$H$73,MATCH(EY$3,'Standards for Conversions'!$A$34:$A$73,0))))</f>
        <v/>
      </c>
      <c r="FB54" s="10" t="s">
        <v>40</v>
      </c>
      <c r="FC54" s="7"/>
      <c r="FD54" s="7"/>
      <c r="FE54" s="31" t="str">
        <f>IF(FD54/(INDEX('Standards for Conversions'!$H$34:$H$73,MATCH(FC$3,'Standards for Conversions'!$A$34:$A$73,0)))=0,"",FD54/(INDEX('Standards for Conversions'!$H$34:$H$73,MATCH(FC$3,'Standards for Conversions'!$A$34:$A$73,0))))</f>
        <v/>
      </c>
      <c r="FG54" s="7"/>
      <c r="FH54" s="7"/>
      <c r="FI54" s="31" t="str">
        <f>IF(FH54/(INDEX('Standards for Conversions'!$H$34:$H$73,MATCH(FG$3,'Standards for Conversions'!$A$34:$A$73,0)))=0,"",FH54/(INDEX('Standards for Conversions'!$H$34:$H$73,MATCH(FG$3,'Standards for Conversions'!$A$34:$A$73,0))))</f>
        <v/>
      </c>
      <c r="FJ54" s="10" t="s">
        <v>40</v>
      </c>
      <c r="FK54" s="7"/>
      <c r="FL54" s="7"/>
      <c r="FM54" s="31" t="str">
        <f>IF(FL54/(INDEX('Standards for Conversions'!$H$34:$H$73,MATCH(FK$3,'Standards for Conversions'!$A$34:$A$73,0)))=0,"",FL54/(INDEX('Standards for Conversions'!$H$34:$H$73,MATCH(FK$3,'Standards for Conversions'!$A$34:$A$73,0))))</f>
        <v/>
      </c>
      <c r="FN54" s="10" t="s">
        <v>40</v>
      </c>
      <c r="FO54" s="9"/>
      <c r="FP54" s="9"/>
      <c r="FQ54" s="31" t="str">
        <f>IF(FP54/(INDEX('Standards for Conversions'!$H$34:$H$73,MATCH(FO$3,'Standards for Conversions'!$A$34:$A$73,0)))=0,"",FP54/(INDEX('Standards for Conversions'!$H$34:$H$73,MATCH(FO$3,'Standards for Conversions'!$A$34:$A$73,0))))</f>
        <v/>
      </c>
      <c r="FR54" s="10" t="s">
        <v>40</v>
      </c>
      <c r="FS54" s="7"/>
      <c r="FT54" s="7"/>
      <c r="FU54" s="31" t="str">
        <f>IF(FT54/(INDEX('Standards for Conversions'!$H$34:$H$73,MATCH(FS$3,'Standards for Conversions'!$A$34:$A$73,0)))=0,"",FT54/(INDEX('Standards for Conversions'!$H$34:$H$73,MATCH(FS$3,'Standards for Conversions'!$A$34:$A$73,0))))</f>
        <v/>
      </c>
      <c r="FW54" s="7"/>
      <c r="FX54" s="7"/>
      <c r="FY54" s="31" t="str">
        <f>IF(FX54/(INDEX('Standards for Conversions'!$H$34:$H$73,MATCH(FW$3,'Standards for Conversions'!$A$34:$A$73,0)))=0,"",FX54/(INDEX('Standards for Conversions'!$H$34:$H$73,MATCH(FW$3,'Standards for Conversions'!$A$34:$A$73,0))))</f>
        <v/>
      </c>
      <c r="FZ54" s="10" t="s">
        <v>40</v>
      </c>
      <c r="GA54" s="7"/>
      <c r="GB54" s="7"/>
      <c r="GC54" s="31" t="str">
        <f>IF(GB54/(INDEX('Standards for Conversions'!$H$34:$H$73,MATCH(GA$3,'Standards for Conversions'!$A$34:$A$73,0)))=0,"",GB54/(INDEX('Standards for Conversions'!$H$34:$H$73,MATCH(GA$3,'Standards for Conversions'!$A$34:$A$73,0))))</f>
        <v/>
      </c>
      <c r="GD54" s="10" t="s">
        <v>40</v>
      </c>
      <c r="GE54" s="9"/>
      <c r="GF54" s="9"/>
      <c r="GG54" s="31" t="str">
        <f>IF(GF54/(INDEX('Standards for Conversions'!$H$34:$H$73,MATCH(GE$3,'Standards for Conversions'!$A$34:$A$73,0)))=0,"",GF54/(INDEX('Standards for Conversions'!$H$34:$H$73,MATCH(GE$3,'Standards for Conversions'!$A$34:$A$73,0))))</f>
        <v/>
      </c>
      <c r="GH54" s="10" t="s">
        <v>40</v>
      </c>
      <c r="GI54" s="7"/>
      <c r="GJ54" s="7"/>
      <c r="GK54" s="31" t="str">
        <f>IF(GJ54/(INDEX('Standards for Conversions'!$H$34:$H$73,MATCH(GI$3,'Standards for Conversions'!$A$34:$A$73,0)))=0,"",GJ54/(INDEX('Standards for Conversions'!$H$34:$H$73,MATCH(GI$3,'Standards for Conversions'!$A$34:$A$73,0))))</f>
        <v/>
      </c>
      <c r="GM54" s="7"/>
      <c r="GN54" s="7"/>
      <c r="GO54" s="31" t="str">
        <f>IF(GN54/(INDEX('Standards for Conversions'!$H$34:$H$73,MATCH(GM$3,'Standards for Conversions'!$A$34:$A$73,0)))=0,"",GN54/(INDEX('Standards for Conversions'!$H$34:$H$73,MATCH(GM$3,'Standards for Conversions'!$A$34:$A$73,0))))</f>
        <v/>
      </c>
      <c r="GP54" s="10" t="s">
        <v>40</v>
      </c>
      <c r="GQ54" s="7"/>
      <c r="GR54" s="7"/>
      <c r="GS54" s="31" t="str">
        <f>IF(GR54/(INDEX('Standards for Conversions'!$H$34:$H$73,MATCH(GQ$3,'Standards for Conversions'!$A$34:$A$73,0)))=0,"",GR54/(INDEX('Standards for Conversions'!$H$34:$H$73,MATCH(GQ$3,'Standards for Conversions'!$A$34:$A$73,0))))</f>
        <v/>
      </c>
      <c r="GT54" s="10" t="s">
        <v>40</v>
      </c>
      <c r="GU54" s="9"/>
      <c r="GV54" s="9"/>
      <c r="GW54" s="31" t="str">
        <f>IF(GV54/(INDEX('Standards for Conversions'!$H$34:$H$73,MATCH(GU$3,'Standards for Conversions'!$A$34:$A$73,0)))=0,"",GV54/(INDEX('Standards for Conversions'!$H$34:$H$73,MATCH(GU$3,'Standards for Conversions'!$A$34:$A$73,0))))</f>
        <v/>
      </c>
      <c r="GX54" s="10" t="s">
        <v>40</v>
      </c>
      <c r="GY54" s="7"/>
      <c r="GZ54" s="7"/>
      <c r="HA54" s="31" t="str">
        <f>IF(GZ54/(INDEX('Standards for Conversions'!$H$34:$H$73,MATCH(GY$3,'Standards for Conversions'!$A$34:$A$73,0)))=0,"",GZ54/(INDEX('Standards for Conversions'!$H$34:$H$73,MATCH(GY$3,'Standards for Conversions'!$A$34:$A$73,0))))</f>
        <v/>
      </c>
      <c r="HC54" s="7"/>
      <c r="HD54" s="7"/>
      <c r="HE54" s="31" t="str">
        <f>IF(HD54/(INDEX('Standards for Conversions'!$H$34:$H$73,MATCH(HC$3,'Standards for Conversions'!$A$34:$A$73,0)))=0,"",HD54/(INDEX('Standards for Conversions'!$H$34:$H$73,MATCH(HC$3,'Standards for Conversions'!$A$34:$A$73,0))))</f>
        <v/>
      </c>
      <c r="HF54" s="10" t="s">
        <v>40</v>
      </c>
      <c r="HG54" s="7"/>
      <c r="HH54" s="7"/>
      <c r="HI54" s="31" t="str">
        <f>IF(HH54/(INDEX('Standards for Conversions'!$H$34:$H$73,MATCH(HG$3,'Standards for Conversions'!$A$34:$A$73,0)))=0,"",HH54/(INDEX('Standards for Conversions'!$H$34:$H$73,MATCH(HG$3,'Standards for Conversions'!$A$34:$A$73,0))))</f>
        <v/>
      </c>
      <c r="HJ54" s="10" t="s">
        <v>40</v>
      </c>
      <c r="HK54" s="9"/>
      <c r="HL54" s="9"/>
      <c r="HM54" s="31" t="str">
        <f>IF(HL54/(INDEX('Standards for Conversions'!$H$34:$H$73,MATCH(HK$3,'Standards for Conversions'!$A$34:$A$73,0)))=0,"",HL54/(INDEX('Standards for Conversions'!$H$34:$H$73,MATCH(HK$3,'Standards for Conversions'!$A$34:$A$73,0))))</f>
        <v/>
      </c>
      <c r="HN54" s="10" t="s">
        <v>40</v>
      </c>
      <c r="HO54" s="7"/>
      <c r="HP54" s="7"/>
      <c r="HQ54" s="31" t="str">
        <f>IF(HP54/(INDEX('Standards for Conversions'!$H$34:$H$73,MATCH(HO$3,'Standards for Conversions'!$A$34:$A$73,0)))=0,"",HP54/(INDEX('Standards for Conversions'!$H$34:$H$73,MATCH(HO$3,'Standards for Conversions'!$A$34:$A$73,0))))</f>
        <v/>
      </c>
      <c r="HT54" s="29">
        <v>14000</v>
      </c>
      <c r="HU54" s="31">
        <f>IF(HT54/(INDEX('Standards for Conversions'!$H$47:$H$73,MATCH(HS$3,'Standards for Conversions'!$A$47:$A$73,0)))=0,"",HT54/(INDEX('Standards for Conversions'!$H$47:$H$73,MATCH(HS$3,'Standards for Conversions'!$A$47:$A$73,0))))</f>
        <v>2033.4357709799833</v>
      </c>
      <c r="HV54" s="33" t="s">
        <v>40</v>
      </c>
      <c r="HY54" s="31" t="str">
        <f>IF(HX54/(INDEX('Standards for Conversions'!$H$47:$H$73,MATCH(HW$3,'Standards for Conversions'!$A$47:$A$73,0)))=0,"",HX54/(INDEX('Standards for Conversions'!$H$47:$H$73,MATCH(HW$3,'Standards for Conversions'!$A$47:$A$73,0))))</f>
        <v/>
      </c>
      <c r="HZ54" s="33"/>
      <c r="IA54" s="33"/>
      <c r="IB54" s="31" t="str">
        <f>IF(IA54/(INDEX('Standards for Conversions'!$H$47:$H$73,MATCH(HZ$3,'Standards for Conversions'!$A$47:$A$73,0)))=0,"",IA54/(INDEX('Standards for Conversions'!$H$47:$H$73,MATCH(HZ$3,'Standards for Conversions'!$A$47:$A$73,0))))</f>
        <v/>
      </c>
      <c r="IC54" s="33" t="s">
        <v>40</v>
      </c>
      <c r="IF54" s="31" t="str">
        <f>IF(IE54/(INDEX('Standards for Conversions'!$H$47:$H$73,MATCH(ID$3,'Standards for Conversions'!$A$47:$A$73,0)))=0,"",IE54/(INDEX('Standards for Conversions'!$H$47:$H$73,MATCH(ID$3,'Standards for Conversions'!$A$47:$A$73,0))))</f>
        <v/>
      </c>
      <c r="IG54" s="33" t="s">
        <v>40</v>
      </c>
      <c r="IJ54" s="31" t="str">
        <f>IF(II54/(INDEX('Standards for Conversions'!$H$47:$H$73,MATCH(IH$3,'Standards for Conversions'!$A$47:$A$73,0)))=0,"",II54/(INDEX('Standards for Conversions'!$H$47:$H$73,MATCH(IH$3,'Standards for Conversions'!$A$47:$A$73,0))))</f>
        <v/>
      </c>
      <c r="IK54" s="33" t="s">
        <v>40</v>
      </c>
      <c r="IN54" s="31" t="str">
        <f>IF(IM54/(INDEX('Standards for Conversions'!$H$47:$H$73,MATCH(IL$3,'Standards for Conversions'!$A$47:$A$73,0)))=0,"",IM54/(INDEX('Standards for Conversions'!$H$47:$H$73,MATCH(IL$3,'Standards for Conversions'!$A$47:$A$73,0))))</f>
        <v/>
      </c>
      <c r="IO54" s="33" t="s">
        <v>40</v>
      </c>
      <c r="IR54" s="31" t="str">
        <f>IF(IQ54/(INDEX('Standards for Conversions'!$H$47:$H$73,MATCH(IP$3,'Standards for Conversions'!$A$47:$A$73,0)))=0,"",IQ54/(INDEX('Standards for Conversions'!$H$47:$H$73,MATCH(IP$3,'Standards for Conversions'!$A$47:$A$73,0))))</f>
        <v/>
      </c>
      <c r="IS54" s="33" t="s">
        <v>40</v>
      </c>
      <c r="IV54" s="31" t="str">
        <f>IF(IU54/(INDEX('Standards for Conversions'!$H$47:$H$73,MATCH(IT$3,'Standards for Conversions'!$A$47:$A$73,0)))=0,"",IU54/(INDEX('Standards for Conversions'!$H$47:$H$73,MATCH(IT$3,'Standards for Conversions'!$A$47:$A$73,0))))</f>
        <v/>
      </c>
      <c r="IW54" s="48" t="s">
        <v>40</v>
      </c>
      <c r="IX54" s="29">
        <v>6000</v>
      </c>
      <c r="IY54" s="29">
        <v>1500</v>
      </c>
      <c r="IZ54" s="31">
        <f>IF(IY54/(INDEX('Standards for Conversions'!$H$47:$H$73,MATCH(IX$3,'Standards for Conversions'!$A$47:$A$73,0)))=0,"",IY54/(INDEX('Standards for Conversions'!$H$47:$H$73,MATCH(IX$3,'Standards for Conversions'!$A$47:$A$73,0))))</f>
        <v>242.64029503780304</v>
      </c>
      <c r="JA54" s="33"/>
      <c r="JD54" s="31" t="str">
        <f>IF(JC54/(INDEX('Standards for Conversions'!$H$47:$H$73,MATCH(JB$3,'Standards for Conversions'!$A$47:$A$73,0)))=0,"",JC54/(INDEX('Standards for Conversions'!$H$47:$H$73,MATCH(JB$3,'Standards for Conversions'!$A$47:$A$73,0))))</f>
        <v/>
      </c>
      <c r="JE54" s="33"/>
      <c r="JH54" s="31" t="str">
        <f>IF(JG54/(INDEX('Standards for Conversions'!$H$47:$H$73,MATCH(JF$3,'Standards for Conversions'!$A$47:$A$73,0)))=0,"",JG54/(INDEX('Standards for Conversions'!$H$47:$H$73,MATCH(JF$3,'Standards for Conversions'!$A$47:$A$73,0))))</f>
        <v/>
      </c>
      <c r="JI54" s="33"/>
      <c r="JL54" s="31" t="str">
        <f>IF(JK54/(INDEX('Standards for Conversions'!$H$47:$H$73,MATCH(JJ$3,'Standards for Conversions'!$A$47:$A$73,0)))=0,"",JK54/(INDEX('Standards for Conversions'!$H$47:$H$73,MATCH(JJ$3,'Standards for Conversions'!$A$47:$A$73,0))))</f>
        <v/>
      </c>
      <c r="JM54" s="33" t="s">
        <v>45</v>
      </c>
      <c r="JN54" s="29">
        <v>8000</v>
      </c>
      <c r="JO54" s="29">
        <v>2000</v>
      </c>
      <c r="JP54" s="31">
        <f>IF(JO54/(INDEX('Standards for Conversions'!$H$47:$H$73,MATCH(JN$3,'Standards for Conversions'!$A$47:$A$73,0)))=0,"",JO54/(INDEX('Standards for Conversions'!$H$47:$H$73,MATCH(JN$3,'Standards for Conversions'!$A$47:$A$73,0))))</f>
        <v>305.31178485559514</v>
      </c>
      <c r="JQ54" s="33" t="s">
        <v>45</v>
      </c>
      <c r="JT54" s="31" t="str">
        <f>IF(JS54/(INDEX('Standards for Conversions'!$H$47:$H$73,MATCH(JR$3,'Standards for Conversions'!$A$47:$A$73,0)))=0,"",JS54/(INDEX('Standards for Conversions'!$H$47:$H$73,MATCH(JR$3,'Standards for Conversions'!$A$47:$A$73,0))))</f>
        <v/>
      </c>
      <c r="JU54" s="33" t="s">
        <v>45</v>
      </c>
      <c r="JX54" s="31" t="str">
        <f>IF(JW54/(INDEX('Standards for Conversions'!$H$47:$H$73,MATCH(JV$3,'Standards for Conversions'!$A$47:$A$73,0)))=0,"",JW54/(INDEX('Standards for Conversions'!$H$47:$H$73,MATCH(JV$3,'Standards for Conversions'!$A$47:$A$73,0))))</f>
        <v/>
      </c>
      <c r="JY54" s="33" t="s">
        <v>45</v>
      </c>
      <c r="KB54" s="31" t="str">
        <f>IF(KA54/(INDEX('Standards for Conversions'!$H$47:$H$73,MATCH(JZ$3,'Standards for Conversions'!$A$47:$A$73,0)))=0,"",KA54/(INDEX('Standards for Conversions'!$H$47:$H$73,MATCH(JZ$3,'Standards for Conversions'!$A$47:$A$73,0))))</f>
        <v/>
      </c>
      <c r="KC54" s="33" t="s">
        <v>45</v>
      </c>
      <c r="KD54" s="29">
        <v>10000</v>
      </c>
      <c r="KE54" s="29">
        <v>2500</v>
      </c>
      <c r="KF54" s="31">
        <f>IF(KE54/(INDEX('Standards for Conversions'!$H$47:$H$73,MATCH(KD$3,'Standards for Conversions'!$A$47:$A$73,0)))=0,"",KE54/(INDEX('Standards for Conversions'!$H$47:$H$73,MATCH(KD$3,'Standards for Conversions'!$A$47:$A$73,0))))</f>
        <v>336.64752976449114</v>
      </c>
      <c r="KG54" s="33" t="s">
        <v>45</v>
      </c>
      <c r="KJ54" s="31" t="str">
        <f>IF(KI54/(INDEX('Standards for Conversions'!$H$47:$H$73,MATCH(KH$3,'Standards for Conversions'!$A$47:$A$73,0)))=0,"",KI54/(INDEX('Standards for Conversions'!$H$47:$H$73,MATCH(KH$3,'Standards for Conversions'!$A$47:$A$73,0))))</f>
        <v/>
      </c>
      <c r="KK54" s="33" t="s">
        <v>45</v>
      </c>
      <c r="KN54" s="31" t="str">
        <f>IF(KM54/(INDEX('Standards for Conversions'!$H$47:$H$73,MATCH(KL$3,'Standards for Conversions'!$A$47:$A$73,0)))=0,"",KM54/(INDEX('Standards for Conversions'!$H$47:$H$73,MATCH(KL$3,'Standards for Conversions'!$A$47:$A$73,0))))</f>
        <v/>
      </c>
      <c r="KO54" s="48" t="s">
        <v>45</v>
      </c>
      <c r="KR54" s="31" t="str">
        <f>IF(KQ54/(INDEX('Standards for Conversions'!$H$47:$H$73,MATCH(KP$3,'Standards for Conversions'!$A$47:$A$73,0)))=0,"",KQ54/(INDEX('Standards for Conversions'!$H$47:$H$73,MATCH(KP$3,'Standards for Conversions'!$A$47:$A$73,0))))</f>
        <v/>
      </c>
      <c r="KS54" s="48" t="s">
        <v>45</v>
      </c>
      <c r="KT54" s="29">
        <v>6000</v>
      </c>
      <c r="KU54" s="29">
        <v>10000</v>
      </c>
      <c r="KV54" s="31">
        <f>IF(KU54/(INDEX('Standards for Conversions'!$H$47:$H$73,MATCH(KT$3,'Standards for Conversions'!$A$47:$A$73,0)))=0,"",KU54/(INDEX('Standards for Conversions'!$H$47:$H$73,MATCH(KT$3,'Standards for Conversions'!$A$47:$A$73,0))))</f>
        <v>1216.1656672749918</v>
      </c>
      <c r="KW54" s="33"/>
      <c r="KZ54" s="31" t="str">
        <f>IF(KY54/(INDEX('Standards for Conversions'!$H$47:$H$73,MATCH(KX$3,'Standards for Conversions'!$A$47:$A$73,0)))=0,"",KY54/(INDEX('Standards for Conversions'!$H$47:$H$73,MATCH(KX$3,'Standards for Conversions'!$A$47:$A$73,0))))</f>
        <v/>
      </c>
      <c r="LD54" s="31" t="str">
        <f>IF(LC54/(INDEX('Standards for Conversions'!$H$47:$H$73,MATCH(LB$3,'Standards for Conversions'!$A$47:$A$73,0)))=0,"",LC54/(INDEX('Standards for Conversions'!$H$47:$H$73,MATCH(LB$3,'Standards for Conversions'!$A$47:$A$73,0))))</f>
        <v/>
      </c>
      <c r="LE54" s="33"/>
      <c r="LH54" s="31" t="str">
        <f>IF(LG54/(INDEX('Standards for Conversions'!$H$47:$H$73,MATCH(LF$3,'Standards for Conversions'!$A$47:$A$73,0)))=0,"",LG54/(INDEX('Standards for Conversions'!$H$47:$H$73,MATCH(LF$3,'Standards for Conversions'!$A$47:$A$73,0))))</f>
        <v/>
      </c>
      <c r="LL54" s="31" t="str">
        <f>IF(LK54/(INDEX('Standards for Conversions'!$H$47:$H$73,MATCH(LJ$3,'Standards for Conversions'!$A$47:$A$73,0)))=0,"",LK54/(INDEX('Standards for Conversions'!$H$47:$H$73,MATCH(LJ$3,'Standards for Conversions'!$A$47:$A$73,0))))</f>
        <v/>
      </c>
      <c r="LO54" s="31" t="str">
        <f>IF(LN54/(INDEX('Standards for Conversions'!$H$47:$H$73,MATCH(LM$3,'Standards for Conversions'!$A$47:$A$73,0)))=0,"",LN54/(INDEX('Standards for Conversions'!$H$47:$H$73,MATCH(LM$3,'Standards for Conversions'!$A$47:$A$73,0))))</f>
        <v/>
      </c>
      <c r="LR54" s="31" t="str">
        <f>IF(LQ54/(INDEX('Standards for Conversions'!$H$47:$H$73,MATCH(LP$3,'Standards for Conversions'!$A$47:$A$73,0)))=0,"",LQ54/(INDEX('Standards for Conversions'!$H$47:$H$73,MATCH(LP$3,'Standards for Conversions'!$A$47:$A$73,0))))</f>
        <v/>
      </c>
      <c r="LV54" s="31" t="str">
        <f>IF(LU54/(INDEX('Standards for Conversions'!$H$47:$H$73,MATCH(LT$3,'Standards for Conversions'!$A$47:$A$73,0)))=0,"",LU54/(INDEX('Standards for Conversions'!$H$47:$H$73,MATCH(LT$3,'Standards for Conversions'!$A$47:$A$73,0))))</f>
        <v/>
      </c>
      <c r="LY54" s="31" t="str">
        <f>IF(LX54/(INDEX('Standards for Conversions'!$H$47:$H$73,MATCH(LW$3,'Standards for Conversions'!$A$47:$A$73,0)))=0,"",LX54/(INDEX('Standards for Conversions'!$H$47:$H$73,MATCH(LW$3,'Standards for Conversions'!$A$47:$A$73,0))))</f>
        <v/>
      </c>
      <c r="MB54" s="31" t="str">
        <f>IF(MA54/(INDEX('Standards for Conversions'!$H$47:$H$73,MATCH(LZ$3,'Standards for Conversions'!$A$47:$A$73,0)))=0,"",MA54/(INDEX('Standards for Conversions'!$H$47:$H$73,MATCH(LZ$3,'Standards for Conversions'!$A$47:$A$73,0))))</f>
        <v/>
      </c>
      <c r="ME54" s="31" t="str">
        <f>IF(MD54/(INDEX('Standards for Conversions'!$H$47:$H$73,MATCH(MC$3,'Standards for Conversions'!$A$47:$A$73,0)))=0,"",MD54/(INDEX('Standards for Conversions'!$H$47:$H$73,MATCH(MC$3,'Standards for Conversions'!$A$47:$A$73,0))))</f>
        <v/>
      </c>
      <c r="MH54" s="31" t="str">
        <f>IF(MG54/(INDEX('Standards for Conversions'!$H$47:$H$73,MATCH(MF$3,'Standards for Conversions'!$A$47:$A$73,0)))=0,"",MG54/(INDEX('Standards for Conversions'!$H$47:$H$73,MATCH(MF$3,'Standards for Conversions'!$A$47:$A$73,0))))</f>
        <v/>
      </c>
      <c r="MK54" s="31" t="str">
        <f>IF(MJ54/(INDEX('Standards for Conversions'!$H$47:$H$73,MATCH(MI$3,'Standards for Conversions'!$A$47:$A$73,0)))=0,"",MJ54/(INDEX('Standards for Conversions'!$H$47:$H$73,MATCH(MI$3,'Standards for Conversions'!$A$47:$A$73,0))))</f>
        <v/>
      </c>
      <c r="MN54" s="31" t="str">
        <f>IF(MM54/(INDEX('Standards for Conversions'!$H$47:$H$73,MATCH(ML$3,'Standards for Conversions'!$A$47:$A$73,0)))=0,"",MM54/(INDEX('Standards for Conversions'!$H$47:$H$73,MATCH(ML$3,'Standards for Conversions'!$A$47:$A$73,0))))</f>
        <v/>
      </c>
      <c r="MR54" s="31" t="str">
        <f>IF(MQ54/(INDEX('Standards for Conversions'!$H$47:$H$73,MATCH(MP$3,'Standards for Conversions'!$A$47:$A$73,0)))=0,"",MQ54/(INDEX('Standards for Conversions'!$H$47:$H$73,MATCH(MP$3,'Standards for Conversions'!$A$47:$A$73,0))))</f>
        <v/>
      </c>
    </row>
    <row r="55" spans="1:373" hidden="1" x14ac:dyDescent="0.3">
      <c r="A55" s="103" t="s">
        <v>236</v>
      </c>
      <c r="B55" s="10" t="s">
        <v>57</v>
      </c>
      <c r="C55" s="7"/>
      <c r="D55" s="7"/>
      <c r="E55" s="31" t="str">
        <f>IF(D55/(INDEX('Standards for Conversions'!$H$34:$H$73,MATCH(C$3,'Standards for Conversions'!$A$34:$A$73,0)))=0,"",D55/(INDEX('Standards for Conversions'!$H$34:$H$73,MATCH(C$3,'Standards for Conversions'!$A$34:$A$73,0))))</f>
        <v/>
      </c>
      <c r="F55" s="10" t="s">
        <v>57</v>
      </c>
      <c r="G55" s="7"/>
      <c r="H55" s="7"/>
      <c r="I55" s="31" t="str">
        <f>IF(H55/(INDEX('Standards for Conversions'!$H$34:$H$73,MATCH(G$3,'Standards for Conversions'!$A$34:$A$73,0)))=0,"",H55/(INDEX('Standards for Conversions'!$H$34:$H$73,MATCH(G$3,'Standards for Conversions'!$A$34:$A$73,0))))</f>
        <v/>
      </c>
      <c r="J55" s="10" t="s">
        <v>57</v>
      </c>
      <c r="K55" s="9"/>
      <c r="L55" s="9"/>
      <c r="M55" s="31" t="str">
        <f>IF(L55/(INDEX('Standards for Conversions'!$H$34:$H$73,MATCH(K$3,'Standards for Conversions'!$A$34:$A$73,0)))=0,"",L55/(INDEX('Standards for Conversions'!$H$34:$H$73,MATCH(K$3,'Standards for Conversions'!$A$34:$A$73,0))))</f>
        <v/>
      </c>
      <c r="N55" s="10" t="s">
        <v>57</v>
      </c>
      <c r="O55" s="7"/>
      <c r="P55" s="7"/>
      <c r="Q55" s="31" t="str">
        <f>IF(P55/(INDEX('Standards for Conversions'!$H$34:$H$73,MATCH(O$3,'Standards for Conversions'!$A$34:$A$73,0)))=0,"",P55/(INDEX('Standards for Conversions'!$H$34:$H$73,MATCH(O$3,'Standards for Conversions'!$A$34:$A$73,0))))</f>
        <v/>
      </c>
      <c r="R55" s="10" t="s">
        <v>57</v>
      </c>
      <c r="S55" s="7"/>
      <c r="T55" s="7"/>
      <c r="U55" s="31" t="str">
        <f>IF(T55/(INDEX('Standards for Conversions'!$H$34:$H$73,MATCH(S$3,'Standards for Conversions'!$A$34:$A$73,0)))=0,"",T55/(INDEX('Standards for Conversions'!$H$34:$H$73,MATCH(S$3,'Standards for Conversions'!$A$34:$A$73,0))))</f>
        <v/>
      </c>
      <c r="V55" s="10" t="s">
        <v>57</v>
      </c>
      <c r="W55" s="7"/>
      <c r="X55" s="7"/>
      <c r="Y55" s="31" t="str">
        <f>IF(X55/(INDEX('Standards for Conversions'!$H$34:$H$73,MATCH(W$3,'Standards for Conversions'!$A$34:$A$73,0)))=0,"",X55/(INDEX('Standards for Conversions'!$H$34:$H$73,MATCH(W$3,'Standards for Conversions'!$A$34:$A$73,0))))</f>
        <v/>
      </c>
      <c r="Z55" s="10" t="s">
        <v>57</v>
      </c>
      <c r="AA55" s="9"/>
      <c r="AB55" s="9"/>
      <c r="AC55" s="31" t="str">
        <f>IF(AB55/(INDEX('Standards for Conversions'!$H$34:$H$73,MATCH(AA$3,'Standards for Conversions'!$A$34:$A$73,0)))=0,"",AB55/(INDEX('Standards for Conversions'!$H$34:$H$73,MATCH(AA$3,'Standards for Conversions'!$A$34:$A$73,0))))</f>
        <v/>
      </c>
      <c r="AD55" s="10" t="s">
        <v>57</v>
      </c>
      <c r="AE55" s="7"/>
      <c r="AF55" s="7"/>
      <c r="AG55" s="31" t="str">
        <f>IF(AF55/(INDEX('Standards for Conversions'!$H$34:$H$73,MATCH(AE$3,'Standards for Conversions'!$A$34:$A$73,0)))=0,"",AF55/(INDEX('Standards for Conversions'!$H$34:$H$73,MATCH(AE$3,'Standards for Conversions'!$A$34:$A$73,0))))</f>
        <v/>
      </c>
      <c r="AH55" s="10" t="s">
        <v>57</v>
      </c>
      <c r="AI55" s="7"/>
      <c r="AJ55" s="7"/>
      <c r="AK55" s="31" t="str">
        <f>IF(AJ55/(INDEX('Standards for Conversions'!$H$34:$H$73,MATCH(AI$3,'Standards for Conversions'!$A$34:$A$73,0)))=0,"",AJ55/(INDEX('Standards for Conversions'!$H$34:$H$73,MATCH(AI$3,'Standards for Conversions'!$A$34:$A$73,0))))</f>
        <v/>
      </c>
      <c r="AL55" s="10" t="s">
        <v>57</v>
      </c>
      <c r="AM55" s="7"/>
      <c r="AN55" s="7"/>
      <c r="AO55" s="31" t="str">
        <f>IF(AN55/(INDEX('Standards for Conversions'!$H$34:$H$73,MATCH(AM$3,'Standards for Conversions'!$A$34:$A$73,0)))=0,"",AN55/(INDEX('Standards for Conversions'!$H$34:$H$73,MATCH(AM$3,'Standards for Conversions'!$A$34:$A$73,0))))</f>
        <v/>
      </c>
      <c r="AP55" s="10" t="s">
        <v>57</v>
      </c>
      <c r="AQ55" s="9"/>
      <c r="AR55" s="9"/>
      <c r="AS55" s="31" t="str">
        <f>IF(AR55/(INDEX('Standards for Conversions'!$H$34:$H$73,MATCH(AQ$3,'Standards for Conversions'!$A$34:$A$73,0)))=0,"",AR55/(INDEX('Standards for Conversions'!$H$34:$H$73,MATCH(AQ$3,'Standards for Conversions'!$A$34:$A$73,0))))</f>
        <v/>
      </c>
      <c r="AT55" s="10" t="s">
        <v>57</v>
      </c>
      <c r="AU55" s="7"/>
      <c r="AV55" s="7"/>
      <c r="AW55" s="31" t="str">
        <f>IF(AV55/(INDEX('Standards for Conversions'!$H$34:$H$73,MATCH(AU$3,'Standards for Conversions'!$A$34:$A$73,0)))=0,"",AV55/(INDEX('Standards for Conversions'!$H$34:$H$73,MATCH(AU$3,'Standards for Conversions'!$A$34:$A$73,0))))</f>
        <v/>
      </c>
      <c r="AX55" s="10" t="s">
        <v>57</v>
      </c>
      <c r="AY55" s="7"/>
      <c r="AZ55" s="7"/>
      <c r="BA55" s="31" t="str">
        <f>IF(AZ55/(INDEX('Standards for Conversions'!$H$34:$H$73,MATCH(AY$3,'Standards for Conversions'!$A$34:$A$73,0)))=0,"",AZ55/(INDEX('Standards for Conversions'!$H$34:$H$73,MATCH(AY$3,'Standards for Conversions'!$A$34:$A$73,0))))</f>
        <v/>
      </c>
      <c r="BB55" s="10" t="s">
        <v>57</v>
      </c>
      <c r="BC55" s="7"/>
      <c r="BD55" s="7"/>
      <c r="BE55" s="31" t="str">
        <f>IF(BD55/(INDEX('Standards for Conversions'!$H$34:$H$73,MATCH(BC$3,'Standards for Conversions'!$A$34:$A$73,0)))=0,"",BD55/(INDEX('Standards for Conversions'!$H$34:$H$73,MATCH(BC$3,'Standards for Conversions'!$A$34:$A$73,0))))</f>
        <v/>
      </c>
      <c r="BF55" s="10" t="s">
        <v>57</v>
      </c>
      <c r="BG55" s="9"/>
      <c r="BH55" s="9"/>
      <c r="BI55" s="31" t="str">
        <f>IF(BH55/(INDEX('Standards for Conversions'!$H$34:$H$73,MATCH(BG$3,'Standards for Conversions'!$A$34:$A$73,0)))=0,"",BH55/(INDEX('Standards for Conversions'!$H$34:$H$73,MATCH(BG$3,'Standards for Conversions'!$A$34:$A$73,0))))</f>
        <v/>
      </c>
      <c r="BJ55" s="10" t="s">
        <v>57</v>
      </c>
      <c r="BK55" s="7"/>
      <c r="BL55" s="7"/>
      <c r="BM55" s="31" t="str">
        <f>IF(BL55/(INDEX('Standards for Conversions'!$H$34:$H$73,MATCH(BK$3,'Standards for Conversions'!$A$34:$A$73,0)))=0,"",BL55/(INDEX('Standards for Conversions'!$H$34:$H$73,MATCH(BK$3,'Standards for Conversions'!$A$34:$A$73,0))))</f>
        <v/>
      </c>
      <c r="BN55" s="10" t="s">
        <v>57</v>
      </c>
      <c r="BO55" s="7"/>
      <c r="BP55" s="7"/>
      <c r="BQ55" s="31" t="str">
        <f>IF(BP55/(INDEX('Standards for Conversions'!$H$34:$H$73,MATCH(BO$3,'Standards for Conversions'!$A$34:$A$73,0)))=0,"",BP55/(INDEX('Standards for Conversions'!$H$34:$H$73,MATCH(BO$3,'Standards for Conversions'!$A$34:$A$73,0))))</f>
        <v/>
      </c>
      <c r="BR55" s="10" t="s">
        <v>57</v>
      </c>
      <c r="BS55" s="7"/>
      <c r="BT55" s="7"/>
      <c r="BU55" s="31" t="str">
        <f>IF(BT55/(INDEX('Standards for Conversions'!$H$34:$H$73,MATCH(BS$3,'Standards for Conversions'!$A$34:$A$73,0)))=0,"",BT55/(INDEX('Standards for Conversions'!$H$34:$H$73,MATCH(BS$3,'Standards for Conversions'!$A$34:$A$73,0))))</f>
        <v/>
      </c>
      <c r="BV55" s="10" t="s">
        <v>57</v>
      </c>
      <c r="BW55" s="9"/>
      <c r="BX55" s="9"/>
      <c r="BY55" s="31" t="str">
        <f>IF(BX55/(INDEX('Standards for Conversions'!$H$34:$H$73,MATCH(BW$3,'Standards for Conversions'!$A$34:$A$73,0)))=0,"",BX55/(INDEX('Standards for Conversions'!$H$34:$H$73,MATCH(BW$3,'Standards for Conversions'!$A$34:$A$73,0))))</f>
        <v/>
      </c>
      <c r="BZ55" s="10" t="s">
        <v>57</v>
      </c>
      <c r="CA55" s="7"/>
      <c r="CB55" s="7"/>
      <c r="CC55" s="31" t="str">
        <f>IF(CB55/(INDEX('Standards for Conversions'!$H$34:$H$73,MATCH(CA$3,'Standards for Conversions'!$A$34:$A$73,0)))=0,"",CB55/(INDEX('Standards for Conversions'!$H$34:$H$73,MATCH(CA$3,'Standards for Conversions'!$A$34:$A$73,0))))</f>
        <v/>
      </c>
      <c r="CD55" s="10" t="s">
        <v>57</v>
      </c>
      <c r="CE55" s="7"/>
      <c r="CF55" s="7"/>
      <c r="CG55" s="31" t="str">
        <f>IF(CF55/(INDEX('Standards for Conversions'!$H$34:$H$73,MATCH(CE$3,'Standards for Conversions'!$A$34:$A$73,0)))=0,"",CF55/(INDEX('Standards for Conversions'!$H$34:$H$73,MATCH(CE$3,'Standards for Conversions'!$A$34:$A$73,0))))</f>
        <v/>
      </c>
      <c r="CH55" s="10" t="s">
        <v>57</v>
      </c>
      <c r="CI55" s="7"/>
      <c r="CJ55" s="7"/>
      <c r="CK55" s="31" t="str">
        <f>IF(CJ55/(INDEX('Standards for Conversions'!$H$34:$H$73,MATCH(CI$3,'Standards for Conversions'!$A$34:$A$73,0)))=0,"",CJ55/(INDEX('Standards for Conversions'!$H$34:$H$73,MATCH(CI$3,'Standards for Conversions'!$A$34:$A$73,0))))</f>
        <v/>
      </c>
      <c r="CL55" s="10" t="s">
        <v>57</v>
      </c>
      <c r="CM55" s="9"/>
      <c r="CN55" s="9"/>
      <c r="CO55" s="31" t="str">
        <f>IF(CN55/(INDEX('Standards for Conversions'!$H$34:$H$73,MATCH(CM$3,'Standards for Conversions'!$A$34:$A$73,0)))=0,"",CN55/(INDEX('Standards for Conversions'!$H$34:$H$73,MATCH(CM$3,'Standards for Conversions'!$A$34:$A$73,0))))</f>
        <v/>
      </c>
      <c r="CP55" s="10" t="s">
        <v>57</v>
      </c>
      <c r="CQ55" s="7"/>
      <c r="CR55" s="7"/>
      <c r="CS55" s="31" t="str">
        <f>IF(CR55/(INDEX('Standards for Conversions'!$H$34:$H$73,MATCH(CQ$3,'Standards for Conversions'!$A$34:$A$73,0)))=0,"",CR55/(INDEX('Standards for Conversions'!$H$34:$H$73,MATCH(CQ$3,'Standards for Conversions'!$A$34:$A$73,0))))</f>
        <v/>
      </c>
      <c r="CT55" s="10" t="s">
        <v>57</v>
      </c>
      <c r="CU55" s="7"/>
      <c r="CV55" s="7"/>
      <c r="CW55" s="31" t="str">
        <f>IF(CV55/(INDEX('Standards for Conversions'!$H$34:$H$73,MATCH(CU$3,'Standards for Conversions'!$A$34:$A$73,0)))=0,"",CV55/(INDEX('Standards for Conversions'!$H$34:$H$73,MATCH(CU$3,'Standards for Conversions'!$A$34:$A$73,0))))</f>
        <v/>
      </c>
      <c r="CX55" s="10" t="s">
        <v>57</v>
      </c>
      <c r="CY55" s="7"/>
      <c r="CZ55" s="7"/>
      <c r="DA55" s="31" t="str">
        <f>IF(CZ55/(INDEX('Standards for Conversions'!$H$34:$H$73,MATCH(CY$3,'Standards for Conversions'!$A$34:$A$73,0)))=0,"",CZ55/(INDEX('Standards for Conversions'!$H$34:$H$73,MATCH(CY$3,'Standards for Conversions'!$A$34:$A$73,0))))</f>
        <v/>
      </c>
      <c r="DB55" s="10" t="s">
        <v>57</v>
      </c>
      <c r="DC55" s="9"/>
      <c r="DD55" s="9"/>
      <c r="DE55" s="31" t="str">
        <f>IF(DD55/(INDEX('Standards for Conversions'!$H$34:$H$73,MATCH(DC$3,'Standards for Conversions'!$A$34:$A$73,0)))=0,"",DD55/(INDEX('Standards for Conversions'!$H$34:$H$73,MATCH(DC$3,'Standards for Conversions'!$A$34:$A$73,0))))</f>
        <v/>
      </c>
      <c r="DF55" s="10" t="s">
        <v>57</v>
      </c>
      <c r="DG55" s="7"/>
      <c r="DH55" s="7"/>
      <c r="DI55" s="31" t="str">
        <f>IF(DH55/(INDEX('Standards for Conversions'!$H$34:$H$73,MATCH(DG$3,'Standards for Conversions'!$A$34:$A$73,0)))=0,"",DH55/(INDEX('Standards for Conversions'!$H$34:$H$73,MATCH(DG$3,'Standards for Conversions'!$A$34:$A$73,0))))</f>
        <v/>
      </c>
      <c r="DJ55" s="10" t="s">
        <v>57</v>
      </c>
      <c r="DK55" s="7"/>
      <c r="DL55" s="7"/>
      <c r="DM55" s="31" t="str">
        <f>IF(DL55/(INDEX('Standards for Conversions'!$H$34:$H$73,MATCH(DK$3,'Standards for Conversions'!$A$34:$A$73,0)))=0,"",DL55/(INDEX('Standards for Conversions'!$H$34:$H$73,MATCH(DK$3,'Standards for Conversions'!$A$34:$A$73,0))))</f>
        <v/>
      </c>
      <c r="DN55" s="10" t="s">
        <v>57</v>
      </c>
      <c r="DO55" s="7"/>
      <c r="DP55" s="7"/>
      <c r="DQ55" s="31" t="str">
        <f>IF(DP55/(INDEX('Standards for Conversions'!$H$34:$H$73,MATCH(DO$3,'Standards for Conversions'!$A$34:$A$73,0)))=0,"",DP55/(INDEX('Standards for Conversions'!$H$34:$H$73,MATCH(DO$3,'Standards for Conversions'!$A$34:$A$73,0))))</f>
        <v/>
      </c>
      <c r="DR55" s="10" t="s">
        <v>57</v>
      </c>
      <c r="DS55" s="9"/>
      <c r="DT55" s="9"/>
      <c r="DU55" s="31" t="str">
        <f>IF(DT55/(INDEX('Standards for Conversions'!$H$34:$H$73,MATCH(DS$3,'Standards for Conversions'!$A$34:$A$73,0)))=0,"",DT55/(INDEX('Standards for Conversions'!$H$34:$H$73,MATCH(DS$3,'Standards for Conversions'!$A$34:$A$73,0))))</f>
        <v/>
      </c>
      <c r="DV55" s="10" t="s">
        <v>57</v>
      </c>
      <c r="DW55" s="7"/>
      <c r="DX55" s="7"/>
      <c r="DY55" s="31" t="str">
        <f>IF(DX55/(INDEX('Standards for Conversions'!$H$34:$H$73,MATCH(DW$3,'Standards for Conversions'!$A$34:$A$73,0)))=0,"",DX55/(INDEX('Standards for Conversions'!$H$34:$H$73,MATCH(DW$3,'Standards for Conversions'!$A$34:$A$73,0))))</f>
        <v/>
      </c>
      <c r="DZ55" s="10" t="s">
        <v>57</v>
      </c>
      <c r="EA55" s="7"/>
      <c r="EB55" s="7"/>
      <c r="EC55" s="31" t="str">
        <f>IF(EB55/(INDEX('Standards for Conversions'!$H$34:$H$73,MATCH(EA$3,'Standards for Conversions'!$A$34:$A$73,0)))=0,"",EB55/(INDEX('Standards for Conversions'!$H$34:$H$73,MATCH(EA$3,'Standards for Conversions'!$A$34:$A$73,0))))</f>
        <v/>
      </c>
      <c r="ED55" s="10" t="s">
        <v>57</v>
      </c>
      <c r="EE55" s="7"/>
      <c r="EF55" s="7"/>
      <c r="EG55" s="31" t="str">
        <f>IF(EF55/(INDEX('Standards for Conversions'!$H$34:$H$73,MATCH(EE$3,'Standards for Conversions'!$A$34:$A$73,0)))=0,"",EF55/(INDEX('Standards for Conversions'!$H$34:$H$73,MATCH(EE$3,'Standards for Conversions'!$A$34:$A$73,0))))</f>
        <v/>
      </c>
      <c r="EH55" s="10" t="s">
        <v>57</v>
      </c>
      <c r="EI55" s="9"/>
      <c r="EJ55" s="9"/>
      <c r="EK55" s="31" t="str">
        <f>IF(EJ55/(INDEX('Standards for Conversions'!$H$34:$H$73,MATCH(EI$3,'Standards for Conversions'!$A$34:$A$73,0)))=0,"",EJ55/(INDEX('Standards for Conversions'!$H$34:$H$73,MATCH(EI$3,'Standards for Conversions'!$A$34:$A$73,0))))</f>
        <v/>
      </c>
      <c r="EL55" s="10" t="s">
        <v>57</v>
      </c>
      <c r="EM55" s="7"/>
      <c r="EN55" s="7"/>
      <c r="EO55" s="31" t="str">
        <f>IF(EN55/(INDEX('Standards for Conversions'!$H$34:$H$73,MATCH(EM$3,'Standards for Conversions'!$A$34:$A$73,0)))=0,"",EN55/(INDEX('Standards for Conversions'!$H$34:$H$73,MATCH(EM$3,'Standards for Conversions'!$A$34:$A$73,0))))</f>
        <v/>
      </c>
      <c r="EP55" s="10" t="s">
        <v>57</v>
      </c>
      <c r="EQ55" s="7"/>
      <c r="ER55" s="7"/>
      <c r="ES55" s="31" t="str">
        <f>IF(ER55/(INDEX('Standards for Conversions'!$H$34:$H$73,MATCH(EQ$3,'Standards for Conversions'!$A$34:$A$73,0)))=0,"",ER55/(INDEX('Standards for Conversions'!$H$34:$H$73,MATCH(EQ$3,'Standards for Conversions'!$A$34:$A$73,0))))</f>
        <v/>
      </c>
      <c r="ET55" s="10" t="s">
        <v>57</v>
      </c>
      <c r="EU55" s="7"/>
      <c r="EV55" s="7"/>
      <c r="EW55" s="31" t="str">
        <f>IF(EV55/(INDEX('Standards for Conversions'!$H$34:$H$73,MATCH(EU$3,'Standards for Conversions'!$A$34:$A$73,0)))=0,"",EV55/(INDEX('Standards for Conversions'!$H$34:$H$73,MATCH(EU$3,'Standards for Conversions'!$A$34:$A$73,0))))</f>
        <v/>
      </c>
      <c r="EX55" s="10" t="s">
        <v>57</v>
      </c>
      <c r="EY55" s="9"/>
      <c r="EZ55" s="9"/>
      <c r="FA55" s="31" t="str">
        <f>IF(EZ55/(INDEX('Standards for Conversions'!$H$34:$H$73,MATCH(EY$3,'Standards for Conversions'!$A$34:$A$73,0)))=0,"",EZ55/(INDEX('Standards for Conversions'!$H$34:$H$73,MATCH(EY$3,'Standards for Conversions'!$A$34:$A$73,0))))</f>
        <v/>
      </c>
      <c r="FB55" s="10" t="s">
        <v>57</v>
      </c>
      <c r="FC55" s="7"/>
      <c r="FD55" s="7"/>
      <c r="FE55" s="31" t="str">
        <f>IF(FD55/(INDEX('Standards for Conversions'!$H$34:$H$73,MATCH(FC$3,'Standards for Conversions'!$A$34:$A$73,0)))=0,"",FD55/(INDEX('Standards for Conversions'!$H$34:$H$73,MATCH(FC$3,'Standards for Conversions'!$A$34:$A$73,0))))</f>
        <v/>
      </c>
      <c r="FF55" s="10" t="s">
        <v>57</v>
      </c>
      <c r="FG55" s="7"/>
      <c r="FH55" s="7"/>
      <c r="FI55" s="31" t="str">
        <f>IF(FH55/(INDEX('Standards for Conversions'!$H$34:$H$73,MATCH(FG$3,'Standards for Conversions'!$A$34:$A$73,0)))=0,"",FH55/(INDEX('Standards for Conversions'!$H$34:$H$73,MATCH(FG$3,'Standards for Conversions'!$A$34:$A$73,0))))</f>
        <v/>
      </c>
      <c r="FJ55" s="10" t="s">
        <v>57</v>
      </c>
      <c r="FK55" s="7"/>
      <c r="FL55" s="7"/>
      <c r="FM55" s="31" t="str">
        <f>IF(FL55/(INDEX('Standards for Conversions'!$H$34:$H$73,MATCH(FK$3,'Standards for Conversions'!$A$34:$A$73,0)))=0,"",FL55/(INDEX('Standards for Conversions'!$H$34:$H$73,MATCH(FK$3,'Standards for Conversions'!$A$34:$A$73,0))))</f>
        <v/>
      </c>
      <c r="FN55" s="10" t="s">
        <v>57</v>
      </c>
      <c r="FO55" s="9"/>
      <c r="FP55" s="9"/>
      <c r="FQ55" s="31" t="str">
        <f>IF(FP55/(INDEX('Standards for Conversions'!$H$34:$H$73,MATCH(FO$3,'Standards for Conversions'!$A$34:$A$73,0)))=0,"",FP55/(INDEX('Standards for Conversions'!$H$34:$H$73,MATCH(FO$3,'Standards for Conversions'!$A$34:$A$73,0))))</f>
        <v/>
      </c>
      <c r="FR55" s="10" t="s">
        <v>57</v>
      </c>
      <c r="FS55" s="7"/>
      <c r="FT55" s="7"/>
      <c r="FU55" s="31" t="str">
        <f>IF(FT55/(INDEX('Standards for Conversions'!$H$34:$H$73,MATCH(FS$3,'Standards for Conversions'!$A$34:$A$73,0)))=0,"",FT55/(INDEX('Standards for Conversions'!$H$34:$H$73,MATCH(FS$3,'Standards for Conversions'!$A$34:$A$73,0))))</f>
        <v/>
      </c>
      <c r="FV55" s="10" t="s">
        <v>57</v>
      </c>
      <c r="FW55" s="7"/>
      <c r="FX55" s="7"/>
      <c r="FY55" s="31" t="str">
        <f>IF(FX55/(INDEX('Standards for Conversions'!$H$34:$H$73,MATCH(FW$3,'Standards for Conversions'!$A$34:$A$73,0)))=0,"",FX55/(INDEX('Standards for Conversions'!$H$34:$H$73,MATCH(FW$3,'Standards for Conversions'!$A$34:$A$73,0))))</f>
        <v/>
      </c>
      <c r="FZ55" s="10" t="s">
        <v>57</v>
      </c>
      <c r="GA55" s="7"/>
      <c r="GB55" s="7"/>
      <c r="GC55" s="31" t="str">
        <f>IF(GB55/(INDEX('Standards for Conversions'!$H$34:$H$73,MATCH(GA$3,'Standards for Conversions'!$A$34:$A$73,0)))=0,"",GB55/(INDEX('Standards for Conversions'!$H$34:$H$73,MATCH(GA$3,'Standards for Conversions'!$A$34:$A$73,0))))</f>
        <v/>
      </c>
      <c r="GD55" s="10" t="s">
        <v>57</v>
      </c>
      <c r="GE55" s="9"/>
      <c r="GF55" s="9"/>
      <c r="GG55" s="31" t="str">
        <f>IF(GF55/(INDEX('Standards for Conversions'!$H$34:$H$73,MATCH(GE$3,'Standards for Conversions'!$A$34:$A$73,0)))=0,"",GF55/(INDEX('Standards for Conversions'!$H$34:$H$73,MATCH(GE$3,'Standards for Conversions'!$A$34:$A$73,0))))</f>
        <v/>
      </c>
      <c r="GH55" s="10" t="s">
        <v>57</v>
      </c>
      <c r="GI55" s="7"/>
      <c r="GJ55" s="7"/>
      <c r="GK55" s="31" t="str">
        <f>IF(GJ55/(INDEX('Standards for Conversions'!$H$34:$H$73,MATCH(GI$3,'Standards for Conversions'!$A$34:$A$73,0)))=0,"",GJ55/(INDEX('Standards for Conversions'!$H$34:$H$73,MATCH(GI$3,'Standards for Conversions'!$A$34:$A$73,0))))</f>
        <v/>
      </c>
      <c r="GL55" s="10" t="s">
        <v>57</v>
      </c>
      <c r="GM55" s="7"/>
      <c r="GN55" s="7"/>
      <c r="GO55" s="31" t="str">
        <f>IF(GN55/(INDEX('Standards for Conversions'!$H$34:$H$73,MATCH(GM$3,'Standards for Conversions'!$A$34:$A$73,0)))=0,"",GN55/(INDEX('Standards for Conversions'!$H$34:$H$73,MATCH(GM$3,'Standards for Conversions'!$A$34:$A$73,0))))</f>
        <v/>
      </c>
      <c r="GP55" s="10" t="s">
        <v>57</v>
      </c>
      <c r="GQ55" s="7"/>
      <c r="GR55" s="7"/>
      <c r="GS55" s="31" t="str">
        <f>IF(GR55/(INDEX('Standards for Conversions'!$H$34:$H$73,MATCH(GQ$3,'Standards for Conversions'!$A$34:$A$73,0)))=0,"",GR55/(INDEX('Standards for Conversions'!$H$34:$H$73,MATCH(GQ$3,'Standards for Conversions'!$A$34:$A$73,0))))</f>
        <v/>
      </c>
      <c r="GT55" s="10" t="s">
        <v>57</v>
      </c>
      <c r="GU55" s="9"/>
      <c r="GV55" s="9"/>
      <c r="GW55" s="31" t="str">
        <f>IF(GV55/(INDEX('Standards for Conversions'!$H$34:$H$73,MATCH(GU$3,'Standards for Conversions'!$A$34:$A$73,0)))=0,"",GV55/(INDEX('Standards for Conversions'!$H$34:$H$73,MATCH(GU$3,'Standards for Conversions'!$A$34:$A$73,0))))</f>
        <v/>
      </c>
      <c r="GX55" s="10" t="s">
        <v>57</v>
      </c>
      <c r="GY55" s="7"/>
      <c r="GZ55" s="7"/>
      <c r="HA55" s="31" t="str">
        <f>IF(GZ55/(INDEX('Standards for Conversions'!$H$34:$H$73,MATCH(GY$3,'Standards for Conversions'!$A$34:$A$73,0)))=0,"",GZ55/(INDEX('Standards for Conversions'!$H$34:$H$73,MATCH(GY$3,'Standards for Conversions'!$A$34:$A$73,0))))</f>
        <v/>
      </c>
      <c r="HB55" s="10" t="s">
        <v>57</v>
      </c>
      <c r="HC55" s="7"/>
      <c r="HD55" s="7"/>
      <c r="HE55" s="31" t="str">
        <f>IF(HD55/(INDEX('Standards for Conversions'!$H$34:$H$73,MATCH(HC$3,'Standards for Conversions'!$A$34:$A$73,0)))=0,"",HD55/(INDEX('Standards for Conversions'!$H$34:$H$73,MATCH(HC$3,'Standards for Conversions'!$A$34:$A$73,0))))</f>
        <v/>
      </c>
      <c r="HF55" s="10" t="s">
        <v>57</v>
      </c>
      <c r="HG55" s="7"/>
      <c r="HH55" s="7"/>
      <c r="HI55" s="31" t="str">
        <f>IF(HH55/(INDEX('Standards for Conversions'!$H$34:$H$73,MATCH(HG$3,'Standards for Conversions'!$A$34:$A$73,0)))=0,"",HH55/(INDEX('Standards for Conversions'!$H$34:$H$73,MATCH(HG$3,'Standards for Conversions'!$A$34:$A$73,0))))</f>
        <v/>
      </c>
      <c r="HJ55" s="10" t="s">
        <v>57</v>
      </c>
      <c r="HK55" s="9"/>
      <c r="HL55" s="9"/>
      <c r="HM55" s="31" t="str">
        <f>IF(HL55/(INDEX('Standards for Conversions'!$H$34:$H$73,MATCH(HK$3,'Standards for Conversions'!$A$34:$A$73,0)))=0,"",HL55/(INDEX('Standards for Conversions'!$H$34:$H$73,MATCH(HK$3,'Standards for Conversions'!$A$34:$A$73,0))))</f>
        <v/>
      </c>
      <c r="HN55" s="10" t="s">
        <v>57</v>
      </c>
      <c r="HO55" s="7"/>
      <c r="HP55" s="7"/>
      <c r="HQ55" s="31" t="str">
        <f>IF(HP55/(INDEX('Standards for Conversions'!$H$34:$H$73,MATCH(HO$3,'Standards for Conversions'!$A$34:$A$73,0)))=0,"",HP55/(INDEX('Standards for Conversions'!$H$34:$H$73,MATCH(HO$3,'Standards for Conversions'!$A$34:$A$73,0))))</f>
        <v/>
      </c>
      <c r="HR55" s="33" t="s">
        <v>57</v>
      </c>
      <c r="HU55" s="31" t="str">
        <f>IF(HT55/(INDEX('Standards for Conversions'!$H$47:$H$73,MATCH(HS$3,'Standards for Conversions'!$A$47:$A$73,0)))=0,"",HT55/(INDEX('Standards for Conversions'!$H$47:$H$73,MATCH(HS$3,'Standards for Conversions'!$A$47:$A$73,0))))</f>
        <v/>
      </c>
      <c r="HV55" s="33" t="s">
        <v>57</v>
      </c>
      <c r="HW55" s="29">
        <v>800</v>
      </c>
      <c r="HX55" s="29">
        <v>3000</v>
      </c>
      <c r="HY55" s="31">
        <f>IF(HX55/(INDEX('Standards for Conversions'!$H$47:$H$73,MATCH(HW$3,'Standards for Conversions'!$A$47:$A$73,0)))=0,"",HX55/(INDEX('Standards for Conversions'!$H$47:$H$73,MATCH(HW$3,'Standards for Conversions'!$A$47:$A$73,0))))</f>
        <v>435.7362366385679</v>
      </c>
      <c r="HZ55" s="33"/>
      <c r="IA55" s="33"/>
      <c r="IB55" s="31" t="str">
        <f>IF(IA55/(INDEX('Standards for Conversions'!$H$47:$H$73,MATCH(HZ$3,'Standards for Conversions'!$A$47:$A$73,0)))=0,"",IA55/(INDEX('Standards for Conversions'!$H$47:$H$73,MATCH(HZ$3,'Standards for Conversions'!$A$47:$A$73,0))))</f>
        <v/>
      </c>
      <c r="IC55" s="33" t="s">
        <v>57</v>
      </c>
      <c r="IF55" s="31" t="str">
        <f>IF(IE55/(INDEX('Standards for Conversions'!$H$47:$H$73,MATCH(ID$3,'Standards for Conversions'!$A$47:$A$73,0)))=0,"",IE55/(INDEX('Standards for Conversions'!$H$47:$H$73,MATCH(ID$3,'Standards for Conversions'!$A$47:$A$73,0))))</f>
        <v/>
      </c>
      <c r="IG55" s="33" t="s">
        <v>57</v>
      </c>
      <c r="IJ55" s="31" t="str">
        <f>IF(II55/(INDEX('Standards for Conversions'!$H$47:$H$73,MATCH(IH$3,'Standards for Conversions'!$A$47:$A$73,0)))=0,"",II55/(INDEX('Standards for Conversions'!$H$47:$H$73,MATCH(IH$3,'Standards for Conversions'!$A$47:$A$73,0))))</f>
        <v/>
      </c>
      <c r="IK55" s="33" t="s">
        <v>57</v>
      </c>
      <c r="IL55" s="29">
        <v>500</v>
      </c>
      <c r="IM55" s="29">
        <v>2000</v>
      </c>
      <c r="IN55" s="31">
        <f>IF(IM55/(INDEX('Standards for Conversions'!$H$47:$H$73,MATCH(IL$3,'Standards for Conversions'!$A$47:$A$73,0)))=0,"",IM55/(INDEX('Standards for Conversions'!$H$47:$H$73,MATCH(IL$3,'Standards for Conversions'!$A$47:$A$73,0))))</f>
        <v>289.2204563888647</v>
      </c>
      <c r="IO55" s="33" t="s">
        <v>57</v>
      </c>
      <c r="IR55" s="31" t="str">
        <f>IF(IQ55/(INDEX('Standards for Conversions'!$H$47:$H$73,MATCH(IP$3,'Standards for Conversions'!$A$47:$A$73,0)))=0,"",IQ55/(INDEX('Standards for Conversions'!$H$47:$H$73,MATCH(IP$3,'Standards for Conversions'!$A$47:$A$73,0))))</f>
        <v/>
      </c>
      <c r="IS55" s="33" t="s">
        <v>57</v>
      </c>
      <c r="IV55" s="31" t="str">
        <f>IF(IU55/(INDEX('Standards for Conversions'!$H$47:$H$73,MATCH(IT$3,'Standards for Conversions'!$A$47:$A$73,0)))=0,"",IU55/(INDEX('Standards for Conversions'!$H$47:$H$73,MATCH(IT$3,'Standards for Conversions'!$A$47:$A$73,0))))</f>
        <v/>
      </c>
      <c r="IW55" s="33" t="s">
        <v>57</v>
      </c>
      <c r="IZ55" s="31" t="str">
        <f>IF(IY55/(INDEX('Standards for Conversions'!$H$47:$H$73,MATCH(IX$3,'Standards for Conversions'!$A$47:$A$73,0)))=0,"",IY55/(INDEX('Standards for Conversions'!$H$47:$H$73,MATCH(IX$3,'Standards for Conversions'!$A$47:$A$73,0))))</f>
        <v/>
      </c>
      <c r="JA55" s="48" t="s">
        <v>57</v>
      </c>
      <c r="JB55" s="29">
        <v>400</v>
      </c>
      <c r="JC55" s="29">
        <v>1600</v>
      </c>
      <c r="JD55" s="31">
        <f>IF(JC55/(INDEX('Standards for Conversions'!$H$47:$H$73,MATCH(JB$3,'Standards for Conversions'!$A$47:$A$73,0)))=0,"",JC55/(INDEX('Standards for Conversions'!$H$47:$H$73,MATCH(JB$3,'Standards for Conversions'!$A$47:$A$73,0))))</f>
        <v>258.81631470698989</v>
      </c>
      <c r="JE55" s="33"/>
      <c r="JH55" s="31" t="str">
        <f>IF(JG55/(INDEX('Standards for Conversions'!$H$47:$H$73,MATCH(JF$3,'Standards for Conversions'!$A$47:$A$73,0)))=0,"",JG55/(INDEX('Standards for Conversions'!$H$47:$H$73,MATCH(JF$3,'Standards for Conversions'!$A$47:$A$73,0))))</f>
        <v/>
      </c>
      <c r="JI55" s="33"/>
      <c r="JL55" s="31" t="str">
        <f>IF(JK55/(INDEX('Standards for Conversions'!$H$47:$H$73,MATCH(JJ$3,'Standards for Conversions'!$A$47:$A$73,0)))=0,"",JK55/(INDEX('Standards for Conversions'!$H$47:$H$73,MATCH(JJ$3,'Standards for Conversions'!$A$47:$A$73,0))))</f>
        <v/>
      </c>
      <c r="JM55" s="33" t="s">
        <v>57</v>
      </c>
      <c r="JP55" s="31" t="str">
        <f>IF(JO55/(INDEX('Standards for Conversions'!$H$47:$H$73,MATCH(JN$3,'Standards for Conversions'!$A$47:$A$73,0)))=0,"",JO55/(INDEX('Standards for Conversions'!$H$47:$H$73,MATCH(JN$3,'Standards for Conversions'!$A$47:$A$73,0))))</f>
        <v/>
      </c>
      <c r="JQ55" s="33" t="s">
        <v>57</v>
      </c>
      <c r="JR55" s="29">
        <v>700</v>
      </c>
      <c r="JS55" s="29">
        <v>3000</v>
      </c>
      <c r="JT55" s="31">
        <f>IF(JS55/(INDEX('Standards for Conversions'!$H$47:$H$73,MATCH(JR$3,'Standards for Conversions'!$A$47:$A$73,0)))=0,"",JS55/(INDEX('Standards for Conversions'!$H$47:$H$73,MATCH(JR$3,'Standards for Conversions'!$A$47:$A$73,0))))</f>
        <v>457.96767728339267</v>
      </c>
      <c r="JU55" s="33" t="s">
        <v>57</v>
      </c>
      <c r="JX55" s="31" t="str">
        <f>IF(JW55/(INDEX('Standards for Conversions'!$H$47:$H$73,MATCH(JV$3,'Standards for Conversions'!$A$47:$A$73,0)))=0,"",JW55/(INDEX('Standards for Conversions'!$H$47:$H$73,MATCH(JV$3,'Standards for Conversions'!$A$47:$A$73,0))))</f>
        <v/>
      </c>
      <c r="JY55" s="33" t="s">
        <v>57</v>
      </c>
      <c r="KB55" s="31" t="str">
        <f>IF(KA55/(INDEX('Standards for Conversions'!$H$47:$H$73,MATCH(JZ$3,'Standards for Conversions'!$A$47:$A$73,0)))=0,"",KA55/(INDEX('Standards for Conversions'!$H$47:$H$73,MATCH(JZ$3,'Standards for Conversions'!$A$47:$A$73,0))))</f>
        <v/>
      </c>
      <c r="KC55" s="33" t="s">
        <v>57</v>
      </c>
      <c r="KF55" s="31" t="str">
        <f>IF(KE55/(INDEX('Standards for Conversions'!$H$47:$H$73,MATCH(KD$3,'Standards for Conversions'!$A$47:$A$73,0)))=0,"",KE55/(INDEX('Standards for Conversions'!$H$47:$H$73,MATCH(KD$3,'Standards for Conversions'!$A$47:$A$73,0))))</f>
        <v/>
      </c>
      <c r="KG55" s="33" t="s">
        <v>57</v>
      </c>
      <c r="KH55" s="29">
        <v>800</v>
      </c>
      <c r="KI55" s="29">
        <v>3500</v>
      </c>
      <c r="KJ55" s="31">
        <f>IF(KI55/(INDEX('Standards for Conversions'!$H$47:$H$73,MATCH(KH$3,'Standards for Conversions'!$A$47:$A$73,0)))=0,"",KI55/(INDEX('Standards for Conversions'!$H$47:$H$73,MATCH(KH$3,'Standards for Conversions'!$A$47:$A$73,0))))</f>
        <v>471.30654167028763</v>
      </c>
      <c r="KK55" s="33" t="s">
        <v>57</v>
      </c>
      <c r="KN55" s="31" t="str">
        <f>IF(KM55/(INDEX('Standards for Conversions'!$H$47:$H$73,MATCH(KL$3,'Standards for Conversions'!$A$47:$A$73,0)))=0,"",KM55/(INDEX('Standards for Conversions'!$H$47:$H$73,MATCH(KL$3,'Standards for Conversions'!$A$47:$A$73,0))))</f>
        <v/>
      </c>
      <c r="KO55" s="33" t="s">
        <v>57</v>
      </c>
      <c r="KR55" s="31" t="str">
        <f>IF(KQ55/(INDEX('Standards for Conversions'!$H$47:$H$73,MATCH(KP$3,'Standards for Conversions'!$A$47:$A$73,0)))=0,"",KQ55/(INDEX('Standards for Conversions'!$H$47:$H$73,MATCH(KP$3,'Standards for Conversions'!$A$47:$A$73,0))))</f>
        <v/>
      </c>
      <c r="KS55" s="33" t="s">
        <v>57</v>
      </c>
      <c r="KV55" s="31" t="str">
        <f>IF(KU55/(INDEX('Standards for Conversions'!$H$47:$H$73,MATCH(KT$3,'Standards for Conversions'!$A$47:$A$73,0)))=0,"",KU55/(INDEX('Standards for Conversions'!$H$47:$H$73,MATCH(KT$3,'Standards for Conversions'!$A$47:$A$73,0))))</f>
        <v/>
      </c>
      <c r="KW55" s="48" t="s">
        <v>57</v>
      </c>
      <c r="KX55" s="29">
        <v>1000</v>
      </c>
      <c r="KY55" s="29">
        <v>5000</v>
      </c>
      <c r="KZ55" s="31">
        <f>IF(KY55/(INDEX('Standards for Conversions'!$H$47:$H$73,MATCH(KX$3,'Standards for Conversions'!$A$47:$A$73,0)))=0,"",KY55/(INDEX('Standards for Conversions'!$H$47:$H$73,MATCH(KX$3,'Standards for Conversions'!$A$47:$A$73,0))))</f>
        <v>608.08283363749592</v>
      </c>
      <c r="LD55" s="31" t="str">
        <f>IF(LC55/(INDEX('Standards for Conversions'!$H$47:$H$73,MATCH(LB$3,'Standards for Conversions'!$A$47:$A$73,0)))=0,"",LC55/(INDEX('Standards for Conversions'!$H$47:$H$73,MATCH(LB$3,'Standards for Conversions'!$A$47:$A$73,0))))</f>
        <v/>
      </c>
      <c r="LE55" s="33"/>
      <c r="LH55" s="31" t="str">
        <f>IF(LG55/(INDEX('Standards for Conversions'!$H$47:$H$73,MATCH(LF$3,'Standards for Conversions'!$A$47:$A$73,0)))=0,"",LG55/(INDEX('Standards for Conversions'!$H$47:$H$73,MATCH(LF$3,'Standards for Conversions'!$A$47:$A$73,0))))</f>
        <v/>
      </c>
      <c r="LL55" s="31" t="str">
        <f>IF(LK55/(INDEX('Standards for Conversions'!$H$47:$H$73,MATCH(LJ$3,'Standards for Conversions'!$A$47:$A$73,0)))=0,"",LK55/(INDEX('Standards for Conversions'!$H$47:$H$73,MATCH(LJ$3,'Standards for Conversions'!$A$47:$A$73,0))))</f>
        <v/>
      </c>
      <c r="LO55" s="31" t="str">
        <f>IF(LN55/(INDEX('Standards for Conversions'!$H$47:$H$73,MATCH(LM$3,'Standards for Conversions'!$A$47:$A$73,0)))=0,"",LN55/(INDEX('Standards for Conversions'!$H$47:$H$73,MATCH(LM$3,'Standards for Conversions'!$A$47:$A$73,0))))</f>
        <v/>
      </c>
      <c r="LR55" s="31" t="str">
        <f>IF(LQ55/(INDEX('Standards for Conversions'!$H$47:$H$73,MATCH(LP$3,'Standards for Conversions'!$A$47:$A$73,0)))=0,"",LQ55/(INDEX('Standards for Conversions'!$H$47:$H$73,MATCH(LP$3,'Standards for Conversions'!$A$47:$A$73,0))))</f>
        <v/>
      </c>
      <c r="LV55" s="31" t="str">
        <f>IF(LU55/(INDEX('Standards for Conversions'!$H$47:$H$73,MATCH(LT$3,'Standards for Conversions'!$A$47:$A$73,0)))=0,"",LU55/(INDEX('Standards for Conversions'!$H$47:$H$73,MATCH(LT$3,'Standards for Conversions'!$A$47:$A$73,0))))</f>
        <v/>
      </c>
      <c r="LY55" s="31" t="str">
        <f>IF(LX55/(INDEX('Standards for Conversions'!$H$47:$H$73,MATCH(LW$3,'Standards for Conversions'!$A$47:$A$73,0)))=0,"",LX55/(INDEX('Standards for Conversions'!$H$47:$H$73,MATCH(LW$3,'Standards for Conversions'!$A$47:$A$73,0))))</f>
        <v/>
      </c>
      <c r="MB55" s="31" t="str">
        <f>IF(MA55/(INDEX('Standards for Conversions'!$H$47:$H$73,MATCH(LZ$3,'Standards for Conversions'!$A$47:$A$73,0)))=0,"",MA55/(INDEX('Standards for Conversions'!$H$47:$H$73,MATCH(LZ$3,'Standards for Conversions'!$A$47:$A$73,0))))</f>
        <v/>
      </c>
      <c r="ME55" s="31" t="str">
        <f>IF(MD55/(INDEX('Standards for Conversions'!$H$47:$H$73,MATCH(MC$3,'Standards for Conversions'!$A$47:$A$73,0)))=0,"",MD55/(INDEX('Standards for Conversions'!$H$47:$H$73,MATCH(MC$3,'Standards for Conversions'!$A$47:$A$73,0))))</f>
        <v/>
      </c>
      <c r="MH55" s="31" t="str">
        <f>IF(MG55/(INDEX('Standards for Conversions'!$H$47:$H$73,MATCH(MF$3,'Standards for Conversions'!$A$47:$A$73,0)))=0,"",MG55/(INDEX('Standards for Conversions'!$H$47:$H$73,MATCH(MF$3,'Standards for Conversions'!$A$47:$A$73,0))))</f>
        <v/>
      </c>
      <c r="MK55" s="31" t="str">
        <f>IF(MJ55/(INDEX('Standards for Conversions'!$H$47:$H$73,MATCH(MI$3,'Standards for Conversions'!$A$47:$A$73,0)))=0,"",MJ55/(INDEX('Standards for Conversions'!$H$47:$H$73,MATCH(MI$3,'Standards for Conversions'!$A$47:$A$73,0))))</f>
        <v/>
      </c>
      <c r="MN55" s="31" t="str">
        <f>IF(MM55/(INDEX('Standards for Conversions'!$H$47:$H$73,MATCH(ML$3,'Standards for Conversions'!$A$47:$A$73,0)))=0,"",MM55/(INDEX('Standards for Conversions'!$H$47:$H$73,MATCH(ML$3,'Standards for Conversions'!$A$47:$A$73,0))))</f>
        <v/>
      </c>
      <c r="MR55" s="31" t="str">
        <f>IF(MQ55/(INDEX('Standards for Conversions'!$H$47:$H$73,MATCH(MP$3,'Standards for Conversions'!$A$47:$A$73,0)))=0,"",MQ55/(INDEX('Standards for Conversions'!$H$47:$H$73,MATCH(MP$3,'Standards for Conversions'!$A$47:$A$73,0))))</f>
        <v/>
      </c>
    </row>
    <row r="56" spans="1:373" s="33" customFormat="1" x14ac:dyDescent="0.3">
      <c r="A56" s="102" t="s">
        <v>67</v>
      </c>
      <c r="B56" s="10" t="s">
        <v>399</v>
      </c>
      <c r="C56" s="7"/>
      <c r="D56" s="7"/>
      <c r="E56" s="31" t="str">
        <f>IF(D56/(INDEX('Standards for Conversions'!$H$34:$H$73,MATCH(C$3,'Standards for Conversions'!$A$34:$A$73,0)))=0,"",D56/(INDEX('Standards for Conversions'!$H$34:$H$73,MATCH(C$3,'Standards for Conversions'!$A$34:$A$73,0))))</f>
        <v/>
      </c>
      <c r="F56" s="10" t="s">
        <v>399</v>
      </c>
      <c r="G56" s="7"/>
      <c r="H56" s="7"/>
      <c r="I56" s="31" t="str">
        <f>IF(H56/(INDEX('Standards for Conversions'!$H$34:$H$73,MATCH(G$3,'Standards for Conversions'!$A$34:$A$73,0)))=0,"",H56/(INDEX('Standards for Conversions'!$H$34:$H$73,MATCH(G$3,'Standards for Conversions'!$A$34:$A$73,0))))</f>
        <v/>
      </c>
      <c r="J56" s="10" t="s">
        <v>399</v>
      </c>
      <c r="K56" s="9"/>
      <c r="L56" s="9"/>
      <c r="M56" s="31" t="str">
        <f>IF(L56/(INDEX('Standards for Conversions'!$H$34:$H$73,MATCH(K$3,'Standards for Conversions'!$A$34:$A$73,0)))=0,"",L56/(INDEX('Standards for Conversions'!$H$34:$H$73,MATCH(K$3,'Standards for Conversions'!$A$34:$A$73,0))))</f>
        <v/>
      </c>
      <c r="N56" s="10" t="s">
        <v>399</v>
      </c>
      <c r="O56" s="7">
        <f>1.5*1334</f>
        <v>2001</v>
      </c>
      <c r="P56" s="7">
        <v>37000</v>
      </c>
      <c r="Q56" s="31">
        <f>IF(P56/(INDEX('Standards for Conversions'!$H$34:$H$73,MATCH(O$3,'Standards for Conversions'!$A$34:$A$73,0)))=0,"",P56/(INDEX('Standards for Conversions'!$H$34:$H$73,MATCH(O$3,'Standards for Conversions'!$A$34:$A$73,0))))</f>
        <v>7309.0624999999991</v>
      </c>
      <c r="R56" s="10" t="s">
        <v>399</v>
      </c>
      <c r="S56" s="7"/>
      <c r="T56" s="7"/>
      <c r="U56" s="31" t="str">
        <f>IF(T56/(INDEX('Standards for Conversions'!$H$34:$H$73,MATCH(S$3,'Standards for Conversions'!$A$34:$A$73,0)))=0,"",T56/(INDEX('Standards for Conversions'!$H$34:$H$73,MATCH(S$3,'Standards for Conversions'!$A$34:$A$73,0))))</f>
        <v/>
      </c>
      <c r="V56" s="10" t="s">
        <v>399</v>
      </c>
      <c r="W56" s="7">
        <f>1.5*100</f>
        <v>150</v>
      </c>
      <c r="X56" s="7">
        <v>3500</v>
      </c>
      <c r="Y56" s="31">
        <f>IF(X56/(INDEX('Standards for Conversions'!$H$34:$H$73,MATCH(W$3,'Standards for Conversions'!$A$34:$A$73,0)))=0,"",X56/(INDEX('Standards for Conversions'!$H$34:$H$73,MATCH(W$3,'Standards for Conversions'!$A$34:$A$73,0))))</f>
        <v>674.35369955968827</v>
      </c>
      <c r="Z56" s="10" t="s">
        <v>399</v>
      </c>
      <c r="AA56" s="9"/>
      <c r="AB56" s="9"/>
      <c r="AC56" s="31" t="str">
        <f>IF(AB56/(INDEX('Standards for Conversions'!$H$34:$H$73,MATCH(AA$3,'Standards for Conversions'!$A$34:$A$73,0)))=0,"",AB56/(INDEX('Standards for Conversions'!$H$34:$H$73,MATCH(AA$3,'Standards for Conversions'!$A$34:$A$73,0))))</f>
        <v/>
      </c>
      <c r="AD56" s="10" t="s">
        <v>399</v>
      </c>
      <c r="AE56" s="7">
        <f>1.5*1200</f>
        <v>1800</v>
      </c>
      <c r="AF56" s="7">
        <v>34000</v>
      </c>
      <c r="AG56" s="31">
        <f>IF(AF56/(INDEX('Standards for Conversions'!$H$34:$H$73,MATCH(AE$3,'Standards for Conversions'!$A$34:$A$73,0)))=0,"",AF56/(INDEX('Standards for Conversions'!$H$34:$H$73,MATCH(AE$3,'Standards for Conversions'!$A$34:$A$73,0))))</f>
        <v>6550.8645100084004</v>
      </c>
      <c r="AH56" s="10" t="s">
        <v>399</v>
      </c>
      <c r="AI56" s="7">
        <f>1.5*10</f>
        <v>15</v>
      </c>
      <c r="AJ56" s="7">
        <v>90</v>
      </c>
      <c r="AK56" s="31">
        <f>IF(AJ56/(INDEX('Standards for Conversions'!$H$34:$H$73,MATCH(AI$3,'Standards for Conversions'!$A$34:$A$73,0)))=0,"",AJ56/(INDEX('Standards for Conversions'!$H$34:$H$73,MATCH(AI$3,'Standards for Conversions'!$A$34:$A$73,0))))</f>
        <v>16.082859346484746</v>
      </c>
      <c r="AL56" s="10" t="s">
        <v>399</v>
      </c>
      <c r="AM56" s="7">
        <f>1.5*50</f>
        <v>75</v>
      </c>
      <c r="AN56" s="7">
        <v>1250</v>
      </c>
      <c r="AO56" s="31">
        <f>IF(AN56/(INDEX('Standards for Conversions'!$H$34:$H$73,MATCH(AM$3,'Standards for Conversions'!$A$34:$A$73,0)))=0,"",AN56/(INDEX('Standards for Conversions'!$H$34:$H$73,MATCH(AM$3,'Standards for Conversions'!$A$34:$A$73,0))))</f>
        <v>223.37304647895482</v>
      </c>
      <c r="AP56" s="10" t="s">
        <v>399</v>
      </c>
      <c r="AQ56" s="9"/>
      <c r="AR56" s="9"/>
      <c r="AS56" s="31" t="str">
        <f>IF(AR56/(INDEX('Standards for Conversions'!$H$34:$H$73,MATCH(AQ$3,'Standards for Conversions'!$A$34:$A$73,0)))=0,"",AR56/(INDEX('Standards for Conversions'!$H$34:$H$73,MATCH(AQ$3,'Standards for Conversions'!$A$34:$A$73,0))))</f>
        <v/>
      </c>
      <c r="AT56" s="10" t="s">
        <v>399</v>
      </c>
      <c r="AU56" s="7">
        <f>1.5*1700</f>
        <v>2550</v>
      </c>
      <c r="AV56" s="7">
        <v>27000</v>
      </c>
      <c r="AW56" s="31">
        <f>IF(AV56/(INDEX('Standards for Conversions'!$H$34:$H$73,MATCH(AU$3,'Standards for Conversions'!$A$34:$A$73,0)))=0,"",AV56/(INDEX('Standards for Conversions'!$H$34:$H$73,MATCH(AU$3,'Standards for Conversions'!$A$34:$A$73,0))))</f>
        <v>4824.8578039454242</v>
      </c>
      <c r="AX56" s="10" t="s">
        <v>399</v>
      </c>
      <c r="AY56" s="7"/>
      <c r="AZ56" s="7"/>
      <c r="BA56" s="31" t="str">
        <f>IF(AZ56/(INDEX('Standards for Conversions'!$H$34:$H$73,MATCH(AY$3,'Standards for Conversions'!$A$34:$A$73,0)))=0,"",AZ56/(INDEX('Standards for Conversions'!$H$34:$H$73,MATCH(AY$3,'Standards for Conversions'!$A$34:$A$73,0))))</f>
        <v/>
      </c>
      <c r="BB56" s="10" t="s">
        <v>399</v>
      </c>
      <c r="BC56" s="7">
        <f>1.5*50</f>
        <v>75</v>
      </c>
      <c r="BD56" s="7">
        <v>1000</v>
      </c>
      <c r="BE56" s="31">
        <f>IF(BD56/(INDEX('Standards for Conversions'!$H$34:$H$73,MATCH(BC$3,'Standards for Conversions'!$A$34:$A$73,0)))=0,"",BD56/(INDEX('Standards for Conversions'!$H$34:$H$73,MATCH(BC$3,'Standards for Conversions'!$A$34:$A$73,0))))</f>
        <v>185.68546138582312</v>
      </c>
      <c r="BF56" s="10" t="s">
        <v>399</v>
      </c>
      <c r="BG56" s="9"/>
      <c r="BH56" s="9"/>
      <c r="BI56" s="31" t="str">
        <f>IF(BH56/(INDEX('Standards for Conversions'!$H$34:$H$73,MATCH(BG$3,'Standards for Conversions'!$A$34:$A$73,0)))=0,"",BH56/(INDEX('Standards for Conversions'!$H$34:$H$73,MATCH(BG$3,'Standards for Conversions'!$A$34:$A$73,0))))</f>
        <v/>
      </c>
      <c r="BJ56" s="10" t="s">
        <v>399</v>
      </c>
      <c r="BK56" s="7">
        <f>1.5*2000</f>
        <v>3000</v>
      </c>
      <c r="BL56" s="7">
        <v>30000</v>
      </c>
      <c r="BM56" s="31">
        <f>IF(BL56/(INDEX('Standards for Conversions'!$H$34:$H$73,MATCH(BK$3,'Standards for Conversions'!$A$34:$A$73,0)))=0,"",BL56/(INDEX('Standards for Conversions'!$H$34:$H$73,MATCH(BK$3,'Standards for Conversions'!$A$34:$A$73,0))))</f>
        <v>5570.5638415746935</v>
      </c>
      <c r="BN56" s="10" t="s">
        <v>399</v>
      </c>
      <c r="BO56" s="7"/>
      <c r="BP56" s="7"/>
      <c r="BQ56" s="31" t="str">
        <f>IF(BP56/(INDEX('Standards for Conversions'!$H$34:$H$73,MATCH(BO$3,'Standards for Conversions'!$A$34:$A$73,0)))=0,"",BP56/(INDEX('Standards for Conversions'!$H$34:$H$73,MATCH(BO$3,'Standards for Conversions'!$A$34:$A$73,0))))</f>
        <v/>
      </c>
      <c r="BR56" s="10" t="s">
        <v>399</v>
      </c>
      <c r="BS56" s="7">
        <f>1.5*300</f>
        <v>450</v>
      </c>
      <c r="BT56" s="7">
        <v>6000</v>
      </c>
      <c r="BU56" s="31">
        <f>IF(BT56/(INDEX('Standards for Conversions'!$H$34:$H$73,MATCH(BS$3,'Standards for Conversions'!$A$34:$A$73,0)))=0,"",BT56/(INDEX('Standards for Conversions'!$H$34:$H$73,MATCH(BS$3,'Standards for Conversions'!$A$34:$A$73,0))))</f>
        <v>1068.3795189884415</v>
      </c>
      <c r="BV56" s="10" t="s">
        <v>399</v>
      </c>
      <c r="BW56" s="9"/>
      <c r="BX56" s="9"/>
      <c r="BY56" s="31" t="str">
        <f>IF(BX56/(INDEX('Standards for Conversions'!$H$34:$H$73,MATCH(BW$3,'Standards for Conversions'!$A$34:$A$73,0)))=0,"",BX56/(INDEX('Standards for Conversions'!$H$34:$H$73,MATCH(BW$3,'Standards for Conversions'!$A$34:$A$73,0))))</f>
        <v/>
      </c>
      <c r="BZ56" s="10" t="s">
        <v>399</v>
      </c>
      <c r="CA56" s="7">
        <f>1.5*1500</f>
        <v>2250</v>
      </c>
      <c r="CB56" s="7">
        <v>24000</v>
      </c>
      <c r="CC56" s="31">
        <f>IF(CB56/(INDEX('Standards for Conversions'!$H$34:$H$73,MATCH(CA$3,'Standards for Conversions'!$A$34:$A$73,0)))=0,"",CB56/(INDEX('Standards for Conversions'!$H$34:$H$73,MATCH(CA$3,'Standards for Conversions'!$A$34:$A$73,0))))</f>
        <v>4273.5180759537661</v>
      </c>
      <c r="CD56" s="10" t="s">
        <v>399</v>
      </c>
      <c r="CE56" s="7"/>
      <c r="CF56" s="7"/>
      <c r="CG56" s="31" t="str">
        <f>IF(CF56/(INDEX('Standards for Conversions'!$H$34:$H$73,MATCH(CE$3,'Standards for Conversions'!$A$34:$A$73,0)))=0,"",CF56/(INDEX('Standards for Conversions'!$H$34:$H$73,MATCH(CE$3,'Standards for Conversions'!$A$34:$A$73,0))))</f>
        <v/>
      </c>
      <c r="CH56" s="10" t="s">
        <v>399</v>
      </c>
      <c r="CI56" s="7">
        <f>1.5*200</f>
        <v>300</v>
      </c>
      <c r="CJ56" s="7">
        <v>3200</v>
      </c>
      <c r="CK56" s="31">
        <f>IF(CJ56/(INDEX('Standards for Conversions'!$H$34:$H$73,MATCH(CI$3,'Standards for Conversions'!$A$34:$A$73,0)))=0,"",CJ56/(INDEX('Standards for Conversions'!$H$34:$H$73,MATCH(CI$3,'Standards for Conversions'!$A$34:$A$73,0))))</f>
        <v>555.57428811448108</v>
      </c>
      <c r="CL56" s="10" t="s">
        <v>399</v>
      </c>
      <c r="CM56" s="9"/>
      <c r="CN56" s="9"/>
      <c r="CO56" s="31" t="str">
        <f>IF(CN56/(INDEX('Standards for Conversions'!$H$34:$H$73,MATCH(CM$3,'Standards for Conversions'!$A$34:$A$73,0)))=0,"",CN56/(INDEX('Standards for Conversions'!$H$34:$H$73,MATCH(CM$3,'Standards for Conversions'!$A$34:$A$73,0))))</f>
        <v/>
      </c>
      <c r="CP56" s="10" t="s">
        <v>399</v>
      </c>
      <c r="CQ56" s="7">
        <f>1.5*1500</f>
        <v>2250</v>
      </c>
      <c r="CR56" s="7">
        <v>24000</v>
      </c>
      <c r="CS56" s="31">
        <f>IF(CR56/(INDEX('Standards for Conversions'!$H$34:$H$73,MATCH(CQ$3,'Standards for Conversions'!$A$34:$A$73,0)))=0,"",CR56/(INDEX('Standards for Conversions'!$H$34:$H$73,MATCH(CQ$3,'Standards for Conversions'!$A$34:$A$73,0))))</f>
        <v>4166.8071608586079</v>
      </c>
      <c r="CT56" s="10" t="s">
        <v>399</v>
      </c>
      <c r="CU56" s="7"/>
      <c r="CV56" s="7"/>
      <c r="CW56" s="31" t="str">
        <f>IF(CV56/(INDEX('Standards for Conversions'!$H$34:$H$73,MATCH(CU$3,'Standards for Conversions'!$A$34:$A$73,0)))=0,"",CV56/(INDEX('Standards for Conversions'!$H$34:$H$73,MATCH(CU$3,'Standards for Conversions'!$A$34:$A$73,0))))</f>
        <v/>
      </c>
      <c r="CX56" s="10" t="s">
        <v>399</v>
      </c>
      <c r="CY56" s="7">
        <f>1.5*320</f>
        <v>480</v>
      </c>
      <c r="CZ56" s="7">
        <v>6500</v>
      </c>
      <c r="DA56" s="31">
        <f>IF(CZ56/(INDEX('Standards for Conversions'!$H$34:$H$73,MATCH(CY$3,'Standards for Conversions'!$A$34:$A$73,0)))=0,"",CZ56/(INDEX('Standards for Conversions'!$H$34:$H$73,MATCH(CY$3,'Standards for Conversions'!$A$34:$A$73,0))))</f>
        <v>1150.5299853712233</v>
      </c>
      <c r="DB56" s="10" t="s">
        <v>399</v>
      </c>
      <c r="DC56" s="9"/>
      <c r="DD56" s="9"/>
      <c r="DE56" s="31" t="str">
        <f>IF(DD56/(INDEX('Standards for Conversions'!$H$34:$H$73,MATCH(DC$3,'Standards for Conversions'!$A$34:$A$73,0)))=0,"",DD56/(INDEX('Standards for Conversions'!$H$34:$H$73,MATCH(DC$3,'Standards for Conversions'!$A$34:$A$73,0))))</f>
        <v/>
      </c>
      <c r="DF56" s="10" t="s">
        <v>399</v>
      </c>
      <c r="DG56" s="7">
        <f>1.5*1500</f>
        <v>2250</v>
      </c>
      <c r="DH56" s="7">
        <v>15000</v>
      </c>
      <c r="DI56" s="31">
        <f>IF(DH56/(INDEX('Standards for Conversions'!$H$34:$H$73,MATCH(DG$3,'Standards for Conversions'!$A$34:$A$73,0)))=0,"",DH56/(INDEX('Standards for Conversions'!$H$34:$H$73,MATCH(DG$3,'Standards for Conversions'!$A$34:$A$73,0))))</f>
        <v>2655.0691970105154</v>
      </c>
      <c r="DJ56" s="10" t="s">
        <v>399</v>
      </c>
      <c r="DK56" s="7"/>
      <c r="DL56" s="7"/>
      <c r="DM56" s="31" t="str">
        <f>IF(DL56/(INDEX('Standards for Conversions'!$H$34:$H$73,MATCH(DK$3,'Standards for Conversions'!$A$34:$A$73,0)))=0,"",DL56/(INDEX('Standards for Conversions'!$H$34:$H$73,MATCH(DK$3,'Standards for Conversions'!$A$34:$A$73,0))))</f>
        <v/>
      </c>
      <c r="DN56" s="10" t="s">
        <v>399</v>
      </c>
      <c r="DO56" s="7">
        <f>1.5*150</f>
        <v>225</v>
      </c>
      <c r="DP56" s="7">
        <v>2200</v>
      </c>
      <c r="DQ56" s="31">
        <f>IF(DP56/(INDEX('Standards for Conversions'!$H$34:$H$73,MATCH(DO$3,'Standards for Conversions'!$A$34:$A$73,0)))=0,"",DP56/(INDEX('Standards for Conversions'!$H$34:$H$73,MATCH(DO$3,'Standards for Conversions'!$A$34:$A$73,0))))</f>
        <v>385.21793437328</v>
      </c>
      <c r="DR56" s="10" t="s">
        <v>399</v>
      </c>
      <c r="DS56" s="9"/>
      <c r="DT56" s="9"/>
      <c r="DU56" s="31" t="str">
        <f>IF(DT56/(INDEX('Standards for Conversions'!$H$34:$H$73,MATCH(DS$3,'Standards for Conversions'!$A$34:$A$73,0)))=0,"",DT56/(INDEX('Standards for Conversions'!$H$34:$H$73,MATCH(DS$3,'Standards for Conversions'!$A$34:$A$73,0))))</f>
        <v/>
      </c>
      <c r="DV56" s="10" t="s">
        <v>399</v>
      </c>
      <c r="DW56" s="7">
        <f>1.5*1500</f>
        <v>2250</v>
      </c>
      <c r="DX56" s="7">
        <v>15000</v>
      </c>
      <c r="DY56" s="31">
        <f>IF(DX56/(INDEX('Standards for Conversions'!$H$34:$H$73,MATCH(DW$3,'Standards for Conversions'!$A$34:$A$73,0)))=0,"",DX56/(INDEX('Standards for Conversions'!$H$34:$H$73,MATCH(DW$3,'Standards for Conversions'!$A$34:$A$73,0))))</f>
        <v>2626.4859161814547</v>
      </c>
      <c r="DZ56" s="10" t="s">
        <v>399</v>
      </c>
      <c r="EA56" s="7"/>
      <c r="EB56" s="7"/>
      <c r="EC56" s="31" t="str">
        <f>IF(EB56/(INDEX('Standards for Conversions'!$H$34:$H$73,MATCH(EA$3,'Standards for Conversions'!$A$34:$A$73,0)))=0,"",EB56/(INDEX('Standards for Conversions'!$H$34:$H$73,MATCH(EA$3,'Standards for Conversions'!$A$34:$A$73,0))))</f>
        <v/>
      </c>
      <c r="ED56" s="10" t="s">
        <v>399</v>
      </c>
      <c r="EE56" s="7">
        <f>1.5*680</f>
        <v>1020</v>
      </c>
      <c r="EF56" s="7">
        <v>6670</v>
      </c>
      <c r="EG56" s="31">
        <f>IF(EF56/(INDEX('Standards for Conversions'!$H$34:$H$73,MATCH(EE$3,'Standards for Conversions'!$A$34:$A$73,0)))=0,"",EF56/(INDEX('Standards for Conversions'!$H$34:$H$73,MATCH(EE$3,'Standards for Conversions'!$A$34:$A$73,0))))</f>
        <v>1166.4985115943916</v>
      </c>
      <c r="EH56" s="10" t="s">
        <v>399</v>
      </c>
      <c r="EI56" s="9"/>
      <c r="EJ56" s="9"/>
      <c r="EK56" s="31" t="str">
        <f>IF(EJ56/(INDEX('Standards for Conversions'!$H$34:$H$73,MATCH(EI$3,'Standards for Conversions'!$A$34:$A$73,0)))=0,"",EJ56/(INDEX('Standards for Conversions'!$H$34:$H$73,MATCH(EI$3,'Standards for Conversions'!$A$34:$A$73,0))))</f>
        <v/>
      </c>
      <c r="EL56" s="10" t="s">
        <v>399</v>
      </c>
      <c r="EM56" s="7">
        <f>1.5*3938</f>
        <v>5907</v>
      </c>
      <c r="EN56" s="7">
        <v>46860</v>
      </c>
      <c r="EO56" s="31">
        <f>IF(EN56/(INDEX('Standards for Conversions'!$H$34:$H$73,MATCH(EM$3,'Standards for Conversions'!$A$34:$A$73,0)))=0,"",EN56/(INDEX('Standards for Conversions'!$H$34:$H$73,MATCH(EM$3,'Standards for Conversions'!$A$34:$A$73,0))))</f>
        <v>8195.2204277830879</v>
      </c>
      <c r="EP56" s="10" t="s">
        <v>399</v>
      </c>
      <c r="EQ56" s="7"/>
      <c r="ER56" s="7"/>
      <c r="ES56" s="31" t="str">
        <f>IF(ER56/(INDEX('Standards for Conversions'!$H$34:$H$73,MATCH(EQ$3,'Standards for Conversions'!$A$34:$A$73,0)))=0,"",ER56/(INDEX('Standards for Conversions'!$H$34:$H$73,MATCH(EQ$3,'Standards for Conversions'!$A$34:$A$73,0))))</f>
        <v/>
      </c>
      <c r="ET56" s="10" t="s">
        <v>399</v>
      </c>
      <c r="EU56" s="7">
        <f>1.5*133</f>
        <v>199.5</v>
      </c>
      <c r="EV56" s="7">
        <v>1515</v>
      </c>
      <c r="EW56" s="31">
        <f>IF(EV56/(INDEX('Standards for Conversions'!$H$34:$H$73,MATCH(EU$3,'Standards for Conversions'!$A$34:$A$73,0)))=0,"",EV56/(INDEX('Standards for Conversions'!$H$34:$H$73,MATCH(EU$3,'Standards for Conversions'!$A$34:$A$73,0))))</f>
        <v>259.50125480685665</v>
      </c>
      <c r="EX56" s="10" t="s">
        <v>399</v>
      </c>
      <c r="EY56" s="9"/>
      <c r="EZ56" s="9"/>
      <c r="FA56" s="31" t="str">
        <f>IF(EZ56/(INDEX('Standards for Conversions'!$H$34:$H$73,MATCH(EY$3,'Standards for Conversions'!$A$34:$A$73,0)))=0,"",EZ56/(INDEX('Standards for Conversions'!$H$34:$H$73,MATCH(EY$3,'Standards for Conversions'!$A$34:$A$73,0))))</f>
        <v/>
      </c>
      <c r="FB56" s="10" t="s">
        <v>399</v>
      </c>
      <c r="FC56" s="7">
        <f>1.5*2745</f>
        <v>4117.5</v>
      </c>
      <c r="FD56" s="7">
        <v>41960</v>
      </c>
      <c r="FE56" s="31">
        <f>IF(FD56/(INDEX('Standards for Conversions'!$H$34:$H$73,MATCH(FC$3,'Standards for Conversions'!$A$34:$A$73,0)))=0,"",FD56/(INDEX('Standards for Conversions'!$H$34:$H$73,MATCH(FC$3,'Standards for Conversions'!$A$34:$A$73,0))))</f>
        <v>7187.2426743866044</v>
      </c>
      <c r="FF56" s="10" t="s">
        <v>399</v>
      </c>
      <c r="FG56" s="7"/>
      <c r="FH56" s="7"/>
      <c r="FI56" s="31" t="str">
        <f>IF(FH56/(INDEX('Standards for Conversions'!$H$34:$H$73,MATCH(FG$3,'Standards for Conversions'!$A$34:$A$73,0)))=0,"",FH56/(INDEX('Standards for Conversions'!$H$34:$H$73,MATCH(FG$3,'Standards for Conversions'!$A$34:$A$73,0))))</f>
        <v/>
      </c>
      <c r="FJ56" s="10" t="s">
        <v>399</v>
      </c>
      <c r="FK56" s="7">
        <f>1.5*300</f>
        <v>450</v>
      </c>
      <c r="FL56" s="7">
        <v>3000</v>
      </c>
      <c r="FM56" s="31">
        <f>IF(FL56/(INDEX('Standards for Conversions'!$H$34:$H$73,MATCH(FK$3,'Standards for Conversions'!$A$34:$A$73,0)))=0,"",FL56/(INDEX('Standards for Conversions'!$H$34:$H$73,MATCH(FK$3,'Standards for Conversions'!$A$34:$A$73,0))))</f>
        <v>514.49905492309017</v>
      </c>
      <c r="FN56" s="10" t="s">
        <v>399</v>
      </c>
      <c r="FO56" s="9"/>
      <c r="FP56" s="9"/>
      <c r="FQ56" s="31" t="str">
        <f>IF(FP56/(INDEX('Standards for Conversions'!$H$34:$H$73,MATCH(FO$3,'Standards for Conversions'!$A$34:$A$73,0)))=0,"",FP56/(INDEX('Standards for Conversions'!$H$34:$H$73,MATCH(FO$3,'Standards for Conversions'!$A$34:$A$73,0))))</f>
        <v/>
      </c>
      <c r="FR56" s="10" t="s">
        <v>399</v>
      </c>
      <c r="FS56" s="7">
        <f>1.5*3000</f>
        <v>4500</v>
      </c>
      <c r="FT56" s="7">
        <v>45000</v>
      </c>
      <c r="FU56" s="31">
        <f>IF(FT56/(INDEX('Standards for Conversions'!$H$34:$H$73,MATCH(FS$3,'Standards for Conversions'!$A$34:$A$73,0)))=0,"",FT56/(INDEX('Standards for Conversions'!$H$34:$H$73,MATCH(FS$3,'Standards for Conversions'!$A$34:$A$73,0))))</f>
        <v>7717.485823846353</v>
      </c>
      <c r="FV56" s="10" t="s">
        <v>399</v>
      </c>
      <c r="FW56" s="7"/>
      <c r="FX56" s="7"/>
      <c r="FY56" s="31" t="str">
        <f>IF(FX56/(INDEX('Standards for Conversions'!$H$34:$H$73,MATCH(FW$3,'Standards for Conversions'!$A$34:$A$73,0)))=0,"",FX56/(INDEX('Standards for Conversions'!$H$34:$H$73,MATCH(FW$3,'Standards for Conversions'!$A$34:$A$73,0))))</f>
        <v/>
      </c>
      <c r="FZ56" s="10" t="s">
        <v>399</v>
      </c>
      <c r="GA56" s="7">
        <f>1.5*250</f>
        <v>375</v>
      </c>
      <c r="GB56" s="7">
        <v>2500</v>
      </c>
      <c r="GC56" s="31">
        <f>IF(GB56/(INDEX('Standards for Conversions'!$H$34:$H$73,MATCH(GA$3,'Standards for Conversions'!$A$34:$A$73,0)))=0,"",GB56/(INDEX('Standards for Conversions'!$H$34:$H$73,MATCH(GA$3,'Standards for Conversions'!$A$34:$A$73,0))))</f>
        <v>411.28165192926042</v>
      </c>
      <c r="GD56" s="10" t="s">
        <v>399</v>
      </c>
      <c r="GE56" s="9"/>
      <c r="GF56" s="9"/>
      <c r="GG56" s="31" t="str">
        <f>IF(GF56/(INDEX('Standards for Conversions'!$H$34:$H$73,MATCH(GE$3,'Standards for Conversions'!$A$34:$A$73,0)))=0,"",GF56/(INDEX('Standards for Conversions'!$H$34:$H$73,MATCH(GE$3,'Standards for Conversions'!$A$34:$A$73,0))))</f>
        <v/>
      </c>
      <c r="GH56" s="10" t="s">
        <v>399</v>
      </c>
      <c r="GI56" s="7">
        <f>1.5*2500</f>
        <v>3750</v>
      </c>
      <c r="GJ56" s="7">
        <v>31500</v>
      </c>
      <c r="GK56" s="31">
        <f>IF(GJ56/(INDEX('Standards for Conversions'!$H$34:$H$73,MATCH(GI$3,'Standards for Conversions'!$A$34:$A$73,0)))=0,"",GJ56/(INDEX('Standards for Conversions'!$H$34:$H$73,MATCH(GI$3,'Standards for Conversions'!$A$34:$A$73,0))))</f>
        <v>5182.1488143086817</v>
      </c>
      <c r="GL56" s="10" t="s">
        <v>399</v>
      </c>
      <c r="GM56" s="7"/>
      <c r="GN56" s="7"/>
      <c r="GO56" s="31" t="str">
        <f>IF(GN56/(INDEX('Standards for Conversions'!$H$34:$H$73,MATCH(GM$3,'Standards for Conversions'!$A$34:$A$73,0)))=0,"",GN56/(INDEX('Standards for Conversions'!$H$34:$H$73,MATCH(GM$3,'Standards for Conversions'!$A$34:$A$73,0))))</f>
        <v/>
      </c>
      <c r="GP56" s="10" t="s">
        <v>399</v>
      </c>
      <c r="GQ56" s="7">
        <f>1.5*250</f>
        <v>375</v>
      </c>
      <c r="GR56" s="7">
        <v>3000</v>
      </c>
      <c r="GS56" s="31">
        <f>IF(GR56/(INDEX('Standards for Conversions'!$H$34:$H$73,MATCH(GQ$3,'Standards for Conversions'!$A$34:$A$73,0)))=0,"",GR56/(INDEX('Standards for Conversions'!$H$34:$H$73,MATCH(GQ$3,'Standards for Conversions'!$A$34:$A$73,0))))</f>
        <v>461.14359737551058</v>
      </c>
      <c r="GT56" s="10" t="s">
        <v>399</v>
      </c>
      <c r="GU56" s="9"/>
      <c r="GV56" s="9"/>
      <c r="GW56" s="31" t="str">
        <f>IF(GV56/(INDEX('Standards for Conversions'!$H$34:$H$73,MATCH(GU$3,'Standards for Conversions'!$A$34:$A$73,0)))=0,"",GV56/(INDEX('Standards for Conversions'!$H$34:$H$73,MATCH(GU$3,'Standards for Conversions'!$A$34:$A$73,0))))</f>
        <v/>
      </c>
      <c r="GX56" s="10" t="s">
        <v>399</v>
      </c>
      <c r="GY56" s="7">
        <f>1.5*2000</f>
        <v>3000</v>
      </c>
      <c r="GZ56" s="7">
        <v>35000</v>
      </c>
      <c r="HA56" s="31">
        <f>IF(GZ56/(INDEX('Standards for Conversions'!$H$34:$H$73,MATCH(GY$3,'Standards for Conversions'!$A$34:$A$73,0)))=0,"",GZ56/(INDEX('Standards for Conversions'!$H$34:$H$73,MATCH(GY$3,'Standards for Conversions'!$A$34:$A$73,0))))</f>
        <v>5380.0086360476234</v>
      </c>
      <c r="HB56" s="10" t="s">
        <v>399</v>
      </c>
      <c r="HC56" s="7"/>
      <c r="HD56" s="7"/>
      <c r="HE56" s="31" t="str">
        <f>IF(HD56/(INDEX('Standards for Conversions'!$H$34:$H$73,MATCH(HC$3,'Standards for Conversions'!$A$34:$A$73,0)))=0,"",HD56/(INDEX('Standards for Conversions'!$H$34:$H$73,MATCH(HC$3,'Standards for Conversions'!$A$34:$A$73,0))))</f>
        <v/>
      </c>
      <c r="HF56" s="10" t="s">
        <v>399</v>
      </c>
      <c r="HG56" s="7">
        <f>1.5*400</f>
        <v>600</v>
      </c>
      <c r="HH56" s="7">
        <v>4500</v>
      </c>
      <c r="HI56" s="31">
        <f>IF(HH56/(INDEX('Standards for Conversions'!$H$34:$H$73,MATCH(HG$3,'Standards for Conversions'!$A$34:$A$73,0)))=0,"",HH56/(INDEX('Standards for Conversions'!$H$34:$H$73,MATCH(HG$3,'Standards for Conversions'!$A$34:$A$73,0))))</f>
        <v>681.23485975927679</v>
      </c>
      <c r="HJ56" s="10" t="s">
        <v>399</v>
      </c>
      <c r="HK56" s="9"/>
      <c r="HL56" s="9"/>
      <c r="HM56" s="31" t="str">
        <f>IF(HL56/(INDEX('Standards for Conversions'!$H$34:$H$73,MATCH(HK$3,'Standards for Conversions'!$A$34:$A$73,0)))=0,"",HL56/(INDEX('Standards for Conversions'!$H$34:$H$73,MATCH(HK$3,'Standards for Conversions'!$A$34:$A$73,0))))</f>
        <v/>
      </c>
      <c r="HN56" s="10" t="s">
        <v>399</v>
      </c>
      <c r="HO56" s="7">
        <f>1.5*2100</f>
        <v>3150</v>
      </c>
      <c r="HP56" s="7">
        <v>40000</v>
      </c>
      <c r="HQ56" s="31">
        <f>IF(HP56/(INDEX('Standards for Conversions'!$H$34:$H$73,MATCH(HO$3,'Standards for Conversions'!$A$34:$A$73,0)))=0,"",HP56/(INDEX('Standards for Conversions'!$H$34:$H$73,MATCH(HO$3,'Standards for Conversions'!$A$34:$A$73,0))))</f>
        <v>6055.420975638016</v>
      </c>
      <c r="HR56" s="33" t="s">
        <v>98</v>
      </c>
      <c r="HU56" s="31" t="str">
        <f>IF(HT56/(INDEX('Standards for Conversions'!$H$47:$H$73,MATCH(HS$3,'Standards for Conversions'!$A$47:$A$73,0)))=0,"",HT56/(INDEX('Standards for Conversions'!$H$47:$H$73,MATCH(HS$3,'Standards for Conversions'!$A$47:$A$73,0))))</f>
        <v/>
      </c>
      <c r="HV56" s="33" t="s">
        <v>98</v>
      </c>
      <c r="HW56" s="33">
        <v>375</v>
      </c>
      <c r="HX56" s="33">
        <v>5500</v>
      </c>
      <c r="HY56" s="31">
        <f>IF(HX56/(INDEX('Standards for Conversions'!$H$47:$H$73,MATCH(HW$3,'Standards for Conversions'!$A$47:$A$73,0)))=0,"",HX56/(INDEX('Standards for Conversions'!$H$47:$H$73,MATCH(HW$3,'Standards for Conversions'!$A$47:$A$73,0))))</f>
        <v>798.84976717070776</v>
      </c>
      <c r="IB56" s="31" t="str">
        <f>IF(IA56/(INDEX('Standards for Conversions'!$H$47:$H$73,MATCH(HZ$3,'Standards for Conversions'!$A$47:$A$73,0)))=0,"",IA56/(INDEX('Standards for Conversions'!$H$47:$H$73,MATCH(HZ$3,'Standards for Conversions'!$A$47:$A$73,0))))</f>
        <v/>
      </c>
      <c r="IC56" s="33" t="s">
        <v>98</v>
      </c>
      <c r="ID56" s="33">
        <v>3750</v>
      </c>
      <c r="IE56" s="33">
        <v>50000</v>
      </c>
      <c r="IF56" s="31">
        <f>IF(IE56/(INDEX('Standards for Conversions'!$H$47:$H$73,MATCH(ID$3,'Standards for Conversions'!$A$47:$A$73,0)))=0,"",IE56/(INDEX('Standards for Conversions'!$H$47:$H$73,MATCH(ID$3,'Standards for Conversions'!$A$47:$A$73,0))))</f>
        <v>7262.2706106427977</v>
      </c>
      <c r="IG56" s="33" t="s">
        <v>98</v>
      </c>
      <c r="IJ56" s="31" t="str">
        <f>IF(II56/(INDEX('Standards for Conversions'!$H$47:$H$73,MATCH(IH$3,'Standards for Conversions'!$A$47:$A$73,0)))=0,"",II56/(INDEX('Standards for Conversions'!$H$47:$H$73,MATCH(IH$3,'Standards for Conversions'!$A$47:$A$73,0))))</f>
        <v/>
      </c>
      <c r="IK56" s="33" t="s">
        <v>98</v>
      </c>
      <c r="IL56" s="33">
        <v>225</v>
      </c>
      <c r="IM56" s="33">
        <v>5700</v>
      </c>
      <c r="IN56" s="31">
        <f>IF(IM56/(INDEX('Standards for Conversions'!$H$47:$H$73,MATCH(IL$3,'Standards for Conversions'!$A$47:$A$73,0)))=0,"",IM56/(INDEX('Standards for Conversions'!$H$47:$H$73,MATCH(IL$3,'Standards for Conversions'!$A$47:$A$73,0))))</f>
        <v>824.27830070826451</v>
      </c>
      <c r="IO56" s="33" t="s">
        <v>98</v>
      </c>
      <c r="IR56" s="31" t="str">
        <f>IF(IQ56/(INDEX('Standards for Conversions'!$H$47:$H$73,MATCH(IP$3,'Standards for Conversions'!$A$47:$A$73,0)))=0,"",IQ56/(INDEX('Standards for Conversions'!$H$47:$H$73,MATCH(IP$3,'Standards for Conversions'!$A$47:$A$73,0))))</f>
        <v/>
      </c>
      <c r="IS56" s="33" t="s">
        <v>98</v>
      </c>
      <c r="IT56" s="33">
        <v>3078</v>
      </c>
      <c r="IU56" s="33">
        <v>76284</v>
      </c>
      <c r="IV56" s="31">
        <f>IF(IU56/(INDEX('Standards for Conversions'!$H$47:$H$73,MATCH(IT$3,'Standards for Conversions'!$A$47:$A$73,0)))=0,"",IU56/(INDEX('Standards for Conversions'!$H$47:$H$73,MATCH(IT$3,'Standards for Conversions'!$A$47:$A$73,0))))</f>
        <v>11031.446647584078</v>
      </c>
      <c r="IW56" s="33" t="s">
        <v>98</v>
      </c>
      <c r="IZ56" s="31" t="str">
        <f>IF(IY56/(INDEX('Standards for Conversions'!$H$47:$H$73,MATCH(IX$3,'Standards for Conversions'!$A$47:$A$73,0)))=0,"",IY56/(INDEX('Standards for Conversions'!$H$47:$H$73,MATCH(IX$3,'Standards for Conversions'!$A$47:$A$73,0))))</f>
        <v/>
      </c>
      <c r="JA56" s="33" t="s">
        <v>98</v>
      </c>
      <c r="JB56" s="33">
        <v>600</v>
      </c>
      <c r="JC56" s="33">
        <v>14800</v>
      </c>
      <c r="JD56" s="31">
        <f>IF(JC56/(INDEX('Standards for Conversions'!$H$47:$H$73,MATCH(JB$3,'Standards for Conversions'!$A$47:$A$73,0)))=0,"",JC56/(INDEX('Standards for Conversions'!$H$47:$H$73,MATCH(JB$3,'Standards for Conversions'!$A$47:$A$73,0))))</f>
        <v>2394.0509110396565</v>
      </c>
      <c r="JE56" s="33" t="s">
        <v>98</v>
      </c>
      <c r="JH56" s="31" t="str">
        <f>IF(JG56/(INDEX('Standards for Conversions'!$H$47:$H$73,MATCH(JF$3,'Standards for Conversions'!$A$47:$A$73,0)))=0,"",JG56/(INDEX('Standards for Conversions'!$H$47:$H$73,MATCH(JF$3,'Standards for Conversions'!$A$47:$A$73,0))))</f>
        <v/>
      </c>
      <c r="JI56" s="33" t="s">
        <v>98</v>
      </c>
      <c r="JJ56" s="33">
        <v>1830</v>
      </c>
      <c r="JK56" s="33">
        <v>51400</v>
      </c>
      <c r="JL56" s="31">
        <f>IF(JK56/(INDEX('Standards for Conversions'!$H$47:$H$73,MATCH(JJ$3,'Standards for Conversions'!$A$47:$A$73,0)))=0,"",JK56/(INDEX('Standards for Conversions'!$H$47:$H$73,MATCH(JJ$3,'Standards for Conversions'!$A$47:$A$73,0))))</f>
        <v>8314.4741099620514</v>
      </c>
      <c r="JM56" s="33" t="s">
        <v>98</v>
      </c>
      <c r="JP56" s="31" t="str">
        <f>IF(JO56/(INDEX('Standards for Conversions'!$H$47:$H$73,MATCH(JN$3,'Standards for Conversions'!$A$47:$A$73,0)))=0,"",JO56/(INDEX('Standards for Conversions'!$H$47:$H$73,MATCH(JN$3,'Standards for Conversions'!$A$47:$A$73,0))))</f>
        <v/>
      </c>
      <c r="JQ56" s="33" t="s">
        <v>98</v>
      </c>
      <c r="JR56" s="33">
        <v>525</v>
      </c>
      <c r="JS56" s="33">
        <v>12000</v>
      </c>
      <c r="JT56" s="31">
        <f>IF(JS56/(INDEX('Standards for Conversions'!$H$47:$H$73,MATCH(JR$3,'Standards for Conversions'!$A$47:$A$73,0)))=0,"",JS56/(INDEX('Standards for Conversions'!$H$47:$H$73,MATCH(JR$3,'Standards for Conversions'!$A$47:$A$73,0))))</f>
        <v>1831.8707091335707</v>
      </c>
      <c r="JU56" s="33" t="s">
        <v>98</v>
      </c>
      <c r="JX56" s="31" t="str">
        <f>IF(JW56/(INDEX('Standards for Conversions'!$H$47:$H$73,MATCH(JV$3,'Standards for Conversions'!$A$47:$A$73,0)))=0,"",JW56/(INDEX('Standards for Conversions'!$H$47:$H$73,MATCH(JV$3,'Standards for Conversions'!$A$47:$A$73,0))))</f>
        <v/>
      </c>
      <c r="JY56" s="33" t="s">
        <v>98</v>
      </c>
      <c r="JZ56" s="33">
        <v>2250</v>
      </c>
      <c r="KA56" s="33">
        <v>55000</v>
      </c>
      <c r="KB56" s="31">
        <f>IF(KA56/(INDEX('Standards for Conversions'!$H$47:$H$73,MATCH(JZ$3,'Standards for Conversions'!$A$47:$A$73,0)))=0,"",KA56/(INDEX('Standards for Conversions'!$H$47:$H$73,MATCH(JZ$3,'Standards for Conversions'!$A$47:$A$73,0))))</f>
        <v>8396.0740835288652</v>
      </c>
      <c r="KC56" s="33" t="s">
        <v>98</v>
      </c>
      <c r="KF56" s="31" t="str">
        <f>IF(KE56/(INDEX('Standards for Conversions'!$H$47:$H$73,MATCH(KD$3,'Standards for Conversions'!$A$47:$A$73,0)))=0,"",KE56/(INDEX('Standards for Conversions'!$H$47:$H$73,MATCH(KD$3,'Standards for Conversions'!$A$47:$A$73,0))))</f>
        <v/>
      </c>
      <c r="KG56" s="33" t="s">
        <v>98</v>
      </c>
      <c r="KH56" s="33">
        <v>450</v>
      </c>
      <c r="KI56" s="33">
        <v>12000</v>
      </c>
      <c r="KJ56" s="31">
        <f>IF(KI56/(INDEX('Standards for Conversions'!$H$47:$H$73,MATCH(KH$3,'Standards for Conversions'!$A$47:$A$73,0)))=0,"",KI56/(INDEX('Standards for Conversions'!$H$47:$H$73,MATCH(KH$3,'Standards for Conversions'!$A$47:$A$73,0))))</f>
        <v>1615.9081428695577</v>
      </c>
      <c r="KK56" s="33" t="s">
        <v>98</v>
      </c>
      <c r="KN56" s="31" t="str">
        <f>IF(KM56/(INDEX('Standards for Conversions'!$H$47:$H$73,MATCH(KL$3,'Standards for Conversions'!$A$47:$A$73,0)))=0,"",KM56/(INDEX('Standards for Conversions'!$H$47:$H$73,MATCH(KL$3,'Standards for Conversions'!$A$47:$A$73,0))))</f>
        <v/>
      </c>
      <c r="KO56" s="33" t="s">
        <v>98</v>
      </c>
      <c r="KP56" s="33">
        <v>1800</v>
      </c>
      <c r="KQ56" s="33">
        <v>54000</v>
      </c>
      <c r="KR56" s="31">
        <f>IF(KQ56/(INDEX('Standards for Conversions'!$H$47:$H$73,MATCH(KP$3,'Standards for Conversions'!$A$47:$A$73,0)))=0,"",KQ56/(INDEX('Standards for Conversions'!$H$47:$H$73,MATCH(KP$3,'Standards for Conversions'!$A$47:$A$73,0))))</f>
        <v>7271.5866429130092</v>
      </c>
      <c r="KS56" s="33" t="s">
        <v>98</v>
      </c>
      <c r="KV56" s="31" t="str">
        <f>IF(KU56/(INDEX('Standards for Conversions'!$H$47:$H$73,MATCH(KT$3,'Standards for Conversions'!$A$47:$A$73,0)))=0,"",KU56/(INDEX('Standards for Conversions'!$H$47:$H$73,MATCH(KT$3,'Standards for Conversions'!$A$47:$A$73,0))))</f>
        <v/>
      </c>
      <c r="KW56" s="33" t="s">
        <v>98</v>
      </c>
      <c r="KX56" s="33">
        <v>562.5</v>
      </c>
      <c r="KY56" s="33">
        <v>13500</v>
      </c>
      <c r="KZ56" s="31">
        <f>IF(KY56/(INDEX('Standards for Conversions'!$H$47:$H$73,MATCH(KX$3,'Standards for Conversions'!$A$47:$A$73,0)))=0,"",KY56/(INDEX('Standards for Conversions'!$H$47:$H$73,MATCH(KX$3,'Standards for Conversions'!$A$47:$A$73,0))))</f>
        <v>1641.823650821239</v>
      </c>
      <c r="LA56" s="33" t="s">
        <v>98</v>
      </c>
      <c r="LD56" s="31" t="str">
        <f>IF(LC56/(INDEX('Standards for Conversions'!$H$47:$H$73,MATCH(LB$3,'Standards for Conversions'!$A$47:$A$73,0)))=0,"",LC56/(INDEX('Standards for Conversions'!$H$47:$H$73,MATCH(LB$3,'Standards for Conversions'!$A$47:$A$73,0))))</f>
        <v/>
      </c>
      <c r="LE56" s="33" t="s">
        <v>98</v>
      </c>
      <c r="LF56" s="33">
        <v>1567.5</v>
      </c>
      <c r="LG56" s="33">
        <v>47060</v>
      </c>
      <c r="LH56" s="31">
        <f>IF(LG56/(INDEX('Standards for Conversions'!$H$47:$H$73,MATCH(LF$3,'Standards for Conversions'!$A$47:$A$73,0)))=0,"",LG56/(INDEX('Standards for Conversions'!$H$47:$H$73,MATCH(LF$3,'Standards for Conversions'!$A$47:$A$73,0))))</f>
        <v>5723.2756301961117</v>
      </c>
      <c r="LI56" s="33" t="s">
        <v>98</v>
      </c>
      <c r="LJ56" s="33">
        <f>2000+9000</f>
        <v>11000</v>
      </c>
      <c r="LK56" s="33">
        <f>50000+15000</f>
        <v>65000</v>
      </c>
      <c r="LL56" s="31">
        <f>IF(LK56/(INDEX('Standards for Conversions'!$H$47:$H$73,MATCH(LJ$3,'Standards for Conversions'!$A$47:$A$73,0)))=0,"",LK56/(INDEX('Standards for Conversions'!$H$47:$H$73,MATCH(LJ$3,'Standards for Conversions'!$A$47:$A$73,0))))</f>
        <v>6371.9543448190952</v>
      </c>
      <c r="LM56" s="33">
        <f>2080+12000</f>
        <v>14080</v>
      </c>
      <c r="LN56" s="33">
        <f>52000+20000</f>
        <v>72000</v>
      </c>
      <c r="LO56" s="31">
        <f>IF(LN56/(INDEX('Standards for Conversions'!$H$47:$H$73,MATCH(LM$3,'Standards for Conversions'!$A$47:$A$73,0)))=0,"",LN56/(INDEX('Standards for Conversions'!$H$47:$H$73,MATCH(LM$3,'Standards for Conversions'!$A$47:$A$73,0))))</f>
        <v>7271.5866429130074</v>
      </c>
      <c r="LP56" s="33">
        <f>2000+1500</f>
        <v>3500</v>
      </c>
      <c r="LQ56" s="33">
        <f>50000+2500</f>
        <v>52500</v>
      </c>
      <c r="LR56" s="31">
        <f>IF(LQ56/(INDEX('Standards for Conversions'!$H$47:$H$73,MATCH(LP$3,'Standards for Conversions'!$A$47:$A$73,0)))=0,"",LQ56/(INDEX('Standards for Conversions'!$H$47:$H$73,MATCH(LP$3,'Standards for Conversions'!$A$47:$A$73,0))))</f>
        <v>5480.0501189493343</v>
      </c>
      <c r="LS56" s="33" t="s">
        <v>98</v>
      </c>
      <c r="LT56" s="33">
        <f>2500+2000</f>
        <v>4500</v>
      </c>
      <c r="LU56" s="33">
        <f>50000+30000</f>
        <v>80000</v>
      </c>
      <c r="LV56" s="31">
        <f>IF(LU56/(INDEX('Standards for Conversions'!$H$47:$H$73,MATCH(LT$3,'Standards for Conversions'!$A$47:$A$73,0)))=0,"",LU56/(INDEX('Standards for Conversions'!$H$47:$H$73,MATCH(LT$3,'Standards for Conversions'!$A$47:$A$73,0))))</f>
        <v>7469.7640566611608</v>
      </c>
      <c r="LW56" s="33">
        <f>2000+1500</f>
        <v>3500</v>
      </c>
      <c r="LX56" s="33">
        <f>26000+20000</f>
        <v>46000</v>
      </c>
      <c r="LY56" s="31">
        <f>IF(LX56/(INDEX('Standards for Conversions'!$H$47:$H$73,MATCH(LW$3,'Standards for Conversions'!$A$47:$A$73,0)))=0,"",LX56/(INDEX('Standards for Conversions'!$H$47:$H$73,MATCH(LW$3,'Standards for Conversions'!$A$47:$A$73,0))))</f>
        <v>4197.7194497552209</v>
      </c>
      <c r="LZ56" s="33">
        <f>1800+1200</f>
        <v>3000</v>
      </c>
      <c r="MA56" s="33">
        <f>32000+16000</f>
        <v>48000</v>
      </c>
      <c r="MB56" s="31">
        <f>IF(MA56/(INDEX('Standards for Conversions'!$H$47:$H$73,MATCH(LZ$3,'Standards for Conversions'!$A$47:$A$73,0)))=0,"",MA56/(INDEX('Standards for Conversions'!$H$47:$H$73,MATCH(LZ$3,'Standards for Conversions'!$A$47:$A$73,0))))</f>
        <v>4461.5325454071426</v>
      </c>
      <c r="MC56" s="33">
        <f>5736+2400</f>
        <v>8136</v>
      </c>
      <c r="MD56" s="33">
        <f>65459+32729</f>
        <v>98188</v>
      </c>
      <c r="ME56" s="31">
        <f>IF(MD56/(INDEX('Standards for Conversions'!$H$47:$H$73,MATCH(MC$3,'Standards for Conversions'!$A$47:$A$73,0)))=0,"",MD56/(INDEX('Standards for Conversions'!$H$47:$H$73,MATCH(MC$3,'Standards for Conversions'!$A$47:$A$73,0))))</f>
        <v>9417.4847085469701</v>
      </c>
      <c r="MF56" s="33">
        <f>4728+596</f>
        <v>5324</v>
      </c>
      <c r="MG56" s="33">
        <f>73851+8658</f>
        <v>82509</v>
      </c>
      <c r="MH56" s="31">
        <f>IF(MG56/(INDEX('Standards for Conversions'!$H$47:$H$73,MATCH(MF$3,'Standards for Conversions'!$A$47:$A$73,0)))=0,"",MG56/(INDEX('Standards for Conversions'!$H$47:$H$73,MATCH(MF$3,'Standards for Conversions'!$A$47:$A$73,0))))</f>
        <v>7599.2177355359772</v>
      </c>
      <c r="MI56" s="33">
        <f>6000+800</f>
        <v>6800</v>
      </c>
      <c r="MJ56" s="33">
        <f>84700+12000</f>
        <v>96700</v>
      </c>
      <c r="MK56" s="31">
        <f>IF(MJ56/(INDEX('Standards for Conversions'!$H$47:$H$73,MATCH(MI$3,'Standards for Conversions'!$A$47:$A$73,0)))=0,"",MJ56/(INDEX('Standards for Conversions'!$H$47:$H$73,MATCH(MI$3,'Standards for Conversions'!$A$47:$A$73,0))))</f>
        <v>7882.5278046334097</v>
      </c>
      <c r="ML56" s="33">
        <f>5800+200</f>
        <v>6000</v>
      </c>
      <c r="MM56" s="33">
        <f>83200+3500</f>
        <v>86700</v>
      </c>
      <c r="MN56" s="31">
        <f>IF(MM56/(INDEX('Standards for Conversions'!$H$47:$H$73,MATCH(ML$3,'Standards for Conversions'!$A$47:$A$73,0)))=0,"",MM56/(INDEX('Standards for Conversions'!$H$47:$H$73,MATCH(ML$3,'Standards for Conversions'!$A$47:$A$73,0))))</f>
        <v>7269.2999804466826</v>
      </c>
      <c r="MO56" s="33" t="s">
        <v>98</v>
      </c>
      <c r="MP56" s="33">
        <v>6150</v>
      </c>
      <c r="MQ56" s="29">
        <f>2000+150000</f>
        <v>152000</v>
      </c>
      <c r="MR56" s="31">
        <f>IF(MQ56/(INDEX('Standards for Conversions'!$H$47:$H$73,MATCH(MP$3,'Standards for Conversions'!$A$47:$A$73,0)))=0,"",MQ56/(INDEX('Standards for Conversions'!$H$47:$H$73,MATCH(MP$3,'Standards for Conversions'!$A$47:$A$73,0))))</f>
        <v>13597.172554387183</v>
      </c>
      <c r="MS56" s="33" t="s">
        <v>98</v>
      </c>
      <c r="MT56" s="33">
        <v>4900</v>
      </c>
      <c r="MU56" s="33">
        <v>10620</v>
      </c>
      <c r="MV56" s="33">
        <v>5300</v>
      </c>
      <c r="MW56" s="33">
        <v>13734</v>
      </c>
      <c r="MX56" s="33">
        <v>4760</v>
      </c>
      <c r="MY56" s="33">
        <v>12693</v>
      </c>
      <c r="MZ56" s="33" t="s">
        <v>98</v>
      </c>
      <c r="NA56" s="33">
        <v>5072</v>
      </c>
      <c r="NB56" s="33">
        <v>13526</v>
      </c>
      <c r="NC56" s="33">
        <v>4824</v>
      </c>
      <c r="ND56" s="33">
        <v>13829</v>
      </c>
      <c r="NE56" s="33" t="s">
        <v>98</v>
      </c>
      <c r="NF56" s="33">
        <v>5186</v>
      </c>
      <c r="NG56" s="33">
        <v>15963</v>
      </c>
      <c r="NH56" s="33">
        <v>5204</v>
      </c>
      <c r="NI56" s="33">
        <v>16966</v>
      </c>
    </row>
    <row r="57" spans="1:373" x14ac:dyDescent="0.3">
      <c r="A57" s="103" t="s">
        <v>237</v>
      </c>
      <c r="B57" s="10" t="s">
        <v>40</v>
      </c>
      <c r="C57" s="7"/>
      <c r="D57" s="7"/>
      <c r="E57" s="31" t="str">
        <f>IF(D57/(INDEX('Standards for Conversions'!$H$34:$H$73,MATCH(C$3,'Standards for Conversions'!$A$34:$A$73,0)))=0,"",D57/(INDEX('Standards for Conversions'!$H$34:$H$73,MATCH(C$3,'Standards for Conversions'!$A$34:$A$73,0))))</f>
        <v/>
      </c>
      <c r="F57" s="10" t="s">
        <v>40</v>
      </c>
      <c r="G57" s="7"/>
      <c r="H57" s="7"/>
      <c r="I57" s="31" t="str">
        <f>IF(H57/(INDEX('Standards for Conversions'!$H$34:$H$73,MATCH(G$3,'Standards for Conversions'!$A$34:$A$73,0)))=0,"",H57/(INDEX('Standards for Conversions'!$H$34:$H$73,MATCH(G$3,'Standards for Conversions'!$A$34:$A$73,0))))</f>
        <v/>
      </c>
      <c r="J57" s="10" t="s">
        <v>40</v>
      </c>
      <c r="K57" s="9"/>
      <c r="L57" s="9"/>
      <c r="M57" s="31" t="str">
        <f>IF(L57/(INDEX('Standards for Conversions'!$H$34:$H$73,MATCH(K$3,'Standards for Conversions'!$A$34:$A$73,0)))=0,"",L57/(INDEX('Standards for Conversions'!$H$34:$H$73,MATCH(K$3,'Standards for Conversions'!$A$34:$A$73,0))))</f>
        <v/>
      </c>
      <c r="N57" s="10" t="s">
        <v>40</v>
      </c>
      <c r="O57" s="7"/>
      <c r="P57" s="7"/>
      <c r="Q57" s="31" t="str">
        <f>IF(P57/(INDEX('Standards for Conversions'!$H$34:$H$73,MATCH(O$3,'Standards for Conversions'!$A$34:$A$73,0)))=0,"",P57/(INDEX('Standards for Conversions'!$H$34:$H$73,MATCH(O$3,'Standards for Conversions'!$A$34:$A$73,0))))</f>
        <v/>
      </c>
      <c r="R57" s="10" t="s">
        <v>40</v>
      </c>
      <c r="S57" s="7"/>
      <c r="T57" s="7"/>
      <c r="U57" s="31" t="str">
        <f>IF(T57/(INDEX('Standards for Conversions'!$H$34:$H$73,MATCH(S$3,'Standards for Conversions'!$A$34:$A$73,0)))=0,"",T57/(INDEX('Standards for Conversions'!$H$34:$H$73,MATCH(S$3,'Standards for Conversions'!$A$34:$A$73,0))))</f>
        <v/>
      </c>
      <c r="V57" s="10" t="s">
        <v>40</v>
      </c>
      <c r="W57" s="7"/>
      <c r="X57" s="7"/>
      <c r="Y57" s="31" t="str">
        <f>IF(X57/(INDEX('Standards for Conversions'!$H$34:$H$73,MATCH(W$3,'Standards for Conversions'!$A$34:$A$73,0)))=0,"",X57/(INDEX('Standards for Conversions'!$H$34:$H$73,MATCH(W$3,'Standards for Conversions'!$A$34:$A$73,0))))</f>
        <v/>
      </c>
      <c r="Z57" s="10" t="s">
        <v>40</v>
      </c>
      <c r="AA57" s="7"/>
      <c r="AB57" s="7"/>
      <c r="AC57" s="31" t="str">
        <f>IF(AB57/(INDEX('Standards for Conversions'!$H$34:$H$73,MATCH(AA$3,'Standards for Conversions'!$A$34:$A$73,0)))=0,"",AB57/(INDEX('Standards for Conversions'!$H$34:$H$73,MATCH(AA$3,'Standards for Conversions'!$A$34:$A$73,0))))</f>
        <v/>
      </c>
      <c r="AD57" s="10" t="s">
        <v>40</v>
      </c>
      <c r="AE57" s="7">
        <v>5</v>
      </c>
      <c r="AF57" s="7">
        <v>50</v>
      </c>
      <c r="AG57" s="31">
        <f>IF(AF57/(INDEX('Standards for Conversions'!$H$34:$H$73,MATCH(AE$3,'Standards for Conversions'!$A$34:$A$73,0)))=0,"",AF57/(INDEX('Standards for Conversions'!$H$34:$H$73,MATCH(AE$3,'Standards for Conversions'!$A$34:$A$73,0))))</f>
        <v>9.6336242794241169</v>
      </c>
      <c r="AH57" s="10" t="s">
        <v>40</v>
      </c>
      <c r="AI57" s="7"/>
      <c r="AJ57" s="7"/>
      <c r="AK57" s="31" t="str">
        <f>IF(AJ57/(INDEX('Standards for Conversions'!$H$34:$H$73,MATCH(AI$3,'Standards for Conversions'!$A$34:$A$73,0)))=0,"",AJ57/(INDEX('Standards for Conversions'!$H$34:$H$73,MATCH(AI$3,'Standards for Conversions'!$A$34:$A$73,0))))</f>
        <v/>
      </c>
      <c r="AL57" s="10" t="s">
        <v>40</v>
      </c>
      <c r="AM57" s="7"/>
      <c r="AN57" s="7"/>
      <c r="AO57" s="31" t="str">
        <f>IF(AN57/(INDEX('Standards for Conversions'!$H$34:$H$73,MATCH(AM$3,'Standards for Conversions'!$A$34:$A$73,0)))=0,"",AN57/(INDEX('Standards for Conversions'!$H$34:$H$73,MATCH(AM$3,'Standards for Conversions'!$A$34:$A$73,0))))</f>
        <v/>
      </c>
      <c r="AP57" s="10" t="s">
        <v>40</v>
      </c>
      <c r="AQ57" s="9"/>
      <c r="AR57" s="9"/>
      <c r="AS57" s="31" t="str">
        <f>IF(AR57/(INDEX('Standards for Conversions'!$H$34:$H$73,MATCH(AQ$3,'Standards for Conversions'!$A$34:$A$73,0)))=0,"",AR57/(INDEX('Standards for Conversions'!$H$34:$H$73,MATCH(AQ$3,'Standards for Conversions'!$A$34:$A$73,0))))</f>
        <v/>
      </c>
      <c r="AT57" s="10" t="s">
        <v>40</v>
      </c>
      <c r="AU57" s="7">
        <v>5</v>
      </c>
      <c r="AV57" s="7">
        <v>50</v>
      </c>
      <c r="AW57" s="31">
        <f>IF(AV57/(INDEX('Standards for Conversions'!$H$34:$H$73,MATCH(AU$3,'Standards for Conversions'!$A$34:$A$73,0)))=0,"",AV57/(INDEX('Standards for Conversions'!$H$34:$H$73,MATCH(AU$3,'Standards for Conversions'!$A$34:$A$73,0))))</f>
        <v>8.9349218591581927</v>
      </c>
      <c r="AX57" s="10" t="s">
        <v>40</v>
      </c>
      <c r="AY57" s="7"/>
      <c r="AZ57" s="7"/>
      <c r="BA57" s="31" t="str">
        <f>IF(AZ57/(INDEX('Standards for Conversions'!$H$34:$H$73,MATCH(AY$3,'Standards for Conversions'!$A$34:$A$73,0)))=0,"",AZ57/(INDEX('Standards for Conversions'!$H$34:$H$73,MATCH(AY$3,'Standards for Conversions'!$A$34:$A$73,0))))</f>
        <v/>
      </c>
      <c r="BB57" s="10" t="s">
        <v>40</v>
      </c>
      <c r="BC57" s="7"/>
      <c r="BD57" s="7"/>
      <c r="BE57" s="31" t="str">
        <f>IF(BD57/(INDEX('Standards for Conversions'!$H$34:$H$73,MATCH(BC$3,'Standards for Conversions'!$A$34:$A$73,0)))=0,"",BD57/(INDEX('Standards for Conversions'!$H$34:$H$73,MATCH(BC$3,'Standards for Conversions'!$A$34:$A$73,0))))</f>
        <v/>
      </c>
      <c r="BF57" s="10" t="s">
        <v>40</v>
      </c>
      <c r="BG57" s="9"/>
      <c r="BH57" s="9"/>
      <c r="BI57" s="31" t="str">
        <f>IF(BH57/(INDEX('Standards for Conversions'!$H$34:$H$73,MATCH(BG$3,'Standards for Conversions'!$A$34:$A$73,0)))=0,"",BH57/(INDEX('Standards for Conversions'!$H$34:$H$73,MATCH(BG$3,'Standards for Conversions'!$A$34:$A$73,0))))</f>
        <v/>
      </c>
      <c r="BJ57" s="10" t="s">
        <v>40</v>
      </c>
      <c r="BK57" s="7">
        <v>5</v>
      </c>
      <c r="BL57" s="7">
        <v>50</v>
      </c>
      <c r="BM57" s="31">
        <f>IF(BL57/(INDEX('Standards for Conversions'!$H$34:$H$73,MATCH(BK$3,'Standards for Conversions'!$A$34:$A$73,0)))=0,"",BL57/(INDEX('Standards for Conversions'!$H$34:$H$73,MATCH(BK$3,'Standards for Conversions'!$A$34:$A$73,0))))</f>
        <v>9.2842730692911566</v>
      </c>
      <c r="BN57" s="10" t="s">
        <v>40</v>
      </c>
      <c r="BO57" s="7"/>
      <c r="BP57" s="7"/>
      <c r="BQ57" s="31" t="str">
        <f>IF(BP57/(INDEX('Standards for Conversions'!$H$34:$H$73,MATCH(BO$3,'Standards for Conversions'!$A$34:$A$73,0)))=0,"",BP57/(INDEX('Standards for Conversions'!$H$34:$H$73,MATCH(BO$3,'Standards for Conversions'!$A$34:$A$73,0))))</f>
        <v/>
      </c>
      <c r="BR57" s="10" t="s">
        <v>40</v>
      </c>
      <c r="BS57" s="7"/>
      <c r="BT57" s="7"/>
      <c r="BU57" s="31" t="str">
        <f>IF(BT57/(INDEX('Standards for Conversions'!$H$34:$H$73,MATCH(BS$3,'Standards for Conversions'!$A$34:$A$73,0)))=0,"",BT57/(INDEX('Standards for Conversions'!$H$34:$H$73,MATCH(BS$3,'Standards for Conversions'!$A$34:$A$73,0))))</f>
        <v/>
      </c>
      <c r="BV57" s="10" t="s">
        <v>40</v>
      </c>
      <c r="BW57" s="9"/>
      <c r="BX57" s="9"/>
      <c r="BY57" s="31" t="str">
        <f>IF(BX57/(INDEX('Standards for Conversions'!$H$34:$H$73,MATCH(BW$3,'Standards for Conversions'!$A$34:$A$73,0)))=0,"",BX57/(INDEX('Standards for Conversions'!$H$34:$H$73,MATCH(BW$3,'Standards for Conversions'!$A$34:$A$73,0))))</f>
        <v/>
      </c>
      <c r="BZ57" s="10" t="s">
        <v>40</v>
      </c>
      <c r="CA57" s="7">
        <v>5</v>
      </c>
      <c r="CB57" s="7">
        <v>50</v>
      </c>
      <c r="CC57" s="31">
        <f>IF(CB57/(INDEX('Standards for Conversions'!$H$34:$H$73,MATCH(CA$3,'Standards for Conversions'!$A$34:$A$73,0)))=0,"",CB57/(INDEX('Standards for Conversions'!$H$34:$H$73,MATCH(CA$3,'Standards for Conversions'!$A$34:$A$73,0))))</f>
        <v>8.9031626582370134</v>
      </c>
      <c r="CD57" s="10" t="s">
        <v>40</v>
      </c>
      <c r="CE57" s="7"/>
      <c r="CF57" s="7"/>
      <c r="CG57" s="31" t="str">
        <f>IF(CF57/(INDEX('Standards for Conversions'!$H$34:$H$73,MATCH(CE$3,'Standards for Conversions'!$A$34:$A$73,0)))=0,"",CF57/(INDEX('Standards for Conversions'!$H$34:$H$73,MATCH(CE$3,'Standards for Conversions'!$A$34:$A$73,0))))</f>
        <v/>
      </c>
      <c r="CH57" s="10" t="s">
        <v>40</v>
      </c>
      <c r="CI57" s="7"/>
      <c r="CJ57" s="7"/>
      <c r="CK57" s="31" t="str">
        <f>IF(CJ57/(INDEX('Standards for Conversions'!$H$34:$H$73,MATCH(CI$3,'Standards for Conversions'!$A$34:$A$73,0)))=0,"",CJ57/(INDEX('Standards for Conversions'!$H$34:$H$73,MATCH(CI$3,'Standards for Conversions'!$A$34:$A$73,0))))</f>
        <v/>
      </c>
      <c r="CL57" s="10" t="s">
        <v>40</v>
      </c>
      <c r="CM57" s="9"/>
      <c r="CN57" s="9"/>
      <c r="CO57" s="31" t="str">
        <f>IF(CN57/(INDEX('Standards for Conversions'!$H$34:$H$73,MATCH(CM$3,'Standards for Conversions'!$A$34:$A$73,0)))=0,"",CN57/(INDEX('Standards for Conversions'!$H$34:$H$73,MATCH(CM$3,'Standards for Conversions'!$A$34:$A$73,0))))</f>
        <v/>
      </c>
      <c r="CP57" s="10" t="s">
        <v>40</v>
      </c>
      <c r="CQ57" s="7">
        <v>10</v>
      </c>
      <c r="CR57" s="7">
        <v>100</v>
      </c>
      <c r="CS57" s="31">
        <f>IF(CR57/(INDEX('Standards for Conversions'!$H$34:$H$73,MATCH(CQ$3,'Standards for Conversions'!$A$34:$A$73,0)))=0,"",CR57/(INDEX('Standards for Conversions'!$H$34:$H$73,MATCH(CQ$3,'Standards for Conversions'!$A$34:$A$73,0))))</f>
        <v>17.361696503577534</v>
      </c>
      <c r="CT57" s="10" t="s">
        <v>40</v>
      </c>
      <c r="CU57" s="7"/>
      <c r="CV57" s="7"/>
      <c r="CW57" s="31" t="str">
        <f>IF(CV57/(INDEX('Standards for Conversions'!$H$34:$H$73,MATCH(CU$3,'Standards for Conversions'!$A$34:$A$73,0)))=0,"",CV57/(INDEX('Standards for Conversions'!$H$34:$H$73,MATCH(CU$3,'Standards for Conversions'!$A$34:$A$73,0))))</f>
        <v/>
      </c>
      <c r="CX57" s="10" t="s">
        <v>40</v>
      </c>
      <c r="CY57" s="7"/>
      <c r="CZ57" s="7"/>
      <c r="DA57" s="31" t="str">
        <f>IF(CZ57/(INDEX('Standards for Conversions'!$H$34:$H$73,MATCH(CY$3,'Standards for Conversions'!$A$34:$A$73,0)))=0,"",CZ57/(INDEX('Standards for Conversions'!$H$34:$H$73,MATCH(CY$3,'Standards for Conversions'!$A$34:$A$73,0))))</f>
        <v/>
      </c>
      <c r="DB57" s="10" t="s">
        <v>40</v>
      </c>
      <c r="DC57" s="9"/>
      <c r="DD57" s="9"/>
      <c r="DE57" s="31" t="str">
        <f>IF(DD57/(INDEX('Standards for Conversions'!$H$34:$H$73,MATCH(DC$3,'Standards for Conversions'!$A$34:$A$73,0)))=0,"",DD57/(INDEX('Standards for Conversions'!$H$34:$H$73,MATCH(DC$3,'Standards for Conversions'!$A$34:$A$73,0))))</f>
        <v/>
      </c>
      <c r="DF57" s="10" t="s">
        <v>40</v>
      </c>
      <c r="DG57" s="7"/>
      <c r="DH57" s="7"/>
      <c r="DI57" s="31" t="str">
        <f>IF(DH57/(INDEX('Standards for Conversions'!$H$34:$H$73,MATCH(DG$3,'Standards for Conversions'!$A$34:$A$73,0)))=0,"",DH57/(INDEX('Standards for Conversions'!$H$34:$H$73,MATCH(DG$3,'Standards for Conversions'!$A$34:$A$73,0))))</f>
        <v/>
      </c>
      <c r="DJ57" s="10" t="s">
        <v>40</v>
      </c>
      <c r="DK57" s="7"/>
      <c r="DL57" s="7"/>
      <c r="DM57" s="31" t="str">
        <f>IF(DL57/(INDEX('Standards for Conversions'!$H$34:$H$73,MATCH(DK$3,'Standards for Conversions'!$A$34:$A$73,0)))=0,"",DL57/(INDEX('Standards for Conversions'!$H$34:$H$73,MATCH(DK$3,'Standards for Conversions'!$A$34:$A$73,0))))</f>
        <v/>
      </c>
      <c r="DN57" s="10" t="s">
        <v>40</v>
      </c>
      <c r="DO57" s="7"/>
      <c r="DP57" s="7"/>
      <c r="DQ57" s="31" t="str">
        <f>IF(DP57/(INDEX('Standards for Conversions'!$H$34:$H$73,MATCH(DO$3,'Standards for Conversions'!$A$34:$A$73,0)))=0,"",DP57/(INDEX('Standards for Conversions'!$H$34:$H$73,MATCH(DO$3,'Standards for Conversions'!$A$34:$A$73,0))))</f>
        <v/>
      </c>
      <c r="DR57" s="10" t="s">
        <v>40</v>
      </c>
      <c r="DS57" s="9"/>
      <c r="DT57" s="9"/>
      <c r="DU57" s="31" t="str">
        <f>IF(DT57/(INDEX('Standards for Conversions'!$H$34:$H$73,MATCH(DS$3,'Standards for Conversions'!$A$34:$A$73,0)))=0,"",DT57/(INDEX('Standards for Conversions'!$H$34:$H$73,MATCH(DS$3,'Standards for Conversions'!$A$34:$A$73,0))))</f>
        <v/>
      </c>
      <c r="DV57" s="10" t="s">
        <v>40</v>
      </c>
      <c r="DW57" s="7"/>
      <c r="DX57" s="7"/>
      <c r="DY57" s="31" t="str">
        <f>IF(DX57/(INDEX('Standards for Conversions'!$H$34:$H$73,MATCH(DW$3,'Standards for Conversions'!$A$34:$A$73,0)))=0,"",DX57/(INDEX('Standards for Conversions'!$H$34:$H$73,MATCH(DW$3,'Standards for Conversions'!$A$34:$A$73,0))))</f>
        <v/>
      </c>
      <c r="DZ57" s="10" t="s">
        <v>40</v>
      </c>
      <c r="EA57" s="7"/>
      <c r="EB57" s="7"/>
      <c r="EC57" s="31" t="str">
        <f>IF(EB57/(INDEX('Standards for Conversions'!$H$34:$H$73,MATCH(EA$3,'Standards for Conversions'!$A$34:$A$73,0)))=0,"",EB57/(INDEX('Standards for Conversions'!$H$34:$H$73,MATCH(EA$3,'Standards for Conversions'!$A$34:$A$73,0))))</f>
        <v/>
      </c>
      <c r="ED57" s="10" t="s">
        <v>40</v>
      </c>
      <c r="EE57" s="7"/>
      <c r="EF57" s="7"/>
      <c r="EG57" s="31" t="str">
        <f>IF(EF57/(INDEX('Standards for Conversions'!$H$34:$H$73,MATCH(EE$3,'Standards for Conversions'!$A$34:$A$73,0)))=0,"",EF57/(INDEX('Standards for Conversions'!$H$34:$H$73,MATCH(EE$3,'Standards for Conversions'!$A$34:$A$73,0))))</f>
        <v/>
      </c>
      <c r="EH57" s="10" t="s">
        <v>40</v>
      </c>
      <c r="EI57" s="9"/>
      <c r="EJ57" s="9"/>
      <c r="EK57" s="31" t="str">
        <f>IF(EJ57/(INDEX('Standards for Conversions'!$H$34:$H$73,MATCH(EI$3,'Standards for Conversions'!$A$34:$A$73,0)))=0,"",EJ57/(INDEX('Standards for Conversions'!$H$34:$H$73,MATCH(EI$3,'Standards for Conversions'!$A$34:$A$73,0))))</f>
        <v/>
      </c>
      <c r="EL57" s="10" t="s">
        <v>40</v>
      </c>
      <c r="EM57" s="7"/>
      <c r="EN57" s="7"/>
      <c r="EO57" s="31" t="str">
        <f>IF(EN57/(INDEX('Standards for Conversions'!$H$34:$H$73,MATCH(EM$3,'Standards for Conversions'!$A$34:$A$73,0)))=0,"",EN57/(INDEX('Standards for Conversions'!$H$34:$H$73,MATCH(EM$3,'Standards for Conversions'!$A$34:$A$73,0))))</f>
        <v/>
      </c>
      <c r="EP57" s="10" t="s">
        <v>40</v>
      </c>
      <c r="EQ57" s="7"/>
      <c r="ER57" s="7"/>
      <c r="ES57" s="31" t="str">
        <f>IF(ER57/(INDEX('Standards for Conversions'!$H$34:$H$73,MATCH(EQ$3,'Standards for Conversions'!$A$34:$A$73,0)))=0,"",ER57/(INDEX('Standards for Conversions'!$H$34:$H$73,MATCH(EQ$3,'Standards for Conversions'!$A$34:$A$73,0))))</f>
        <v/>
      </c>
      <c r="ET57" s="10" t="s">
        <v>40</v>
      </c>
      <c r="EU57" s="7"/>
      <c r="EV57" s="7"/>
      <c r="EW57" s="31" t="str">
        <f>IF(EV57/(INDEX('Standards for Conversions'!$H$34:$H$73,MATCH(EU$3,'Standards for Conversions'!$A$34:$A$73,0)))=0,"",EV57/(INDEX('Standards for Conversions'!$H$34:$H$73,MATCH(EU$3,'Standards for Conversions'!$A$34:$A$73,0))))</f>
        <v/>
      </c>
      <c r="EX57" s="10" t="s">
        <v>40</v>
      </c>
      <c r="EY57" s="9"/>
      <c r="EZ57" s="9"/>
      <c r="FA57" s="31" t="str">
        <f>IF(EZ57/(INDEX('Standards for Conversions'!$H$34:$H$73,MATCH(EY$3,'Standards for Conversions'!$A$34:$A$73,0)))=0,"",EZ57/(INDEX('Standards for Conversions'!$H$34:$H$73,MATCH(EY$3,'Standards for Conversions'!$A$34:$A$73,0))))</f>
        <v/>
      </c>
      <c r="FB57" s="10" t="s">
        <v>45</v>
      </c>
      <c r="FC57" s="7">
        <v>75</v>
      </c>
      <c r="FD57" s="7">
        <v>100</v>
      </c>
      <c r="FE57" s="31">
        <f>IF(FD57/(INDEX('Standards for Conversions'!$H$34:$H$73,MATCH(FC$3,'Standards for Conversions'!$A$34:$A$73,0)))=0,"",FD57/(INDEX('Standards for Conversions'!$H$34:$H$73,MATCH(FC$3,'Standards for Conversions'!$A$34:$A$73,0))))</f>
        <v>17.12879569682222</v>
      </c>
      <c r="FF57" s="10" t="s">
        <v>40</v>
      </c>
      <c r="FG57" s="7"/>
      <c r="FH57" s="7"/>
      <c r="FI57" s="31" t="str">
        <f>IF(FH57/(INDEX('Standards for Conversions'!$H$34:$H$73,MATCH(FG$3,'Standards for Conversions'!$A$34:$A$73,0)))=0,"",FH57/(INDEX('Standards for Conversions'!$H$34:$H$73,MATCH(FG$3,'Standards for Conversions'!$A$34:$A$73,0))))</f>
        <v/>
      </c>
      <c r="FJ57" s="10" t="s">
        <v>40</v>
      </c>
      <c r="FK57" s="7"/>
      <c r="FL57" s="7"/>
      <c r="FM57" s="31" t="str">
        <f>IF(FL57/(INDEX('Standards for Conversions'!$H$34:$H$73,MATCH(FK$3,'Standards for Conversions'!$A$34:$A$73,0)))=0,"",FL57/(INDEX('Standards for Conversions'!$H$34:$H$73,MATCH(FK$3,'Standards for Conversions'!$A$34:$A$73,0))))</f>
        <v/>
      </c>
      <c r="FN57" s="10" t="s">
        <v>40</v>
      </c>
      <c r="FO57" s="9"/>
      <c r="FP57" s="9"/>
      <c r="FQ57" s="31" t="str">
        <f>IF(FP57/(INDEX('Standards for Conversions'!$H$34:$H$73,MATCH(FO$3,'Standards for Conversions'!$A$34:$A$73,0)))=0,"",FP57/(INDEX('Standards for Conversions'!$H$34:$H$73,MATCH(FO$3,'Standards for Conversions'!$A$34:$A$73,0))))</f>
        <v/>
      </c>
      <c r="FR57" s="10" t="s">
        <v>396</v>
      </c>
      <c r="FS57" s="7">
        <v>200</v>
      </c>
      <c r="FT57" s="7">
        <v>450</v>
      </c>
      <c r="FU57" s="31">
        <f>IF(FT57/(INDEX('Standards for Conversions'!$H$34:$H$73,MATCH(FS$3,'Standards for Conversions'!$A$34:$A$73,0)))=0,"",FT57/(INDEX('Standards for Conversions'!$H$34:$H$73,MATCH(FS$3,'Standards for Conversions'!$A$34:$A$73,0))))</f>
        <v>77.174858238463528</v>
      </c>
      <c r="FV57" s="10" t="s">
        <v>40</v>
      </c>
      <c r="FW57" s="7"/>
      <c r="FX57" s="7"/>
      <c r="FY57" s="31" t="str">
        <f>IF(FX57/(INDEX('Standards for Conversions'!$H$34:$H$73,MATCH(FW$3,'Standards for Conversions'!$A$34:$A$73,0)))=0,"",FX57/(INDEX('Standards for Conversions'!$H$34:$H$73,MATCH(FW$3,'Standards for Conversions'!$A$34:$A$73,0))))</f>
        <v/>
      </c>
      <c r="FZ57" s="10" t="s">
        <v>40</v>
      </c>
      <c r="GA57" s="7"/>
      <c r="GB57" s="7"/>
      <c r="GC57" s="31" t="str">
        <f>IF(GB57/(INDEX('Standards for Conversions'!$H$34:$H$73,MATCH(GA$3,'Standards for Conversions'!$A$34:$A$73,0)))=0,"",GB57/(INDEX('Standards for Conversions'!$H$34:$H$73,MATCH(GA$3,'Standards for Conversions'!$A$34:$A$73,0))))</f>
        <v/>
      </c>
      <c r="GD57" s="10" t="s">
        <v>40</v>
      </c>
      <c r="GE57" s="9"/>
      <c r="GF57" s="9"/>
      <c r="GG57" s="31" t="str">
        <f>IF(GF57/(INDEX('Standards for Conversions'!$H$34:$H$73,MATCH(GE$3,'Standards for Conversions'!$A$34:$A$73,0)))=0,"",GF57/(INDEX('Standards for Conversions'!$H$34:$H$73,MATCH(GE$3,'Standards for Conversions'!$A$34:$A$73,0))))</f>
        <v/>
      </c>
      <c r="GH57" s="10" t="s">
        <v>40</v>
      </c>
      <c r="GI57" s="7">
        <v>50</v>
      </c>
      <c r="GJ57" s="7">
        <v>200</v>
      </c>
      <c r="GK57" s="31">
        <f>IF(GJ57/(INDEX('Standards for Conversions'!$H$34:$H$73,MATCH(GI$3,'Standards for Conversions'!$A$34:$A$73,0)))=0,"",GJ57/(INDEX('Standards for Conversions'!$H$34:$H$73,MATCH(GI$3,'Standards for Conversions'!$A$34:$A$73,0))))</f>
        <v>32.902532154340832</v>
      </c>
      <c r="GL57" s="10" t="s">
        <v>40</v>
      </c>
      <c r="GM57" s="7"/>
      <c r="GN57" s="7"/>
      <c r="GO57" s="31" t="str">
        <f>IF(GN57/(INDEX('Standards for Conversions'!$H$34:$H$73,MATCH(GM$3,'Standards for Conversions'!$A$34:$A$73,0)))=0,"",GN57/(INDEX('Standards for Conversions'!$H$34:$H$73,MATCH(GM$3,'Standards for Conversions'!$A$34:$A$73,0))))</f>
        <v/>
      </c>
      <c r="GP57" s="10" t="s">
        <v>40</v>
      </c>
      <c r="GQ57" s="7"/>
      <c r="GR57" s="7"/>
      <c r="GS57" s="31" t="str">
        <f>IF(GR57/(INDEX('Standards for Conversions'!$H$34:$H$73,MATCH(GQ$3,'Standards for Conversions'!$A$34:$A$73,0)))=0,"",GR57/(INDEX('Standards for Conversions'!$H$34:$H$73,MATCH(GQ$3,'Standards for Conversions'!$A$34:$A$73,0))))</f>
        <v/>
      </c>
      <c r="GT57" s="10" t="s">
        <v>40</v>
      </c>
      <c r="GU57" s="9"/>
      <c r="GV57" s="9"/>
      <c r="GW57" s="31" t="str">
        <f>IF(GV57/(INDEX('Standards for Conversions'!$H$34:$H$73,MATCH(GU$3,'Standards for Conversions'!$A$34:$A$73,0)))=0,"",GV57/(INDEX('Standards for Conversions'!$H$34:$H$73,MATCH(GU$3,'Standards for Conversions'!$A$34:$A$73,0))))</f>
        <v/>
      </c>
      <c r="GX57" s="10" t="s">
        <v>40</v>
      </c>
      <c r="GY57" s="7">
        <v>40</v>
      </c>
      <c r="GZ57" s="7">
        <v>150</v>
      </c>
      <c r="HA57" s="31">
        <f>IF(GZ57/(INDEX('Standards for Conversions'!$H$34:$H$73,MATCH(GY$3,'Standards for Conversions'!$A$34:$A$73,0)))=0,"",GZ57/(INDEX('Standards for Conversions'!$H$34:$H$73,MATCH(GY$3,'Standards for Conversions'!$A$34:$A$73,0))))</f>
        <v>23.057179868775528</v>
      </c>
      <c r="HB57" s="10" t="s">
        <v>40</v>
      </c>
      <c r="HC57" s="7"/>
      <c r="HD57" s="7"/>
      <c r="HE57" s="31" t="str">
        <f>IF(HD57/(INDEX('Standards for Conversions'!$H$34:$H$73,MATCH(HC$3,'Standards for Conversions'!$A$34:$A$73,0)))=0,"",HD57/(INDEX('Standards for Conversions'!$H$34:$H$73,MATCH(HC$3,'Standards for Conversions'!$A$34:$A$73,0))))</f>
        <v/>
      </c>
      <c r="HF57" s="10" t="s">
        <v>40</v>
      </c>
      <c r="HG57" s="7"/>
      <c r="HH57" s="7"/>
      <c r="HI57" s="31" t="str">
        <f>IF(HH57/(INDEX('Standards for Conversions'!$H$34:$H$73,MATCH(HG$3,'Standards for Conversions'!$A$34:$A$73,0)))=0,"",HH57/(INDEX('Standards for Conversions'!$H$34:$H$73,MATCH(HG$3,'Standards for Conversions'!$A$34:$A$73,0))))</f>
        <v/>
      </c>
      <c r="HJ57" s="10" t="s">
        <v>40</v>
      </c>
      <c r="HK57" s="9"/>
      <c r="HL57" s="9"/>
      <c r="HM57" s="31" t="str">
        <f>IF(HL57/(INDEX('Standards for Conversions'!$H$34:$H$73,MATCH(HK$3,'Standards for Conversions'!$A$34:$A$73,0)))=0,"",HL57/(INDEX('Standards for Conversions'!$H$34:$H$73,MATCH(HK$3,'Standards for Conversions'!$A$34:$A$73,0))))</f>
        <v/>
      </c>
      <c r="HN57" s="10" t="s">
        <v>40</v>
      </c>
      <c r="HO57" s="7">
        <v>45</v>
      </c>
      <c r="HP57" s="7">
        <v>250</v>
      </c>
      <c r="HQ57" s="31">
        <f>IF(HP57/(INDEX('Standards for Conversions'!$H$34:$H$73,MATCH(HO$3,'Standards for Conversions'!$A$34:$A$73,0)))=0,"",HP57/(INDEX('Standards for Conversions'!$H$34:$H$73,MATCH(HO$3,'Standards for Conversions'!$A$34:$A$73,0))))</f>
        <v>37.846381097737599</v>
      </c>
      <c r="HR57" s="33" t="s">
        <v>40</v>
      </c>
      <c r="HU57" s="31" t="str">
        <f>IF(HT57/(INDEX('Standards for Conversions'!$H$47:$H$73,MATCH(HS$3,'Standards for Conversions'!$A$47:$A$73,0)))=0,"",HT57/(INDEX('Standards for Conversions'!$H$47:$H$73,MATCH(HS$3,'Standards for Conversions'!$A$47:$A$73,0))))</f>
        <v/>
      </c>
      <c r="HV57" s="33" t="s">
        <v>40</v>
      </c>
      <c r="HY57" s="31" t="str">
        <f>IF(HX57/(INDEX('Standards for Conversions'!$H$47:$H$73,MATCH(HW$3,'Standards for Conversions'!$A$47:$A$73,0)))=0,"",HX57/(INDEX('Standards for Conversions'!$H$47:$H$73,MATCH(HW$3,'Standards for Conversions'!$A$47:$A$73,0))))</f>
        <v/>
      </c>
      <c r="HZ57" s="33"/>
      <c r="IA57" s="33"/>
      <c r="IB57" s="31" t="str">
        <f>IF(IA57/(INDEX('Standards for Conversions'!$H$47:$H$73,MATCH(HZ$3,'Standards for Conversions'!$A$47:$A$73,0)))=0,"",IA57/(INDEX('Standards for Conversions'!$H$47:$H$73,MATCH(HZ$3,'Standards for Conversions'!$A$47:$A$73,0))))</f>
        <v/>
      </c>
      <c r="IC57" s="33" t="s">
        <v>40</v>
      </c>
      <c r="ID57" s="29">
        <v>40</v>
      </c>
      <c r="IE57" s="29">
        <v>200</v>
      </c>
      <c r="IF57" s="31">
        <f>IF(IE57/(INDEX('Standards for Conversions'!$H$47:$H$73,MATCH(ID$3,'Standards for Conversions'!$A$47:$A$73,0)))=0,"",IE57/(INDEX('Standards for Conversions'!$H$47:$H$73,MATCH(ID$3,'Standards for Conversions'!$A$47:$A$73,0))))</f>
        <v>29.049082442571191</v>
      </c>
      <c r="IG57" s="33" t="s">
        <v>40</v>
      </c>
      <c r="IJ57" s="31" t="str">
        <f>IF(II57/(INDEX('Standards for Conversions'!$H$47:$H$73,MATCH(IH$3,'Standards for Conversions'!$A$47:$A$73,0)))=0,"",II57/(INDEX('Standards for Conversions'!$H$47:$H$73,MATCH(IH$3,'Standards for Conversions'!$A$47:$A$73,0))))</f>
        <v/>
      </c>
      <c r="IK57" s="33" t="s">
        <v>40</v>
      </c>
      <c r="IN57" s="31" t="str">
        <f>IF(IM57/(INDEX('Standards for Conversions'!$H$47:$H$73,MATCH(IL$3,'Standards for Conversions'!$A$47:$A$73,0)))=0,"",IM57/(INDEX('Standards for Conversions'!$H$47:$H$73,MATCH(IL$3,'Standards for Conversions'!$A$47:$A$73,0))))</f>
        <v/>
      </c>
      <c r="IO57" s="33" t="s">
        <v>40</v>
      </c>
      <c r="IR57" s="31" t="str">
        <f>IF(IQ57/(INDEX('Standards for Conversions'!$H$47:$H$73,MATCH(IP$3,'Standards for Conversions'!$A$47:$A$73,0)))=0,"",IQ57/(INDEX('Standards for Conversions'!$H$47:$H$73,MATCH(IP$3,'Standards for Conversions'!$A$47:$A$73,0))))</f>
        <v/>
      </c>
      <c r="IS57" s="33" t="s">
        <v>40</v>
      </c>
      <c r="IT57" s="29">
        <v>27</v>
      </c>
      <c r="IU57" s="29">
        <v>104</v>
      </c>
      <c r="IV57" s="31">
        <f>IF(IU57/(INDEX('Standards for Conversions'!$H$47:$H$73,MATCH(IT$3,'Standards for Conversions'!$A$47:$A$73,0)))=0,"",IU57/(INDEX('Standards for Conversions'!$H$47:$H$73,MATCH(IT$3,'Standards for Conversions'!$A$47:$A$73,0))))</f>
        <v>15.039463732220966</v>
      </c>
      <c r="IW57" s="33" t="s">
        <v>40</v>
      </c>
      <c r="IZ57" s="31" t="str">
        <f>IF(IY57/(INDEX('Standards for Conversions'!$H$47:$H$73,MATCH(IX$3,'Standards for Conversions'!$A$47:$A$73,0)))=0,"",IY57/(INDEX('Standards for Conversions'!$H$47:$H$73,MATCH(IX$3,'Standards for Conversions'!$A$47:$A$73,0))))</f>
        <v/>
      </c>
      <c r="JA57" s="33" t="s">
        <v>40</v>
      </c>
      <c r="JD57" s="31" t="str">
        <f>IF(JC57/(INDEX('Standards for Conversions'!$H$47:$H$73,MATCH(JB$3,'Standards for Conversions'!$A$47:$A$73,0)))=0,"",JC57/(INDEX('Standards for Conversions'!$H$47:$H$73,MATCH(JB$3,'Standards for Conversions'!$A$47:$A$73,0))))</f>
        <v/>
      </c>
      <c r="JE57" s="33" t="s">
        <v>40</v>
      </c>
      <c r="JH57" s="31" t="str">
        <f>IF(JG57/(INDEX('Standards for Conversions'!$H$47:$H$73,MATCH(JF$3,'Standards for Conversions'!$A$47:$A$73,0)))=0,"",JG57/(INDEX('Standards for Conversions'!$H$47:$H$73,MATCH(JF$3,'Standards for Conversions'!$A$47:$A$73,0))))</f>
        <v/>
      </c>
      <c r="JI57" s="48" t="s">
        <v>40</v>
      </c>
      <c r="JJ57" s="29">
        <v>30</v>
      </c>
      <c r="JK57" s="29">
        <v>60</v>
      </c>
      <c r="JL57" s="31">
        <f>IF(JK57/(INDEX('Standards for Conversions'!$H$47:$H$73,MATCH(JJ$3,'Standards for Conversions'!$A$47:$A$73,0)))=0,"",JK57/(INDEX('Standards for Conversions'!$H$47:$H$73,MATCH(JJ$3,'Standards for Conversions'!$A$47:$A$73,0))))</f>
        <v>9.7056118015121218</v>
      </c>
      <c r="JM57" s="33" t="s">
        <v>40</v>
      </c>
      <c r="JP57" s="31" t="str">
        <f>IF(JO57/(INDEX('Standards for Conversions'!$H$47:$H$73,MATCH(JN$3,'Standards for Conversions'!$A$47:$A$73,0)))=0,"",JO57/(INDEX('Standards for Conversions'!$H$47:$H$73,MATCH(JN$3,'Standards for Conversions'!$A$47:$A$73,0))))</f>
        <v/>
      </c>
      <c r="JQ57" s="33" t="s">
        <v>40</v>
      </c>
      <c r="JT57" s="31" t="str">
        <f>IF(JS57/(INDEX('Standards for Conversions'!$H$47:$H$73,MATCH(JR$3,'Standards for Conversions'!$A$47:$A$73,0)))=0,"",JS57/(INDEX('Standards for Conversions'!$H$47:$H$73,MATCH(JR$3,'Standards for Conversions'!$A$47:$A$73,0))))</f>
        <v/>
      </c>
      <c r="JU57" s="33" t="s">
        <v>40</v>
      </c>
      <c r="JX57" s="31" t="str">
        <f>IF(JW57/(INDEX('Standards for Conversions'!$H$47:$H$73,MATCH(JV$3,'Standards for Conversions'!$A$47:$A$73,0)))=0,"",JW57/(INDEX('Standards for Conversions'!$H$47:$H$73,MATCH(JV$3,'Standards for Conversions'!$A$47:$A$73,0))))</f>
        <v/>
      </c>
      <c r="JY57" s="33" t="s">
        <v>40</v>
      </c>
      <c r="JZ57" s="29">
        <v>20</v>
      </c>
      <c r="KA57" s="29">
        <v>70</v>
      </c>
      <c r="KB57" s="31">
        <f>IF(KA57/(INDEX('Standards for Conversions'!$H$47:$H$73,MATCH(JZ$3,'Standards for Conversions'!$A$47:$A$73,0)))=0,"",KA57/(INDEX('Standards for Conversions'!$H$47:$H$73,MATCH(JZ$3,'Standards for Conversions'!$A$47:$A$73,0))))</f>
        <v>10.68591246994583</v>
      </c>
      <c r="KC57" s="33" t="s">
        <v>40</v>
      </c>
      <c r="KF57" s="31" t="str">
        <f>IF(KE57/(INDEX('Standards for Conversions'!$H$47:$H$73,MATCH(KD$3,'Standards for Conversions'!$A$47:$A$73,0)))=0,"",KE57/(INDEX('Standards for Conversions'!$H$47:$H$73,MATCH(KD$3,'Standards for Conversions'!$A$47:$A$73,0))))</f>
        <v/>
      </c>
      <c r="KG57" s="33" t="s">
        <v>40</v>
      </c>
      <c r="KJ57" s="31" t="str">
        <f>IF(KI57/(INDEX('Standards for Conversions'!$H$47:$H$73,MATCH(KH$3,'Standards for Conversions'!$A$47:$A$73,0)))=0,"",KI57/(INDEX('Standards for Conversions'!$H$47:$H$73,MATCH(KH$3,'Standards for Conversions'!$A$47:$A$73,0))))</f>
        <v/>
      </c>
      <c r="KK57" s="33" t="s">
        <v>40</v>
      </c>
      <c r="KN57" s="31" t="str">
        <f>IF(KM57/(INDEX('Standards for Conversions'!$H$47:$H$73,MATCH(KL$3,'Standards for Conversions'!$A$47:$A$73,0)))=0,"",KM57/(INDEX('Standards for Conversions'!$H$47:$H$73,MATCH(KL$3,'Standards for Conversions'!$A$47:$A$73,0))))</f>
        <v/>
      </c>
      <c r="KO57" s="33" t="s">
        <v>40</v>
      </c>
      <c r="KP57" s="29">
        <v>22</v>
      </c>
      <c r="KQ57" s="29">
        <v>80</v>
      </c>
      <c r="KR57" s="31">
        <f>IF(KQ57/(INDEX('Standards for Conversions'!$H$47:$H$73,MATCH(KP$3,'Standards for Conversions'!$A$47:$A$73,0)))=0,"",KQ57/(INDEX('Standards for Conversions'!$H$47:$H$73,MATCH(KP$3,'Standards for Conversions'!$A$47:$A$73,0))))</f>
        <v>10.772720952463716</v>
      </c>
      <c r="KS57" s="33" t="s">
        <v>40</v>
      </c>
      <c r="KV57" s="31" t="str">
        <f>IF(KU57/(INDEX('Standards for Conversions'!$H$47:$H$73,MATCH(KT$3,'Standards for Conversions'!$A$47:$A$73,0)))=0,"",KU57/(INDEX('Standards for Conversions'!$H$47:$H$73,MATCH(KT$3,'Standards for Conversions'!$A$47:$A$73,0))))</f>
        <v/>
      </c>
      <c r="KW57" s="33" t="s">
        <v>40</v>
      </c>
      <c r="KZ57" s="31" t="str">
        <f>IF(KY57/(INDEX('Standards for Conversions'!$H$47:$H$73,MATCH(KX$3,'Standards for Conversions'!$A$47:$A$73,0)))=0,"",KY57/(INDEX('Standards for Conversions'!$H$47:$H$73,MATCH(KX$3,'Standards for Conversions'!$A$47:$A$73,0))))</f>
        <v/>
      </c>
      <c r="LA57" s="33" t="s">
        <v>40</v>
      </c>
      <c r="LD57" s="31" t="str">
        <f>IF(LC57/(INDEX('Standards for Conversions'!$H$47:$H$73,MATCH(LB$3,'Standards for Conversions'!$A$47:$A$73,0)))=0,"",LC57/(INDEX('Standards for Conversions'!$H$47:$H$73,MATCH(LB$3,'Standards for Conversions'!$A$47:$A$73,0))))</f>
        <v/>
      </c>
      <c r="LE57" s="48" t="s">
        <v>40</v>
      </c>
      <c r="LF57" s="29">
        <v>20</v>
      </c>
      <c r="LG57" s="29">
        <v>180</v>
      </c>
      <c r="LH57" s="31">
        <f>IF(LG57/(INDEX('Standards for Conversions'!$H$47:$H$73,MATCH(LF$3,'Standards for Conversions'!$A$47:$A$73,0)))=0,"",LG57/(INDEX('Standards for Conversions'!$H$47:$H$73,MATCH(LF$3,'Standards for Conversions'!$A$47:$A$73,0))))</f>
        <v>21.890982010949852</v>
      </c>
      <c r="LI57" s="48" t="s">
        <v>40</v>
      </c>
      <c r="LJ57" s="7">
        <v>25</v>
      </c>
      <c r="LK57" s="7">
        <v>250</v>
      </c>
      <c r="LL57" s="31">
        <f>IF(LK57/(INDEX('Standards for Conversions'!$H$47:$H$73,MATCH(LJ$3,'Standards for Conversions'!$A$47:$A$73,0)))=0,"",LK57/(INDEX('Standards for Conversions'!$H$47:$H$73,MATCH(LJ$3,'Standards for Conversions'!$A$47:$A$73,0))))</f>
        <v>24.507516710842673</v>
      </c>
      <c r="LO57" s="31" t="str">
        <f>IF(LN57/(INDEX('Standards for Conversions'!$H$47:$H$73,MATCH(LM$3,'Standards for Conversions'!$A$47:$A$73,0)))=0,"",LN57/(INDEX('Standards for Conversions'!$H$47:$H$73,MATCH(LM$3,'Standards for Conversions'!$A$47:$A$73,0))))</f>
        <v/>
      </c>
      <c r="LR57" s="31" t="str">
        <f>IF(LQ57/(INDEX('Standards for Conversions'!$H$47:$H$73,MATCH(LP$3,'Standards for Conversions'!$A$47:$A$73,0)))=0,"",LQ57/(INDEX('Standards for Conversions'!$H$47:$H$73,MATCH(LP$3,'Standards for Conversions'!$A$47:$A$73,0))))</f>
        <v/>
      </c>
      <c r="LV57" s="31" t="str">
        <f>IF(LU57/(INDEX('Standards for Conversions'!$H$47:$H$73,MATCH(LT$3,'Standards for Conversions'!$A$47:$A$73,0)))=0,"",LU57/(INDEX('Standards for Conversions'!$H$47:$H$73,MATCH(LT$3,'Standards for Conversions'!$A$47:$A$73,0))))</f>
        <v/>
      </c>
      <c r="LY57" s="31" t="str">
        <f>IF(LX57/(INDEX('Standards for Conversions'!$H$47:$H$73,MATCH(LW$3,'Standards for Conversions'!$A$47:$A$73,0)))=0,"",LX57/(INDEX('Standards for Conversions'!$H$47:$H$73,MATCH(LW$3,'Standards for Conversions'!$A$47:$A$73,0))))</f>
        <v/>
      </c>
      <c r="MB57" s="31" t="str">
        <f>IF(MA57/(INDEX('Standards for Conversions'!$H$47:$H$73,MATCH(LZ$3,'Standards for Conversions'!$A$47:$A$73,0)))=0,"",MA57/(INDEX('Standards for Conversions'!$H$47:$H$73,MATCH(LZ$3,'Standards for Conversions'!$A$47:$A$73,0))))</f>
        <v/>
      </c>
      <c r="ME57" s="31" t="str">
        <f>IF(MD57/(INDEX('Standards for Conversions'!$H$47:$H$73,MATCH(MC$3,'Standards for Conversions'!$A$47:$A$73,0)))=0,"",MD57/(INDEX('Standards for Conversions'!$H$47:$H$73,MATCH(MC$3,'Standards for Conversions'!$A$47:$A$73,0))))</f>
        <v/>
      </c>
      <c r="MH57" s="31" t="str">
        <f>IF(MG57/(INDEX('Standards for Conversions'!$H$47:$H$73,MATCH(MF$3,'Standards for Conversions'!$A$47:$A$73,0)))=0,"",MG57/(INDEX('Standards for Conversions'!$H$47:$H$73,MATCH(MF$3,'Standards for Conversions'!$A$47:$A$73,0))))</f>
        <v/>
      </c>
      <c r="MK57" s="31" t="str">
        <f>IF(MJ57/(INDEX('Standards for Conversions'!$H$47:$H$73,MATCH(MI$3,'Standards for Conversions'!$A$47:$A$73,0)))=0,"",MJ57/(INDEX('Standards for Conversions'!$H$47:$H$73,MATCH(MI$3,'Standards for Conversions'!$A$47:$A$73,0))))</f>
        <v/>
      </c>
      <c r="MN57" s="31" t="str">
        <f>IF(MM57/(INDEX('Standards for Conversions'!$H$47:$H$73,MATCH(ML$3,'Standards for Conversions'!$A$47:$A$73,0)))=0,"",MM57/(INDEX('Standards for Conversions'!$H$47:$H$73,MATCH(ML$3,'Standards for Conversions'!$A$47:$A$73,0))))</f>
        <v/>
      </c>
      <c r="MR57" s="31" t="str">
        <f>IF(MQ57/(INDEX('Standards for Conversions'!$H$47:$H$73,MATCH(MP$3,'Standards for Conversions'!$A$47:$A$73,0)))=0,"",MQ57/(INDEX('Standards for Conversions'!$H$47:$H$73,MATCH(MP$3,'Standards for Conversions'!$A$47:$A$73,0))))</f>
        <v/>
      </c>
      <c r="NE57" s="29" t="s">
        <v>98</v>
      </c>
      <c r="NH57" s="29">
        <v>36</v>
      </c>
      <c r="NI57" s="29">
        <v>88</v>
      </c>
    </row>
    <row r="58" spans="1:373" s="33" customFormat="1" x14ac:dyDescent="0.3">
      <c r="A58" s="102" t="s">
        <v>93</v>
      </c>
      <c r="B58" s="10" t="s">
        <v>97</v>
      </c>
      <c r="C58" s="7"/>
      <c r="D58" s="7"/>
      <c r="E58" s="31" t="str">
        <f>IF(D58/(INDEX('Standards for Conversions'!$H$34:$H$73,MATCH(C$3,'Standards for Conversions'!$A$34:$A$73,0)))=0,"",D58/(INDEX('Standards for Conversions'!$H$34:$H$73,MATCH(C$3,'Standards for Conversions'!$A$34:$A$73,0))))</f>
        <v/>
      </c>
      <c r="F58" s="10" t="s">
        <v>97</v>
      </c>
      <c r="G58" s="7"/>
      <c r="H58" s="7"/>
      <c r="I58" s="31" t="str">
        <f>IF(H58/(INDEX('Standards for Conversions'!$H$34:$H$73,MATCH(G$3,'Standards for Conversions'!$A$34:$A$73,0)))=0,"",H58/(INDEX('Standards for Conversions'!$H$34:$H$73,MATCH(G$3,'Standards for Conversions'!$A$34:$A$73,0))))</f>
        <v/>
      </c>
      <c r="J58" s="10" t="s">
        <v>97</v>
      </c>
      <c r="K58" s="9">
        <f>9*1700</f>
        <v>15300</v>
      </c>
      <c r="L58" s="9">
        <v>40500</v>
      </c>
      <c r="M58" s="31">
        <f>IF(L58/(INDEX('Standards for Conversions'!$H$34:$H$73,MATCH(K$3,'Standards for Conversions'!$A$34:$A$73,0)))=0,"",L58/(INDEX('Standards for Conversions'!$H$34:$H$73,MATCH(K$3,'Standards for Conversions'!$A$34:$A$73,0))))</f>
        <v>8000.4603040540533</v>
      </c>
      <c r="N58" s="10" t="s">
        <v>97</v>
      </c>
      <c r="O58" s="7"/>
      <c r="P58" s="7"/>
      <c r="Q58" s="31" t="str">
        <f>IF(P58/(INDEX('Standards for Conversions'!$H$34:$H$73,MATCH(O$3,'Standards for Conversions'!$A$34:$A$73,0)))=0,"",P58/(INDEX('Standards for Conversions'!$H$34:$H$73,MATCH(O$3,'Standards for Conversions'!$A$34:$A$73,0))))</f>
        <v/>
      </c>
      <c r="R58" s="10" t="s">
        <v>97</v>
      </c>
      <c r="S58" s="7"/>
      <c r="T58" s="7"/>
      <c r="U58" s="31" t="str">
        <f>IF(T58/(INDEX('Standards for Conversions'!$H$34:$H$73,MATCH(S$3,'Standards for Conversions'!$A$34:$A$73,0)))=0,"",T58/(INDEX('Standards for Conversions'!$H$34:$H$73,MATCH(S$3,'Standards for Conversions'!$A$34:$A$73,0))))</f>
        <v/>
      </c>
      <c r="V58" s="10" t="s">
        <v>97</v>
      </c>
      <c r="W58" s="7"/>
      <c r="X58" s="7"/>
      <c r="Y58" s="31" t="str">
        <f>IF(X58/(INDEX('Standards for Conversions'!$H$34:$H$73,MATCH(W$3,'Standards for Conversions'!$A$34:$A$73,0)))=0,"",X58/(INDEX('Standards for Conversions'!$H$34:$H$73,MATCH(W$3,'Standards for Conversions'!$A$34:$A$73,0))))</f>
        <v/>
      </c>
      <c r="Z58" s="10" t="s">
        <v>97</v>
      </c>
      <c r="AA58" s="9">
        <f>9*1500</f>
        <v>13500</v>
      </c>
      <c r="AB58" s="9">
        <v>30000</v>
      </c>
      <c r="AC58" s="31">
        <f>IF(AB58/(INDEX('Standards for Conversions'!$H$34:$H$73,MATCH(AA$3,'Standards for Conversions'!$A$34:$A$73,0)))=0,"",AB58/(INDEX('Standards for Conversions'!$H$34:$H$73,MATCH(AA$3,'Standards for Conversions'!$A$34:$A$73,0))))</f>
        <v>5780.1745676544706</v>
      </c>
      <c r="AD58" s="10" t="s">
        <v>97</v>
      </c>
      <c r="AE58" s="7"/>
      <c r="AF58" s="7"/>
      <c r="AG58" s="31" t="str">
        <f>IF(AF58/(INDEX('Standards for Conversions'!$H$34:$H$73,MATCH(AE$3,'Standards for Conversions'!$A$34:$A$73,0)))=0,"",AF58/(INDEX('Standards for Conversions'!$H$34:$H$73,MATCH(AE$3,'Standards for Conversions'!$A$34:$A$73,0))))</f>
        <v/>
      </c>
      <c r="AH58" s="10" t="s">
        <v>97</v>
      </c>
      <c r="AI58" s="7"/>
      <c r="AJ58" s="7"/>
      <c r="AK58" s="31" t="str">
        <f>IF(AJ58/(INDEX('Standards for Conversions'!$H$34:$H$73,MATCH(AI$3,'Standards for Conversions'!$A$34:$A$73,0)))=0,"",AJ58/(INDEX('Standards for Conversions'!$H$34:$H$73,MATCH(AI$3,'Standards for Conversions'!$A$34:$A$73,0))))</f>
        <v/>
      </c>
      <c r="AL58" s="10" t="s">
        <v>97</v>
      </c>
      <c r="AM58" s="7"/>
      <c r="AN58" s="7"/>
      <c r="AO58" s="31" t="str">
        <f>IF(AN58/(INDEX('Standards for Conversions'!$H$34:$H$73,MATCH(AM$3,'Standards for Conversions'!$A$34:$A$73,0)))=0,"",AN58/(INDEX('Standards for Conversions'!$H$34:$H$73,MATCH(AM$3,'Standards for Conversions'!$A$34:$A$73,0))))</f>
        <v/>
      </c>
      <c r="AP58" s="10" t="s">
        <v>97</v>
      </c>
      <c r="AQ58" s="9">
        <f>9*2000</f>
        <v>18000</v>
      </c>
      <c r="AR58" s="9">
        <v>32000</v>
      </c>
      <c r="AS58" s="31">
        <f>IF(AR58/(INDEX('Standards for Conversions'!$H$34:$H$73,MATCH(AQ$3,'Standards for Conversions'!$A$34:$A$73,0)))=0,"",AR58/(INDEX('Standards for Conversions'!$H$34:$H$73,MATCH(AQ$3,'Standards for Conversions'!$A$34:$A$73,0))))</f>
        <v>5718.3499898612426</v>
      </c>
      <c r="AT58" s="10" t="s">
        <v>97</v>
      </c>
      <c r="AU58" s="7"/>
      <c r="AV58" s="7"/>
      <c r="AW58" s="31" t="str">
        <f>IF(AV58/(INDEX('Standards for Conversions'!$H$34:$H$73,MATCH(AU$3,'Standards for Conversions'!$A$34:$A$73,0)))=0,"",AV58/(INDEX('Standards for Conversions'!$H$34:$H$73,MATCH(AU$3,'Standards for Conversions'!$A$34:$A$73,0))))</f>
        <v/>
      </c>
      <c r="AX58" s="10" t="s">
        <v>97</v>
      </c>
      <c r="AY58" s="7"/>
      <c r="AZ58" s="7"/>
      <c r="BA58" s="31" t="str">
        <f>IF(AZ58/(INDEX('Standards for Conversions'!$H$34:$H$73,MATCH(AY$3,'Standards for Conversions'!$A$34:$A$73,0)))=0,"",AZ58/(INDEX('Standards for Conversions'!$H$34:$H$73,MATCH(AY$3,'Standards for Conversions'!$A$34:$A$73,0))))</f>
        <v/>
      </c>
      <c r="BB58" s="10" t="s">
        <v>97</v>
      </c>
      <c r="BC58" s="7"/>
      <c r="BD58" s="7"/>
      <c r="BE58" s="31" t="str">
        <f>IF(BD58/(INDEX('Standards for Conversions'!$H$34:$H$73,MATCH(BC$3,'Standards for Conversions'!$A$34:$A$73,0)))=0,"",BD58/(INDEX('Standards for Conversions'!$H$34:$H$73,MATCH(BC$3,'Standards for Conversions'!$A$34:$A$73,0))))</f>
        <v/>
      </c>
      <c r="BF58" s="10" t="s">
        <v>97</v>
      </c>
      <c r="BG58" s="9"/>
      <c r="BH58" s="9"/>
      <c r="BI58" s="31" t="str">
        <f>IF(BH58/(INDEX('Standards for Conversions'!$H$34:$H$73,MATCH(BG$3,'Standards for Conversions'!$A$34:$A$73,0)))=0,"",BH58/(INDEX('Standards for Conversions'!$H$34:$H$73,MATCH(BG$3,'Standards for Conversions'!$A$34:$A$73,0))))</f>
        <v/>
      </c>
      <c r="BJ58" s="10" t="s">
        <v>97</v>
      </c>
      <c r="BK58" s="7"/>
      <c r="BL58" s="7"/>
      <c r="BM58" s="31" t="str">
        <f>IF(BL58/(INDEX('Standards for Conversions'!$H$34:$H$73,MATCH(BK$3,'Standards for Conversions'!$A$34:$A$73,0)))=0,"",BL58/(INDEX('Standards for Conversions'!$H$34:$H$73,MATCH(BK$3,'Standards for Conversions'!$A$34:$A$73,0))))</f>
        <v/>
      </c>
      <c r="BN58" s="10" t="s">
        <v>97</v>
      </c>
      <c r="BO58" s="7"/>
      <c r="BP58" s="7"/>
      <c r="BQ58" s="31" t="str">
        <f>IF(BP58/(INDEX('Standards for Conversions'!$H$34:$H$73,MATCH(BO$3,'Standards for Conversions'!$A$34:$A$73,0)))=0,"",BP58/(INDEX('Standards for Conversions'!$H$34:$H$73,MATCH(BO$3,'Standards for Conversions'!$A$34:$A$73,0))))</f>
        <v/>
      </c>
      <c r="BR58" s="10" t="s">
        <v>97</v>
      </c>
      <c r="BS58" s="7"/>
      <c r="BT58" s="7"/>
      <c r="BU58" s="31" t="str">
        <f>IF(BT58/(INDEX('Standards for Conversions'!$H$34:$H$73,MATCH(BS$3,'Standards for Conversions'!$A$34:$A$73,0)))=0,"",BT58/(INDEX('Standards for Conversions'!$H$34:$H$73,MATCH(BS$3,'Standards for Conversions'!$A$34:$A$73,0))))</f>
        <v/>
      </c>
      <c r="BV58" s="10" t="s">
        <v>97</v>
      </c>
      <c r="BW58" s="9">
        <f>9*500</f>
        <v>4500</v>
      </c>
      <c r="BX58" s="9">
        <v>5000</v>
      </c>
      <c r="BY58" s="31">
        <f>IF(BX58/(INDEX('Standards for Conversions'!$H$34:$H$73,MATCH(BW$3,'Standards for Conversions'!$A$34:$A$73,0)))=0,"",BX58/(INDEX('Standards for Conversions'!$H$34:$H$73,MATCH(BW$3,'Standards for Conversions'!$A$34:$A$73,0))))</f>
        <v>890.31626582370131</v>
      </c>
      <c r="BZ58" s="10" t="s">
        <v>97</v>
      </c>
      <c r="CA58" s="7">
        <f>9*898</f>
        <v>8082</v>
      </c>
      <c r="CB58" s="7">
        <v>18000</v>
      </c>
      <c r="CC58" s="31">
        <f>IF(CB58/(INDEX('Standards for Conversions'!$H$34:$H$73,MATCH(CA$3,'Standards for Conversions'!$A$34:$A$73,0)))=0,"",CB58/(INDEX('Standards for Conversions'!$H$34:$H$73,MATCH(CA$3,'Standards for Conversions'!$A$34:$A$73,0))))</f>
        <v>3205.1385569653248</v>
      </c>
      <c r="CD58" s="10" t="s">
        <v>97</v>
      </c>
      <c r="CE58" s="7"/>
      <c r="CF58" s="7"/>
      <c r="CG58" s="31" t="str">
        <f>IF(CF58/(INDEX('Standards for Conversions'!$H$34:$H$73,MATCH(CE$3,'Standards for Conversions'!$A$34:$A$73,0)))=0,"",CF58/(INDEX('Standards for Conversions'!$H$34:$H$73,MATCH(CE$3,'Standards for Conversions'!$A$34:$A$73,0))))</f>
        <v/>
      </c>
      <c r="CH58" s="10" t="s">
        <v>97</v>
      </c>
      <c r="CI58" s="7"/>
      <c r="CJ58" s="7"/>
      <c r="CK58" s="31" t="str">
        <f>IF(CJ58/(INDEX('Standards for Conversions'!$H$34:$H$73,MATCH(CI$3,'Standards for Conversions'!$A$34:$A$73,0)))=0,"",CJ58/(INDEX('Standards for Conversions'!$H$34:$H$73,MATCH(CI$3,'Standards for Conversions'!$A$34:$A$73,0))))</f>
        <v/>
      </c>
      <c r="CL58" s="10" t="s">
        <v>97</v>
      </c>
      <c r="CM58" s="9">
        <f>9*400</f>
        <v>3600</v>
      </c>
      <c r="CN58" s="9">
        <v>8000</v>
      </c>
      <c r="CO58" s="31">
        <f>IF(CN58/(INDEX('Standards for Conversions'!$H$34:$H$73,MATCH(CM$3,'Standards for Conversions'!$A$34:$A$73,0)))=0,"",CN58/(INDEX('Standards for Conversions'!$H$34:$H$73,MATCH(CM$3,'Standards for Conversions'!$A$34:$A$73,0))))</f>
        <v>1388.9357202862025</v>
      </c>
      <c r="CP58" s="10" t="s">
        <v>97</v>
      </c>
      <c r="CQ58" s="7">
        <f>9*898</f>
        <v>8082</v>
      </c>
      <c r="CR58" s="7">
        <v>18000</v>
      </c>
      <c r="CS58" s="31">
        <f>IF(CR58/(INDEX('Standards for Conversions'!$H$34:$H$73,MATCH(CQ$3,'Standards for Conversions'!$A$34:$A$73,0)))=0,"",CR58/(INDEX('Standards for Conversions'!$H$34:$H$73,MATCH(CQ$3,'Standards for Conversions'!$A$34:$A$73,0))))</f>
        <v>3125.1053706439557</v>
      </c>
      <c r="CT58" s="10" t="s">
        <v>97</v>
      </c>
      <c r="CU58" s="7"/>
      <c r="CV58" s="7"/>
      <c r="CW58" s="31" t="str">
        <f>IF(CV58/(INDEX('Standards for Conversions'!$H$34:$H$73,MATCH(CU$3,'Standards for Conversions'!$A$34:$A$73,0)))=0,"",CV58/(INDEX('Standards for Conversions'!$H$34:$H$73,MATCH(CU$3,'Standards for Conversions'!$A$34:$A$73,0))))</f>
        <v/>
      </c>
      <c r="CX58" s="10" t="s">
        <v>97</v>
      </c>
      <c r="CY58" s="7"/>
      <c r="CZ58" s="7"/>
      <c r="DA58" s="31" t="str">
        <f>IF(CZ58/(INDEX('Standards for Conversions'!$H$34:$H$73,MATCH(CY$3,'Standards for Conversions'!$A$34:$A$73,0)))=0,"",CZ58/(INDEX('Standards for Conversions'!$H$34:$H$73,MATCH(CY$3,'Standards for Conversions'!$A$34:$A$73,0))))</f>
        <v/>
      </c>
      <c r="DB58" s="10" t="s">
        <v>97</v>
      </c>
      <c r="DC58" s="9">
        <f>9*75</f>
        <v>675</v>
      </c>
      <c r="DD58" s="9">
        <v>1500</v>
      </c>
      <c r="DE58" s="31">
        <f>IF(DD58/(INDEX('Standards for Conversions'!$H$34:$H$73,MATCH(DC$3,'Standards for Conversions'!$A$34:$A$73,0)))=0,"",DD58/(INDEX('Standards for Conversions'!$H$34:$H$73,MATCH(DC$3,'Standards for Conversions'!$A$34:$A$73,0))))</f>
        <v>265.50691970105152</v>
      </c>
      <c r="DF58" s="10" t="s">
        <v>97</v>
      </c>
      <c r="DG58" s="7">
        <f>9*898</f>
        <v>8082</v>
      </c>
      <c r="DH58" s="7">
        <v>18000</v>
      </c>
      <c r="DI58" s="31">
        <f>IF(DH58/(INDEX('Standards for Conversions'!$H$34:$H$73,MATCH(DG$3,'Standards for Conversions'!$A$34:$A$73,0)))=0,"",DH58/(INDEX('Standards for Conversions'!$H$34:$H$73,MATCH(DG$3,'Standards for Conversions'!$A$34:$A$73,0))))</f>
        <v>3186.0830364126186</v>
      </c>
      <c r="DJ58" s="10" t="s">
        <v>97</v>
      </c>
      <c r="DK58" s="7"/>
      <c r="DL58" s="7"/>
      <c r="DM58" s="31" t="str">
        <f>IF(DL58/(INDEX('Standards for Conversions'!$H$34:$H$73,MATCH(DK$3,'Standards for Conversions'!$A$34:$A$73,0)))=0,"",DL58/(INDEX('Standards for Conversions'!$H$34:$H$73,MATCH(DK$3,'Standards for Conversions'!$A$34:$A$73,0))))</f>
        <v/>
      </c>
      <c r="DN58" s="10" t="s">
        <v>97</v>
      </c>
      <c r="DO58" s="7"/>
      <c r="DP58" s="7"/>
      <c r="DQ58" s="31" t="str">
        <f>IF(DP58/(INDEX('Standards for Conversions'!$H$34:$H$73,MATCH(DO$3,'Standards for Conversions'!$A$34:$A$73,0)))=0,"",DP58/(INDEX('Standards for Conversions'!$H$34:$H$73,MATCH(DO$3,'Standards for Conversions'!$A$34:$A$73,0))))</f>
        <v/>
      </c>
      <c r="DR58" s="10" t="s">
        <v>97</v>
      </c>
      <c r="DS58" s="9">
        <f>9*2000</f>
        <v>18000</v>
      </c>
      <c r="DT58" s="9">
        <v>25000</v>
      </c>
      <c r="DU58" s="31">
        <f>IF(DT58/(INDEX('Standards for Conversions'!$H$34:$H$73,MATCH(DS$3,'Standards for Conversions'!$A$34:$A$73,0)))=0,"",DT58/(INDEX('Standards for Conversions'!$H$34:$H$73,MATCH(DS$3,'Standards for Conversions'!$A$34:$A$73,0))))</f>
        <v>4377.4765269690915</v>
      </c>
      <c r="DV58" s="10" t="s">
        <v>97</v>
      </c>
      <c r="DW58" s="7">
        <f>9*200</f>
        <v>1800</v>
      </c>
      <c r="DX58" s="7">
        <v>2000</v>
      </c>
      <c r="DY58" s="31">
        <f>IF(DX58/(INDEX('Standards for Conversions'!$H$34:$H$73,MATCH(DW$3,'Standards for Conversions'!$A$34:$A$73,0)))=0,"",DX58/(INDEX('Standards for Conversions'!$H$34:$H$73,MATCH(DW$3,'Standards for Conversions'!$A$34:$A$73,0))))</f>
        <v>350.19812215752728</v>
      </c>
      <c r="DZ58" s="10" t="s">
        <v>97</v>
      </c>
      <c r="EA58" s="7"/>
      <c r="EB58" s="7"/>
      <c r="EC58" s="31" t="str">
        <f>IF(EB58/(INDEX('Standards for Conversions'!$H$34:$H$73,MATCH(EA$3,'Standards for Conversions'!$A$34:$A$73,0)))=0,"",EB58/(INDEX('Standards for Conversions'!$H$34:$H$73,MATCH(EA$3,'Standards for Conversions'!$A$34:$A$73,0))))</f>
        <v/>
      </c>
      <c r="ED58" s="10" t="s">
        <v>97</v>
      </c>
      <c r="EE58" s="7"/>
      <c r="EF58" s="7"/>
      <c r="EG58" s="31" t="str">
        <f>IF(EF58/(INDEX('Standards for Conversions'!$H$34:$H$73,MATCH(EE$3,'Standards for Conversions'!$A$34:$A$73,0)))=0,"",EF58/(INDEX('Standards for Conversions'!$H$34:$H$73,MATCH(EE$3,'Standards for Conversions'!$A$34:$A$73,0))))</f>
        <v/>
      </c>
      <c r="EH58" s="10" t="s">
        <v>97</v>
      </c>
      <c r="EI58" s="9">
        <f>9*2914</f>
        <v>26226</v>
      </c>
      <c r="EJ58" s="9">
        <v>33240</v>
      </c>
      <c r="EK58" s="31">
        <f>IF(EJ58/(INDEX('Standards for Conversions'!$H$34:$H$73,MATCH(EI$3,'Standards for Conversions'!$A$34:$A$73,0)))=0,"",EJ58/(INDEX('Standards for Conversions'!$H$34:$H$73,MATCH(EI$3,'Standards for Conversions'!$A$34:$A$73,0))))</f>
        <v>5813.25495133397</v>
      </c>
      <c r="EL58" s="10" t="s">
        <v>97</v>
      </c>
      <c r="EM58" s="7"/>
      <c r="EN58" s="7"/>
      <c r="EO58" s="31" t="str">
        <f>IF(EN58/(INDEX('Standards for Conversions'!$H$34:$H$73,MATCH(EM$3,'Standards for Conversions'!$A$34:$A$73,0)))=0,"",EN58/(INDEX('Standards for Conversions'!$H$34:$H$73,MATCH(EM$3,'Standards for Conversions'!$A$34:$A$73,0))))</f>
        <v/>
      </c>
      <c r="EP58" s="10" t="s">
        <v>97</v>
      </c>
      <c r="EQ58" s="7"/>
      <c r="ER58" s="7"/>
      <c r="ES58" s="31" t="str">
        <f>IF(ER58/(INDEX('Standards for Conversions'!$H$34:$H$73,MATCH(EQ$3,'Standards for Conversions'!$A$34:$A$73,0)))=0,"",ER58/(INDEX('Standards for Conversions'!$H$34:$H$73,MATCH(EQ$3,'Standards for Conversions'!$A$34:$A$73,0))))</f>
        <v/>
      </c>
      <c r="ET58" s="10" t="s">
        <v>97</v>
      </c>
      <c r="EU58" s="7"/>
      <c r="EV58" s="7"/>
      <c r="EW58" s="31" t="str">
        <f>IF(EV58/(INDEX('Standards for Conversions'!$H$34:$H$73,MATCH(EU$3,'Standards for Conversions'!$A$34:$A$73,0)))=0,"",EV58/(INDEX('Standards for Conversions'!$H$34:$H$73,MATCH(EU$3,'Standards for Conversions'!$A$34:$A$73,0))))</f>
        <v/>
      </c>
      <c r="EX58" s="10" t="s">
        <v>97</v>
      </c>
      <c r="EY58" s="9">
        <f>9*2337</f>
        <v>21033</v>
      </c>
      <c r="EZ58" s="9">
        <v>35600</v>
      </c>
      <c r="FA58" s="31">
        <f>IF(EZ58/(INDEX('Standards for Conversions'!$H$34:$H$73,MATCH(EY$3,'Standards for Conversions'!$A$34:$A$73,0)))=0,"",EZ58/(INDEX('Standards for Conversions'!$H$34:$H$73,MATCH(EY$3,'Standards for Conversions'!$A$34:$A$73,0))))</f>
        <v>6097.8512680687109</v>
      </c>
      <c r="FB58" s="10" t="s">
        <v>97</v>
      </c>
      <c r="FC58" s="7"/>
      <c r="FD58" s="7"/>
      <c r="FE58" s="31" t="str">
        <f>IF(FD58/(INDEX('Standards for Conversions'!$H$34:$H$73,MATCH(FC$3,'Standards for Conversions'!$A$34:$A$73,0)))=0,"",FD58/(INDEX('Standards for Conversions'!$H$34:$H$73,MATCH(FC$3,'Standards for Conversions'!$A$34:$A$73,0))))</f>
        <v/>
      </c>
      <c r="FF58" s="10" t="s">
        <v>97</v>
      </c>
      <c r="FG58" s="7"/>
      <c r="FH58" s="7"/>
      <c r="FI58" s="31" t="str">
        <f>IF(FH58/(INDEX('Standards for Conversions'!$H$34:$H$73,MATCH(FG$3,'Standards for Conversions'!$A$34:$A$73,0)))=0,"",FH58/(INDEX('Standards for Conversions'!$H$34:$H$73,MATCH(FG$3,'Standards for Conversions'!$A$34:$A$73,0))))</f>
        <v/>
      </c>
      <c r="FJ58" s="10" t="s">
        <v>97</v>
      </c>
      <c r="FK58" s="7"/>
      <c r="FL58" s="7"/>
      <c r="FM58" s="31" t="str">
        <f>IF(FL58/(INDEX('Standards for Conversions'!$H$34:$H$73,MATCH(FK$3,'Standards for Conversions'!$A$34:$A$73,0)))=0,"",FL58/(INDEX('Standards for Conversions'!$H$34:$H$73,MATCH(FK$3,'Standards for Conversions'!$A$34:$A$73,0))))</f>
        <v/>
      </c>
      <c r="FN58" s="10" t="s">
        <v>97</v>
      </c>
      <c r="FO58" s="9">
        <f>9*2000</f>
        <v>18000</v>
      </c>
      <c r="FP58" s="9">
        <v>35000</v>
      </c>
      <c r="FQ58" s="31">
        <f>IF(FP58/(INDEX('Standards for Conversions'!$H$34:$H$73,MATCH(FO$3,'Standards for Conversions'!$A$34:$A$73,0)))=0,"",FP58/(INDEX('Standards for Conversions'!$H$34:$H$73,MATCH(FO$3,'Standards for Conversions'!$A$34:$A$73,0))))</f>
        <v>6002.4889741027191</v>
      </c>
      <c r="FR58" s="10" t="s">
        <v>97</v>
      </c>
      <c r="FS58" s="7"/>
      <c r="FT58" s="7"/>
      <c r="FU58" s="31" t="str">
        <f>IF(FT58/(INDEX('Standards for Conversions'!$H$34:$H$73,MATCH(FS$3,'Standards for Conversions'!$A$34:$A$73,0)))=0,"",FT58/(INDEX('Standards for Conversions'!$H$34:$H$73,MATCH(FS$3,'Standards for Conversions'!$A$34:$A$73,0))))</f>
        <v/>
      </c>
      <c r="FV58" s="10" t="s">
        <v>97</v>
      </c>
      <c r="FW58" s="7"/>
      <c r="FX58" s="7"/>
      <c r="FY58" s="31" t="str">
        <f>IF(FX58/(INDEX('Standards for Conversions'!$H$34:$H$73,MATCH(FW$3,'Standards for Conversions'!$A$34:$A$73,0)))=0,"",FX58/(INDEX('Standards for Conversions'!$H$34:$H$73,MATCH(FW$3,'Standards for Conversions'!$A$34:$A$73,0))))</f>
        <v/>
      </c>
      <c r="FZ58" s="10" t="s">
        <v>97</v>
      </c>
      <c r="GA58" s="7"/>
      <c r="GB58" s="7"/>
      <c r="GC58" s="31" t="str">
        <f>IF(GB58/(INDEX('Standards for Conversions'!$H$34:$H$73,MATCH(GA$3,'Standards for Conversions'!$A$34:$A$73,0)))=0,"",GB58/(INDEX('Standards for Conversions'!$H$34:$H$73,MATCH(GA$3,'Standards for Conversions'!$A$34:$A$73,0))))</f>
        <v/>
      </c>
      <c r="GD58" s="10" t="s">
        <v>97</v>
      </c>
      <c r="GE58" s="9">
        <f>9*1200</f>
        <v>10800</v>
      </c>
      <c r="GF58" s="9">
        <v>16000</v>
      </c>
      <c r="GG58" s="31">
        <f>IF(GF58/(INDEX('Standards for Conversions'!$H$34:$H$73,MATCH(GE$3,'Standards for Conversions'!$A$34:$A$73,0)))=0,"",GF58/(INDEX('Standards for Conversions'!$H$34:$H$73,MATCH(GE$3,'Standards for Conversions'!$A$34:$A$73,0))))</f>
        <v>2632.2025723472666</v>
      </c>
      <c r="GH58" s="10" t="s">
        <v>97</v>
      </c>
      <c r="GI58" s="7"/>
      <c r="GJ58" s="7"/>
      <c r="GK58" s="31" t="str">
        <f>IF(GJ58/(INDEX('Standards for Conversions'!$H$34:$H$73,MATCH(GI$3,'Standards for Conversions'!$A$34:$A$73,0)))=0,"",GJ58/(INDEX('Standards for Conversions'!$H$34:$H$73,MATCH(GI$3,'Standards for Conversions'!$A$34:$A$73,0))))</f>
        <v/>
      </c>
      <c r="GL58" s="10" t="s">
        <v>97</v>
      </c>
      <c r="GM58" s="7"/>
      <c r="GN58" s="7"/>
      <c r="GO58" s="31" t="str">
        <f>IF(GN58/(INDEX('Standards for Conversions'!$H$34:$H$73,MATCH(GM$3,'Standards for Conversions'!$A$34:$A$73,0)))=0,"",GN58/(INDEX('Standards for Conversions'!$H$34:$H$73,MATCH(GM$3,'Standards for Conversions'!$A$34:$A$73,0))))</f>
        <v/>
      </c>
      <c r="GP58" s="10" t="s">
        <v>97</v>
      </c>
      <c r="GQ58" s="7"/>
      <c r="GR58" s="7"/>
      <c r="GS58" s="31" t="str">
        <f>IF(GR58/(INDEX('Standards for Conversions'!$H$34:$H$73,MATCH(GQ$3,'Standards for Conversions'!$A$34:$A$73,0)))=0,"",GR58/(INDEX('Standards for Conversions'!$H$34:$H$73,MATCH(GQ$3,'Standards for Conversions'!$A$34:$A$73,0))))</f>
        <v/>
      </c>
      <c r="GT58" s="10" t="s">
        <v>97</v>
      </c>
      <c r="GU58" s="9">
        <f>9*800</f>
        <v>7200</v>
      </c>
      <c r="GV58" s="9">
        <v>10000</v>
      </c>
      <c r="GW58" s="31">
        <f>IF(GV58/(INDEX('Standards for Conversions'!$H$34:$H$73,MATCH(GU$3,'Standards for Conversions'!$A$34:$A$73,0)))=0,"",GV58/(INDEX('Standards for Conversions'!$H$34:$H$73,MATCH(GU$3,'Standards for Conversions'!$A$34:$A$73,0))))</f>
        <v>1537.1453245850353</v>
      </c>
      <c r="GX58" s="10" t="s">
        <v>97</v>
      </c>
      <c r="GY58" s="7"/>
      <c r="GZ58" s="7"/>
      <c r="HA58" s="31" t="str">
        <f>IF(GZ58/(INDEX('Standards for Conversions'!$H$34:$H$73,MATCH(GY$3,'Standards for Conversions'!$A$34:$A$73,0)))=0,"",GZ58/(INDEX('Standards for Conversions'!$H$34:$H$73,MATCH(GY$3,'Standards for Conversions'!$A$34:$A$73,0))))</f>
        <v/>
      </c>
      <c r="HB58" s="10" t="s">
        <v>97</v>
      </c>
      <c r="HC58" s="7"/>
      <c r="HD58" s="7"/>
      <c r="HE58" s="31" t="str">
        <f>IF(HD58/(INDEX('Standards for Conversions'!$H$34:$H$73,MATCH(HC$3,'Standards for Conversions'!$A$34:$A$73,0)))=0,"",HD58/(INDEX('Standards for Conversions'!$H$34:$H$73,MATCH(HC$3,'Standards for Conversions'!$A$34:$A$73,0))))</f>
        <v/>
      </c>
      <c r="HF58" s="10" t="s">
        <v>97</v>
      </c>
      <c r="HG58" s="7"/>
      <c r="HH58" s="7"/>
      <c r="HI58" s="31" t="str">
        <f>IF(HH58/(INDEX('Standards for Conversions'!$H$34:$H$73,MATCH(HG$3,'Standards for Conversions'!$A$34:$A$73,0)))=0,"",HH58/(INDEX('Standards for Conversions'!$H$34:$H$73,MATCH(HG$3,'Standards for Conversions'!$A$34:$A$73,0))))</f>
        <v/>
      </c>
      <c r="HJ58" s="10" t="s">
        <v>97</v>
      </c>
      <c r="HK58" s="9">
        <f>9*1000</f>
        <v>9000</v>
      </c>
      <c r="HL58" s="9">
        <v>13000</v>
      </c>
      <c r="HM58" s="31">
        <f>IF(HL58/(INDEX('Standards for Conversions'!$H$34:$H$73,MATCH(HK$3,'Standards for Conversions'!$A$34:$A$73,0)))=0,"",HL58/(INDEX('Standards for Conversions'!$H$34:$H$73,MATCH(HK$3,'Standards for Conversions'!$A$34:$A$73,0))))</f>
        <v>1968.0118170823553</v>
      </c>
      <c r="HN58" s="10" t="s">
        <v>97</v>
      </c>
      <c r="HO58" s="7">
        <f>9*50</f>
        <v>450</v>
      </c>
      <c r="HP58" s="7">
        <v>300</v>
      </c>
      <c r="HQ58" s="31">
        <f>IF(HP58/(INDEX('Standards for Conversions'!$H$34:$H$73,MATCH(HO$3,'Standards for Conversions'!$A$34:$A$73,0)))=0,"",HP58/(INDEX('Standards for Conversions'!$H$34:$H$73,MATCH(HO$3,'Standards for Conversions'!$A$34:$A$73,0))))</f>
        <v>45.415657317285124</v>
      </c>
      <c r="HR58" s="33" t="s">
        <v>97</v>
      </c>
      <c r="HU58" s="31" t="str">
        <f>IF(HT58/(INDEX('Standards for Conversions'!$H$47:$H$73,MATCH(HS$3,'Standards for Conversions'!$A$47:$A$73,0)))=0,"",HT58/(INDEX('Standards for Conversions'!$H$47:$H$73,MATCH(HS$3,'Standards for Conversions'!$A$47:$A$73,0))))</f>
        <v/>
      </c>
      <c r="HV58" s="33" t="s">
        <v>97</v>
      </c>
      <c r="HY58" s="31" t="str">
        <f>IF(HX58/(INDEX('Standards for Conversions'!$H$47:$H$73,MATCH(HW$3,'Standards for Conversions'!$A$47:$A$73,0)))=0,"",HX58/(INDEX('Standards for Conversions'!$H$47:$H$73,MATCH(HW$3,'Standards for Conversions'!$A$47:$A$73,0))))</f>
        <v/>
      </c>
      <c r="HZ58" s="33">
        <v>10800</v>
      </c>
      <c r="IA58" s="33">
        <v>16000</v>
      </c>
      <c r="IB58" s="31">
        <f>IF(IA58/(INDEX('Standards for Conversions'!$H$47:$H$73,MATCH(HZ$3,'Standards for Conversions'!$A$47:$A$73,0)))=0,"",IA58/(INDEX('Standards for Conversions'!$H$47:$H$73,MATCH(HZ$3,'Standards for Conversions'!$A$47:$A$73,0))))</f>
        <v>2323.9265954056955</v>
      </c>
      <c r="IC58" s="33" t="s">
        <v>97</v>
      </c>
      <c r="ID58" s="33">
        <v>360</v>
      </c>
      <c r="IE58" s="33">
        <v>150</v>
      </c>
      <c r="IF58" s="31">
        <f>IF(IE58/(INDEX('Standards for Conversions'!$H$47:$H$73,MATCH(ID$3,'Standards for Conversions'!$A$47:$A$73,0)))=0,"",IE58/(INDEX('Standards for Conversions'!$H$47:$H$73,MATCH(ID$3,'Standards for Conversions'!$A$47:$A$73,0))))</f>
        <v>21.786811831928393</v>
      </c>
      <c r="IG58" s="33" t="s">
        <v>97</v>
      </c>
      <c r="IJ58" s="31" t="str">
        <f>IF(II58/(INDEX('Standards for Conversions'!$H$47:$H$73,MATCH(IH$3,'Standards for Conversions'!$A$47:$A$73,0)))=0,"",II58/(INDEX('Standards for Conversions'!$H$47:$H$73,MATCH(IH$3,'Standards for Conversions'!$A$47:$A$73,0))))</f>
        <v/>
      </c>
      <c r="IK58" s="33" t="s">
        <v>97</v>
      </c>
      <c r="IN58" s="31" t="str">
        <f>IF(IM58/(INDEX('Standards for Conversions'!$H$47:$H$73,MATCH(IL$3,'Standards for Conversions'!$A$47:$A$73,0)))=0,"",IM58/(INDEX('Standards for Conversions'!$H$47:$H$73,MATCH(IL$3,'Standards for Conversions'!$A$47:$A$73,0))))</f>
        <v/>
      </c>
      <c r="IO58" s="33" t="s">
        <v>97</v>
      </c>
      <c r="IP58" s="33">
        <v>31716</v>
      </c>
      <c r="IQ58" s="33">
        <v>33503</v>
      </c>
      <c r="IR58" s="31">
        <f>IF(IQ58/(INDEX('Standards for Conversions'!$H$47:$H$73,MATCH(IP$3,'Standards for Conversions'!$A$47:$A$73,0)))=0,"",IQ58/(INDEX('Standards for Conversions'!$H$47:$H$73,MATCH(IP$3,'Standards for Conversions'!$A$47:$A$73,0))))</f>
        <v>4844.8764751980671</v>
      </c>
      <c r="IS58" s="33" t="s">
        <v>97</v>
      </c>
      <c r="IV58" s="31" t="str">
        <f>IF(IU58/(INDEX('Standards for Conversions'!$H$47:$H$73,MATCH(IT$3,'Standards for Conversions'!$A$47:$A$73,0)))=0,"",IU58/(INDEX('Standards for Conversions'!$H$47:$H$73,MATCH(IT$3,'Standards for Conversions'!$A$47:$A$73,0))))</f>
        <v/>
      </c>
      <c r="IW58" s="33" t="s">
        <v>97</v>
      </c>
      <c r="IZ58" s="31" t="str">
        <f>IF(IY58/(INDEX('Standards for Conversions'!$H$47:$H$73,MATCH(IX$3,'Standards for Conversions'!$A$47:$A$73,0)))=0,"",IY58/(INDEX('Standards for Conversions'!$H$47:$H$73,MATCH(IX$3,'Standards for Conversions'!$A$47:$A$73,0))))</f>
        <v/>
      </c>
      <c r="JA58" s="33" t="s">
        <v>97</v>
      </c>
      <c r="JD58" s="31" t="str">
        <f>IF(JC58/(INDEX('Standards for Conversions'!$H$47:$H$73,MATCH(JB$3,'Standards for Conversions'!$A$47:$A$73,0)))=0,"",JC58/(INDEX('Standards for Conversions'!$H$47:$H$73,MATCH(JB$3,'Standards for Conversions'!$A$47:$A$73,0))))</f>
        <v/>
      </c>
      <c r="JE58" s="33" t="s">
        <v>97</v>
      </c>
      <c r="JF58" s="33">
        <v>36000</v>
      </c>
      <c r="JG58" s="33">
        <v>40000</v>
      </c>
      <c r="JH58" s="31">
        <f>IF(JG58/(INDEX('Standards for Conversions'!$H$47:$H$73,MATCH(JF$3,'Standards for Conversions'!$A$47:$A$73,0)))=0,"",JG58/(INDEX('Standards for Conversions'!$H$47:$H$73,MATCH(JF$3,'Standards for Conversions'!$A$47:$A$73,0))))</f>
        <v>6470.4078676747476</v>
      </c>
      <c r="JL58" s="31" t="str">
        <f>IF(JK58/(INDEX('Standards for Conversions'!$H$47:$H$73,MATCH(JJ$3,'Standards for Conversions'!$A$47:$A$73,0)))=0,"",JK58/(INDEX('Standards for Conversions'!$H$47:$H$73,MATCH(JJ$3,'Standards for Conversions'!$A$47:$A$73,0))))</f>
        <v/>
      </c>
      <c r="JM58" s="33" t="s">
        <v>97</v>
      </c>
      <c r="JP58" s="31" t="str">
        <f>IF(JO58/(INDEX('Standards for Conversions'!$H$47:$H$73,MATCH(JN$3,'Standards for Conversions'!$A$47:$A$73,0)))=0,"",JO58/(INDEX('Standards for Conversions'!$H$47:$H$73,MATCH(JN$3,'Standards for Conversions'!$A$47:$A$73,0))))</f>
        <v/>
      </c>
      <c r="JQ58" s="33" t="s">
        <v>97</v>
      </c>
      <c r="JT58" s="31" t="str">
        <f>IF(JS58/(INDEX('Standards for Conversions'!$H$47:$H$73,MATCH(JR$3,'Standards for Conversions'!$A$47:$A$73,0)))=0,"",JS58/(INDEX('Standards for Conversions'!$H$47:$H$73,MATCH(JR$3,'Standards for Conversions'!$A$47:$A$73,0))))</f>
        <v/>
      </c>
      <c r="JU58" s="33" t="s">
        <v>97</v>
      </c>
      <c r="JV58" s="33">
        <v>32400</v>
      </c>
      <c r="JW58" s="33">
        <v>36000</v>
      </c>
      <c r="JX58" s="31">
        <f>IF(JW58/(INDEX('Standards for Conversions'!$H$47:$H$73,MATCH(JV$3,'Standards for Conversions'!$A$47:$A$73,0)))=0,"",JW58/(INDEX('Standards for Conversions'!$H$47:$H$73,MATCH(JV$3,'Standards for Conversions'!$A$47:$A$73,0))))</f>
        <v>5495.6121274007119</v>
      </c>
      <c r="JY58" s="33" t="s">
        <v>97</v>
      </c>
      <c r="JZ58" s="33">
        <v>900</v>
      </c>
      <c r="KA58" s="33">
        <v>700</v>
      </c>
      <c r="KB58" s="31">
        <f>IF(KA58/(INDEX('Standards for Conversions'!$H$47:$H$73,MATCH(JZ$3,'Standards for Conversions'!$A$47:$A$73,0)))=0,"",KA58/(INDEX('Standards for Conversions'!$H$47:$H$73,MATCH(JZ$3,'Standards for Conversions'!$A$47:$A$73,0))))</f>
        <v>106.85912469945829</v>
      </c>
      <c r="KC58" s="33" t="s">
        <v>97</v>
      </c>
      <c r="KF58" s="31" t="str">
        <f>IF(KE58/(INDEX('Standards for Conversions'!$H$47:$H$73,MATCH(KD$3,'Standards for Conversions'!$A$47:$A$73,0)))=0,"",KE58/(INDEX('Standards for Conversions'!$H$47:$H$73,MATCH(KD$3,'Standards for Conversions'!$A$47:$A$73,0))))</f>
        <v/>
      </c>
      <c r="KG58" s="33" t="s">
        <v>97</v>
      </c>
      <c r="KJ58" s="31" t="str">
        <f>IF(KI58/(INDEX('Standards for Conversions'!$H$47:$H$73,MATCH(KH$3,'Standards for Conversions'!$A$47:$A$73,0)))=0,"",KI58/(INDEX('Standards for Conversions'!$H$47:$H$73,MATCH(KH$3,'Standards for Conversions'!$A$47:$A$73,0))))</f>
        <v/>
      </c>
      <c r="KK58" s="33" t="s">
        <v>97</v>
      </c>
      <c r="KL58" s="33">
        <v>27000</v>
      </c>
      <c r="KM58" s="33">
        <v>45000</v>
      </c>
      <c r="KN58" s="31">
        <f>IF(KM58/(INDEX('Standards for Conversions'!$H$47:$H$73,MATCH(KL$3,'Standards for Conversions'!$A$47:$A$73,0)))=0,"",KM58/(INDEX('Standards for Conversions'!$H$47:$H$73,MATCH(KL$3,'Standards for Conversions'!$A$47:$A$73,0))))</f>
        <v>6059.6555357608404</v>
      </c>
      <c r="KO58" s="33" t="s">
        <v>97</v>
      </c>
      <c r="KP58" s="33">
        <v>1350</v>
      </c>
      <c r="KQ58" s="33">
        <v>1000</v>
      </c>
      <c r="KR58" s="31">
        <f>IF(KQ58/(INDEX('Standards for Conversions'!$H$47:$H$73,MATCH(KP$3,'Standards for Conversions'!$A$47:$A$73,0)))=0,"",KQ58/(INDEX('Standards for Conversions'!$H$47:$H$73,MATCH(KP$3,'Standards for Conversions'!$A$47:$A$73,0))))</f>
        <v>134.65901190579646</v>
      </c>
      <c r="KS58" s="33" t="s">
        <v>97</v>
      </c>
      <c r="KV58" s="31" t="str">
        <f>IF(KU58/(INDEX('Standards for Conversions'!$H$47:$H$73,MATCH(KT$3,'Standards for Conversions'!$A$47:$A$73,0)))=0,"",KU58/(INDEX('Standards for Conversions'!$H$47:$H$73,MATCH(KT$3,'Standards for Conversions'!$A$47:$A$73,0))))</f>
        <v/>
      </c>
      <c r="KW58" s="33" t="s">
        <v>97</v>
      </c>
      <c r="KZ58" s="31" t="str">
        <f>IF(KY58/(INDEX('Standards for Conversions'!$H$47:$H$73,MATCH(KX$3,'Standards for Conversions'!$A$47:$A$73,0)))=0,"",KY58/(INDEX('Standards for Conversions'!$H$47:$H$73,MATCH(KX$3,'Standards for Conversions'!$A$47:$A$73,0))))</f>
        <v/>
      </c>
      <c r="LA58" s="33" t="s">
        <v>97</v>
      </c>
      <c r="LB58" s="33">
        <v>34992</v>
      </c>
      <c r="LC58" s="33">
        <v>41000</v>
      </c>
      <c r="LD58" s="31">
        <f>IF(LC58/(INDEX('Standards for Conversions'!$H$47:$H$73,MATCH(LB$3,'Standards for Conversions'!$A$47:$A$73,0)))=0,"",LC58/(INDEX('Standards for Conversions'!$H$47:$H$73,MATCH(LB$3,'Standards for Conversions'!$A$47:$A$73,0))))</f>
        <v>4986.2792358274664</v>
      </c>
      <c r="LH58" s="31" t="str">
        <f>IF(LG58/(INDEX('Standards for Conversions'!$H$47:$H$73,MATCH(LF$3,'Standards for Conversions'!$A$47:$A$73,0)))=0,"",LG58/(INDEX('Standards for Conversions'!$H$47:$H$73,MATCH(LF$3,'Standards for Conversions'!$A$47:$A$73,0))))</f>
        <v/>
      </c>
      <c r="LI58" s="33" t="s">
        <v>8</v>
      </c>
      <c r="LJ58" s="33">
        <f>800+22500</f>
        <v>23300</v>
      </c>
      <c r="LK58" s="33">
        <f>600+45000</f>
        <v>45600</v>
      </c>
      <c r="LL58" s="31">
        <f>IF(LK58/(INDEX('Standards for Conversions'!$H$47:$H$73,MATCH(LJ$3,'Standards for Conversions'!$A$47:$A$73,0)))=0,"",LK58/(INDEX('Standards for Conversions'!$H$47:$H$73,MATCH(LJ$3,'Standards for Conversions'!$A$47:$A$73,0))))</f>
        <v>4470.171048057704</v>
      </c>
      <c r="LM58" s="33">
        <f>500+20000</f>
        <v>20500</v>
      </c>
      <c r="LN58" s="33">
        <f>1000+40000</f>
        <v>41000</v>
      </c>
      <c r="LO58" s="31">
        <f>IF(LN58/(INDEX('Standards for Conversions'!$H$47:$H$73,MATCH(LM$3,'Standards for Conversions'!$A$47:$A$73,0)))=0,"",LN58/(INDEX('Standards for Conversions'!$H$47:$H$73,MATCH(LM$3,'Standards for Conversions'!$A$47:$A$73,0))))</f>
        <v>4140.7646161032408</v>
      </c>
      <c r="LP58" s="33">
        <v>30000</v>
      </c>
      <c r="LQ58" s="33">
        <v>60000</v>
      </c>
      <c r="LR58" s="31">
        <f>IF(LQ58/(INDEX('Standards for Conversions'!$H$47:$H$73,MATCH(LP$3,'Standards for Conversions'!$A$47:$A$73,0)))=0,"",LQ58/(INDEX('Standards for Conversions'!$H$47:$H$73,MATCH(LP$3,'Standards for Conversions'!$A$47:$A$73,0))))</f>
        <v>6262.9144216563818</v>
      </c>
      <c r="LS58" s="33" t="s">
        <v>8</v>
      </c>
      <c r="LT58" s="33">
        <f>500+30000</f>
        <v>30500</v>
      </c>
      <c r="LU58" s="33">
        <f>1500+80000</f>
        <v>81500</v>
      </c>
      <c r="LV58" s="31">
        <f>IF(LU58/(INDEX('Standards for Conversions'!$H$47:$H$73,MATCH(LT$3,'Standards for Conversions'!$A$47:$A$73,0)))=0,"",LU58/(INDEX('Standards for Conversions'!$H$47:$H$73,MATCH(LT$3,'Standards for Conversions'!$A$47:$A$73,0))))</f>
        <v>7609.8221327235578</v>
      </c>
      <c r="LW58" s="33">
        <f>400+40000</f>
        <v>40400</v>
      </c>
      <c r="LX58" s="33">
        <f>1200+90000</f>
        <v>91200</v>
      </c>
      <c r="LY58" s="31">
        <f>IF(LX58/(INDEX('Standards for Conversions'!$H$47:$H$73,MATCH(LW$3,'Standards for Conversions'!$A$47:$A$73,0)))=0,"",LX58/(INDEX('Standards for Conversions'!$H$47:$H$73,MATCH(LW$3,'Standards for Conversions'!$A$47:$A$73,0))))</f>
        <v>8322.435082992959</v>
      </c>
      <c r="LZ58" s="33">
        <f>300+50000</f>
        <v>50300</v>
      </c>
      <c r="MA58" s="33">
        <f>900+110000</f>
        <v>110900</v>
      </c>
      <c r="MB58" s="31">
        <f>IF(MA58/(INDEX('Standards for Conversions'!$H$47:$H$73,MATCH(LZ$3,'Standards for Conversions'!$A$47:$A$73,0)))=0,"",MA58/(INDEX('Standards for Conversions'!$H$47:$H$73,MATCH(LZ$3,'Standards for Conversions'!$A$47:$A$73,0))))</f>
        <v>10307.999151784419</v>
      </c>
      <c r="MC58" s="33">
        <f>3333+31416</f>
        <v>34749</v>
      </c>
      <c r="MD58" s="33">
        <f>10000+70684</f>
        <v>80684</v>
      </c>
      <c r="ME58" s="31">
        <f>IF(MD58/(INDEX('Standards for Conversions'!$H$47:$H$73,MATCH(MC$3,'Standards for Conversions'!$A$47:$A$73,0)))=0,"",MD58/(INDEX('Standards for Conversions'!$H$47:$H$73,MATCH(MC$3,'Standards for Conversions'!$A$47:$A$73,0))))</f>
        <v>7738.6272887155637</v>
      </c>
      <c r="MF58" s="33">
        <f>15269+1106</f>
        <v>16375</v>
      </c>
      <c r="MG58" s="33">
        <f>42221+1698</f>
        <v>43919</v>
      </c>
      <c r="MH58" s="31">
        <f>IF(MG58/(INDEX('Standards for Conversions'!$H$47:$H$73,MATCH(MF$3,'Standards for Conversions'!$A$47:$A$73,0)))=0,"",MG58/(INDEX('Standards for Conversions'!$H$47:$H$73,MATCH(MF$3,'Standards for Conversions'!$A$47:$A$73,0))))</f>
        <v>4045.0138012459802</v>
      </c>
      <c r="MI58" s="33">
        <v>15900</v>
      </c>
      <c r="MJ58" s="33">
        <v>57400</v>
      </c>
      <c r="MK58" s="31">
        <f>IF(MJ58/(INDEX('Standards for Conversions'!$H$47:$H$73,MATCH(MI$3,'Standards for Conversions'!$A$47:$A$73,0)))=0,"",MJ58/(INDEX('Standards for Conversions'!$H$47:$H$73,MATCH(MI$3,'Standards for Conversions'!$A$47:$A$73,0))))</f>
        <v>4678.9772077141442</v>
      </c>
      <c r="ML58" s="33">
        <f>18200+400</f>
        <v>18600</v>
      </c>
      <c r="MM58" s="33">
        <f>60200+1500</f>
        <v>61700</v>
      </c>
      <c r="MN58" s="31">
        <f>IF(MM58/(INDEX('Standards for Conversions'!$H$47:$H$73,MATCH(ML$3,'Standards for Conversions'!$A$47:$A$73,0)))=0,"",MM58/(INDEX('Standards for Conversions'!$H$47:$H$73,MATCH(ML$3,'Standards for Conversions'!$A$47:$A$73,0))))</f>
        <v>5173.1927196489078</v>
      </c>
      <c r="MO58" s="33" t="s">
        <v>8</v>
      </c>
      <c r="MP58" s="33">
        <v>26000</v>
      </c>
      <c r="MQ58" s="29">
        <f>72000+6000</f>
        <v>78000</v>
      </c>
      <c r="MR58" s="31">
        <f>IF(MQ58/(INDEX('Standards for Conversions'!$H$47:$H$73,MATCH(MP$3,'Standards for Conversions'!$A$47:$A$73,0)))=0,"",MQ58/(INDEX('Standards for Conversions'!$H$47:$H$73,MATCH(MP$3,'Standards for Conversions'!$A$47:$A$73,0))))</f>
        <v>6977.4964423828969</v>
      </c>
      <c r="MS58" s="33" t="s">
        <v>8</v>
      </c>
      <c r="MT58" s="33">
        <v>28000</v>
      </c>
      <c r="MU58" s="33">
        <v>10500</v>
      </c>
      <c r="MV58" s="33">
        <v>8000</v>
      </c>
      <c r="MW58" s="33">
        <v>2667</v>
      </c>
      <c r="MX58" s="33">
        <v>18000</v>
      </c>
      <c r="MY58" s="33">
        <v>6200</v>
      </c>
      <c r="MZ58" s="33" t="s">
        <v>8</v>
      </c>
      <c r="NA58" s="33">
        <v>19475</v>
      </c>
      <c r="NB58" s="33">
        <v>7285</v>
      </c>
      <c r="NC58" s="33">
        <v>19258</v>
      </c>
      <c r="ND58" s="33">
        <v>7543</v>
      </c>
      <c r="NE58" s="33" t="s">
        <v>8</v>
      </c>
      <c r="NF58" s="33">
        <v>1984</v>
      </c>
      <c r="NG58" s="33">
        <v>535</v>
      </c>
      <c r="NH58" s="33">
        <v>3488</v>
      </c>
      <c r="NI58" s="33">
        <v>1105</v>
      </c>
    </row>
    <row r="59" spans="1:373" s="33" customFormat="1" x14ac:dyDescent="0.3">
      <c r="A59" s="104" t="s">
        <v>196</v>
      </c>
      <c r="B59" s="10" t="s">
        <v>8</v>
      </c>
      <c r="C59" s="7"/>
      <c r="D59" s="7"/>
      <c r="E59" s="31" t="str">
        <f>IF(D59/(INDEX('Standards for Conversions'!$H$34:$H$73,MATCH(C$3,'Standards for Conversions'!$A$34:$A$73,0)))=0,"",D59/(INDEX('Standards for Conversions'!$H$34:$H$73,MATCH(C$3,'Standards for Conversions'!$A$34:$A$73,0))))</f>
        <v/>
      </c>
      <c r="F59" s="10" t="s">
        <v>8</v>
      </c>
      <c r="G59"/>
      <c r="H59" s="7"/>
      <c r="I59" s="31" t="str">
        <f>IF(H59/(INDEX('Standards for Conversions'!$H$34:$H$73,MATCH(G$3,'Standards for Conversions'!$A$34:$A$73,0)))=0,"",H59/(INDEX('Standards for Conversions'!$H$34:$H$73,MATCH(G$3,'Standards for Conversions'!$A$34:$A$73,0))))</f>
        <v/>
      </c>
      <c r="J59" s="10" t="s">
        <v>8</v>
      </c>
      <c r="K59" s="9"/>
      <c r="L59" s="9"/>
      <c r="M59" s="31" t="str">
        <f>IF(L59/(INDEX('Standards for Conversions'!$H$34:$H$73,MATCH(K$3,'Standards for Conversions'!$A$34:$A$73,0)))=0,"",L59/(INDEX('Standards for Conversions'!$H$34:$H$73,MATCH(K$3,'Standards for Conversions'!$A$34:$A$73,0))))</f>
        <v/>
      </c>
      <c r="N59" s="10" t="s">
        <v>8</v>
      </c>
      <c r="O59" s="7"/>
      <c r="P59" s="7"/>
      <c r="Q59" s="31" t="str">
        <f>IF(P59/(INDEX('Standards for Conversions'!$H$34:$H$73,MATCH(O$3,'Standards for Conversions'!$A$34:$A$73,0)))=0,"",P59/(INDEX('Standards for Conversions'!$H$34:$H$73,MATCH(O$3,'Standards for Conversions'!$A$34:$A$73,0))))</f>
        <v/>
      </c>
      <c r="R59" s="10" t="s">
        <v>8</v>
      </c>
      <c r="S59" s="7"/>
      <c r="T59" s="7"/>
      <c r="U59" s="31" t="str">
        <f>IF(T59/(INDEX('Standards for Conversions'!$H$34:$H$73,MATCH(S$3,'Standards for Conversions'!$A$34:$A$73,0)))=0,"",T59/(INDEX('Standards for Conversions'!$H$34:$H$73,MATCH(S$3,'Standards for Conversions'!$A$34:$A$73,0))))</f>
        <v/>
      </c>
      <c r="V59" s="10" t="s">
        <v>8</v>
      </c>
      <c r="W59"/>
      <c r="X59" s="7"/>
      <c r="Y59" s="31" t="str">
        <f>IF(X59/(INDEX('Standards for Conversions'!$H$34:$H$73,MATCH(W$3,'Standards for Conversions'!$A$34:$A$73,0)))=0,"",X59/(INDEX('Standards for Conversions'!$H$34:$H$73,MATCH(W$3,'Standards for Conversions'!$A$34:$A$73,0))))</f>
        <v/>
      </c>
      <c r="Z59" s="10" t="s">
        <v>8</v>
      </c>
      <c r="AA59" s="9"/>
      <c r="AB59" s="9"/>
      <c r="AC59" s="31" t="str">
        <f>IF(AB59/(INDEX('Standards for Conversions'!$H$34:$H$73,MATCH(AA$3,'Standards for Conversions'!$A$34:$A$73,0)))=0,"",AB59/(INDEX('Standards for Conversions'!$H$34:$H$73,MATCH(AA$3,'Standards for Conversions'!$A$34:$A$73,0))))</f>
        <v/>
      </c>
      <c r="AD59" s="10" t="s">
        <v>8</v>
      </c>
      <c r="AE59" s="7"/>
      <c r="AF59" s="7"/>
      <c r="AG59" s="31" t="str">
        <f>IF(AF59/(INDEX('Standards for Conversions'!$H$34:$H$73,MATCH(AE$3,'Standards for Conversions'!$A$34:$A$73,0)))=0,"",AF59/(INDEX('Standards for Conversions'!$H$34:$H$73,MATCH(AE$3,'Standards for Conversions'!$A$34:$A$73,0))))</f>
        <v/>
      </c>
      <c r="AH59" s="10" t="s">
        <v>8</v>
      </c>
      <c r="AI59" s="7"/>
      <c r="AJ59" s="7"/>
      <c r="AK59" s="31" t="str">
        <f>IF(AJ59/(INDEX('Standards for Conversions'!$H$34:$H$73,MATCH(AI$3,'Standards for Conversions'!$A$34:$A$73,0)))=0,"",AJ59/(INDEX('Standards for Conversions'!$H$34:$H$73,MATCH(AI$3,'Standards for Conversions'!$A$34:$A$73,0))))</f>
        <v/>
      </c>
      <c r="AL59" s="10" t="s">
        <v>8</v>
      </c>
      <c r="AM59"/>
      <c r="AN59" s="7"/>
      <c r="AO59" s="31" t="str">
        <f>IF(AN59/(INDEX('Standards for Conversions'!$H$34:$H$73,MATCH(AM$3,'Standards for Conversions'!$A$34:$A$73,0)))=0,"",AN59/(INDEX('Standards for Conversions'!$H$34:$H$73,MATCH(AM$3,'Standards for Conversions'!$A$34:$A$73,0))))</f>
        <v/>
      </c>
      <c r="AP59" s="10" t="s">
        <v>8</v>
      </c>
      <c r="AQ59" s="9"/>
      <c r="AR59" s="9"/>
      <c r="AS59" s="31" t="str">
        <f>IF(AR59/(INDEX('Standards for Conversions'!$H$34:$H$73,MATCH(AQ$3,'Standards for Conversions'!$A$34:$A$73,0)))=0,"",AR59/(INDEX('Standards for Conversions'!$H$34:$H$73,MATCH(AQ$3,'Standards for Conversions'!$A$34:$A$73,0))))</f>
        <v/>
      </c>
      <c r="AT59" s="10" t="s">
        <v>8</v>
      </c>
      <c r="AU59" s="7"/>
      <c r="AV59" s="7"/>
      <c r="AW59" s="31" t="str">
        <f>IF(AV59/(INDEX('Standards for Conversions'!$H$34:$H$73,MATCH(AU$3,'Standards for Conversions'!$A$34:$A$73,0)))=0,"",AV59/(INDEX('Standards for Conversions'!$H$34:$H$73,MATCH(AU$3,'Standards for Conversions'!$A$34:$A$73,0))))</f>
        <v/>
      </c>
      <c r="AX59" s="10" t="s">
        <v>8</v>
      </c>
      <c r="AY59" s="7"/>
      <c r="AZ59" s="7"/>
      <c r="BA59" s="31" t="str">
        <f>IF(AZ59/(INDEX('Standards for Conversions'!$H$34:$H$73,MATCH(AY$3,'Standards for Conversions'!$A$34:$A$73,0)))=0,"",AZ59/(INDEX('Standards for Conversions'!$H$34:$H$73,MATCH(AY$3,'Standards for Conversions'!$A$34:$A$73,0))))</f>
        <v/>
      </c>
      <c r="BB59" s="10" t="s">
        <v>8</v>
      </c>
      <c r="BC59"/>
      <c r="BD59" s="7"/>
      <c r="BE59" s="31" t="str">
        <f>IF(BD59/(INDEX('Standards for Conversions'!$H$34:$H$73,MATCH(BC$3,'Standards for Conversions'!$A$34:$A$73,0)))=0,"",BD59/(INDEX('Standards for Conversions'!$H$34:$H$73,MATCH(BC$3,'Standards for Conversions'!$A$34:$A$73,0))))</f>
        <v/>
      </c>
      <c r="BF59" s="10" t="s">
        <v>8</v>
      </c>
      <c r="BG59" s="9"/>
      <c r="BH59" s="9"/>
      <c r="BI59" s="31" t="str">
        <f>IF(BH59/(INDEX('Standards for Conversions'!$H$34:$H$73,MATCH(BG$3,'Standards for Conversions'!$A$34:$A$73,0)))=0,"",BH59/(INDEX('Standards for Conversions'!$H$34:$H$73,MATCH(BG$3,'Standards for Conversions'!$A$34:$A$73,0))))</f>
        <v/>
      </c>
      <c r="BJ59" s="10" t="s">
        <v>8</v>
      </c>
      <c r="BK59" s="7"/>
      <c r="BL59" s="7"/>
      <c r="BM59" s="31" t="str">
        <f>IF(BL59/(INDEX('Standards for Conversions'!$H$34:$H$73,MATCH(BK$3,'Standards for Conversions'!$A$34:$A$73,0)))=0,"",BL59/(INDEX('Standards for Conversions'!$H$34:$H$73,MATCH(BK$3,'Standards for Conversions'!$A$34:$A$73,0))))</f>
        <v/>
      </c>
      <c r="BN59" s="10" t="s">
        <v>8</v>
      </c>
      <c r="BO59" s="7"/>
      <c r="BP59" s="7"/>
      <c r="BQ59" s="31" t="str">
        <f>IF(BP59/(INDEX('Standards for Conversions'!$H$34:$H$73,MATCH(BO$3,'Standards for Conversions'!$A$34:$A$73,0)))=0,"",BP59/(INDEX('Standards for Conversions'!$H$34:$H$73,MATCH(BO$3,'Standards for Conversions'!$A$34:$A$73,0))))</f>
        <v/>
      </c>
      <c r="BR59" s="10" t="s">
        <v>8</v>
      </c>
      <c r="BS59"/>
      <c r="BT59" s="7"/>
      <c r="BU59" s="31" t="str">
        <f>IF(BT59/(INDEX('Standards for Conversions'!$H$34:$H$73,MATCH(BS$3,'Standards for Conversions'!$A$34:$A$73,0)))=0,"",BT59/(INDEX('Standards for Conversions'!$H$34:$H$73,MATCH(BS$3,'Standards for Conversions'!$A$34:$A$73,0))))</f>
        <v/>
      </c>
      <c r="BV59" s="10" t="s">
        <v>8</v>
      </c>
      <c r="BW59" s="9"/>
      <c r="BX59" s="9"/>
      <c r="BY59" s="31" t="str">
        <f>IF(BX59/(INDEX('Standards for Conversions'!$H$34:$H$73,MATCH(BW$3,'Standards for Conversions'!$A$34:$A$73,0)))=0,"",BX59/(INDEX('Standards for Conversions'!$H$34:$H$73,MATCH(BW$3,'Standards for Conversions'!$A$34:$A$73,0))))</f>
        <v/>
      </c>
      <c r="BZ59" s="10" t="s">
        <v>8</v>
      </c>
      <c r="CA59" s="7"/>
      <c r="CB59" s="7"/>
      <c r="CC59" s="31" t="str">
        <f>IF(CB59/(INDEX('Standards for Conversions'!$H$34:$H$73,MATCH(CA$3,'Standards for Conversions'!$A$34:$A$73,0)))=0,"",CB59/(INDEX('Standards for Conversions'!$H$34:$H$73,MATCH(CA$3,'Standards for Conversions'!$A$34:$A$73,0))))</f>
        <v/>
      </c>
      <c r="CD59" s="10" t="s">
        <v>8</v>
      </c>
      <c r="CE59" s="7"/>
      <c r="CF59" s="7"/>
      <c r="CG59" s="31" t="str">
        <f>IF(CF59/(INDEX('Standards for Conversions'!$H$34:$H$73,MATCH(CE$3,'Standards for Conversions'!$A$34:$A$73,0)))=0,"",CF59/(INDEX('Standards for Conversions'!$H$34:$H$73,MATCH(CE$3,'Standards for Conversions'!$A$34:$A$73,0))))</f>
        <v/>
      </c>
      <c r="CH59" s="10" t="s">
        <v>8</v>
      </c>
      <c r="CI59"/>
      <c r="CJ59" s="7"/>
      <c r="CK59" s="31" t="str">
        <f>IF(CJ59/(INDEX('Standards for Conversions'!$H$34:$H$73,MATCH(CI$3,'Standards for Conversions'!$A$34:$A$73,0)))=0,"",CJ59/(INDEX('Standards for Conversions'!$H$34:$H$73,MATCH(CI$3,'Standards for Conversions'!$A$34:$A$73,0))))</f>
        <v/>
      </c>
      <c r="CL59" s="10" t="s">
        <v>8</v>
      </c>
      <c r="CM59" s="9"/>
      <c r="CN59" s="9"/>
      <c r="CO59" s="31" t="str">
        <f>IF(CN59/(INDEX('Standards for Conversions'!$H$34:$H$73,MATCH(CM$3,'Standards for Conversions'!$A$34:$A$73,0)))=0,"",CN59/(INDEX('Standards for Conversions'!$H$34:$H$73,MATCH(CM$3,'Standards for Conversions'!$A$34:$A$73,0))))</f>
        <v/>
      </c>
      <c r="CP59" s="10" t="s">
        <v>8</v>
      </c>
      <c r="CQ59" s="7"/>
      <c r="CR59" s="7"/>
      <c r="CS59" s="31" t="str">
        <f>IF(CR59/(INDEX('Standards for Conversions'!$H$34:$H$73,MATCH(CQ$3,'Standards for Conversions'!$A$34:$A$73,0)))=0,"",CR59/(INDEX('Standards for Conversions'!$H$34:$H$73,MATCH(CQ$3,'Standards for Conversions'!$A$34:$A$73,0))))</f>
        <v/>
      </c>
      <c r="CT59" s="10" t="s">
        <v>8</v>
      </c>
      <c r="CU59" s="7"/>
      <c r="CV59" s="7"/>
      <c r="CW59" s="31" t="str">
        <f>IF(CV59/(INDEX('Standards for Conversions'!$H$34:$H$73,MATCH(CU$3,'Standards for Conversions'!$A$34:$A$73,0)))=0,"",CV59/(INDEX('Standards for Conversions'!$H$34:$H$73,MATCH(CU$3,'Standards for Conversions'!$A$34:$A$73,0))))</f>
        <v/>
      </c>
      <c r="CX59" s="10" t="s">
        <v>8</v>
      </c>
      <c r="CY59"/>
      <c r="CZ59" s="7"/>
      <c r="DA59" s="31" t="str">
        <f>IF(CZ59/(INDEX('Standards for Conversions'!$H$34:$H$73,MATCH(CY$3,'Standards for Conversions'!$A$34:$A$73,0)))=0,"",CZ59/(INDEX('Standards for Conversions'!$H$34:$H$73,MATCH(CY$3,'Standards for Conversions'!$A$34:$A$73,0))))</f>
        <v/>
      </c>
      <c r="DB59" s="10" t="s">
        <v>8</v>
      </c>
      <c r="DC59" s="9"/>
      <c r="DD59" s="9"/>
      <c r="DE59" s="31" t="str">
        <f>IF(DD59/(INDEX('Standards for Conversions'!$H$34:$H$73,MATCH(DC$3,'Standards for Conversions'!$A$34:$A$73,0)))=0,"",DD59/(INDEX('Standards for Conversions'!$H$34:$H$73,MATCH(DC$3,'Standards for Conversions'!$A$34:$A$73,0))))</f>
        <v/>
      </c>
      <c r="DF59" s="10" t="s">
        <v>8</v>
      </c>
      <c r="DG59" s="7"/>
      <c r="DH59" s="7"/>
      <c r="DI59" s="31" t="str">
        <f>IF(DH59/(INDEX('Standards for Conversions'!$H$34:$H$73,MATCH(DG$3,'Standards for Conversions'!$A$34:$A$73,0)))=0,"",DH59/(INDEX('Standards for Conversions'!$H$34:$H$73,MATCH(DG$3,'Standards for Conversions'!$A$34:$A$73,0))))</f>
        <v/>
      </c>
      <c r="DJ59" s="10" t="s">
        <v>8</v>
      </c>
      <c r="DK59" s="7"/>
      <c r="DL59" s="7"/>
      <c r="DM59" s="31" t="str">
        <f>IF(DL59/(INDEX('Standards for Conversions'!$H$34:$H$73,MATCH(DK$3,'Standards for Conversions'!$A$34:$A$73,0)))=0,"",DL59/(INDEX('Standards for Conversions'!$H$34:$H$73,MATCH(DK$3,'Standards for Conversions'!$A$34:$A$73,0))))</f>
        <v/>
      </c>
      <c r="DN59" s="10" t="s">
        <v>8</v>
      </c>
      <c r="DO59" s="7"/>
      <c r="DP59" s="7"/>
      <c r="DQ59" s="31" t="str">
        <f>IF(DP59/(INDEX('Standards for Conversions'!$H$34:$H$73,MATCH(DO$3,'Standards for Conversions'!$A$34:$A$73,0)))=0,"",DP59/(INDEX('Standards for Conversions'!$H$34:$H$73,MATCH(DO$3,'Standards for Conversions'!$A$34:$A$73,0))))</f>
        <v/>
      </c>
      <c r="DR59" s="10" t="s">
        <v>8</v>
      </c>
      <c r="DS59" s="9"/>
      <c r="DT59" s="9"/>
      <c r="DU59" s="31" t="str">
        <f>IF(DT59/(INDEX('Standards for Conversions'!$H$34:$H$73,MATCH(DS$3,'Standards for Conversions'!$A$34:$A$73,0)))=0,"",DT59/(INDEX('Standards for Conversions'!$H$34:$H$73,MATCH(DS$3,'Standards for Conversions'!$A$34:$A$73,0))))</f>
        <v/>
      </c>
      <c r="DV59" s="10" t="s">
        <v>8</v>
      </c>
      <c r="DW59" s="7"/>
      <c r="DX59" s="7"/>
      <c r="DY59" s="31" t="str">
        <f>IF(DX59/(INDEX('Standards for Conversions'!$H$34:$H$73,MATCH(DW$3,'Standards for Conversions'!$A$34:$A$73,0)))=0,"",DX59/(INDEX('Standards for Conversions'!$H$34:$H$73,MATCH(DW$3,'Standards for Conversions'!$A$34:$A$73,0))))</f>
        <v/>
      </c>
      <c r="DZ59" s="10" t="s">
        <v>8</v>
      </c>
      <c r="EA59" s="7"/>
      <c r="EB59" s="7"/>
      <c r="EC59" s="31" t="str">
        <f>IF(EB59/(INDEX('Standards for Conversions'!$H$34:$H$73,MATCH(EA$3,'Standards for Conversions'!$A$34:$A$73,0)))=0,"",EB59/(INDEX('Standards for Conversions'!$H$34:$H$73,MATCH(EA$3,'Standards for Conversions'!$A$34:$A$73,0))))</f>
        <v/>
      </c>
      <c r="ED59" s="10" t="s">
        <v>8</v>
      </c>
      <c r="EE59" s="7"/>
      <c r="EF59" s="7"/>
      <c r="EG59" s="31" t="str">
        <f>IF(EF59/(INDEX('Standards for Conversions'!$H$34:$H$73,MATCH(EE$3,'Standards for Conversions'!$A$34:$A$73,0)))=0,"",EF59/(INDEX('Standards for Conversions'!$H$34:$H$73,MATCH(EE$3,'Standards for Conversions'!$A$34:$A$73,0))))</f>
        <v/>
      </c>
      <c r="EH59" s="10" t="s">
        <v>8</v>
      </c>
      <c r="EI59" s="9"/>
      <c r="EJ59" s="9"/>
      <c r="EK59" s="31" t="str">
        <f>IF(EJ59/(INDEX('Standards for Conversions'!$H$34:$H$73,MATCH(EI$3,'Standards for Conversions'!$A$34:$A$73,0)))=0,"",EJ59/(INDEX('Standards for Conversions'!$H$34:$H$73,MATCH(EI$3,'Standards for Conversions'!$A$34:$A$73,0))))</f>
        <v/>
      </c>
      <c r="EL59" s="10" t="s">
        <v>8</v>
      </c>
      <c r="EM59" s="7"/>
      <c r="EN59" s="7"/>
      <c r="EO59" s="31" t="str">
        <f>IF(EN59/(INDEX('Standards for Conversions'!$H$34:$H$73,MATCH(EM$3,'Standards for Conversions'!$A$34:$A$73,0)))=0,"",EN59/(INDEX('Standards for Conversions'!$H$34:$H$73,MATCH(EM$3,'Standards for Conversions'!$A$34:$A$73,0))))</f>
        <v/>
      </c>
      <c r="EP59" s="10" t="s">
        <v>8</v>
      </c>
      <c r="EQ59" s="7"/>
      <c r="ER59" s="7"/>
      <c r="ES59" s="31" t="str">
        <f>IF(ER59/(INDEX('Standards for Conversions'!$H$34:$H$73,MATCH(EQ$3,'Standards for Conversions'!$A$34:$A$73,0)))=0,"",ER59/(INDEX('Standards for Conversions'!$H$34:$H$73,MATCH(EQ$3,'Standards for Conversions'!$A$34:$A$73,0))))</f>
        <v/>
      </c>
      <c r="ET59" s="10" t="s">
        <v>8</v>
      </c>
      <c r="EU59" s="7"/>
      <c r="EV59" s="7"/>
      <c r="EW59" s="31" t="str">
        <f>IF(EV59/(INDEX('Standards for Conversions'!$H$34:$H$73,MATCH(EU$3,'Standards for Conversions'!$A$34:$A$73,0)))=0,"",EV59/(INDEX('Standards for Conversions'!$H$34:$H$73,MATCH(EU$3,'Standards for Conversions'!$A$34:$A$73,0))))</f>
        <v/>
      </c>
      <c r="EX59" s="10" t="s">
        <v>8</v>
      </c>
      <c r="EY59" s="9"/>
      <c r="EZ59" s="9"/>
      <c r="FA59" s="31" t="str">
        <f>IF(EZ59/(INDEX('Standards for Conversions'!$H$34:$H$73,MATCH(EY$3,'Standards for Conversions'!$A$34:$A$73,0)))=0,"",EZ59/(INDEX('Standards for Conversions'!$H$34:$H$73,MATCH(EY$3,'Standards for Conversions'!$A$34:$A$73,0))))</f>
        <v/>
      </c>
      <c r="FB59" s="10" t="s">
        <v>8</v>
      </c>
      <c r="FC59" s="7"/>
      <c r="FD59" s="7"/>
      <c r="FE59" s="31" t="str">
        <f>IF(FD59/(INDEX('Standards for Conversions'!$H$34:$H$73,MATCH(FC$3,'Standards for Conversions'!$A$34:$A$73,0)))=0,"",FD59/(INDEX('Standards for Conversions'!$H$34:$H$73,MATCH(FC$3,'Standards for Conversions'!$A$34:$A$73,0))))</f>
        <v/>
      </c>
      <c r="FF59" s="10" t="s">
        <v>8</v>
      </c>
      <c r="FG59" s="7"/>
      <c r="FH59" s="7"/>
      <c r="FI59" s="31" t="str">
        <f>IF(FH59/(INDEX('Standards for Conversions'!$H$34:$H$73,MATCH(FG$3,'Standards for Conversions'!$A$34:$A$73,0)))=0,"",FH59/(INDEX('Standards for Conversions'!$H$34:$H$73,MATCH(FG$3,'Standards for Conversions'!$A$34:$A$73,0))))</f>
        <v/>
      </c>
      <c r="FJ59" s="10" t="s">
        <v>8</v>
      </c>
      <c r="FK59" s="7"/>
      <c r="FL59" s="7"/>
      <c r="FM59" s="31" t="str">
        <f>IF(FL59/(INDEX('Standards for Conversions'!$H$34:$H$73,MATCH(FK$3,'Standards for Conversions'!$A$34:$A$73,0)))=0,"",FL59/(INDEX('Standards for Conversions'!$H$34:$H$73,MATCH(FK$3,'Standards for Conversions'!$A$34:$A$73,0))))</f>
        <v/>
      </c>
      <c r="FN59" s="10" t="s">
        <v>8</v>
      </c>
      <c r="FO59" s="9"/>
      <c r="FP59" s="9"/>
      <c r="FQ59" s="31" t="str">
        <f>IF(FP59/(INDEX('Standards for Conversions'!$H$34:$H$73,MATCH(FO$3,'Standards for Conversions'!$A$34:$A$73,0)))=0,"",FP59/(INDEX('Standards for Conversions'!$H$34:$H$73,MATCH(FO$3,'Standards for Conversions'!$A$34:$A$73,0))))</f>
        <v/>
      </c>
      <c r="FR59" s="10" t="s">
        <v>8</v>
      </c>
      <c r="FS59" s="7"/>
      <c r="FT59" s="7"/>
      <c r="FU59" s="31" t="str">
        <f>IF(FT59/(INDEX('Standards for Conversions'!$H$34:$H$73,MATCH(FS$3,'Standards for Conversions'!$A$34:$A$73,0)))=0,"",FT59/(INDEX('Standards for Conversions'!$H$34:$H$73,MATCH(FS$3,'Standards for Conversions'!$A$34:$A$73,0))))</f>
        <v/>
      </c>
      <c r="FV59" s="10" t="s">
        <v>8</v>
      </c>
      <c r="FW59" s="7"/>
      <c r="FX59" s="7"/>
      <c r="FY59" s="31" t="str">
        <f>IF(FX59/(INDEX('Standards for Conversions'!$H$34:$H$73,MATCH(FW$3,'Standards for Conversions'!$A$34:$A$73,0)))=0,"",FX59/(INDEX('Standards for Conversions'!$H$34:$H$73,MATCH(FW$3,'Standards for Conversions'!$A$34:$A$73,0))))</f>
        <v/>
      </c>
      <c r="FZ59" s="10" t="s">
        <v>8</v>
      </c>
      <c r="GA59" s="7"/>
      <c r="GB59" s="7"/>
      <c r="GC59" s="31" t="str">
        <f>IF(GB59/(INDEX('Standards for Conversions'!$H$34:$H$73,MATCH(GA$3,'Standards for Conversions'!$A$34:$A$73,0)))=0,"",GB59/(INDEX('Standards for Conversions'!$H$34:$H$73,MATCH(GA$3,'Standards for Conversions'!$A$34:$A$73,0))))</f>
        <v/>
      </c>
      <c r="GD59" s="10" t="s">
        <v>8</v>
      </c>
      <c r="GE59" s="9"/>
      <c r="GF59" s="9"/>
      <c r="GG59" s="31" t="str">
        <f>IF(GF59/(INDEX('Standards for Conversions'!$H$34:$H$73,MATCH(GE$3,'Standards for Conversions'!$A$34:$A$73,0)))=0,"",GF59/(INDEX('Standards for Conversions'!$H$34:$H$73,MATCH(GE$3,'Standards for Conversions'!$A$34:$A$73,0))))</f>
        <v/>
      </c>
      <c r="GH59" s="10" t="s">
        <v>8</v>
      </c>
      <c r="GI59" s="7"/>
      <c r="GJ59" s="7"/>
      <c r="GK59" s="31" t="str">
        <f>IF(GJ59/(INDEX('Standards for Conversions'!$H$34:$H$73,MATCH(GI$3,'Standards for Conversions'!$A$34:$A$73,0)))=0,"",GJ59/(INDEX('Standards for Conversions'!$H$34:$H$73,MATCH(GI$3,'Standards for Conversions'!$A$34:$A$73,0))))</f>
        <v/>
      </c>
      <c r="GL59" s="10" t="s">
        <v>8</v>
      </c>
      <c r="GM59" s="7"/>
      <c r="GN59" s="7"/>
      <c r="GO59" s="31" t="str">
        <f>IF(GN59/(INDEX('Standards for Conversions'!$H$34:$H$73,MATCH(GM$3,'Standards for Conversions'!$A$34:$A$73,0)))=0,"",GN59/(INDEX('Standards for Conversions'!$H$34:$H$73,MATCH(GM$3,'Standards for Conversions'!$A$34:$A$73,0))))</f>
        <v/>
      </c>
      <c r="GP59" s="10" t="s">
        <v>8</v>
      </c>
      <c r="GQ59" s="7"/>
      <c r="GR59" s="7"/>
      <c r="GS59" s="31" t="str">
        <f>IF(GR59/(INDEX('Standards for Conversions'!$H$34:$H$73,MATCH(GQ$3,'Standards for Conversions'!$A$34:$A$73,0)))=0,"",GR59/(INDEX('Standards for Conversions'!$H$34:$H$73,MATCH(GQ$3,'Standards for Conversions'!$A$34:$A$73,0))))</f>
        <v/>
      </c>
      <c r="GT59" s="10" t="s">
        <v>8</v>
      </c>
      <c r="GU59" s="9"/>
      <c r="GV59" s="9"/>
      <c r="GW59" s="31" t="str">
        <f>IF(GV59/(INDEX('Standards for Conversions'!$H$34:$H$73,MATCH(GU$3,'Standards for Conversions'!$A$34:$A$73,0)))=0,"",GV59/(INDEX('Standards for Conversions'!$H$34:$H$73,MATCH(GU$3,'Standards for Conversions'!$A$34:$A$73,0))))</f>
        <v/>
      </c>
      <c r="GX59" s="10" t="s">
        <v>8</v>
      </c>
      <c r="GY59" s="7"/>
      <c r="GZ59" s="7"/>
      <c r="HA59" s="31" t="str">
        <f>IF(GZ59/(INDEX('Standards for Conversions'!$H$34:$H$73,MATCH(GY$3,'Standards for Conversions'!$A$34:$A$73,0)))=0,"",GZ59/(INDEX('Standards for Conversions'!$H$34:$H$73,MATCH(GY$3,'Standards for Conversions'!$A$34:$A$73,0))))</f>
        <v/>
      </c>
      <c r="HB59" s="10" t="s">
        <v>8</v>
      </c>
      <c r="HC59" s="7"/>
      <c r="HD59" s="7"/>
      <c r="HE59" s="31" t="str">
        <f>IF(HD59/(INDEX('Standards for Conversions'!$H$34:$H$73,MATCH(HC$3,'Standards for Conversions'!$A$34:$A$73,0)))=0,"",HD59/(INDEX('Standards for Conversions'!$H$34:$H$73,MATCH(HC$3,'Standards for Conversions'!$A$34:$A$73,0))))</f>
        <v/>
      </c>
      <c r="HF59" s="10" t="s">
        <v>8</v>
      </c>
      <c r="HG59" s="7"/>
      <c r="HH59" s="7"/>
      <c r="HI59" s="31" t="str">
        <f>IF(HH59/(INDEX('Standards for Conversions'!$H$34:$H$73,MATCH(HG$3,'Standards for Conversions'!$A$34:$A$73,0)))=0,"",HH59/(INDEX('Standards for Conversions'!$H$34:$H$73,MATCH(HG$3,'Standards for Conversions'!$A$34:$A$73,0))))</f>
        <v/>
      </c>
      <c r="HJ59" s="10" t="s">
        <v>8</v>
      </c>
      <c r="HK59" s="9"/>
      <c r="HL59" s="9"/>
      <c r="HM59" s="31" t="str">
        <f>IF(HL59/(INDEX('Standards for Conversions'!$H$34:$H$73,MATCH(HK$3,'Standards for Conversions'!$A$34:$A$73,0)))=0,"",HL59/(INDEX('Standards for Conversions'!$H$34:$H$73,MATCH(HK$3,'Standards for Conversions'!$A$34:$A$73,0))))</f>
        <v/>
      </c>
      <c r="HN59" s="10" t="s">
        <v>8</v>
      </c>
      <c r="HO59" s="7"/>
      <c r="HP59" s="7"/>
      <c r="HQ59" s="31" t="str">
        <f>IF(HP59/(INDEX('Standards for Conversions'!$H$34:$H$73,MATCH(HO$3,'Standards for Conversions'!$A$34:$A$73,0)))=0,"",HP59/(INDEX('Standards for Conversions'!$H$34:$H$73,MATCH(HO$3,'Standards for Conversions'!$A$34:$A$73,0))))</f>
        <v/>
      </c>
      <c r="HR59" s="33" t="s">
        <v>8</v>
      </c>
      <c r="HU59" s="31" t="str">
        <f>IF(HT59/(INDEX('Standards for Conversions'!$H$47:$H$73,MATCH(HS$3,'Standards for Conversions'!$A$47:$A$73,0)))=0,"",HT59/(INDEX('Standards for Conversions'!$H$47:$H$73,MATCH(HS$3,'Standards for Conversions'!$A$47:$A$73,0))))</f>
        <v/>
      </c>
      <c r="HV59" s="33" t="s">
        <v>8</v>
      </c>
      <c r="HY59" s="31" t="str">
        <f>IF(HX59/(INDEX('Standards for Conversions'!$H$47:$H$73,MATCH(HW$3,'Standards for Conversions'!$A$47:$A$73,0)))=0,"",HX59/(INDEX('Standards for Conversions'!$H$47:$H$73,MATCH(HW$3,'Standards for Conversions'!$A$47:$A$73,0))))</f>
        <v/>
      </c>
      <c r="IB59" s="31" t="str">
        <f>IF(IA59/(INDEX('Standards for Conversions'!$H$47:$H$73,MATCH(HZ$3,'Standards for Conversions'!$A$47:$A$73,0)))=0,"",IA59/(INDEX('Standards for Conversions'!$H$47:$H$73,MATCH(HZ$3,'Standards for Conversions'!$A$47:$A$73,0))))</f>
        <v/>
      </c>
      <c r="IC59" s="33" t="s">
        <v>8</v>
      </c>
      <c r="IF59" s="31" t="str">
        <f>IF(IE59/(INDEX('Standards for Conversions'!$H$47:$H$73,MATCH(ID$3,'Standards for Conversions'!$A$47:$A$73,0)))=0,"",IE59/(INDEX('Standards for Conversions'!$H$47:$H$73,MATCH(ID$3,'Standards for Conversions'!$A$47:$A$73,0))))</f>
        <v/>
      </c>
      <c r="IG59" s="33" t="s">
        <v>8</v>
      </c>
      <c r="IJ59" s="31" t="str">
        <f>IF(II59/(INDEX('Standards for Conversions'!$H$47:$H$73,MATCH(IH$3,'Standards for Conversions'!$A$47:$A$73,0)))=0,"",II59/(INDEX('Standards for Conversions'!$H$47:$H$73,MATCH(IH$3,'Standards for Conversions'!$A$47:$A$73,0))))</f>
        <v/>
      </c>
      <c r="IK59" s="33" t="s">
        <v>8</v>
      </c>
      <c r="IN59" s="31" t="str">
        <f>IF(IM59/(INDEX('Standards for Conversions'!$H$47:$H$73,MATCH(IL$3,'Standards for Conversions'!$A$47:$A$73,0)))=0,"",IM59/(INDEX('Standards for Conversions'!$H$47:$H$73,MATCH(IL$3,'Standards for Conversions'!$A$47:$A$73,0))))</f>
        <v/>
      </c>
      <c r="IO59" s="33" t="s">
        <v>8</v>
      </c>
      <c r="IR59" s="31" t="str">
        <f>IF(IQ59/(INDEX('Standards for Conversions'!$H$47:$H$73,MATCH(IP$3,'Standards for Conversions'!$A$47:$A$73,0)))=0,"",IQ59/(INDEX('Standards for Conversions'!$H$47:$H$73,MATCH(IP$3,'Standards for Conversions'!$A$47:$A$73,0))))</f>
        <v/>
      </c>
      <c r="IS59" s="33" t="s">
        <v>8</v>
      </c>
      <c r="IV59" s="31" t="str">
        <f>IF(IU59/(INDEX('Standards for Conversions'!$H$47:$H$73,MATCH(IT$3,'Standards for Conversions'!$A$47:$A$73,0)))=0,"",IU59/(INDEX('Standards for Conversions'!$H$47:$H$73,MATCH(IT$3,'Standards for Conversions'!$A$47:$A$73,0))))</f>
        <v/>
      </c>
      <c r="IW59" s="33" t="s">
        <v>8</v>
      </c>
      <c r="IZ59" s="31" t="str">
        <f>IF(IY59/(INDEX('Standards for Conversions'!$H$47:$H$73,MATCH(IX$3,'Standards for Conversions'!$A$47:$A$73,0)))=0,"",IY59/(INDEX('Standards for Conversions'!$H$47:$H$73,MATCH(IX$3,'Standards for Conversions'!$A$47:$A$73,0))))</f>
        <v/>
      </c>
      <c r="JA59" s="33" t="s">
        <v>8</v>
      </c>
      <c r="JD59" s="31" t="str">
        <f>IF(JC59/(INDEX('Standards for Conversions'!$H$47:$H$73,MATCH(JB$3,'Standards for Conversions'!$A$47:$A$73,0)))=0,"",JC59/(INDEX('Standards for Conversions'!$H$47:$H$73,MATCH(JB$3,'Standards for Conversions'!$A$47:$A$73,0))))</f>
        <v/>
      </c>
      <c r="JE59" s="33" t="s">
        <v>8</v>
      </c>
      <c r="JH59" s="31" t="str">
        <f>IF(JG59/(INDEX('Standards for Conversions'!$H$47:$H$73,MATCH(JF$3,'Standards for Conversions'!$A$47:$A$73,0)))=0,"",JG59/(INDEX('Standards for Conversions'!$H$47:$H$73,MATCH(JF$3,'Standards for Conversions'!$A$47:$A$73,0))))</f>
        <v/>
      </c>
      <c r="JI59" s="33" t="s">
        <v>8</v>
      </c>
      <c r="JL59" s="31" t="str">
        <f>IF(JK59/(INDEX('Standards for Conversions'!$H$47:$H$73,MATCH(JJ$3,'Standards for Conversions'!$A$47:$A$73,0)))=0,"",JK59/(INDEX('Standards for Conversions'!$H$47:$H$73,MATCH(JJ$3,'Standards for Conversions'!$A$47:$A$73,0))))</f>
        <v/>
      </c>
      <c r="JM59" s="33" t="s">
        <v>8</v>
      </c>
      <c r="JP59" s="31" t="str">
        <f>IF(JO59/(INDEX('Standards for Conversions'!$H$47:$H$73,MATCH(JN$3,'Standards for Conversions'!$A$47:$A$73,0)))=0,"",JO59/(INDEX('Standards for Conversions'!$H$47:$H$73,MATCH(JN$3,'Standards for Conversions'!$A$47:$A$73,0))))</f>
        <v/>
      </c>
      <c r="JQ59" s="33" t="s">
        <v>8</v>
      </c>
      <c r="JT59" s="31" t="str">
        <f>IF(JS59/(INDEX('Standards for Conversions'!$H$47:$H$73,MATCH(JR$3,'Standards for Conversions'!$A$47:$A$73,0)))=0,"",JS59/(INDEX('Standards for Conversions'!$H$47:$H$73,MATCH(JR$3,'Standards for Conversions'!$A$47:$A$73,0))))</f>
        <v/>
      </c>
      <c r="JU59" s="33" t="s">
        <v>8</v>
      </c>
      <c r="JX59" s="31" t="str">
        <f>IF(JW59/(INDEX('Standards for Conversions'!$H$47:$H$73,MATCH(JV$3,'Standards for Conversions'!$A$47:$A$73,0)))=0,"",JW59/(INDEX('Standards for Conversions'!$H$47:$H$73,MATCH(JV$3,'Standards for Conversions'!$A$47:$A$73,0))))</f>
        <v/>
      </c>
      <c r="JY59" s="33" t="s">
        <v>8</v>
      </c>
      <c r="KB59" s="31" t="str">
        <f>IF(KA59/(INDEX('Standards for Conversions'!$H$47:$H$73,MATCH(JZ$3,'Standards for Conversions'!$A$47:$A$73,0)))=0,"",KA59/(INDEX('Standards for Conversions'!$H$47:$H$73,MATCH(JZ$3,'Standards for Conversions'!$A$47:$A$73,0))))</f>
        <v/>
      </c>
      <c r="KC59" s="33" t="s">
        <v>8</v>
      </c>
      <c r="KF59" s="31" t="str">
        <f>IF(KE59/(INDEX('Standards for Conversions'!$H$47:$H$73,MATCH(KD$3,'Standards for Conversions'!$A$47:$A$73,0)))=0,"",KE59/(INDEX('Standards for Conversions'!$H$47:$H$73,MATCH(KD$3,'Standards for Conversions'!$A$47:$A$73,0))))</f>
        <v/>
      </c>
      <c r="KG59" s="33" t="s">
        <v>8</v>
      </c>
      <c r="KJ59" s="31" t="str">
        <f>IF(KI59/(INDEX('Standards for Conversions'!$H$47:$H$73,MATCH(KH$3,'Standards for Conversions'!$A$47:$A$73,0)))=0,"",KI59/(INDEX('Standards for Conversions'!$H$47:$H$73,MATCH(KH$3,'Standards for Conversions'!$A$47:$A$73,0))))</f>
        <v/>
      </c>
      <c r="KK59" s="33" t="s">
        <v>8</v>
      </c>
      <c r="KN59" s="31" t="str">
        <f>IF(KM59/(INDEX('Standards for Conversions'!$H$47:$H$73,MATCH(KL$3,'Standards for Conversions'!$A$47:$A$73,0)))=0,"",KM59/(INDEX('Standards for Conversions'!$H$47:$H$73,MATCH(KL$3,'Standards for Conversions'!$A$47:$A$73,0))))</f>
        <v/>
      </c>
      <c r="KO59" s="33" t="s">
        <v>8</v>
      </c>
      <c r="KR59" s="31" t="str">
        <f>IF(KQ59/(INDEX('Standards for Conversions'!$H$47:$H$73,MATCH(KP$3,'Standards for Conversions'!$A$47:$A$73,0)))=0,"",KQ59/(INDEX('Standards for Conversions'!$H$47:$H$73,MATCH(KP$3,'Standards for Conversions'!$A$47:$A$73,0))))</f>
        <v/>
      </c>
      <c r="KS59" s="33" t="s">
        <v>8</v>
      </c>
      <c r="KV59" s="31" t="str">
        <f>IF(KU59/(INDEX('Standards for Conversions'!$H$47:$H$73,MATCH(KT$3,'Standards for Conversions'!$A$47:$A$73,0)))=0,"",KU59/(INDEX('Standards for Conversions'!$H$47:$H$73,MATCH(KT$3,'Standards for Conversions'!$A$47:$A$73,0))))</f>
        <v/>
      </c>
      <c r="KW59" s="33" t="s">
        <v>8</v>
      </c>
      <c r="KZ59" s="31" t="str">
        <f>IF(KY59/(INDEX('Standards for Conversions'!$H$47:$H$73,MATCH(KX$3,'Standards for Conversions'!$A$47:$A$73,0)))=0,"",KY59/(INDEX('Standards for Conversions'!$H$47:$H$73,MATCH(KX$3,'Standards for Conversions'!$A$47:$A$73,0))))</f>
        <v/>
      </c>
      <c r="LA59" s="33" t="s">
        <v>8</v>
      </c>
      <c r="LD59" s="31" t="str">
        <f>IF(LC59/(INDEX('Standards for Conversions'!$H$47:$H$73,MATCH(LB$3,'Standards for Conversions'!$A$47:$A$73,0)))=0,"",LC59/(INDEX('Standards for Conversions'!$H$47:$H$73,MATCH(LB$3,'Standards for Conversions'!$A$47:$A$73,0))))</f>
        <v/>
      </c>
      <c r="LE59" s="33" t="s">
        <v>8</v>
      </c>
      <c r="LH59" s="31" t="str">
        <f>IF(LG59/(INDEX('Standards for Conversions'!$H$47:$H$73,MATCH(LF$3,'Standards for Conversions'!$A$47:$A$73,0)))=0,"",LG59/(INDEX('Standards for Conversions'!$H$47:$H$73,MATCH(LF$3,'Standards for Conversions'!$A$47:$A$73,0))))</f>
        <v/>
      </c>
      <c r="LI59" s="33" t="s">
        <v>8</v>
      </c>
      <c r="LJ59" s="33">
        <v>90000</v>
      </c>
      <c r="LK59" s="33">
        <v>60000</v>
      </c>
      <c r="LL59" s="31">
        <f>IF(LK59/(INDEX('Standards for Conversions'!$H$47:$H$73,MATCH(LJ$3,'Standards for Conversions'!$A$47:$A$73,0)))=0,"",LK59/(INDEX('Standards for Conversions'!$H$47:$H$73,MATCH(LJ$3,'Standards for Conversions'!$A$47:$A$73,0))))</f>
        <v>5881.8040106022418</v>
      </c>
      <c r="LM59" s="33">
        <v>105000</v>
      </c>
      <c r="LN59" s="33">
        <v>70000</v>
      </c>
      <c r="LO59" s="31">
        <f>IF(LN59/(INDEX('Standards for Conversions'!$H$47:$H$73,MATCH(LM$3,'Standards for Conversions'!$A$47:$A$73,0)))=0,"",LN59/(INDEX('Standards for Conversions'!$H$47:$H$73,MATCH(LM$3,'Standards for Conversions'!$A$47:$A$73,0))))</f>
        <v>7069.5981250543127</v>
      </c>
      <c r="LP59" s="33">
        <v>120000</v>
      </c>
      <c r="LQ59" s="33">
        <v>80000</v>
      </c>
      <c r="LR59" s="31">
        <f>IF(LQ59/(INDEX('Standards for Conversions'!$H$47:$H$73,MATCH(LP$3,'Standards for Conversions'!$A$47:$A$73,0)))=0,"",LQ59/(INDEX('Standards for Conversions'!$H$47:$H$73,MATCH(LP$3,'Standards for Conversions'!$A$47:$A$73,0))))</f>
        <v>8350.5525622085097</v>
      </c>
      <c r="LS59" s="33" t="s">
        <v>8</v>
      </c>
      <c r="LT59" s="33">
        <f>125000</f>
        <v>125000</v>
      </c>
      <c r="LU59" s="33">
        <v>100000</v>
      </c>
      <c r="LV59" s="31">
        <f>IF(LU59/(INDEX('Standards for Conversions'!$H$47:$H$73,MATCH(LT$3,'Standards for Conversions'!$A$47:$A$73,0)))=0,"",LU59/(INDEX('Standards for Conversions'!$H$47:$H$73,MATCH(LT$3,'Standards for Conversions'!$A$47:$A$73,0))))</f>
        <v>9337.2050708264505</v>
      </c>
      <c r="LW59" s="33">
        <f>150000</f>
        <v>150000</v>
      </c>
      <c r="LX59" s="33">
        <v>125000</v>
      </c>
      <c r="LY59" s="31">
        <f>IF(LX59/(INDEX('Standards for Conversions'!$H$47:$H$73,MATCH(LW$3,'Standards for Conversions'!$A$47:$A$73,0)))=0,"",LX59/(INDEX('Standards for Conversions'!$H$47:$H$73,MATCH(LW$3,'Standards for Conversions'!$A$47:$A$73,0))))</f>
        <v>11406.846330856577</v>
      </c>
      <c r="LZ59" s="33">
        <f>90000+48000</f>
        <v>138000</v>
      </c>
      <c r="MA59" s="33">
        <f>75000+12000</f>
        <v>87000</v>
      </c>
      <c r="MB59" s="31">
        <f>IF(MA59/(INDEX('Standards for Conversions'!$H$47:$H$73,MATCH(LZ$3,'Standards for Conversions'!$A$47:$A$73,0)))=0,"",MA59/(INDEX('Standards for Conversions'!$H$47:$H$73,MATCH(LZ$3,'Standards for Conversions'!$A$47:$A$73,0))))</f>
        <v>8086.527738550446</v>
      </c>
      <c r="MC59" s="33">
        <f>55222+46000</f>
        <v>101222</v>
      </c>
      <c r="MD59" s="33">
        <f>40611+10000</f>
        <v>50611</v>
      </c>
      <c r="ME59" s="31">
        <f>IF(MD59/(INDEX('Standards for Conversions'!$H$47:$H$73,MATCH(MC$3,'Standards for Conversions'!$A$47:$A$73,0)))=0,"",MD59/(INDEX('Standards for Conversions'!$H$47:$H$73,MATCH(MC$3,'Standards for Conversions'!$A$47:$A$73,0))))</f>
        <v>4854.2420518217168</v>
      </c>
      <c r="MF59" s="33">
        <v>34914</v>
      </c>
      <c r="MG59" s="33">
        <v>35517</v>
      </c>
      <c r="MH59" s="31">
        <f>IF(MG59/(INDEX('Standards for Conversions'!$H$47:$H$73,MATCH(MF$3,'Standards for Conversions'!$A$47:$A$73,0)))=0,"",MG59/(INDEX('Standards for Conversions'!$H$47:$H$73,MATCH(MF$3,'Standards for Conversions'!$A$47:$A$73,0))))</f>
        <v>3271.1754634407312</v>
      </c>
      <c r="MI59" s="33">
        <v>43700</v>
      </c>
      <c r="MJ59" s="33">
        <v>54600</v>
      </c>
      <c r="MK59" s="31">
        <f>IF(MJ59/(INDEX('Standards for Conversions'!$H$47:$H$73,MATCH(MI$3,'Standards for Conversions'!$A$47:$A$73,0)))=0,"",MJ59/(INDEX('Standards for Conversions'!$H$47:$H$73,MATCH(MI$3,'Standards for Conversions'!$A$47:$A$73,0))))</f>
        <v>4450.7344170939423</v>
      </c>
      <c r="ML59" s="33">
        <v>60400</v>
      </c>
      <c r="MM59" s="33">
        <v>62900</v>
      </c>
      <c r="MN59" s="31">
        <f>IF(MM59/(INDEX('Standards for Conversions'!$H$47:$H$73,MATCH(ML$3,'Standards for Conversions'!$A$47:$A$73,0)))=0,"",MM59/(INDEX('Standards for Conversions'!$H$47:$H$73,MATCH(ML$3,'Standards for Conversions'!$A$47:$A$73,0))))</f>
        <v>5273.805868167201</v>
      </c>
      <c r="MO59" s="33" t="s">
        <v>8</v>
      </c>
      <c r="MP59" s="33">
        <v>80000</v>
      </c>
      <c r="MQ59" s="33">
        <v>80000</v>
      </c>
      <c r="MR59" s="31">
        <f>IF(MQ59/(INDEX('Standards for Conversions'!$H$47:$H$73,MATCH(MP$3,'Standards for Conversions'!$A$47:$A$73,0)))=0,"",MQ59/(INDEX('Standards for Conversions'!$H$47:$H$73,MATCH(MP$3,'Standards for Conversions'!$A$47:$A$73,0))))</f>
        <v>7156.4066075722021</v>
      </c>
      <c r="MS59" s="33" t="s">
        <v>8</v>
      </c>
      <c r="MT59" s="33">
        <v>112000</v>
      </c>
      <c r="MU59" s="33">
        <v>6500</v>
      </c>
      <c r="MV59" s="33">
        <v>216000</v>
      </c>
      <c r="MW59" s="33">
        <v>9867</v>
      </c>
      <c r="MX59" s="33">
        <v>237000</v>
      </c>
      <c r="MY59" s="33">
        <v>10933</v>
      </c>
      <c r="MZ59" s="33" t="s">
        <v>8</v>
      </c>
      <c r="NA59" s="33">
        <v>84100</v>
      </c>
      <c r="NB59" s="33">
        <v>6762</v>
      </c>
      <c r="NC59" s="33">
        <v>110870</v>
      </c>
      <c r="ND59" s="33">
        <v>9156</v>
      </c>
      <c r="NE59" s="33" t="s">
        <v>8</v>
      </c>
    </row>
    <row r="60" spans="1:373" s="33" customFormat="1" x14ac:dyDescent="0.3">
      <c r="A60" s="104" t="s">
        <v>158</v>
      </c>
      <c r="B60" s="10" t="s">
        <v>97</v>
      </c>
      <c r="C60" s="9"/>
      <c r="D60" s="9"/>
      <c r="E60" s="31" t="str">
        <f>IF(D60/(INDEX('Standards for Conversions'!$H$34:$H$73,MATCH(C$3,'Standards for Conversions'!$A$34:$A$73,0)))=0,"",D60/(INDEX('Standards for Conversions'!$H$34:$H$73,MATCH(C$3,'Standards for Conversions'!$A$34:$A$73,0))))</f>
        <v/>
      </c>
      <c r="F60" s="10" t="s">
        <v>97</v>
      </c>
      <c r="G60" s="9"/>
      <c r="H60" s="9"/>
      <c r="I60" s="31" t="str">
        <f>IF(H60/(INDEX('Standards for Conversions'!$H$34:$H$73,MATCH(G$3,'Standards for Conversions'!$A$34:$A$73,0)))=0,"",H60/(INDEX('Standards for Conversions'!$H$34:$H$73,MATCH(G$3,'Standards for Conversions'!$A$34:$A$73,0))))</f>
        <v/>
      </c>
      <c r="J60" s="10" t="s">
        <v>97</v>
      </c>
      <c r="K60" s="9"/>
      <c r="L60" s="9"/>
      <c r="M60" s="31" t="str">
        <f>IF(L60/(INDEX('Standards for Conversions'!$H$34:$H$73,MATCH(K$3,'Standards for Conversions'!$A$34:$A$73,0)))=0,"",L60/(INDEX('Standards for Conversions'!$H$34:$H$73,MATCH(K$3,'Standards for Conversions'!$A$34:$A$73,0))))</f>
        <v/>
      </c>
      <c r="N60" s="10" t="s">
        <v>97</v>
      </c>
      <c r="O60" s="9">
        <f>9*50</f>
        <v>450</v>
      </c>
      <c r="P60" s="9">
        <v>150</v>
      </c>
      <c r="Q60" s="31">
        <f>IF(P60/(INDEX('Standards for Conversions'!$H$34:$H$73,MATCH(O$3,'Standards for Conversions'!$A$34:$A$73,0)))=0,"",P60/(INDEX('Standards for Conversions'!$H$34:$H$73,MATCH(O$3,'Standards for Conversions'!$A$34:$A$73,0))))</f>
        <v>29.631334459459456</v>
      </c>
      <c r="R60" s="10" t="s">
        <v>97</v>
      </c>
      <c r="S60" s="9"/>
      <c r="T60" s="9"/>
      <c r="U60" s="31" t="str">
        <f>IF(T60/(INDEX('Standards for Conversions'!$H$34:$H$73,MATCH(S$3,'Standards for Conversions'!$A$34:$A$73,0)))=0,"",T60/(INDEX('Standards for Conversions'!$H$34:$H$73,MATCH(S$3,'Standards for Conversions'!$A$34:$A$73,0))))</f>
        <v/>
      </c>
      <c r="V60" s="10" t="s">
        <v>97</v>
      </c>
      <c r="W60" s="9"/>
      <c r="X60" s="9"/>
      <c r="Y60" s="31" t="str">
        <f>IF(X60/(INDEX('Standards for Conversions'!$H$34:$H$73,MATCH(W$3,'Standards for Conversions'!$A$34:$A$73,0)))=0,"",X60/(INDEX('Standards for Conversions'!$H$34:$H$73,MATCH(W$3,'Standards for Conversions'!$A$34:$A$73,0))))</f>
        <v/>
      </c>
      <c r="Z60" s="10" t="s">
        <v>97</v>
      </c>
      <c r="AA60" s="9"/>
      <c r="AB60" s="9"/>
      <c r="AC60" s="31" t="str">
        <f>IF(AB60/(INDEX('Standards for Conversions'!$H$34:$H$73,MATCH(AA$3,'Standards for Conversions'!$A$34:$A$73,0)))=0,"",AB60/(INDEX('Standards for Conversions'!$H$34:$H$73,MATCH(AA$3,'Standards for Conversions'!$A$34:$A$73,0))))</f>
        <v/>
      </c>
      <c r="AD60" s="10" t="s">
        <v>97</v>
      </c>
      <c r="AE60" s="9">
        <f>9*1000</f>
        <v>9000</v>
      </c>
      <c r="AF60" s="9">
        <v>3000</v>
      </c>
      <c r="AG60" s="31">
        <f>IF(AF60/(INDEX('Standards for Conversions'!$H$34:$H$73,MATCH(AE$3,'Standards for Conversions'!$A$34:$A$73,0)))=0,"",AF60/(INDEX('Standards for Conversions'!$H$34:$H$73,MATCH(AE$3,'Standards for Conversions'!$A$34:$A$73,0))))</f>
        <v>578.01745676544704</v>
      </c>
      <c r="AH60" s="10" t="s">
        <v>97</v>
      </c>
      <c r="AI60" s="9"/>
      <c r="AJ60" s="9"/>
      <c r="AK60" s="31" t="str">
        <f>IF(AJ60/(INDEX('Standards for Conversions'!$H$34:$H$73,MATCH(AI$3,'Standards for Conversions'!$A$34:$A$73,0)))=0,"",AJ60/(INDEX('Standards for Conversions'!$H$34:$H$73,MATCH(AI$3,'Standards for Conversions'!$A$34:$A$73,0))))</f>
        <v/>
      </c>
      <c r="AL60" s="10" t="s">
        <v>97</v>
      </c>
      <c r="AM60" s="9"/>
      <c r="AN60" s="9"/>
      <c r="AO60" s="31" t="str">
        <f>IF(AN60/(INDEX('Standards for Conversions'!$H$34:$H$73,MATCH(AM$3,'Standards for Conversions'!$A$34:$A$73,0)))=0,"",AN60/(INDEX('Standards for Conversions'!$H$34:$H$73,MATCH(AM$3,'Standards for Conversions'!$A$34:$A$73,0))))</f>
        <v/>
      </c>
      <c r="AP60" s="10" t="s">
        <v>97</v>
      </c>
      <c r="AQ60" s="9"/>
      <c r="AR60" s="9"/>
      <c r="AS60" s="31" t="str">
        <f>IF(AR60/(INDEX('Standards for Conversions'!$H$34:$H$73,MATCH(AQ$3,'Standards for Conversions'!$A$34:$A$73,0)))=0,"",AR60/(INDEX('Standards for Conversions'!$H$34:$H$73,MATCH(AQ$3,'Standards for Conversions'!$A$34:$A$73,0))))</f>
        <v/>
      </c>
      <c r="AT60" s="10" t="s">
        <v>97</v>
      </c>
      <c r="AU60" s="9">
        <f>9*50</f>
        <v>450</v>
      </c>
      <c r="AV60" s="9">
        <v>200</v>
      </c>
      <c r="AW60" s="31">
        <f>IF(AV60/(INDEX('Standards for Conversions'!$H$34:$H$73,MATCH(AU$3,'Standards for Conversions'!$A$34:$A$73,0)))=0,"",AV60/(INDEX('Standards for Conversions'!$H$34:$H$73,MATCH(AU$3,'Standards for Conversions'!$A$34:$A$73,0))))</f>
        <v>35.739687436632771</v>
      </c>
      <c r="AX60" s="10" t="s">
        <v>97</v>
      </c>
      <c r="AY60" s="9"/>
      <c r="AZ60" s="9"/>
      <c r="BA60" s="31" t="str">
        <f>IF(AZ60/(INDEX('Standards for Conversions'!$H$34:$H$73,MATCH(AY$3,'Standards for Conversions'!$A$34:$A$73,0)))=0,"",AZ60/(INDEX('Standards for Conversions'!$H$34:$H$73,MATCH(AY$3,'Standards for Conversions'!$A$34:$A$73,0))))</f>
        <v/>
      </c>
      <c r="BB60" s="10" t="s">
        <v>97</v>
      </c>
      <c r="BC60" s="9"/>
      <c r="BD60" s="9"/>
      <c r="BE60" s="31" t="str">
        <f>IF(BD60/(INDEX('Standards for Conversions'!$H$34:$H$73,MATCH(BC$3,'Standards for Conversions'!$A$34:$A$73,0)))=0,"",BD60/(INDEX('Standards for Conversions'!$H$34:$H$73,MATCH(BC$3,'Standards for Conversions'!$A$34:$A$73,0))))</f>
        <v/>
      </c>
      <c r="BF60" s="10" t="s">
        <v>97</v>
      </c>
      <c r="BG60" s="9"/>
      <c r="BH60" s="9"/>
      <c r="BI60" s="31" t="str">
        <f>IF(BH60/(INDEX('Standards for Conversions'!$H$34:$H$73,MATCH(BG$3,'Standards for Conversions'!$A$34:$A$73,0)))=0,"",BH60/(INDEX('Standards for Conversions'!$H$34:$H$73,MATCH(BG$3,'Standards for Conversions'!$A$34:$A$73,0))))</f>
        <v/>
      </c>
      <c r="BJ60" s="10" t="s">
        <v>97</v>
      </c>
      <c r="BK60" s="9">
        <f>9*50</f>
        <v>450</v>
      </c>
      <c r="BL60" s="9">
        <v>200</v>
      </c>
      <c r="BM60" s="31">
        <f>IF(BL60/(INDEX('Standards for Conversions'!$H$34:$H$73,MATCH(BK$3,'Standards for Conversions'!$A$34:$A$73,0)))=0,"",BL60/(INDEX('Standards for Conversions'!$H$34:$H$73,MATCH(BK$3,'Standards for Conversions'!$A$34:$A$73,0))))</f>
        <v>37.137092277164626</v>
      </c>
      <c r="BN60" s="10" t="s">
        <v>97</v>
      </c>
      <c r="BO60" s="9"/>
      <c r="BP60" s="9"/>
      <c r="BQ60" s="31" t="str">
        <f>IF(BP60/(INDEX('Standards for Conversions'!$H$34:$H$73,MATCH(BO$3,'Standards for Conversions'!$A$34:$A$73,0)))=0,"",BP60/(INDEX('Standards for Conversions'!$H$34:$H$73,MATCH(BO$3,'Standards for Conversions'!$A$34:$A$73,0))))</f>
        <v/>
      </c>
      <c r="BR60" s="10" t="s">
        <v>97</v>
      </c>
      <c r="BS60" s="9"/>
      <c r="BT60" s="9"/>
      <c r="BU60" s="31" t="str">
        <f>IF(BT60/(INDEX('Standards for Conversions'!$H$34:$H$73,MATCH(BS$3,'Standards for Conversions'!$A$34:$A$73,0)))=0,"",BT60/(INDEX('Standards for Conversions'!$H$34:$H$73,MATCH(BS$3,'Standards for Conversions'!$A$34:$A$73,0))))</f>
        <v/>
      </c>
      <c r="BV60" s="10" t="s">
        <v>97</v>
      </c>
      <c r="BW60" s="9"/>
      <c r="BX60" s="9"/>
      <c r="BY60" s="31" t="str">
        <f>IF(BX60/(INDEX('Standards for Conversions'!$H$34:$H$73,MATCH(BW$3,'Standards for Conversions'!$A$34:$A$73,0)))=0,"",BX60/(INDEX('Standards for Conversions'!$H$34:$H$73,MATCH(BW$3,'Standards for Conversions'!$A$34:$A$73,0))))</f>
        <v/>
      </c>
      <c r="BZ60" s="10" t="s">
        <v>97</v>
      </c>
      <c r="CA60" s="9">
        <f>9*1100</f>
        <v>9900</v>
      </c>
      <c r="CB60" s="9">
        <v>3000</v>
      </c>
      <c r="CC60" s="31">
        <f>IF(CB60/(INDEX('Standards for Conversions'!$H$34:$H$73,MATCH(CA$3,'Standards for Conversions'!$A$34:$A$73,0)))=0,"",CB60/(INDEX('Standards for Conversions'!$H$34:$H$73,MATCH(CA$3,'Standards for Conversions'!$A$34:$A$73,0))))</f>
        <v>534.18975949422077</v>
      </c>
      <c r="CD60" s="10" t="s">
        <v>97</v>
      </c>
      <c r="CE60" s="9"/>
      <c r="CF60" s="9"/>
      <c r="CG60" s="31" t="str">
        <f>IF(CF60/(INDEX('Standards for Conversions'!$H$34:$H$73,MATCH(CE$3,'Standards for Conversions'!$A$34:$A$73,0)))=0,"",CF60/(INDEX('Standards for Conversions'!$H$34:$H$73,MATCH(CE$3,'Standards for Conversions'!$A$34:$A$73,0))))</f>
        <v/>
      </c>
      <c r="CH60" s="10" t="s">
        <v>97</v>
      </c>
      <c r="CI60" s="9">
        <f>9*2500</f>
        <v>22500</v>
      </c>
      <c r="CJ60" s="9">
        <v>5000</v>
      </c>
      <c r="CK60" s="31">
        <f>IF(CJ60/(INDEX('Standards for Conversions'!$H$34:$H$73,MATCH(CI$3,'Standards for Conversions'!$A$34:$A$73,0)))=0,"",CJ60/(INDEX('Standards for Conversions'!$H$34:$H$73,MATCH(CI$3,'Standards for Conversions'!$A$34:$A$73,0))))</f>
        <v>868.0848251788766</v>
      </c>
      <c r="CL60" s="10" t="s">
        <v>97</v>
      </c>
      <c r="CM60" s="9"/>
      <c r="CN60" s="9"/>
      <c r="CO60" s="31" t="str">
        <f>IF(CN60/(INDEX('Standards for Conversions'!$H$34:$H$73,MATCH(CM$3,'Standards for Conversions'!$A$34:$A$73,0)))=0,"",CN60/(INDEX('Standards for Conversions'!$H$34:$H$73,MATCH(CM$3,'Standards for Conversions'!$A$34:$A$73,0))))</f>
        <v/>
      </c>
      <c r="CP60" s="10" t="s">
        <v>97</v>
      </c>
      <c r="CQ60" s="9">
        <f>9*100</f>
        <v>900</v>
      </c>
      <c r="CR60" s="9">
        <v>250</v>
      </c>
      <c r="CS60" s="31">
        <f>IF(CR60/(INDEX('Standards for Conversions'!$H$34:$H$73,MATCH(CQ$3,'Standards for Conversions'!$A$34:$A$73,0)))=0,"",CR60/(INDEX('Standards for Conversions'!$H$34:$H$73,MATCH(CQ$3,'Standards for Conversions'!$A$34:$A$73,0))))</f>
        <v>43.404241258943827</v>
      </c>
      <c r="CT60" s="10" t="s">
        <v>97</v>
      </c>
      <c r="CU60" s="9"/>
      <c r="CV60" s="9"/>
      <c r="CW60" s="31" t="str">
        <f>IF(CV60/(INDEX('Standards for Conversions'!$H$34:$H$73,MATCH(CU$3,'Standards for Conversions'!$A$34:$A$73,0)))=0,"",CV60/(INDEX('Standards for Conversions'!$H$34:$H$73,MATCH(CU$3,'Standards for Conversions'!$A$34:$A$73,0))))</f>
        <v/>
      </c>
      <c r="CX60" s="10" t="s">
        <v>97</v>
      </c>
      <c r="CY60" s="9">
        <f>9*3800</f>
        <v>34200</v>
      </c>
      <c r="CZ60" s="9">
        <v>7500</v>
      </c>
      <c r="DA60" s="31">
        <f>IF(CZ60/(INDEX('Standards for Conversions'!$H$34:$H$73,MATCH(CY$3,'Standards for Conversions'!$A$34:$A$73,0)))=0,"",CZ60/(INDEX('Standards for Conversions'!$H$34:$H$73,MATCH(CY$3,'Standards for Conversions'!$A$34:$A$73,0))))</f>
        <v>1327.5345985052577</v>
      </c>
      <c r="DB60" s="10" t="s">
        <v>97</v>
      </c>
      <c r="DC60" s="9"/>
      <c r="DD60" s="9"/>
      <c r="DE60" s="31" t="str">
        <f>IF(DD60/(INDEX('Standards for Conversions'!$H$34:$H$73,MATCH(DC$3,'Standards for Conversions'!$A$34:$A$73,0)))=0,"",DD60/(INDEX('Standards for Conversions'!$H$34:$H$73,MATCH(DC$3,'Standards for Conversions'!$A$34:$A$73,0))))</f>
        <v/>
      </c>
      <c r="DF60" s="10" t="s">
        <v>97</v>
      </c>
      <c r="DG60" s="9">
        <f>9*750</f>
        <v>6750</v>
      </c>
      <c r="DH60" s="9">
        <v>1700</v>
      </c>
      <c r="DI60" s="31">
        <f>IF(DH60/(INDEX('Standards for Conversions'!$H$34:$H$73,MATCH(DG$3,'Standards for Conversions'!$A$34:$A$73,0)))=0,"",DH60/(INDEX('Standards for Conversions'!$H$34:$H$73,MATCH(DG$3,'Standards for Conversions'!$A$34:$A$73,0))))</f>
        <v>300.90784232785842</v>
      </c>
      <c r="DJ60" s="10" t="s">
        <v>97</v>
      </c>
      <c r="DK60" s="9"/>
      <c r="DL60" s="9"/>
      <c r="DM60" s="31" t="str">
        <f>IF(DL60/(INDEX('Standards for Conversions'!$H$34:$H$73,MATCH(DK$3,'Standards for Conversions'!$A$34:$A$73,0)))=0,"",DL60/(INDEX('Standards for Conversions'!$H$34:$H$73,MATCH(DK$3,'Standards for Conversions'!$A$34:$A$73,0))))</f>
        <v/>
      </c>
      <c r="DN60" s="10" t="s">
        <v>97</v>
      </c>
      <c r="DO60" s="9">
        <f>9*3000</f>
        <v>27000</v>
      </c>
      <c r="DP60" s="9">
        <v>6700</v>
      </c>
      <c r="DQ60" s="31">
        <f>IF(DP60/(INDEX('Standards for Conversions'!$H$34:$H$73,MATCH(DO$3,'Standards for Conversions'!$A$34:$A$73,0)))=0,"",DP60/(INDEX('Standards for Conversions'!$H$34:$H$73,MATCH(DO$3,'Standards for Conversions'!$A$34:$A$73,0))))</f>
        <v>1173.1637092277165</v>
      </c>
      <c r="DR60" s="10" t="s">
        <v>97</v>
      </c>
      <c r="DS60" s="9"/>
      <c r="DT60" s="9"/>
      <c r="DU60" s="31" t="str">
        <f>IF(DT60/(INDEX('Standards for Conversions'!$H$34:$H$73,MATCH(DS$3,'Standards for Conversions'!$A$34:$A$73,0)))=0,"",DT60/(INDEX('Standards for Conversions'!$H$34:$H$73,MATCH(DS$3,'Standards for Conversions'!$A$34:$A$73,0))))</f>
        <v/>
      </c>
      <c r="DV60" s="10" t="s">
        <v>97</v>
      </c>
      <c r="DW60" s="9">
        <f>9*2000</f>
        <v>18000</v>
      </c>
      <c r="DX60" s="9">
        <v>5000</v>
      </c>
      <c r="DY60" s="31">
        <f>IF(DX60/(INDEX('Standards for Conversions'!$H$34:$H$73,MATCH(DW$3,'Standards for Conversions'!$A$34:$A$73,0)))=0,"",DX60/(INDEX('Standards for Conversions'!$H$34:$H$73,MATCH(DW$3,'Standards for Conversions'!$A$34:$A$73,0))))</f>
        <v>875.49530539381828</v>
      </c>
      <c r="DZ60" s="10" t="s">
        <v>97</v>
      </c>
      <c r="EA60" s="9"/>
      <c r="EB60" s="9"/>
      <c r="EC60" s="31" t="str">
        <f>IF(EB60/(INDEX('Standards for Conversions'!$H$34:$H$73,MATCH(EA$3,'Standards for Conversions'!$A$34:$A$73,0)))=0,"",EB60/(INDEX('Standards for Conversions'!$H$34:$H$73,MATCH(EA$3,'Standards for Conversions'!$A$34:$A$73,0))))</f>
        <v/>
      </c>
      <c r="ED60" s="10" t="s">
        <v>97</v>
      </c>
      <c r="EE60" s="9">
        <f>9*10412</f>
        <v>93708</v>
      </c>
      <c r="EF60" s="9">
        <v>19100</v>
      </c>
      <c r="EG60" s="31">
        <f>IF(EF60/(INDEX('Standards for Conversions'!$H$34:$H$73,MATCH(EE$3,'Standards for Conversions'!$A$34:$A$73,0)))=0,"",EF60/(INDEX('Standards for Conversions'!$H$34:$H$73,MATCH(EE$3,'Standards for Conversions'!$A$34:$A$73,0))))</f>
        <v>3340.3480616870888</v>
      </c>
      <c r="EH60" s="10" t="s">
        <v>97</v>
      </c>
      <c r="EI60" s="9"/>
      <c r="EJ60" s="9"/>
      <c r="EK60" s="31" t="str">
        <f>IF(EJ60/(INDEX('Standards for Conversions'!$H$34:$H$73,MATCH(EI$3,'Standards for Conversions'!$A$34:$A$73,0)))=0,"",EJ60/(INDEX('Standards for Conversions'!$H$34:$H$73,MATCH(EI$3,'Standards for Conversions'!$A$34:$A$73,0))))</f>
        <v/>
      </c>
      <c r="EL60" s="10" t="s">
        <v>97</v>
      </c>
      <c r="EM60" s="9">
        <f>9*1070</f>
        <v>9630</v>
      </c>
      <c r="EN60" s="9">
        <v>2110</v>
      </c>
      <c r="EO60" s="31">
        <f>IF(EN60/(INDEX('Standards for Conversions'!$H$34:$H$73,MATCH(EM$3,'Standards for Conversions'!$A$34:$A$73,0)))=0,"",EN60/(INDEX('Standards for Conversions'!$H$34:$H$73,MATCH(EM$3,'Standards for Conversions'!$A$34:$A$73,0))))</f>
        <v>369.01227278323336</v>
      </c>
      <c r="EP60" s="10" t="s">
        <v>97</v>
      </c>
      <c r="EQ60" s="9">
        <f>9*14000</f>
        <v>126000</v>
      </c>
      <c r="ER60" s="9">
        <v>16667</v>
      </c>
      <c r="ES60" s="31">
        <f>IF(ER60/(INDEX('Standards for Conversions'!$H$34:$H$73,MATCH(EQ$3,'Standards for Conversions'!$A$34:$A$73,0)))=0,"",ER60/(INDEX('Standards for Conversions'!$H$34:$H$73,MATCH(EQ$3,'Standards for Conversions'!$A$34:$A$73,0))))</f>
        <v>2854.8563787893595</v>
      </c>
      <c r="ET60" s="10" t="s">
        <v>97</v>
      </c>
      <c r="EU60" s="9">
        <f>9*15313</f>
        <v>137817</v>
      </c>
      <c r="EV60" s="9">
        <v>25370</v>
      </c>
      <c r="EW60" s="31">
        <f>IF(EV60/(INDEX('Standards for Conversions'!$H$34:$H$73,MATCH(EU$3,'Standards for Conversions'!$A$34:$A$73,0)))=0,"",EV60/(INDEX('Standards for Conversions'!$H$34:$H$73,MATCH(EU$3,'Standards for Conversions'!$A$34:$A$73,0))))</f>
        <v>4345.5754682837978</v>
      </c>
      <c r="EX60" s="10" t="s">
        <v>97</v>
      </c>
      <c r="EY60" s="9"/>
      <c r="EZ60" s="9"/>
      <c r="FA60" s="31" t="str">
        <f>IF(EZ60/(INDEX('Standards for Conversions'!$H$34:$H$73,MATCH(EY$3,'Standards for Conversions'!$A$34:$A$73,0)))=0,"",EZ60/(INDEX('Standards for Conversions'!$H$34:$H$73,MATCH(EY$3,'Standards for Conversions'!$A$34:$A$73,0))))</f>
        <v/>
      </c>
      <c r="FB60" s="10" t="s">
        <v>97</v>
      </c>
      <c r="FC60" s="9">
        <f>9*850</f>
        <v>7650</v>
      </c>
      <c r="FD60" s="9">
        <v>1480</v>
      </c>
      <c r="FE60" s="31">
        <f>IF(FD60/(INDEX('Standards for Conversions'!$H$34:$H$73,MATCH(FC$3,'Standards for Conversions'!$A$34:$A$73,0)))=0,"",FD60/(INDEX('Standards for Conversions'!$H$34:$H$73,MATCH(FC$3,'Standards for Conversions'!$A$34:$A$73,0))))</f>
        <v>253.50617631296888</v>
      </c>
      <c r="FF60" s="10" t="s">
        <v>97</v>
      </c>
      <c r="FG60" s="9"/>
      <c r="FH60" s="9"/>
      <c r="FI60" s="31" t="str">
        <f>IF(FH60/(INDEX('Standards for Conversions'!$H$34:$H$73,MATCH(FG$3,'Standards for Conversions'!$A$34:$A$73,0)))=0,"",FH60/(INDEX('Standards for Conversions'!$H$34:$H$73,MATCH(FG$3,'Standards for Conversions'!$A$34:$A$73,0))))</f>
        <v/>
      </c>
      <c r="FJ60" s="10" t="s">
        <v>97</v>
      </c>
      <c r="FK60" s="9">
        <f>9*17000</f>
        <v>153000</v>
      </c>
      <c r="FL60" s="9">
        <v>20700</v>
      </c>
      <c r="FM60" s="31">
        <f>IF(FL60/(INDEX('Standards for Conversions'!$H$34:$H$73,MATCH(FK$3,'Standards for Conversions'!$A$34:$A$73,0)))=0,"",FL60/(INDEX('Standards for Conversions'!$H$34:$H$73,MATCH(FK$3,'Standards for Conversions'!$A$34:$A$73,0))))</f>
        <v>3550.0434789693222</v>
      </c>
      <c r="FN60" s="10" t="s">
        <v>97</v>
      </c>
      <c r="FO60" s="9"/>
      <c r="FP60" s="9"/>
      <c r="FQ60" s="31" t="str">
        <f>IF(FP60/(INDEX('Standards for Conversions'!$H$34:$H$73,MATCH(FO$3,'Standards for Conversions'!$A$34:$A$73,0)))=0,"",FP60/(INDEX('Standards for Conversions'!$H$34:$H$73,MATCH(FO$3,'Standards for Conversions'!$A$34:$A$73,0))))</f>
        <v/>
      </c>
      <c r="FR60" s="10" t="s">
        <v>97</v>
      </c>
      <c r="FS60" s="9"/>
      <c r="FT60" s="9"/>
      <c r="FU60" s="31" t="str">
        <f>IF(FT60/(INDEX('Standards for Conversions'!$H$34:$H$73,MATCH(FS$3,'Standards for Conversions'!$A$34:$A$73,0)))=0,"",FT60/(INDEX('Standards for Conversions'!$H$34:$H$73,MATCH(FS$3,'Standards for Conversions'!$A$34:$A$73,0))))</f>
        <v/>
      </c>
      <c r="FV60" s="10" t="s">
        <v>97</v>
      </c>
      <c r="FW60" s="9">
        <f>9*12000</f>
        <v>108000</v>
      </c>
      <c r="FX60" s="9">
        <v>45000</v>
      </c>
      <c r="FY60" s="31">
        <f>IF(FX60/(INDEX('Standards for Conversions'!$H$34:$H$73,MATCH(FW$3,'Standards for Conversions'!$A$34:$A$73,0)))=0,"",FX60/(INDEX('Standards for Conversions'!$H$34:$H$73,MATCH(FW$3,'Standards for Conversions'!$A$34:$A$73,0))))</f>
        <v>7403.0697347266878</v>
      </c>
      <c r="FZ60" s="10" t="s">
        <v>97</v>
      </c>
      <c r="GA60" s="9">
        <f>9*14000</f>
        <v>126000</v>
      </c>
      <c r="GB60" s="9">
        <v>22000</v>
      </c>
      <c r="GC60" s="31">
        <f>IF(GB60/(INDEX('Standards for Conversions'!$H$34:$H$73,MATCH(GA$3,'Standards for Conversions'!$A$34:$A$73,0)))=0,"",GB60/(INDEX('Standards for Conversions'!$H$34:$H$73,MATCH(GA$3,'Standards for Conversions'!$A$34:$A$73,0))))</f>
        <v>3619.278536977492</v>
      </c>
      <c r="GD60" s="10" t="s">
        <v>97</v>
      </c>
      <c r="GE60" s="9"/>
      <c r="GF60" s="9"/>
      <c r="GG60" s="31" t="str">
        <f>IF(GF60/(INDEX('Standards for Conversions'!$H$34:$H$73,MATCH(GE$3,'Standards for Conversions'!$A$34:$A$73,0)))=0,"",GF60/(INDEX('Standards for Conversions'!$H$34:$H$73,MATCH(GE$3,'Standards for Conversions'!$A$34:$A$73,0))))</f>
        <v/>
      </c>
      <c r="GH60" s="10" t="s">
        <v>97</v>
      </c>
      <c r="GI60" s="9"/>
      <c r="GJ60" s="9"/>
      <c r="GK60" s="31" t="str">
        <f>IF(GJ60/(INDEX('Standards for Conversions'!$H$34:$H$73,MATCH(GI$3,'Standards for Conversions'!$A$34:$A$73,0)))=0,"",GJ60/(INDEX('Standards for Conversions'!$H$34:$H$73,MATCH(GI$3,'Standards for Conversions'!$A$34:$A$73,0))))</f>
        <v/>
      </c>
      <c r="GL60" s="10" t="s">
        <v>97</v>
      </c>
      <c r="GM60" s="9"/>
      <c r="GN60" s="9"/>
      <c r="GO60" s="31" t="str">
        <f>IF(GN60/(INDEX('Standards for Conversions'!$H$34:$H$73,MATCH(GM$3,'Standards for Conversions'!$A$34:$A$73,0)))=0,"",GN60/(INDEX('Standards for Conversions'!$H$34:$H$73,MATCH(GM$3,'Standards for Conversions'!$A$34:$A$73,0))))</f>
        <v/>
      </c>
      <c r="GP60" s="10" t="s">
        <v>97</v>
      </c>
      <c r="GQ60" s="9">
        <f>9*13000</f>
        <v>117000</v>
      </c>
      <c r="GR60" s="9">
        <v>20000</v>
      </c>
      <c r="GS60" s="31">
        <f>IF(GR60/(INDEX('Standards for Conversions'!$H$34:$H$73,MATCH(GQ$3,'Standards for Conversions'!$A$34:$A$73,0)))=0,"",GR60/(INDEX('Standards for Conversions'!$H$34:$H$73,MATCH(GQ$3,'Standards for Conversions'!$A$34:$A$73,0))))</f>
        <v>3074.2906491700705</v>
      </c>
      <c r="GT60" s="10" t="s">
        <v>97</v>
      </c>
      <c r="GU60" s="9"/>
      <c r="GV60" s="9"/>
      <c r="GW60" s="31" t="str">
        <f>IF(GV60/(INDEX('Standards for Conversions'!$H$34:$H$73,MATCH(GU$3,'Standards for Conversions'!$A$34:$A$73,0)))=0,"",GV60/(INDEX('Standards for Conversions'!$H$34:$H$73,MATCH(GU$3,'Standards for Conversions'!$A$34:$A$73,0))))</f>
        <v/>
      </c>
      <c r="GX60" s="10" t="s">
        <v>97</v>
      </c>
      <c r="GY60" s="9">
        <f>9*3000</f>
        <v>27000</v>
      </c>
      <c r="GZ60" s="9">
        <v>25000</v>
      </c>
      <c r="HA60" s="31">
        <f>IF(GZ60/(INDEX('Standards for Conversions'!$H$34:$H$73,MATCH(GY$3,'Standards for Conversions'!$A$34:$A$73,0)))=0,"",GZ60/(INDEX('Standards for Conversions'!$H$34:$H$73,MATCH(GY$3,'Standards for Conversions'!$A$34:$A$73,0))))</f>
        <v>3842.8633114625882</v>
      </c>
      <c r="HB60" s="10" t="s">
        <v>97</v>
      </c>
      <c r="HC60" s="9"/>
      <c r="HD60" s="9"/>
      <c r="HE60" s="31" t="str">
        <f>IF(HD60/(INDEX('Standards for Conversions'!$H$34:$H$73,MATCH(HC$3,'Standards for Conversions'!$A$34:$A$73,0)))=0,"",HD60/(INDEX('Standards for Conversions'!$H$34:$H$73,MATCH(HC$3,'Standards for Conversions'!$A$34:$A$73,0))))</f>
        <v/>
      </c>
      <c r="HF60" s="10" t="s">
        <v>97</v>
      </c>
      <c r="HG60" s="9">
        <f>9*4000</f>
        <v>36000</v>
      </c>
      <c r="HH60" s="9">
        <v>7600</v>
      </c>
      <c r="HI60" s="31">
        <f>IF(HH60/(INDEX('Standards for Conversions'!$H$34:$H$73,MATCH(HG$3,'Standards for Conversions'!$A$34:$A$73,0)))=0,"",HH60/(INDEX('Standards for Conversions'!$H$34:$H$73,MATCH(HG$3,'Standards for Conversions'!$A$34:$A$73,0))))</f>
        <v>1150.5299853712231</v>
      </c>
      <c r="HJ60" s="10" t="s">
        <v>97</v>
      </c>
      <c r="HK60" s="9"/>
      <c r="HL60" s="9"/>
      <c r="HM60" s="31" t="str">
        <f>IF(HL60/(INDEX('Standards for Conversions'!$H$34:$H$73,MATCH(HK$3,'Standards for Conversions'!$A$34:$A$73,0)))=0,"",HL60/(INDEX('Standards for Conversions'!$H$34:$H$73,MATCH(HK$3,'Standards for Conversions'!$A$34:$A$73,0))))</f>
        <v/>
      </c>
      <c r="HN60" s="10" t="s">
        <v>97</v>
      </c>
      <c r="HO60" s="9">
        <f>9*8000</f>
        <v>72000</v>
      </c>
      <c r="HP60" s="9">
        <v>14000</v>
      </c>
      <c r="HQ60" s="31">
        <f>IF(HP60/(INDEX('Standards for Conversions'!$H$34:$H$73,MATCH(HO$3,'Standards for Conversions'!$A$34:$A$73,0)))=0,"",HP60/(INDEX('Standards for Conversions'!$H$34:$H$73,MATCH(HO$3,'Standards for Conversions'!$A$34:$A$73,0))))</f>
        <v>2119.3973414733059</v>
      </c>
      <c r="HR60" s="33" t="s">
        <v>97</v>
      </c>
      <c r="HU60" s="31" t="str">
        <f>IF(HT60/(INDEX('Standards for Conversions'!$H$47:$H$73,MATCH(HS$3,'Standards for Conversions'!$A$47:$A$73,0)))=0,"",HT60/(INDEX('Standards for Conversions'!$H$47:$H$73,MATCH(HS$3,'Standards for Conversions'!$A$47:$A$73,0))))</f>
        <v/>
      </c>
      <c r="HV60" s="33" t="s">
        <v>97</v>
      </c>
      <c r="HW60" s="33">
        <v>18000</v>
      </c>
      <c r="HX60" s="33">
        <v>4000</v>
      </c>
      <c r="HY60" s="31">
        <f>IF(HX60/(INDEX('Standards for Conversions'!$H$47:$H$73,MATCH(HW$3,'Standards for Conversions'!$A$47:$A$73,0)))=0,"",HX60/(INDEX('Standards for Conversions'!$H$47:$H$73,MATCH(HW$3,'Standards for Conversions'!$A$47:$A$73,0))))</f>
        <v>580.98164885142387</v>
      </c>
      <c r="IB60" s="31" t="str">
        <f>IF(IA60/(INDEX('Standards for Conversions'!$H$47:$H$73,MATCH(HZ$3,'Standards for Conversions'!$A$47:$A$73,0)))=0,"",IA60/(INDEX('Standards for Conversions'!$H$47:$H$73,MATCH(HZ$3,'Standards for Conversions'!$A$47:$A$73,0))))</f>
        <v/>
      </c>
      <c r="IC60" s="33" t="s">
        <v>97</v>
      </c>
      <c r="ID60" s="33">
        <v>63000</v>
      </c>
      <c r="IE60" s="33">
        <v>14000</v>
      </c>
      <c r="IF60" s="31">
        <f>IF(IE60/(INDEX('Standards for Conversions'!$H$47:$H$73,MATCH(ID$3,'Standards for Conversions'!$A$47:$A$73,0)))=0,"",IE60/(INDEX('Standards for Conversions'!$H$47:$H$73,MATCH(ID$3,'Standards for Conversions'!$A$47:$A$73,0))))</f>
        <v>2033.4357709799833</v>
      </c>
      <c r="IG60" s="33" t="s">
        <v>97</v>
      </c>
      <c r="IJ60" s="31" t="str">
        <f>IF(II60/(INDEX('Standards for Conversions'!$H$47:$H$73,MATCH(IH$3,'Standards for Conversions'!$A$47:$A$73,0)))=0,"",II60/(INDEX('Standards for Conversions'!$H$47:$H$73,MATCH(IH$3,'Standards for Conversions'!$A$47:$A$73,0))))</f>
        <v/>
      </c>
      <c r="IK60" s="33" t="s">
        <v>97</v>
      </c>
      <c r="IN60" s="31" t="str">
        <f>IF(IM60/(INDEX('Standards for Conversions'!$H$47:$H$73,MATCH(IL$3,'Standards for Conversions'!$A$47:$A$73,0)))=0,"",IM60/(INDEX('Standards for Conversions'!$H$47:$H$73,MATCH(IL$3,'Standards for Conversions'!$A$47:$A$73,0))))</f>
        <v/>
      </c>
      <c r="IO60" s="33" t="s">
        <v>97</v>
      </c>
      <c r="IR60" s="31" t="str">
        <f>IF(IQ60/(INDEX('Standards for Conversions'!$H$47:$H$73,MATCH(IP$3,'Standards for Conversions'!$A$47:$A$73,0)))=0,"",IQ60/(INDEX('Standards for Conversions'!$H$47:$H$73,MATCH(IP$3,'Standards for Conversions'!$A$47:$A$73,0))))</f>
        <v/>
      </c>
      <c r="IS60" s="33" t="s">
        <v>97</v>
      </c>
      <c r="IT60" s="33">
        <v>39492</v>
      </c>
      <c r="IU60" s="33">
        <v>8803</v>
      </c>
      <c r="IV60" s="31">
        <f>IF(IU60/(INDEX('Standards for Conversions'!$H$47:$H$73,MATCH(IT$3,'Standards for Conversions'!$A$47:$A$73,0)))=0,"",IU60/(INDEX('Standards for Conversions'!$H$47:$H$73,MATCH(IT$3,'Standards for Conversions'!$A$47:$A$73,0))))</f>
        <v>1273.0038387955881</v>
      </c>
      <c r="IW60" s="33" t="s">
        <v>97</v>
      </c>
      <c r="IZ60" s="31" t="str">
        <f>IF(IY60/(INDEX('Standards for Conversions'!$H$47:$H$73,MATCH(IX$3,'Standards for Conversions'!$A$47:$A$73,0)))=0,"",IY60/(INDEX('Standards for Conversions'!$H$47:$H$73,MATCH(IX$3,'Standards for Conversions'!$A$47:$A$73,0))))</f>
        <v/>
      </c>
      <c r="JA60" s="33" t="s">
        <v>97</v>
      </c>
      <c r="JD60" s="31" t="str">
        <f>IF(JC60/(INDEX('Standards for Conversions'!$H$47:$H$73,MATCH(JB$3,'Standards for Conversions'!$A$47:$A$73,0)))=0,"",JC60/(INDEX('Standards for Conversions'!$H$47:$H$73,MATCH(JB$3,'Standards for Conversions'!$A$47:$A$73,0))))</f>
        <v/>
      </c>
      <c r="JE60" s="33" t="s">
        <v>97</v>
      </c>
      <c r="JH60" s="31" t="str">
        <f>IF(JG60/(INDEX('Standards for Conversions'!$H$47:$H$73,MATCH(JF$3,'Standards for Conversions'!$A$47:$A$73,0)))=0,"",JG60/(INDEX('Standards for Conversions'!$H$47:$H$73,MATCH(JF$3,'Standards for Conversions'!$A$47:$A$73,0))))</f>
        <v/>
      </c>
      <c r="JI60" s="33" t="s">
        <v>97</v>
      </c>
      <c r="JJ60" s="33">
        <v>81000</v>
      </c>
      <c r="JK60" s="33">
        <v>16500</v>
      </c>
      <c r="JL60" s="31">
        <f>IF(JK60/(INDEX('Standards for Conversions'!$H$47:$H$73,MATCH(JJ$3,'Standards for Conversions'!$A$47:$A$73,0)))=0,"",JK60/(INDEX('Standards for Conversions'!$H$47:$H$73,MATCH(JJ$3,'Standards for Conversions'!$A$47:$A$73,0))))</f>
        <v>2669.0432454158336</v>
      </c>
      <c r="JM60" s="33" t="s">
        <v>97</v>
      </c>
      <c r="JP60" s="31" t="str">
        <f>IF(JO60/(INDEX('Standards for Conversions'!$H$47:$H$73,MATCH(JN$3,'Standards for Conversions'!$A$47:$A$73,0)))=0,"",JO60/(INDEX('Standards for Conversions'!$H$47:$H$73,MATCH(JN$3,'Standards for Conversions'!$A$47:$A$73,0))))</f>
        <v/>
      </c>
      <c r="JQ60" s="33" t="s">
        <v>97</v>
      </c>
      <c r="JT60" s="31" t="str">
        <f>IF(JS60/(INDEX('Standards for Conversions'!$H$47:$H$73,MATCH(JR$3,'Standards for Conversions'!$A$47:$A$73,0)))=0,"",JS60/(INDEX('Standards for Conversions'!$H$47:$H$73,MATCH(JR$3,'Standards for Conversions'!$A$47:$A$73,0))))</f>
        <v/>
      </c>
      <c r="JU60" s="33" t="s">
        <v>97</v>
      </c>
      <c r="JX60" s="31" t="str">
        <f>IF(JW60/(INDEX('Standards for Conversions'!$H$47:$H$73,MATCH(JV$3,'Standards for Conversions'!$A$47:$A$73,0)))=0,"",JW60/(INDEX('Standards for Conversions'!$H$47:$H$73,MATCH(JV$3,'Standards for Conversions'!$A$47:$A$73,0))))</f>
        <v/>
      </c>
      <c r="JY60" s="33" t="s">
        <v>97</v>
      </c>
      <c r="JZ60" s="33">
        <v>72000</v>
      </c>
      <c r="KA60" s="33">
        <v>14000</v>
      </c>
      <c r="KB60" s="31">
        <f>IF(KA60/(INDEX('Standards for Conversions'!$H$47:$H$73,MATCH(JZ$3,'Standards for Conversions'!$A$47:$A$73,0)))=0,"",KA60/(INDEX('Standards for Conversions'!$H$47:$H$73,MATCH(JZ$3,'Standards for Conversions'!$A$47:$A$73,0))))</f>
        <v>2137.1824939891658</v>
      </c>
      <c r="KC60" s="33" t="s">
        <v>97</v>
      </c>
      <c r="KF60" s="31" t="str">
        <f>IF(KE60/(INDEX('Standards for Conversions'!$H$47:$H$73,MATCH(KD$3,'Standards for Conversions'!$A$47:$A$73,0)))=0,"",KE60/(INDEX('Standards for Conversions'!$H$47:$H$73,MATCH(KD$3,'Standards for Conversions'!$A$47:$A$73,0))))</f>
        <v/>
      </c>
      <c r="KG60" s="33" t="s">
        <v>97</v>
      </c>
      <c r="KJ60" s="31" t="str">
        <f>IF(KI60/(INDEX('Standards for Conversions'!$H$47:$H$73,MATCH(KH$3,'Standards for Conversions'!$A$47:$A$73,0)))=0,"",KI60/(INDEX('Standards for Conversions'!$H$47:$H$73,MATCH(KH$3,'Standards for Conversions'!$A$47:$A$73,0))))</f>
        <v/>
      </c>
      <c r="KK60" s="33" t="s">
        <v>97</v>
      </c>
      <c r="KN60" s="31" t="str">
        <f>IF(KM60/(INDEX('Standards for Conversions'!$H$47:$H$73,MATCH(KL$3,'Standards for Conversions'!$A$47:$A$73,0)))=0,"",KM60/(INDEX('Standards for Conversions'!$H$47:$H$73,MATCH(KL$3,'Standards for Conversions'!$A$47:$A$73,0))))</f>
        <v/>
      </c>
      <c r="KO60" s="33" t="s">
        <v>97</v>
      </c>
      <c r="KP60" s="33">
        <v>67500</v>
      </c>
      <c r="KQ60" s="33">
        <v>13000</v>
      </c>
      <c r="KR60" s="31">
        <f>IF(KQ60/(INDEX('Standards for Conversions'!$H$47:$H$73,MATCH(KP$3,'Standards for Conversions'!$A$47:$A$73,0)))=0,"",KQ60/(INDEX('Standards for Conversions'!$H$47:$H$73,MATCH(KP$3,'Standards for Conversions'!$A$47:$A$73,0))))</f>
        <v>1750.5671547753541</v>
      </c>
      <c r="KS60" s="33" t="s">
        <v>97</v>
      </c>
      <c r="KV60" s="31" t="str">
        <f>IF(KU60/(INDEX('Standards for Conversions'!$H$47:$H$73,MATCH(KT$3,'Standards for Conversions'!$A$47:$A$73,0)))=0,"",KU60/(INDEX('Standards for Conversions'!$H$47:$H$73,MATCH(KT$3,'Standards for Conversions'!$A$47:$A$73,0))))</f>
        <v/>
      </c>
      <c r="KW60" s="33" t="s">
        <v>97</v>
      </c>
      <c r="KZ60" s="31" t="str">
        <f>IF(KY60/(INDEX('Standards for Conversions'!$H$47:$H$73,MATCH(KX$3,'Standards for Conversions'!$A$47:$A$73,0)))=0,"",KY60/(INDEX('Standards for Conversions'!$H$47:$H$73,MATCH(KX$3,'Standards for Conversions'!$A$47:$A$73,0))))</f>
        <v/>
      </c>
      <c r="LA60" s="33" t="s">
        <v>97</v>
      </c>
      <c r="LD60" s="31" t="str">
        <f>IF(LC60/(INDEX('Standards for Conversions'!$H$47:$H$73,MATCH(LB$3,'Standards for Conversions'!$A$47:$A$73,0)))=0,"",LC60/(INDEX('Standards for Conversions'!$H$47:$H$73,MATCH(LB$3,'Standards for Conversions'!$A$47:$A$73,0))))</f>
        <v/>
      </c>
      <c r="LE60" s="33" t="s">
        <v>97</v>
      </c>
      <c r="LF60" s="33">
        <v>58275</v>
      </c>
      <c r="LG60" s="33">
        <v>10760</v>
      </c>
      <c r="LH60" s="31">
        <f>IF(LG60/(INDEX('Standards for Conversions'!$H$47:$H$73,MATCH(LF$3,'Standards for Conversions'!$A$47:$A$73,0)))=0,"",LG60/(INDEX('Standards for Conversions'!$H$47:$H$73,MATCH(LF$3,'Standards for Conversions'!$A$47:$A$73,0))))</f>
        <v>1308.5942579878911</v>
      </c>
      <c r="LL60" s="31" t="str">
        <f>IF(LK60/(INDEX('Standards for Conversions'!$H$47:$H$73,MATCH(LJ$3,'Standards for Conversions'!$A$47:$A$73,0)))=0,"",LK60/(INDEX('Standards for Conversions'!$H$47:$H$73,MATCH(LJ$3,'Standards for Conversions'!$A$47:$A$73,0))))</f>
        <v/>
      </c>
      <c r="LO60" s="31" t="str">
        <f>IF(LN60/(INDEX('Standards for Conversions'!$H$47:$H$73,MATCH(LM$3,'Standards for Conversions'!$A$47:$A$73,0)))=0,"",LN60/(INDEX('Standards for Conversions'!$H$47:$H$73,MATCH(LM$3,'Standards for Conversions'!$A$47:$A$73,0))))</f>
        <v/>
      </c>
      <c r="LR60" s="31" t="str">
        <f>IF(LQ60/(INDEX('Standards for Conversions'!$H$47:$H$73,MATCH(LP$3,'Standards for Conversions'!$A$47:$A$73,0)))=0,"",LQ60/(INDEX('Standards for Conversions'!$H$47:$H$73,MATCH(LP$3,'Standards for Conversions'!$A$47:$A$73,0))))</f>
        <v/>
      </c>
      <c r="LV60" s="31" t="str">
        <f>IF(LU60/(INDEX('Standards for Conversions'!$H$47:$H$73,MATCH(LT$3,'Standards for Conversions'!$A$47:$A$73,0)))=0,"",LU60/(INDEX('Standards for Conversions'!$H$47:$H$73,MATCH(LT$3,'Standards for Conversions'!$A$47:$A$73,0))))</f>
        <v/>
      </c>
      <c r="LY60" s="31" t="str">
        <f>IF(LX60/(INDEX('Standards for Conversions'!$H$47:$H$73,MATCH(LW$3,'Standards for Conversions'!$A$47:$A$73,0)))=0,"",LX60/(INDEX('Standards for Conversions'!$H$47:$H$73,MATCH(LW$3,'Standards for Conversions'!$A$47:$A$73,0))))</f>
        <v/>
      </c>
      <c r="MB60" s="31" t="str">
        <f>IF(MA60/(INDEX('Standards for Conversions'!$H$47:$H$73,MATCH(LZ$3,'Standards for Conversions'!$A$47:$A$73,0)))=0,"",MA60/(INDEX('Standards for Conversions'!$H$47:$H$73,MATCH(LZ$3,'Standards for Conversions'!$A$47:$A$73,0))))</f>
        <v/>
      </c>
      <c r="ME60" s="31" t="str">
        <f>IF(MD60/(INDEX('Standards for Conversions'!$H$47:$H$73,MATCH(MC$3,'Standards for Conversions'!$A$47:$A$73,0)))=0,"",MD60/(INDEX('Standards for Conversions'!$H$47:$H$73,MATCH(MC$3,'Standards for Conversions'!$A$47:$A$73,0))))</f>
        <v/>
      </c>
      <c r="MH60" s="31" t="str">
        <f>IF(MG60/(INDEX('Standards for Conversions'!$H$47:$H$73,MATCH(MF$3,'Standards for Conversions'!$A$47:$A$73,0)))=0,"",MG60/(INDEX('Standards for Conversions'!$H$47:$H$73,MATCH(MF$3,'Standards for Conversions'!$A$47:$A$73,0))))</f>
        <v/>
      </c>
      <c r="MK60" s="31" t="str">
        <f>IF(MJ60/(INDEX('Standards for Conversions'!$H$47:$H$73,MATCH(MI$3,'Standards for Conversions'!$A$47:$A$73,0)))=0,"",MJ60/(INDEX('Standards for Conversions'!$H$47:$H$73,MATCH(MI$3,'Standards for Conversions'!$A$47:$A$73,0))))</f>
        <v/>
      </c>
      <c r="MN60" s="31" t="str">
        <f>IF(MM60/(INDEX('Standards for Conversions'!$H$47:$H$73,MATCH(ML$3,'Standards for Conversions'!$A$47:$A$73,0)))=0,"",MM60/(INDEX('Standards for Conversions'!$H$47:$H$73,MATCH(ML$3,'Standards for Conversions'!$A$47:$A$73,0))))</f>
        <v/>
      </c>
      <c r="MR60" s="31" t="str">
        <f>IF(MQ60/(INDEX('Standards for Conversions'!$H$47:$H$73,MATCH(MP$3,'Standards for Conversions'!$A$47:$A$73,0)))=0,"",MQ60/(INDEX('Standards for Conversions'!$H$47:$H$73,MATCH(MP$3,'Standards for Conversions'!$A$47:$A$73,0))))</f>
        <v/>
      </c>
      <c r="NE60" s="33" t="s">
        <v>97</v>
      </c>
      <c r="NF60" s="33">
        <v>97000</v>
      </c>
      <c r="NG60" s="33">
        <v>3334</v>
      </c>
      <c r="NH60" s="33">
        <v>97624</v>
      </c>
      <c r="NI60" s="33">
        <v>2746</v>
      </c>
    </row>
    <row r="61" spans="1:373" s="33" customFormat="1" x14ac:dyDescent="0.3">
      <c r="A61" s="102" t="s">
        <v>159</v>
      </c>
      <c r="B61" s="10" t="s">
        <v>97</v>
      </c>
      <c r="C61" s="9"/>
      <c r="D61" s="9"/>
      <c r="E61" s="31" t="str">
        <f>IF(D61/(INDEX('Standards for Conversions'!$H$34:$H$73,MATCH(C$3,'Standards for Conversions'!$A$34:$A$73,0)))=0,"",D61/(INDEX('Standards for Conversions'!$H$34:$H$73,MATCH(C$3,'Standards for Conversions'!$A$34:$A$73,0))))</f>
        <v/>
      </c>
      <c r="F61" s="10" t="s">
        <v>97</v>
      </c>
      <c r="G61" s="9"/>
      <c r="H61" s="9"/>
      <c r="I61" s="31" t="str">
        <f>IF(H61/(INDEX('Standards for Conversions'!$H$34:$H$73,MATCH(G$3,'Standards for Conversions'!$A$34:$A$73,0)))=0,"",H61/(INDEX('Standards for Conversions'!$H$34:$H$73,MATCH(G$3,'Standards for Conversions'!$A$34:$A$73,0))))</f>
        <v/>
      </c>
      <c r="J61" s="10" t="s">
        <v>97</v>
      </c>
      <c r="K61" s="9"/>
      <c r="L61" s="9"/>
      <c r="M61" s="31" t="str">
        <f>IF(L61/(INDEX('Standards for Conversions'!$H$34:$H$73,MATCH(K$3,'Standards for Conversions'!$A$34:$A$73,0)))=0,"",L61/(INDEX('Standards for Conversions'!$H$34:$H$73,MATCH(K$3,'Standards for Conversions'!$A$34:$A$73,0))))</f>
        <v/>
      </c>
      <c r="N61" s="10" t="s">
        <v>42</v>
      </c>
      <c r="O61" s="9">
        <v>7000</v>
      </c>
      <c r="P61" s="9">
        <v>55000</v>
      </c>
      <c r="Q61" s="31">
        <f>IF(P61/(INDEX('Standards for Conversions'!$H$34:$H$73,MATCH(O$3,'Standards for Conversions'!$A$34:$A$73,0)))=0,"",P61/(INDEX('Standards for Conversions'!$H$34:$H$73,MATCH(O$3,'Standards for Conversions'!$A$34:$A$73,0))))</f>
        <v>10864.822635135133</v>
      </c>
      <c r="R61" s="10" t="s">
        <v>97</v>
      </c>
      <c r="S61" s="9"/>
      <c r="T61" s="9"/>
      <c r="U61" s="31" t="str">
        <f>IF(T61/(INDEX('Standards for Conversions'!$H$34:$H$73,MATCH(S$3,'Standards for Conversions'!$A$34:$A$73,0)))=0,"",T61/(INDEX('Standards for Conversions'!$H$34:$H$73,MATCH(S$3,'Standards for Conversions'!$A$34:$A$73,0))))</f>
        <v/>
      </c>
      <c r="V61" s="10" t="s">
        <v>97</v>
      </c>
      <c r="W61" s="9"/>
      <c r="X61" s="9"/>
      <c r="Y61" s="31" t="str">
        <f>IF(X61/(INDEX('Standards for Conversions'!$H$34:$H$73,MATCH(W$3,'Standards for Conversions'!$A$34:$A$73,0)))=0,"",X61/(INDEX('Standards for Conversions'!$H$34:$H$73,MATCH(W$3,'Standards for Conversions'!$A$34:$A$73,0))))</f>
        <v/>
      </c>
      <c r="Z61" s="10" t="s">
        <v>97</v>
      </c>
      <c r="AA61" s="9"/>
      <c r="AB61" s="9"/>
      <c r="AC61" s="31" t="str">
        <f>IF(AB61/(INDEX('Standards for Conversions'!$H$34:$H$73,MATCH(AA$3,'Standards for Conversions'!$A$34:$A$73,0)))=0,"",AB61/(INDEX('Standards for Conversions'!$H$34:$H$73,MATCH(AA$3,'Standards for Conversions'!$A$34:$A$73,0))))</f>
        <v/>
      </c>
      <c r="AD61" s="10" t="s">
        <v>42</v>
      </c>
      <c r="AE61" s="9">
        <v>7000</v>
      </c>
      <c r="AF61" s="9">
        <v>55000</v>
      </c>
      <c r="AG61" s="31">
        <f>IF(AF61/(INDEX('Standards for Conversions'!$H$34:$H$73,MATCH(AE$3,'Standards for Conversions'!$A$34:$A$73,0)))=0,"",AF61/(INDEX('Standards for Conversions'!$H$34:$H$73,MATCH(AE$3,'Standards for Conversions'!$A$34:$A$73,0))))</f>
        <v>10596.98670736653</v>
      </c>
      <c r="AH61" s="10" t="s">
        <v>97</v>
      </c>
      <c r="AI61" s="9"/>
      <c r="AJ61" s="9"/>
      <c r="AK61" s="31" t="str">
        <f>IF(AJ61/(INDEX('Standards for Conversions'!$H$34:$H$73,MATCH(AI$3,'Standards for Conversions'!$A$34:$A$73,0)))=0,"",AJ61/(INDEX('Standards for Conversions'!$H$34:$H$73,MATCH(AI$3,'Standards for Conversions'!$A$34:$A$73,0))))</f>
        <v/>
      </c>
      <c r="AL61" s="10" t="s">
        <v>97</v>
      </c>
      <c r="AM61" s="9"/>
      <c r="AN61" s="9"/>
      <c r="AO61" s="31" t="str">
        <f>IF(AN61/(INDEX('Standards for Conversions'!$H$34:$H$73,MATCH(AM$3,'Standards for Conversions'!$A$34:$A$73,0)))=0,"",AN61/(INDEX('Standards for Conversions'!$H$34:$H$73,MATCH(AM$3,'Standards for Conversions'!$A$34:$A$73,0))))</f>
        <v/>
      </c>
      <c r="AP61" s="10" t="s">
        <v>97</v>
      </c>
      <c r="AQ61" s="9"/>
      <c r="AR61" s="9"/>
      <c r="AS61" s="31" t="str">
        <f>IF(AR61/(INDEX('Standards for Conversions'!$H$34:$H$73,MATCH(AQ$3,'Standards for Conversions'!$A$34:$A$73,0)))=0,"",AR61/(INDEX('Standards for Conversions'!$H$34:$H$73,MATCH(AQ$3,'Standards for Conversions'!$A$34:$A$73,0))))</f>
        <v/>
      </c>
      <c r="AT61" s="10" t="s">
        <v>42</v>
      </c>
      <c r="AU61" s="9">
        <v>5000</v>
      </c>
      <c r="AV61" s="9">
        <v>42000</v>
      </c>
      <c r="AW61" s="31">
        <f>IF(AV61/(INDEX('Standards for Conversions'!$H$34:$H$73,MATCH(AU$3,'Standards for Conversions'!$A$34:$A$73,0)))=0,"",AV61/(INDEX('Standards for Conversions'!$H$34:$H$73,MATCH(AU$3,'Standards for Conversions'!$A$34:$A$73,0))))</f>
        <v>7505.3343616928814</v>
      </c>
      <c r="AX61" s="10" t="s">
        <v>97</v>
      </c>
      <c r="AY61" s="9"/>
      <c r="AZ61" s="9"/>
      <c r="BA61" s="31" t="str">
        <f>IF(AZ61/(INDEX('Standards for Conversions'!$H$34:$H$73,MATCH(AY$3,'Standards for Conversions'!$A$34:$A$73,0)))=0,"",AZ61/(INDEX('Standards for Conversions'!$H$34:$H$73,MATCH(AY$3,'Standards for Conversions'!$A$34:$A$73,0))))</f>
        <v/>
      </c>
      <c r="BB61" s="10" t="s">
        <v>97</v>
      </c>
      <c r="BC61" s="9"/>
      <c r="BD61" s="9"/>
      <c r="BE61" s="31" t="str">
        <f>IF(BD61/(INDEX('Standards for Conversions'!$H$34:$H$73,MATCH(BC$3,'Standards for Conversions'!$A$34:$A$73,0)))=0,"",BD61/(INDEX('Standards for Conversions'!$H$34:$H$73,MATCH(BC$3,'Standards for Conversions'!$A$34:$A$73,0))))</f>
        <v/>
      </c>
      <c r="BF61" s="10" t="s">
        <v>97</v>
      </c>
      <c r="BG61" s="9"/>
      <c r="BH61" s="9"/>
      <c r="BI61" s="31" t="str">
        <f>IF(BH61/(INDEX('Standards for Conversions'!$H$34:$H$73,MATCH(BG$3,'Standards for Conversions'!$A$34:$A$73,0)))=0,"",BH61/(INDEX('Standards for Conversions'!$H$34:$H$73,MATCH(BG$3,'Standards for Conversions'!$A$34:$A$73,0))))</f>
        <v/>
      </c>
      <c r="BJ61" s="10" t="s">
        <v>42</v>
      </c>
      <c r="BK61" s="9">
        <v>5000</v>
      </c>
      <c r="BL61" s="9">
        <v>60000</v>
      </c>
      <c r="BM61" s="31">
        <f>IF(BL61/(INDEX('Standards for Conversions'!$H$34:$H$73,MATCH(BK$3,'Standards for Conversions'!$A$34:$A$73,0)))=0,"",BL61/(INDEX('Standards for Conversions'!$H$34:$H$73,MATCH(BK$3,'Standards for Conversions'!$A$34:$A$73,0))))</f>
        <v>11141.127683149387</v>
      </c>
      <c r="BN61" s="10" t="s">
        <v>97</v>
      </c>
      <c r="BO61" s="9"/>
      <c r="BP61" s="9"/>
      <c r="BQ61" s="31" t="str">
        <f>IF(BP61/(INDEX('Standards for Conversions'!$H$34:$H$73,MATCH(BO$3,'Standards for Conversions'!$A$34:$A$73,0)))=0,"",BP61/(INDEX('Standards for Conversions'!$H$34:$H$73,MATCH(BO$3,'Standards for Conversions'!$A$34:$A$73,0))))</f>
        <v/>
      </c>
      <c r="BR61" s="10" t="s">
        <v>97</v>
      </c>
      <c r="BS61" s="9"/>
      <c r="BT61" s="9"/>
      <c r="BU61" s="31" t="str">
        <f>IF(BT61/(INDEX('Standards for Conversions'!$H$34:$H$73,MATCH(BS$3,'Standards for Conversions'!$A$34:$A$73,0)))=0,"",BT61/(INDEX('Standards for Conversions'!$H$34:$H$73,MATCH(BS$3,'Standards for Conversions'!$A$34:$A$73,0))))</f>
        <v/>
      </c>
      <c r="BV61" s="10" t="s">
        <v>97</v>
      </c>
      <c r="BW61" s="9"/>
      <c r="BX61" s="9"/>
      <c r="BY61" s="31" t="str">
        <f>IF(BX61/(INDEX('Standards for Conversions'!$H$34:$H$73,MATCH(BW$3,'Standards for Conversions'!$A$34:$A$73,0)))=0,"",BX61/(INDEX('Standards for Conversions'!$H$34:$H$73,MATCH(BW$3,'Standards for Conversions'!$A$34:$A$73,0))))</f>
        <v/>
      </c>
      <c r="BZ61" s="10" t="s">
        <v>42</v>
      </c>
      <c r="CA61" s="9">
        <v>4600</v>
      </c>
      <c r="CB61" s="9">
        <v>32000</v>
      </c>
      <c r="CC61" s="31">
        <f>IF(CB61/(INDEX('Standards for Conversions'!$H$34:$H$73,MATCH(CA$3,'Standards for Conversions'!$A$34:$A$73,0)))=0,"",CB61/(INDEX('Standards for Conversions'!$H$34:$H$73,MATCH(CA$3,'Standards for Conversions'!$A$34:$A$73,0))))</f>
        <v>5698.0241012716888</v>
      </c>
      <c r="CD61" s="10" t="s">
        <v>97</v>
      </c>
      <c r="CE61" s="9"/>
      <c r="CF61" s="9"/>
      <c r="CG61" s="31" t="str">
        <f>IF(CF61/(INDEX('Standards for Conversions'!$H$34:$H$73,MATCH(CE$3,'Standards for Conversions'!$A$34:$A$73,0)))=0,"",CF61/(INDEX('Standards for Conversions'!$H$34:$H$73,MATCH(CE$3,'Standards for Conversions'!$A$34:$A$73,0))))</f>
        <v/>
      </c>
      <c r="CH61" s="10" t="s">
        <v>97</v>
      </c>
      <c r="CI61" s="9"/>
      <c r="CJ61" s="9"/>
      <c r="CK61" s="31" t="str">
        <f>IF(CJ61/(INDEX('Standards for Conversions'!$H$34:$H$73,MATCH(CI$3,'Standards for Conversions'!$A$34:$A$73,0)))=0,"",CJ61/(INDEX('Standards for Conversions'!$H$34:$H$73,MATCH(CI$3,'Standards for Conversions'!$A$34:$A$73,0))))</f>
        <v/>
      </c>
      <c r="CL61" s="10" t="s">
        <v>97</v>
      </c>
      <c r="CM61" s="9"/>
      <c r="CN61" s="9"/>
      <c r="CO61" s="31" t="str">
        <f>IF(CN61/(INDEX('Standards for Conversions'!$H$34:$H$73,MATCH(CM$3,'Standards for Conversions'!$A$34:$A$73,0)))=0,"",CN61/(INDEX('Standards for Conversions'!$H$34:$H$73,MATCH(CM$3,'Standards for Conversions'!$A$34:$A$73,0))))</f>
        <v/>
      </c>
      <c r="CP61" s="10" t="s">
        <v>42</v>
      </c>
      <c r="CQ61" s="9">
        <v>4500</v>
      </c>
      <c r="CR61" s="9">
        <v>50000</v>
      </c>
      <c r="CS61" s="31">
        <f>IF(CR61/(INDEX('Standards for Conversions'!$H$34:$H$73,MATCH(CQ$3,'Standards for Conversions'!$A$34:$A$73,0)))=0,"",CR61/(INDEX('Standards for Conversions'!$H$34:$H$73,MATCH(CQ$3,'Standards for Conversions'!$A$34:$A$73,0))))</f>
        <v>8680.848251788766</v>
      </c>
      <c r="CT61" s="10" t="s">
        <v>97</v>
      </c>
      <c r="CU61" s="9"/>
      <c r="CV61" s="9"/>
      <c r="CW61" s="31" t="str">
        <f>IF(CV61/(INDEX('Standards for Conversions'!$H$34:$H$73,MATCH(CU$3,'Standards for Conversions'!$A$34:$A$73,0)))=0,"",CV61/(INDEX('Standards for Conversions'!$H$34:$H$73,MATCH(CU$3,'Standards for Conversions'!$A$34:$A$73,0))))</f>
        <v/>
      </c>
      <c r="CX61" s="10" t="s">
        <v>97</v>
      </c>
      <c r="CY61" s="9"/>
      <c r="CZ61" s="9"/>
      <c r="DA61" s="31" t="str">
        <f>IF(CZ61/(INDEX('Standards for Conversions'!$H$34:$H$73,MATCH(CY$3,'Standards for Conversions'!$A$34:$A$73,0)))=0,"",CZ61/(INDEX('Standards for Conversions'!$H$34:$H$73,MATCH(CY$3,'Standards for Conversions'!$A$34:$A$73,0))))</f>
        <v/>
      </c>
      <c r="DB61" s="10" t="s">
        <v>97</v>
      </c>
      <c r="DC61" s="9"/>
      <c r="DD61" s="9"/>
      <c r="DE61" s="31" t="str">
        <f>IF(DD61/(INDEX('Standards for Conversions'!$H$34:$H$73,MATCH(DC$3,'Standards for Conversions'!$A$34:$A$73,0)))=0,"",DD61/(INDEX('Standards for Conversions'!$H$34:$H$73,MATCH(DC$3,'Standards for Conversions'!$A$34:$A$73,0))))</f>
        <v/>
      </c>
      <c r="DF61" s="10" t="s">
        <v>42</v>
      </c>
      <c r="DG61" s="9">
        <v>5300</v>
      </c>
      <c r="DH61" s="9">
        <v>70000</v>
      </c>
      <c r="DI61" s="31">
        <f>IF(DH61/(INDEX('Standards for Conversions'!$H$34:$H$73,MATCH(DG$3,'Standards for Conversions'!$A$34:$A$73,0)))=0,"",DH61/(INDEX('Standards for Conversions'!$H$34:$H$73,MATCH(DG$3,'Standards for Conversions'!$A$34:$A$73,0))))</f>
        <v>12390.322919382405</v>
      </c>
      <c r="DJ61" s="10" t="s">
        <v>97</v>
      </c>
      <c r="DK61" s="9"/>
      <c r="DL61" s="9"/>
      <c r="DM61" s="31" t="str">
        <f>IF(DL61/(INDEX('Standards for Conversions'!$H$34:$H$73,MATCH(DK$3,'Standards for Conversions'!$A$34:$A$73,0)))=0,"",DL61/(INDEX('Standards for Conversions'!$H$34:$H$73,MATCH(DK$3,'Standards for Conversions'!$A$34:$A$73,0))))</f>
        <v/>
      </c>
      <c r="DN61" s="10" t="s">
        <v>97</v>
      </c>
      <c r="DO61" s="9"/>
      <c r="DP61" s="9"/>
      <c r="DQ61" s="31" t="str">
        <f>IF(DP61/(INDEX('Standards for Conversions'!$H$34:$H$73,MATCH(DO$3,'Standards for Conversions'!$A$34:$A$73,0)))=0,"",DP61/(INDEX('Standards for Conversions'!$H$34:$H$73,MATCH(DO$3,'Standards for Conversions'!$A$34:$A$73,0))))</f>
        <v/>
      </c>
      <c r="DR61" s="10" t="s">
        <v>97</v>
      </c>
      <c r="DS61" s="9"/>
      <c r="DT61" s="9"/>
      <c r="DU61" s="31" t="str">
        <f>IF(DT61/(INDEX('Standards for Conversions'!$H$34:$H$73,MATCH(DS$3,'Standards for Conversions'!$A$34:$A$73,0)))=0,"",DT61/(INDEX('Standards for Conversions'!$H$34:$H$73,MATCH(DS$3,'Standards for Conversions'!$A$34:$A$73,0))))</f>
        <v/>
      </c>
      <c r="DV61" s="10" t="s">
        <v>42</v>
      </c>
      <c r="DW61" s="9">
        <v>6000</v>
      </c>
      <c r="DX61" s="9">
        <v>75000</v>
      </c>
      <c r="DY61" s="31">
        <f>IF(DX61/(INDEX('Standards for Conversions'!$H$34:$H$73,MATCH(DW$3,'Standards for Conversions'!$A$34:$A$73,0)))=0,"",DX61/(INDEX('Standards for Conversions'!$H$34:$H$73,MATCH(DW$3,'Standards for Conversions'!$A$34:$A$73,0))))</f>
        <v>13132.429580907274</v>
      </c>
      <c r="DZ61" s="10" t="s">
        <v>97</v>
      </c>
      <c r="EA61" s="9"/>
      <c r="EB61" s="9"/>
      <c r="EC61" s="31" t="str">
        <f>IF(EB61/(INDEX('Standards for Conversions'!$H$34:$H$73,MATCH(EA$3,'Standards for Conversions'!$A$34:$A$73,0)))=0,"",EB61/(INDEX('Standards for Conversions'!$H$34:$H$73,MATCH(EA$3,'Standards for Conversions'!$A$34:$A$73,0))))</f>
        <v/>
      </c>
      <c r="ED61" s="10" t="s">
        <v>97</v>
      </c>
      <c r="EE61" s="9"/>
      <c r="EF61" s="9"/>
      <c r="EG61" s="31" t="str">
        <f>IF(EF61/(INDEX('Standards for Conversions'!$H$34:$H$73,MATCH(EE$3,'Standards for Conversions'!$A$34:$A$73,0)))=0,"",EF61/(INDEX('Standards for Conversions'!$H$34:$H$73,MATCH(EE$3,'Standards for Conversions'!$A$34:$A$73,0))))</f>
        <v/>
      </c>
      <c r="EH61" s="10" t="s">
        <v>97</v>
      </c>
      <c r="EI61" s="9"/>
      <c r="EJ61" s="9"/>
      <c r="EK61" s="31" t="str">
        <f>IF(EJ61/(INDEX('Standards for Conversions'!$H$34:$H$73,MATCH(EI$3,'Standards for Conversions'!$A$34:$A$73,0)))=0,"",EJ61/(INDEX('Standards for Conversions'!$H$34:$H$73,MATCH(EI$3,'Standards for Conversions'!$A$34:$A$73,0))))</f>
        <v/>
      </c>
      <c r="EL61" s="10" t="s">
        <v>42</v>
      </c>
      <c r="EM61" s="7">
        <v>6268</v>
      </c>
      <c r="EN61" s="7">
        <v>34630</v>
      </c>
      <c r="EO61" s="31">
        <f>IF(EN61/(INDEX('Standards for Conversions'!$H$34:$H$73,MATCH(EM$3,'Standards for Conversions'!$A$34:$A$73,0)))=0,"",EN61/(INDEX('Standards for Conversions'!$H$34:$H$73,MATCH(EM$3,'Standards for Conversions'!$A$34:$A$73,0))))</f>
        <v>6056.3483443049154</v>
      </c>
      <c r="EP61" s="10" t="s">
        <v>97</v>
      </c>
      <c r="EQ61" s="7"/>
      <c r="ER61" s="7"/>
      <c r="ES61" s="31" t="str">
        <f>IF(ER61/(INDEX('Standards for Conversions'!$H$34:$H$73,MATCH(EQ$3,'Standards for Conversions'!$A$34:$A$73,0)))=0,"",ER61/(INDEX('Standards for Conversions'!$H$34:$H$73,MATCH(EQ$3,'Standards for Conversions'!$A$34:$A$73,0))))</f>
        <v/>
      </c>
      <c r="ET61" s="10" t="s">
        <v>97</v>
      </c>
      <c r="EU61" s="7"/>
      <c r="EV61" s="7"/>
      <c r="EW61" s="31" t="str">
        <f>IF(EV61/(INDEX('Standards for Conversions'!$H$34:$H$73,MATCH(EU$3,'Standards for Conversions'!$A$34:$A$73,0)))=0,"",EV61/(INDEX('Standards for Conversions'!$H$34:$H$73,MATCH(EU$3,'Standards for Conversions'!$A$34:$A$73,0))))</f>
        <v/>
      </c>
      <c r="EX61" s="10" t="s">
        <v>97</v>
      </c>
      <c r="EY61" s="9"/>
      <c r="EZ61" s="9"/>
      <c r="FA61" s="31" t="str">
        <f>IF(EZ61/(INDEX('Standards for Conversions'!$H$34:$H$73,MATCH(EY$3,'Standards for Conversions'!$A$34:$A$73,0)))=0,"",EZ61/(INDEX('Standards for Conversions'!$H$34:$H$73,MATCH(EY$3,'Standards for Conversions'!$A$34:$A$73,0))))</f>
        <v/>
      </c>
      <c r="FB61" s="6" t="s">
        <v>42</v>
      </c>
      <c r="FC61" s="7">
        <v>4037</v>
      </c>
      <c r="FD61" s="7">
        <v>20625</v>
      </c>
      <c r="FE61" s="31">
        <f>IF(FD61/(INDEX('Standards for Conversions'!$H$34:$H$73,MATCH(FC$3,'Standards for Conversions'!$A$34:$A$73,0)))=0,"",FD61/(INDEX('Standards for Conversions'!$H$34:$H$73,MATCH(FC$3,'Standards for Conversions'!$A$34:$A$73,0))))</f>
        <v>3532.8141124695831</v>
      </c>
      <c r="FF61" s="10" t="s">
        <v>97</v>
      </c>
      <c r="FG61" s="7"/>
      <c r="FH61" s="7"/>
      <c r="FI61" s="31" t="str">
        <f>IF(FH61/(INDEX('Standards for Conversions'!$H$34:$H$73,MATCH(FG$3,'Standards for Conversions'!$A$34:$A$73,0)))=0,"",FH61/(INDEX('Standards for Conversions'!$H$34:$H$73,MATCH(FG$3,'Standards for Conversions'!$A$34:$A$73,0))))</f>
        <v/>
      </c>
      <c r="FJ61" s="10" t="s">
        <v>97</v>
      </c>
      <c r="FK61" s="7"/>
      <c r="FL61" s="7"/>
      <c r="FM61" s="31" t="str">
        <f>IF(FL61/(INDEX('Standards for Conversions'!$H$34:$H$73,MATCH(FK$3,'Standards for Conversions'!$A$34:$A$73,0)))=0,"",FL61/(INDEX('Standards for Conversions'!$H$34:$H$73,MATCH(FK$3,'Standards for Conversions'!$A$34:$A$73,0))))</f>
        <v/>
      </c>
      <c r="FN61" s="10" t="s">
        <v>97</v>
      </c>
      <c r="FO61" s="9"/>
      <c r="FP61" s="9"/>
      <c r="FQ61" s="31" t="str">
        <f>IF(FP61/(INDEX('Standards for Conversions'!$H$34:$H$73,MATCH(FO$3,'Standards for Conversions'!$A$34:$A$73,0)))=0,"",FP61/(INDEX('Standards for Conversions'!$H$34:$H$73,MATCH(FO$3,'Standards for Conversions'!$A$34:$A$73,0))))</f>
        <v/>
      </c>
      <c r="FR61" s="10" t="s">
        <v>97</v>
      </c>
      <c r="FS61" s="7">
        <f>9*3500</f>
        <v>31500</v>
      </c>
      <c r="FT61" s="7">
        <v>20000</v>
      </c>
      <c r="FU61" s="31">
        <f>IF(FT61/(INDEX('Standards for Conversions'!$H$34:$H$73,MATCH(FS$3,'Standards for Conversions'!$A$34:$A$73,0)))=0,"",FT61/(INDEX('Standards for Conversions'!$H$34:$H$73,MATCH(FS$3,'Standards for Conversions'!$A$34:$A$73,0))))</f>
        <v>3429.9936994872683</v>
      </c>
      <c r="FV61" s="10" t="s">
        <v>97</v>
      </c>
      <c r="FW61" s="7"/>
      <c r="FX61" s="7"/>
      <c r="FY61" s="31" t="str">
        <f>IF(FX61/(INDEX('Standards for Conversions'!$H$34:$H$73,MATCH(FW$3,'Standards for Conversions'!$A$34:$A$73,0)))=0,"",FX61/(INDEX('Standards for Conversions'!$H$34:$H$73,MATCH(FW$3,'Standards for Conversions'!$A$34:$A$73,0))))</f>
        <v/>
      </c>
      <c r="FZ61" s="10" t="s">
        <v>97</v>
      </c>
      <c r="GA61" s="7"/>
      <c r="GB61" s="7"/>
      <c r="GC61" s="31" t="str">
        <f>IF(GB61/(INDEX('Standards for Conversions'!$H$34:$H$73,MATCH(GA$3,'Standards for Conversions'!$A$34:$A$73,0)))=0,"",GB61/(INDEX('Standards for Conversions'!$H$34:$H$73,MATCH(GA$3,'Standards for Conversions'!$A$34:$A$73,0))))</f>
        <v/>
      </c>
      <c r="GD61" s="10" t="s">
        <v>97</v>
      </c>
      <c r="GE61" s="9"/>
      <c r="GF61" s="9"/>
      <c r="GG61" s="31" t="str">
        <f>IF(GF61/(INDEX('Standards for Conversions'!$H$34:$H$73,MATCH(GE$3,'Standards for Conversions'!$A$34:$A$73,0)))=0,"",GF61/(INDEX('Standards for Conversions'!$H$34:$H$73,MATCH(GE$3,'Standards for Conversions'!$A$34:$A$73,0))))</f>
        <v/>
      </c>
      <c r="GH61" s="10" t="s">
        <v>97</v>
      </c>
      <c r="GI61" s="7">
        <f>9*4100</f>
        <v>36900</v>
      </c>
      <c r="GJ61" s="7">
        <v>17000</v>
      </c>
      <c r="GK61" s="31">
        <f>IF(GJ61/(INDEX('Standards for Conversions'!$H$34:$H$73,MATCH(GI$3,'Standards for Conversions'!$A$34:$A$73,0)))=0,"",GJ61/(INDEX('Standards for Conversions'!$H$34:$H$73,MATCH(GI$3,'Standards for Conversions'!$A$34:$A$73,0))))</f>
        <v>2796.7152331189709</v>
      </c>
      <c r="GL61" s="10" t="s">
        <v>97</v>
      </c>
      <c r="GM61" s="7"/>
      <c r="GN61" s="7"/>
      <c r="GO61" s="31" t="str">
        <f>IF(GN61/(INDEX('Standards for Conversions'!$H$34:$H$73,MATCH(GM$3,'Standards for Conversions'!$A$34:$A$73,0)))=0,"",GN61/(INDEX('Standards for Conversions'!$H$34:$H$73,MATCH(GM$3,'Standards for Conversions'!$A$34:$A$73,0))))</f>
        <v/>
      </c>
      <c r="GP61" s="10" t="s">
        <v>97</v>
      </c>
      <c r="GQ61" s="7"/>
      <c r="GR61" s="7"/>
      <c r="GS61" s="31" t="str">
        <f>IF(GR61/(INDEX('Standards for Conversions'!$H$34:$H$73,MATCH(GQ$3,'Standards for Conversions'!$A$34:$A$73,0)))=0,"",GR61/(INDEX('Standards for Conversions'!$H$34:$H$73,MATCH(GQ$3,'Standards for Conversions'!$A$34:$A$73,0))))</f>
        <v/>
      </c>
      <c r="GT61" s="10" t="s">
        <v>97</v>
      </c>
      <c r="GU61" s="9"/>
      <c r="GV61" s="9"/>
      <c r="GW61" s="31" t="str">
        <f>IF(GV61/(INDEX('Standards for Conversions'!$H$34:$H$73,MATCH(GU$3,'Standards for Conversions'!$A$34:$A$73,0)))=0,"",GV61/(INDEX('Standards for Conversions'!$H$34:$H$73,MATCH(GU$3,'Standards for Conversions'!$A$34:$A$73,0))))</f>
        <v/>
      </c>
      <c r="GX61" s="10" t="s">
        <v>97</v>
      </c>
      <c r="GY61" s="7">
        <f>9*3500</f>
        <v>31500</v>
      </c>
      <c r="GZ61" s="7">
        <v>12000</v>
      </c>
      <c r="HA61" s="31">
        <f>IF(GZ61/(INDEX('Standards for Conversions'!$H$34:$H$73,MATCH(GY$3,'Standards for Conversions'!$A$34:$A$73,0)))=0,"",GZ61/(INDEX('Standards for Conversions'!$H$34:$H$73,MATCH(GY$3,'Standards for Conversions'!$A$34:$A$73,0))))</f>
        <v>1844.5743895020423</v>
      </c>
      <c r="HB61" s="10" t="s">
        <v>97</v>
      </c>
      <c r="HC61" s="7"/>
      <c r="HD61" s="7"/>
      <c r="HE61" s="31" t="str">
        <f>IF(HD61/(INDEX('Standards for Conversions'!$H$34:$H$73,MATCH(HC$3,'Standards for Conversions'!$A$34:$A$73,0)))=0,"",HD61/(INDEX('Standards for Conversions'!$H$34:$H$73,MATCH(HC$3,'Standards for Conversions'!$A$34:$A$73,0))))</f>
        <v/>
      </c>
      <c r="HF61" s="10" t="s">
        <v>97</v>
      </c>
      <c r="HG61" s="7"/>
      <c r="HH61" s="7"/>
      <c r="HI61" s="31" t="str">
        <f>IF(HH61/(INDEX('Standards for Conversions'!$H$34:$H$73,MATCH(HG$3,'Standards for Conversions'!$A$34:$A$73,0)))=0,"",HH61/(INDEX('Standards for Conversions'!$H$34:$H$73,MATCH(HG$3,'Standards for Conversions'!$A$34:$A$73,0))))</f>
        <v/>
      </c>
      <c r="HJ61" s="10" t="s">
        <v>97</v>
      </c>
      <c r="HK61" s="9"/>
      <c r="HL61" s="9"/>
      <c r="HM61" s="31" t="str">
        <f>IF(HL61/(INDEX('Standards for Conversions'!$H$34:$H$73,MATCH(HK$3,'Standards for Conversions'!$A$34:$A$73,0)))=0,"",HL61/(INDEX('Standards for Conversions'!$H$34:$H$73,MATCH(HK$3,'Standards for Conversions'!$A$34:$A$73,0))))</f>
        <v/>
      </c>
      <c r="HN61" s="10" t="s">
        <v>97</v>
      </c>
      <c r="HO61" s="7">
        <f>9*3200</f>
        <v>28800</v>
      </c>
      <c r="HP61" s="7">
        <v>11000</v>
      </c>
      <c r="HQ61" s="31">
        <f>IF(HP61/(INDEX('Standards for Conversions'!$H$34:$H$73,MATCH(HO$3,'Standards for Conversions'!$A$34:$A$73,0)))=0,"",HP61/(INDEX('Standards for Conversions'!$H$34:$H$73,MATCH(HO$3,'Standards for Conversions'!$A$34:$A$73,0))))</f>
        <v>1665.2407683004544</v>
      </c>
      <c r="HR61" s="33" t="s">
        <v>97</v>
      </c>
      <c r="HU61" s="31" t="str">
        <f>IF(HT61/(INDEX('Standards for Conversions'!$H$47:$H$73,MATCH(HS$3,'Standards for Conversions'!$A$47:$A$73,0)))=0,"",HT61/(INDEX('Standards for Conversions'!$H$47:$H$73,MATCH(HS$3,'Standards for Conversions'!$A$47:$A$73,0))))</f>
        <v/>
      </c>
      <c r="HV61" s="33" t="s">
        <v>97</v>
      </c>
      <c r="HY61" s="31" t="str">
        <f>IF(HX61/(INDEX('Standards for Conversions'!$H$47:$H$73,MATCH(HW$3,'Standards for Conversions'!$A$47:$A$73,0)))=0,"",HX61/(INDEX('Standards for Conversions'!$H$47:$H$73,MATCH(HW$3,'Standards for Conversions'!$A$47:$A$73,0))))</f>
        <v/>
      </c>
      <c r="IB61" s="31" t="str">
        <f>IF(IA61/(INDEX('Standards for Conversions'!$H$47:$H$73,MATCH(HZ$3,'Standards for Conversions'!$A$47:$A$73,0)))=0,"",IA61/(INDEX('Standards for Conversions'!$H$47:$H$73,MATCH(HZ$3,'Standards for Conversions'!$A$47:$A$73,0))))</f>
        <v/>
      </c>
      <c r="IC61" s="33" t="s">
        <v>97</v>
      </c>
      <c r="ID61" s="33">
        <v>31500</v>
      </c>
      <c r="IE61" s="33">
        <v>13000</v>
      </c>
      <c r="IF61" s="31">
        <f>IF(IE61/(INDEX('Standards for Conversions'!$H$47:$H$73,MATCH(ID$3,'Standards for Conversions'!$A$47:$A$73,0)))=0,"",IE61/(INDEX('Standards for Conversions'!$H$47:$H$73,MATCH(ID$3,'Standards for Conversions'!$A$47:$A$73,0))))</f>
        <v>1888.1903587671275</v>
      </c>
      <c r="IG61" s="33" t="s">
        <v>42</v>
      </c>
      <c r="IH61" s="33">
        <v>180</v>
      </c>
      <c r="II61" s="33">
        <v>550</v>
      </c>
      <c r="IJ61" s="31">
        <f>IF(II61/(INDEX('Standards for Conversions'!$H$47:$H$73,MATCH(IH$3,'Standards for Conversions'!$A$47:$A$73,0)))=0,"",II61/(INDEX('Standards for Conversions'!$H$47:$H$73,MATCH(IH$3,'Standards for Conversions'!$A$47:$A$73,0))))</f>
        <v>79.535625506937805</v>
      </c>
      <c r="IK61" s="33" t="s">
        <v>97</v>
      </c>
      <c r="IN61" s="31" t="str">
        <f>IF(IM61/(INDEX('Standards for Conversions'!$H$47:$H$73,MATCH(IL$3,'Standards for Conversions'!$A$47:$A$73,0)))=0,"",IM61/(INDEX('Standards for Conversions'!$H$47:$H$73,MATCH(IL$3,'Standards for Conversions'!$A$47:$A$73,0))))</f>
        <v/>
      </c>
      <c r="IO61" s="33" t="s">
        <v>97</v>
      </c>
      <c r="IR61" s="31" t="str">
        <f>IF(IQ61/(INDEX('Standards for Conversions'!$H$47:$H$73,MATCH(IP$3,'Standards for Conversions'!$A$47:$A$73,0)))=0,"",IQ61/(INDEX('Standards for Conversions'!$H$47:$H$73,MATCH(IP$3,'Standards for Conversions'!$A$47:$A$73,0))))</f>
        <v/>
      </c>
      <c r="IS61" s="33" t="s">
        <v>97</v>
      </c>
      <c r="IT61" s="33">
        <v>41895</v>
      </c>
      <c r="IU61" s="33">
        <v>30368</v>
      </c>
      <c r="IV61" s="31">
        <f>IF(IU61/(INDEX('Standards for Conversions'!$H$47:$H$73,MATCH(IT$3,'Standards for Conversions'!$A$47:$A$73,0)))=0,"",IU61/(INDEX('Standards for Conversions'!$H$47:$H$73,MATCH(IT$3,'Standards for Conversions'!$A$47:$A$73,0))))</f>
        <v>4391.523409808522</v>
      </c>
      <c r="IW61" s="33" t="s">
        <v>97</v>
      </c>
      <c r="IZ61" s="31" t="str">
        <f>IF(IY61/(INDEX('Standards for Conversions'!$H$47:$H$73,MATCH(IX$3,'Standards for Conversions'!$A$47:$A$73,0)))=0,"",IY61/(INDEX('Standards for Conversions'!$H$47:$H$73,MATCH(IX$3,'Standards for Conversions'!$A$47:$A$73,0))))</f>
        <v/>
      </c>
      <c r="JA61" s="33" t="s">
        <v>97</v>
      </c>
      <c r="JD61" s="31" t="str">
        <f>IF(JC61/(INDEX('Standards for Conversions'!$H$47:$H$73,MATCH(JB$3,'Standards for Conversions'!$A$47:$A$73,0)))=0,"",JC61/(INDEX('Standards for Conversions'!$H$47:$H$73,MATCH(JB$3,'Standards for Conversions'!$A$47:$A$73,0))))</f>
        <v/>
      </c>
      <c r="JE61" s="33" t="s">
        <v>97</v>
      </c>
      <c r="JH61" s="31" t="str">
        <f>IF(JG61/(INDEX('Standards for Conversions'!$H$47:$H$73,MATCH(JF$3,'Standards for Conversions'!$A$47:$A$73,0)))=0,"",JG61/(INDEX('Standards for Conversions'!$H$47:$H$73,MATCH(JF$3,'Standards for Conversions'!$A$47:$A$73,0))))</f>
        <v/>
      </c>
      <c r="JI61" s="33" t="s">
        <v>97</v>
      </c>
      <c r="JJ61" s="33">
        <v>30150</v>
      </c>
      <c r="JK61" s="33">
        <v>39200</v>
      </c>
      <c r="JL61" s="31">
        <f>IF(JK61/(INDEX('Standards for Conversions'!$H$47:$H$73,MATCH(JJ$3,'Standards for Conversions'!$A$47:$A$73,0)))=0,"",JK61/(INDEX('Standards for Conversions'!$H$47:$H$73,MATCH(JJ$3,'Standards for Conversions'!$A$47:$A$73,0))))</f>
        <v>6340.9997103212527</v>
      </c>
      <c r="JM61" s="33" t="s">
        <v>97</v>
      </c>
      <c r="JP61" s="31" t="str">
        <f>IF(JO61/(INDEX('Standards for Conversions'!$H$47:$H$73,MATCH(JN$3,'Standards for Conversions'!$A$47:$A$73,0)))=0,"",JO61/(INDEX('Standards for Conversions'!$H$47:$H$73,MATCH(JN$3,'Standards for Conversions'!$A$47:$A$73,0))))</f>
        <v/>
      </c>
      <c r="JQ61" s="33" t="s">
        <v>97</v>
      </c>
      <c r="JT61" s="31" t="str">
        <f>IF(JS61/(INDEX('Standards for Conversions'!$H$47:$H$73,MATCH(JR$3,'Standards for Conversions'!$A$47:$A$73,0)))=0,"",JS61/(INDEX('Standards for Conversions'!$H$47:$H$73,MATCH(JR$3,'Standards for Conversions'!$A$47:$A$73,0))))</f>
        <v/>
      </c>
      <c r="JU61" s="33" t="s">
        <v>97</v>
      </c>
      <c r="JX61" s="31" t="str">
        <f>IF(JW61/(INDEX('Standards for Conversions'!$H$47:$H$73,MATCH(JV$3,'Standards for Conversions'!$A$47:$A$73,0)))=0,"",JW61/(INDEX('Standards for Conversions'!$H$47:$H$73,MATCH(JV$3,'Standards for Conversions'!$A$47:$A$73,0))))</f>
        <v/>
      </c>
      <c r="JY61" s="33" t="s">
        <v>97</v>
      </c>
      <c r="JZ61" s="33">
        <v>27000</v>
      </c>
      <c r="KA61" s="33">
        <v>32000</v>
      </c>
      <c r="KB61" s="31">
        <f>IF(KA61/(INDEX('Standards for Conversions'!$H$47:$H$73,MATCH(JZ$3,'Standards for Conversions'!$A$47:$A$73,0)))=0,"",KA61/(INDEX('Standards for Conversions'!$H$47:$H$73,MATCH(JZ$3,'Standards for Conversions'!$A$47:$A$73,0))))</f>
        <v>4884.9885576895222</v>
      </c>
      <c r="KC61" s="33" t="s">
        <v>97</v>
      </c>
      <c r="KF61" s="31" t="str">
        <f>IF(KE61/(INDEX('Standards for Conversions'!$H$47:$H$73,MATCH(KD$3,'Standards for Conversions'!$A$47:$A$73,0)))=0,"",KE61/(INDEX('Standards for Conversions'!$H$47:$H$73,MATCH(KD$3,'Standards for Conversions'!$A$47:$A$73,0))))</f>
        <v/>
      </c>
      <c r="KG61" s="33" t="s">
        <v>97</v>
      </c>
      <c r="KJ61" s="31" t="str">
        <f>IF(KI61/(INDEX('Standards for Conversions'!$H$47:$H$73,MATCH(KH$3,'Standards for Conversions'!$A$47:$A$73,0)))=0,"",KI61/(INDEX('Standards for Conversions'!$H$47:$H$73,MATCH(KH$3,'Standards for Conversions'!$A$47:$A$73,0))))</f>
        <v/>
      </c>
      <c r="KK61" s="33" t="s">
        <v>97</v>
      </c>
      <c r="KN61" s="31" t="str">
        <f>IF(KM61/(INDEX('Standards for Conversions'!$H$47:$H$73,MATCH(KL$3,'Standards for Conversions'!$A$47:$A$73,0)))=0,"",KM61/(INDEX('Standards for Conversions'!$H$47:$H$73,MATCH(KL$3,'Standards for Conversions'!$A$47:$A$73,0))))</f>
        <v/>
      </c>
      <c r="KO61" s="33" t="s">
        <v>97</v>
      </c>
      <c r="KP61" s="33">
        <v>32400</v>
      </c>
      <c r="KQ61" s="33">
        <v>45000</v>
      </c>
      <c r="KR61" s="31">
        <f>IF(KQ61/(INDEX('Standards for Conversions'!$H$47:$H$73,MATCH(KP$3,'Standards for Conversions'!$A$47:$A$73,0)))=0,"",KQ61/(INDEX('Standards for Conversions'!$H$47:$H$73,MATCH(KP$3,'Standards for Conversions'!$A$47:$A$73,0))))</f>
        <v>6059.6555357608404</v>
      </c>
      <c r="KS61" s="33" t="s">
        <v>97</v>
      </c>
      <c r="KV61" s="31" t="str">
        <f>IF(KU61/(INDEX('Standards for Conversions'!$H$47:$H$73,MATCH(KT$3,'Standards for Conversions'!$A$47:$A$73,0)))=0,"",KU61/(INDEX('Standards for Conversions'!$H$47:$H$73,MATCH(KT$3,'Standards for Conversions'!$A$47:$A$73,0))))</f>
        <v/>
      </c>
      <c r="KW61" s="33" t="s">
        <v>97</v>
      </c>
      <c r="KZ61" s="31" t="str">
        <f>IF(KY61/(INDEX('Standards for Conversions'!$H$47:$H$73,MATCH(KX$3,'Standards for Conversions'!$A$47:$A$73,0)))=0,"",KY61/(INDEX('Standards for Conversions'!$H$47:$H$73,MATCH(KX$3,'Standards for Conversions'!$A$47:$A$73,0))))</f>
        <v/>
      </c>
      <c r="LA61" s="33" t="s">
        <v>97</v>
      </c>
      <c r="LD61" s="31" t="str">
        <f>IF(LC61/(INDEX('Standards for Conversions'!$H$47:$H$73,MATCH(LB$3,'Standards for Conversions'!$A$47:$A$73,0)))=0,"",LC61/(INDEX('Standards for Conversions'!$H$47:$H$73,MATCH(LB$3,'Standards for Conversions'!$A$47:$A$73,0))))</f>
        <v/>
      </c>
      <c r="LE61" s="33" t="s">
        <v>97</v>
      </c>
      <c r="LF61" s="33">
        <v>4500</v>
      </c>
      <c r="LG61" s="33">
        <v>27100</v>
      </c>
      <c r="LH61" s="31">
        <f>IF(LG61/(INDEX('Standards for Conversions'!$H$47:$H$73,MATCH(LF$3,'Standards for Conversions'!$A$47:$A$73,0)))=0,"",LG61/(INDEX('Standards for Conversions'!$H$47:$H$73,MATCH(LF$3,'Standards for Conversions'!$A$47:$A$73,0))))</f>
        <v>3295.8089583152278</v>
      </c>
      <c r="LL61" s="31" t="str">
        <f>IF(LK61/(INDEX('Standards for Conversions'!$H$47:$H$73,MATCH(LJ$3,'Standards for Conversions'!$A$47:$A$73,0)))=0,"",LK61/(INDEX('Standards for Conversions'!$H$47:$H$73,MATCH(LJ$3,'Standards for Conversions'!$A$47:$A$73,0))))</f>
        <v/>
      </c>
      <c r="LO61" s="31" t="str">
        <f>IF(LN61/(INDEX('Standards for Conversions'!$H$47:$H$73,MATCH(LM$3,'Standards for Conversions'!$A$47:$A$73,0)))=0,"",LN61/(INDEX('Standards for Conversions'!$H$47:$H$73,MATCH(LM$3,'Standards for Conversions'!$A$47:$A$73,0))))</f>
        <v/>
      </c>
      <c r="LR61" s="31" t="str">
        <f>IF(LQ61/(INDEX('Standards for Conversions'!$H$47:$H$73,MATCH(LP$3,'Standards for Conversions'!$A$47:$A$73,0)))=0,"",LQ61/(INDEX('Standards for Conversions'!$H$47:$H$73,MATCH(LP$3,'Standards for Conversions'!$A$47:$A$73,0))))</f>
        <v/>
      </c>
      <c r="LV61" s="31" t="str">
        <f>IF(LU61/(INDEX('Standards for Conversions'!$H$47:$H$73,MATCH(LT$3,'Standards for Conversions'!$A$47:$A$73,0)))=0,"",LU61/(INDEX('Standards for Conversions'!$H$47:$H$73,MATCH(LT$3,'Standards for Conversions'!$A$47:$A$73,0))))</f>
        <v/>
      </c>
      <c r="LY61" s="31" t="str">
        <f>IF(LX61/(INDEX('Standards for Conversions'!$H$47:$H$73,MATCH(LW$3,'Standards for Conversions'!$A$47:$A$73,0)))=0,"",LX61/(INDEX('Standards for Conversions'!$H$47:$H$73,MATCH(LW$3,'Standards for Conversions'!$A$47:$A$73,0))))</f>
        <v/>
      </c>
      <c r="MB61" s="31" t="str">
        <f>IF(MA61/(INDEX('Standards for Conversions'!$H$47:$H$73,MATCH(LZ$3,'Standards for Conversions'!$A$47:$A$73,0)))=0,"",MA61/(INDEX('Standards for Conversions'!$H$47:$H$73,MATCH(LZ$3,'Standards for Conversions'!$A$47:$A$73,0))))</f>
        <v/>
      </c>
      <c r="ME61" s="31" t="str">
        <f>IF(MD61/(INDEX('Standards for Conversions'!$H$47:$H$73,MATCH(MC$3,'Standards for Conversions'!$A$47:$A$73,0)))=0,"",MD61/(INDEX('Standards for Conversions'!$H$47:$H$73,MATCH(MC$3,'Standards for Conversions'!$A$47:$A$73,0))))</f>
        <v/>
      </c>
      <c r="MH61" s="31" t="str">
        <f>IF(MG61/(INDEX('Standards for Conversions'!$H$47:$H$73,MATCH(MF$3,'Standards for Conversions'!$A$47:$A$73,0)))=0,"",MG61/(INDEX('Standards for Conversions'!$H$47:$H$73,MATCH(MF$3,'Standards for Conversions'!$A$47:$A$73,0))))</f>
        <v/>
      </c>
      <c r="MK61" s="31" t="str">
        <f>IF(MJ61/(INDEX('Standards for Conversions'!$H$47:$H$73,MATCH(MI$3,'Standards for Conversions'!$A$47:$A$73,0)))=0,"",MJ61/(INDEX('Standards for Conversions'!$H$47:$H$73,MATCH(MI$3,'Standards for Conversions'!$A$47:$A$73,0))))</f>
        <v/>
      </c>
      <c r="MN61" s="31" t="str">
        <f>IF(MM61/(INDEX('Standards for Conversions'!$H$47:$H$73,MATCH(ML$3,'Standards for Conversions'!$A$47:$A$73,0)))=0,"",MM61/(INDEX('Standards for Conversions'!$H$47:$H$73,MATCH(ML$3,'Standards for Conversions'!$A$47:$A$73,0))))</f>
        <v/>
      </c>
      <c r="MR61" s="31" t="str">
        <f>IF(MQ61/(INDEX('Standards for Conversions'!$H$47:$H$73,MATCH(MP$3,'Standards for Conversions'!$A$47:$A$73,0)))=0,"",MQ61/(INDEX('Standards for Conversions'!$H$47:$H$73,MATCH(MP$3,'Standards for Conversions'!$A$47:$A$73,0))))</f>
        <v/>
      </c>
    </row>
    <row r="62" spans="1:373" s="33" customFormat="1" x14ac:dyDescent="0.3">
      <c r="A62" s="102" t="s">
        <v>103</v>
      </c>
      <c r="B62" s="10" t="s">
        <v>399</v>
      </c>
      <c r="C62" s="9"/>
      <c r="D62" s="9"/>
      <c r="E62" s="31" t="str">
        <f>IF(D62/(INDEX('Standards for Conversions'!$H$34:$H$73,MATCH(C$3,'Standards for Conversions'!$A$34:$A$73,0)))=0,"",D62/(INDEX('Standards for Conversions'!$H$34:$H$73,MATCH(C$3,'Standards for Conversions'!$A$34:$A$73,0))))</f>
        <v/>
      </c>
      <c r="F62" s="10" t="s">
        <v>399</v>
      </c>
      <c r="G62" s="9"/>
      <c r="H62" s="9"/>
      <c r="I62" s="31" t="str">
        <f>IF(H62/(INDEX('Standards for Conversions'!$H$34:$H$73,MATCH(G$3,'Standards for Conversions'!$A$34:$A$73,0)))=0,"",H62/(INDEX('Standards for Conversions'!$H$34:$H$73,MATCH(G$3,'Standards for Conversions'!$A$34:$A$73,0))))</f>
        <v/>
      </c>
      <c r="J62" s="10" t="s">
        <v>399</v>
      </c>
      <c r="K62" s="9"/>
      <c r="L62" s="9"/>
      <c r="M62" s="31" t="str">
        <f>IF(L62/(INDEX('Standards for Conversions'!$H$34:$H$73,MATCH(K$3,'Standards for Conversions'!$A$34:$A$73,0)))=0,"",L62/(INDEX('Standards for Conversions'!$H$34:$H$73,MATCH(K$3,'Standards for Conversions'!$A$34:$A$73,0))))</f>
        <v/>
      </c>
      <c r="N62" s="10" t="s">
        <v>399</v>
      </c>
      <c r="O62" s="9">
        <f>1.5*114</f>
        <v>171</v>
      </c>
      <c r="P62" s="9">
        <v>300</v>
      </c>
      <c r="Q62" s="31">
        <f>IF(P62/(INDEX('Standards for Conversions'!$H$34:$H$73,MATCH(O$3,'Standards for Conversions'!$A$34:$A$73,0)))=0,"",P62/(INDEX('Standards for Conversions'!$H$34:$H$73,MATCH(O$3,'Standards for Conversions'!$A$34:$A$73,0))))</f>
        <v>59.262668918918912</v>
      </c>
      <c r="R62" s="10" t="s">
        <v>399</v>
      </c>
      <c r="S62" s="9"/>
      <c r="T62" s="9"/>
      <c r="U62" s="31" t="str">
        <f>IF(T62/(INDEX('Standards for Conversions'!$H$34:$H$73,MATCH(S$3,'Standards for Conversions'!$A$34:$A$73,0)))=0,"",T62/(INDEX('Standards for Conversions'!$H$34:$H$73,MATCH(S$3,'Standards for Conversions'!$A$34:$A$73,0))))</f>
        <v/>
      </c>
      <c r="V62" s="10" t="s">
        <v>399</v>
      </c>
      <c r="W62" s="9"/>
      <c r="X62" s="9"/>
      <c r="Y62" s="31" t="str">
        <f>IF(X62/(INDEX('Standards for Conversions'!$H$34:$H$73,MATCH(W$3,'Standards for Conversions'!$A$34:$A$73,0)))=0,"",X62/(INDEX('Standards for Conversions'!$H$34:$H$73,MATCH(W$3,'Standards for Conversions'!$A$34:$A$73,0))))</f>
        <v/>
      </c>
      <c r="Z62" s="10" t="s">
        <v>399</v>
      </c>
      <c r="AA62" s="9"/>
      <c r="AB62" s="9"/>
      <c r="AC62" s="31" t="str">
        <f>IF(AB62/(INDEX('Standards for Conversions'!$H$34:$H$73,MATCH(AA$3,'Standards for Conversions'!$A$34:$A$73,0)))=0,"",AB62/(INDEX('Standards for Conversions'!$H$34:$H$73,MATCH(AA$3,'Standards for Conversions'!$A$34:$A$73,0))))</f>
        <v/>
      </c>
      <c r="AD62" s="10" t="s">
        <v>374</v>
      </c>
      <c r="AE62" s="9">
        <v>15</v>
      </c>
      <c r="AF62" s="9">
        <v>400</v>
      </c>
      <c r="AG62" s="31">
        <f>IF(AF62/(INDEX('Standards for Conversions'!$H$34:$H$73,MATCH(AE$3,'Standards for Conversions'!$A$34:$A$73,0)))=0,"",AF62/(INDEX('Standards for Conversions'!$H$34:$H$73,MATCH(AE$3,'Standards for Conversions'!$A$34:$A$73,0))))</f>
        <v>77.068994235392935</v>
      </c>
      <c r="AH62" s="10" t="s">
        <v>399</v>
      </c>
      <c r="AI62" s="9"/>
      <c r="AJ62" s="9"/>
      <c r="AK62" s="31" t="str">
        <f>IF(AJ62/(INDEX('Standards for Conversions'!$H$34:$H$73,MATCH(AI$3,'Standards for Conversions'!$A$34:$A$73,0)))=0,"",AJ62/(INDEX('Standards for Conversions'!$H$34:$H$73,MATCH(AI$3,'Standards for Conversions'!$A$34:$A$73,0))))</f>
        <v/>
      </c>
      <c r="AL62" s="10" t="s">
        <v>399</v>
      </c>
      <c r="AM62" s="9"/>
      <c r="AN62" s="9"/>
      <c r="AO62" s="31" t="str">
        <f>IF(AN62/(INDEX('Standards for Conversions'!$H$34:$H$73,MATCH(AM$3,'Standards for Conversions'!$A$34:$A$73,0)))=0,"",AN62/(INDEX('Standards for Conversions'!$H$34:$H$73,MATCH(AM$3,'Standards for Conversions'!$A$34:$A$73,0))))</f>
        <v/>
      </c>
      <c r="AP62" s="10" t="s">
        <v>399</v>
      </c>
      <c r="AQ62" s="9"/>
      <c r="AR62" s="9"/>
      <c r="AS62" s="31" t="str">
        <f>IF(AR62/(INDEX('Standards for Conversions'!$H$34:$H$73,MATCH(AQ$3,'Standards for Conversions'!$A$34:$A$73,0)))=0,"",AR62/(INDEX('Standards for Conversions'!$H$34:$H$73,MATCH(AQ$3,'Standards for Conversions'!$A$34:$A$73,0))))</f>
        <v/>
      </c>
      <c r="AT62" s="10" t="s">
        <v>374</v>
      </c>
      <c r="AU62" s="9">
        <v>4</v>
      </c>
      <c r="AV62" s="9">
        <v>125</v>
      </c>
      <c r="AW62" s="31">
        <f>IF(AV62/(INDEX('Standards for Conversions'!$H$34:$H$73,MATCH(AU$3,'Standards for Conversions'!$A$34:$A$73,0)))=0,"",AV62/(INDEX('Standards for Conversions'!$H$34:$H$73,MATCH(AU$3,'Standards for Conversions'!$A$34:$A$73,0))))</f>
        <v>22.337304647895479</v>
      </c>
      <c r="AX62" s="10" t="s">
        <v>399</v>
      </c>
      <c r="AY62" s="9"/>
      <c r="AZ62" s="9"/>
      <c r="BA62" s="31" t="str">
        <f>IF(AZ62/(INDEX('Standards for Conversions'!$H$34:$H$73,MATCH(AY$3,'Standards for Conversions'!$A$34:$A$73,0)))=0,"",AZ62/(INDEX('Standards for Conversions'!$H$34:$H$73,MATCH(AY$3,'Standards for Conversions'!$A$34:$A$73,0))))</f>
        <v/>
      </c>
      <c r="BB62" s="10" t="s">
        <v>399</v>
      </c>
      <c r="BC62" s="9"/>
      <c r="BD62" s="9"/>
      <c r="BE62" s="31" t="str">
        <f>IF(BD62/(INDEX('Standards for Conversions'!$H$34:$H$73,MATCH(BC$3,'Standards for Conversions'!$A$34:$A$73,0)))=0,"",BD62/(INDEX('Standards for Conversions'!$H$34:$H$73,MATCH(BC$3,'Standards for Conversions'!$A$34:$A$73,0))))</f>
        <v/>
      </c>
      <c r="BF62" s="10" t="s">
        <v>399</v>
      </c>
      <c r="BG62" s="9"/>
      <c r="BH62" s="9"/>
      <c r="BI62" s="31" t="str">
        <f>IF(BH62/(INDEX('Standards for Conversions'!$H$34:$H$73,MATCH(BG$3,'Standards for Conversions'!$A$34:$A$73,0)))=0,"",BH62/(INDEX('Standards for Conversions'!$H$34:$H$73,MATCH(BG$3,'Standards for Conversions'!$A$34:$A$73,0))))</f>
        <v/>
      </c>
      <c r="BJ62" s="10" t="s">
        <v>374</v>
      </c>
      <c r="BK62" s="9">
        <v>6</v>
      </c>
      <c r="BL62" s="9">
        <v>200</v>
      </c>
      <c r="BM62" s="31">
        <f>IF(BL62/(INDEX('Standards for Conversions'!$H$34:$H$73,MATCH(BK$3,'Standards for Conversions'!$A$34:$A$73,0)))=0,"",BL62/(INDEX('Standards for Conversions'!$H$34:$H$73,MATCH(BK$3,'Standards for Conversions'!$A$34:$A$73,0))))</f>
        <v>37.137092277164626</v>
      </c>
      <c r="BN62" s="10" t="s">
        <v>399</v>
      </c>
      <c r="BO62" s="9"/>
      <c r="BP62" s="9"/>
      <c r="BQ62" s="31" t="str">
        <f>IF(BP62/(INDEX('Standards for Conversions'!$H$34:$H$73,MATCH(BO$3,'Standards for Conversions'!$A$34:$A$73,0)))=0,"",BP62/(INDEX('Standards for Conversions'!$H$34:$H$73,MATCH(BO$3,'Standards for Conversions'!$A$34:$A$73,0))))</f>
        <v/>
      </c>
      <c r="BR62" s="10" t="s">
        <v>399</v>
      </c>
      <c r="BS62" s="9"/>
      <c r="BT62" s="9"/>
      <c r="BU62" s="31" t="str">
        <f>IF(BT62/(INDEX('Standards for Conversions'!$H$34:$H$73,MATCH(BS$3,'Standards for Conversions'!$A$34:$A$73,0)))=0,"",BT62/(INDEX('Standards for Conversions'!$H$34:$H$73,MATCH(BS$3,'Standards for Conversions'!$A$34:$A$73,0))))</f>
        <v/>
      </c>
      <c r="BV62" s="10" t="s">
        <v>399</v>
      </c>
      <c r="BW62" s="9"/>
      <c r="BX62" s="9"/>
      <c r="BY62" s="31" t="str">
        <f>IF(BX62/(INDEX('Standards for Conversions'!$H$34:$H$73,MATCH(BW$3,'Standards for Conversions'!$A$34:$A$73,0)))=0,"",BX62/(INDEX('Standards for Conversions'!$H$34:$H$73,MATCH(BW$3,'Standards for Conversions'!$A$34:$A$73,0))))</f>
        <v/>
      </c>
      <c r="BZ62" s="10" t="s">
        <v>374</v>
      </c>
      <c r="CA62" s="9">
        <v>5</v>
      </c>
      <c r="CB62" s="9">
        <v>200</v>
      </c>
      <c r="CC62" s="31">
        <f>IF(CB62/(INDEX('Standards for Conversions'!$H$34:$H$73,MATCH(CA$3,'Standards for Conversions'!$A$34:$A$73,0)))=0,"",CB62/(INDEX('Standards for Conversions'!$H$34:$H$73,MATCH(CA$3,'Standards for Conversions'!$A$34:$A$73,0))))</f>
        <v>35.612650632948053</v>
      </c>
      <c r="CD62" s="10" t="s">
        <v>399</v>
      </c>
      <c r="CE62" s="9"/>
      <c r="CF62" s="9"/>
      <c r="CG62" s="31" t="str">
        <f>IF(CF62/(INDEX('Standards for Conversions'!$H$34:$H$73,MATCH(CE$3,'Standards for Conversions'!$A$34:$A$73,0)))=0,"",CF62/(INDEX('Standards for Conversions'!$H$34:$H$73,MATCH(CE$3,'Standards for Conversions'!$A$34:$A$73,0))))</f>
        <v/>
      </c>
      <c r="CH62" s="10" t="s">
        <v>399</v>
      </c>
      <c r="CI62" s="9"/>
      <c r="CJ62" s="9"/>
      <c r="CK62" s="31" t="str">
        <f>IF(CJ62/(INDEX('Standards for Conversions'!$H$34:$H$73,MATCH(CI$3,'Standards for Conversions'!$A$34:$A$73,0)))=0,"",CJ62/(INDEX('Standards for Conversions'!$H$34:$H$73,MATCH(CI$3,'Standards for Conversions'!$A$34:$A$73,0))))</f>
        <v/>
      </c>
      <c r="CL62" s="10" t="s">
        <v>399</v>
      </c>
      <c r="CM62" s="9"/>
      <c r="CN62" s="9"/>
      <c r="CO62" s="31" t="str">
        <f>IF(CN62/(INDEX('Standards for Conversions'!$H$34:$H$73,MATCH(CM$3,'Standards for Conversions'!$A$34:$A$73,0)))=0,"",CN62/(INDEX('Standards for Conversions'!$H$34:$H$73,MATCH(CM$3,'Standards for Conversions'!$A$34:$A$73,0))))</f>
        <v/>
      </c>
      <c r="CP62" s="10" t="s">
        <v>374</v>
      </c>
      <c r="CQ62" s="9">
        <v>5</v>
      </c>
      <c r="CR62" s="9">
        <v>200</v>
      </c>
      <c r="CS62" s="31">
        <f>IF(CR62/(INDEX('Standards for Conversions'!$H$34:$H$73,MATCH(CQ$3,'Standards for Conversions'!$A$34:$A$73,0)))=0,"",CR62/(INDEX('Standards for Conversions'!$H$34:$H$73,MATCH(CQ$3,'Standards for Conversions'!$A$34:$A$73,0))))</f>
        <v>34.723393007155067</v>
      </c>
      <c r="CT62" s="10" t="s">
        <v>399</v>
      </c>
      <c r="CU62" s="9"/>
      <c r="CV62" s="9"/>
      <c r="CW62" s="31" t="str">
        <f>IF(CV62/(INDEX('Standards for Conversions'!$H$34:$H$73,MATCH(CU$3,'Standards for Conversions'!$A$34:$A$73,0)))=0,"",CV62/(INDEX('Standards for Conversions'!$H$34:$H$73,MATCH(CU$3,'Standards for Conversions'!$A$34:$A$73,0))))</f>
        <v/>
      </c>
      <c r="CX62" s="10" t="s">
        <v>399</v>
      </c>
      <c r="CY62" s="9"/>
      <c r="CZ62" s="9"/>
      <c r="DA62" s="31" t="str">
        <f>IF(CZ62/(INDEX('Standards for Conversions'!$H$34:$H$73,MATCH(CY$3,'Standards for Conversions'!$A$34:$A$73,0)))=0,"",CZ62/(INDEX('Standards for Conversions'!$H$34:$H$73,MATCH(CY$3,'Standards for Conversions'!$A$34:$A$73,0))))</f>
        <v/>
      </c>
      <c r="DB62" s="10" t="s">
        <v>399</v>
      </c>
      <c r="DC62" s="9"/>
      <c r="DD62" s="9"/>
      <c r="DE62" s="31" t="str">
        <f>IF(DD62/(INDEX('Standards for Conversions'!$H$34:$H$73,MATCH(DC$3,'Standards for Conversions'!$A$34:$A$73,0)))=0,"",DD62/(INDEX('Standards for Conversions'!$H$34:$H$73,MATCH(DC$3,'Standards for Conversions'!$A$34:$A$73,0))))</f>
        <v/>
      </c>
      <c r="DF62" s="10" t="s">
        <v>374</v>
      </c>
      <c r="DG62" s="9">
        <v>6</v>
      </c>
      <c r="DH62" s="7">
        <v>200</v>
      </c>
      <c r="DI62" s="31">
        <f>IF(DH62/(INDEX('Standards for Conversions'!$H$34:$H$73,MATCH(DG$3,'Standards for Conversions'!$A$34:$A$73,0)))=0,"",DH62/(INDEX('Standards for Conversions'!$H$34:$H$73,MATCH(DG$3,'Standards for Conversions'!$A$34:$A$73,0))))</f>
        <v>35.400922626806874</v>
      </c>
      <c r="DJ62" s="10" t="s">
        <v>399</v>
      </c>
      <c r="DK62" s="7"/>
      <c r="DL62" s="7"/>
      <c r="DM62" s="31" t="str">
        <f>IF(DL62/(INDEX('Standards for Conversions'!$H$34:$H$73,MATCH(DK$3,'Standards for Conversions'!$A$34:$A$73,0)))=0,"",DL62/(INDEX('Standards for Conversions'!$H$34:$H$73,MATCH(DK$3,'Standards for Conversions'!$A$34:$A$73,0))))</f>
        <v/>
      </c>
      <c r="DN62" s="10" t="s">
        <v>399</v>
      </c>
      <c r="DO62" s="7"/>
      <c r="DP62" s="7"/>
      <c r="DQ62" s="31" t="str">
        <f>IF(DP62/(INDEX('Standards for Conversions'!$H$34:$H$73,MATCH(DO$3,'Standards for Conversions'!$A$34:$A$73,0)))=0,"",DP62/(INDEX('Standards for Conversions'!$H$34:$H$73,MATCH(DO$3,'Standards for Conversions'!$A$34:$A$73,0))))</f>
        <v/>
      </c>
      <c r="DR62" s="10" t="s">
        <v>399</v>
      </c>
      <c r="DS62" s="9"/>
      <c r="DT62" s="9"/>
      <c r="DU62" s="31" t="str">
        <f>IF(DT62/(INDEX('Standards for Conversions'!$H$34:$H$73,MATCH(DS$3,'Standards for Conversions'!$A$34:$A$73,0)))=0,"",DT62/(INDEX('Standards for Conversions'!$H$34:$H$73,MATCH(DS$3,'Standards for Conversions'!$A$34:$A$73,0))))</f>
        <v/>
      </c>
      <c r="DV62" s="6" t="s">
        <v>374</v>
      </c>
      <c r="DW62" s="7">
        <v>30</v>
      </c>
      <c r="DX62" s="7">
        <v>900</v>
      </c>
      <c r="DY62" s="31">
        <f>IF(DX62/(INDEX('Standards for Conversions'!$H$34:$H$73,MATCH(DW$3,'Standards for Conversions'!$A$34:$A$73,0)))=0,"",DX62/(INDEX('Standards for Conversions'!$H$34:$H$73,MATCH(DW$3,'Standards for Conversions'!$A$34:$A$73,0))))</f>
        <v>157.58915497088728</v>
      </c>
      <c r="DZ62" s="10" t="s">
        <v>399</v>
      </c>
      <c r="EA62" s="7"/>
      <c r="EB62" s="7"/>
      <c r="EC62" s="31" t="str">
        <f>IF(EB62/(INDEX('Standards for Conversions'!$H$34:$H$73,MATCH(EA$3,'Standards for Conversions'!$A$34:$A$73,0)))=0,"",EB62/(INDEX('Standards for Conversions'!$H$34:$H$73,MATCH(EA$3,'Standards for Conversions'!$A$34:$A$73,0))))</f>
        <v/>
      </c>
      <c r="ED62" s="10" t="s">
        <v>399</v>
      </c>
      <c r="EE62" s="7"/>
      <c r="EF62" s="7"/>
      <c r="EG62" s="31" t="str">
        <f>IF(EF62/(INDEX('Standards for Conversions'!$H$34:$H$73,MATCH(EE$3,'Standards for Conversions'!$A$34:$A$73,0)))=0,"",EF62/(INDEX('Standards for Conversions'!$H$34:$H$73,MATCH(EE$3,'Standards for Conversions'!$A$34:$A$73,0))))</f>
        <v/>
      </c>
      <c r="EH62" s="10" t="s">
        <v>399</v>
      </c>
      <c r="EI62" s="9"/>
      <c r="EJ62" s="9"/>
      <c r="EK62" s="31" t="str">
        <f>IF(EJ62/(INDEX('Standards for Conversions'!$H$34:$H$73,MATCH(EI$3,'Standards for Conversions'!$A$34:$A$73,0)))=0,"",EJ62/(INDEX('Standards for Conversions'!$H$34:$H$73,MATCH(EI$3,'Standards for Conversions'!$A$34:$A$73,0))))</f>
        <v/>
      </c>
      <c r="EL62" s="10" t="s">
        <v>399</v>
      </c>
      <c r="EM62" s="7">
        <f>1.5*46</f>
        <v>69</v>
      </c>
      <c r="EN62" s="7">
        <v>200</v>
      </c>
      <c r="EO62" s="31">
        <f>IF(EN62/(INDEX('Standards for Conversions'!$H$34:$H$73,MATCH(EM$3,'Standards for Conversions'!$A$34:$A$73,0)))=0,"",EN62/(INDEX('Standards for Conversions'!$H$34:$H$73,MATCH(EM$3,'Standards for Conversions'!$A$34:$A$73,0))))</f>
        <v>34.977466614524488</v>
      </c>
      <c r="EP62" s="10" t="s">
        <v>399</v>
      </c>
      <c r="EQ62" s="7"/>
      <c r="ER62" s="7"/>
      <c r="ES62" s="31" t="str">
        <f>IF(ER62/(INDEX('Standards for Conversions'!$H$34:$H$73,MATCH(EQ$3,'Standards for Conversions'!$A$34:$A$73,0)))=0,"",ER62/(INDEX('Standards for Conversions'!$H$34:$H$73,MATCH(EQ$3,'Standards for Conversions'!$A$34:$A$73,0))))</f>
        <v/>
      </c>
      <c r="ET62" s="10" t="s">
        <v>399</v>
      </c>
      <c r="EU62" s="7"/>
      <c r="EV62" s="7"/>
      <c r="EW62" s="31" t="str">
        <f>IF(EV62/(INDEX('Standards for Conversions'!$H$34:$H$73,MATCH(EU$3,'Standards for Conversions'!$A$34:$A$73,0)))=0,"",EV62/(INDEX('Standards for Conversions'!$H$34:$H$73,MATCH(EU$3,'Standards for Conversions'!$A$34:$A$73,0))))</f>
        <v/>
      </c>
      <c r="EX62" s="10" t="s">
        <v>399</v>
      </c>
      <c r="EY62" s="9"/>
      <c r="EZ62" s="9"/>
      <c r="FA62" s="31" t="str">
        <f>IF(EZ62/(INDEX('Standards for Conversions'!$H$34:$H$73,MATCH(EY$3,'Standards for Conversions'!$A$34:$A$73,0)))=0,"",EZ62/(INDEX('Standards for Conversions'!$H$34:$H$73,MATCH(EY$3,'Standards for Conversions'!$A$34:$A$73,0))))</f>
        <v/>
      </c>
      <c r="FB62" s="10" t="s">
        <v>399</v>
      </c>
      <c r="FC62" s="7">
        <f>1.5*42</f>
        <v>63</v>
      </c>
      <c r="FD62" s="7">
        <v>190</v>
      </c>
      <c r="FE62" s="31">
        <f>IF(FD62/(INDEX('Standards for Conversions'!$H$34:$H$73,MATCH(FC$3,'Standards for Conversions'!$A$34:$A$73,0)))=0,"",FD62/(INDEX('Standards for Conversions'!$H$34:$H$73,MATCH(FC$3,'Standards for Conversions'!$A$34:$A$73,0))))</f>
        <v>32.544711823962224</v>
      </c>
      <c r="FF62" s="10" t="s">
        <v>399</v>
      </c>
      <c r="FG62" s="7"/>
      <c r="FH62" s="7"/>
      <c r="FI62" s="31" t="str">
        <f>IF(FH62/(INDEX('Standards for Conversions'!$H$34:$H$73,MATCH(FG$3,'Standards for Conversions'!$A$34:$A$73,0)))=0,"",FH62/(INDEX('Standards for Conversions'!$H$34:$H$73,MATCH(FG$3,'Standards for Conversions'!$A$34:$A$73,0))))</f>
        <v/>
      </c>
      <c r="FJ62" s="10" t="s">
        <v>399</v>
      </c>
      <c r="FK62" s="7"/>
      <c r="FL62" s="7"/>
      <c r="FM62" s="31" t="str">
        <f>IF(FL62/(INDEX('Standards for Conversions'!$H$34:$H$73,MATCH(FK$3,'Standards for Conversions'!$A$34:$A$73,0)))=0,"",FL62/(INDEX('Standards for Conversions'!$H$34:$H$73,MATCH(FK$3,'Standards for Conversions'!$A$34:$A$73,0))))</f>
        <v/>
      </c>
      <c r="FN62" s="10" t="s">
        <v>399</v>
      </c>
      <c r="FO62" s="9"/>
      <c r="FP62" s="9"/>
      <c r="FQ62" s="31" t="str">
        <f>IF(FP62/(INDEX('Standards for Conversions'!$H$34:$H$73,MATCH(FO$3,'Standards for Conversions'!$A$34:$A$73,0)))=0,"",FP62/(INDEX('Standards for Conversions'!$H$34:$H$73,MATCH(FO$3,'Standards for Conversions'!$A$34:$A$73,0))))</f>
        <v/>
      </c>
      <c r="FR62" s="10" t="s">
        <v>399</v>
      </c>
      <c r="FS62" s="7">
        <f>1.5*50</f>
        <v>75</v>
      </c>
      <c r="FT62" s="7">
        <v>250</v>
      </c>
      <c r="FU62" s="31">
        <f>IF(FT62/(INDEX('Standards for Conversions'!$H$34:$H$73,MATCH(FS$3,'Standards for Conversions'!$A$34:$A$73,0)))=0,"",FT62/(INDEX('Standards for Conversions'!$H$34:$H$73,MATCH(FS$3,'Standards for Conversions'!$A$34:$A$73,0))))</f>
        <v>42.874921243590848</v>
      </c>
      <c r="FV62" s="10" t="s">
        <v>399</v>
      </c>
      <c r="FW62" s="7"/>
      <c r="FX62" s="7"/>
      <c r="FY62" s="31" t="str">
        <f>IF(FX62/(INDEX('Standards for Conversions'!$H$34:$H$73,MATCH(FW$3,'Standards for Conversions'!$A$34:$A$73,0)))=0,"",FX62/(INDEX('Standards for Conversions'!$H$34:$H$73,MATCH(FW$3,'Standards for Conversions'!$A$34:$A$73,0))))</f>
        <v/>
      </c>
      <c r="FZ62" s="10" t="s">
        <v>399</v>
      </c>
      <c r="GA62" s="7"/>
      <c r="GB62" s="7"/>
      <c r="GC62" s="31" t="str">
        <f>IF(GB62/(INDEX('Standards for Conversions'!$H$34:$H$73,MATCH(GA$3,'Standards for Conversions'!$A$34:$A$73,0)))=0,"",GB62/(INDEX('Standards for Conversions'!$H$34:$H$73,MATCH(GA$3,'Standards for Conversions'!$A$34:$A$73,0))))</f>
        <v/>
      </c>
      <c r="GD62" s="10" t="s">
        <v>399</v>
      </c>
      <c r="GE62" s="9"/>
      <c r="GF62" s="9"/>
      <c r="GG62" s="31" t="str">
        <f>IF(GF62/(INDEX('Standards for Conversions'!$H$34:$H$73,MATCH(GE$3,'Standards for Conversions'!$A$34:$A$73,0)))=0,"",GF62/(INDEX('Standards for Conversions'!$H$34:$H$73,MATCH(GE$3,'Standards for Conversions'!$A$34:$A$73,0))))</f>
        <v/>
      </c>
      <c r="GH62" s="10" t="s">
        <v>399</v>
      </c>
      <c r="GI62" s="7">
        <f>1.5*25</f>
        <v>37.5</v>
      </c>
      <c r="GJ62" s="7">
        <v>75</v>
      </c>
      <c r="GK62" s="31">
        <f>IF(GJ62/(INDEX('Standards for Conversions'!$H$34:$H$73,MATCH(GI$3,'Standards for Conversions'!$A$34:$A$73,0)))=0,"",GJ62/(INDEX('Standards for Conversions'!$H$34:$H$73,MATCH(GI$3,'Standards for Conversions'!$A$34:$A$73,0))))</f>
        <v>12.338449557877814</v>
      </c>
      <c r="GL62" s="10" t="s">
        <v>399</v>
      </c>
      <c r="GM62" s="7"/>
      <c r="GN62" s="7"/>
      <c r="GO62" s="31" t="str">
        <f>IF(GN62/(INDEX('Standards for Conversions'!$H$34:$H$73,MATCH(GM$3,'Standards for Conversions'!$A$34:$A$73,0)))=0,"",GN62/(INDEX('Standards for Conversions'!$H$34:$H$73,MATCH(GM$3,'Standards for Conversions'!$A$34:$A$73,0))))</f>
        <v/>
      </c>
      <c r="GP62" s="10" t="s">
        <v>399</v>
      </c>
      <c r="GQ62" s="7"/>
      <c r="GR62" s="7"/>
      <c r="GS62" s="31" t="str">
        <f>IF(GR62/(INDEX('Standards for Conversions'!$H$34:$H$73,MATCH(GQ$3,'Standards for Conversions'!$A$34:$A$73,0)))=0,"",GR62/(INDEX('Standards for Conversions'!$H$34:$H$73,MATCH(GQ$3,'Standards for Conversions'!$A$34:$A$73,0))))</f>
        <v/>
      </c>
      <c r="GT62" s="10" t="s">
        <v>399</v>
      </c>
      <c r="GU62" s="9"/>
      <c r="GV62" s="9"/>
      <c r="GW62" s="31" t="str">
        <f>IF(GV62/(INDEX('Standards for Conversions'!$H$34:$H$73,MATCH(GU$3,'Standards for Conversions'!$A$34:$A$73,0)))=0,"",GV62/(INDEX('Standards for Conversions'!$H$34:$H$73,MATCH(GU$3,'Standards for Conversions'!$A$34:$A$73,0))))</f>
        <v/>
      </c>
      <c r="GX62" s="10" t="s">
        <v>399</v>
      </c>
      <c r="GY62" s="7">
        <f>1.5*20</f>
        <v>30</v>
      </c>
      <c r="GZ62" s="7">
        <v>100</v>
      </c>
      <c r="HA62" s="31">
        <f>IF(GZ62/(INDEX('Standards for Conversions'!$H$34:$H$73,MATCH(GY$3,'Standards for Conversions'!$A$34:$A$73,0)))=0,"",GZ62/(INDEX('Standards for Conversions'!$H$34:$H$73,MATCH(GY$3,'Standards for Conversions'!$A$34:$A$73,0))))</f>
        <v>15.371453245850352</v>
      </c>
      <c r="HB62" s="10" t="s">
        <v>399</v>
      </c>
      <c r="HC62" s="7"/>
      <c r="HD62" s="7"/>
      <c r="HE62" s="31" t="str">
        <f>IF(HD62/(INDEX('Standards for Conversions'!$H$34:$H$73,MATCH(HC$3,'Standards for Conversions'!$A$34:$A$73,0)))=0,"",HD62/(INDEX('Standards for Conversions'!$H$34:$H$73,MATCH(HC$3,'Standards for Conversions'!$A$34:$A$73,0))))</f>
        <v/>
      </c>
      <c r="HF62" s="10" t="s">
        <v>399</v>
      </c>
      <c r="HG62" s="7"/>
      <c r="HH62" s="7"/>
      <c r="HI62" s="31" t="str">
        <f>IF(HH62/(INDEX('Standards for Conversions'!$H$34:$H$73,MATCH(HG$3,'Standards for Conversions'!$A$34:$A$73,0)))=0,"",HH62/(INDEX('Standards for Conversions'!$H$34:$H$73,MATCH(HG$3,'Standards for Conversions'!$A$34:$A$73,0))))</f>
        <v/>
      </c>
      <c r="HJ62" s="10" t="s">
        <v>399</v>
      </c>
      <c r="HK62" s="9"/>
      <c r="HL62" s="9"/>
      <c r="HM62" s="31" t="str">
        <f>IF(HL62/(INDEX('Standards for Conversions'!$H$34:$H$73,MATCH(HK$3,'Standards for Conversions'!$A$34:$A$73,0)))=0,"",HL62/(INDEX('Standards for Conversions'!$H$34:$H$73,MATCH(HK$3,'Standards for Conversions'!$A$34:$A$73,0))))</f>
        <v/>
      </c>
      <c r="HN62" s="10" t="s">
        <v>399</v>
      </c>
      <c r="HO62" s="7">
        <f>1.5*25</f>
        <v>37.5</v>
      </c>
      <c r="HP62" s="7">
        <v>150</v>
      </c>
      <c r="HQ62" s="31">
        <f>IF(HP62/(INDEX('Standards for Conversions'!$H$34:$H$73,MATCH(HO$3,'Standards for Conversions'!$A$34:$A$73,0)))=0,"",HP62/(INDEX('Standards for Conversions'!$H$34:$H$73,MATCH(HO$3,'Standards for Conversions'!$A$34:$A$73,0))))</f>
        <v>22.707828658642562</v>
      </c>
      <c r="HR62" s="33" t="s">
        <v>98</v>
      </c>
      <c r="HU62" s="31" t="str">
        <f>IF(HT62/(INDEX('Standards for Conversions'!$H$47:$H$73,MATCH(HS$3,'Standards for Conversions'!$A$47:$A$73,0)))=0,"",HT62/(INDEX('Standards for Conversions'!$H$47:$H$73,MATCH(HS$3,'Standards for Conversions'!$A$47:$A$73,0))))</f>
        <v/>
      </c>
      <c r="HV62" s="33" t="s">
        <v>98</v>
      </c>
      <c r="HY62" s="31" t="str">
        <f>IF(HX62/(INDEX('Standards for Conversions'!$H$47:$H$73,MATCH(HW$3,'Standards for Conversions'!$A$47:$A$73,0)))=0,"",HX62/(INDEX('Standards for Conversions'!$H$47:$H$73,MATCH(HW$3,'Standards for Conversions'!$A$47:$A$73,0))))</f>
        <v/>
      </c>
      <c r="IB62" s="31" t="str">
        <f>IF(IA62/(INDEX('Standards for Conversions'!$H$47:$H$73,MATCH(HZ$3,'Standards for Conversions'!$A$47:$A$73,0)))=0,"",IA62/(INDEX('Standards for Conversions'!$H$47:$H$73,MATCH(HZ$3,'Standards for Conversions'!$A$47:$A$73,0))))</f>
        <v/>
      </c>
      <c r="IC62" s="33" t="s">
        <v>98</v>
      </c>
      <c r="ID62" s="33">
        <v>45</v>
      </c>
      <c r="IE62" s="33">
        <v>180</v>
      </c>
      <c r="IF62" s="31">
        <f>IF(IE62/(INDEX('Standards for Conversions'!$H$47:$H$73,MATCH(ID$3,'Standards for Conversions'!$A$47:$A$73,0)))=0,"",IE62/(INDEX('Standards for Conversions'!$H$47:$H$73,MATCH(ID$3,'Standards for Conversions'!$A$47:$A$73,0))))</f>
        <v>26.144174198314072</v>
      </c>
      <c r="IG62" s="33" t="s">
        <v>98</v>
      </c>
      <c r="IJ62" s="31" t="str">
        <f>IF(II62/(INDEX('Standards for Conversions'!$H$47:$H$73,MATCH(IH$3,'Standards for Conversions'!$A$47:$A$73,0)))=0,"",II62/(INDEX('Standards for Conversions'!$H$47:$H$73,MATCH(IH$3,'Standards for Conversions'!$A$47:$A$73,0))))</f>
        <v/>
      </c>
      <c r="IK62" s="33" t="s">
        <v>98</v>
      </c>
      <c r="IN62" s="31" t="str">
        <f>IF(IM62/(INDEX('Standards for Conversions'!$H$47:$H$73,MATCH(IL$3,'Standards for Conversions'!$A$47:$A$73,0)))=0,"",IM62/(INDEX('Standards for Conversions'!$H$47:$H$73,MATCH(IL$3,'Standards for Conversions'!$A$47:$A$73,0))))</f>
        <v/>
      </c>
      <c r="IO62" s="33" t="s">
        <v>98</v>
      </c>
      <c r="IR62" s="31" t="str">
        <f>IF(IQ62/(INDEX('Standards for Conversions'!$H$47:$H$73,MATCH(IP$3,'Standards for Conversions'!$A$47:$A$73,0)))=0,"",IQ62/(INDEX('Standards for Conversions'!$H$47:$H$73,MATCH(IP$3,'Standards for Conversions'!$A$47:$A$73,0))))</f>
        <v/>
      </c>
      <c r="IS62" s="33" t="s">
        <v>98</v>
      </c>
      <c r="IT62" s="33">
        <v>15</v>
      </c>
      <c r="IU62" s="33">
        <v>94</v>
      </c>
      <c r="IV62" s="31">
        <f>IF(IU62/(INDEX('Standards for Conversions'!$H$47:$H$73,MATCH(IT$3,'Standards for Conversions'!$A$47:$A$73,0)))=0,"",IU62/(INDEX('Standards for Conversions'!$H$47:$H$73,MATCH(IT$3,'Standards for Conversions'!$A$47:$A$73,0))))</f>
        <v>13.593361450276642</v>
      </c>
      <c r="IZ62" s="31" t="str">
        <f>IF(IY62/(INDEX('Standards for Conversions'!$H$47:$H$73,MATCH(IX$3,'Standards for Conversions'!$A$47:$A$73,0)))=0,"",IY62/(INDEX('Standards for Conversions'!$H$47:$H$73,MATCH(IX$3,'Standards for Conversions'!$A$47:$A$73,0))))</f>
        <v/>
      </c>
      <c r="JD62" s="31" t="str">
        <f>IF(JC62/(INDEX('Standards for Conversions'!$H$47:$H$73,MATCH(JB$3,'Standards for Conversions'!$A$47:$A$73,0)))=0,"",JC62/(INDEX('Standards for Conversions'!$H$47:$H$73,MATCH(JB$3,'Standards for Conversions'!$A$47:$A$73,0))))</f>
        <v/>
      </c>
      <c r="JH62" s="31" t="str">
        <f>IF(JG62/(INDEX('Standards for Conversions'!$H$47:$H$73,MATCH(JF$3,'Standards for Conversions'!$A$47:$A$73,0)))=0,"",JG62/(INDEX('Standards for Conversions'!$H$47:$H$73,MATCH(JF$3,'Standards for Conversions'!$A$47:$A$73,0))))</f>
        <v/>
      </c>
      <c r="JL62" s="31" t="str">
        <f>IF(JK62/(INDEX('Standards for Conversions'!$H$47:$H$73,MATCH(JJ$3,'Standards for Conversions'!$A$47:$A$73,0)))=0,"",JK62/(INDEX('Standards for Conversions'!$H$47:$H$73,MATCH(JJ$3,'Standards for Conversions'!$A$47:$A$73,0))))</f>
        <v/>
      </c>
      <c r="JM62" s="33" t="s">
        <v>98</v>
      </c>
      <c r="JP62" s="31" t="str">
        <f>IF(JO62/(INDEX('Standards for Conversions'!$H$47:$H$73,MATCH(JN$3,'Standards for Conversions'!$A$47:$A$73,0)))=0,"",JO62/(INDEX('Standards for Conversions'!$H$47:$H$73,MATCH(JN$3,'Standards for Conversions'!$A$47:$A$73,0))))</f>
        <v/>
      </c>
      <c r="JQ62" s="33" t="s">
        <v>98</v>
      </c>
      <c r="JT62" s="31" t="str">
        <f>IF(JS62/(INDEX('Standards for Conversions'!$H$47:$H$73,MATCH(JR$3,'Standards for Conversions'!$A$47:$A$73,0)))=0,"",JS62/(INDEX('Standards for Conversions'!$H$47:$H$73,MATCH(JR$3,'Standards for Conversions'!$A$47:$A$73,0))))</f>
        <v/>
      </c>
      <c r="JU62" s="33" t="s">
        <v>98</v>
      </c>
      <c r="JX62" s="31" t="str">
        <f>IF(JW62/(INDEX('Standards for Conversions'!$H$47:$H$73,MATCH(JV$3,'Standards for Conversions'!$A$47:$A$73,0)))=0,"",JW62/(INDEX('Standards for Conversions'!$H$47:$H$73,MATCH(JV$3,'Standards for Conversions'!$A$47:$A$73,0))))</f>
        <v/>
      </c>
      <c r="JY62" s="33" t="s">
        <v>98</v>
      </c>
      <c r="JZ62" s="33">
        <v>15</v>
      </c>
      <c r="KA62" s="33">
        <v>100</v>
      </c>
      <c r="KB62" s="31">
        <f>IF(KA62/(INDEX('Standards for Conversions'!$H$47:$H$73,MATCH(JZ$3,'Standards for Conversions'!$A$47:$A$73,0)))=0,"",KA62/(INDEX('Standards for Conversions'!$H$47:$H$73,MATCH(JZ$3,'Standards for Conversions'!$A$47:$A$73,0))))</f>
        <v>15.265589242779756</v>
      </c>
      <c r="KC62" s="33" t="s">
        <v>98</v>
      </c>
      <c r="KF62" s="31" t="str">
        <f>IF(KE62/(INDEX('Standards for Conversions'!$H$47:$H$73,MATCH(KD$3,'Standards for Conversions'!$A$47:$A$73,0)))=0,"",KE62/(INDEX('Standards for Conversions'!$H$47:$H$73,MATCH(KD$3,'Standards for Conversions'!$A$47:$A$73,0))))</f>
        <v/>
      </c>
      <c r="KG62" s="33" t="s">
        <v>98</v>
      </c>
      <c r="KJ62" s="31" t="str">
        <f>IF(KI62/(INDEX('Standards for Conversions'!$H$47:$H$73,MATCH(KH$3,'Standards for Conversions'!$A$47:$A$73,0)))=0,"",KI62/(INDEX('Standards for Conversions'!$H$47:$H$73,MATCH(KH$3,'Standards for Conversions'!$A$47:$A$73,0))))</f>
        <v/>
      </c>
      <c r="KK62" s="33" t="s">
        <v>98</v>
      </c>
      <c r="KN62" s="31" t="str">
        <f>IF(KM62/(INDEX('Standards for Conversions'!$H$47:$H$73,MATCH(KL$3,'Standards for Conversions'!$A$47:$A$73,0)))=0,"",KM62/(INDEX('Standards for Conversions'!$H$47:$H$73,MATCH(KL$3,'Standards for Conversions'!$A$47:$A$73,0))))</f>
        <v/>
      </c>
      <c r="KO62" s="33" t="s">
        <v>98</v>
      </c>
      <c r="KP62" s="33">
        <v>18</v>
      </c>
      <c r="KQ62" s="33">
        <v>120</v>
      </c>
      <c r="KR62" s="31">
        <f>IF(KQ62/(INDEX('Standards for Conversions'!$H$47:$H$73,MATCH(KP$3,'Standards for Conversions'!$A$47:$A$73,0)))=0,"",KQ62/(INDEX('Standards for Conversions'!$H$47:$H$73,MATCH(KP$3,'Standards for Conversions'!$A$47:$A$73,0))))</f>
        <v>16.159081428695576</v>
      </c>
      <c r="KV62" s="31" t="str">
        <f>IF(KU62/(INDEX('Standards for Conversions'!$H$47:$H$73,MATCH(KT$3,'Standards for Conversions'!$A$47:$A$73,0)))=0,"",KU62/(INDEX('Standards for Conversions'!$H$47:$H$73,MATCH(KT$3,'Standards for Conversions'!$A$47:$A$73,0))))</f>
        <v/>
      </c>
      <c r="KZ62" s="31" t="str">
        <f>IF(KY62/(INDEX('Standards for Conversions'!$H$47:$H$73,MATCH(KX$3,'Standards for Conversions'!$A$47:$A$73,0)))=0,"",KY62/(INDEX('Standards for Conversions'!$H$47:$H$73,MATCH(KX$3,'Standards for Conversions'!$A$47:$A$73,0))))</f>
        <v/>
      </c>
      <c r="LD62" s="31" t="str">
        <f>IF(LC62/(INDEX('Standards for Conversions'!$H$47:$H$73,MATCH(LB$3,'Standards for Conversions'!$A$47:$A$73,0)))=0,"",LC62/(INDEX('Standards for Conversions'!$H$47:$H$73,MATCH(LB$3,'Standards for Conversions'!$A$47:$A$73,0))))</f>
        <v/>
      </c>
      <c r="LH62" s="31" t="str">
        <f>IF(LG62/(INDEX('Standards for Conversions'!$H$47:$H$73,MATCH(LF$3,'Standards for Conversions'!$A$47:$A$73,0)))=0,"",LG62/(INDEX('Standards for Conversions'!$H$47:$H$73,MATCH(LF$3,'Standards for Conversions'!$A$47:$A$73,0))))</f>
        <v/>
      </c>
      <c r="LL62" s="31" t="str">
        <f>IF(LK62/(INDEX('Standards for Conversions'!$H$47:$H$73,MATCH(LJ$3,'Standards for Conversions'!$A$47:$A$73,0)))=0,"",LK62/(INDEX('Standards for Conversions'!$H$47:$H$73,MATCH(LJ$3,'Standards for Conversions'!$A$47:$A$73,0))))</f>
        <v/>
      </c>
      <c r="LO62" s="31" t="str">
        <f>IF(LN62/(INDEX('Standards for Conversions'!$H$47:$H$73,MATCH(LM$3,'Standards for Conversions'!$A$47:$A$73,0)))=0,"",LN62/(INDEX('Standards for Conversions'!$H$47:$H$73,MATCH(LM$3,'Standards for Conversions'!$A$47:$A$73,0))))</f>
        <v/>
      </c>
      <c r="LR62" s="31" t="str">
        <f>IF(LQ62/(INDEX('Standards for Conversions'!$H$47:$H$73,MATCH(LP$3,'Standards for Conversions'!$A$47:$A$73,0)))=0,"",LQ62/(INDEX('Standards for Conversions'!$H$47:$H$73,MATCH(LP$3,'Standards for Conversions'!$A$47:$A$73,0))))</f>
        <v/>
      </c>
      <c r="LV62" s="31" t="str">
        <f>IF(LU62/(INDEX('Standards for Conversions'!$H$47:$H$73,MATCH(LT$3,'Standards for Conversions'!$A$47:$A$73,0)))=0,"",LU62/(INDEX('Standards for Conversions'!$H$47:$H$73,MATCH(LT$3,'Standards for Conversions'!$A$47:$A$73,0))))</f>
        <v/>
      </c>
      <c r="LY62" s="31" t="str">
        <f>IF(LX62/(INDEX('Standards for Conversions'!$H$47:$H$73,MATCH(LW$3,'Standards for Conversions'!$A$47:$A$73,0)))=0,"",LX62/(INDEX('Standards for Conversions'!$H$47:$H$73,MATCH(LW$3,'Standards for Conversions'!$A$47:$A$73,0))))</f>
        <v/>
      </c>
      <c r="MB62" s="31" t="str">
        <f>IF(MA62/(INDEX('Standards for Conversions'!$H$47:$H$73,MATCH(LZ$3,'Standards for Conversions'!$A$47:$A$73,0)))=0,"",MA62/(INDEX('Standards for Conversions'!$H$47:$H$73,MATCH(LZ$3,'Standards for Conversions'!$A$47:$A$73,0))))</f>
        <v/>
      </c>
      <c r="ME62" s="31" t="str">
        <f>IF(MD62/(INDEX('Standards for Conversions'!$H$47:$H$73,MATCH(MC$3,'Standards for Conversions'!$A$47:$A$73,0)))=0,"",MD62/(INDEX('Standards for Conversions'!$H$47:$H$73,MATCH(MC$3,'Standards for Conversions'!$A$47:$A$73,0))))</f>
        <v/>
      </c>
      <c r="MH62" s="31" t="str">
        <f>IF(MG62/(INDEX('Standards for Conversions'!$H$47:$H$73,MATCH(MF$3,'Standards for Conversions'!$A$47:$A$73,0)))=0,"",MG62/(INDEX('Standards for Conversions'!$H$47:$H$73,MATCH(MF$3,'Standards for Conversions'!$A$47:$A$73,0))))</f>
        <v/>
      </c>
      <c r="MK62" s="31" t="str">
        <f>IF(MJ62/(INDEX('Standards for Conversions'!$H$47:$H$73,MATCH(MI$3,'Standards for Conversions'!$A$47:$A$73,0)))=0,"",MJ62/(INDEX('Standards for Conversions'!$H$47:$H$73,MATCH(MI$3,'Standards for Conversions'!$A$47:$A$73,0))))</f>
        <v/>
      </c>
      <c r="MN62" s="31" t="str">
        <f>IF(MM62/(INDEX('Standards for Conversions'!$H$47:$H$73,MATCH(ML$3,'Standards for Conversions'!$A$47:$A$73,0)))=0,"",MM62/(INDEX('Standards for Conversions'!$H$47:$H$73,MATCH(ML$3,'Standards for Conversions'!$A$47:$A$73,0))))</f>
        <v/>
      </c>
      <c r="MR62" s="31" t="str">
        <f>IF(MQ62/(INDEX('Standards for Conversions'!$H$47:$H$73,MATCH(MP$3,'Standards for Conversions'!$A$47:$A$73,0)))=0,"",MQ62/(INDEX('Standards for Conversions'!$H$47:$H$73,MATCH(MP$3,'Standards for Conversions'!$A$47:$A$73,0))))</f>
        <v/>
      </c>
    </row>
    <row r="63" spans="1:373" s="33" customFormat="1" x14ac:dyDescent="0.3">
      <c r="A63" s="102" t="s">
        <v>94</v>
      </c>
      <c r="B63" s="10"/>
      <c r="C63" s="7"/>
      <c r="D63" s="7"/>
      <c r="E63" s="31" t="str">
        <f>IF(D63/(INDEX('Standards for Conversions'!$H$34:$H$73,MATCH(C$3,'Standards for Conversions'!$A$34:$A$73,0)))=0,"",D63/(INDEX('Standards for Conversions'!$H$34:$H$73,MATCH(C$3,'Standards for Conversions'!$A$34:$A$73,0))))</f>
        <v/>
      </c>
      <c r="F63" s="10"/>
      <c r="G63" s="7"/>
      <c r="H63" s="7"/>
      <c r="I63" s="31" t="str">
        <f>IF(H63/(INDEX('Standards for Conversions'!$H$34:$H$73,MATCH(G$3,'Standards for Conversions'!$A$34:$A$73,0)))=0,"",H63/(INDEX('Standards for Conversions'!$H$34:$H$73,MATCH(G$3,'Standards for Conversions'!$A$34:$A$73,0))))</f>
        <v/>
      </c>
      <c r="J63" s="10"/>
      <c r="K63" s="9"/>
      <c r="L63" s="9"/>
      <c r="M63" s="31" t="str">
        <f>IF(L63/(INDEX('Standards for Conversions'!$H$34:$H$73,MATCH(K$3,'Standards for Conversions'!$A$34:$A$73,0)))=0,"",L63/(INDEX('Standards for Conversions'!$H$34:$H$73,MATCH(K$3,'Standards for Conversions'!$A$34:$A$73,0))))</f>
        <v/>
      </c>
      <c r="N63" s="10"/>
      <c r="O63" s="7"/>
      <c r="P63" s="7"/>
      <c r="Q63" s="31" t="str">
        <f>IF(P63/(INDEX('Standards for Conversions'!$H$34:$H$73,MATCH(O$3,'Standards for Conversions'!$A$34:$A$73,0)))=0,"",P63/(INDEX('Standards for Conversions'!$H$34:$H$73,MATCH(O$3,'Standards for Conversions'!$A$34:$A$73,0))))</f>
        <v/>
      </c>
      <c r="R63" s="10"/>
      <c r="S63" s="7"/>
      <c r="T63" s="7"/>
      <c r="U63" s="31" t="str">
        <f>IF(T63/(INDEX('Standards for Conversions'!$H$34:$H$73,MATCH(S$3,'Standards for Conversions'!$A$34:$A$73,0)))=0,"",T63/(INDEX('Standards for Conversions'!$H$34:$H$73,MATCH(S$3,'Standards for Conversions'!$A$34:$A$73,0))))</f>
        <v/>
      </c>
      <c r="V63" s="10"/>
      <c r="W63" s="7"/>
      <c r="X63" s="7"/>
      <c r="Y63" s="31" t="str">
        <f>IF(X63/(INDEX('Standards for Conversions'!$H$34:$H$73,MATCH(W$3,'Standards for Conversions'!$A$34:$A$73,0)))=0,"",X63/(INDEX('Standards for Conversions'!$H$34:$H$73,MATCH(W$3,'Standards for Conversions'!$A$34:$A$73,0))))</f>
        <v/>
      </c>
      <c r="Z63" s="10"/>
      <c r="AA63" s="9"/>
      <c r="AB63" s="9"/>
      <c r="AC63" s="31" t="str">
        <f>IF(AB63/(INDEX('Standards for Conversions'!$H$34:$H$73,MATCH(AA$3,'Standards for Conversions'!$A$34:$A$73,0)))=0,"",AB63/(INDEX('Standards for Conversions'!$H$34:$H$73,MATCH(AA$3,'Standards for Conversions'!$A$34:$A$73,0))))</f>
        <v/>
      </c>
      <c r="AD63" s="10"/>
      <c r="AE63" s="7"/>
      <c r="AF63" s="7"/>
      <c r="AG63" s="31" t="str">
        <f>IF(AF63/(INDEX('Standards for Conversions'!$H$34:$H$73,MATCH(AE$3,'Standards for Conversions'!$A$34:$A$73,0)))=0,"",AF63/(INDEX('Standards for Conversions'!$H$34:$H$73,MATCH(AE$3,'Standards for Conversions'!$A$34:$A$73,0))))</f>
        <v/>
      </c>
      <c r="AH63" s="10"/>
      <c r="AI63" s="7"/>
      <c r="AJ63" s="7"/>
      <c r="AK63" s="31" t="str">
        <f>IF(AJ63/(INDEX('Standards for Conversions'!$H$34:$H$73,MATCH(AI$3,'Standards for Conversions'!$A$34:$A$73,0)))=0,"",AJ63/(INDEX('Standards for Conversions'!$H$34:$H$73,MATCH(AI$3,'Standards for Conversions'!$A$34:$A$73,0))))</f>
        <v/>
      </c>
      <c r="AL63" s="10"/>
      <c r="AM63" s="7"/>
      <c r="AN63" s="7"/>
      <c r="AO63" s="31" t="str">
        <f>IF(AN63/(INDEX('Standards for Conversions'!$H$34:$H$73,MATCH(AM$3,'Standards for Conversions'!$A$34:$A$73,0)))=0,"",AN63/(INDEX('Standards for Conversions'!$H$34:$H$73,MATCH(AM$3,'Standards for Conversions'!$A$34:$A$73,0))))</f>
        <v/>
      </c>
      <c r="AP63" s="10"/>
      <c r="AQ63" s="9"/>
      <c r="AR63" s="9"/>
      <c r="AS63" s="31" t="str">
        <f>IF(AR63/(INDEX('Standards for Conversions'!$H$34:$H$73,MATCH(AQ$3,'Standards for Conversions'!$A$34:$A$73,0)))=0,"",AR63/(INDEX('Standards for Conversions'!$H$34:$H$73,MATCH(AQ$3,'Standards for Conversions'!$A$34:$A$73,0))))</f>
        <v/>
      </c>
      <c r="AT63" s="10"/>
      <c r="AU63" s="7"/>
      <c r="AV63" s="7"/>
      <c r="AW63" s="31" t="str">
        <f>IF(AV63/(INDEX('Standards for Conversions'!$H$34:$H$73,MATCH(AU$3,'Standards for Conversions'!$A$34:$A$73,0)))=0,"",AV63/(INDEX('Standards for Conversions'!$H$34:$H$73,MATCH(AU$3,'Standards for Conversions'!$A$34:$A$73,0))))</f>
        <v/>
      </c>
      <c r="AX63" s="10"/>
      <c r="AY63" s="7"/>
      <c r="AZ63" s="7"/>
      <c r="BA63" s="31" t="str">
        <f>IF(AZ63/(INDEX('Standards for Conversions'!$H$34:$H$73,MATCH(AY$3,'Standards for Conversions'!$A$34:$A$73,0)))=0,"",AZ63/(INDEX('Standards for Conversions'!$H$34:$H$73,MATCH(AY$3,'Standards for Conversions'!$A$34:$A$73,0))))</f>
        <v/>
      </c>
      <c r="BB63" s="10"/>
      <c r="BC63" s="7"/>
      <c r="BD63" s="7"/>
      <c r="BE63" s="31" t="str">
        <f>IF(BD63/(INDEX('Standards for Conversions'!$H$34:$H$73,MATCH(BC$3,'Standards for Conversions'!$A$34:$A$73,0)))=0,"",BD63/(INDEX('Standards for Conversions'!$H$34:$H$73,MATCH(BC$3,'Standards for Conversions'!$A$34:$A$73,0))))</f>
        <v/>
      </c>
      <c r="BF63" s="10"/>
      <c r="BG63" s="9"/>
      <c r="BH63" s="9"/>
      <c r="BI63" s="31" t="str">
        <f>IF(BH63/(INDEX('Standards for Conversions'!$H$34:$H$73,MATCH(BG$3,'Standards for Conversions'!$A$34:$A$73,0)))=0,"",BH63/(INDEX('Standards for Conversions'!$H$34:$H$73,MATCH(BG$3,'Standards for Conversions'!$A$34:$A$73,0))))</f>
        <v/>
      </c>
      <c r="BJ63" s="10"/>
      <c r="BK63" s="7"/>
      <c r="BL63" s="7"/>
      <c r="BM63" s="31" t="str">
        <f>IF(BL63/(INDEX('Standards for Conversions'!$H$34:$H$73,MATCH(BK$3,'Standards for Conversions'!$A$34:$A$73,0)))=0,"",BL63/(INDEX('Standards for Conversions'!$H$34:$H$73,MATCH(BK$3,'Standards for Conversions'!$A$34:$A$73,0))))</f>
        <v/>
      </c>
      <c r="BN63" s="10"/>
      <c r="BO63" s="7"/>
      <c r="BP63" s="7"/>
      <c r="BQ63" s="31" t="str">
        <f>IF(BP63/(INDEX('Standards for Conversions'!$H$34:$H$73,MATCH(BO$3,'Standards for Conversions'!$A$34:$A$73,0)))=0,"",BP63/(INDEX('Standards for Conversions'!$H$34:$H$73,MATCH(BO$3,'Standards for Conversions'!$A$34:$A$73,0))))</f>
        <v/>
      </c>
      <c r="BR63" s="10"/>
      <c r="BS63" s="7"/>
      <c r="BT63" s="7"/>
      <c r="BU63" s="31" t="str">
        <f>IF(BT63/(INDEX('Standards for Conversions'!$H$34:$H$73,MATCH(BS$3,'Standards for Conversions'!$A$34:$A$73,0)))=0,"",BT63/(INDEX('Standards for Conversions'!$H$34:$H$73,MATCH(BS$3,'Standards for Conversions'!$A$34:$A$73,0))))</f>
        <v/>
      </c>
      <c r="BV63" s="10"/>
      <c r="BW63" s="9"/>
      <c r="BX63" s="9"/>
      <c r="BY63" s="31" t="str">
        <f>IF(BX63/(INDEX('Standards for Conversions'!$H$34:$H$73,MATCH(BW$3,'Standards for Conversions'!$A$34:$A$73,0)))=0,"",BX63/(INDEX('Standards for Conversions'!$H$34:$H$73,MATCH(BW$3,'Standards for Conversions'!$A$34:$A$73,0))))</f>
        <v/>
      </c>
      <c r="BZ63" s="10"/>
      <c r="CA63" s="7"/>
      <c r="CB63" s="7"/>
      <c r="CC63" s="31" t="str">
        <f>IF(CB63/(INDEX('Standards for Conversions'!$H$34:$H$73,MATCH(CA$3,'Standards for Conversions'!$A$34:$A$73,0)))=0,"",CB63/(INDEX('Standards for Conversions'!$H$34:$H$73,MATCH(CA$3,'Standards for Conversions'!$A$34:$A$73,0))))</f>
        <v/>
      </c>
      <c r="CD63" s="10"/>
      <c r="CE63" s="7"/>
      <c r="CF63" s="7"/>
      <c r="CG63" s="31" t="str">
        <f>IF(CF63/(INDEX('Standards for Conversions'!$H$34:$H$73,MATCH(CE$3,'Standards for Conversions'!$A$34:$A$73,0)))=0,"",CF63/(INDEX('Standards for Conversions'!$H$34:$H$73,MATCH(CE$3,'Standards for Conversions'!$A$34:$A$73,0))))</f>
        <v/>
      </c>
      <c r="CH63" s="10"/>
      <c r="CI63" s="7"/>
      <c r="CJ63" s="7"/>
      <c r="CK63" s="31" t="str">
        <f>IF(CJ63/(INDEX('Standards for Conversions'!$H$34:$H$73,MATCH(CI$3,'Standards for Conversions'!$A$34:$A$73,0)))=0,"",CJ63/(INDEX('Standards for Conversions'!$H$34:$H$73,MATCH(CI$3,'Standards for Conversions'!$A$34:$A$73,0))))</f>
        <v/>
      </c>
      <c r="CL63" s="10"/>
      <c r="CM63" s="9"/>
      <c r="CN63" s="9"/>
      <c r="CO63" s="31" t="str">
        <f>IF(CN63/(INDEX('Standards for Conversions'!$H$34:$H$73,MATCH(CM$3,'Standards for Conversions'!$A$34:$A$73,0)))=0,"",CN63/(INDEX('Standards for Conversions'!$H$34:$H$73,MATCH(CM$3,'Standards for Conversions'!$A$34:$A$73,0))))</f>
        <v/>
      </c>
      <c r="CP63" s="10"/>
      <c r="CQ63" s="7"/>
      <c r="CR63" s="7"/>
      <c r="CS63" s="31" t="str">
        <f>IF(CR63/(INDEX('Standards for Conversions'!$H$34:$H$73,MATCH(CQ$3,'Standards for Conversions'!$A$34:$A$73,0)))=0,"",CR63/(INDEX('Standards for Conversions'!$H$34:$H$73,MATCH(CQ$3,'Standards for Conversions'!$A$34:$A$73,0))))</f>
        <v/>
      </c>
      <c r="CT63" s="10"/>
      <c r="CU63" s="7"/>
      <c r="CV63" s="7"/>
      <c r="CW63" s="31" t="str">
        <f>IF(CV63/(INDEX('Standards for Conversions'!$H$34:$H$73,MATCH(CU$3,'Standards for Conversions'!$A$34:$A$73,0)))=0,"",CV63/(INDEX('Standards for Conversions'!$H$34:$H$73,MATCH(CU$3,'Standards for Conversions'!$A$34:$A$73,0))))</f>
        <v/>
      </c>
      <c r="CX63" s="10"/>
      <c r="CY63" s="7"/>
      <c r="CZ63" s="7"/>
      <c r="DA63" s="31" t="str">
        <f>IF(CZ63/(INDEX('Standards for Conversions'!$H$34:$H$73,MATCH(CY$3,'Standards for Conversions'!$A$34:$A$73,0)))=0,"",CZ63/(INDEX('Standards for Conversions'!$H$34:$H$73,MATCH(CY$3,'Standards for Conversions'!$A$34:$A$73,0))))</f>
        <v/>
      </c>
      <c r="DB63" s="10"/>
      <c r="DC63" s="9"/>
      <c r="DD63" s="9"/>
      <c r="DE63" s="31" t="str">
        <f>IF(DD63/(INDEX('Standards for Conversions'!$H$34:$H$73,MATCH(DC$3,'Standards for Conversions'!$A$34:$A$73,0)))=0,"",DD63/(INDEX('Standards for Conversions'!$H$34:$H$73,MATCH(DC$3,'Standards for Conversions'!$A$34:$A$73,0))))</f>
        <v/>
      </c>
      <c r="DF63" s="10"/>
      <c r="DG63" s="7"/>
      <c r="DH63" s="7"/>
      <c r="DI63" s="31" t="str">
        <f>IF(DH63/(INDEX('Standards for Conversions'!$H$34:$H$73,MATCH(DG$3,'Standards for Conversions'!$A$34:$A$73,0)))=0,"",DH63/(INDEX('Standards for Conversions'!$H$34:$H$73,MATCH(DG$3,'Standards for Conversions'!$A$34:$A$73,0))))</f>
        <v/>
      </c>
      <c r="DJ63" s="10"/>
      <c r="DK63" s="7"/>
      <c r="DL63" s="7"/>
      <c r="DM63" s="31" t="str">
        <f>IF(DL63/(INDEX('Standards for Conversions'!$H$34:$H$73,MATCH(DK$3,'Standards for Conversions'!$A$34:$A$73,0)))=0,"",DL63/(INDEX('Standards for Conversions'!$H$34:$H$73,MATCH(DK$3,'Standards for Conversions'!$A$34:$A$73,0))))</f>
        <v/>
      </c>
      <c r="DN63" s="10"/>
      <c r="DO63" s="7"/>
      <c r="DP63" s="7"/>
      <c r="DQ63" s="31" t="str">
        <f>IF(DP63/(INDEX('Standards for Conversions'!$H$34:$H$73,MATCH(DO$3,'Standards for Conversions'!$A$34:$A$73,0)))=0,"",DP63/(INDEX('Standards for Conversions'!$H$34:$H$73,MATCH(DO$3,'Standards for Conversions'!$A$34:$A$73,0))))</f>
        <v/>
      </c>
      <c r="DR63" s="10"/>
      <c r="DS63" s="9"/>
      <c r="DT63" s="9"/>
      <c r="DU63" s="31" t="str">
        <f>IF(DT63/(INDEX('Standards for Conversions'!$H$34:$H$73,MATCH(DS$3,'Standards for Conversions'!$A$34:$A$73,0)))=0,"",DT63/(INDEX('Standards for Conversions'!$H$34:$H$73,MATCH(DS$3,'Standards for Conversions'!$A$34:$A$73,0))))</f>
        <v/>
      </c>
      <c r="DV63" s="10"/>
      <c r="DW63" s="7"/>
      <c r="DX63" s="7"/>
      <c r="DY63" s="31" t="str">
        <f>IF(DX63/(INDEX('Standards for Conversions'!$H$34:$H$73,MATCH(DW$3,'Standards for Conversions'!$A$34:$A$73,0)))=0,"",DX63/(INDEX('Standards for Conversions'!$H$34:$H$73,MATCH(DW$3,'Standards for Conversions'!$A$34:$A$73,0))))</f>
        <v/>
      </c>
      <c r="DZ63" s="10"/>
      <c r="EA63" s="7"/>
      <c r="EB63" s="7"/>
      <c r="EC63" s="31" t="str">
        <f>IF(EB63/(INDEX('Standards for Conversions'!$H$34:$H$73,MATCH(EA$3,'Standards for Conversions'!$A$34:$A$73,0)))=0,"",EB63/(INDEX('Standards for Conversions'!$H$34:$H$73,MATCH(EA$3,'Standards for Conversions'!$A$34:$A$73,0))))</f>
        <v/>
      </c>
      <c r="ED63" s="10"/>
      <c r="EE63" s="7"/>
      <c r="EF63" s="7"/>
      <c r="EG63" s="31" t="str">
        <f>IF(EF63/(INDEX('Standards for Conversions'!$H$34:$H$73,MATCH(EE$3,'Standards for Conversions'!$A$34:$A$73,0)))=0,"",EF63/(INDEX('Standards for Conversions'!$H$34:$H$73,MATCH(EE$3,'Standards for Conversions'!$A$34:$A$73,0))))</f>
        <v/>
      </c>
      <c r="EH63" s="10"/>
      <c r="EI63" s="9"/>
      <c r="EJ63" s="9"/>
      <c r="EK63" s="31" t="str">
        <f>IF(EJ63/(INDEX('Standards for Conversions'!$H$34:$H$73,MATCH(EI$3,'Standards for Conversions'!$A$34:$A$73,0)))=0,"",EJ63/(INDEX('Standards for Conversions'!$H$34:$H$73,MATCH(EI$3,'Standards for Conversions'!$A$34:$A$73,0))))</f>
        <v/>
      </c>
      <c r="EL63" s="10"/>
      <c r="EM63" s="7"/>
      <c r="EN63" s="7"/>
      <c r="EO63" s="31" t="str">
        <f>IF(EN63/(INDEX('Standards for Conversions'!$H$34:$H$73,MATCH(EM$3,'Standards for Conversions'!$A$34:$A$73,0)))=0,"",EN63/(INDEX('Standards for Conversions'!$H$34:$H$73,MATCH(EM$3,'Standards for Conversions'!$A$34:$A$73,0))))</f>
        <v/>
      </c>
      <c r="EP63" s="10"/>
      <c r="EQ63" s="7"/>
      <c r="ER63" s="7"/>
      <c r="ES63" s="31" t="str">
        <f>IF(ER63/(INDEX('Standards for Conversions'!$H$34:$H$73,MATCH(EQ$3,'Standards for Conversions'!$A$34:$A$73,0)))=0,"",ER63/(INDEX('Standards for Conversions'!$H$34:$H$73,MATCH(EQ$3,'Standards for Conversions'!$A$34:$A$73,0))))</f>
        <v/>
      </c>
      <c r="ET63" s="10"/>
      <c r="EU63" s="7"/>
      <c r="EV63" s="7"/>
      <c r="EW63" s="31" t="str">
        <f>IF(EV63/(INDEX('Standards for Conversions'!$H$34:$H$73,MATCH(EU$3,'Standards for Conversions'!$A$34:$A$73,0)))=0,"",EV63/(INDEX('Standards for Conversions'!$H$34:$H$73,MATCH(EU$3,'Standards for Conversions'!$A$34:$A$73,0))))</f>
        <v/>
      </c>
      <c r="EX63" s="10"/>
      <c r="EY63" s="9"/>
      <c r="EZ63" s="9"/>
      <c r="FA63" s="31" t="str">
        <f>IF(EZ63/(INDEX('Standards for Conversions'!$H$34:$H$73,MATCH(EY$3,'Standards for Conversions'!$A$34:$A$73,0)))=0,"",EZ63/(INDEX('Standards for Conversions'!$H$34:$H$73,MATCH(EY$3,'Standards for Conversions'!$A$34:$A$73,0))))</f>
        <v/>
      </c>
      <c r="FB63" s="10"/>
      <c r="FC63" s="7"/>
      <c r="FD63" s="7"/>
      <c r="FE63" s="31" t="str">
        <f>IF(FD63/(INDEX('Standards for Conversions'!$H$34:$H$73,MATCH(FC$3,'Standards for Conversions'!$A$34:$A$73,0)))=0,"",FD63/(INDEX('Standards for Conversions'!$H$34:$H$73,MATCH(FC$3,'Standards for Conversions'!$A$34:$A$73,0))))</f>
        <v/>
      </c>
      <c r="FF63" s="10"/>
      <c r="FG63" s="7"/>
      <c r="FH63" s="7"/>
      <c r="FI63" s="31" t="str">
        <f>IF(FH63/(INDEX('Standards for Conversions'!$H$34:$H$73,MATCH(FG$3,'Standards for Conversions'!$A$34:$A$73,0)))=0,"",FH63/(INDEX('Standards for Conversions'!$H$34:$H$73,MATCH(FG$3,'Standards for Conversions'!$A$34:$A$73,0))))</f>
        <v/>
      </c>
      <c r="FJ63" s="10"/>
      <c r="FK63" s="7"/>
      <c r="FL63" s="7"/>
      <c r="FM63" s="31" t="str">
        <f>IF(FL63/(INDEX('Standards for Conversions'!$H$34:$H$73,MATCH(FK$3,'Standards for Conversions'!$A$34:$A$73,0)))=0,"",FL63/(INDEX('Standards for Conversions'!$H$34:$H$73,MATCH(FK$3,'Standards for Conversions'!$A$34:$A$73,0))))</f>
        <v/>
      </c>
      <c r="FN63" s="10"/>
      <c r="FO63" s="9"/>
      <c r="FP63" s="9"/>
      <c r="FQ63" s="31" t="str">
        <f>IF(FP63/(INDEX('Standards for Conversions'!$H$34:$H$73,MATCH(FO$3,'Standards for Conversions'!$A$34:$A$73,0)))=0,"",FP63/(INDEX('Standards for Conversions'!$H$34:$H$73,MATCH(FO$3,'Standards for Conversions'!$A$34:$A$73,0))))</f>
        <v/>
      </c>
      <c r="FR63" s="10"/>
      <c r="FS63" s="7"/>
      <c r="FT63" s="7"/>
      <c r="FU63" s="31" t="str">
        <f>IF(FT63/(INDEX('Standards for Conversions'!$H$34:$H$73,MATCH(FS$3,'Standards for Conversions'!$A$34:$A$73,0)))=0,"",FT63/(INDEX('Standards for Conversions'!$H$34:$H$73,MATCH(FS$3,'Standards for Conversions'!$A$34:$A$73,0))))</f>
        <v/>
      </c>
      <c r="FV63" s="10"/>
      <c r="FW63" s="7"/>
      <c r="FX63" s="7"/>
      <c r="FY63" s="31" t="str">
        <f>IF(FX63/(INDEX('Standards for Conversions'!$H$34:$H$73,MATCH(FW$3,'Standards for Conversions'!$A$34:$A$73,0)))=0,"",FX63/(INDEX('Standards for Conversions'!$H$34:$H$73,MATCH(FW$3,'Standards for Conversions'!$A$34:$A$73,0))))</f>
        <v/>
      </c>
      <c r="FZ63" s="10"/>
      <c r="GA63" s="7"/>
      <c r="GB63" s="7"/>
      <c r="GC63" s="31" t="str">
        <f>IF(GB63/(INDEX('Standards for Conversions'!$H$34:$H$73,MATCH(GA$3,'Standards for Conversions'!$A$34:$A$73,0)))=0,"",GB63/(INDEX('Standards for Conversions'!$H$34:$H$73,MATCH(GA$3,'Standards for Conversions'!$A$34:$A$73,0))))</f>
        <v/>
      </c>
      <c r="GD63" s="10"/>
      <c r="GE63" s="9"/>
      <c r="GF63" s="9"/>
      <c r="GG63" s="31" t="str">
        <f>IF(GF63/(INDEX('Standards for Conversions'!$H$34:$H$73,MATCH(GE$3,'Standards for Conversions'!$A$34:$A$73,0)))=0,"",GF63/(INDEX('Standards for Conversions'!$H$34:$H$73,MATCH(GE$3,'Standards for Conversions'!$A$34:$A$73,0))))</f>
        <v/>
      </c>
      <c r="GH63" s="10"/>
      <c r="GI63" s="7"/>
      <c r="GJ63" s="7"/>
      <c r="GK63" s="31" t="str">
        <f>IF(GJ63/(INDEX('Standards for Conversions'!$H$34:$H$73,MATCH(GI$3,'Standards for Conversions'!$A$34:$A$73,0)))=0,"",GJ63/(INDEX('Standards for Conversions'!$H$34:$H$73,MATCH(GI$3,'Standards for Conversions'!$A$34:$A$73,0))))</f>
        <v/>
      </c>
      <c r="GL63" s="10"/>
      <c r="GM63" s="7"/>
      <c r="GN63" s="7"/>
      <c r="GO63" s="31" t="str">
        <f>IF(GN63/(INDEX('Standards for Conversions'!$H$34:$H$73,MATCH(GM$3,'Standards for Conversions'!$A$34:$A$73,0)))=0,"",GN63/(INDEX('Standards for Conversions'!$H$34:$H$73,MATCH(GM$3,'Standards for Conversions'!$A$34:$A$73,0))))</f>
        <v/>
      </c>
      <c r="GP63" s="10"/>
      <c r="GQ63" s="7"/>
      <c r="GR63" s="7"/>
      <c r="GS63" s="31" t="str">
        <f>IF(GR63/(INDEX('Standards for Conversions'!$H$34:$H$73,MATCH(GQ$3,'Standards for Conversions'!$A$34:$A$73,0)))=0,"",GR63/(INDEX('Standards for Conversions'!$H$34:$H$73,MATCH(GQ$3,'Standards for Conversions'!$A$34:$A$73,0))))</f>
        <v/>
      </c>
      <c r="GT63" s="10"/>
      <c r="GU63" s="9"/>
      <c r="GV63" s="9"/>
      <c r="GW63" s="31" t="str">
        <f>IF(GV63/(INDEX('Standards for Conversions'!$H$34:$H$73,MATCH(GU$3,'Standards for Conversions'!$A$34:$A$73,0)))=0,"",GV63/(INDEX('Standards for Conversions'!$H$34:$H$73,MATCH(GU$3,'Standards for Conversions'!$A$34:$A$73,0))))</f>
        <v/>
      </c>
      <c r="GX63" s="10"/>
      <c r="GY63" s="7"/>
      <c r="GZ63" s="7"/>
      <c r="HA63" s="31" t="str">
        <f>IF(GZ63/(INDEX('Standards for Conversions'!$H$34:$H$73,MATCH(GY$3,'Standards for Conversions'!$A$34:$A$73,0)))=0,"",GZ63/(INDEX('Standards for Conversions'!$H$34:$H$73,MATCH(GY$3,'Standards for Conversions'!$A$34:$A$73,0))))</f>
        <v/>
      </c>
      <c r="HB63" s="10"/>
      <c r="HC63" s="7"/>
      <c r="HD63" s="7"/>
      <c r="HE63" s="31" t="str">
        <f>IF(HD63/(INDEX('Standards for Conversions'!$H$34:$H$73,MATCH(HC$3,'Standards for Conversions'!$A$34:$A$73,0)))=0,"",HD63/(INDEX('Standards for Conversions'!$H$34:$H$73,MATCH(HC$3,'Standards for Conversions'!$A$34:$A$73,0))))</f>
        <v/>
      </c>
      <c r="HF63" s="10"/>
      <c r="HG63" s="7"/>
      <c r="HH63" s="7"/>
      <c r="HI63" s="31" t="str">
        <f>IF(HH63/(INDEX('Standards for Conversions'!$H$34:$H$73,MATCH(HG$3,'Standards for Conversions'!$A$34:$A$73,0)))=0,"",HH63/(INDEX('Standards for Conversions'!$H$34:$H$73,MATCH(HG$3,'Standards for Conversions'!$A$34:$A$73,0))))</f>
        <v/>
      </c>
      <c r="HJ63" s="10"/>
      <c r="HK63" s="9"/>
      <c r="HL63" s="9"/>
      <c r="HM63" s="31" t="str">
        <f>IF(HL63/(INDEX('Standards for Conversions'!$H$34:$H$73,MATCH(HK$3,'Standards for Conversions'!$A$34:$A$73,0)))=0,"",HL63/(INDEX('Standards for Conversions'!$H$34:$H$73,MATCH(HK$3,'Standards for Conversions'!$A$34:$A$73,0))))</f>
        <v/>
      </c>
      <c r="HN63" s="10"/>
      <c r="HO63" s="7"/>
      <c r="HP63" s="7"/>
      <c r="HQ63" s="31" t="str">
        <f>IF(HP63/(INDEX('Standards for Conversions'!$H$34:$H$73,MATCH(HO$3,'Standards for Conversions'!$A$34:$A$73,0)))=0,"",HP63/(INDEX('Standards for Conversions'!$H$34:$H$73,MATCH(HO$3,'Standards for Conversions'!$A$34:$A$73,0))))</f>
        <v/>
      </c>
      <c r="HU63" s="31" t="str">
        <f>IF(HT63/(INDEX('Standards for Conversions'!$H$47:$H$73,MATCH(HS$3,'Standards for Conversions'!$A$47:$A$73,0)))=0,"",HT63/(INDEX('Standards for Conversions'!$H$47:$H$73,MATCH(HS$3,'Standards for Conversions'!$A$47:$A$73,0))))</f>
        <v/>
      </c>
      <c r="HY63" s="31" t="str">
        <f>IF(HX63/(INDEX('Standards for Conversions'!$H$47:$H$73,MATCH(HW$3,'Standards for Conversions'!$A$47:$A$73,0)))=0,"",HX63/(INDEX('Standards for Conversions'!$H$47:$H$73,MATCH(HW$3,'Standards for Conversions'!$A$47:$A$73,0))))</f>
        <v/>
      </c>
      <c r="IB63" s="31" t="str">
        <f>IF(IA63/(INDEX('Standards for Conversions'!$H$47:$H$73,MATCH(HZ$3,'Standards for Conversions'!$A$47:$A$73,0)))=0,"",IA63/(INDEX('Standards for Conversions'!$H$47:$H$73,MATCH(HZ$3,'Standards for Conversions'!$A$47:$A$73,0))))</f>
        <v/>
      </c>
      <c r="IF63" s="31" t="str">
        <f>IF(IE63/(INDEX('Standards for Conversions'!$H$47:$H$73,MATCH(ID$3,'Standards for Conversions'!$A$47:$A$73,0)))=0,"",IE63/(INDEX('Standards for Conversions'!$H$47:$H$73,MATCH(ID$3,'Standards for Conversions'!$A$47:$A$73,0))))</f>
        <v/>
      </c>
      <c r="IJ63" s="31" t="str">
        <f>IF(II63/(INDEX('Standards for Conversions'!$H$47:$H$73,MATCH(IH$3,'Standards for Conversions'!$A$47:$A$73,0)))=0,"",II63/(INDEX('Standards for Conversions'!$H$47:$H$73,MATCH(IH$3,'Standards for Conversions'!$A$47:$A$73,0))))</f>
        <v/>
      </c>
      <c r="IN63" s="31" t="str">
        <f>IF(IM63/(INDEX('Standards for Conversions'!$H$47:$H$73,MATCH(IL$3,'Standards for Conversions'!$A$47:$A$73,0)))=0,"",IM63/(INDEX('Standards for Conversions'!$H$47:$H$73,MATCH(IL$3,'Standards for Conversions'!$A$47:$A$73,0))))</f>
        <v/>
      </c>
      <c r="IR63" s="31" t="str">
        <f>IF(IQ63/(INDEX('Standards for Conversions'!$H$47:$H$73,MATCH(IP$3,'Standards for Conversions'!$A$47:$A$73,0)))=0,"",IQ63/(INDEX('Standards for Conversions'!$H$47:$H$73,MATCH(IP$3,'Standards for Conversions'!$A$47:$A$73,0))))</f>
        <v/>
      </c>
      <c r="IV63" s="31" t="str">
        <f>IF(IU63/(INDEX('Standards for Conversions'!$H$47:$H$73,MATCH(IT$3,'Standards for Conversions'!$A$47:$A$73,0)))=0,"",IU63/(INDEX('Standards for Conversions'!$H$47:$H$73,MATCH(IT$3,'Standards for Conversions'!$A$47:$A$73,0))))</f>
        <v/>
      </c>
      <c r="IZ63" s="31" t="str">
        <f>IF(IY63/(INDEX('Standards for Conversions'!$H$47:$H$73,MATCH(IX$3,'Standards for Conversions'!$A$47:$A$73,0)))=0,"",IY63/(INDEX('Standards for Conversions'!$H$47:$H$73,MATCH(IX$3,'Standards for Conversions'!$A$47:$A$73,0))))</f>
        <v/>
      </c>
      <c r="JD63" s="31" t="str">
        <f>IF(JC63/(INDEX('Standards for Conversions'!$H$47:$H$73,MATCH(JB$3,'Standards for Conversions'!$A$47:$A$73,0)))=0,"",JC63/(INDEX('Standards for Conversions'!$H$47:$H$73,MATCH(JB$3,'Standards for Conversions'!$A$47:$A$73,0))))</f>
        <v/>
      </c>
      <c r="JH63" s="31" t="str">
        <f>IF(JG63/(INDEX('Standards for Conversions'!$H$47:$H$73,MATCH(JF$3,'Standards for Conversions'!$A$47:$A$73,0)))=0,"",JG63/(INDEX('Standards for Conversions'!$H$47:$H$73,MATCH(JF$3,'Standards for Conversions'!$A$47:$A$73,0))))</f>
        <v/>
      </c>
      <c r="JL63" s="31" t="str">
        <f>IF(JK63/(INDEX('Standards for Conversions'!$H$47:$H$73,MATCH(JJ$3,'Standards for Conversions'!$A$47:$A$73,0)))=0,"",JK63/(INDEX('Standards for Conversions'!$H$47:$H$73,MATCH(JJ$3,'Standards for Conversions'!$A$47:$A$73,0))))</f>
        <v/>
      </c>
      <c r="JP63" s="31" t="str">
        <f>IF(JO63/(INDEX('Standards for Conversions'!$H$47:$H$73,MATCH(JN$3,'Standards for Conversions'!$A$47:$A$73,0)))=0,"",JO63/(INDEX('Standards for Conversions'!$H$47:$H$73,MATCH(JN$3,'Standards for Conversions'!$A$47:$A$73,0))))</f>
        <v/>
      </c>
      <c r="JT63" s="31" t="str">
        <f>IF(JS63/(INDEX('Standards for Conversions'!$H$47:$H$73,MATCH(JR$3,'Standards for Conversions'!$A$47:$A$73,0)))=0,"",JS63/(INDEX('Standards for Conversions'!$H$47:$H$73,MATCH(JR$3,'Standards for Conversions'!$A$47:$A$73,0))))</f>
        <v/>
      </c>
      <c r="JX63" s="31" t="str">
        <f>IF(JW63/(INDEX('Standards for Conversions'!$H$47:$H$73,MATCH(JV$3,'Standards for Conversions'!$A$47:$A$73,0)))=0,"",JW63/(INDEX('Standards for Conversions'!$H$47:$H$73,MATCH(JV$3,'Standards for Conversions'!$A$47:$A$73,0))))</f>
        <v/>
      </c>
      <c r="KB63" s="31" t="str">
        <f>IF(KA63/(INDEX('Standards for Conversions'!$H$47:$H$73,MATCH(JZ$3,'Standards for Conversions'!$A$47:$A$73,0)))=0,"",KA63/(INDEX('Standards for Conversions'!$H$47:$H$73,MATCH(JZ$3,'Standards for Conversions'!$A$47:$A$73,0))))</f>
        <v/>
      </c>
      <c r="KF63" s="31" t="str">
        <f>IF(KE63/(INDEX('Standards for Conversions'!$H$47:$H$73,MATCH(KD$3,'Standards for Conversions'!$A$47:$A$73,0)))=0,"",KE63/(INDEX('Standards for Conversions'!$H$47:$H$73,MATCH(KD$3,'Standards for Conversions'!$A$47:$A$73,0))))</f>
        <v/>
      </c>
      <c r="KJ63" s="31" t="str">
        <f>IF(KI63/(INDEX('Standards for Conversions'!$H$47:$H$73,MATCH(KH$3,'Standards for Conversions'!$A$47:$A$73,0)))=0,"",KI63/(INDEX('Standards for Conversions'!$H$47:$H$73,MATCH(KH$3,'Standards for Conversions'!$A$47:$A$73,0))))</f>
        <v/>
      </c>
      <c r="KN63" s="31" t="str">
        <f>IF(KM63/(INDEX('Standards for Conversions'!$H$47:$H$73,MATCH(KL$3,'Standards for Conversions'!$A$47:$A$73,0)))=0,"",KM63/(INDEX('Standards for Conversions'!$H$47:$H$73,MATCH(KL$3,'Standards for Conversions'!$A$47:$A$73,0))))</f>
        <v/>
      </c>
      <c r="KR63" s="31" t="str">
        <f>IF(KQ63/(INDEX('Standards for Conversions'!$H$47:$H$73,MATCH(KP$3,'Standards for Conversions'!$A$47:$A$73,0)))=0,"",KQ63/(INDEX('Standards for Conversions'!$H$47:$H$73,MATCH(KP$3,'Standards for Conversions'!$A$47:$A$73,0))))</f>
        <v/>
      </c>
      <c r="KV63" s="31" t="str">
        <f>IF(KU63/(INDEX('Standards for Conversions'!$H$47:$H$73,MATCH(KT$3,'Standards for Conversions'!$A$47:$A$73,0)))=0,"",KU63/(INDEX('Standards for Conversions'!$H$47:$H$73,MATCH(KT$3,'Standards for Conversions'!$A$47:$A$73,0))))</f>
        <v/>
      </c>
      <c r="KZ63" s="31" t="str">
        <f>IF(KY63/(INDEX('Standards for Conversions'!$H$47:$H$73,MATCH(KX$3,'Standards for Conversions'!$A$47:$A$73,0)))=0,"",KY63/(INDEX('Standards for Conversions'!$H$47:$H$73,MATCH(KX$3,'Standards for Conversions'!$A$47:$A$73,0))))</f>
        <v/>
      </c>
      <c r="LD63" s="31" t="str">
        <f>IF(LC63/(INDEX('Standards for Conversions'!$H$47:$H$73,MATCH(LB$3,'Standards for Conversions'!$A$47:$A$73,0)))=0,"",LC63/(INDEX('Standards for Conversions'!$H$47:$H$73,MATCH(LB$3,'Standards for Conversions'!$A$47:$A$73,0))))</f>
        <v/>
      </c>
      <c r="LH63" s="31" t="str">
        <f>IF(LG63/(INDEX('Standards for Conversions'!$H$47:$H$73,MATCH(LF$3,'Standards for Conversions'!$A$47:$A$73,0)))=0,"",LG63/(INDEX('Standards for Conversions'!$H$47:$H$73,MATCH(LF$3,'Standards for Conversions'!$A$47:$A$73,0))))</f>
        <v/>
      </c>
      <c r="LL63" s="31" t="str">
        <f>IF(LK63/(INDEX('Standards for Conversions'!$H$47:$H$73,MATCH(LJ$3,'Standards for Conversions'!$A$47:$A$73,0)))=0,"",LK63/(INDEX('Standards for Conversions'!$H$47:$H$73,MATCH(LJ$3,'Standards for Conversions'!$A$47:$A$73,0))))</f>
        <v/>
      </c>
      <c r="LO63" s="31" t="str">
        <f>IF(LN63/(INDEX('Standards for Conversions'!$H$47:$H$73,MATCH(LM$3,'Standards for Conversions'!$A$47:$A$73,0)))=0,"",LN63/(INDEX('Standards for Conversions'!$H$47:$H$73,MATCH(LM$3,'Standards for Conversions'!$A$47:$A$73,0))))</f>
        <v/>
      </c>
      <c r="LR63" s="31" t="str">
        <f>IF(LQ63/(INDEX('Standards for Conversions'!$H$47:$H$73,MATCH(LP$3,'Standards for Conversions'!$A$47:$A$73,0)))=0,"",LQ63/(INDEX('Standards for Conversions'!$H$47:$H$73,MATCH(LP$3,'Standards for Conversions'!$A$47:$A$73,0))))</f>
        <v/>
      </c>
      <c r="LV63" s="31" t="str">
        <f>IF(LU63/(INDEX('Standards for Conversions'!$H$47:$H$73,MATCH(LT$3,'Standards for Conversions'!$A$47:$A$73,0)))=0,"",LU63/(INDEX('Standards for Conversions'!$H$47:$H$73,MATCH(LT$3,'Standards for Conversions'!$A$47:$A$73,0))))</f>
        <v/>
      </c>
      <c r="LY63" s="31" t="str">
        <f>IF(LX63/(INDEX('Standards for Conversions'!$H$47:$H$73,MATCH(LW$3,'Standards for Conversions'!$A$47:$A$73,0)))=0,"",LX63/(INDEX('Standards for Conversions'!$H$47:$H$73,MATCH(LW$3,'Standards for Conversions'!$A$47:$A$73,0))))</f>
        <v/>
      </c>
      <c r="MB63" s="31" t="str">
        <f>IF(MA63/(INDEX('Standards for Conversions'!$H$47:$H$73,MATCH(LZ$3,'Standards for Conversions'!$A$47:$A$73,0)))=0,"",MA63/(INDEX('Standards for Conversions'!$H$47:$H$73,MATCH(LZ$3,'Standards for Conversions'!$A$47:$A$73,0))))</f>
        <v/>
      </c>
      <c r="ME63" s="31" t="str">
        <f>IF(MD63/(INDEX('Standards for Conversions'!$H$47:$H$73,MATCH(MC$3,'Standards for Conversions'!$A$47:$A$73,0)))=0,"",MD63/(INDEX('Standards for Conversions'!$H$47:$H$73,MATCH(MC$3,'Standards for Conversions'!$A$47:$A$73,0))))</f>
        <v/>
      </c>
      <c r="MH63" s="31" t="str">
        <f>IF(MG63/(INDEX('Standards for Conversions'!$H$47:$H$73,MATCH(MF$3,'Standards for Conversions'!$A$47:$A$73,0)))=0,"",MG63/(INDEX('Standards for Conversions'!$H$47:$H$73,MATCH(MF$3,'Standards for Conversions'!$A$47:$A$73,0))))</f>
        <v/>
      </c>
      <c r="MK63" s="31" t="str">
        <f>IF(MJ63/(INDEX('Standards for Conversions'!$H$47:$H$73,MATCH(MI$3,'Standards for Conversions'!$A$47:$A$73,0)))=0,"",MJ63/(INDEX('Standards for Conversions'!$H$47:$H$73,MATCH(MI$3,'Standards for Conversions'!$A$47:$A$73,0))))</f>
        <v/>
      </c>
      <c r="MN63" s="31" t="str">
        <f>IF(MM63/(INDEX('Standards for Conversions'!$H$47:$H$73,MATCH(ML$3,'Standards for Conversions'!$A$47:$A$73,0)))=0,"",MM63/(INDEX('Standards for Conversions'!$H$47:$H$73,MATCH(ML$3,'Standards for Conversions'!$A$47:$A$73,0))))</f>
        <v/>
      </c>
      <c r="MR63" s="31" t="str">
        <f>IF(MQ63/(INDEX('Standards for Conversions'!$H$47:$H$73,MATCH(MP$3,'Standards for Conversions'!$A$47:$A$73,0)))=0,"",MQ63/(INDEX('Standards for Conversions'!$H$47:$H$73,MATCH(MP$3,'Standards for Conversions'!$A$47:$A$73,0))))</f>
        <v/>
      </c>
      <c r="NE63" s="33" t="s">
        <v>8</v>
      </c>
      <c r="NF63" s="33">
        <v>13830</v>
      </c>
      <c r="NG63" s="33">
        <v>2329</v>
      </c>
      <c r="NH63" s="33">
        <v>9811</v>
      </c>
      <c r="NI63" s="33">
        <v>1537</v>
      </c>
    </row>
    <row r="64" spans="1:373" hidden="1" x14ac:dyDescent="0.3">
      <c r="A64" s="103" t="s">
        <v>239</v>
      </c>
      <c r="B64" s="10" t="s">
        <v>50</v>
      </c>
      <c r="C64" s="7"/>
      <c r="D64" s="7"/>
      <c r="E64" s="31" t="str">
        <f>IF(D64/(INDEX('Standards for Conversions'!$H$34:$H$73,MATCH(C$3,'Standards for Conversions'!$A$34:$A$73,0)))=0,"",D64/(INDEX('Standards for Conversions'!$H$34:$H$73,MATCH(C$3,'Standards for Conversions'!$A$34:$A$73,0))))</f>
        <v/>
      </c>
      <c r="F64" s="10" t="s">
        <v>50</v>
      </c>
      <c r="G64" s="7"/>
      <c r="H64" s="7"/>
      <c r="I64" s="31" t="str">
        <f>IF(H64/(INDEX('Standards for Conversions'!$H$34:$H$73,MATCH(G$3,'Standards for Conversions'!$A$34:$A$73,0)))=0,"",H64/(INDEX('Standards for Conversions'!$H$34:$H$73,MATCH(G$3,'Standards for Conversions'!$A$34:$A$73,0))))</f>
        <v/>
      </c>
      <c r="J64" s="10" t="s">
        <v>50</v>
      </c>
      <c r="K64" s="9"/>
      <c r="L64" s="9"/>
      <c r="M64" s="31" t="str">
        <f>IF(L64/(INDEX('Standards for Conversions'!$H$34:$H$73,MATCH(K$3,'Standards for Conversions'!$A$34:$A$73,0)))=0,"",L64/(INDEX('Standards for Conversions'!$H$34:$H$73,MATCH(K$3,'Standards for Conversions'!$A$34:$A$73,0))))</f>
        <v/>
      </c>
      <c r="N64" s="10" t="s">
        <v>50</v>
      </c>
      <c r="O64" s="7"/>
      <c r="P64" s="7"/>
      <c r="Q64" s="31" t="str">
        <f>IF(P64/(INDEX('Standards for Conversions'!$H$34:$H$73,MATCH(O$3,'Standards for Conversions'!$A$34:$A$73,0)))=0,"",P64/(INDEX('Standards for Conversions'!$H$34:$H$73,MATCH(O$3,'Standards for Conversions'!$A$34:$A$73,0))))</f>
        <v/>
      </c>
      <c r="R64" s="10" t="s">
        <v>50</v>
      </c>
      <c r="S64" s="7"/>
      <c r="T64" s="7"/>
      <c r="U64" s="31" t="str">
        <f>IF(T64/(INDEX('Standards for Conversions'!$H$34:$H$73,MATCH(S$3,'Standards for Conversions'!$A$34:$A$73,0)))=0,"",T64/(INDEX('Standards for Conversions'!$H$34:$H$73,MATCH(S$3,'Standards for Conversions'!$A$34:$A$73,0))))</f>
        <v/>
      </c>
      <c r="V64" s="10" t="s">
        <v>50</v>
      </c>
      <c r="W64" s="7"/>
      <c r="X64" s="7"/>
      <c r="Y64" s="31" t="str">
        <f>IF(X64/(INDEX('Standards for Conversions'!$H$34:$H$73,MATCH(W$3,'Standards for Conversions'!$A$34:$A$73,0)))=0,"",X64/(INDEX('Standards for Conversions'!$H$34:$H$73,MATCH(W$3,'Standards for Conversions'!$A$34:$A$73,0))))</f>
        <v/>
      </c>
      <c r="Z64" s="10" t="s">
        <v>50</v>
      </c>
      <c r="AA64" s="9"/>
      <c r="AB64" s="9"/>
      <c r="AC64" s="31" t="str">
        <f>IF(AB64/(INDEX('Standards for Conversions'!$H$34:$H$73,MATCH(AA$3,'Standards for Conversions'!$A$34:$A$73,0)))=0,"",AB64/(INDEX('Standards for Conversions'!$H$34:$H$73,MATCH(AA$3,'Standards for Conversions'!$A$34:$A$73,0))))</f>
        <v/>
      </c>
      <c r="AD64" s="10" t="s">
        <v>50</v>
      </c>
      <c r="AE64" s="7"/>
      <c r="AF64" s="7"/>
      <c r="AG64" s="31" t="str">
        <f>IF(AF64/(INDEX('Standards for Conversions'!$H$34:$H$73,MATCH(AE$3,'Standards for Conversions'!$A$34:$A$73,0)))=0,"",AF64/(INDEX('Standards for Conversions'!$H$34:$H$73,MATCH(AE$3,'Standards for Conversions'!$A$34:$A$73,0))))</f>
        <v/>
      </c>
      <c r="AH64" s="10" t="s">
        <v>50</v>
      </c>
      <c r="AI64" s="7"/>
      <c r="AJ64" s="7"/>
      <c r="AK64" s="31" t="str">
        <f>IF(AJ64/(INDEX('Standards for Conversions'!$H$34:$H$73,MATCH(AI$3,'Standards for Conversions'!$A$34:$A$73,0)))=0,"",AJ64/(INDEX('Standards for Conversions'!$H$34:$H$73,MATCH(AI$3,'Standards for Conversions'!$A$34:$A$73,0))))</f>
        <v/>
      </c>
      <c r="AL64" s="10" t="s">
        <v>50</v>
      </c>
      <c r="AM64" s="7"/>
      <c r="AN64" s="7"/>
      <c r="AO64" s="31" t="str">
        <f>IF(AN64/(INDEX('Standards for Conversions'!$H$34:$H$73,MATCH(AM$3,'Standards for Conversions'!$A$34:$A$73,0)))=0,"",AN64/(INDEX('Standards for Conversions'!$H$34:$H$73,MATCH(AM$3,'Standards for Conversions'!$A$34:$A$73,0))))</f>
        <v/>
      </c>
      <c r="AP64" s="10" t="s">
        <v>50</v>
      </c>
      <c r="AQ64" s="9"/>
      <c r="AR64" s="9"/>
      <c r="AS64" s="31" t="str">
        <f>IF(AR64/(INDEX('Standards for Conversions'!$H$34:$H$73,MATCH(AQ$3,'Standards for Conversions'!$A$34:$A$73,0)))=0,"",AR64/(INDEX('Standards for Conversions'!$H$34:$H$73,MATCH(AQ$3,'Standards for Conversions'!$A$34:$A$73,0))))</f>
        <v/>
      </c>
      <c r="AT64" s="10" t="s">
        <v>50</v>
      </c>
      <c r="AU64" s="7"/>
      <c r="AV64" s="7"/>
      <c r="AW64" s="31" t="str">
        <f>IF(AV64/(INDEX('Standards for Conversions'!$H$34:$H$73,MATCH(AU$3,'Standards for Conversions'!$A$34:$A$73,0)))=0,"",AV64/(INDEX('Standards for Conversions'!$H$34:$H$73,MATCH(AU$3,'Standards for Conversions'!$A$34:$A$73,0))))</f>
        <v/>
      </c>
      <c r="AX64" s="10" t="s">
        <v>50</v>
      </c>
      <c r="AY64" s="7"/>
      <c r="AZ64" s="7"/>
      <c r="BA64" s="31" t="str">
        <f>IF(AZ64/(INDEX('Standards for Conversions'!$H$34:$H$73,MATCH(AY$3,'Standards for Conversions'!$A$34:$A$73,0)))=0,"",AZ64/(INDEX('Standards for Conversions'!$H$34:$H$73,MATCH(AY$3,'Standards for Conversions'!$A$34:$A$73,0))))</f>
        <v/>
      </c>
      <c r="BB64" s="10" t="s">
        <v>50</v>
      </c>
      <c r="BC64" s="7"/>
      <c r="BD64" s="7"/>
      <c r="BE64" s="31" t="str">
        <f>IF(BD64/(INDEX('Standards for Conversions'!$H$34:$H$73,MATCH(BC$3,'Standards for Conversions'!$A$34:$A$73,0)))=0,"",BD64/(INDEX('Standards for Conversions'!$H$34:$H$73,MATCH(BC$3,'Standards for Conversions'!$A$34:$A$73,0))))</f>
        <v/>
      </c>
      <c r="BF64" s="10" t="s">
        <v>50</v>
      </c>
      <c r="BG64" s="9"/>
      <c r="BH64" s="9"/>
      <c r="BI64" s="31" t="str">
        <f>IF(BH64/(INDEX('Standards for Conversions'!$H$34:$H$73,MATCH(BG$3,'Standards for Conversions'!$A$34:$A$73,0)))=0,"",BH64/(INDEX('Standards for Conversions'!$H$34:$H$73,MATCH(BG$3,'Standards for Conversions'!$A$34:$A$73,0))))</f>
        <v/>
      </c>
      <c r="BJ64" s="10" t="s">
        <v>50</v>
      </c>
      <c r="BK64" s="7"/>
      <c r="BL64" s="7"/>
      <c r="BM64" s="31" t="str">
        <f>IF(BL64/(INDEX('Standards for Conversions'!$H$34:$H$73,MATCH(BK$3,'Standards for Conversions'!$A$34:$A$73,0)))=0,"",BL64/(INDEX('Standards for Conversions'!$H$34:$H$73,MATCH(BK$3,'Standards for Conversions'!$A$34:$A$73,0))))</f>
        <v/>
      </c>
      <c r="BN64" s="10" t="s">
        <v>50</v>
      </c>
      <c r="BO64" s="7"/>
      <c r="BP64" s="7"/>
      <c r="BQ64" s="31" t="str">
        <f>IF(BP64/(INDEX('Standards for Conversions'!$H$34:$H$73,MATCH(BO$3,'Standards for Conversions'!$A$34:$A$73,0)))=0,"",BP64/(INDEX('Standards for Conversions'!$H$34:$H$73,MATCH(BO$3,'Standards for Conversions'!$A$34:$A$73,0))))</f>
        <v/>
      </c>
      <c r="BR64" s="10" t="s">
        <v>50</v>
      </c>
      <c r="BS64" s="7"/>
      <c r="BT64" s="7"/>
      <c r="BU64" s="31" t="str">
        <f>IF(BT64/(INDEX('Standards for Conversions'!$H$34:$H$73,MATCH(BS$3,'Standards for Conversions'!$A$34:$A$73,0)))=0,"",BT64/(INDEX('Standards for Conversions'!$H$34:$H$73,MATCH(BS$3,'Standards for Conversions'!$A$34:$A$73,0))))</f>
        <v/>
      </c>
      <c r="BV64" s="10" t="s">
        <v>50</v>
      </c>
      <c r="BW64" s="9"/>
      <c r="BX64" s="9"/>
      <c r="BY64" s="31" t="str">
        <f>IF(BX64/(INDEX('Standards for Conversions'!$H$34:$H$73,MATCH(BW$3,'Standards for Conversions'!$A$34:$A$73,0)))=0,"",BX64/(INDEX('Standards for Conversions'!$H$34:$H$73,MATCH(BW$3,'Standards for Conversions'!$A$34:$A$73,0))))</f>
        <v/>
      </c>
      <c r="BZ64" s="10" t="s">
        <v>50</v>
      </c>
      <c r="CA64" s="7"/>
      <c r="CB64" s="7"/>
      <c r="CC64" s="31" t="str">
        <f>IF(CB64/(INDEX('Standards for Conversions'!$H$34:$H$73,MATCH(CA$3,'Standards for Conversions'!$A$34:$A$73,0)))=0,"",CB64/(INDEX('Standards for Conversions'!$H$34:$H$73,MATCH(CA$3,'Standards for Conversions'!$A$34:$A$73,0))))</f>
        <v/>
      </c>
      <c r="CD64" s="10" t="s">
        <v>50</v>
      </c>
      <c r="CE64" s="7"/>
      <c r="CF64" s="7"/>
      <c r="CG64" s="31" t="str">
        <f>IF(CF64/(INDEX('Standards for Conversions'!$H$34:$H$73,MATCH(CE$3,'Standards for Conversions'!$A$34:$A$73,0)))=0,"",CF64/(INDEX('Standards for Conversions'!$H$34:$H$73,MATCH(CE$3,'Standards for Conversions'!$A$34:$A$73,0))))</f>
        <v/>
      </c>
      <c r="CH64" s="10" t="s">
        <v>50</v>
      </c>
      <c r="CI64" s="7"/>
      <c r="CJ64" s="7"/>
      <c r="CK64" s="31" t="str">
        <f>IF(CJ64/(INDEX('Standards for Conversions'!$H$34:$H$73,MATCH(CI$3,'Standards for Conversions'!$A$34:$A$73,0)))=0,"",CJ64/(INDEX('Standards for Conversions'!$H$34:$H$73,MATCH(CI$3,'Standards for Conversions'!$A$34:$A$73,0))))</f>
        <v/>
      </c>
      <c r="CL64" s="10" t="s">
        <v>50</v>
      </c>
      <c r="CM64" s="9"/>
      <c r="CN64" s="9"/>
      <c r="CO64" s="31" t="str">
        <f>IF(CN64/(INDEX('Standards for Conversions'!$H$34:$H$73,MATCH(CM$3,'Standards for Conversions'!$A$34:$A$73,0)))=0,"",CN64/(INDEX('Standards for Conversions'!$H$34:$H$73,MATCH(CM$3,'Standards for Conversions'!$A$34:$A$73,0))))</f>
        <v/>
      </c>
      <c r="CP64" s="10" t="s">
        <v>50</v>
      </c>
      <c r="CQ64" s="7"/>
      <c r="CR64" s="7"/>
      <c r="CS64" s="31" t="str">
        <f>IF(CR64/(INDEX('Standards for Conversions'!$H$34:$H$73,MATCH(CQ$3,'Standards for Conversions'!$A$34:$A$73,0)))=0,"",CR64/(INDEX('Standards for Conversions'!$H$34:$H$73,MATCH(CQ$3,'Standards for Conversions'!$A$34:$A$73,0))))</f>
        <v/>
      </c>
      <c r="CT64" s="10" t="s">
        <v>50</v>
      </c>
      <c r="CU64" s="7"/>
      <c r="CV64" s="7"/>
      <c r="CW64" s="31" t="str">
        <f>IF(CV64/(INDEX('Standards for Conversions'!$H$34:$H$73,MATCH(CU$3,'Standards for Conversions'!$A$34:$A$73,0)))=0,"",CV64/(INDEX('Standards for Conversions'!$H$34:$H$73,MATCH(CU$3,'Standards for Conversions'!$A$34:$A$73,0))))</f>
        <v/>
      </c>
      <c r="CX64" s="10" t="s">
        <v>50</v>
      </c>
      <c r="CY64" s="7"/>
      <c r="CZ64" s="7"/>
      <c r="DA64" s="31" t="str">
        <f>IF(CZ64/(INDEX('Standards for Conversions'!$H$34:$H$73,MATCH(CY$3,'Standards for Conversions'!$A$34:$A$73,0)))=0,"",CZ64/(INDEX('Standards for Conversions'!$H$34:$H$73,MATCH(CY$3,'Standards for Conversions'!$A$34:$A$73,0))))</f>
        <v/>
      </c>
      <c r="DB64" s="10" t="s">
        <v>50</v>
      </c>
      <c r="DC64" s="9"/>
      <c r="DD64" s="9"/>
      <c r="DE64" s="31" t="str">
        <f>IF(DD64/(INDEX('Standards for Conversions'!$H$34:$H$73,MATCH(DC$3,'Standards for Conversions'!$A$34:$A$73,0)))=0,"",DD64/(INDEX('Standards for Conversions'!$H$34:$H$73,MATCH(DC$3,'Standards for Conversions'!$A$34:$A$73,0))))</f>
        <v/>
      </c>
      <c r="DF64" s="10" t="s">
        <v>50</v>
      </c>
      <c r="DG64" s="7"/>
      <c r="DH64" s="7"/>
      <c r="DI64" s="31" t="str">
        <f>IF(DH64/(INDEX('Standards for Conversions'!$H$34:$H$73,MATCH(DG$3,'Standards for Conversions'!$A$34:$A$73,0)))=0,"",DH64/(INDEX('Standards for Conversions'!$H$34:$H$73,MATCH(DG$3,'Standards for Conversions'!$A$34:$A$73,0))))</f>
        <v/>
      </c>
      <c r="DJ64" s="10" t="s">
        <v>50</v>
      </c>
      <c r="DK64" s="7"/>
      <c r="DL64" s="7"/>
      <c r="DM64" s="31" t="str">
        <f>IF(DL64/(INDEX('Standards for Conversions'!$H$34:$H$73,MATCH(DK$3,'Standards for Conversions'!$A$34:$A$73,0)))=0,"",DL64/(INDEX('Standards for Conversions'!$H$34:$H$73,MATCH(DK$3,'Standards for Conversions'!$A$34:$A$73,0))))</f>
        <v/>
      </c>
      <c r="DN64" s="10" t="s">
        <v>50</v>
      </c>
      <c r="DO64" s="7"/>
      <c r="DP64" s="7"/>
      <c r="DQ64" s="31" t="str">
        <f>IF(DP64/(INDEX('Standards for Conversions'!$H$34:$H$73,MATCH(DO$3,'Standards for Conversions'!$A$34:$A$73,0)))=0,"",DP64/(INDEX('Standards for Conversions'!$H$34:$H$73,MATCH(DO$3,'Standards for Conversions'!$A$34:$A$73,0))))</f>
        <v/>
      </c>
      <c r="DR64" s="10" t="s">
        <v>50</v>
      </c>
      <c r="DS64" s="9"/>
      <c r="DT64" s="9"/>
      <c r="DU64" s="31" t="str">
        <f>IF(DT64/(INDEX('Standards for Conversions'!$H$34:$H$73,MATCH(DS$3,'Standards for Conversions'!$A$34:$A$73,0)))=0,"",DT64/(INDEX('Standards for Conversions'!$H$34:$H$73,MATCH(DS$3,'Standards for Conversions'!$A$34:$A$73,0))))</f>
        <v/>
      </c>
      <c r="DV64" s="10" t="s">
        <v>50</v>
      </c>
      <c r="DW64" s="7"/>
      <c r="DX64" s="7"/>
      <c r="DY64" s="31" t="str">
        <f>IF(DX64/(INDEX('Standards for Conversions'!$H$34:$H$73,MATCH(DW$3,'Standards for Conversions'!$A$34:$A$73,0)))=0,"",DX64/(INDEX('Standards for Conversions'!$H$34:$H$73,MATCH(DW$3,'Standards for Conversions'!$A$34:$A$73,0))))</f>
        <v/>
      </c>
      <c r="DZ64" s="10" t="s">
        <v>50</v>
      </c>
      <c r="EA64" s="7"/>
      <c r="EB64" s="7"/>
      <c r="EC64" s="31" t="str">
        <f>IF(EB64/(INDEX('Standards for Conversions'!$H$34:$H$73,MATCH(EA$3,'Standards for Conversions'!$A$34:$A$73,0)))=0,"",EB64/(INDEX('Standards for Conversions'!$H$34:$H$73,MATCH(EA$3,'Standards for Conversions'!$A$34:$A$73,0))))</f>
        <v/>
      </c>
      <c r="ED64" s="10" t="s">
        <v>50</v>
      </c>
      <c r="EE64" s="7"/>
      <c r="EF64" s="7"/>
      <c r="EG64" s="31" t="str">
        <f>IF(EF64/(INDEX('Standards for Conversions'!$H$34:$H$73,MATCH(EE$3,'Standards for Conversions'!$A$34:$A$73,0)))=0,"",EF64/(INDEX('Standards for Conversions'!$H$34:$H$73,MATCH(EE$3,'Standards for Conversions'!$A$34:$A$73,0))))</f>
        <v/>
      </c>
      <c r="EH64" s="10" t="s">
        <v>50</v>
      </c>
      <c r="EI64" s="9"/>
      <c r="EJ64" s="9"/>
      <c r="EK64" s="31" t="str">
        <f>IF(EJ64/(INDEX('Standards for Conversions'!$H$34:$H$73,MATCH(EI$3,'Standards for Conversions'!$A$34:$A$73,0)))=0,"",EJ64/(INDEX('Standards for Conversions'!$H$34:$H$73,MATCH(EI$3,'Standards for Conversions'!$A$34:$A$73,0))))</f>
        <v/>
      </c>
      <c r="EL64" s="10" t="s">
        <v>50</v>
      </c>
      <c r="EM64" s="7"/>
      <c r="EN64" s="7"/>
      <c r="EO64" s="31" t="str">
        <f>IF(EN64/(INDEX('Standards for Conversions'!$H$34:$H$73,MATCH(EM$3,'Standards for Conversions'!$A$34:$A$73,0)))=0,"",EN64/(INDEX('Standards for Conversions'!$H$34:$H$73,MATCH(EM$3,'Standards for Conversions'!$A$34:$A$73,0))))</f>
        <v/>
      </c>
      <c r="EP64" s="10" t="s">
        <v>50</v>
      </c>
      <c r="EQ64" s="7"/>
      <c r="ER64" s="7"/>
      <c r="ES64" s="31" t="str">
        <f>IF(ER64/(INDEX('Standards for Conversions'!$H$34:$H$73,MATCH(EQ$3,'Standards for Conversions'!$A$34:$A$73,0)))=0,"",ER64/(INDEX('Standards for Conversions'!$H$34:$H$73,MATCH(EQ$3,'Standards for Conversions'!$A$34:$A$73,0))))</f>
        <v/>
      </c>
      <c r="ET64" s="10" t="s">
        <v>50</v>
      </c>
      <c r="EU64" s="7"/>
      <c r="EV64" s="7"/>
      <c r="EW64" s="31" t="str">
        <f>IF(EV64/(INDEX('Standards for Conversions'!$H$34:$H$73,MATCH(EU$3,'Standards for Conversions'!$A$34:$A$73,0)))=0,"",EV64/(INDEX('Standards for Conversions'!$H$34:$H$73,MATCH(EU$3,'Standards for Conversions'!$A$34:$A$73,0))))</f>
        <v/>
      </c>
      <c r="EX64" s="10" t="s">
        <v>50</v>
      </c>
      <c r="EY64" s="9"/>
      <c r="EZ64" s="9"/>
      <c r="FA64" s="31" t="str">
        <f>IF(EZ64/(INDEX('Standards for Conversions'!$H$34:$H$73,MATCH(EY$3,'Standards for Conversions'!$A$34:$A$73,0)))=0,"",EZ64/(INDEX('Standards for Conversions'!$H$34:$H$73,MATCH(EY$3,'Standards for Conversions'!$A$34:$A$73,0))))</f>
        <v/>
      </c>
      <c r="FB64" s="10" t="s">
        <v>50</v>
      </c>
      <c r="FC64" s="7"/>
      <c r="FD64" s="7"/>
      <c r="FE64" s="31" t="str">
        <f>IF(FD64/(INDEX('Standards for Conversions'!$H$34:$H$73,MATCH(FC$3,'Standards for Conversions'!$A$34:$A$73,0)))=0,"",FD64/(INDEX('Standards for Conversions'!$H$34:$H$73,MATCH(FC$3,'Standards for Conversions'!$A$34:$A$73,0))))</f>
        <v/>
      </c>
      <c r="FF64" s="10" t="s">
        <v>50</v>
      </c>
      <c r="FG64" s="7"/>
      <c r="FH64" s="7"/>
      <c r="FI64" s="31" t="str">
        <f>IF(FH64/(INDEX('Standards for Conversions'!$H$34:$H$73,MATCH(FG$3,'Standards for Conversions'!$A$34:$A$73,0)))=0,"",FH64/(INDEX('Standards for Conversions'!$H$34:$H$73,MATCH(FG$3,'Standards for Conversions'!$A$34:$A$73,0))))</f>
        <v/>
      </c>
      <c r="FJ64" s="10" t="s">
        <v>50</v>
      </c>
      <c r="FK64" s="7"/>
      <c r="FL64" s="7"/>
      <c r="FM64" s="31" t="str">
        <f>IF(FL64/(INDEX('Standards for Conversions'!$H$34:$H$73,MATCH(FK$3,'Standards for Conversions'!$A$34:$A$73,0)))=0,"",FL64/(INDEX('Standards for Conversions'!$H$34:$H$73,MATCH(FK$3,'Standards for Conversions'!$A$34:$A$73,0))))</f>
        <v/>
      </c>
      <c r="FN64" s="10" t="s">
        <v>50</v>
      </c>
      <c r="FO64" s="9"/>
      <c r="FP64" s="9"/>
      <c r="FQ64" s="31" t="str">
        <f>IF(FP64/(INDEX('Standards for Conversions'!$H$34:$H$73,MATCH(FO$3,'Standards for Conversions'!$A$34:$A$73,0)))=0,"",FP64/(INDEX('Standards for Conversions'!$H$34:$H$73,MATCH(FO$3,'Standards for Conversions'!$A$34:$A$73,0))))</f>
        <v/>
      </c>
      <c r="FR64" s="10" t="s">
        <v>50</v>
      </c>
      <c r="FS64" s="7"/>
      <c r="FT64" s="7"/>
      <c r="FU64" s="31" t="str">
        <f>IF(FT64/(INDEX('Standards for Conversions'!$H$34:$H$73,MATCH(FS$3,'Standards for Conversions'!$A$34:$A$73,0)))=0,"",FT64/(INDEX('Standards for Conversions'!$H$34:$H$73,MATCH(FS$3,'Standards for Conversions'!$A$34:$A$73,0))))</f>
        <v/>
      </c>
      <c r="FV64" s="10" t="s">
        <v>50</v>
      </c>
      <c r="FW64" s="7"/>
      <c r="FX64" s="7"/>
      <c r="FY64" s="31" t="str">
        <f>IF(FX64/(INDEX('Standards for Conversions'!$H$34:$H$73,MATCH(FW$3,'Standards for Conversions'!$A$34:$A$73,0)))=0,"",FX64/(INDEX('Standards for Conversions'!$H$34:$H$73,MATCH(FW$3,'Standards for Conversions'!$A$34:$A$73,0))))</f>
        <v/>
      </c>
      <c r="FZ64" s="10" t="s">
        <v>50</v>
      </c>
      <c r="GA64" s="7"/>
      <c r="GB64" s="7"/>
      <c r="GC64" s="31" t="str">
        <f>IF(GB64/(INDEX('Standards for Conversions'!$H$34:$H$73,MATCH(GA$3,'Standards for Conversions'!$A$34:$A$73,0)))=0,"",GB64/(INDEX('Standards for Conversions'!$H$34:$H$73,MATCH(GA$3,'Standards for Conversions'!$A$34:$A$73,0))))</f>
        <v/>
      </c>
      <c r="GD64" s="10" t="s">
        <v>50</v>
      </c>
      <c r="GE64" s="9"/>
      <c r="GF64" s="9"/>
      <c r="GG64" s="31" t="str">
        <f>IF(GF64/(INDEX('Standards for Conversions'!$H$34:$H$73,MATCH(GE$3,'Standards for Conversions'!$A$34:$A$73,0)))=0,"",GF64/(INDEX('Standards for Conversions'!$H$34:$H$73,MATCH(GE$3,'Standards for Conversions'!$A$34:$A$73,0))))</f>
        <v/>
      </c>
      <c r="GH64" s="10" t="s">
        <v>50</v>
      </c>
      <c r="GI64" s="7"/>
      <c r="GJ64" s="7"/>
      <c r="GK64" s="31" t="str">
        <f>IF(GJ64/(INDEX('Standards for Conversions'!$H$34:$H$73,MATCH(GI$3,'Standards for Conversions'!$A$34:$A$73,0)))=0,"",GJ64/(INDEX('Standards for Conversions'!$H$34:$H$73,MATCH(GI$3,'Standards for Conversions'!$A$34:$A$73,0))))</f>
        <v/>
      </c>
      <c r="GL64" s="10" t="s">
        <v>50</v>
      </c>
      <c r="GM64" s="7"/>
      <c r="GN64" s="7"/>
      <c r="GO64" s="31" t="str">
        <f>IF(GN64/(INDEX('Standards for Conversions'!$H$34:$H$73,MATCH(GM$3,'Standards for Conversions'!$A$34:$A$73,0)))=0,"",GN64/(INDEX('Standards for Conversions'!$H$34:$H$73,MATCH(GM$3,'Standards for Conversions'!$A$34:$A$73,0))))</f>
        <v/>
      </c>
      <c r="GP64" s="10" t="s">
        <v>50</v>
      </c>
      <c r="GQ64" s="7"/>
      <c r="GR64" s="7"/>
      <c r="GS64" s="31" t="str">
        <f>IF(GR64/(INDEX('Standards for Conversions'!$H$34:$H$73,MATCH(GQ$3,'Standards for Conversions'!$A$34:$A$73,0)))=0,"",GR64/(INDEX('Standards for Conversions'!$H$34:$H$73,MATCH(GQ$3,'Standards for Conversions'!$A$34:$A$73,0))))</f>
        <v/>
      </c>
      <c r="GT64" s="10" t="s">
        <v>50</v>
      </c>
      <c r="GU64" s="9"/>
      <c r="GV64" s="9"/>
      <c r="GW64" s="31" t="str">
        <f>IF(GV64/(INDEX('Standards for Conversions'!$H$34:$H$73,MATCH(GU$3,'Standards for Conversions'!$A$34:$A$73,0)))=0,"",GV64/(INDEX('Standards for Conversions'!$H$34:$H$73,MATCH(GU$3,'Standards for Conversions'!$A$34:$A$73,0))))</f>
        <v/>
      </c>
      <c r="GX64" s="10" t="s">
        <v>50</v>
      </c>
      <c r="GY64" s="7"/>
      <c r="GZ64" s="7"/>
      <c r="HA64" s="31" t="str">
        <f>IF(GZ64/(INDEX('Standards for Conversions'!$H$34:$H$73,MATCH(GY$3,'Standards for Conversions'!$A$34:$A$73,0)))=0,"",GZ64/(INDEX('Standards for Conversions'!$H$34:$H$73,MATCH(GY$3,'Standards for Conversions'!$A$34:$A$73,0))))</f>
        <v/>
      </c>
      <c r="HB64" s="10" t="s">
        <v>50</v>
      </c>
      <c r="HC64" s="7"/>
      <c r="HD64" s="7"/>
      <c r="HE64" s="31" t="str">
        <f>IF(HD64/(INDEX('Standards for Conversions'!$H$34:$H$73,MATCH(HC$3,'Standards for Conversions'!$A$34:$A$73,0)))=0,"",HD64/(INDEX('Standards for Conversions'!$H$34:$H$73,MATCH(HC$3,'Standards for Conversions'!$A$34:$A$73,0))))</f>
        <v/>
      </c>
      <c r="HF64" s="10" t="s">
        <v>50</v>
      </c>
      <c r="HG64" s="7"/>
      <c r="HH64" s="7"/>
      <c r="HI64" s="31" t="str">
        <f>IF(HH64/(INDEX('Standards for Conversions'!$H$34:$H$73,MATCH(HG$3,'Standards for Conversions'!$A$34:$A$73,0)))=0,"",HH64/(INDEX('Standards for Conversions'!$H$34:$H$73,MATCH(HG$3,'Standards for Conversions'!$A$34:$A$73,0))))</f>
        <v/>
      </c>
      <c r="HJ64" s="10" t="s">
        <v>50</v>
      </c>
      <c r="HK64" s="9"/>
      <c r="HL64" s="9"/>
      <c r="HM64" s="31" t="str">
        <f>IF(HL64/(INDEX('Standards for Conversions'!$H$34:$H$73,MATCH(HK$3,'Standards for Conversions'!$A$34:$A$73,0)))=0,"",HL64/(INDEX('Standards for Conversions'!$H$34:$H$73,MATCH(HK$3,'Standards for Conversions'!$A$34:$A$73,0))))</f>
        <v/>
      </c>
      <c r="HN64" s="10" t="s">
        <v>50</v>
      </c>
      <c r="HO64" s="7"/>
      <c r="HP64" s="7"/>
      <c r="HQ64" s="31" t="str">
        <f>IF(HP64/(INDEX('Standards for Conversions'!$H$34:$H$73,MATCH(HO$3,'Standards for Conversions'!$A$34:$A$73,0)))=0,"",HP64/(INDEX('Standards for Conversions'!$H$34:$H$73,MATCH(HO$3,'Standards for Conversions'!$A$34:$A$73,0))))</f>
        <v/>
      </c>
      <c r="HR64" s="33" t="s">
        <v>50</v>
      </c>
      <c r="HU64" s="31" t="str">
        <f>IF(HT64/(INDEX('Standards for Conversions'!$H$47:$H$73,MATCH(HS$3,'Standards for Conversions'!$A$47:$A$73,0)))=0,"",HT64/(INDEX('Standards for Conversions'!$H$47:$H$73,MATCH(HS$3,'Standards for Conversions'!$A$47:$A$73,0))))</f>
        <v/>
      </c>
      <c r="HV64" s="33" t="s">
        <v>50</v>
      </c>
      <c r="HY64" s="31" t="str">
        <f>IF(HX64/(INDEX('Standards for Conversions'!$H$47:$H$73,MATCH(HW$3,'Standards for Conversions'!$A$47:$A$73,0)))=0,"",HX64/(INDEX('Standards for Conversions'!$H$47:$H$73,MATCH(HW$3,'Standards for Conversions'!$A$47:$A$73,0))))</f>
        <v/>
      </c>
      <c r="HZ64" s="33"/>
      <c r="IA64" s="33"/>
      <c r="IB64" s="31" t="str">
        <f>IF(IA64/(INDEX('Standards for Conversions'!$H$47:$H$73,MATCH(HZ$3,'Standards for Conversions'!$A$47:$A$73,0)))=0,"",IA64/(INDEX('Standards for Conversions'!$H$47:$H$73,MATCH(HZ$3,'Standards for Conversions'!$A$47:$A$73,0))))</f>
        <v/>
      </c>
      <c r="IC64" s="33" t="s">
        <v>50</v>
      </c>
      <c r="ID64" s="29">
        <v>250</v>
      </c>
      <c r="IE64" s="29">
        <v>1000</v>
      </c>
      <c r="IF64" s="31">
        <f>IF(IE64/(INDEX('Standards for Conversions'!$H$47:$H$73,MATCH(ID$3,'Standards for Conversions'!$A$47:$A$73,0)))=0,"",IE64/(INDEX('Standards for Conversions'!$H$47:$H$73,MATCH(ID$3,'Standards for Conversions'!$A$47:$A$73,0))))</f>
        <v>145.24541221285597</v>
      </c>
      <c r="IG64" s="33" t="s">
        <v>50</v>
      </c>
      <c r="IJ64" s="31" t="str">
        <f>IF(II64/(INDEX('Standards for Conversions'!$H$47:$H$73,MATCH(IH$3,'Standards for Conversions'!$A$47:$A$73,0)))=0,"",II64/(INDEX('Standards for Conversions'!$H$47:$H$73,MATCH(IH$3,'Standards for Conversions'!$A$47:$A$73,0))))</f>
        <v/>
      </c>
      <c r="IK64" s="33" t="s">
        <v>50</v>
      </c>
      <c r="IN64" s="31" t="str">
        <f>IF(IM64/(INDEX('Standards for Conversions'!$H$47:$H$73,MATCH(IL$3,'Standards for Conversions'!$A$47:$A$73,0)))=0,"",IM64/(INDEX('Standards for Conversions'!$H$47:$H$73,MATCH(IL$3,'Standards for Conversions'!$A$47:$A$73,0))))</f>
        <v/>
      </c>
      <c r="IO64" s="33" t="s">
        <v>50</v>
      </c>
      <c r="IR64" s="31" t="str">
        <f>IF(IQ64/(INDEX('Standards for Conversions'!$H$47:$H$73,MATCH(IP$3,'Standards for Conversions'!$A$47:$A$73,0)))=0,"",IQ64/(INDEX('Standards for Conversions'!$H$47:$H$73,MATCH(IP$3,'Standards for Conversions'!$A$47:$A$73,0))))</f>
        <v/>
      </c>
      <c r="IS64" s="33" t="s">
        <v>50</v>
      </c>
      <c r="IT64" s="29">
        <v>100</v>
      </c>
      <c r="IU64" s="29">
        <v>400</v>
      </c>
      <c r="IV64" s="31">
        <f>IF(IU64/(INDEX('Standards for Conversions'!$H$47:$H$73,MATCH(IT$3,'Standards for Conversions'!$A$47:$A$73,0)))=0,"",IU64/(INDEX('Standards for Conversions'!$H$47:$H$73,MATCH(IT$3,'Standards for Conversions'!$A$47:$A$73,0))))</f>
        <v>57.844091277772947</v>
      </c>
      <c r="IW64" s="33" t="s">
        <v>50</v>
      </c>
      <c r="IZ64" s="31" t="str">
        <f>IF(IY64/(INDEX('Standards for Conversions'!$H$47:$H$73,MATCH(IX$3,'Standards for Conversions'!$A$47:$A$73,0)))=0,"",IY64/(INDEX('Standards for Conversions'!$H$47:$H$73,MATCH(IX$3,'Standards for Conversions'!$A$47:$A$73,0))))</f>
        <v/>
      </c>
      <c r="JA64" s="33" t="s">
        <v>50</v>
      </c>
      <c r="JD64" s="31" t="str">
        <f>IF(JC64/(INDEX('Standards for Conversions'!$H$47:$H$73,MATCH(JB$3,'Standards for Conversions'!$A$47:$A$73,0)))=0,"",JC64/(INDEX('Standards for Conversions'!$H$47:$H$73,MATCH(JB$3,'Standards for Conversions'!$A$47:$A$73,0))))</f>
        <v/>
      </c>
      <c r="JE64" s="33" t="s">
        <v>50</v>
      </c>
      <c r="JH64" s="31" t="str">
        <f>IF(JG64/(INDEX('Standards for Conversions'!$H$47:$H$73,MATCH(JF$3,'Standards for Conversions'!$A$47:$A$73,0)))=0,"",JG64/(INDEX('Standards for Conversions'!$H$47:$H$73,MATCH(JF$3,'Standards for Conversions'!$A$47:$A$73,0))))</f>
        <v/>
      </c>
      <c r="JI64" s="48" t="s">
        <v>50</v>
      </c>
      <c r="JJ64" s="29">
        <v>75</v>
      </c>
      <c r="JK64" s="29">
        <v>300</v>
      </c>
      <c r="JL64" s="31">
        <f>IF(JK64/(INDEX('Standards for Conversions'!$H$47:$H$73,MATCH(JJ$3,'Standards for Conversions'!$A$47:$A$73,0)))=0,"",JK64/(INDEX('Standards for Conversions'!$H$47:$H$73,MATCH(JJ$3,'Standards for Conversions'!$A$47:$A$73,0))))</f>
        <v>48.528059007560607</v>
      </c>
      <c r="JM64" s="33" t="s">
        <v>50</v>
      </c>
      <c r="JP64" s="31" t="str">
        <f>IF(JO64/(INDEX('Standards for Conversions'!$H$47:$H$73,MATCH(JN$3,'Standards for Conversions'!$A$47:$A$73,0)))=0,"",JO64/(INDEX('Standards for Conversions'!$H$47:$H$73,MATCH(JN$3,'Standards for Conversions'!$A$47:$A$73,0))))</f>
        <v/>
      </c>
      <c r="JQ64" s="33" t="s">
        <v>50</v>
      </c>
      <c r="JT64" s="31" t="str">
        <f>IF(JS64/(INDEX('Standards for Conversions'!$H$47:$H$73,MATCH(JR$3,'Standards for Conversions'!$A$47:$A$73,0)))=0,"",JS64/(INDEX('Standards for Conversions'!$H$47:$H$73,MATCH(JR$3,'Standards for Conversions'!$A$47:$A$73,0))))</f>
        <v/>
      </c>
      <c r="JU64" s="33" t="s">
        <v>50</v>
      </c>
      <c r="JX64" s="31" t="str">
        <f>IF(JW64/(INDEX('Standards for Conversions'!$H$47:$H$73,MATCH(JV$3,'Standards for Conversions'!$A$47:$A$73,0)))=0,"",JW64/(INDEX('Standards for Conversions'!$H$47:$H$73,MATCH(JV$3,'Standards for Conversions'!$A$47:$A$73,0))))</f>
        <v/>
      </c>
      <c r="JY64" s="33" t="s">
        <v>50</v>
      </c>
      <c r="JZ64" s="29">
        <v>100</v>
      </c>
      <c r="KA64" s="29">
        <v>400</v>
      </c>
      <c r="KB64" s="31">
        <f>IF(KA64/(INDEX('Standards for Conversions'!$H$47:$H$73,MATCH(JZ$3,'Standards for Conversions'!$A$47:$A$73,0)))=0,"",KA64/(INDEX('Standards for Conversions'!$H$47:$H$73,MATCH(JZ$3,'Standards for Conversions'!$A$47:$A$73,0))))</f>
        <v>61.062356971119023</v>
      </c>
      <c r="KC64" s="33" t="s">
        <v>50</v>
      </c>
      <c r="KF64" s="31" t="str">
        <f>IF(KE64/(INDEX('Standards for Conversions'!$H$47:$H$73,MATCH(KD$3,'Standards for Conversions'!$A$47:$A$73,0)))=0,"",KE64/(INDEX('Standards for Conversions'!$H$47:$H$73,MATCH(KD$3,'Standards for Conversions'!$A$47:$A$73,0))))</f>
        <v/>
      </c>
      <c r="KG64" s="33" t="s">
        <v>50</v>
      </c>
      <c r="KJ64" s="31" t="str">
        <f>IF(KI64/(INDEX('Standards for Conversions'!$H$47:$H$73,MATCH(KH$3,'Standards for Conversions'!$A$47:$A$73,0)))=0,"",KI64/(INDEX('Standards for Conversions'!$H$47:$H$73,MATCH(KH$3,'Standards for Conversions'!$A$47:$A$73,0))))</f>
        <v/>
      </c>
      <c r="KK64" s="33" t="s">
        <v>50</v>
      </c>
      <c r="KN64" s="31" t="str">
        <f>IF(KM64/(INDEX('Standards for Conversions'!$H$47:$H$73,MATCH(KL$3,'Standards for Conversions'!$A$47:$A$73,0)))=0,"",KM64/(INDEX('Standards for Conversions'!$H$47:$H$73,MATCH(KL$3,'Standards for Conversions'!$A$47:$A$73,0))))</f>
        <v/>
      </c>
      <c r="KO64" s="33" t="s">
        <v>50</v>
      </c>
      <c r="KP64" s="29">
        <v>125</v>
      </c>
      <c r="KQ64" s="29">
        <v>500</v>
      </c>
      <c r="KR64" s="31">
        <f>IF(KQ64/(INDEX('Standards for Conversions'!$H$47:$H$73,MATCH(KP$3,'Standards for Conversions'!$A$47:$A$73,0)))=0,"",KQ64/(INDEX('Standards for Conversions'!$H$47:$H$73,MATCH(KP$3,'Standards for Conversions'!$A$47:$A$73,0))))</f>
        <v>67.329505952898231</v>
      </c>
      <c r="KS64" s="33" t="s">
        <v>50</v>
      </c>
      <c r="KV64" s="31" t="str">
        <f>IF(KU64/(INDEX('Standards for Conversions'!$H$47:$H$73,MATCH(KT$3,'Standards for Conversions'!$A$47:$A$73,0)))=0,"",KU64/(INDEX('Standards for Conversions'!$H$47:$H$73,MATCH(KT$3,'Standards for Conversions'!$A$47:$A$73,0))))</f>
        <v/>
      </c>
      <c r="KW64" s="33" t="s">
        <v>50</v>
      </c>
      <c r="KZ64" s="31" t="str">
        <f>IF(KY64/(INDEX('Standards for Conversions'!$H$47:$H$73,MATCH(KX$3,'Standards for Conversions'!$A$47:$A$73,0)))=0,"",KY64/(INDEX('Standards for Conversions'!$H$47:$H$73,MATCH(KX$3,'Standards for Conversions'!$A$47:$A$73,0))))</f>
        <v/>
      </c>
      <c r="LA64" s="33" t="s">
        <v>50</v>
      </c>
      <c r="LD64" s="31" t="str">
        <f>IF(LC64/(INDEX('Standards for Conversions'!$H$47:$H$73,MATCH(LB$3,'Standards for Conversions'!$A$47:$A$73,0)))=0,"",LC64/(INDEX('Standards for Conversions'!$H$47:$H$73,MATCH(LB$3,'Standards for Conversions'!$A$47:$A$73,0))))</f>
        <v/>
      </c>
      <c r="LE64" s="48" t="s">
        <v>50</v>
      </c>
      <c r="LF64" s="29">
        <v>125</v>
      </c>
      <c r="LG64" s="29">
        <v>500</v>
      </c>
      <c r="LH64" s="31">
        <f>IF(LG64/(INDEX('Standards for Conversions'!$H$47:$H$73,MATCH(LF$3,'Standards for Conversions'!$A$47:$A$73,0)))=0,"",LG64/(INDEX('Standards for Conversions'!$H$47:$H$73,MATCH(LF$3,'Standards for Conversions'!$A$47:$A$73,0))))</f>
        <v>60.808283363749588</v>
      </c>
      <c r="LL64" s="31" t="str">
        <f>IF(LK64/(INDEX('Standards for Conversions'!$H$47:$H$73,MATCH(LJ$3,'Standards for Conversions'!$A$47:$A$73,0)))=0,"",LK64/(INDEX('Standards for Conversions'!$H$47:$H$73,MATCH(LJ$3,'Standards for Conversions'!$A$47:$A$73,0))))</f>
        <v/>
      </c>
      <c r="LO64" s="31" t="str">
        <f>IF(LN64/(INDEX('Standards for Conversions'!$H$47:$H$73,MATCH(LM$3,'Standards for Conversions'!$A$47:$A$73,0)))=0,"",LN64/(INDEX('Standards for Conversions'!$H$47:$H$73,MATCH(LM$3,'Standards for Conversions'!$A$47:$A$73,0))))</f>
        <v/>
      </c>
      <c r="LR64" s="31" t="str">
        <f>IF(LQ64/(INDEX('Standards for Conversions'!$H$47:$H$73,MATCH(LP$3,'Standards for Conversions'!$A$47:$A$73,0)))=0,"",LQ64/(INDEX('Standards for Conversions'!$H$47:$H$73,MATCH(LP$3,'Standards for Conversions'!$A$47:$A$73,0))))</f>
        <v/>
      </c>
      <c r="LV64" s="31" t="str">
        <f>IF(LU64/(INDEX('Standards for Conversions'!$H$47:$H$73,MATCH(LT$3,'Standards for Conversions'!$A$47:$A$73,0)))=0,"",LU64/(INDEX('Standards for Conversions'!$H$47:$H$73,MATCH(LT$3,'Standards for Conversions'!$A$47:$A$73,0))))</f>
        <v/>
      </c>
      <c r="LY64" s="31" t="str">
        <f>IF(LX64/(INDEX('Standards for Conversions'!$H$47:$H$73,MATCH(LW$3,'Standards for Conversions'!$A$47:$A$73,0)))=0,"",LX64/(INDEX('Standards for Conversions'!$H$47:$H$73,MATCH(LW$3,'Standards for Conversions'!$A$47:$A$73,0))))</f>
        <v/>
      </c>
      <c r="MB64" s="31" t="str">
        <f>IF(MA64/(INDEX('Standards for Conversions'!$H$47:$H$73,MATCH(LZ$3,'Standards for Conversions'!$A$47:$A$73,0)))=0,"",MA64/(INDEX('Standards for Conversions'!$H$47:$H$73,MATCH(LZ$3,'Standards for Conversions'!$A$47:$A$73,0))))</f>
        <v/>
      </c>
      <c r="ME64" s="31" t="str">
        <f>IF(MD64/(INDEX('Standards for Conversions'!$H$47:$H$73,MATCH(MC$3,'Standards for Conversions'!$A$47:$A$73,0)))=0,"",MD64/(INDEX('Standards for Conversions'!$H$47:$H$73,MATCH(MC$3,'Standards for Conversions'!$A$47:$A$73,0))))</f>
        <v/>
      </c>
      <c r="MH64" s="31" t="str">
        <f>IF(MG64/(INDEX('Standards for Conversions'!$H$47:$H$73,MATCH(MF$3,'Standards for Conversions'!$A$47:$A$73,0)))=0,"",MG64/(INDEX('Standards for Conversions'!$H$47:$H$73,MATCH(MF$3,'Standards for Conversions'!$A$47:$A$73,0))))</f>
        <v/>
      </c>
      <c r="MK64" s="31" t="str">
        <f>IF(MJ64/(INDEX('Standards for Conversions'!$H$47:$H$73,MATCH(MI$3,'Standards for Conversions'!$A$47:$A$73,0)))=0,"",MJ64/(INDEX('Standards for Conversions'!$H$47:$H$73,MATCH(MI$3,'Standards for Conversions'!$A$47:$A$73,0))))</f>
        <v/>
      </c>
      <c r="MN64" s="31" t="str">
        <f>IF(MM64/(INDEX('Standards for Conversions'!$H$47:$H$73,MATCH(ML$3,'Standards for Conversions'!$A$47:$A$73,0)))=0,"",MM64/(INDEX('Standards for Conversions'!$H$47:$H$73,MATCH(ML$3,'Standards for Conversions'!$A$47:$A$73,0))))</f>
        <v/>
      </c>
      <c r="MQ64" s="33"/>
      <c r="MR64" s="31" t="str">
        <f>IF(MQ64/(INDEX('Standards for Conversions'!$H$47:$H$73,MATCH(MP$3,'Standards for Conversions'!$A$47:$A$73,0)))=0,"",MQ64/(INDEX('Standards for Conversions'!$H$47:$H$73,MATCH(MP$3,'Standards for Conversions'!$A$47:$A$73,0))))</f>
        <v/>
      </c>
    </row>
    <row r="65" spans="1:369" hidden="1" x14ac:dyDescent="0.3">
      <c r="A65" s="103" t="s">
        <v>240</v>
      </c>
      <c r="B65" s="10" t="s">
        <v>38</v>
      </c>
      <c r="C65" s="7"/>
      <c r="D65" s="7"/>
      <c r="E65" s="31" t="str">
        <f>IF(D65/(INDEX('Standards for Conversions'!$H$34:$H$73,MATCH(C$3,'Standards for Conversions'!$A$34:$A$73,0)))=0,"",D65/(INDEX('Standards for Conversions'!$H$34:$H$73,MATCH(C$3,'Standards for Conversions'!$A$34:$A$73,0))))</f>
        <v/>
      </c>
      <c r="F65" s="10" t="s">
        <v>38</v>
      </c>
      <c r="G65" s="7"/>
      <c r="H65" s="7"/>
      <c r="I65" s="31" t="str">
        <f>IF(H65/(INDEX('Standards for Conversions'!$H$34:$H$73,MATCH(G$3,'Standards for Conversions'!$A$34:$A$73,0)))=0,"",H65/(INDEX('Standards for Conversions'!$H$34:$H$73,MATCH(G$3,'Standards for Conversions'!$A$34:$A$73,0))))</f>
        <v/>
      </c>
      <c r="J65" s="10" t="s">
        <v>38</v>
      </c>
      <c r="K65" s="9"/>
      <c r="L65" s="9"/>
      <c r="M65" s="31" t="str">
        <f>IF(L65/(INDEX('Standards for Conversions'!$H$34:$H$73,MATCH(K$3,'Standards for Conversions'!$A$34:$A$73,0)))=0,"",L65/(INDEX('Standards for Conversions'!$H$34:$H$73,MATCH(K$3,'Standards for Conversions'!$A$34:$A$73,0))))</f>
        <v/>
      </c>
      <c r="N65" s="10" t="s">
        <v>38</v>
      </c>
      <c r="O65" s="7"/>
      <c r="P65" s="7"/>
      <c r="Q65" s="31" t="str">
        <f>IF(P65/(INDEX('Standards for Conversions'!$H$34:$H$73,MATCH(O$3,'Standards for Conversions'!$A$34:$A$73,0)))=0,"",P65/(INDEX('Standards for Conversions'!$H$34:$H$73,MATCH(O$3,'Standards for Conversions'!$A$34:$A$73,0))))</f>
        <v/>
      </c>
      <c r="R65" s="10" t="s">
        <v>38</v>
      </c>
      <c r="S65" s="7"/>
      <c r="T65" s="7"/>
      <c r="U65" s="31" t="str">
        <f>IF(T65/(INDEX('Standards for Conversions'!$H$34:$H$73,MATCH(S$3,'Standards for Conversions'!$A$34:$A$73,0)))=0,"",T65/(INDEX('Standards for Conversions'!$H$34:$H$73,MATCH(S$3,'Standards for Conversions'!$A$34:$A$73,0))))</f>
        <v/>
      </c>
      <c r="V65" s="10" t="s">
        <v>38</v>
      </c>
      <c r="W65" s="7"/>
      <c r="X65" s="7"/>
      <c r="Y65" s="31" t="str">
        <f>IF(X65/(INDEX('Standards for Conversions'!$H$34:$H$73,MATCH(W$3,'Standards for Conversions'!$A$34:$A$73,0)))=0,"",X65/(INDEX('Standards for Conversions'!$H$34:$H$73,MATCH(W$3,'Standards for Conversions'!$A$34:$A$73,0))))</f>
        <v/>
      </c>
      <c r="Z65" s="10" t="s">
        <v>38</v>
      </c>
      <c r="AA65" s="9"/>
      <c r="AB65" s="9"/>
      <c r="AC65" s="31" t="str">
        <f>IF(AB65/(INDEX('Standards for Conversions'!$H$34:$H$73,MATCH(AA$3,'Standards for Conversions'!$A$34:$A$73,0)))=0,"",AB65/(INDEX('Standards for Conversions'!$H$34:$H$73,MATCH(AA$3,'Standards for Conversions'!$A$34:$A$73,0))))</f>
        <v/>
      </c>
      <c r="AD65" s="10" t="s">
        <v>38</v>
      </c>
      <c r="AE65" s="7"/>
      <c r="AF65" s="7"/>
      <c r="AG65" s="31" t="str">
        <f>IF(AF65/(INDEX('Standards for Conversions'!$H$34:$H$73,MATCH(AE$3,'Standards for Conversions'!$A$34:$A$73,0)))=0,"",AF65/(INDEX('Standards for Conversions'!$H$34:$H$73,MATCH(AE$3,'Standards for Conversions'!$A$34:$A$73,0))))</f>
        <v/>
      </c>
      <c r="AH65" s="10" t="s">
        <v>38</v>
      </c>
      <c r="AI65" s="7"/>
      <c r="AJ65" s="7"/>
      <c r="AK65" s="31" t="str">
        <f>IF(AJ65/(INDEX('Standards for Conversions'!$H$34:$H$73,MATCH(AI$3,'Standards for Conversions'!$A$34:$A$73,0)))=0,"",AJ65/(INDEX('Standards for Conversions'!$H$34:$H$73,MATCH(AI$3,'Standards for Conversions'!$A$34:$A$73,0))))</f>
        <v/>
      </c>
      <c r="AL65" s="10" t="s">
        <v>38</v>
      </c>
      <c r="AM65" s="7"/>
      <c r="AN65" s="7"/>
      <c r="AO65" s="31" t="str">
        <f>IF(AN65/(INDEX('Standards for Conversions'!$H$34:$H$73,MATCH(AM$3,'Standards for Conversions'!$A$34:$A$73,0)))=0,"",AN65/(INDEX('Standards for Conversions'!$H$34:$H$73,MATCH(AM$3,'Standards for Conversions'!$A$34:$A$73,0))))</f>
        <v/>
      </c>
      <c r="AP65" s="10" t="s">
        <v>38</v>
      </c>
      <c r="AQ65" s="9"/>
      <c r="AR65" s="9"/>
      <c r="AS65" s="31" t="str">
        <f>IF(AR65/(INDEX('Standards for Conversions'!$H$34:$H$73,MATCH(AQ$3,'Standards for Conversions'!$A$34:$A$73,0)))=0,"",AR65/(INDEX('Standards for Conversions'!$H$34:$H$73,MATCH(AQ$3,'Standards for Conversions'!$A$34:$A$73,0))))</f>
        <v/>
      </c>
      <c r="AT65" s="10" t="s">
        <v>38</v>
      </c>
      <c r="AU65" s="7"/>
      <c r="AV65" s="7"/>
      <c r="AW65" s="31" t="str">
        <f>IF(AV65/(INDEX('Standards for Conversions'!$H$34:$H$73,MATCH(AU$3,'Standards for Conversions'!$A$34:$A$73,0)))=0,"",AV65/(INDEX('Standards for Conversions'!$H$34:$H$73,MATCH(AU$3,'Standards for Conversions'!$A$34:$A$73,0))))</f>
        <v/>
      </c>
      <c r="AX65" s="10" t="s">
        <v>38</v>
      </c>
      <c r="AY65" s="7"/>
      <c r="AZ65" s="7"/>
      <c r="BA65" s="31" t="str">
        <f>IF(AZ65/(INDEX('Standards for Conversions'!$H$34:$H$73,MATCH(AY$3,'Standards for Conversions'!$A$34:$A$73,0)))=0,"",AZ65/(INDEX('Standards for Conversions'!$H$34:$H$73,MATCH(AY$3,'Standards for Conversions'!$A$34:$A$73,0))))</f>
        <v/>
      </c>
      <c r="BB65" s="10" t="s">
        <v>38</v>
      </c>
      <c r="BC65" s="7"/>
      <c r="BD65" s="7"/>
      <c r="BE65" s="31" t="str">
        <f>IF(BD65/(INDEX('Standards for Conversions'!$H$34:$H$73,MATCH(BC$3,'Standards for Conversions'!$A$34:$A$73,0)))=0,"",BD65/(INDEX('Standards for Conversions'!$H$34:$H$73,MATCH(BC$3,'Standards for Conversions'!$A$34:$A$73,0))))</f>
        <v/>
      </c>
      <c r="BF65" s="10" t="s">
        <v>38</v>
      </c>
      <c r="BG65" s="9"/>
      <c r="BH65" s="9"/>
      <c r="BI65" s="31" t="str">
        <f>IF(BH65/(INDEX('Standards for Conversions'!$H$34:$H$73,MATCH(BG$3,'Standards for Conversions'!$A$34:$A$73,0)))=0,"",BH65/(INDEX('Standards for Conversions'!$H$34:$H$73,MATCH(BG$3,'Standards for Conversions'!$A$34:$A$73,0))))</f>
        <v/>
      </c>
      <c r="BJ65" s="10" t="s">
        <v>38</v>
      </c>
      <c r="BK65" s="7"/>
      <c r="BL65" s="7"/>
      <c r="BM65" s="31" t="str">
        <f>IF(BL65/(INDEX('Standards for Conversions'!$H$34:$H$73,MATCH(BK$3,'Standards for Conversions'!$A$34:$A$73,0)))=0,"",BL65/(INDEX('Standards for Conversions'!$H$34:$H$73,MATCH(BK$3,'Standards for Conversions'!$A$34:$A$73,0))))</f>
        <v/>
      </c>
      <c r="BN65" s="10" t="s">
        <v>38</v>
      </c>
      <c r="BO65" s="7"/>
      <c r="BP65" s="7"/>
      <c r="BQ65" s="31" t="str">
        <f>IF(BP65/(INDEX('Standards for Conversions'!$H$34:$H$73,MATCH(BO$3,'Standards for Conversions'!$A$34:$A$73,0)))=0,"",BP65/(INDEX('Standards for Conversions'!$H$34:$H$73,MATCH(BO$3,'Standards for Conversions'!$A$34:$A$73,0))))</f>
        <v/>
      </c>
      <c r="BR65" s="10" t="s">
        <v>38</v>
      </c>
      <c r="BS65" s="7"/>
      <c r="BT65" s="7"/>
      <c r="BU65" s="31" t="str">
        <f>IF(BT65/(INDEX('Standards for Conversions'!$H$34:$H$73,MATCH(BS$3,'Standards for Conversions'!$A$34:$A$73,0)))=0,"",BT65/(INDEX('Standards for Conversions'!$H$34:$H$73,MATCH(BS$3,'Standards for Conversions'!$A$34:$A$73,0))))</f>
        <v/>
      </c>
      <c r="BV65" s="10" t="s">
        <v>38</v>
      </c>
      <c r="BW65" s="9"/>
      <c r="BX65" s="9"/>
      <c r="BY65" s="31" t="str">
        <f>IF(BX65/(INDEX('Standards for Conversions'!$H$34:$H$73,MATCH(BW$3,'Standards for Conversions'!$A$34:$A$73,0)))=0,"",BX65/(INDEX('Standards for Conversions'!$H$34:$H$73,MATCH(BW$3,'Standards for Conversions'!$A$34:$A$73,0))))</f>
        <v/>
      </c>
      <c r="BZ65" s="10" t="s">
        <v>38</v>
      </c>
      <c r="CA65" s="7"/>
      <c r="CB65" s="7"/>
      <c r="CC65" s="31" t="str">
        <f>IF(CB65/(INDEX('Standards for Conversions'!$H$34:$H$73,MATCH(CA$3,'Standards for Conversions'!$A$34:$A$73,0)))=0,"",CB65/(INDEX('Standards for Conversions'!$H$34:$H$73,MATCH(CA$3,'Standards for Conversions'!$A$34:$A$73,0))))</f>
        <v/>
      </c>
      <c r="CD65" s="10" t="s">
        <v>38</v>
      </c>
      <c r="CE65" s="7"/>
      <c r="CF65" s="7"/>
      <c r="CG65" s="31" t="str">
        <f>IF(CF65/(INDEX('Standards for Conversions'!$H$34:$H$73,MATCH(CE$3,'Standards for Conversions'!$A$34:$A$73,0)))=0,"",CF65/(INDEX('Standards for Conversions'!$H$34:$H$73,MATCH(CE$3,'Standards for Conversions'!$A$34:$A$73,0))))</f>
        <v/>
      </c>
      <c r="CH65" s="10" t="s">
        <v>38</v>
      </c>
      <c r="CI65" s="7"/>
      <c r="CJ65" s="7"/>
      <c r="CK65" s="31" t="str">
        <f>IF(CJ65/(INDEX('Standards for Conversions'!$H$34:$H$73,MATCH(CI$3,'Standards for Conversions'!$A$34:$A$73,0)))=0,"",CJ65/(INDEX('Standards for Conversions'!$H$34:$H$73,MATCH(CI$3,'Standards for Conversions'!$A$34:$A$73,0))))</f>
        <v/>
      </c>
      <c r="CL65" s="10" t="s">
        <v>38</v>
      </c>
      <c r="CM65" s="9"/>
      <c r="CN65" s="9"/>
      <c r="CO65" s="31" t="str">
        <f>IF(CN65/(INDEX('Standards for Conversions'!$H$34:$H$73,MATCH(CM$3,'Standards for Conversions'!$A$34:$A$73,0)))=0,"",CN65/(INDEX('Standards for Conversions'!$H$34:$H$73,MATCH(CM$3,'Standards for Conversions'!$A$34:$A$73,0))))</f>
        <v/>
      </c>
      <c r="CP65" s="10" t="s">
        <v>38</v>
      </c>
      <c r="CQ65" s="7"/>
      <c r="CR65" s="7"/>
      <c r="CS65" s="31" t="str">
        <f>IF(CR65/(INDEX('Standards for Conversions'!$H$34:$H$73,MATCH(CQ$3,'Standards for Conversions'!$A$34:$A$73,0)))=0,"",CR65/(INDEX('Standards for Conversions'!$H$34:$H$73,MATCH(CQ$3,'Standards for Conversions'!$A$34:$A$73,0))))</f>
        <v/>
      </c>
      <c r="CT65" s="10" t="s">
        <v>38</v>
      </c>
      <c r="CU65" s="7"/>
      <c r="CV65" s="7"/>
      <c r="CW65" s="31" t="str">
        <f>IF(CV65/(INDEX('Standards for Conversions'!$H$34:$H$73,MATCH(CU$3,'Standards for Conversions'!$A$34:$A$73,0)))=0,"",CV65/(INDEX('Standards for Conversions'!$H$34:$H$73,MATCH(CU$3,'Standards for Conversions'!$A$34:$A$73,0))))</f>
        <v/>
      </c>
      <c r="CX65" s="10" t="s">
        <v>38</v>
      </c>
      <c r="CY65" s="7"/>
      <c r="CZ65" s="7"/>
      <c r="DA65" s="31" t="str">
        <f>IF(CZ65/(INDEX('Standards for Conversions'!$H$34:$H$73,MATCH(CY$3,'Standards for Conversions'!$A$34:$A$73,0)))=0,"",CZ65/(INDEX('Standards for Conversions'!$H$34:$H$73,MATCH(CY$3,'Standards for Conversions'!$A$34:$A$73,0))))</f>
        <v/>
      </c>
      <c r="DB65" s="10" t="s">
        <v>38</v>
      </c>
      <c r="DC65" s="9"/>
      <c r="DD65" s="9"/>
      <c r="DE65" s="31" t="str">
        <f>IF(DD65/(INDEX('Standards for Conversions'!$H$34:$H$73,MATCH(DC$3,'Standards for Conversions'!$A$34:$A$73,0)))=0,"",DD65/(INDEX('Standards for Conversions'!$H$34:$H$73,MATCH(DC$3,'Standards for Conversions'!$A$34:$A$73,0))))</f>
        <v/>
      </c>
      <c r="DF65" s="10" t="s">
        <v>38</v>
      </c>
      <c r="DG65" s="7"/>
      <c r="DH65" s="7"/>
      <c r="DI65" s="31" t="str">
        <f>IF(DH65/(INDEX('Standards for Conversions'!$H$34:$H$73,MATCH(DG$3,'Standards for Conversions'!$A$34:$A$73,0)))=0,"",DH65/(INDEX('Standards for Conversions'!$H$34:$H$73,MATCH(DG$3,'Standards for Conversions'!$A$34:$A$73,0))))</f>
        <v/>
      </c>
      <c r="DJ65" s="10" t="s">
        <v>38</v>
      </c>
      <c r="DK65" s="7"/>
      <c r="DL65" s="7"/>
      <c r="DM65" s="31" t="str">
        <f>IF(DL65/(INDEX('Standards for Conversions'!$H$34:$H$73,MATCH(DK$3,'Standards for Conversions'!$A$34:$A$73,0)))=0,"",DL65/(INDEX('Standards for Conversions'!$H$34:$H$73,MATCH(DK$3,'Standards for Conversions'!$A$34:$A$73,0))))</f>
        <v/>
      </c>
      <c r="DN65" s="10" t="s">
        <v>38</v>
      </c>
      <c r="DO65" s="7"/>
      <c r="DP65" s="7"/>
      <c r="DQ65" s="31" t="str">
        <f>IF(DP65/(INDEX('Standards for Conversions'!$H$34:$H$73,MATCH(DO$3,'Standards for Conversions'!$A$34:$A$73,0)))=0,"",DP65/(INDEX('Standards for Conversions'!$H$34:$H$73,MATCH(DO$3,'Standards for Conversions'!$A$34:$A$73,0))))</f>
        <v/>
      </c>
      <c r="DR65" s="10" t="s">
        <v>38</v>
      </c>
      <c r="DS65" s="9"/>
      <c r="DT65" s="9"/>
      <c r="DU65" s="31" t="str">
        <f>IF(DT65/(INDEX('Standards for Conversions'!$H$34:$H$73,MATCH(DS$3,'Standards for Conversions'!$A$34:$A$73,0)))=0,"",DT65/(INDEX('Standards for Conversions'!$H$34:$H$73,MATCH(DS$3,'Standards for Conversions'!$A$34:$A$73,0))))</f>
        <v/>
      </c>
      <c r="DV65" s="10" t="s">
        <v>38</v>
      </c>
      <c r="DW65" s="7"/>
      <c r="DX65" s="7"/>
      <c r="DY65" s="31" t="str">
        <f>IF(DX65/(INDEX('Standards for Conversions'!$H$34:$H$73,MATCH(DW$3,'Standards for Conversions'!$A$34:$A$73,0)))=0,"",DX65/(INDEX('Standards for Conversions'!$H$34:$H$73,MATCH(DW$3,'Standards for Conversions'!$A$34:$A$73,0))))</f>
        <v/>
      </c>
      <c r="DZ65" s="10" t="s">
        <v>38</v>
      </c>
      <c r="EA65" s="7"/>
      <c r="EB65" s="7"/>
      <c r="EC65" s="31" t="str">
        <f>IF(EB65/(INDEX('Standards for Conversions'!$H$34:$H$73,MATCH(EA$3,'Standards for Conversions'!$A$34:$A$73,0)))=0,"",EB65/(INDEX('Standards for Conversions'!$H$34:$H$73,MATCH(EA$3,'Standards for Conversions'!$A$34:$A$73,0))))</f>
        <v/>
      </c>
      <c r="ED65" s="10" t="s">
        <v>38</v>
      </c>
      <c r="EE65" s="7"/>
      <c r="EF65" s="7"/>
      <c r="EG65" s="31" t="str">
        <f>IF(EF65/(INDEX('Standards for Conversions'!$H$34:$H$73,MATCH(EE$3,'Standards for Conversions'!$A$34:$A$73,0)))=0,"",EF65/(INDEX('Standards for Conversions'!$H$34:$H$73,MATCH(EE$3,'Standards for Conversions'!$A$34:$A$73,0))))</f>
        <v/>
      </c>
      <c r="EH65" s="10" t="s">
        <v>38</v>
      </c>
      <c r="EI65" s="9"/>
      <c r="EJ65" s="9"/>
      <c r="EK65" s="31" t="str">
        <f>IF(EJ65/(INDEX('Standards for Conversions'!$H$34:$H$73,MATCH(EI$3,'Standards for Conversions'!$A$34:$A$73,0)))=0,"",EJ65/(INDEX('Standards for Conversions'!$H$34:$H$73,MATCH(EI$3,'Standards for Conversions'!$A$34:$A$73,0))))</f>
        <v/>
      </c>
      <c r="EL65" s="10" t="s">
        <v>38</v>
      </c>
      <c r="EM65" s="7"/>
      <c r="EN65" s="7"/>
      <c r="EO65" s="31" t="str">
        <f>IF(EN65/(INDEX('Standards for Conversions'!$H$34:$H$73,MATCH(EM$3,'Standards for Conversions'!$A$34:$A$73,0)))=0,"",EN65/(INDEX('Standards for Conversions'!$H$34:$H$73,MATCH(EM$3,'Standards for Conversions'!$A$34:$A$73,0))))</f>
        <v/>
      </c>
      <c r="EP65" s="10" t="s">
        <v>38</v>
      </c>
      <c r="EQ65" s="7"/>
      <c r="ER65" s="7"/>
      <c r="ES65" s="31" t="str">
        <f>IF(ER65/(INDEX('Standards for Conversions'!$H$34:$H$73,MATCH(EQ$3,'Standards for Conversions'!$A$34:$A$73,0)))=0,"",ER65/(INDEX('Standards for Conversions'!$H$34:$H$73,MATCH(EQ$3,'Standards for Conversions'!$A$34:$A$73,0))))</f>
        <v/>
      </c>
      <c r="ET65" s="10" t="s">
        <v>38</v>
      </c>
      <c r="EU65" s="7"/>
      <c r="EV65" s="7"/>
      <c r="EW65" s="31" t="str">
        <f>IF(EV65/(INDEX('Standards for Conversions'!$H$34:$H$73,MATCH(EU$3,'Standards for Conversions'!$A$34:$A$73,0)))=0,"",EV65/(INDEX('Standards for Conversions'!$H$34:$H$73,MATCH(EU$3,'Standards for Conversions'!$A$34:$A$73,0))))</f>
        <v/>
      </c>
      <c r="EX65" s="10" t="s">
        <v>38</v>
      </c>
      <c r="EY65" s="9"/>
      <c r="EZ65" s="9"/>
      <c r="FA65" s="31" t="str">
        <f>IF(EZ65/(INDEX('Standards for Conversions'!$H$34:$H$73,MATCH(EY$3,'Standards for Conversions'!$A$34:$A$73,0)))=0,"",EZ65/(INDEX('Standards for Conversions'!$H$34:$H$73,MATCH(EY$3,'Standards for Conversions'!$A$34:$A$73,0))))</f>
        <v/>
      </c>
      <c r="FB65" s="10" t="s">
        <v>38</v>
      </c>
      <c r="FC65" s="7"/>
      <c r="FD65" s="7"/>
      <c r="FE65" s="31" t="str">
        <f>IF(FD65/(INDEX('Standards for Conversions'!$H$34:$H$73,MATCH(FC$3,'Standards for Conversions'!$A$34:$A$73,0)))=0,"",FD65/(INDEX('Standards for Conversions'!$H$34:$H$73,MATCH(FC$3,'Standards for Conversions'!$A$34:$A$73,0))))</f>
        <v/>
      </c>
      <c r="FF65" s="10" t="s">
        <v>38</v>
      </c>
      <c r="FG65" s="7"/>
      <c r="FH65" s="7"/>
      <c r="FI65" s="31" t="str">
        <f>IF(FH65/(INDEX('Standards for Conversions'!$H$34:$H$73,MATCH(FG$3,'Standards for Conversions'!$A$34:$A$73,0)))=0,"",FH65/(INDEX('Standards for Conversions'!$H$34:$H$73,MATCH(FG$3,'Standards for Conversions'!$A$34:$A$73,0))))</f>
        <v/>
      </c>
      <c r="FJ65" s="10" t="s">
        <v>38</v>
      </c>
      <c r="FK65" s="7"/>
      <c r="FL65" s="7"/>
      <c r="FM65" s="31" t="str">
        <f>IF(FL65/(INDEX('Standards for Conversions'!$H$34:$H$73,MATCH(FK$3,'Standards for Conversions'!$A$34:$A$73,0)))=0,"",FL65/(INDEX('Standards for Conversions'!$H$34:$H$73,MATCH(FK$3,'Standards for Conversions'!$A$34:$A$73,0))))</f>
        <v/>
      </c>
      <c r="FN65" s="10" t="s">
        <v>38</v>
      </c>
      <c r="FO65" s="9"/>
      <c r="FP65" s="9"/>
      <c r="FQ65" s="31" t="str">
        <f>IF(FP65/(INDEX('Standards for Conversions'!$H$34:$H$73,MATCH(FO$3,'Standards for Conversions'!$A$34:$A$73,0)))=0,"",FP65/(INDEX('Standards for Conversions'!$H$34:$H$73,MATCH(FO$3,'Standards for Conversions'!$A$34:$A$73,0))))</f>
        <v/>
      </c>
      <c r="FR65" s="10" t="s">
        <v>38</v>
      </c>
      <c r="FS65" s="7"/>
      <c r="FT65" s="7"/>
      <c r="FU65" s="31" t="str">
        <f>IF(FT65/(INDEX('Standards for Conversions'!$H$34:$H$73,MATCH(FS$3,'Standards for Conversions'!$A$34:$A$73,0)))=0,"",FT65/(INDEX('Standards for Conversions'!$H$34:$H$73,MATCH(FS$3,'Standards for Conversions'!$A$34:$A$73,0))))</f>
        <v/>
      </c>
      <c r="FV65" s="10" t="s">
        <v>38</v>
      </c>
      <c r="FW65" s="7"/>
      <c r="FX65" s="7"/>
      <c r="FY65" s="31" t="str">
        <f>IF(FX65/(INDEX('Standards for Conversions'!$H$34:$H$73,MATCH(FW$3,'Standards for Conversions'!$A$34:$A$73,0)))=0,"",FX65/(INDEX('Standards for Conversions'!$H$34:$H$73,MATCH(FW$3,'Standards for Conversions'!$A$34:$A$73,0))))</f>
        <v/>
      </c>
      <c r="FZ65" s="10" t="s">
        <v>38</v>
      </c>
      <c r="GA65" s="7"/>
      <c r="GB65" s="7"/>
      <c r="GC65" s="31" t="str">
        <f>IF(GB65/(INDEX('Standards for Conversions'!$H$34:$H$73,MATCH(GA$3,'Standards for Conversions'!$A$34:$A$73,0)))=0,"",GB65/(INDEX('Standards for Conversions'!$H$34:$H$73,MATCH(GA$3,'Standards for Conversions'!$A$34:$A$73,0))))</f>
        <v/>
      </c>
      <c r="GD65" s="10" t="s">
        <v>38</v>
      </c>
      <c r="GE65" s="9"/>
      <c r="GF65" s="9"/>
      <c r="GG65" s="31" t="str">
        <f>IF(GF65/(INDEX('Standards for Conversions'!$H$34:$H$73,MATCH(GE$3,'Standards for Conversions'!$A$34:$A$73,0)))=0,"",GF65/(INDEX('Standards for Conversions'!$H$34:$H$73,MATCH(GE$3,'Standards for Conversions'!$A$34:$A$73,0))))</f>
        <v/>
      </c>
      <c r="GH65" s="10" t="s">
        <v>38</v>
      </c>
      <c r="GI65" s="7"/>
      <c r="GJ65" s="7"/>
      <c r="GK65" s="31" t="str">
        <f>IF(GJ65/(INDEX('Standards for Conversions'!$H$34:$H$73,MATCH(GI$3,'Standards for Conversions'!$A$34:$A$73,0)))=0,"",GJ65/(INDEX('Standards for Conversions'!$H$34:$H$73,MATCH(GI$3,'Standards for Conversions'!$A$34:$A$73,0))))</f>
        <v/>
      </c>
      <c r="GL65" s="10" t="s">
        <v>38</v>
      </c>
      <c r="GM65" s="7"/>
      <c r="GN65" s="7"/>
      <c r="GO65" s="31" t="str">
        <f>IF(GN65/(INDEX('Standards for Conversions'!$H$34:$H$73,MATCH(GM$3,'Standards for Conversions'!$A$34:$A$73,0)))=0,"",GN65/(INDEX('Standards for Conversions'!$H$34:$H$73,MATCH(GM$3,'Standards for Conversions'!$A$34:$A$73,0))))</f>
        <v/>
      </c>
      <c r="GP65" s="10" t="s">
        <v>38</v>
      </c>
      <c r="GQ65" s="7"/>
      <c r="GR65" s="7"/>
      <c r="GS65" s="31" t="str">
        <f>IF(GR65/(INDEX('Standards for Conversions'!$H$34:$H$73,MATCH(GQ$3,'Standards for Conversions'!$A$34:$A$73,0)))=0,"",GR65/(INDEX('Standards for Conversions'!$H$34:$H$73,MATCH(GQ$3,'Standards for Conversions'!$A$34:$A$73,0))))</f>
        <v/>
      </c>
      <c r="GT65" s="10" t="s">
        <v>38</v>
      </c>
      <c r="GU65" s="9"/>
      <c r="GV65" s="9"/>
      <c r="GW65" s="31" t="str">
        <f>IF(GV65/(INDEX('Standards for Conversions'!$H$34:$H$73,MATCH(GU$3,'Standards for Conversions'!$A$34:$A$73,0)))=0,"",GV65/(INDEX('Standards for Conversions'!$H$34:$H$73,MATCH(GU$3,'Standards for Conversions'!$A$34:$A$73,0))))</f>
        <v/>
      </c>
      <c r="GX65" s="10" t="s">
        <v>38</v>
      </c>
      <c r="GY65" s="7"/>
      <c r="GZ65" s="7"/>
      <c r="HA65" s="31" t="str">
        <f>IF(GZ65/(INDEX('Standards for Conversions'!$H$34:$H$73,MATCH(GY$3,'Standards for Conversions'!$A$34:$A$73,0)))=0,"",GZ65/(INDEX('Standards for Conversions'!$H$34:$H$73,MATCH(GY$3,'Standards for Conversions'!$A$34:$A$73,0))))</f>
        <v/>
      </c>
      <c r="HB65" s="10" t="s">
        <v>38</v>
      </c>
      <c r="HC65" s="7"/>
      <c r="HD65" s="7"/>
      <c r="HE65" s="31" t="str">
        <f>IF(HD65/(INDEX('Standards for Conversions'!$H$34:$H$73,MATCH(HC$3,'Standards for Conversions'!$A$34:$A$73,0)))=0,"",HD65/(INDEX('Standards for Conversions'!$H$34:$H$73,MATCH(HC$3,'Standards for Conversions'!$A$34:$A$73,0))))</f>
        <v/>
      </c>
      <c r="HF65" s="10" t="s">
        <v>38</v>
      </c>
      <c r="HG65" s="7"/>
      <c r="HH65" s="7"/>
      <c r="HI65" s="31" t="str">
        <f>IF(HH65/(INDEX('Standards for Conversions'!$H$34:$H$73,MATCH(HG$3,'Standards for Conversions'!$A$34:$A$73,0)))=0,"",HH65/(INDEX('Standards for Conversions'!$H$34:$H$73,MATCH(HG$3,'Standards for Conversions'!$A$34:$A$73,0))))</f>
        <v/>
      </c>
      <c r="HJ65" s="10" t="s">
        <v>38</v>
      </c>
      <c r="HK65" s="9"/>
      <c r="HL65" s="9"/>
      <c r="HM65" s="31" t="str">
        <f>IF(HL65/(INDEX('Standards for Conversions'!$H$34:$H$73,MATCH(HK$3,'Standards for Conversions'!$A$34:$A$73,0)))=0,"",HL65/(INDEX('Standards for Conversions'!$H$34:$H$73,MATCH(HK$3,'Standards for Conversions'!$A$34:$A$73,0))))</f>
        <v/>
      </c>
      <c r="HN65" s="10" t="s">
        <v>38</v>
      </c>
      <c r="HO65" s="7"/>
      <c r="HP65" s="7"/>
      <c r="HQ65" s="31" t="str">
        <f>IF(HP65/(INDEX('Standards for Conversions'!$H$34:$H$73,MATCH(HO$3,'Standards for Conversions'!$A$34:$A$73,0)))=0,"",HP65/(INDEX('Standards for Conversions'!$H$34:$H$73,MATCH(HO$3,'Standards for Conversions'!$A$34:$A$73,0))))</f>
        <v/>
      </c>
      <c r="HR65" s="33" t="s">
        <v>38</v>
      </c>
      <c r="HU65" s="31" t="str">
        <f>IF(HT65/(INDEX('Standards for Conversions'!$H$47:$H$73,MATCH(HS$3,'Standards for Conversions'!$A$47:$A$73,0)))=0,"",HT65/(INDEX('Standards for Conversions'!$H$47:$H$73,MATCH(HS$3,'Standards for Conversions'!$A$47:$A$73,0))))</f>
        <v/>
      </c>
      <c r="HV65" s="33" t="s">
        <v>38</v>
      </c>
      <c r="HW65" s="29">
        <v>300</v>
      </c>
      <c r="HX65" s="29">
        <v>1300</v>
      </c>
      <c r="HY65" s="31">
        <f>IF(HX65/(INDEX('Standards for Conversions'!$H$47:$H$73,MATCH(HW$3,'Standards for Conversions'!$A$47:$A$73,0)))=0,"",HX65/(INDEX('Standards for Conversions'!$H$47:$H$73,MATCH(HW$3,'Standards for Conversions'!$A$47:$A$73,0))))</f>
        <v>188.81903587671275</v>
      </c>
      <c r="HZ65" s="33"/>
      <c r="IA65" s="33"/>
      <c r="IB65" s="31" t="str">
        <f>IF(IA65/(INDEX('Standards for Conversions'!$H$47:$H$73,MATCH(HZ$3,'Standards for Conversions'!$A$47:$A$73,0)))=0,"",IA65/(INDEX('Standards for Conversions'!$H$47:$H$73,MATCH(HZ$3,'Standards for Conversions'!$A$47:$A$73,0))))</f>
        <v/>
      </c>
      <c r="IC65" s="33" t="s">
        <v>38</v>
      </c>
      <c r="ID65" s="29">
        <v>1500</v>
      </c>
      <c r="IE65" s="29">
        <v>2500</v>
      </c>
      <c r="IF65" s="31">
        <f>IF(IE65/(INDEX('Standards for Conversions'!$H$47:$H$73,MATCH(ID$3,'Standards for Conversions'!$A$47:$A$73,0)))=0,"",IE65/(INDEX('Standards for Conversions'!$H$47:$H$73,MATCH(ID$3,'Standards for Conversions'!$A$47:$A$73,0))))</f>
        <v>363.11353053213992</v>
      </c>
      <c r="IG65" s="33" t="s">
        <v>38</v>
      </c>
      <c r="IJ65" s="31" t="str">
        <f>IF(II65/(INDEX('Standards for Conversions'!$H$47:$H$73,MATCH(IH$3,'Standards for Conversions'!$A$47:$A$73,0)))=0,"",II65/(INDEX('Standards for Conversions'!$H$47:$H$73,MATCH(IH$3,'Standards for Conversions'!$A$47:$A$73,0))))</f>
        <v/>
      </c>
      <c r="IK65" s="33" t="s">
        <v>38</v>
      </c>
      <c r="IN65" s="31" t="str">
        <f>IF(IM65/(INDEX('Standards for Conversions'!$H$47:$H$73,MATCH(IL$3,'Standards for Conversions'!$A$47:$A$73,0)))=0,"",IM65/(INDEX('Standards for Conversions'!$H$47:$H$73,MATCH(IL$3,'Standards for Conversions'!$A$47:$A$73,0))))</f>
        <v/>
      </c>
      <c r="IO65" s="33" t="s">
        <v>38</v>
      </c>
      <c r="IR65" s="31" t="str">
        <f>IF(IQ65/(INDEX('Standards for Conversions'!$H$47:$H$73,MATCH(IP$3,'Standards for Conversions'!$A$47:$A$73,0)))=0,"",IQ65/(INDEX('Standards for Conversions'!$H$47:$H$73,MATCH(IP$3,'Standards for Conversions'!$A$47:$A$73,0))))</f>
        <v/>
      </c>
      <c r="IS65" s="33" t="s">
        <v>38</v>
      </c>
      <c r="IT65" s="29">
        <v>1110</v>
      </c>
      <c r="IU65" s="29">
        <v>2067</v>
      </c>
      <c r="IV65" s="31">
        <f>IF(IU65/(INDEX('Standards for Conversions'!$H$47:$H$73,MATCH(IT$3,'Standards for Conversions'!$A$47:$A$73,0)))=0,"",IU65/(INDEX('Standards for Conversions'!$H$47:$H$73,MATCH(IT$3,'Standards for Conversions'!$A$47:$A$73,0))))</f>
        <v>298.90934167789169</v>
      </c>
      <c r="IW65" s="33" t="s">
        <v>38</v>
      </c>
      <c r="IZ65" s="31" t="str">
        <f>IF(IY65/(INDEX('Standards for Conversions'!$H$47:$H$73,MATCH(IX$3,'Standards for Conversions'!$A$47:$A$73,0)))=0,"",IY65/(INDEX('Standards for Conversions'!$H$47:$H$73,MATCH(IX$3,'Standards for Conversions'!$A$47:$A$73,0))))</f>
        <v/>
      </c>
      <c r="JA65" s="33" t="s">
        <v>38</v>
      </c>
      <c r="JD65" s="31" t="str">
        <f>IF(JC65/(INDEX('Standards for Conversions'!$H$47:$H$73,MATCH(JB$3,'Standards for Conversions'!$A$47:$A$73,0)))=0,"",JC65/(INDEX('Standards for Conversions'!$H$47:$H$73,MATCH(JB$3,'Standards for Conversions'!$A$47:$A$73,0))))</f>
        <v/>
      </c>
      <c r="JE65" s="33" t="s">
        <v>38</v>
      </c>
      <c r="JH65" s="31" t="str">
        <f>IF(JG65/(INDEX('Standards for Conversions'!$H$47:$H$73,MATCH(JF$3,'Standards for Conversions'!$A$47:$A$73,0)))=0,"",JG65/(INDEX('Standards for Conversions'!$H$47:$H$73,MATCH(JF$3,'Standards for Conversions'!$A$47:$A$73,0))))</f>
        <v/>
      </c>
      <c r="JI65" s="48" t="s">
        <v>38</v>
      </c>
      <c r="JJ65" s="29">
        <v>980</v>
      </c>
      <c r="JK65" s="29">
        <v>1950</v>
      </c>
      <c r="JL65" s="31">
        <f>IF(JK65/(INDEX('Standards for Conversions'!$H$47:$H$73,MATCH(JJ$3,'Standards for Conversions'!$A$47:$A$73,0)))=0,"",JK65/(INDEX('Standards for Conversions'!$H$47:$H$73,MATCH(JJ$3,'Standards for Conversions'!$A$47:$A$73,0))))</f>
        <v>315.43238354914394</v>
      </c>
      <c r="JM65" s="33" t="s">
        <v>38</v>
      </c>
      <c r="JP65" s="31" t="str">
        <f>IF(JO65/(INDEX('Standards for Conversions'!$H$47:$H$73,MATCH(JN$3,'Standards for Conversions'!$A$47:$A$73,0)))=0,"",JO65/(INDEX('Standards for Conversions'!$H$47:$H$73,MATCH(JN$3,'Standards for Conversions'!$A$47:$A$73,0))))</f>
        <v/>
      </c>
      <c r="JQ65" s="33" t="s">
        <v>38</v>
      </c>
      <c r="JT65" s="31" t="str">
        <f>IF(JS65/(INDEX('Standards for Conversions'!$H$47:$H$73,MATCH(JR$3,'Standards for Conversions'!$A$47:$A$73,0)))=0,"",JS65/(INDEX('Standards for Conversions'!$H$47:$H$73,MATCH(JR$3,'Standards for Conversions'!$A$47:$A$73,0))))</f>
        <v/>
      </c>
      <c r="JU65" s="33" t="s">
        <v>38</v>
      </c>
      <c r="JX65" s="31" t="str">
        <f>IF(JW65/(INDEX('Standards for Conversions'!$H$47:$H$73,MATCH(JV$3,'Standards for Conversions'!$A$47:$A$73,0)))=0,"",JW65/(INDEX('Standards for Conversions'!$H$47:$H$73,MATCH(JV$3,'Standards for Conversions'!$A$47:$A$73,0))))</f>
        <v/>
      </c>
      <c r="JY65" s="33" t="s">
        <v>38</v>
      </c>
      <c r="JZ65" s="29">
        <v>1000</v>
      </c>
      <c r="KA65" s="29">
        <v>2000</v>
      </c>
      <c r="KB65" s="31">
        <f>IF(KA65/(INDEX('Standards for Conversions'!$H$47:$H$73,MATCH(JZ$3,'Standards for Conversions'!$A$47:$A$73,0)))=0,"",KA65/(INDEX('Standards for Conversions'!$H$47:$H$73,MATCH(JZ$3,'Standards for Conversions'!$A$47:$A$73,0))))</f>
        <v>305.31178485559514</v>
      </c>
      <c r="KC65" s="33" t="s">
        <v>38</v>
      </c>
      <c r="KF65" s="31" t="str">
        <f>IF(KE65/(INDEX('Standards for Conversions'!$H$47:$H$73,MATCH(KD$3,'Standards for Conversions'!$A$47:$A$73,0)))=0,"",KE65/(INDEX('Standards for Conversions'!$H$47:$H$73,MATCH(KD$3,'Standards for Conversions'!$A$47:$A$73,0))))</f>
        <v/>
      </c>
      <c r="KG65" s="33" t="s">
        <v>38</v>
      </c>
      <c r="KJ65" s="31" t="str">
        <f>IF(KI65/(INDEX('Standards for Conversions'!$H$47:$H$73,MATCH(KH$3,'Standards for Conversions'!$A$47:$A$73,0)))=0,"",KI65/(INDEX('Standards for Conversions'!$H$47:$H$73,MATCH(KH$3,'Standards for Conversions'!$A$47:$A$73,0))))</f>
        <v/>
      </c>
      <c r="KK65" s="33" t="s">
        <v>38</v>
      </c>
      <c r="KN65" s="31" t="str">
        <f>IF(KM65/(INDEX('Standards for Conversions'!$H$47:$H$73,MATCH(KL$3,'Standards for Conversions'!$A$47:$A$73,0)))=0,"",KM65/(INDEX('Standards for Conversions'!$H$47:$H$73,MATCH(KL$3,'Standards for Conversions'!$A$47:$A$73,0))))</f>
        <v/>
      </c>
      <c r="KO65" s="33" t="s">
        <v>38</v>
      </c>
      <c r="KP65" s="29">
        <v>785</v>
      </c>
      <c r="KQ65" s="29">
        <v>1600</v>
      </c>
      <c r="KR65" s="31">
        <f>IF(KQ65/(INDEX('Standards for Conversions'!$H$47:$H$73,MATCH(KP$3,'Standards for Conversions'!$A$47:$A$73,0)))=0,"",KQ65/(INDEX('Standards for Conversions'!$H$47:$H$73,MATCH(KP$3,'Standards for Conversions'!$A$47:$A$73,0))))</f>
        <v>215.45441904927435</v>
      </c>
      <c r="KS65" s="33" t="s">
        <v>38</v>
      </c>
      <c r="KV65" s="31" t="str">
        <f>IF(KU65/(INDEX('Standards for Conversions'!$H$47:$H$73,MATCH(KT$3,'Standards for Conversions'!$A$47:$A$73,0)))=0,"",KU65/(INDEX('Standards for Conversions'!$H$47:$H$73,MATCH(KT$3,'Standards for Conversions'!$A$47:$A$73,0))))</f>
        <v/>
      </c>
      <c r="KW65" s="33" t="s">
        <v>38</v>
      </c>
      <c r="KZ65" s="31" t="str">
        <f>IF(KY65/(INDEX('Standards for Conversions'!$H$47:$H$73,MATCH(KX$3,'Standards for Conversions'!$A$47:$A$73,0)))=0,"",KY65/(INDEX('Standards for Conversions'!$H$47:$H$73,MATCH(KX$3,'Standards for Conversions'!$A$47:$A$73,0))))</f>
        <v/>
      </c>
      <c r="LA65" s="33" t="s">
        <v>38</v>
      </c>
      <c r="LD65" s="31" t="str">
        <f>IF(LC65/(INDEX('Standards for Conversions'!$H$47:$H$73,MATCH(LB$3,'Standards for Conversions'!$A$47:$A$73,0)))=0,"",LC65/(INDEX('Standards for Conversions'!$H$47:$H$73,MATCH(LB$3,'Standards for Conversions'!$A$47:$A$73,0))))</f>
        <v/>
      </c>
      <c r="LE65" s="48" t="s">
        <v>38</v>
      </c>
      <c r="LF65" s="29">
        <v>820</v>
      </c>
      <c r="LG65" s="29">
        <v>1750</v>
      </c>
      <c r="LH65" s="31">
        <f>IF(LG65/(INDEX('Standards for Conversions'!$H$47:$H$73,MATCH(LF$3,'Standards for Conversions'!$A$47:$A$73,0)))=0,"",LG65/(INDEX('Standards for Conversions'!$H$47:$H$73,MATCH(LF$3,'Standards for Conversions'!$A$47:$A$73,0))))</f>
        <v>212.82899177312356</v>
      </c>
      <c r="LL65" s="31" t="str">
        <f>IF(LK65/(INDEX('Standards for Conversions'!$H$47:$H$73,MATCH(LJ$3,'Standards for Conversions'!$A$47:$A$73,0)))=0,"",LK65/(INDEX('Standards for Conversions'!$H$47:$H$73,MATCH(LJ$3,'Standards for Conversions'!$A$47:$A$73,0))))</f>
        <v/>
      </c>
      <c r="LO65" s="31" t="str">
        <f>IF(LN65/(INDEX('Standards for Conversions'!$H$47:$H$73,MATCH(LM$3,'Standards for Conversions'!$A$47:$A$73,0)))=0,"",LN65/(INDEX('Standards for Conversions'!$H$47:$H$73,MATCH(LM$3,'Standards for Conversions'!$A$47:$A$73,0))))</f>
        <v/>
      </c>
      <c r="LR65" s="31" t="str">
        <f>IF(LQ65/(INDEX('Standards for Conversions'!$H$47:$H$73,MATCH(LP$3,'Standards for Conversions'!$A$47:$A$73,0)))=0,"",LQ65/(INDEX('Standards for Conversions'!$H$47:$H$73,MATCH(LP$3,'Standards for Conversions'!$A$47:$A$73,0))))</f>
        <v/>
      </c>
      <c r="LV65" s="31" t="str">
        <f>IF(LU65/(INDEX('Standards for Conversions'!$H$47:$H$73,MATCH(LT$3,'Standards for Conversions'!$A$47:$A$73,0)))=0,"",LU65/(INDEX('Standards for Conversions'!$H$47:$H$73,MATCH(LT$3,'Standards for Conversions'!$A$47:$A$73,0))))</f>
        <v/>
      </c>
      <c r="LY65" s="31" t="str">
        <f>IF(LX65/(INDEX('Standards for Conversions'!$H$47:$H$73,MATCH(LW$3,'Standards for Conversions'!$A$47:$A$73,0)))=0,"",LX65/(INDEX('Standards for Conversions'!$H$47:$H$73,MATCH(LW$3,'Standards for Conversions'!$A$47:$A$73,0))))</f>
        <v/>
      </c>
      <c r="MB65" s="31" t="str">
        <f>IF(MA65/(INDEX('Standards for Conversions'!$H$47:$H$73,MATCH(LZ$3,'Standards for Conversions'!$A$47:$A$73,0)))=0,"",MA65/(INDEX('Standards for Conversions'!$H$47:$H$73,MATCH(LZ$3,'Standards for Conversions'!$A$47:$A$73,0))))</f>
        <v/>
      </c>
      <c r="ME65" s="31" t="str">
        <f>IF(MD65/(INDEX('Standards for Conversions'!$H$47:$H$73,MATCH(MC$3,'Standards for Conversions'!$A$47:$A$73,0)))=0,"",MD65/(INDEX('Standards for Conversions'!$H$47:$H$73,MATCH(MC$3,'Standards for Conversions'!$A$47:$A$73,0))))</f>
        <v/>
      </c>
      <c r="MH65" s="31" t="str">
        <f>IF(MG65/(INDEX('Standards for Conversions'!$H$47:$H$73,MATCH(MF$3,'Standards for Conversions'!$A$47:$A$73,0)))=0,"",MG65/(INDEX('Standards for Conversions'!$H$47:$H$73,MATCH(MF$3,'Standards for Conversions'!$A$47:$A$73,0))))</f>
        <v/>
      </c>
      <c r="MK65" s="31" t="str">
        <f>IF(MJ65/(INDEX('Standards for Conversions'!$H$47:$H$73,MATCH(MI$3,'Standards for Conversions'!$A$47:$A$73,0)))=0,"",MJ65/(INDEX('Standards for Conversions'!$H$47:$H$73,MATCH(MI$3,'Standards for Conversions'!$A$47:$A$73,0))))</f>
        <v/>
      </c>
      <c r="MN65" s="31" t="str">
        <f>IF(MM65/(INDEX('Standards for Conversions'!$H$47:$H$73,MATCH(ML$3,'Standards for Conversions'!$A$47:$A$73,0)))=0,"",MM65/(INDEX('Standards for Conversions'!$H$47:$H$73,MATCH(ML$3,'Standards for Conversions'!$A$47:$A$73,0))))</f>
        <v/>
      </c>
      <c r="MQ65" s="33"/>
      <c r="MR65" s="31" t="str">
        <f>IF(MQ65/(INDEX('Standards for Conversions'!$H$47:$H$73,MATCH(MP$3,'Standards for Conversions'!$A$47:$A$73,0)))=0,"",MQ65/(INDEX('Standards for Conversions'!$H$47:$H$73,MATCH(MP$3,'Standards for Conversions'!$A$47:$A$73,0))))</f>
        <v/>
      </c>
    </row>
    <row r="66" spans="1:369" hidden="1" x14ac:dyDescent="0.3">
      <c r="A66" s="103" t="s">
        <v>241</v>
      </c>
      <c r="B66" s="10" t="s">
        <v>41</v>
      </c>
      <c r="C66" s="7"/>
      <c r="D66" s="7"/>
      <c r="E66" s="31" t="str">
        <f>IF(D66/(INDEX('Standards for Conversions'!$H$34:$H$73,MATCH(C$3,'Standards for Conversions'!$A$34:$A$73,0)))=0,"",D66/(INDEX('Standards for Conversions'!$H$34:$H$73,MATCH(C$3,'Standards for Conversions'!$A$34:$A$73,0))))</f>
        <v/>
      </c>
      <c r="F66" s="10" t="s">
        <v>41</v>
      </c>
      <c r="G66" s="7"/>
      <c r="H66" s="7"/>
      <c r="I66" s="31" t="str">
        <f>IF(H66/(INDEX('Standards for Conversions'!$H$34:$H$73,MATCH(G$3,'Standards for Conversions'!$A$34:$A$73,0)))=0,"",H66/(INDEX('Standards for Conversions'!$H$34:$H$73,MATCH(G$3,'Standards for Conversions'!$A$34:$A$73,0))))</f>
        <v/>
      </c>
      <c r="J66" s="10" t="s">
        <v>41</v>
      </c>
      <c r="K66" s="9"/>
      <c r="L66" s="9"/>
      <c r="M66" s="31" t="str">
        <f>IF(L66/(INDEX('Standards for Conversions'!$H$34:$H$73,MATCH(K$3,'Standards for Conversions'!$A$34:$A$73,0)))=0,"",L66/(INDEX('Standards for Conversions'!$H$34:$H$73,MATCH(K$3,'Standards for Conversions'!$A$34:$A$73,0))))</f>
        <v/>
      </c>
      <c r="N66" s="10" t="s">
        <v>41</v>
      </c>
      <c r="O66" s="7"/>
      <c r="P66" s="7"/>
      <c r="Q66" s="31" t="str">
        <f>IF(P66/(INDEX('Standards for Conversions'!$H$34:$H$73,MATCH(O$3,'Standards for Conversions'!$A$34:$A$73,0)))=0,"",P66/(INDEX('Standards for Conversions'!$H$34:$H$73,MATCH(O$3,'Standards for Conversions'!$A$34:$A$73,0))))</f>
        <v/>
      </c>
      <c r="R66" s="10" t="s">
        <v>41</v>
      </c>
      <c r="S66" s="7"/>
      <c r="T66" s="7"/>
      <c r="U66" s="31" t="str">
        <f>IF(T66/(INDEX('Standards for Conversions'!$H$34:$H$73,MATCH(S$3,'Standards for Conversions'!$A$34:$A$73,0)))=0,"",T66/(INDEX('Standards for Conversions'!$H$34:$H$73,MATCH(S$3,'Standards for Conversions'!$A$34:$A$73,0))))</f>
        <v/>
      </c>
      <c r="V66" s="10" t="s">
        <v>41</v>
      </c>
      <c r="W66" s="7"/>
      <c r="X66" s="7"/>
      <c r="Y66" s="31" t="str">
        <f>IF(X66/(INDEX('Standards for Conversions'!$H$34:$H$73,MATCH(W$3,'Standards for Conversions'!$A$34:$A$73,0)))=0,"",X66/(INDEX('Standards for Conversions'!$H$34:$H$73,MATCH(W$3,'Standards for Conversions'!$A$34:$A$73,0))))</f>
        <v/>
      </c>
      <c r="Z66" s="10" t="s">
        <v>41</v>
      </c>
      <c r="AA66" s="9"/>
      <c r="AB66" s="9"/>
      <c r="AC66" s="31" t="str">
        <f>IF(AB66/(INDEX('Standards for Conversions'!$H$34:$H$73,MATCH(AA$3,'Standards for Conversions'!$A$34:$A$73,0)))=0,"",AB66/(INDEX('Standards for Conversions'!$H$34:$H$73,MATCH(AA$3,'Standards for Conversions'!$A$34:$A$73,0))))</f>
        <v/>
      </c>
      <c r="AD66" s="10" t="s">
        <v>41</v>
      </c>
      <c r="AE66" s="7"/>
      <c r="AF66" s="7"/>
      <c r="AG66" s="31" t="str">
        <f>IF(AF66/(INDEX('Standards for Conversions'!$H$34:$H$73,MATCH(AE$3,'Standards for Conversions'!$A$34:$A$73,0)))=0,"",AF66/(INDEX('Standards for Conversions'!$H$34:$H$73,MATCH(AE$3,'Standards for Conversions'!$A$34:$A$73,0))))</f>
        <v/>
      </c>
      <c r="AH66" s="10" t="s">
        <v>41</v>
      </c>
      <c r="AI66" s="7"/>
      <c r="AJ66" s="7"/>
      <c r="AK66" s="31" t="str">
        <f>IF(AJ66/(INDEX('Standards for Conversions'!$H$34:$H$73,MATCH(AI$3,'Standards for Conversions'!$A$34:$A$73,0)))=0,"",AJ66/(INDEX('Standards for Conversions'!$H$34:$H$73,MATCH(AI$3,'Standards for Conversions'!$A$34:$A$73,0))))</f>
        <v/>
      </c>
      <c r="AL66" s="10" t="s">
        <v>41</v>
      </c>
      <c r="AM66" s="7"/>
      <c r="AN66" s="7"/>
      <c r="AO66" s="31" t="str">
        <f>IF(AN66/(INDEX('Standards for Conversions'!$H$34:$H$73,MATCH(AM$3,'Standards for Conversions'!$A$34:$A$73,0)))=0,"",AN66/(INDEX('Standards for Conversions'!$H$34:$H$73,MATCH(AM$3,'Standards for Conversions'!$A$34:$A$73,0))))</f>
        <v/>
      </c>
      <c r="AP66" s="10" t="s">
        <v>41</v>
      </c>
      <c r="AQ66" s="9"/>
      <c r="AR66" s="9"/>
      <c r="AS66" s="31" t="str">
        <f>IF(AR66/(INDEX('Standards for Conversions'!$H$34:$H$73,MATCH(AQ$3,'Standards for Conversions'!$A$34:$A$73,0)))=0,"",AR66/(INDEX('Standards for Conversions'!$H$34:$H$73,MATCH(AQ$3,'Standards for Conversions'!$A$34:$A$73,0))))</f>
        <v/>
      </c>
      <c r="AT66" s="10" t="s">
        <v>41</v>
      </c>
      <c r="AU66" s="7"/>
      <c r="AV66" s="7"/>
      <c r="AW66" s="31" t="str">
        <f>IF(AV66/(INDEX('Standards for Conversions'!$H$34:$H$73,MATCH(AU$3,'Standards for Conversions'!$A$34:$A$73,0)))=0,"",AV66/(INDEX('Standards for Conversions'!$H$34:$H$73,MATCH(AU$3,'Standards for Conversions'!$A$34:$A$73,0))))</f>
        <v/>
      </c>
      <c r="AX66" s="10" t="s">
        <v>41</v>
      </c>
      <c r="AY66" s="7"/>
      <c r="AZ66" s="7"/>
      <c r="BA66" s="31" t="str">
        <f>IF(AZ66/(INDEX('Standards for Conversions'!$H$34:$H$73,MATCH(AY$3,'Standards for Conversions'!$A$34:$A$73,0)))=0,"",AZ66/(INDEX('Standards for Conversions'!$H$34:$H$73,MATCH(AY$3,'Standards for Conversions'!$A$34:$A$73,0))))</f>
        <v/>
      </c>
      <c r="BB66" s="10" t="s">
        <v>41</v>
      </c>
      <c r="BC66" s="7"/>
      <c r="BD66" s="7"/>
      <c r="BE66" s="31" t="str">
        <f>IF(BD66/(INDEX('Standards for Conversions'!$H$34:$H$73,MATCH(BC$3,'Standards for Conversions'!$A$34:$A$73,0)))=0,"",BD66/(INDEX('Standards for Conversions'!$H$34:$H$73,MATCH(BC$3,'Standards for Conversions'!$A$34:$A$73,0))))</f>
        <v/>
      </c>
      <c r="BF66" s="10" t="s">
        <v>41</v>
      </c>
      <c r="BG66" s="9"/>
      <c r="BH66" s="9"/>
      <c r="BI66" s="31" t="str">
        <f>IF(BH66/(INDEX('Standards for Conversions'!$H$34:$H$73,MATCH(BG$3,'Standards for Conversions'!$A$34:$A$73,0)))=0,"",BH66/(INDEX('Standards for Conversions'!$H$34:$H$73,MATCH(BG$3,'Standards for Conversions'!$A$34:$A$73,0))))</f>
        <v/>
      </c>
      <c r="BJ66" s="10" t="s">
        <v>41</v>
      </c>
      <c r="BK66" s="7"/>
      <c r="BL66" s="7"/>
      <c r="BM66" s="31" t="str">
        <f>IF(BL66/(INDEX('Standards for Conversions'!$H$34:$H$73,MATCH(BK$3,'Standards for Conversions'!$A$34:$A$73,0)))=0,"",BL66/(INDEX('Standards for Conversions'!$H$34:$H$73,MATCH(BK$3,'Standards for Conversions'!$A$34:$A$73,0))))</f>
        <v/>
      </c>
      <c r="BN66" s="10" t="s">
        <v>41</v>
      </c>
      <c r="BO66" s="7"/>
      <c r="BP66" s="7"/>
      <c r="BQ66" s="31" t="str">
        <f>IF(BP66/(INDEX('Standards for Conversions'!$H$34:$H$73,MATCH(BO$3,'Standards for Conversions'!$A$34:$A$73,0)))=0,"",BP66/(INDEX('Standards for Conversions'!$H$34:$H$73,MATCH(BO$3,'Standards for Conversions'!$A$34:$A$73,0))))</f>
        <v/>
      </c>
      <c r="BR66" s="10" t="s">
        <v>41</v>
      </c>
      <c r="BS66" s="7"/>
      <c r="BT66" s="7"/>
      <c r="BU66" s="31" t="str">
        <f>IF(BT66/(INDEX('Standards for Conversions'!$H$34:$H$73,MATCH(BS$3,'Standards for Conversions'!$A$34:$A$73,0)))=0,"",BT66/(INDEX('Standards for Conversions'!$H$34:$H$73,MATCH(BS$3,'Standards for Conversions'!$A$34:$A$73,0))))</f>
        <v/>
      </c>
      <c r="BV66" s="10" t="s">
        <v>41</v>
      </c>
      <c r="BW66" s="9"/>
      <c r="BX66" s="9"/>
      <c r="BY66" s="31" t="str">
        <f>IF(BX66/(INDEX('Standards for Conversions'!$H$34:$H$73,MATCH(BW$3,'Standards for Conversions'!$A$34:$A$73,0)))=0,"",BX66/(INDEX('Standards for Conversions'!$H$34:$H$73,MATCH(BW$3,'Standards for Conversions'!$A$34:$A$73,0))))</f>
        <v/>
      </c>
      <c r="BZ66" s="10" t="s">
        <v>41</v>
      </c>
      <c r="CA66" s="7"/>
      <c r="CB66" s="7"/>
      <c r="CC66" s="31" t="str">
        <f>IF(CB66/(INDEX('Standards for Conversions'!$H$34:$H$73,MATCH(CA$3,'Standards for Conversions'!$A$34:$A$73,0)))=0,"",CB66/(INDEX('Standards for Conversions'!$H$34:$H$73,MATCH(CA$3,'Standards for Conversions'!$A$34:$A$73,0))))</f>
        <v/>
      </c>
      <c r="CD66" s="10" t="s">
        <v>41</v>
      </c>
      <c r="CE66" s="7"/>
      <c r="CF66" s="7"/>
      <c r="CG66" s="31" t="str">
        <f>IF(CF66/(INDEX('Standards for Conversions'!$H$34:$H$73,MATCH(CE$3,'Standards for Conversions'!$A$34:$A$73,0)))=0,"",CF66/(INDEX('Standards for Conversions'!$H$34:$H$73,MATCH(CE$3,'Standards for Conversions'!$A$34:$A$73,0))))</f>
        <v/>
      </c>
      <c r="CH66" s="10" t="s">
        <v>41</v>
      </c>
      <c r="CI66" s="7"/>
      <c r="CJ66" s="7"/>
      <c r="CK66" s="31" t="str">
        <f>IF(CJ66/(INDEX('Standards for Conversions'!$H$34:$H$73,MATCH(CI$3,'Standards for Conversions'!$A$34:$A$73,0)))=0,"",CJ66/(INDEX('Standards for Conversions'!$H$34:$H$73,MATCH(CI$3,'Standards for Conversions'!$A$34:$A$73,0))))</f>
        <v/>
      </c>
      <c r="CL66" s="10" t="s">
        <v>41</v>
      </c>
      <c r="CM66" s="9"/>
      <c r="CN66" s="9"/>
      <c r="CO66" s="31" t="str">
        <f>IF(CN66/(INDEX('Standards for Conversions'!$H$34:$H$73,MATCH(CM$3,'Standards for Conversions'!$A$34:$A$73,0)))=0,"",CN66/(INDEX('Standards for Conversions'!$H$34:$H$73,MATCH(CM$3,'Standards for Conversions'!$A$34:$A$73,0))))</f>
        <v/>
      </c>
      <c r="CP66" s="10" t="s">
        <v>41</v>
      </c>
      <c r="CQ66" s="7"/>
      <c r="CR66" s="7"/>
      <c r="CS66" s="31" t="str">
        <f>IF(CR66/(INDEX('Standards for Conversions'!$H$34:$H$73,MATCH(CQ$3,'Standards for Conversions'!$A$34:$A$73,0)))=0,"",CR66/(INDEX('Standards for Conversions'!$H$34:$H$73,MATCH(CQ$3,'Standards for Conversions'!$A$34:$A$73,0))))</f>
        <v/>
      </c>
      <c r="CT66" s="10" t="s">
        <v>41</v>
      </c>
      <c r="CU66" s="7"/>
      <c r="CV66" s="7"/>
      <c r="CW66" s="31" t="str">
        <f>IF(CV66/(INDEX('Standards for Conversions'!$H$34:$H$73,MATCH(CU$3,'Standards for Conversions'!$A$34:$A$73,0)))=0,"",CV66/(INDEX('Standards for Conversions'!$H$34:$H$73,MATCH(CU$3,'Standards for Conversions'!$A$34:$A$73,0))))</f>
        <v/>
      </c>
      <c r="CX66" s="10" t="s">
        <v>41</v>
      </c>
      <c r="CY66" s="7"/>
      <c r="CZ66" s="7"/>
      <c r="DA66" s="31" t="str">
        <f>IF(CZ66/(INDEX('Standards for Conversions'!$H$34:$H$73,MATCH(CY$3,'Standards for Conversions'!$A$34:$A$73,0)))=0,"",CZ66/(INDEX('Standards for Conversions'!$H$34:$H$73,MATCH(CY$3,'Standards for Conversions'!$A$34:$A$73,0))))</f>
        <v/>
      </c>
      <c r="DB66" s="10" t="s">
        <v>41</v>
      </c>
      <c r="DC66" s="9"/>
      <c r="DD66" s="9"/>
      <c r="DE66" s="31" t="str">
        <f>IF(DD66/(INDEX('Standards for Conversions'!$H$34:$H$73,MATCH(DC$3,'Standards for Conversions'!$A$34:$A$73,0)))=0,"",DD66/(INDEX('Standards for Conversions'!$H$34:$H$73,MATCH(DC$3,'Standards for Conversions'!$A$34:$A$73,0))))</f>
        <v/>
      </c>
      <c r="DF66" s="10" t="s">
        <v>41</v>
      </c>
      <c r="DG66" s="7"/>
      <c r="DH66" s="7"/>
      <c r="DI66" s="31" t="str">
        <f>IF(DH66/(INDEX('Standards for Conversions'!$H$34:$H$73,MATCH(DG$3,'Standards for Conversions'!$A$34:$A$73,0)))=0,"",DH66/(INDEX('Standards for Conversions'!$H$34:$H$73,MATCH(DG$3,'Standards for Conversions'!$A$34:$A$73,0))))</f>
        <v/>
      </c>
      <c r="DJ66" s="10" t="s">
        <v>41</v>
      </c>
      <c r="DK66" s="7"/>
      <c r="DL66" s="7"/>
      <c r="DM66" s="31" t="str">
        <f>IF(DL66/(INDEX('Standards for Conversions'!$H$34:$H$73,MATCH(DK$3,'Standards for Conversions'!$A$34:$A$73,0)))=0,"",DL66/(INDEX('Standards for Conversions'!$H$34:$H$73,MATCH(DK$3,'Standards for Conversions'!$A$34:$A$73,0))))</f>
        <v/>
      </c>
      <c r="DN66" s="10" t="s">
        <v>41</v>
      </c>
      <c r="DO66" s="7"/>
      <c r="DP66" s="7"/>
      <c r="DQ66" s="31" t="str">
        <f>IF(DP66/(INDEX('Standards for Conversions'!$H$34:$H$73,MATCH(DO$3,'Standards for Conversions'!$A$34:$A$73,0)))=0,"",DP66/(INDEX('Standards for Conversions'!$H$34:$H$73,MATCH(DO$3,'Standards for Conversions'!$A$34:$A$73,0))))</f>
        <v/>
      </c>
      <c r="DR66" s="10" t="s">
        <v>41</v>
      </c>
      <c r="DS66" s="9"/>
      <c r="DT66" s="9"/>
      <c r="DU66" s="31" t="str">
        <f>IF(DT66/(INDEX('Standards for Conversions'!$H$34:$H$73,MATCH(DS$3,'Standards for Conversions'!$A$34:$A$73,0)))=0,"",DT66/(INDEX('Standards for Conversions'!$H$34:$H$73,MATCH(DS$3,'Standards for Conversions'!$A$34:$A$73,0))))</f>
        <v/>
      </c>
      <c r="DV66" s="10" t="s">
        <v>41</v>
      </c>
      <c r="DW66" s="7"/>
      <c r="DX66" s="7"/>
      <c r="DY66" s="31" t="str">
        <f>IF(DX66/(INDEX('Standards for Conversions'!$H$34:$H$73,MATCH(DW$3,'Standards for Conversions'!$A$34:$A$73,0)))=0,"",DX66/(INDEX('Standards for Conversions'!$H$34:$H$73,MATCH(DW$3,'Standards for Conversions'!$A$34:$A$73,0))))</f>
        <v/>
      </c>
      <c r="DZ66" s="10" t="s">
        <v>41</v>
      </c>
      <c r="EA66" s="7"/>
      <c r="EB66" s="7"/>
      <c r="EC66" s="31" t="str">
        <f>IF(EB66/(INDEX('Standards for Conversions'!$H$34:$H$73,MATCH(EA$3,'Standards for Conversions'!$A$34:$A$73,0)))=0,"",EB66/(INDEX('Standards for Conversions'!$H$34:$H$73,MATCH(EA$3,'Standards for Conversions'!$A$34:$A$73,0))))</f>
        <v/>
      </c>
      <c r="ED66" s="10" t="s">
        <v>41</v>
      </c>
      <c r="EE66" s="7"/>
      <c r="EF66" s="7"/>
      <c r="EG66" s="31" t="str">
        <f>IF(EF66/(INDEX('Standards for Conversions'!$H$34:$H$73,MATCH(EE$3,'Standards for Conversions'!$A$34:$A$73,0)))=0,"",EF66/(INDEX('Standards for Conversions'!$H$34:$H$73,MATCH(EE$3,'Standards for Conversions'!$A$34:$A$73,0))))</f>
        <v/>
      </c>
      <c r="EH66" s="10" t="s">
        <v>41</v>
      </c>
      <c r="EI66" s="9"/>
      <c r="EJ66" s="9"/>
      <c r="EK66" s="31" t="str">
        <f>IF(EJ66/(INDEX('Standards for Conversions'!$H$34:$H$73,MATCH(EI$3,'Standards for Conversions'!$A$34:$A$73,0)))=0,"",EJ66/(INDEX('Standards for Conversions'!$H$34:$H$73,MATCH(EI$3,'Standards for Conversions'!$A$34:$A$73,0))))</f>
        <v/>
      </c>
      <c r="EL66" s="10" t="s">
        <v>41</v>
      </c>
      <c r="EM66" s="7"/>
      <c r="EN66" s="7"/>
      <c r="EO66" s="31" t="str">
        <f>IF(EN66/(INDEX('Standards for Conversions'!$H$34:$H$73,MATCH(EM$3,'Standards for Conversions'!$A$34:$A$73,0)))=0,"",EN66/(INDEX('Standards for Conversions'!$H$34:$H$73,MATCH(EM$3,'Standards for Conversions'!$A$34:$A$73,0))))</f>
        <v/>
      </c>
      <c r="EP66" s="10" t="s">
        <v>41</v>
      </c>
      <c r="EQ66" s="7"/>
      <c r="ER66" s="7"/>
      <c r="ES66" s="31" t="str">
        <f>IF(ER66/(INDEX('Standards for Conversions'!$H$34:$H$73,MATCH(EQ$3,'Standards for Conversions'!$A$34:$A$73,0)))=0,"",ER66/(INDEX('Standards for Conversions'!$H$34:$H$73,MATCH(EQ$3,'Standards for Conversions'!$A$34:$A$73,0))))</f>
        <v/>
      </c>
      <c r="ET66" s="10" t="s">
        <v>41</v>
      </c>
      <c r="EU66" s="7"/>
      <c r="EV66" s="7"/>
      <c r="EW66" s="31" t="str">
        <f>IF(EV66/(INDEX('Standards for Conversions'!$H$34:$H$73,MATCH(EU$3,'Standards for Conversions'!$A$34:$A$73,0)))=0,"",EV66/(INDEX('Standards for Conversions'!$H$34:$H$73,MATCH(EU$3,'Standards for Conversions'!$A$34:$A$73,0))))</f>
        <v/>
      </c>
      <c r="EX66" s="10" t="s">
        <v>41</v>
      </c>
      <c r="EY66" s="9"/>
      <c r="EZ66" s="9"/>
      <c r="FA66" s="31" t="str">
        <f>IF(EZ66/(INDEX('Standards for Conversions'!$H$34:$H$73,MATCH(EY$3,'Standards for Conversions'!$A$34:$A$73,0)))=0,"",EZ66/(INDEX('Standards for Conversions'!$H$34:$H$73,MATCH(EY$3,'Standards for Conversions'!$A$34:$A$73,0))))</f>
        <v/>
      </c>
      <c r="FB66" s="10" t="s">
        <v>41</v>
      </c>
      <c r="FC66" s="7"/>
      <c r="FD66" s="7"/>
      <c r="FE66" s="31" t="str">
        <f>IF(FD66/(INDEX('Standards for Conversions'!$H$34:$H$73,MATCH(FC$3,'Standards for Conversions'!$A$34:$A$73,0)))=0,"",FD66/(INDEX('Standards for Conversions'!$H$34:$H$73,MATCH(FC$3,'Standards for Conversions'!$A$34:$A$73,0))))</f>
        <v/>
      </c>
      <c r="FF66" s="10" t="s">
        <v>41</v>
      </c>
      <c r="FG66" s="7"/>
      <c r="FH66" s="7"/>
      <c r="FI66" s="31" t="str">
        <f>IF(FH66/(INDEX('Standards for Conversions'!$H$34:$H$73,MATCH(FG$3,'Standards for Conversions'!$A$34:$A$73,0)))=0,"",FH66/(INDEX('Standards for Conversions'!$H$34:$H$73,MATCH(FG$3,'Standards for Conversions'!$A$34:$A$73,0))))</f>
        <v/>
      </c>
      <c r="FJ66" s="10" t="s">
        <v>41</v>
      </c>
      <c r="FK66" s="7"/>
      <c r="FL66" s="7"/>
      <c r="FM66" s="31" t="str">
        <f>IF(FL66/(INDEX('Standards for Conversions'!$H$34:$H$73,MATCH(FK$3,'Standards for Conversions'!$A$34:$A$73,0)))=0,"",FL66/(INDEX('Standards for Conversions'!$H$34:$H$73,MATCH(FK$3,'Standards for Conversions'!$A$34:$A$73,0))))</f>
        <v/>
      </c>
      <c r="FN66" s="10" t="s">
        <v>41</v>
      </c>
      <c r="FO66" s="9"/>
      <c r="FP66" s="9"/>
      <c r="FQ66" s="31" t="str">
        <f>IF(FP66/(INDEX('Standards for Conversions'!$H$34:$H$73,MATCH(FO$3,'Standards for Conversions'!$A$34:$A$73,0)))=0,"",FP66/(INDEX('Standards for Conversions'!$H$34:$H$73,MATCH(FO$3,'Standards for Conversions'!$A$34:$A$73,0))))</f>
        <v/>
      </c>
      <c r="FR66" s="10" t="s">
        <v>41</v>
      </c>
      <c r="FS66" s="7"/>
      <c r="FT66" s="7"/>
      <c r="FU66" s="31" t="str">
        <f>IF(FT66/(INDEX('Standards for Conversions'!$H$34:$H$73,MATCH(FS$3,'Standards for Conversions'!$A$34:$A$73,0)))=0,"",FT66/(INDEX('Standards for Conversions'!$H$34:$H$73,MATCH(FS$3,'Standards for Conversions'!$A$34:$A$73,0))))</f>
        <v/>
      </c>
      <c r="FV66" s="10" t="s">
        <v>41</v>
      </c>
      <c r="FW66" s="7"/>
      <c r="FX66" s="7"/>
      <c r="FY66" s="31" t="str">
        <f>IF(FX66/(INDEX('Standards for Conversions'!$H$34:$H$73,MATCH(FW$3,'Standards for Conversions'!$A$34:$A$73,0)))=0,"",FX66/(INDEX('Standards for Conversions'!$H$34:$H$73,MATCH(FW$3,'Standards for Conversions'!$A$34:$A$73,0))))</f>
        <v/>
      </c>
      <c r="FZ66" s="10" t="s">
        <v>41</v>
      </c>
      <c r="GA66" s="7"/>
      <c r="GB66" s="7"/>
      <c r="GC66" s="31" t="str">
        <f>IF(GB66/(INDEX('Standards for Conversions'!$H$34:$H$73,MATCH(GA$3,'Standards for Conversions'!$A$34:$A$73,0)))=0,"",GB66/(INDEX('Standards for Conversions'!$H$34:$H$73,MATCH(GA$3,'Standards for Conversions'!$A$34:$A$73,0))))</f>
        <v/>
      </c>
      <c r="GD66" s="10" t="s">
        <v>41</v>
      </c>
      <c r="GE66" s="9"/>
      <c r="GF66" s="9"/>
      <c r="GG66" s="31" t="str">
        <f>IF(GF66/(INDEX('Standards for Conversions'!$H$34:$H$73,MATCH(GE$3,'Standards for Conversions'!$A$34:$A$73,0)))=0,"",GF66/(INDEX('Standards for Conversions'!$H$34:$H$73,MATCH(GE$3,'Standards for Conversions'!$A$34:$A$73,0))))</f>
        <v/>
      </c>
      <c r="GH66" s="10" t="s">
        <v>41</v>
      </c>
      <c r="GI66" s="7"/>
      <c r="GJ66" s="7"/>
      <c r="GK66" s="31" t="str">
        <f>IF(GJ66/(INDEX('Standards for Conversions'!$H$34:$H$73,MATCH(GI$3,'Standards for Conversions'!$A$34:$A$73,0)))=0,"",GJ66/(INDEX('Standards for Conversions'!$H$34:$H$73,MATCH(GI$3,'Standards for Conversions'!$A$34:$A$73,0))))</f>
        <v/>
      </c>
      <c r="GL66" s="10" t="s">
        <v>41</v>
      </c>
      <c r="GM66" s="7"/>
      <c r="GN66" s="7"/>
      <c r="GO66" s="31" t="str">
        <f>IF(GN66/(INDEX('Standards for Conversions'!$H$34:$H$73,MATCH(GM$3,'Standards for Conversions'!$A$34:$A$73,0)))=0,"",GN66/(INDEX('Standards for Conversions'!$H$34:$H$73,MATCH(GM$3,'Standards for Conversions'!$A$34:$A$73,0))))</f>
        <v/>
      </c>
      <c r="GP66" s="10" t="s">
        <v>41</v>
      </c>
      <c r="GQ66" s="7"/>
      <c r="GR66" s="7"/>
      <c r="GS66" s="31" t="str">
        <f>IF(GR66/(INDEX('Standards for Conversions'!$H$34:$H$73,MATCH(GQ$3,'Standards for Conversions'!$A$34:$A$73,0)))=0,"",GR66/(INDEX('Standards for Conversions'!$H$34:$H$73,MATCH(GQ$3,'Standards for Conversions'!$A$34:$A$73,0))))</f>
        <v/>
      </c>
      <c r="GT66" s="10" t="s">
        <v>41</v>
      </c>
      <c r="GU66" s="9"/>
      <c r="GV66" s="9"/>
      <c r="GW66" s="31" t="str">
        <f>IF(GV66/(INDEX('Standards for Conversions'!$H$34:$H$73,MATCH(GU$3,'Standards for Conversions'!$A$34:$A$73,0)))=0,"",GV66/(INDEX('Standards for Conversions'!$H$34:$H$73,MATCH(GU$3,'Standards for Conversions'!$A$34:$A$73,0))))</f>
        <v/>
      </c>
      <c r="GX66" s="10" t="s">
        <v>41</v>
      </c>
      <c r="GY66" s="7"/>
      <c r="GZ66" s="7"/>
      <c r="HA66" s="31" t="str">
        <f>IF(GZ66/(INDEX('Standards for Conversions'!$H$34:$H$73,MATCH(GY$3,'Standards for Conversions'!$A$34:$A$73,0)))=0,"",GZ66/(INDEX('Standards for Conversions'!$H$34:$H$73,MATCH(GY$3,'Standards for Conversions'!$A$34:$A$73,0))))</f>
        <v/>
      </c>
      <c r="HB66" s="10" t="s">
        <v>41</v>
      </c>
      <c r="HC66" s="7"/>
      <c r="HD66" s="7"/>
      <c r="HE66" s="31" t="str">
        <f>IF(HD66/(INDEX('Standards for Conversions'!$H$34:$H$73,MATCH(HC$3,'Standards for Conversions'!$A$34:$A$73,0)))=0,"",HD66/(INDEX('Standards for Conversions'!$H$34:$H$73,MATCH(HC$3,'Standards for Conversions'!$A$34:$A$73,0))))</f>
        <v/>
      </c>
      <c r="HF66" s="10" t="s">
        <v>41</v>
      </c>
      <c r="HG66" s="7"/>
      <c r="HH66" s="7"/>
      <c r="HI66" s="31" t="str">
        <f>IF(HH66/(INDEX('Standards for Conversions'!$H$34:$H$73,MATCH(HG$3,'Standards for Conversions'!$A$34:$A$73,0)))=0,"",HH66/(INDEX('Standards for Conversions'!$H$34:$H$73,MATCH(HG$3,'Standards for Conversions'!$A$34:$A$73,0))))</f>
        <v/>
      </c>
      <c r="HJ66" s="10" t="s">
        <v>41</v>
      </c>
      <c r="HK66" s="9"/>
      <c r="HL66" s="9"/>
      <c r="HM66" s="31" t="str">
        <f>IF(HL66/(INDEX('Standards for Conversions'!$H$34:$H$73,MATCH(HK$3,'Standards for Conversions'!$A$34:$A$73,0)))=0,"",HL66/(INDEX('Standards for Conversions'!$H$34:$H$73,MATCH(HK$3,'Standards for Conversions'!$A$34:$A$73,0))))</f>
        <v/>
      </c>
      <c r="HN66" s="10" t="s">
        <v>41</v>
      </c>
      <c r="HO66" s="7"/>
      <c r="HP66" s="7"/>
      <c r="HQ66" s="31" t="str">
        <f>IF(HP66/(INDEX('Standards for Conversions'!$H$34:$H$73,MATCH(HO$3,'Standards for Conversions'!$A$34:$A$73,0)))=0,"",HP66/(INDEX('Standards for Conversions'!$H$34:$H$73,MATCH(HO$3,'Standards for Conversions'!$A$34:$A$73,0))))</f>
        <v/>
      </c>
      <c r="HR66" s="33" t="s">
        <v>41</v>
      </c>
      <c r="HU66" s="31" t="str">
        <f>IF(HT66/(INDEX('Standards for Conversions'!$H$47:$H$73,MATCH(HS$3,'Standards for Conversions'!$A$47:$A$73,0)))=0,"",HT66/(INDEX('Standards for Conversions'!$H$47:$H$73,MATCH(HS$3,'Standards for Conversions'!$A$47:$A$73,0))))</f>
        <v/>
      </c>
      <c r="HV66" s="33" t="s">
        <v>41</v>
      </c>
      <c r="HY66" s="31" t="str">
        <f>IF(HX66/(INDEX('Standards for Conversions'!$H$47:$H$73,MATCH(HW$3,'Standards for Conversions'!$A$47:$A$73,0)))=0,"",HX66/(INDEX('Standards for Conversions'!$H$47:$H$73,MATCH(HW$3,'Standards for Conversions'!$A$47:$A$73,0))))</f>
        <v/>
      </c>
      <c r="HZ66" s="33"/>
      <c r="IA66" s="33"/>
      <c r="IB66" s="31" t="str">
        <f>IF(IA66/(INDEX('Standards for Conversions'!$H$47:$H$73,MATCH(HZ$3,'Standards for Conversions'!$A$47:$A$73,0)))=0,"",IA66/(INDEX('Standards for Conversions'!$H$47:$H$73,MATCH(HZ$3,'Standards for Conversions'!$A$47:$A$73,0))))</f>
        <v/>
      </c>
      <c r="IC66" s="33" t="s">
        <v>41</v>
      </c>
      <c r="ID66" s="29">
        <v>50</v>
      </c>
      <c r="IE66" s="29">
        <v>5000</v>
      </c>
      <c r="IF66" s="31">
        <f>IF(IE66/(INDEX('Standards for Conversions'!$H$47:$H$73,MATCH(ID$3,'Standards for Conversions'!$A$47:$A$73,0)))=0,"",IE66/(INDEX('Standards for Conversions'!$H$47:$H$73,MATCH(ID$3,'Standards for Conversions'!$A$47:$A$73,0))))</f>
        <v>726.22706106427984</v>
      </c>
      <c r="IG66" s="33" t="s">
        <v>41</v>
      </c>
      <c r="IJ66" s="31" t="str">
        <f>IF(II66/(INDEX('Standards for Conversions'!$H$47:$H$73,MATCH(IH$3,'Standards for Conversions'!$A$47:$A$73,0)))=0,"",II66/(INDEX('Standards for Conversions'!$H$47:$H$73,MATCH(IH$3,'Standards for Conversions'!$A$47:$A$73,0))))</f>
        <v/>
      </c>
      <c r="IK66" s="33" t="s">
        <v>41</v>
      </c>
      <c r="IN66" s="31" t="str">
        <f>IF(IM66/(INDEX('Standards for Conversions'!$H$47:$H$73,MATCH(IL$3,'Standards for Conversions'!$A$47:$A$73,0)))=0,"",IM66/(INDEX('Standards for Conversions'!$H$47:$H$73,MATCH(IL$3,'Standards for Conversions'!$A$47:$A$73,0))))</f>
        <v/>
      </c>
      <c r="IO66" s="33" t="s">
        <v>41</v>
      </c>
      <c r="IR66" s="31" t="str">
        <f>IF(IQ66/(INDEX('Standards for Conversions'!$H$47:$H$73,MATCH(IP$3,'Standards for Conversions'!$A$47:$A$73,0)))=0,"",IQ66/(INDEX('Standards for Conversions'!$H$47:$H$73,MATCH(IP$3,'Standards for Conversions'!$A$47:$A$73,0))))</f>
        <v/>
      </c>
      <c r="IS66" s="33" t="s">
        <v>41</v>
      </c>
      <c r="IT66" s="29">
        <v>40</v>
      </c>
      <c r="IU66" s="29">
        <v>3103</v>
      </c>
      <c r="IV66" s="31">
        <f>IF(IU66/(INDEX('Standards for Conversions'!$H$47:$H$73,MATCH(IT$3,'Standards for Conversions'!$A$47:$A$73,0)))=0,"",IU66/(INDEX('Standards for Conversions'!$H$47:$H$73,MATCH(IT$3,'Standards for Conversions'!$A$47:$A$73,0))))</f>
        <v>448.72553808732363</v>
      </c>
      <c r="IW66" s="33" t="s">
        <v>41</v>
      </c>
      <c r="IZ66" s="31" t="str">
        <f>IF(IY66/(INDEX('Standards for Conversions'!$H$47:$H$73,MATCH(IX$3,'Standards for Conversions'!$A$47:$A$73,0)))=0,"",IY66/(INDEX('Standards for Conversions'!$H$47:$H$73,MATCH(IX$3,'Standards for Conversions'!$A$47:$A$73,0))))</f>
        <v/>
      </c>
      <c r="JA66" s="33" t="s">
        <v>41</v>
      </c>
      <c r="JD66" s="31" t="str">
        <f>IF(JC66/(INDEX('Standards for Conversions'!$H$47:$H$73,MATCH(JB$3,'Standards for Conversions'!$A$47:$A$73,0)))=0,"",JC66/(INDEX('Standards for Conversions'!$H$47:$H$73,MATCH(JB$3,'Standards for Conversions'!$A$47:$A$73,0))))</f>
        <v/>
      </c>
      <c r="JE66" s="33" t="s">
        <v>41</v>
      </c>
      <c r="JH66" s="31" t="str">
        <f>IF(JG66/(INDEX('Standards for Conversions'!$H$47:$H$73,MATCH(JF$3,'Standards for Conversions'!$A$47:$A$73,0)))=0,"",JG66/(INDEX('Standards for Conversions'!$H$47:$H$73,MATCH(JF$3,'Standards for Conversions'!$A$47:$A$73,0))))</f>
        <v/>
      </c>
      <c r="JI66" s="48" t="s">
        <v>41</v>
      </c>
      <c r="JJ66" s="29">
        <v>51</v>
      </c>
      <c r="JK66" s="29">
        <v>3100</v>
      </c>
      <c r="JL66" s="31">
        <f>IF(JK66/(INDEX('Standards for Conversions'!$H$47:$H$73,MATCH(JJ$3,'Standards for Conversions'!$A$47:$A$73,0)))=0,"",JK66/(INDEX('Standards for Conversions'!$H$47:$H$73,MATCH(JJ$3,'Standards for Conversions'!$A$47:$A$73,0))))</f>
        <v>501.45660974479296</v>
      </c>
      <c r="JM66" s="33" t="s">
        <v>41</v>
      </c>
      <c r="JP66" s="31" t="str">
        <f>IF(JO66/(INDEX('Standards for Conversions'!$H$47:$H$73,MATCH(JN$3,'Standards for Conversions'!$A$47:$A$73,0)))=0,"",JO66/(INDEX('Standards for Conversions'!$H$47:$H$73,MATCH(JN$3,'Standards for Conversions'!$A$47:$A$73,0))))</f>
        <v/>
      </c>
      <c r="JQ66" s="33" t="s">
        <v>41</v>
      </c>
      <c r="JT66" s="31" t="str">
        <f>IF(JS66/(INDEX('Standards for Conversions'!$H$47:$H$73,MATCH(JR$3,'Standards for Conversions'!$A$47:$A$73,0)))=0,"",JS66/(INDEX('Standards for Conversions'!$H$47:$H$73,MATCH(JR$3,'Standards for Conversions'!$A$47:$A$73,0))))</f>
        <v/>
      </c>
      <c r="JU66" s="33" t="s">
        <v>41</v>
      </c>
      <c r="JX66" s="31" t="str">
        <f>IF(JW66/(INDEX('Standards for Conversions'!$H$47:$H$73,MATCH(JV$3,'Standards for Conversions'!$A$47:$A$73,0)))=0,"",JW66/(INDEX('Standards for Conversions'!$H$47:$H$73,MATCH(JV$3,'Standards for Conversions'!$A$47:$A$73,0))))</f>
        <v/>
      </c>
      <c r="JY66" s="33" t="s">
        <v>41</v>
      </c>
      <c r="JZ66" s="29">
        <v>60</v>
      </c>
      <c r="KA66" s="29">
        <v>3600</v>
      </c>
      <c r="KB66" s="31">
        <f>IF(KA66/(INDEX('Standards for Conversions'!$H$47:$H$73,MATCH(JZ$3,'Standards for Conversions'!$A$47:$A$73,0)))=0,"",KA66/(INDEX('Standards for Conversions'!$H$47:$H$73,MATCH(JZ$3,'Standards for Conversions'!$A$47:$A$73,0))))</f>
        <v>549.56121274007126</v>
      </c>
      <c r="KC66" s="33" t="s">
        <v>41</v>
      </c>
      <c r="KF66" s="31" t="str">
        <f>IF(KE66/(INDEX('Standards for Conversions'!$H$47:$H$73,MATCH(KD$3,'Standards for Conversions'!$A$47:$A$73,0)))=0,"",KE66/(INDEX('Standards for Conversions'!$H$47:$H$73,MATCH(KD$3,'Standards for Conversions'!$A$47:$A$73,0))))</f>
        <v/>
      </c>
      <c r="KG66" s="33" t="s">
        <v>41</v>
      </c>
      <c r="KJ66" s="31" t="str">
        <f>IF(KI66/(INDEX('Standards for Conversions'!$H$47:$H$73,MATCH(KH$3,'Standards for Conversions'!$A$47:$A$73,0)))=0,"",KI66/(INDEX('Standards for Conversions'!$H$47:$H$73,MATCH(KH$3,'Standards for Conversions'!$A$47:$A$73,0))))</f>
        <v/>
      </c>
      <c r="KK66" s="33" t="s">
        <v>41</v>
      </c>
      <c r="KN66" s="31" t="str">
        <f>IF(KM66/(INDEX('Standards for Conversions'!$H$47:$H$73,MATCH(KL$3,'Standards for Conversions'!$A$47:$A$73,0)))=0,"",KM66/(INDEX('Standards for Conversions'!$H$47:$H$73,MATCH(KL$3,'Standards for Conversions'!$A$47:$A$73,0))))</f>
        <v/>
      </c>
      <c r="KO66" s="33" t="s">
        <v>41</v>
      </c>
      <c r="KP66" s="29">
        <v>50</v>
      </c>
      <c r="KQ66" s="29">
        <v>2500</v>
      </c>
      <c r="KR66" s="31">
        <f>IF(KQ66/(INDEX('Standards for Conversions'!$H$47:$H$73,MATCH(KP$3,'Standards for Conversions'!$A$47:$A$73,0)))=0,"",KQ66/(INDEX('Standards for Conversions'!$H$47:$H$73,MATCH(KP$3,'Standards for Conversions'!$A$47:$A$73,0))))</f>
        <v>336.64752976449114</v>
      </c>
      <c r="KS66" s="33" t="s">
        <v>41</v>
      </c>
      <c r="KV66" s="31" t="str">
        <f>IF(KU66/(INDEX('Standards for Conversions'!$H$47:$H$73,MATCH(KT$3,'Standards for Conversions'!$A$47:$A$73,0)))=0,"",KU66/(INDEX('Standards for Conversions'!$H$47:$H$73,MATCH(KT$3,'Standards for Conversions'!$A$47:$A$73,0))))</f>
        <v/>
      </c>
      <c r="KW66" s="33" t="s">
        <v>41</v>
      </c>
      <c r="KZ66" s="31" t="str">
        <f>IF(KY66/(INDEX('Standards for Conversions'!$H$47:$H$73,MATCH(KX$3,'Standards for Conversions'!$A$47:$A$73,0)))=0,"",KY66/(INDEX('Standards for Conversions'!$H$47:$H$73,MATCH(KX$3,'Standards for Conversions'!$A$47:$A$73,0))))</f>
        <v/>
      </c>
      <c r="LA66" s="33" t="s">
        <v>41</v>
      </c>
      <c r="LD66" s="31" t="str">
        <f>IF(LC66/(INDEX('Standards for Conversions'!$H$47:$H$73,MATCH(LB$3,'Standards for Conversions'!$A$47:$A$73,0)))=0,"",LC66/(INDEX('Standards for Conversions'!$H$47:$H$73,MATCH(LB$3,'Standards for Conversions'!$A$47:$A$73,0))))</f>
        <v/>
      </c>
      <c r="LE66" s="48" t="s">
        <v>41</v>
      </c>
      <c r="LF66" s="29">
        <v>29</v>
      </c>
      <c r="LG66" s="29">
        <v>1755</v>
      </c>
      <c r="LH66" s="31">
        <f>IF(LG66/(INDEX('Standards for Conversions'!$H$47:$H$73,MATCH(LF$3,'Standards for Conversions'!$A$47:$A$73,0)))=0,"",LG66/(INDEX('Standards for Conversions'!$H$47:$H$73,MATCH(LF$3,'Standards for Conversions'!$A$47:$A$73,0))))</f>
        <v>213.43707460676106</v>
      </c>
      <c r="LL66" s="31" t="str">
        <f>IF(LK66/(INDEX('Standards for Conversions'!$H$47:$H$73,MATCH(LJ$3,'Standards for Conversions'!$A$47:$A$73,0)))=0,"",LK66/(INDEX('Standards for Conversions'!$H$47:$H$73,MATCH(LJ$3,'Standards for Conversions'!$A$47:$A$73,0))))</f>
        <v/>
      </c>
      <c r="LO66" s="31" t="str">
        <f>IF(LN66/(INDEX('Standards for Conversions'!$H$47:$H$73,MATCH(LM$3,'Standards for Conversions'!$A$47:$A$73,0)))=0,"",LN66/(INDEX('Standards for Conversions'!$H$47:$H$73,MATCH(LM$3,'Standards for Conversions'!$A$47:$A$73,0))))</f>
        <v/>
      </c>
      <c r="LR66" s="31" t="str">
        <f>IF(LQ66/(INDEX('Standards for Conversions'!$H$47:$H$73,MATCH(LP$3,'Standards for Conversions'!$A$47:$A$73,0)))=0,"",LQ66/(INDEX('Standards for Conversions'!$H$47:$H$73,MATCH(LP$3,'Standards for Conversions'!$A$47:$A$73,0))))</f>
        <v/>
      </c>
      <c r="LV66" s="31" t="str">
        <f>IF(LU66/(INDEX('Standards for Conversions'!$H$47:$H$73,MATCH(LT$3,'Standards for Conversions'!$A$47:$A$73,0)))=0,"",LU66/(INDEX('Standards for Conversions'!$H$47:$H$73,MATCH(LT$3,'Standards for Conversions'!$A$47:$A$73,0))))</f>
        <v/>
      </c>
      <c r="LY66" s="31" t="str">
        <f>IF(LX66/(INDEX('Standards for Conversions'!$H$47:$H$73,MATCH(LW$3,'Standards for Conversions'!$A$47:$A$73,0)))=0,"",LX66/(INDEX('Standards for Conversions'!$H$47:$H$73,MATCH(LW$3,'Standards for Conversions'!$A$47:$A$73,0))))</f>
        <v/>
      </c>
      <c r="MB66" s="31" t="str">
        <f>IF(MA66/(INDEX('Standards for Conversions'!$H$47:$H$73,MATCH(LZ$3,'Standards for Conversions'!$A$47:$A$73,0)))=0,"",MA66/(INDEX('Standards for Conversions'!$H$47:$H$73,MATCH(LZ$3,'Standards for Conversions'!$A$47:$A$73,0))))</f>
        <v/>
      </c>
      <c r="ME66" s="31" t="str">
        <f>IF(MD66/(INDEX('Standards for Conversions'!$H$47:$H$73,MATCH(MC$3,'Standards for Conversions'!$A$47:$A$73,0)))=0,"",MD66/(INDEX('Standards for Conversions'!$H$47:$H$73,MATCH(MC$3,'Standards for Conversions'!$A$47:$A$73,0))))</f>
        <v/>
      </c>
      <c r="MH66" s="31" t="str">
        <f>IF(MG66/(INDEX('Standards for Conversions'!$H$47:$H$73,MATCH(MF$3,'Standards for Conversions'!$A$47:$A$73,0)))=0,"",MG66/(INDEX('Standards for Conversions'!$H$47:$H$73,MATCH(MF$3,'Standards for Conversions'!$A$47:$A$73,0))))</f>
        <v/>
      </c>
      <c r="MK66" s="31" t="str">
        <f>IF(MJ66/(INDEX('Standards for Conversions'!$H$47:$H$73,MATCH(MI$3,'Standards for Conversions'!$A$47:$A$73,0)))=0,"",MJ66/(INDEX('Standards for Conversions'!$H$47:$H$73,MATCH(MI$3,'Standards for Conversions'!$A$47:$A$73,0))))</f>
        <v/>
      </c>
      <c r="MN66" s="31" t="str">
        <f>IF(MM66/(INDEX('Standards for Conversions'!$H$47:$H$73,MATCH(ML$3,'Standards for Conversions'!$A$47:$A$73,0)))=0,"",MM66/(INDEX('Standards for Conversions'!$H$47:$H$73,MATCH(ML$3,'Standards for Conversions'!$A$47:$A$73,0))))</f>
        <v/>
      </c>
      <c r="MQ66" s="33"/>
      <c r="MR66" s="31" t="str">
        <f>IF(MQ66/(INDEX('Standards for Conversions'!$H$47:$H$73,MATCH(MP$3,'Standards for Conversions'!$A$47:$A$73,0)))=0,"",MQ66/(INDEX('Standards for Conversions'!$H$47:$H$73,MATCH(MP$3,'Standards for Conversions'!$A$47:$A$73,0))))</f>
        <v/>
      </c>
    </row>
    <row r="67" spans="1:369" hidden="1" x14ac:dyDescent="0.3">
      <c r="A67" s="103" t="s">
        <v>242</v>
      </c>
      <c r="B67" s="10" t="s">
        <v>40</v>
      </c>
      <c r="C67" s="7"/>
      <c r="D67" s="7"/>
      <c r="E67" s="31" t="str">
        <f>IF(D67/(INDEX('Standards for Conversions'!$H$34:$H$73,MATCH(C$3,'Standards for Conversions'!$A$34:$A$73,0)))=0,"",D67/(INDEX('Standards for Conversions'!$H$34:$H$73,MATCH(C$3,'Standards for Conversions'!$A$34:$A$73,0))))</f>
        <v/>
      </c>
      <c r="F67" s="10" t="s">
        <v>40</v>
      </c>
      <c r="G67" s="7"/>
      <c r="H67" s="7"/>
      <c r="I67" s="31" t="str">
        <f>IF(H67/(INDEX('Standards for Conversions'!$H$34:$H$73,MATCH(G$3,'Standards for Conversions'!$A$34:$A$73,0)))=0,"",H67/(INDEX('Standards for Conversions'!$H$34:$H$73,MATCH(G$3,'Standards for Conversions'!$A$34:$A$73,0))))</f>
        <v/>
      </c>
      <c r="J67" s="10" t="s">
        <v>40</v>
      </c>
      <c r="K67" s="9"/>
      <c r="L67" s="9"/>
      <c r="M67" s="31" t="str">
        <f>IF(L67/(INDEX('Standards for Conversions'!$H$34:$H$73,MATCH(K$3,'Standards for Conversions'!$A$34:$A$73,0)))=0,"",L67/(INDEX('Standards for Conversions'!$H$34:$H$73,MATCH(K$3,'Standards for Conversions'!$A$34:$A$73,0))))</f>
        <v/>
      </c>
      <c r="N67" s="10" t="s">
        <v>40</v>
      </c>
      <c r="O67" s="7"/>
      <c r="P67" s="7"/>
      <c r="Q67" s="31" t="str">
        <f>IF(P67/(INDEX('Standards for Conversions'!$H$34:$H$73,MATCH(O$3,'Standards for Conversions'!$A$34:$A$73,0)))=0,"",P67/(INDEX('Standards for Conversions'!$H$34:$H$73,MATCH(O$3,'Standards for Conversions'!$A$34:$A$73,0))))</f>
        <v/>
      </c>
      <c r="R67" s="10" t="s">
        <v>40</v>
      </c>
      <c r="S67" s="7"/>
      <c r="T67" s="7"/>
      <c r="U67" s="31" t="str">
        <f>IF(T67/(INDEX('Standards for Conversions'!$H$34:$H$73,MATCH(S$3,'Standards for Conversions'!$A$34:$A$73,0)))=0,"",T67/(INDEX('Standards for Conversions'!$H$34:$H$73,MATCH(S$3,'Standards for Conversions'!$A$34:$A$73,0))))</f>
        <v/>
      </c>
      <c r="V67" s="10" t="s">
        <v>40</v>
      </c>
      <c r="W67" s="7"/>
      <c r="X67" s="7"/>
      <c r="Y67" s="31" t="str">
        <f>IF(X67/(INDEX('Standards for Conversions'!$H$34:$H$73,MATCH(W$3,'Standards for Conversions'!$A$34:$A$73,0)))=0,"",X67/(INDEX('Standards for Conversions'!$H$34:$H$73,MATCH(W$3,'Standards for Conversions'!$A$34:$A$73,0))))</f>
        <v/>
      </c>
      <c r="Z67" s="10" t="s">
        <v>40</v>
      </c>
      <c r="AA67" s="9"/>
      <c r="AB67" s="9"/>
      <c r="AC67" s="31" t="str">
        <f>IF(AB67/(INDEX('Standards for Conversions'!$H$34:$H$73,MATCH(AA$3,'Standards for Conversions'!$A$34:$A$73,0)))=0,"",AB67/(INDEX('Standards for Conversions'!$H$34:$H$73,MATCH(AA$3,'Standards for Conversions'!$A$34:$A$73,0))))</f>
        <v/>
      </c>
      <c r="AD67" s="10" t="s">
        <v>40</v>
      </c>
      <c r="AE67" s="7"/>
      <c r="AF67" s="7"/>
      <c r="AG67" s="31" t="str">
        <f>IF(AF67/(INDEX('Standards for Conversions'!$H$34:$H$73,MATCH(AE$3,'Standards for Conversions'!$A$34:$A$73,0)))=0,"",AF67/(INDEX('Standards for Conversions'!$H$34:$H$73,MATCH(AE$3,'Standards for Conversions'!$A$34:$A$73,0))))</f>
        <v/>
      </c>
      <c r="AH67" s="10" t="s">
        <v>40</v>
      </c>
      <c r="AI67" s="7"/>
      <c r="AJ67" s="7"/>
      <c r="AK67" s="31" t="str">
        <f>IF(AJ67/(INDEX('Standards for Conversions'!$H$34:$H$73,MATCH(AI$3,'Standards for Conversions'!$A$34:$A$73,0)))=0,"",AJ67/(INDEX('Standards for Conversions'!$H$34:$H$73,MATCH(AI$3,'Standards for Conversions'!$A$34:$A$73,0))))</f>
        <v/>
      </c>
      <c r="AL67" s="10" t="s">
        <v>40</v>
      </c>
      <c r="AM67" s="7"/>
      <c r="AN67" s="7"/>
      <c r="AO67" s="31" t="str">
        <f>IF(AN67/(INDEX('Standards for Conversions'!$H$34:$H$73,MATCH(AM$3,'Standards for Conversions'!$A$34:$A$73,0)))=0,"",AN67/(INDEX('Standards for Conversions'!$H$34:$H$73,MATCH(AM$3,'Standards for Conversions'!$A$34:$A$73,0))))</f>
        <v/>
      </c>
      <c r="AP67" s="10" t="s">
        <v>40</v>
      </c>
      <c r="AQ67" s="9"/>
      <c r="AR67" s="9"/>
      <c r="AS67" s="31" t="str">
        <f>IF(AR67/(INDEX('Standards for Conversions'!$H$34:$H$73,MATCH(AQ$3,'Standards for Conversions'!$A$34:$A$73,0)))=0,"",AR67/(INDEX('Standards for Conversions'!$H$34:$H$73,MATCH(AQ$3,'Standards for Conversions'!$A$34:$A$73,0))))</f>
        <v/>
      </c>
      <c r="AT67" s="10" t="s">
        <v>40</v>
      </c>
      <c r="AU67" s="7"/>
      <c r="AV67" s="7"/>
      <c r="AW67" s="31" t="str">
        <f>IF(AV67/(INDEX('Standards for Conversions'!$H$34:$H$73,MATCH(AU$3,'Standards for Conversions'!$A$34:$A$73,0)))=0,"",AV67/(INDEX('Standards for Conversions'!$H$34:$H$73,MATCH(AU$3,'Standards for Conversions'!$A$34:$A$73,0))))</f>
        <v/>
      </c>
      <c r="AX67" s="10" t="s">
        <v>40</v>
      </c>
      <c r="AY67" s="7"/>
      <c r="AZ67" s="7"/>
      <c r="BA67" s="31" t="str">
        <f>IF(AZ67/(INDEX('Standards for Conversions'!$H$34:$H$73,MATCH(AY$3,'Standards for Conversions'!$A$34:$A$73,0)))=0,"",AZ67/(INDEX('Standards for Conversions'!$H$34:$H$73,MATCH(AY$3,'Standards for Conversions'!$A$34:$A$73,0))))</f>
        <v/>
      </c>
      <c r="BB67" s="10" t="s">
        <v>40</v>
      </c>
      <c r="BC67" s="7"/>
      <c r="BD67" s="7"/>
      <c r="BE67" s="31" t="str">
        <f>IF(BD67/(INDEX('Standards for Conversions'!$H$34:$H$73,MATCH(BC$3,'Standards for Conversions'!$A$34:$A$73,0)))=0,"",BD67/(INDEX('Standards for Conversions'!$H$34:$H$73,MATCH(BC$3,'Standards for Conversions'!$A$34:$A$73,0))))</f>
        <v/>
      </c>
      <c r="BF67" s="10" t="s">
        <v>40</v>
      </c>
      <c r="BG67" s="9"/>
      <c r="BH67" s="9"/>
      <c r="BI67" s="31" t="str">
        <f>IF(BH67/(INDEX('Standards for Conversions'!$H$34:$H$73,MATCH(BG$3,'Standards for Conversions'!$A$34:$A$73,0)))=0,"",BH67/(INDEX('Standards for Conversions'!$H$34:$H$73,MATCH(BG$3,'Standards for Conversions'!$A$34:$A$73,0))))</f>
        <v/>
      </c>
      <c r="BJ67" s="10" t="s">
        <v>40</v>
      </c>
      <c r="BK67" s="7"/>
      <c r="BL67" s="7"/>
      <c r="BM67" s="31" t="str">
        <f>IF(BL67/(INDEX('Standards for Conversions'!$H$34:$H$73,MATCH(BK$3,'Standards for Conversions'!$A$34:$A$73,0)))=0,"",BL67/(INDEX('Standards for Conversions'!$H$34:$H$73,MATCH(BK$3,'Standards for Conversions'!$A$34:$A$73,0))))</f>
        <v/>
      </c>
      <c r="BN67" s="10" t="s">
        <v>40</v>
      </c>
      <c r="BO67" s="7"/>
      <c r="BP67" s="7"/>
      <c r="BQ67" s="31" t="str">
        <f>IF(BP67/(INDEX('Standards for Conversions'!$H$34:$H$73,MATCH(BO$3,'Standards for Conversions'!$A$34:$A$73,0)))=0,"",BP67/(INDEX('Standards for Conversions'!$H$34:$H$73,MATCH(BO$3,'Standards for Conversions'!$A$34:$A$73,0))))</f>
        <v/>
      </c>
      <c r="BR67" s="10" t="s">
        <v>40</v>
      </c>
      <c r="BS67" s="7"/>
      <c r="BT67" s="7"/>
      <c r="BU67" s="31" t="str">
        <f>IF(BT67/(INDEX('Standards for Conversions'!$H$34:$H$73,MATCH(BS$3,'Standards for Conversions'!$A$34:$A$73,0)))=0,"",BT67/(INDEX('Standards for Conversions'!$H$34:$H$73,MATCH(BS$3,'Standards for Conversions'!$A$34:$A$73,0))))</f>
        <v/>
      </c>
      <c r="BV67" s="10" t="s">
        <v>40</v>
      </c>
      <c r="BW67" s="9"/>
      <c r="BX67" s="9"/>
      <c r="BY67" s="31" t="str">
        <f>IF(BX67/(INDEX('Standards for Conversions'!$H$34:$H$73,MATCH(BW$3,'Standards for Conversions'!$A$34:$A$73,0)))=0,"",BX67/(INDEX('Standards for Conversions'!$H$34:$H$73,MATCH(BW$3,'Standards for Conversions'!$A$34:$A$73,0))))</f>
        <v/>
      </c>
      <c r="BZ67" s="10" t="s">
        <v>40</v>
      </c>
      <c r="CA67" s="7"/>
      <c r="CB67" s="7"/>
      <c r="CC67" s="31" t="str">
        <f>IF(CB67/(INDEX('Standards for Conversions'!$H$34:$H$73,MATCH(CA$3,'Standards for Conversions'!$A$34:$A$73,0)))=0,"",CB67/(INDEX('Standards for Conversions'!$H$34:$H$73,MATCH(CA$3,'Standards for Conversions'!$A$34:$A$73,0))))</f>
        <v/>
      </c>
      <c r="CD67" s="10" t="s">
        <v>40</v>
      </c>
      <c r="CE67" s="7"/>
      <c r="CF67" s="7"/>
      <c r="CG67" s="31" t="str">
        <f>IF(CF67/(INDEX('Standards for Conversions'!$H$34:$H$73,MATCH(CE$3,'Standards for Conversions'!$A$34:$A$73,0)))=0,"",CF67/(INDEX('Standards for Conversions'!$H$34:$H$73,MATCH(CE$3,'Standards for Conversions'!$A$34:$A$73,0))))</f>
        <v/>
      </c>
      <c r="CH67" s="10" t="s">
        <v>40</v>
      </c>
      <c r="CI67" s="7"/>
      <c r="CJ67" s="7"/>
      <c r="CK67" s="31" t="str">
        <f>IF(CJ67/(INDEX('Standards for Conversions'!$H$34:$H$73,MATCH(CI$3,'Standards for Conversions'!$A$34:$A$73,0)))=0,"",CJ67/(INDEX('Standards for Conversions'!$H$34:$H$73,MATCH(CI$3,'Standards for Conversions'!$A$34:$A$73,0))))</f>
        <v/>
      </c>
      <c r="CL67" s="10" t="s">
        <v>40</v>
      </c>
      <c r="CM67" s="9"/>
      <c r="CN67" s="9"/>
      <c r="CO67" s="31" t="str">
        <f>IF(CN67/(INDEX('Standards for Conversions'!$H$34:$H$73,MATCH(CM$3,'Standards for Conversions'!$A$34:$A$73,0)))=0,"",CN67/(INDEX('Standards for Conversions'!$H$34:$H$73,MATCH(CM$3,'Standards for Conversions'!$A$34:$A$73,0))))</f>
        <v/>
      </c>
      <c r="CP67" s="10" t="s">
        <v>40</v>
      </c>
      <c r="CQ67" s="7"/>
      <c r="CR67" s="7"/>
      <c r="CS67" s="31" t="str">
        <f>IF(CR67/(INDEX('Standards for Conversions'!$H$34:$H$73,MATCH(CQ$3,'Standards for Conversions'!$A$34:$A$73,0)))=0,"",CR67/(INDEX('Standards for Conversions'!$H$34:$H$73,MATCH(CQ$3,'Standards for Conversions'!$A$34:$A$73,0))))</f>
        <v/>
      </c>
      <c r="CT67" s="10" t="s">
        <v>40</v>
      </c>
      <c r="CU67" s="7"/>
      <c r="CV67" s="7"/>
      <c r="CW67" s="31" t="str">
        <f>IF(CV67/(INDEX('Standards for Conversions'!$H$34:$H$73,MATCH(CU$3,'Standards for Conversions'!$A$34:$A$73,0)))=0,"",CV67/(INDEX('Standards for Conversions'!$H$34:$H$73,MATCH(CU$3,'Standards for Conversions'!$A$34:$A$73,0))))</f>
        <v/>
      </c>
      <c r="CX67" s="10" t="s">
        <v>40</v>
      </c>
      <c r="CY67" s="7"/>
      <c r="CZ67" s="7"/>
      <c r="DA67" s="31" t="str">
        <f>IF(CZ67/(INDEX('Standards for Conversions'!$H$34:$H$73,MATCH(CY$3,'Standards for Conversions'!$A$34:$A$73,0)))=0,"",CZ67/(INDEX('Standards for Conversions'!$H$34:$H$73,MATCH(CY$3,'Standards for Conversions'!$A$34:$A$73,0))))</f>
        <v/>
      </c>
      <c r="DB67" s="10" t="s">
        <v>40</v>
      </c>
      <c r="DC67" s="9"/>
      <c r="DD67" s="9"/>
      <c r="DE67" s="31" t="str">
        <f>IF(DD67/(INDEX('Standards for Conversions'!$H$34:$H$73,MATCH(DC$3,'Standards for Conversions'!$A$34:$A$73,0)))=0,"",DD67/(INDEX('Standards for Conversions'!$H$34:$H$73,MATCH(DC$3,'Standards for Conversions'!$A$34:$A$73,0))))</f>
        <v/>
      </c>
      <c r="DF67" s="10" t="s">
        <v>40</v>
      </c>
      <c r="DG67" s="7"/>
      <c r="DH67" s="7"/>
      <c r="DI67" s="31" t="str">
        <f>IF(DH67/(INDEX('Standards for Conversions'!$H$34:$H$73,MATCH(DG$3,'Standards for Conversions'!$A$34:$A$73,0)))=0,"",DH67/(INDEX('Standards for Conversions'!$H$34:$H$73,MATCH(DG$3,'Standards for Conversions'!$A$34:$A$73,0))))</f>
        <v/>
      </c>
      <c r="DJ67" s="10" t="s">
        <v>40</v>
      </c>
      <c r="DK67" s="7"/>
      <c r="DL67" s="7"/>
      <c r="DM67" s="31" t="str">
        <f>IF(DL67/(INDEX('Standards for Conversions'!$H$34:$H$73,MATCH(DK$3,'Standards for Conversions'!$A$34:$A$73,0)))=0,"",DL67/(INDEX('Standards for Conversions'!$H$34:$H$73,MATCH(DK$3,'Standards for Conversions'!$A$34:$A$73,0))))</f>
        <v/>
      </c>
      <c r="DN67" s="10" t="s">
        <v>40</v>
      </c>
      <c r="DO67" s="7"/>
      <c r="DP67" s="7"/>
      <c r="DQ67" s="31" t="str">
        <f>IF(DP67/(INDEX('Standards for Conversions'!$H$34:$H$73,MATCH(DO$3,'Standards for Conversions'!$A$34:$A$73,0)))=0,"",DP67/(INDEX('Standards for Conversions'!$H$34:$H$73,MATCH(DO$3,'Standards for Conversions'!$A$34:$A$73,0))))</f>
        <v/>
      </c>
      <c r="DR67" s="10" t="s">
        <v>40</v>
      </c>
      <c r="DS67" s="9"/>
      <c r="DT67" s="9"/>
      <c r="DU67" s="31" t="str">
        <f>IF(DT67/(INDEX('Standards for Conversions'!$H$34:$H$73,MATCH(DS$3,'Standards for Conversions'!$A$34:$A$73,0)))=0,"",DT67/(INDEX('Standards for Conversions'!$H$34:$H$73,MATCH(DS$3,'Standards for Conversions'!$A$34:$A$73,0))))</f>
        <v/>
      </c>
      <c r="DV67" s="10" t="s">
        <v>40</v>
      </c>
      <c r="DW67" s="7"/>
      <c r="DX67" s="7"/>
      <c r="DY67" s="31" t="str">
        <f>IF(DX67/(INDEX('Standards for Conversions'!$H$34:$H$73,MATCH(DW$3,'Standards for Conversions'!$A$34:$A$73,0)))=0,"",DX67/(INDEX('Standards for Conversions'!$H$34:$H$73,MATCH(DW$3,'Standards for Conversions'!$A$34:$A$73,0))))</f>
        <v/>
      </c>
      <c r="DZ67" s="10" t="s">
        <v>40</v>
      </c>
      <c r="EA67" s="7"/>
      <c r="EB67" s="7"/>
      <c r="EC67" s="31" t="str">
        <f>IF(EB67/(INDEX('Standards for Conversions'!$H$34:$H$73,MATCH(EA$3,'Standards for Conversions'!$A$34:$A$73,0)))=0,"",EB67/(INDEX('Standards for Conversions'!$H$34:$H$73,MATCH(EA$3,'Standards for Conversions'!$A$34:$A$73,0))))</f>
        <v/>
      </c>
      <c r="ED67" s="10" t="s">
        <v>40</v>
      </c>
      <c r="EE67" s="7"/>
      <c r="EF67" s="7"/>
      <c r="EG67" s="31" t="str">
        <f>IF(EF67/(INDEX('Standards for Conversions'!$H$34:$H$73,MATCH(EE$3,'Standards for Conversions'!$A$34:$A$73,0)))=0,"",EF67/(INDEX('Standards for Conversions'!$H$34:$H$73,MATCH(EE$3,'Standards for Conversions'!$A$34:$A$73,0))))</f>
        <v/>
      </c>
      <c r="EH67" s="10" t="s">
        <v>40</v>
      </c>
      <c r="EI67" s="9"/>
      <c r="EJ67" s="9"/>
      <c r="EK67" s="31" t="str">
        <f>IF(EJ67/(INDEX('Standards for Conversions'!$H$34:$H$73,MATCH(EI$3,'Standards for Conversions'!$A$34:$A$73,0)))=0,"",EJ67/(INDEX('Standards for Conversions'!$H$34:$H$73,MATCH(EI$3,'Standards for Conversions'!$A$34:$A$73,0))))</f>
        <v/>
      </c>
      <c r="EL67" s="10" t="s">
        <v>40</v>
      </c>
      <c r="EM67" s="7"/>
      <c r="EN67" s="7"/>
      <c r="EO67" s="31" t="str">
        <f>IF(EN67/(INDEX('Standards for Conversions'!$H$34:$H$73,MATCH(EM$3,'Standards for Conversions'!$A$34:$A$73,0)))=0,"",EN67/(INDEX('Standards for Conversions'!$H$34:$H$73,MATCH(EM$3,'Standards for Conversions'!$A$34:$A$73,0))))</f>
        <v/>
      </c>
      <c r="EP67" s="10" t="s">
        <v>40</v>
      </c>
      <c r="EQ67" s="7"/>
      <c r="ER67" s="7"/>
      <c r="ES67" s="31" t="str">
        <f>IF(ER67/(INDEX('Standards for Conversions'!$H$34:$H$73,MATCH(EQ$3,'Standards for Conversions'!$A$34:$A$73,0)))=0,"",ER67/(INDEX('Standards for Conversions'!$H$34:$H$73,MATCH(EQ$3,'Standards for Conversions'!$A$34:$A$73,0))))</f>
        <v/>
      </c>
      <c r="ET67" s="10" t="s">
        <v>40</v>
      </c>
      <c r="EU67" s="7"/>
      <c r="EV67" s="7"/>
      <c r="EW67" s="31" t="str">
        <f>IF(EV67/(INDEX('Standards for Conversions'!$H$34:$H$73,MATCH(EU$3,'Standards for Conversions'!$A$34:$A$73,0)))=0,"",EV67/(INDEX('Standards for Conversions'!$H$34:$H$73,MATCH(EU$3,'Standards for Conversions'!$A$34:$A$73,0))))</f>
        <v/>
      </c>
      <c r="EX67" s="10" t="s">
        <v>40</v>
      </c>
      <c r="EY67" s="9"/>
      <c r="EZ67" s="9"/>
      <c r="FA67" s="31" t="str">
        <f>IF(EZ67/(INDEX('Standards for Conversions'!$H$34:$H$73,MATCH(EY$3,'Standards for Conversions'!$A$34:$A$73,0)))=0,"",EZ67/(INDEX('Standards for Conversions'!$H$34:$H$73,MATCH(EY$3,'Standards for Conversions'!$A$34:$A$73,0))))</f>
        <v/>
      </c>
      <c r="FB67" s="10" t="s">
        <v>40</v>
      </c>
      <c r="FC67" s="7"/>
      <c r="FD67" s="7"/>
      <c r="FE67" s="31" t="str">
        <f>IF(FD67/(INDEX('Standards for Conversions'!$H$34:$H$73,MATCH(FC$3,'Standards for Conversions'!$A$34:$A$73,0)))=0,"",FD67/(INDEX('Standards for Conversions'!$H$34:$H$73,MATCH(FC$3,'Standards for Conversions'!$A$34:$A$73,0))))</f>
        <v/>
      </c>
      <c r="FF67" s="10" t="s">
        <v>40</v>
      </c>
      <c r="FG67" s="7"/>
      <c r="FH67" s="7"/>
      <c r="FI67" s="31" t="str">
        <f>IF(FH67/(INDEX('Standards for Conversions'!$H$34:$H$73,MATCH(FG$3,'Standards for Conversions'!$A$34:$A$73,0)))=0,"",FH67/(INDEX('Standards for Conversions'!$H$34:$H$73,MATCH(FG$3,'Standards for Conversions'!$A$34:$A$73,0))))</f>
        <v/>
      </c>
      <c r="FJ67" s="10" t="s">
        <v>40</v>
      </c>
      <c r="FK67" s="7"/>
      <c r="FL67" s="7"/>
      <c r="FM67" s="31" t="str">
        <f>IF(FL67/(INDEX('Standards for Conversions'!$H$34:$H$73,MATCH(FK$3,'Standards for Conversions'!$A$34:$A$73,0)))=0,"",FL67/(INDEX('Standards for Conversions'!$H$34:$H$73,MATCH(FK$3,'Standards for Conversions'!$A$34:$A$73,0))))</f>
        <v/>
      </c>
      <c r="FN67" s="10" t="s">
        <v>40</v>
      </c>
      <c r="FO67" s="9"/>
      <c r="FP67" s="9"/>
      <c r="FQ67" s="31" t="str">
        <f>IF(FP67/(INDEX('Standards for Conversions'!$H$34:$H$73,MATCH(FO$3,'Standards for Conversions'!$A$34:$A$73,0)))=0,"",FP67/(INDEX('Standards for Conversions'!$H$34:$H$73,MATCH(FO$3,'Standards for Conversions'!$A$34:$A$73,0))))</f>
        <v/>
      </c>
      <c r="FR67" s="10" t="s">
        <v>40</v>
      </c>
      <c r="FS67" s="7"/>
      <c r="FT67" s="7"/>
      <c r="FU67" s="31" t="str">
        <f>IF(FT67/(INDEX('Standards for Conversions'!$H$34:$H$73,MATCH(FS$3,'Standards for Conversions'!$A$34:$A$73,0)))=0,"",FT67/(INDEX('Standards for Conversions'!$H$34:$H$73,MATCH(FS$3,'Standards for Conversions'!$A$34:$A$73,0))))</f>
        <v/>
      </c>
      <c r="FV67" s="10" t="s">
        <v>40</v>
      </c>
      <c r="FW67" s="7"/>
      <c r="FX67" s="7"/>
      <c r="FY67" s="31" t="str">
        <f>IF(FX67/(INDEX('Standards for Conversions'!$H$34:$H$73,MATCH(FW$3,'Standards for Conversions'!$A$34:$A$73,0)))=0,"",FX67/(INDEX('Standards for Conversions'!$H$34:$H$73,MATCH(FW$3,'Standards for Conversions'!$A$34:$A$73,0))))</f>
        <v/>
      </c>
      <c r="FZ67" s="10" t="s">
        <v>40</v>
      </c>
      <c r="GA67" s="7"/>
      <c r="GB67" s="7"/>
      <c r="GC67" s="31" t="str">
        <f>IF(GB67/(INDEX('Standards for Conversions'!$H$34:$H$73,MATCH(GA$3,'Standards for Conversions'!$A$34:$A$73,0)))=0,"",GB67/(INDEX('Standards for Conversions'!$H$34:$H$73,MATCH(GA$3,'Standards for Conversions'!$A$34:$A$73,0))))</f>
        <v/>
      </c>
      <c r="GD67" s="10" t="s">
        <v>40</v>
      </c>
      <c r="GE67" s="9"/>
      <c r="GF67" s="9"/>
      <c r="GG67" s="31" t="str">
        <f>IF(GF67/(INDEX('Standards for Conversions'!$H$34:$H$73,MATCH(GE$3,'Standards for Conversions'!$A$34:$A$73,0)))=0,"",GF67/(INDEX('Standards for Conversions'!$H$34:$H$73,MATCH(GE$3,'Standards for Conversions'!$A$34:$A$73,0))))</f>
        <v/>
      </c>
      <c r="GH67" s="10" t="s">
        <v>40</v>
      </c>
      <c r="GI67" s="7"/>
      <c r="GJ67" s="7"/>
      <c r="GK67" s="31" t="str">
        <f>IF(GJ67/(INDEX('Standards for Conversions'!$H$34:$H$73,MATCH(GI$3,'Standards for Conversions'!$A$34:$A$73,0)))=0,"",GJ67/(INDEX('Standards for Conversions'!$H$34:$H$73,MATCH(GI$3,'Standards for Conversions'!$A$34:$A$73,0))))</f>
        <v/>
      </c>
      <c r="GL67" s="10" t="s">
        <v>40</v>
      </c>
      <c r="GM67" s="7"/>
      <c r="GN67" s="7"/>
      <c r="GO67" s="31" t="str">
        <f>IF(GN67/(INDEX('Standards for Conversions'!$H$34:$H$73,MATCH(GM$3,'Standards for Conversions'!$A$34:$A$73,0)))=0,"",GN67/(INDEX('Standards for Conversions'!$H$34:$H$73,MATCH(GM$3,'Standards for Conversions'!$A$34:$A$73,0))))</f>
        <v/>
      </c>
      <c r="GP67" s="10" t="s">
        <v>40</v>
      </c>
      <c r="GQ67" s="7"/>
      <c r="GR67" s="7"/>
      <c r="GS67" s="31" t="str">
        <f>IF(GR67/(INDEX('Standards for Conversions'!$H$34:$H$73,MATCH(GQ$3,'Standards for Conversions'!$A$34:$A$73,0)))=0,"",GR67/(INDEX('Standards for Conversions'!$H$34:$H$73,MATCH(GQ$3,'Standards for Conversions'!$A$34:$A$73,0))))</f>
        <v/>
      </c>
      <c r="GT67" s="10" t="s">
        <v>40</v>
      </c>
      <c r="GU67" s="9"/>
      <c r="GV67" s="9"/>
      <c r="GW67" s="31" t="str">
        <f>IF(GV67/(INDEX('Standards for Conversions'!$H$34:$H$73,MATCH(GU$3,'Standards for Conversions'!$A$34:$A$73,0)))=0,"",GV67/(INDEX('Standards for Conversions'!$H$34:$H$73,MATCH(GU$3,'Standards for Conversions'!$A$34:$A$73,0))))</f>
        <v/>
      </c>
      <c r="GX67" s="10" t="s">
        <v>40</v>
      </c>
      <c r="GY67" s="7"/>
      <c r="GZ67" s="7"/>
      <c r="HA67" s="31" t="str">
        <f>IF(GZ67/(INDEX('Standards for Conversions'!$H$34:$H$73,MATCH(GY$3,'Standards for Conversions'!$A$34:$A$73,0)))=0,"",GZ67/(INDEX('Standards for Conversions'!$H$34:$H$73,MATCH(GY$3,'Standards for Conversions'!$A$34:$A$73,0))))</f>
        <v/>
      </c>
      <c r="HB67" s="10" t="s">
        <v>40</v>
      </c>
      <c r="HC67" s="7"/>
      <c r="HD67" s="7"/>
      <c r="HE67" s="31" t="str">
        <f>IF(HD67/(INDEX('Standards for Conversions'!$H$34:$H$73,MATCH(HC$3,'Standards for Conversions'!$A$34:$A$73,0)))=0,"",HD67/(INDEX('Standards for Conversions'!$H$34:$H$73,MATCH(HC$3,'Standards for Conversions'!$A$34:$A$73,0))))</f>
        <v/>
      </c>
      <c r="HF67" s="10" t="s">
        <v>40</v>
      </c>
      <c r="HG67" s="7"/>
      <c r="HH67" s="7"/>
      <c r="HI67" s="31" t="str">
        <f>IF(HH67/(INDEX('Standards for Conversions'!$H$34:$H$73,MATCH(HG$3,'Standards for Conversions'!$A$34:$A$73,0)))=0,"",HH67/(INDEX('Standards for Conversions'!$H$34:$H$73,MATCH(HG$3,'Standards for Conversions'!$A$34:$A$73,0))))</f>
        <v/>
      </c>
      <c r="HJ67" s="10" t="s">
        <v>40</v>
      </c>
      <c r="HK67" s="9"/>
      <c r="HL67" s="9"/>
      <c r="HM67" s="31" t="str">
        <f>IF(HL67/(INDEX('Standards for Conversions'!$H$34:$H$73,MATCH(HK$3,'Standards for Conversions'!$A$34:$A$73,0)))=0,"",HL67/(INDEX('Standards for Conversions'!$H$34:$H$73,MATCH(HK$3,'Standards for Conversions'!$A$34:$A$73,0))))</f>
        <v/>
      </c>
      <c r="HN67" s="10" t="s">
        <v>40</v>
      </c>
      <c r="HO67" s="7"/>
      <c r="HP67" s="7"/>
      <c r="HQ67" s="31" t="str">
        <f>IF(HP67/(INDEX('Standards for Conversions'!$H$34:$H$73,MATCH(HO$3,'Standards for Conversions'!$A$34:$A$73,0)))=0,"",HP67/(INDEX('Standards for Conversions'!$H$34:$H$73,MATCH(HO$3,'Standards for Conversions'!$A$34:$A$73,0))))</f>
        <v/>
      </c>
      <c r="HR67" s="33" t="s">
        <v>40</v>
      </c>
      <c r="HU67" s="31" t="str">
        <f>IF(HT67/(INDEX('Standards for Conversions'!$H$47:$H$73,MATCH(HS$3,'Standards for Conversions'!$A$47:$A$73,0)))=0,"",HT67/(INDEX('Standards for Conversions'!$H$47:$H$73,MATCH(HS$3,'Standards for Conversions'!$A$47:$A$73,0))))</f>
        <v/>
      </c>
      <c r="HV67" s="33" t="s">
        <v>40</v>
      </c>
      <c r="HY67" s="31" t="str">
        <f>IF(HX67/(INDEX('Standards for Conversions'!$H$47:$H$73,MATCH(HW$3,'Standards for Conversions'!$A$47:$A$73,0)))=0,"",HX67/(INDEX('Standards for Conversions'!$H$47:$H$73,MATCH(HW$3,'Standards for Conversions'!$A$47:$A$73,0))))</f>
        <v/>
      </c>
      <c r="HZ67" s="33"/>
      <c r="IA67" s="33"/>
      <c r="IB67" s="31" t="str">
        <f>IF(IA67/(INDEX('Standards for Conversions'!$H$47:$H$73,MATCH(HZ$3,'Standards for Conversions'!$A$47:$A$73,0)))=0,"",IA67/(INDEX('Standards for Conversions'!$H$47:$H$73,MATCH(HZ$3,'Standards for Conversions'!$A$47:$A$73,0))))</f>
        <v/>
      </c>
      <c r="IC67" s="33" t="s">
        <v>40</v>
      </c>
      <c r="ID67" s="29">
        <v>25</v>
      </c>
      <c r="IE67" s="29">
        <v>5000</v>
      </c>
      <c r="IF67" s="31">
        <f>IF(IE67/(INDEX('Standards for Conversions'!$H$47:$H$73,MATCH(ID$3,'Standards for Conversions'!$A$47:$A$73,0)))=0,"",IE67/(INDEX('Standards for Conversions'!$H$47:$H$73,MATCH(ID$3,'Standards for Conversions'!$A$47:$A$73,0))))</f>
        <v>726.22706106427984</v>
      </c>
      <c r="IG67" s="33" t="s">
        <v>40</v>
      </c>
      <c r="IJ67" s="31" t="str">
        <f>IF(II67/(INDEX('Standards for Conversions'!$H$47:$H$73,MATCH(IH$3,'Standards for Conversions'!$A$47:$A$73,0)))=0,"",II67/(INDEX('Standards for Conversions'!$H$47:$H$73,MATCH(IH$3,'Standards for Conversions'!$A$47:$A$73,0))))</f>
        <v/>
      </c>
      <c r="IK67" s="33" t="s">
        <v>40</v>
      </c>
      <c r="IN67" s="31" t="str">
        <f>IF(IM67/(INDEX('Standards for Conversions'!$H$47:$H$73,MATCH(IL$3,'Standards for Conversions'!$A$47:$A$73,0)))=0,"",IM67/(INDEX('Standards for Conversions'!$H$47:$H$73,MATCH(IL$3,'Standards for Conversions'!$A$47:$A$73,0))))</f>
        <v/>
      </c>
      <c r="IO67" s="33" t="s">
        <v>40</v>
      </c>
      <c r="IR67" s="31" t="str">
        <f>IF(IQ67/(INDEX('Standards for Conversions'!$H$47:$H$73,MATCH(IP$3,'Standards for Conversions'!$A$47:$A$73,0)))=0,"",IQ67/(INDEX('Standards for Conversions'!$H$47:$H$73,MATCH(IP$3,'Standards for Conversions'!$A$47:$A$73,0))))</f>
        <v/>
      </c>
      <c r="IS67" s="33" t="s">
        <v>40</v>
      </c>
      <c r="IT67" s="29">
        <v>21</v>
      </c>
      <c r="IU67" s="29">
        <v>3369</v>
      </c>
      <c r="IV67" s="31">
        <f>IF(IU67/(INDEX('Standards for Conversions'!$H$47:$H$73,MATCH(IT$3,'Standards for Conversions'!$A$47:$A$73,0)))=0,"",IU67/(INDEX('Standards for Conversions'!$H$47:$H$73,MATCH(IT$3,'Standards for Conversions'!$A$47:$A$73,0))))</f>
        <v>487.19185878704263</v>
      </c>
      <c r="IW67" s="33" t="s">
        <v>40</v>
      </c>
      <c r="IZ67" s="31" t="str">
        <f>IF(IY67/(INDEX('Standards for Conversions'!$H$47:$H$73,MATCH(IX$3,'Standards for Conversions'!$A$47:$A$73,0)))=0,"",IY67/(INDEX('Standards for Conversions'!$H$47:$H$73,MATCH(IX$3,'Standards for Conversions'!$A$47:$A$73,0))))</f>
        <v/>
      </c>
      <c r="JA67" s="33" t="s">
        <v>40</v>
      </c>
      <c r="JD67" s="31" t="str">
        <f>IF(JC67/(INDEX('Standards for Conversions'!$H$47:$H$73,MATCH(JB$3,'Standards for Conversions'!$A$47:$A$73,0)))=0,"",JC67/(INDEX('Standards for Conversions'!$H$47:$H$73,MATCH(JB$3,'Standards for Conversions'!$A$47:$A$73,0))))</f>
        <v/>
      </c>
      <c r="JE67" s="33" t="s">
        <v>40</v>
      </c>
      <c r="JH67" s="31" t="str">
        <f>IF(JG67/(INDEX('Standards for Conversions'!$H$47:$H$73,MATCH(JF$3,'Standards for Conversions'!$A$47:$A$73,0)))=0,"",JG67/(INDEX('Standards for Conversions'!$H$47:$H$73,MATCH(JF$3,'Standards for Conversions'!$A$47:$A$73,0))))</f>
        <v/>
      </c>
      <c r="JI67" s="48" t="s">
        <v>40</v>
      </c>
      <c r="JJ67" s="29">
        <v>20</v>
      </c>
      <c r="JK67" s="29">
        <v>3200</v>
      </c>
      <c r="JL67" s="31">
        <f>IF(JK67/(INDEX('Standards for Conversions'!$H$47:$H$73,MATCH(JJ$3,'Standards for Conversions'!$A$47:$A$73,0)))=0,"",JK67/(INDEX('Standards for Conversions'!$H$47:$H$73,MATCH(JJ$3,'Standards for Conversions'!$A$47:$A$73,0))))</f>
        <v>517.63262941397977</v>
      </c>
      <c r="JM67" s="33" t="s">
        <v>40</v>
      </c>
      <c r="JP67" s="31" t="str">
        <f>IF(JO67/(INDEX('Standards for Conversions'!$H$47:$H$73,MATCH(JN$3,'Standards for Conversions'!$A$47:$A$73,0)))=0,"",JO67/(INDEX('Standards for Conversions'!$H$47:$H$73,MATCH(JN$3,'Standards for Conversions'!$A$47:$A$73,0))))</f>
        <v/>
      </c>
      <c r="JQ67" s="33" t="s">
        <v>40</v>
      </c>
      <c r="JT67" s="31" t="str">
        <f>IF(JS67/(INDEX('Standards for Conversions'!$H$47:$H$73,MATCH(JR$3,'Standards for Conversions'!$A$47:$A$73,0)))=0,"",JS67/(INDEX('Standards for Conversions'!$H$47:$H$73,MATCH(JR$3,'Standards for Conversions'!$A$47:$A$73,0))))</f>
        <v/>
      </c>
      <c r="JU67" s="33" t="s">
        <v>40</v>
      </c>
      <c r="JX67" s="31" t="str">
        <f>IF(JW67/(INDEX('Standards for Conversions'!$H$47:$H$73,MATCH(JV$3,'Standards for Conversions'!$A$47:$A$73,0)))=0,"",JW67/(INDEX('Standards for Conversions'!$H$47:$H$73,MATCH(JV$3,'Standards for Conversions'!$A$47:$A$73,0))))</f>
        <v/>
      </c>
      <c r="JY67" s="33" t="s">
        <v>40</v>
      </c>
      <c r="JZ67" s="29">
        <v>25</v>
      </c>
      <c r="KA67" s="29">
        <v>4000</v>
      </c>
      <c r="KB67" s="31">
        <f>IF(KA67/(INDEX('Standards for Conversions'!$H$47:$H$73,MATCH(JZ$3,'Standards for Conversions'!$A$47:$A$73,0)))=0,"",KA67/(INDEX('Standards for Conversions'!$H$47:$H$73,MATCH(JZ$3,'Standards for Conversions'!$A$47:$A$73,0))))</f>
        <v>610.62356971119027</v>
      </c>
      <c r="KC67" s="33" t="s">
        <v>40</v>
      </c>
      <c r="KF67" s="31" t="str">
        <f>IF(KE67/(INDEX('Standards for Conversions'!$H$47:$H$73,MATCH(KD$3,'Standards for Conversions'!$A$47:$A$73,0)))=0,"",KE67/(INDEX('Standards for Conversions'!$H$47:$H$73,MATCH(KD$3,'Standards for Conversions'!$A$47:$A$73,0))))</f>
        <v/>
      </c>
      <c r="KG67" s="33" t="s">
        <v>40</v>
      </c>
      <c r="KJ67" s="31" t="str">
        <f>IF(KI67/(INDEX('Standards for Conversions'!$H$47:$H$73,MATCH(KH$3,'Standards for Conversions'!$A$47:$A$73,0)))=0,"",KI67/(INDEX('Standards for Conversions'!$H$47:$H$73,MATCH(KH$3,'Standards for Conversions'!$A$47:$A$73,0))))</f>
        <v/>
      </c>
      <c r="KK67" s="33" t="s">
        <v>40</v>
      </c>
      <c r="KN67" s="31" t="str">
        <f>IF(KM67/(INDEX('Standards for Conversions'!$H$47:$H$73,MATCH(KL$3,'Standards for Conversions'!$A$47:$A$73,0)))=0,"",KM67/(INDEX('Standards for Conversions'!$H$47:$H$73,MATCH(KL$3,'Standards for Conversions'!$A$47:$A$73,0))))</f>
        <v/>
      </c>
      <c r="KO67" s="33" t="s">
        <v>40</v>
      </c>
      <c r="KP67" s="29">
        <v>15</v>
      </c>
      <c r="KQ67" s="29">
        <v>2500</v>
      </c>
      <c r="KR67" s="31">
        <f>IF(KQ67/(INDEX('Standards for Conversions'!$H$47:$H$73,MATCH(KP$3,'Standards for Conversions'!$A$47:$A$73,0)))=0,"",KQ67/(INDEX('Standards for Conversions'!$H$47:$H$73,MATCH(KP$3,'Standards for Conversions'!$A$47:$A$73,0))))</f>
        <v>336.64752976449114</v>
      </c>
      <c r="KS67" s="33" t="s">
        <v>40</v>
      </c>
      <c r="KV67" s="31" t="str">
        <f>IF(KU67/(INDEX('Standards for Conversions'!$H$47:$H$73,MATCH(KT$3,'Standards for Conversions'!$A$47:$A$73,0)))=0,"",KU67/(INDEX('Standards for Conversions'!$H$47:$H$73,MATCH(KT$3,'Standards for Conversions'!$A$47:$A$73,0))))</f>
        <v/>
      </c>
      <c r="KW67" s="33" t="s">
        <v>40</v>
      </c>
      <c r="KZ67" s="31" t="str">
        <f>IF(KY67/(INDEX('Standards for Conversions'!$H$47:$H$73,MATCH(KX$3,'Standards for Conversions'!$A$47:$A$73,0)))=0,"",KY67/(INDEX('Standards for Conversions'!$H$47:$H$73,MATCH(KX$3,'Standards for Conversions'!$A$47:$A$73,0))))</f>
        <v/>
      </c>
      <c r="LA67" s="33" t="s">
        <v>40</v>
      </c>
      <c r="LD67" s="31" t="str">
        <f>IF(LC67/(INDEX('Standards for Conversions'!$H$47:$H$73,MATCH(LB$3,'Standards for Conversions'!$A$47:$A$73,0)))=0,"",LC67/(INDEX('Standards for Conversions'!$H$47:$H$73,MATCH(LB$3,'Standards for Conversions'!$A$47:$A$73,0))))</f>
        <v/>
      </c>
      <c r="LE67" s="48" t="s">
        <v>40</v>
      </c>
      <c r="LF67" s="29">
        <v>14</v>
      </c>
      <c r="LG67" s="29">
        <v>2400</v>
      </c>
      <c r="LH67" s="31">
        <f>IF(LG67/(INDEX('Standards for Conversions'!$H$47:$H$73,MATCH(LF$3,'Standards for Conversions'!$A$47:$A$73,0)))=0,"",LG67/(INDEX('Standards for Conversions'!$H$47:$H$73,MATCH(LF$3,'Standards for Conversions'!$A$47:$A$73,0))))</f>
        <v>291.87976014599803</v>
      </c>
      <c r="LL67" s="31" t="str">
        <f>IF(LK67/(INDEX('Standards for Conversions'!$H$47:$H$73,MATCH(LJ$3,'Standards for Conversions'!$A$47:$A$73,0)))=0,"",LK67/(INDEX('Standards for Conversions'!$H$47:$H$73,MATCH(LJ$3,'Standards for Conversions'!$A$47:$A$73,0))))</f>
        <v/>
      </c>
      <c r="LO67" s="31" t="str">
        <f>IF(LN67/(INDEX('Standards for Conversions'!$H$47:$H$73,MATCH(LM$3,'Standards for Conversions'!$A$47:$A$73,0)))=0,"",LN67/(INDEX('Standards for Conversions'!$H$47:$H$73,MATCH(LM$3,'Standards for Conversions'!$A$47:$A$73,0))))</f>
        <v/>
      </c>
      <c r="LR67" s="31" t="str">
        <f>IF(LQ67/(INDEX('Standards for Conversions'!$H$47:$H$73,MATCH(LP$3,'Standards for Conversions'!$A$47:$A$73,0)))=0,"",LQ67/(INDEX('Standards for Conversions'!$H$47:$H$73,MATCH(LP$3,'Standards for Conversions'!$A$47:$A$73,0))))</f>
        <v/>
      </c>
      <c r="LV67" s="31" t="str">
        <f>IF(LU67/(INDEX('Standards for Conversions'!$H$47:$H$73,MATCH(LT$3,'Standards for Conversions'!$A$47:$A$73,0)))=0,"",LU67/(INDEX('Standards for Conversions'!$H$47:$H$73,MATCH(LT$3,'Standards for Conversions'!$A$47:$A$73,0))))</f>
        <v/>
      </c>
      <c r="LY67" s="31" t="str">
        <f>IF(LX67/(INDEX('Standards for Conversions'!$H$47:$H$73,MATCH(LW$3,'Standards for Conversions'!$A$47:$A$73,0)))=0,"",LX67/(INDEX('Standards for Conversions'!$H$47:$H$73,MATCH(LW$3,'Standards for Conversions'!$A$47:$A$73,0))))</f>
        <v/>
      </c>
      <c r="MB67" s="31" t="str">
        <f>IF(MA67/(INDEX('Standards for Conversions'!$H$47:$H$73,MATCH(LZ$3,'Standards for Conversions'!$A$47:$A$73,0)))=0,"",MA67/(INDEX('Standards for Conversions'!$H$47:$H$73,MATCH(LZ$3,'Standards for Conversions'!$A$47:$A$73,0))))</f>
        <v/>
      </c>
      <c r="ME67" s="31" t="str">
        <f>IF(MD67/(INDEX('Standards for Conversions'!$H$47:$H$73,MATCH(MC$3,'Standards for Conversions'!$A$47:$A$73,0)))=0,"",MD67/(INDEX('Standards for Conversions'!$H$47:$H$73,MATCH(MC$3,'Standards for Conversions'!$A$47:$A$73,0))))</f>
        <v/>
      </c>
      <c r="MH67" s="31" t="str">
        <f>IF(MG67/(INDEX('Standards for Conversions'!$H$47:$H$73,MATCH(MF$3,'Standards for Conversions'!$A$47:$A$73,0)))=0,"",MG67/(INDEX('Standards for Conversions'!$H$47:$H$73,MATCH(MF$3,'Standards for Conversions'!$A$47:$A$73,0))))</f>
        <v/>
      </c>
      <c r="MK67" s="31" t="str">
        <f>IF(MJ67/(INDEX('Standards for Conversions'!$H$47:$H$73,MATCH(MI$3,'Standards for Conversions'!$A$47:$A$73,0)))=0,"",MJ67/(INDEX('Standards for Conversions'!$H$47:$H$73,MATCH(MI$3,'Standards for Conversions'!$A$47:$A$73,0))))</f>
        <v/>
      </c>
      <c r="MN67" s="31" t="str">
        <f>IF(MM67/(INDEX('Standards for Conversions'!$H$47:$H$73,MATCH(ML$3,'Standards for Conversions'!$A$47:$A$73,0)))=0,"",MM67/(INDEX('Standards for Conversions'!$H$47:$H$73,MATCH(ML$3,'Standards for Conversions'!$A$47:$A$73,0))))</f>
        <v/>
      </c>
      <c r="MR67" s="31" t="str">
        <f>IF(MQ67/(INDEX('Standards for Conversions'!$H$47:$H$73,MATCH(MP$3,'Standards for Conversions'!$A$47:$A$73,0)))=0,"",MQ67/(INDEX('Standards for Conversions'!$H$47:$H$73,MATCH(MP$3,'Standards for Conversions'!$A$47:$A$73,0))))</f>
        <v/>
      </c>
    </row>
    <row r="68" spans="1:369" hidden="1" x14ac:dyDescent="0.3">
      <c r="A68" s="103" t="s">
        <v>243</v>
      </c>
      <c r="B68" s="10" t="s">
        <v>59</v>
      </c>
      <c r="C68" s="7"/>
      <c r="D68" s="7"/>
      <c r="E68" s="31" t="str">
        <f>IF(D68/(INDEX('Standards for Conversions'!$H$34:$H$73,MATCH(C$3,'Standards for Conversions'!$A$34:$A$73,0)))=0,"",D68/(INDEX('Standards for Conversions'!$H$34:$H$73,MATCH(C$3,'Standards for Conversions'!$A$34:$A$73,0))))</f>
        <v/>
      </c>
      <c r="F68" s="10" t="s">
        <v>59</v>
      </c>
      <c r="G68" s="7"/>
      <c r="H68" s="7"/>
      <c r="I68" s="31" t="str">
        <f>IF(H68/(INDEX('Standards for Conversions'!$H$34:$H$73,MATCH(G$3,'Standards for Conversions'!$A$34:$A$73,0)))=0,"",H68/(INDEX('Standards for Conversions'!$H$34:$H$73,MATCH(G$3,'Standards for Conversions'!$A$34:$A$73,0))))</f>
        <v/>
      </c>
      <c r="J68" s="10" t="s">
        <v>59</v>
      </c>
      <c r="K68" s="9"/>
      <c r="L68" s="9"/>
      <c r="M68" s="31" t="str">
        <f>IF(L68/(INDEX('Standards for Conversions'!$H$34:$H$73,MATCH(K$3,'Standards for Conversions'!$A$34:$A$73,0)))=0,"",L68/(INDEX('Standards for Conversions'!$H$34:$H$73,MATCH(K$3,'Standards for Conversions'!$A$34:$A$73,0))))</f>
        <v/>
      </c>
      <c r="N68" s="10" t="s">
        <v>59</v>
      </c>
      <c r="O68" s="7"/>
      <c r="P68" s="7"/>
      <c r="Q68" s="31" t="str">
        <f>IF(P68/(INDEX('Standards for Conversions'!$H$34:$H$73,MATCH(O$3,'Standards for Conversions'!$A$34:$A$73,0)))=0,"",P68/(INDEX('Standards for Conversions'!$H$34:$H$73,MATCH(O$3,'Standards for Conversions'!$A$34:$A$73,0))))</f>
        <v/>
      </c>
      <c r="R68" s="10" t="s">
        <v>59</v>
      </c>
      <c r="S68" s="7"/>
      <c r="T68" s="7"/>
      <c r="U68" s="31" t="str">
        <f>IF(T68/(INDEX('Standards for Conversions'!$H$34:$H$73,MATCH(S$3,'Standards for Conversions'!$A$34:$A$73,0)))=0,"",T68/(INDEX('Standards for Conversions'!$H$34:$H$73,MATCH(S$3,'Standards for Conversions'!$A$34:$A$73,0))))</f>
        <v/>
      </c>
      <c r="V68" s="10" t="s">
        <v>59</v>
      </c>
      <c r="W68" s="7"/>
      <c r="X68" s="7"/>
      <c r="Y68" s="31" t="str">
        <f>IF(X68/(INDEX('Standards for Conversions'!$H$34:$H$73,MATCH(W$3,'Standards for Conversions'!$A$34:$A$73,0)))=0,"",X68/(INDEX('Standards for Conversions'!$H$34:$H$73,MATCH(W$3,'Standards for Conversions'!$A$34:$A$73,0))))</f>
        <v/>
      </c>
      <c r="Z68" s="10" t="s">
        <v>59</v>
      </c>
      <c r="AA68" s="9"/>
      <c r="AB68" s="9"/>
      <c r="AC68" s="31" t="str">
        <f>IF(AB68/(INDEX('Standards for Conversions'!$H$34:$H$73,MATCH(AA$3,'Standards for Conversions'!$A$34:$A$73,0)))=0,"",AB68/(INDEX('Standards for Conversions'!$H$34:$H$73,MATCH(AA$3,'Standards for Conversions'!$A$34:$A$73,0))))</f>
        <v/>
      </c>
      <c r="AD68" s="10" t="s">
        <v>59</v>
      </c>
      <c r="AE68" s="7"/>
      <c r="AF68" s="7"/>
      <c r="AG68" s="31" t="str">
        <f>IF(AF68/(INDEX('Standards for Conversions'!$H$34:$H$73,MATCH(AE$3,'Standards for Conversions'!$A$34:$A$73,0)))=0,"",AF68/(INDEX('Standards for Conversions'!$H$34:$H$73,MATCH(AE$3,'Standards for Conversions'!$A$34:$A$73,0))))</f>
        <v/>
      </c>
      <c r="AH68" s="10" t="s">
        <v>59</v>
      </c>
      <c r="AI68" s="7"/>
      <c r="AJ68" s="7"/>
      <c r="AK68" s="31" t="str">
        <f>IF(AJ68/(INDEX('Standards for Conversions'!$H$34:$H$73,MATCH(AI$3,'Standards for Conversions'!$A$34:$A$73,0)))=0,"",AJ68/(INDEX('Standards for Conversions'!$H$34:$H$73,MATCH(AI$3,'Standards for Conversions'!$A$34:$A$73,0))))</f>
        <v/>
      </c>
      <c r="AL68" s="10" t="s">
        <v>59</v>
      </c>
      <c r="AM68" s="7"/>
      <c r="AN68" s="7"/>
      <c r="AO68" s="31" t="str">
        <f>IF(AN68/(INDEX('Standards for Conversions'!$H$34:$H$73,MATCH(AM$3,'Standards for Conversions'!$A$34:$A$73,0)))=0,"",AN68/(INDEX('Standards for Conversions'!$H$34:$H$73,MATCH(AM$3,'Standards for Conversions'!$A$34:$A$73,0))))</f>
        <v/>
      </c>
      <c r="AP68" s="10" t="s">
        <v>59</v>
      </c>
      <c r="AQ68" s="9"/>
      <c r="AR68" s="9"/>
      <c r="AS68" s="31" t="str">
        <f>IF(AR68/(INDEX('Standards for Conversions'!$H$34:$H$73,MATCH(AQ$3,'Standards for Conversions'!$A$34:$A$73,0)))=0,"",AR68/(INDEX('Standards for Conversions'!$H$34:$H$73,MATCH(AQ$3,'Standards for Conversions'!$A$34:$A$73,0))))</f>
        <v/>
      </c>
      <c r="AT68" s="10" t="s">
        <v>59</v>
      </c>
      <c r="AU68" s="7"/>
      <c r="AV68" s="7"/>
      <c r="AW68" s="31" t="str">
        <f>IF(AV68/(INDEX('Standards for Conversions'!$H$34:$H$73,MATCH(AU$3,'Standards for Conversions'!$A$34:$A$73,0)))=0,"",AV68/(INDEX('Standards for Conversions'!$H$34:$H$73,MATCH(AU$3,'Standards for Conversions'!$A$34:$A$73,0))))</f>
        <v/>
      </c>
      <c r="AX68" s="10" t="s">
        <v>59</v>
      </c>
      <c r="AY68" s="7"/>
      <c r="AZ68" s="7"/>
      <c r="BA68" s="31" t="str">
        <f>IF(AZ68/(INDEX('Standards for Conversions'!$H$34:$H$73,MATCH(AY$3,'Standards for Conversions'!$A$34:$A$73,0)))=0,"",AZ68/(INDEX('Standards for Conversions'!$H$34:$H$73,MATCH(AY$3,'Standards for Conversions'!$A$34:$A$73,0))))</f>
        <v/>
      </c>
      <c r="BB68" s="10" t="s">
        <v>59</v>
      </c>
      <c r="BC68" s="7"/>
      <c r="BD68" s="7"/>
      <c r="BE68" s="31" t="str">
        <f>IF(BD68/(INDEX('Standards for Conversions'!$H$34:$H$73,MATCH(BC$3,'Standards for Conversions'!$A$34:$A$73,0)))=0,"",BD68/(INDEX('Standards for Conversions'!$H$34:$H$73,MATCH(BC$3,'Standards for Conversions'!$A$34:$A$73,0))))</f>
        <v/>
      </c>
      <c r="BF68" s="10" t="s">
        <v>59</v>
      </c>
      <c r="BG68" s="9"/>
      <c r="BH68" s="9"/>
      <c r="BI68" s="31" t="str">
        <f>IF(BH68/(INDEX('Standards for Conversions'!$H$34:$H$73,MATCH(BG$3,'Standards for Conversions'!$A$34:$A$73,0)))=0,"",BH68/(INDEX('Standards for Conversions'!$H$34:$H$73,MATCH(BG$3,'Standards for Conversions'!$A$34:$A$73,0))))</f>
        <v/>
      </c>
      <c r="BJ68" s="10" t="s">
        <v>59</v>
      </c>
      <c r="BK68" s="7"/>
      <c r="BL68" s="7"/>
      <c r="BM68" s="31" t="str">
        <f>IF(BL68/(INDEX('Standards for Conversions'!$H$34:$H$73,MATCH(BK$3,'Standards for Conversions'!$A$34:$A$73,0)))=0,"",BL68/(INDEX('Standards for Conversions'!$H$34:$H$73,MATCH(BK$3,'Standards for Conversions'!$A$34:$A$73,0))))</f>
        <v/>
      </c>
      <c r="BN68" s="10" t="s">
        <v>59</v>
      </c>
      <c r="BO68" s="7"/>
      <c r="BP68" s="7"/>
      <c r="BQ68" s="31" t="str">
        <f>IF(BP68/(INDEX('Standards for Conversions'!$H$34:$H$73,MATCH(BO$3,'Standards for Conversions'!$A$34:$A$73,0)))=0,"",BP68/(INDEX('Standards for Conversions'!$H$34:$H$73,MATCH(BO$3,'Standards for Conversions'!$A$34:$A$73,0))))</f>
        <v/>
      </c>
      <c r="BR68" s="10" t="s">
        <v>59</v>
      </c>
      <c r="BS68" s="7"/>
      <c r="BT68" s="7"/>
      <c r="BU68" s="31" t="str">
        <f>IF(BT68/(INDEX('Standards for Conversions'!$H$34:$H$73,MATCH(BS$3,'Standards for Conversions'!$A$34:$A$73,0)))=0,"",BT68/(INDEX('Standards for Conversions'!$H$34:$H$73,MATCH(BS$3,'Standards for Conversions'!$A$34:$A$73,0))))</f>
        <v/>
      </c>
      <c r="BV68" s="10" t="s">
        <v>59</v>
      </c>
      <c r="BW68" s="9"/>
      <c r="BX68" s="9"/>
      <c r="BY68" s="31" t="str">
        <f>IF(BX68/(INDEX('Standards for Conversions'!$H$34:$H$73,MATCH(BW$3,'Standards for Conversions'!$A$34:$A$73,0)))=0,"",BX68/(INDEX('Standards for Conversions'!$H$34:$H$73,MATCH(BW$3,'Standards for Conversions'!$A$34:$A$73,0))))</f>
        <v/>
      </c>
      <c r="BZ68" s="10" t="s">
        <v>59</v>
      </c>
      <c r="CA68" s="7"/>
      <c r="CB68" s="7"/>
      <c r="CC68" s="31" t="str">
        <f>IF(CB68/(INDEX('Standards for Conversions'!$H$34:$H$73,MATCH(CA$3,'Standards for Conversions'!$A$34:$A$73,0)))=0,"",CB68/(INDEX('Standards for Conversions'!$H$34:$H$73,MATCH(CA$3,'Standards for Conversions'!$A$34:$A$73,0))))</f>
        <v/>
      </c>
      <c r="CD68" s="10" t="s">
        <v>59</v>
      </c>
      <c r="CE68" s="7"/>
      <c r="CF68" s="7"/>
      <c r="CG68" s="31" t="str">
        <f>IF(CF68/(INDEX('Standards for Conversions'!$H$34:$H$73,MATCH(CE$3,'Standards for Conversions'!$A$34:$A$73,0)))=0,"",CF68/(INDEX('Standards for Conversions'!$H$34:$H$73,MATCH(CE$3,'Standards for Conversions'!$A$34:$A$73,0))))</f>
        <v/>
      </c>
      <c r="CH68" s="10" t="s">
        <v>59</v>
      </c>
      <c r="CI68" s="7"/>
      <c r="CJ68" s="7"/>
      <c r="CK68" s="31" t="str">
        <f>IF(CJ68/(INDEX('Standards for Conversions'!$H$34:$H$73,MATCH(CI$3,'Standards for Conversions'!$A$34:$A$73,0)))=0,"",CJ68/(INDEX('Standards for Conversions'!$H$34:$H$73,MATCH(CI$3,'Standards for Conversions'!$A$34:$A$73,0))))</f>
        <v/>
      </c>
      <c r="CL68" s="10" t="s">
        <v>59</v>
      </c>
      <c r="CM68" s="9"/>
      <c r="CN68" s="9"/>
      <c r="CO68" s="31" t="str">
        <f>IF(CN68/(INDEX('Standards for Conversions'!$H$34:$H$73,MATCH(CM$3,'Standards for Conversions'!$A$34:$A$73,0)))=0,"",CN68/(INDEX('Standards for Conversions'!$H$34:$H$73,MATCH(CM$3,'Standards for Conversions'!$A$34:$A$73,0))))</f>
        <v/>
      </c>
      <c r="CP68" s="10" t="s">
        <v>59</v>
      </c>
      <c r="CQ68" s="7"/>
      <c r="CR68" s="7"/>
      <c r="CS68" s="31" t="str">
        <f>IF(CR68/(INDEX('Standards for Conversions'!$H$34:$H$73,MATCH(CQ$3,'Standards for Conversions'!$A$34:$A$73,0)))=0,"",CR68/(INDEX('Standards for Conversions'!$H$34:$H$73,MATCH(CQ$3,'Standards for Conversions'!$A$34:$A$73,0))))</f>
        <v/>
      </c>
      <c r="CT68" s="10" t="s">
        <v>59</v>
      </c>
      <c r="CU68" s="7"/>
      <c r="CV68" s="7"/>
      <c r="CW68" s="31" t="str">
        <f>IF(CV68/(INDEX('Standards for Conversions'!$H$34:$H$73,MATCH(CU$3,'Standards for Conversions'!$A$34:$A$73,0)))=0,"",CV68/(INDEX('Standards for Conversions'!$H$34:$H$73,MATCH(CU$3,'Standards for Conversions'!$A$34:$A$73,0))))</f>
        <v/>
      </c>
      <c r="CX68" s="10" t="s">
        <v>59</v>
      </c>
      <c r="CY68" s="7"/>
      <c r="CZ68" s="7"/>
      <c r="DA68" s="31" t="str">
        <f>IF(CZ68/(INDEX('Standards for Conversions'!$H$34:$H$73,MATCH(CY$3,'Standards for Conversions'!$A$34:$A$73,0)))=0,"",CZ68/(INDEX('Standards for Conversions'!$H$34:$H$73,MATCH(CY$3,'Standards for Conversions'!$A$34:$A$73,0))))</f>
        <v/>
      </c>
      <c r="DB68" s="10" t="s">
        <v>59</v>
      </c>
      <c r="DC68" s="9"/>
      <c r="DD68" s="9"/>
      <c r="DE68" s="31" t="str">
        <f>IF(DD68/(INDEX('Standards for Conversions'!$H$34:$H$73,MATCH(DC$3,'Standards for Conversions'!$A$34:$A$73,0)))=0,"",DD68/(INDEX('Standards for Conversions'!$H$34:$H$73,MATCH(DC$3,'Standards for Conversions'!$A$34:$A$73,0))))</f>
        <v/>
      </c>
      <c r="DF68" s="10" t="s">
        <v>59</v>
      </c>
      <c r="DG68" s="7"/>
      <c r="DH68" s="7"/>
      <c r="DI68" s="31" t="str">
        <f>IF(DH68/(INDEX('Standards for Conversions'!$H$34:$H$73,MATCH(DG$3,'Standards for Conversions'!$A$34:$A$73,0)))=0,"",DH68/(INDEX('Standards for Conversions'!$H$34:$H$73,MATCH(DG$3,'Standards for Conversions'!$A$34:$A$73,0))))</f>
        <v/>
      </c>
      <c r="DJ68" s="10" t="s">
        <v>59</v>
      </c>
      <c r="DK68" s="7"/>
      <c r="DL68" s="7"/>
      <c r="DM68" s="31" t="str">
        <f>IF(DL68/(INDEX('Standards for Conversions'!$H$34:$H$73,MATCH(DK$3,'Standards for Conversions'!$A$34:$A$73,0)))=0,"",DL68/(INDEX('Standards for Conversions'!$H$34:$H$73,MATCH(DK$3,'Standards for Conversions'!$A$34:$A$73,0))))</f>
        <v/>
      </c>
      <c r="DN68" s="10" t="s">
        <v>59</v>
      </c>
      <c r="DO68" s="7"/>
      <c r="DP68" s="7"/>
      <c r="DQ68" s="31" t="str">
        <f>IF(DP68/(INDEX('Standards for Conversions'!$H$34:$H$73,MATCH(DO$3,'Standards for Conversions'!$A$34:$A$73,0)))=0,"",DP68/(INDEX('Standards for Conversions'!$H$34:$H$73,MATCH(DO$3,'Standards for Conversions'!$A$34:$A$73,0))))</f>
        <v/>
      </c>
      <c r="DR68" s="10" t="s">
        <v>59</v>
      </c>
      <c r="DS68" s="9"/>
      <c r="DT68" s="9"/>
      <c r="DU68" s="31" t="str">
        <f>IF(DT68/(INDEX('Standards for Conversions'!$H$34:$H$73,MATCH(DS$3,'Standards for Conversions'!$A$34:$A$73,0)))=0,"",DT68/(INDEX('Standards for Conversions'!$H$34:$H$73,MATCH(DS$3,'Standards for Conversions'!$A$34:$A$73,0))))</f>
        <v/>
      </c>
      <c r="DV68" s="10" t="s">
        <v>59</v>
      </c>
      <c r="DW68" s="7"/>
      <c r="DX68" s="7"/>
      <c r="DY68" s="31" t="str">
        <f>IF(DX68/(INDEX('Standards for Conversions'!$H$34:$H$73,MATCH(DW$3,'Standards for Conversions'!$A$34:$A$73,0)))=0,"",DX68/(INDEX('Standards for Conversions'!$H$34:$H$73,MATCH(DW$3,'Standards for Conversions'!$A$34:$A$73,0))))</f>
        <v/>
      </c>
      <c r="DZ68" s="10" t="s">
        <v>59</v>
      </c>
      <c r="EA68" s="7"/>
      <c r="EB68" s="7"/>
      <c r="EC68" s="31" t="str">
        <f>IF(EB68/(INDEX('Standards for Conversions'!$H$34:$H$73,MATCH(EA$3,'Standards for Conversions'!$A$34:$A$73,0)))=0,"",EB68/(INDEX('Standards for Conversions'!$H$34:$H$73,MATCH(EA$3,'Standards for Conversions'!$A$34:$A$73,0))))</f>
        <v/>
      </c>
      <c r="ED68" s="10" t="s">
        <v>59</v>
      </c>
      <c r="EE68" s="7"/>
      <c r="EF68" s="7"/>
      <c r="EG68" s="31" t="str">
        <f>IF(EF68/(INDEX('Standards for Conversions'!$H$34:$H$73,MATCH(EE$3,'Standards for Conversions'!$A$34:$A$73,0)))=0,"",EF68/(INDEX('Standards for Conversions'!$H$34:$H$73,MATCH(EE$3,'Standards for Conversions'!$A$34:$A$73,0))))</f>
        <v/>
      </c>
      <c r="EH68" s="10" t="s">
        <v>59</v>
      </c>
      <c r="EI68" s="9"/>
      <c r="EJ68" s="9"/>
      <c r="EK68" s="31" t="str">
        <f>IF(EJ68/(INDEX('Standards for Conversions'!$H$34:$H$73,MATCH(EI$3,'Standards for Conversions'!$A$34:$A$73,0)))=0,"",EJ68/(INDEX('Standards for Conversions'!$H$34:$H$73,MATCH(EI$3,'Standards for Conversions'!$A$34:$A$73,0))))</f>
        <v/>
      </c>
      <c r="EL68" s="10" t="s">
        <v>59</v>
      </c>
      <c r="EM68" s="7"/>
      <c r="EN68" s="7"/>
      <c r="EO68" s="31" t="str">
        <f>IF(EN68/(INDEX('Standards for Conversions'!$H$34:$H$73,MATCH(EM$3,'Standards for Conversions'!$A$34:$A$73,0)))=0,"",EN68/(INDEX('Standards for Conversions'!$H$34:$H$73,MATCH(EM$3,'Standards for Conversions'!$A$34:$A$73,0))))</f>
        <v/>
      </c>
      <c r="EP68" s="10" t="s">
        <v>59</v>
      </c>
      <c r="EQ68" s="7"/>
      <c r="ER68" s="7"/>
      <c r="ES68" s="31" t="str">
        <f>IF(ER68/(INDEX('Standards for Conversions'!$H$34:$H$73,MATCH(EQ$3,'Standards for Conversions'!$A$34:$A$73,0)))=0,"",ER68/(INDEX('Standards for Conversions'!$H$34:$H$73,MATCH(EQ$3,'Standards for Conversions'!$A$34:$A$73,0))))</f>
        <v/>
      </c>
      <c r="ET68" s="10" t="s">
        <v>59</v>
      </c>
      <c r="EU68" s="7"/>
      <c r="EV68" s="7"/>
      <c r="EW68" s="31" t="str">
        <f>IF(EV68/(INDEX('Standards for Conversions'!$H$34:$H$73,MATCH(EU$3,'Standards for Conversions'!$A$34:$A$73,0)))=0,"",EV68/(INDEX('Standards for Conversions'!$H$34:$H$73,MATCH(EU$3,'Standards for Conversions'!$A$34:$A$73,0))))</f>
        <v/>
      </c>
      <c r="EX68" s="10" t="s">
        <v>59</v>
      </c>
      <c r="EY68" s="9"/>
      <c r="EZ68" s="9"/>
      <c r="FA68" s="31" t="str">
        <f>IF(EZ68/(INDEX('Standards for Conversions'!$H$34:$H$73,MATCH(EY$3,'Standards for Conversions'!$A$34:$A$73,0)))=0,"",EZ68/(INDEX('Standards for Conversions'!$H$34:$H$73,MATCH(EY$3,'Standards for Conversions'!$A$34:$A$73,0))))</f>
        <v/>
      </c>
      <c r="FB68" s="10" t="s">
        <v>59</v>
      </c>
      <c r="FC68" s="7"/>
      <c r="FD68" s="7"/>
      <c r="FE68" s="31" t="str">
        <f>IF(FD68/(INDEX('Standards for Conversions'!$H$34:$H$73,MATCH(FC$3,'Standards for Conversions'!$A$34:$A$73,0)))=0,"",FD68/(INDEX('Standards for Conversions'!$H$34:$H$73,MATCH(FC$3,'Standards for Conversions'!$A$34:$A$73,0))))</f>
        <v/>
      </c>
      <c r="FF68" s="10" t="s">
        <v>59</v>
      </c>
      <c r="FG68" s="7"/>
      <c r="FH68" s="7"/>
      <c r="FI68" s="31" t="str">
        <f>IF(FH68/(INDEX('Standards for Conversions'!$H$34:$H$73,MATCH(FG$3,'Standards for Conversions'!$A$34:$A$73,0)))=0,"",FH68/(INDEX('Standards for Conversions'!$H$34:$H$73,MATCH(FG$3,'Standards for Conversions'!$A$34:$A$73,0))))</f>
        <v/>
      </c>
      <c r="FJ68" s="10" t="s">
        <v>59</v>
      </c>
      <c r="FK68" s="7"/>
      <c r="FL68" s="7"/>
      <c r="FM68" s="31" t="str">
        <f>IF(FL68/(INDEX('Standards for Conversions'!$H$34:$H$73,MATCH(FK$3,'Standards for Conversions'!$A$34:$A$73,0)))=0,"",FL68/(INDEX('Standards for Conversions'!$H$34:$H$73,MATCH(FK$3,'Standards for Conversions'!$A$34:$A$73,0))))</f>
        <v/>
      </c>
      <c r="FN68" s="10" t="s">
        <v>59</v>
      </c>
      <c r="FO68" s="9"/>
      <c r="FP68" s="9"/>
      <c r="FQ68" s="31" t="str">
        <f>IF(FP68/(INDEX('Standards for Conversions'!$H$34:$H$73,MATCH(FO$3,'Standards for Conversions'!$A$34:$A$73,0)))=0,"",FP68/(INDEX('Standards for Conversions'!$H$34:$H$73,MATCH(FO$3,'Standards for Conversions'!$A$34:$A$73,0))))</f>
        <v/>
      </c>
      <c r="FR68" s="10" t="s">
        <v>59</v>
      </c>
      <c r="FS68" s="7"/>
      <c r="FT68" s="7"/>
      <c r="FU68" s="31" t="str">
        <f>IF(FT68/(INDEX('Standards for Conversions'!$H$34:$H$73,MATCH(FS$3,'Standards for Conversions'!$A$34:$A$73,0)))=0,"",FT68/(INDEX('Standards for Conversions'!$H$34:$H$73,MATCH(FS$3,'Standards for Conversions'!$A$34:$A$73,0))))</f>
        <v/>
      </c>
      <c r="FV68" s="10" t="s">
        <v>59</v>
      </c>
      <c r="FW68" s="7"/>
      <c r="FX68" s="7"/>
      <c r="FY68" s="31" t="str">
        <f>IF(FX68/(INDEX('Standards for Conversions'!$H$34:$H$73,MATCH(FW$3,'Standards for Conversions'!$A$34:$A$73,0)))=0,"",FX68/(INDEX('Standards for Conversions'!$H$34:$H$73,MATCH(FW$3,'Standards for Conversions'!$A$34:$A$73,0))))</f>
        <v/>
      </c>
      <c r="FZ68" s="10" t="s">
        <v>59</v>
      </c>
      <c r="GA68" s="7"/>
      <c r="GB68" s="7"/>
      <c r="GC68" s="31" t="str">
        <f>IF(GB68/(INDEX('Standards for Conversions'!$H$34:$H$73,MATCH(GA$3,'Standards for Conversions'!$A$34:$A$73,0)))=0,"",GB68/(INDEX('Standards for Conversions'!$H$34:$H$73,MATCH(GA$3,'Standards for Conversions'!$A$34:$A$73,0))))</f>
        <v/>
      </c>
      <c r="GD68" s="10" t="s">
        <v>59</v>
      </c>
      <c r="GE68" s="9"/>
      <c r="GF68" s="9"/>
      <c r="GG68" s="31" t="str">
        <f>IF(GF68/(INDEX('Standards for Conversions'!$H$34:$H$73,MATCH(GE$3,'Standards for Conversions'!$A$34:$A$73,0)))=0,"",GF68/(INDEX('Standards for Conversions'!$H$34:$H$73,MATCH(GE$3,'Standards for Conversions'!$A$34:$A$73,0))))</f>
        <v/>
      </c>
      <c r="GH68" s="10" t="s">
        <v>59</v>
      </c>
      <c r="GI68" s="7"/>
      <c r="GJ68" s="7"/>
      <c r="GK68" s="31" t="str">
        <f>IF(GJ68/(INDEX('Standards for Conversions'!$H$34:$H$73,MATCH(GI$3,'Standards for Conversions'!$A$34:$A$73,0)))=0,"",GJ68/(INDEX('Standards for Conversions'!$H$34:$H$73,MATCH(GI$3,'Standards for Conversions'!$A$34:$A$73,0))))</f>
        <v/>
      </c>
      <c r="GL68" s="10" t="s">
        <v>59</v>
      </c>
      <c r="GM68" s="7"/>
      <c r="GN68" s="7"/>
      <c r="GO68" s="31" t="str">
        <f>IF(GN68/(INDEX('Standards for Conversions'!$H$34:$H$73,MATCH(GM$3,'Standards for Conversions'!$A$34:$A$73,0)))=0,"",GN68/(INDEX('Standards for Conversions'!$H$34:$H$73,MATCH(GM$3,'Standards for Conversions'!$A$34:$A$73,0))))</f>
        <v/>
      </c>
      <c r="GP68" s="10" t="s">
        <v>59</v>
      </c>
      <c r="GQ68" s="7"/>
      <c r="GR68" s="7"/>
      <c r="GS68" s="31" t="str">
        <f>IF(GR68/(INDEX('Standards for Conversions'!$H$34:$H$73,MATCH(GQ$3,'Standards for Conversions'!$A$34:$A$73,0)))=0,"",GR68/(INDEX('Standards for Conversions'!$H$34:$H$73,MATCH(GQ$3,'Standards for Conversions'!$A$34:$A$73,0))))</f>
        <v/>
      </c>
      <c r="GT68" s="10" t="s">
        <v>59</v>
      </c>
      <c r="GU68" s="9"/>
      <c r="GV68" s="9"/>
      <c r="GW68" s="31" t="str">
        <f>IF(GV68/(INDEX('Standards for Conversions'!$H$34:$H$73,MATCH(GU$3,'Standards for Conversions'!$A$34:$A$73,0)))=0,"",GV68/(INDEX('Standards for Conversions'!$H$34:$H$73,MATCH(GU$3,'Standards for Conversions'!$A$34:$A$73,0))))</f>
        <v/>
      </c>
      <c r="GX68" s="10" t="s">
        <v>59</v>
      </c>
      <c r="GY68" s="7"/>
      <c r="GZ68" s="7"/>
      <c r="HA68" s="31" t="str">
        <f>IF(GZ68/(INDEX('Standards for Conversions'!$H$34:$H$73,MATCH(GY$3,'Standards for Conversions'!$A$34:$A$73,0)))=0,"",GZ68/(INDEX('Standards for Conversions'!$H$34:$H$73,MATCH(GY$3,'Standards for Conversions'!$A$34:$A$73,0))))</f>
        <v/>
      </c>
      <c r="HB68" s="10" t="s">
        <v>59</v>
      </c>
      <c r="HC68" s="7"/>
      <c r="HD68" s="7"/>
      <c r="HE68" s="31" t="str">
        <f>IF(HD68/(INDEX('Standards for Conversions'!$H$34:$H$73,MATCH(HC$3,'Standards for Conversions'!$A$34:$A$73,0)))=0,"",HD68/(INDEX('Standards for Conversions'!$H$34:$H$73,MATCH(HC$3,'Standards for Conversions'!$A$34:$A$73,0))))</f>
        <v/>
      </c>
      <c r="HF68" s="10" t="s">
        <v>59</v>
      </c>
      <c r="HG68" s="7"/>
      <c r="HH68" s="7"/>
      <c r="HI68" s="31" t="str">
        <f>IF(HH68/(INDEX('Standards for Conversions'!$H$34:$H$73,MATCH(HG$3,'Standards for Conversions'!$A$34:$A$73,0)))=0,"",HH68/(INDEX('Standards for Conversions'!$H$34:$H$73,MATCH(HG$3,'Standards for Conversions'!$A$34:$A$73,0))))</f>
        <v/>
      </c>
      <c r="HJ68" s="10" t="s">
        <v>59</v>
      </c>
      <c r="HK68" s="9"/>
      <c r="HL68" s="9"/>
      <c r="HM68" s="31" t="str">
        <f>IF(HL68/(INDEX('Standards for Conversions'!$H$34:$H$73,MATCH(HK$3,'Standards for Conversions'!$A$34:$A$73,0)))=0,"",HL68/(INDEX('Standards for Conversions'!$H$34:$H$73,MATCH(HK$3,'Standards for Conversions'!$A$34:$A$73,0))))</f>
        <v/>
      </c>
      <c r="HN68" s="10" t="s">
        <v>59</v>
      </c>
      <c r="HO68" s="7"/>
      <c r="HP68" s="7"/>
      <c r="HQ68" s="31" t="str">
        <f>IF(HP68/(INDEX('Standards for Conversions'!$H$34:$H$73,MATCH(HO$3,'Standards for Conversions'!$A$34:$A$73,0)))=0,"",HP68/(INDEX('Standards for Conversions'!$H$34:$H$73,MATCH(HO$3,'Standards for Conversions'!$A$34:$A$73,0))))</f>
        <v/>
      </c>
      <c r="HR68" s="33" t="s">
        <v>59</v>
      </c>
      <c r="HU68" s="31" t="str">
        <f>IF(HT68/(INDEX('Standards for Conversions'!$H$47:$H$73,MATCH(HS$3,'Standards for Conversions'!$A$47:$A$73,0)))=0,"",HT68/(INDEX('Standards for Conversions'!$H$47:$H$73,MATCH(HS$3,'Standards for Conversions'!$A$47:$A$73,0))))</f>
        <v/>
      </c>
      <c r="HV68" s="33" t="s">
        <v>59</v>
      </c>
      <c r="HW68" s="29">
        <v>600</v>
      </c>
      <c r="HX68" s="29">
        <v>5000</v>
      </c>
      <c r="HY68" s="31">
        <f>IF(HX68/(INDEX('Standards for Conversions'!$H$47:$H$73,MATCH(HW$3,'Standards for Conversions'!$A$47:$A$73,0)))=0,"",HX68/(INDEX('Standards for Conversions'!$H$47:$H$73,MATCH(HW$3,'Standards for Conversions'!$A$47:$A$73,0))))</f>
        <v>726.22706106427984</v>
      </c>
      <c r="HZ68" s="33"/>
      <c r="IA68" s="33"/>
      <c r="IB68" s="31" t="str">
        <f>IF(IA68/(INDEX('Standards for Conversions'!$H$47:$H$73,MATCH(HZ$3,'Standards for Conversions'!$A$47:$A$73,0)))=0,"",IA68/(INDEX('Standards for Conversions'!$H$47:$H$73,MATCH(HZ$3,'Standards for Conversions'!$A$47:$A$73,0))))</f>
        <v/>
      </c>
      <c r="IC68" s="33" t="s">
        <v>59</v>
      </c>
      <c r="IF68" s="31" t="str">
        <f>IF(IE68/(INDEX('Standards for Conversions'!$H$47:$H$73,MATCH(ID$3,'Standards for Conversions'!$A$47:$A$73,0)))=0,"",IE68/(INDEX('Standards for Conversions'!$H$47:$H$73,MATCH(ID$3,'Standards for Conversions'!$A$47:$A$73,0))))</f>
        <v/>
      </c>
      <c r="IG68" s="33" t="s">
        <v>59</v>
      </c>
      <c r="IJ68" s="31" t="str">
        <f>IF(II68/(INDEX('Standards for Conversions'!$H$47:$H$73,MATCH(IH$3,'Standards for Conversions'!$A$47:$A$73,0)))=0,"",II68/(INDEX('Standards for Conversions'!$H$47:$H$73,MATCH(IH$3,'Standards for Conversions'!$A$47:$A$73,0))))</f>
        <v/>
      </c>
      <c r="IK68" s="33" t="s">
        <v>59</v>
      </c>
      <c r="IL68" s="29">
        <v>1172</v>
      </c>
      <c r="IM68" s="29">
        <v>5230</v>
      </c>
      <c r="IN68" s="31">
        <f>IF(IM68/(INDEX('Standards for Conversions'!$H$47:$H$73,MATCH(IL$3,'Standards for Conversions'!$A$47:$A$73,0)))=0,"",IM68/(INDEX('Standards for Conversions'!$H$47:$H$73,MATCH(IL$3,'Standards for Conversions'!$A$47:$A$73,0))))</f>
        <v>756.31149345688129</v>
      </c>
      <c r="IO68" s="33" t="s">
        <v>59</v>
      </c>
      <c r="IR68" s="31" t="str">
        <f>IF(IQ68/(INDEX('Standards for Conversions'!$H$47:$H$73,MATCH(IP$3,'Standards for Conversions'!$A$47:$A$73,0)))=0,"",IQ68/(INDEX('Standards for Conversions'!$H$47:$H$73,MATCH(IP$3,'Standards for Conversions'!$A$47:$A$73,0))))</f>
        <v/>
      </c>
      <c r="IS68" s="33" t="s">
        <v>59</v>
      </c>
      <c r="IV68" s="31" t="str">
        <f>IF(IU68/(INDEX('Standards for Conversions'!$H$47:$H$73,MATCH(IT$3,'Standards for Conversions'!$A$47:$A$73,0)))=0,"",IU68/(INDEX('Standards for Conversions'!$H$47:$H$73,MATCH(IT$3,'Standards for Conversions'!$A$47:$A$73,0))))</f>
        <v/>
      </c>
      <c r="IW68" s="33" t="s">
        <v>59</v>
      </c>
      <c r="IZ68" s="31" t="str">
        <f>IF(IY68/(INDEX('Standards for Conversions'!$H$47:$H$73,MATCH(IX$3,'Standards for Conversions'!$A$47:$A$73,0)))=0,"",IY68/(INDEX('Standards for Conversions'!$H$47:$H$73,MATCH(IX$3,'Standards for Conversions'!$A$47:$A$73,0))))</f>
        <v/>
      </c>
      <c r="JA68" s="48" t="s">
        <v>59</v>
      </c>
      <c r="JB68" s="29">
        <v>1000</v>
      </c>
      <c r="JC68" s="29">
        <v>11000</v>
      </c>
      <c r="JD68" s="31">
        <f>IF(JC68/(INDEX('Standards for Conversions'!$H$47:$H$73,MATCH(JB$3,'Standards for Conversions'!$A$47:$A$73,0)))=0,"",JC68/(INDEX('Standards for Conversions'!$H$47:$H$73,MATCH(JB$3,'Standards for Conversions'!$A$47:$A$73,0))))</f>
        <v>1779.3621636105556</v>
      </c>
      <c r="JE68" s="33"/>
      <c r="JH68" s="31" t="str">
        <f>IF(JG68/(INDEX('Standards for Conversions'!$H$47:$H$73,MATCH(JF$3,'Standards for Conversions'!$A$47:$A$73,0)))=0,"",JG68/(INDEX('Standards for Conversions'!$H$47:$H$73,MATCH(JF$3,'Standards for Conversions'!$A$47:$A$73,0))))</f>
        <v/>
      </c>
      <c r="JI68" s="48"/>
      <c r="JL68" s="31" t="str">
        <f>IF(JK68/(INDEX('Standards for Conversions'!$H$47:$H$73,MATCH(JJ$3,'Standards for Conversions'!$A$47:$A$73,0)))=0,"",JK68/(INDEX('Standards for Conversions'!$H$47:$H$73,MATCH(JJ$3,'Standards for Conversions'!$A$47:$A$73,0))))</f>
        <v/>
      </c>
      <c r="JM68" s="33" t="s">
        <v>59</v>
      </c>
      <c r="JP68" s="31" t="str">
        <f>IF(JO68/(INDEX('Standards for Conversions'!$H$47:$H$73,MATCH(JN$3,'Standards for Conversions'!$A$47:$A$73,0)))=0,"",JO68/(INDEX('Standards for Conversions'!$H$47:$H$73,MATCH(JN$3,'Standards for Conversions'!$A$47:$A$73,0))))</f>
        <v/>
      </c>
      <c r="JQ68" s="33" t="s">
        <v>59</v>
      </c>
      <c r="JR68" s="29">
        <v>1100</v>
      </c>
      <c r="JS68" s="29">
        <v>6000</v>
      </c>
      <c r="JT68" s="31">
        <f>IF(JS68/(INDEX('Standards for Conversions'!$H$47:$H$73,MATCH(JR$3,'Standards for Conversions'!$A$47:$A$73,0)))=0,"",JS68/(INDEX('Standards for Conversions'!$H$47:$H$73,MATCH(JR$3,'Standards for Conversions'!$A$47:$A$73,0))))</f>
        <v>915.93535456678535</v>
      </c>
      <c r="JU68" s="33" t="s">
        <v>59</v>
      </c>
      <c r="JX68" s="31" t="str">
        <f>IF(JW68/(INDEX('Standards for Conversions'!$H$47:$H$73,MATCH(JV$3,'Standards for Conversions'!$A$47:$A$73,0)))=0,"",JW68/(INDEX('Standards for Conversions'!$H$47:$H$73,MATCH(JV$3,'Standards for Conversions'!$A$47:$A$73,0))))</f>
        <v/>
      </c>
      <c r="JY68" s="33" t="s">
        <v>59</v>
      </c>
      <c r="KB68" s="31" t="str">
        <f>IF(KA68/(INDEX('Standards for Conversions'!$H$47:$H$73,MATCH(JZ$3,'Standards for Conversions'!$A$47:$A$73,0)))=0,"",KA68/(INDEX('Standards for Conversions'!$H$47:$H$73,MATCH(JZ$3,'Standards for Conversions'!$A$47:$A$73,0))))</f>
        <v/>
      </c>
      <c r="KC68" s="33" t="s">
        <v>59</v>
      </c>
      <c r="KF68" s="31" t="str">
        <f>IF(KE68/(INDEX('Standards for Conversions'!$H$47:$H$73,MATCH(KD$3,'Standards for Conversions'!$A$47:$A$73,0)))=0,"",KE68/(INDEX('Standards for Conversions'!$H$47:$H$73,MATCH(KD$3,'Standards for Conversions'!$A$47:$A$73,0))))</f>
        <v/>
      </c>
      <c r="KG68" s="33" t="s">
        <v>59</v>
      </c>
      <c r="KH68" s="29">
        <v>300</v>
      </c>
      <c r="KI68" s="29">
        <v>2000</v>
      </c>
      <c r="KJ68" s="31">
        <f>IF(KI68/(INDEX('Standards for Conversions'!$H$47:$H$73,MATCH(KH$3,'Standards for Conversions'!$A$47:$A$73,0)))=0,"",KI68/(INDEX('Standards for Conversions'!$H$47:$H$73,MATCH(KH$3,'Standards for Conversions'!$A$47:$A$73,0))))</f>
        <v>269.31802381159292</v>
      </c>
      <c r="KK68" s="33" t="s">
        <v>59</v>
      </c>
      <c r="KN68" s="31" t="str">
        <f>IF(KM68/(INDEX('Standards for Conversions'!$H$47:$H$73,MATCH(KL$3,'Standards for Conversions'!$A$47:$A$73,0)))=0,"",KM68/(INDEX('Standards for Conversions'!$H$47:$H$73,MATCH(KL$3,'Standards for Conversions'!$A$47:$A$73,0))))</f>
        <v/>
      </c>
      <c r="KO68" s="33" t="s">
        <v>59</v>
      </c>
      <c r="KR68" s="31" t="str">
        <f>IF(KQ68/(INDEX('Standards for Conversions'!$H$47:$H$73,MATCH(KP$3,'Standards for Conversions'!$A$47:$A$73,0)))=0,"",KQ68/(INDEX('Standards for Conversions'!$H$47:$H$73,MATCH(KP$3,'Standards for Conversions'!$A$47:$A$73,0))))</f>
        <v/>
      </c>
      <c r="KS68" s="33" t="s">
        <v>59</v>
      </c>
      <c r="KV68" s="31" t="str">
        <f>IF(KU68/(INDEX('Standards for Conversions'!$H$47:$H$73,MATCH(KT$3,'Standards for Conversions'!$A$47:$A$73,0)))=0,"",KU68/(INDEX('Standards for Conversions'!$H$47:$H$73,MATCH(KT$3,'Standards for Conversions'!$A$47:$A$73,0))))</f>
        <v/>
      </c>
      <c r="KW68" s="48" t="s">
        <v>59</v>
      </c>
      <c r="KX68" s="29">
        <v>1115</v>
      </c>
      <c r="KY68" s="29">
        <v>3750</v>
      </c>
      <c r="KZ68" s="31">
        <f>IF(KY68/(INDEX('Standards for Conversions'!$H$47:$H$73,MATCH(KX$3,'Standards for Conversions'!$A$47:$A$73,0)))=0,"",KY68/(INDEX('Standards for Conversions'!$H$47:$H$73,MATCH(KX$3,'Standards for Conversions'!$A$47:$A$73,0))))</f>
        <v>456.06212522812194</v>
      </c>
      <c r="LD68" s="31" t="str">
        <f>IF(LC68/(INDEX('Standards for Conversions'!$H$47:$H$73,MATCH(LB$3,'Standards for Conversions'!$A$47:$A$73,0)))=0,"",LC68/(INDEX('Standards for Conversions'!$H$47:$H$73,MATCH(LB$3,'Standards for Conversions'!$A$47:$A$73,0))))</f>
        <v/>
      </c>
      <c r="LE68" s="48"/>
      <c r="LH68" s="31" t="str">
        <f>IF(LG68/(INDEX('Standards for Conversions'!$H$47:$H$73,MATCH(LF$3,'Standards for Conversions'!$A$47:$A$73,0)))=0,"",LG68/(INDEX('Standards for Conversions'!$H$47:$H$73,MATCH(LF$3,'Standards for Conversions'!$A$47:$A$73,0))))</f>
        <v/>
      </c>
      <c r="LL68" s="31" t="str">
        <f>IF(LK68/(INDEX('Standards for Conversions'!$H$47:$H$73,MATCH(LJ$3,'Standards for Conversions'!$A$47:$A$73,0)))=0,"",LK68/(INDEX('Standards for Conversions'!$H$47:$H$73,MATCH(LJ$3,'Standards for Conversions'!$A$47:$A$73,0))))</f>
        <v/>
      </c>
      <c r="LO68" s="31" t="str">
        <f>IF(LN68/(INDEX('Standards for Conversions'!$H$47:$H$73,MATCH(LM$3,'Standards for Conversions'!$A$47:$A$73,0)))=0,"",LN68/(INDEX('Standards for Conversions'!$H$47:$H$73,MATCH(LM$3,'Standards for Conversions'!$A$47:$A$73,0))))</f>
        <v/>
      </c>
      <c r="LR68" s="31" t="str">
        <f>IF(LQ68/(INDEX('Standards for Conversions'!$H$47:$H$73,MATCH(LP$3,'Standards for Conversions'!$A$47:$A$73,0)))=0,"",LQ68/(INDEX('Standards for Conversions'!$H$47:$H$73,MATCH(LP$3,'Standards for Conversions'!$A$47:$A$73,0))))</f>
        <v/>
      </c>
      <c r="LV68" s="31" t="str">
        <f>IF(LU68/(INDEX('Standards for Conversions'!$H$47:$H$73,MATCH(LT$3,'Standards for Conversions'!$A$47:$A$73,0)))=0,"",LU68/(INDEX('Standards for Conversions'!$H$47:$H$73,MATCH(LT$3,'Standards for Conversions'!$A$47:$A$73,0))))</f>
        <v/>
      </c>
      <c r="LY68" s="31" t="str">
        <f>IF(LX68/(INDEX('Standards for Conversions'!$H$47:$H$73,MATCH(LW$3,'Standards for Conversions'!$A$47:$A$73,0)))=0,"",LX68/(INDEX('Standards for Conversions'!$H$47:$H$73,MATCH(LW$3,'Standards for Conversions'!$A$47:$A$73,0))))</f>
        <v/>
      </c>
      <c r="MB68" s="31" t="str">
        <f>IF(MA68/(INDEX('Standards for Conversions'!$H$47:$H$73,MATCH(LZ$3,'Standards for Conversions'!$A$47:$A$73,0)))=0,"",MA68/(INDEX('Standards for Conversions'!$H$47:$H$73,MATCH(LZ$3,'Standards for Conversions'!$A$47:$A$73,0))))</f>
        <v/>
      </c>
      <c r="ME68" s="31" t="str">
        <f>IF(MD68/(INDEX('Standards for Conversions'!$H$47:$H$73,MATCH(MC$3,'Standards for Conversions'!$A$47:$A$73,0)))=0,"",MD68/(INDEX('Standards for Conversions'!$H$47:$H$73,MATCH(MC$3,'Standards for Conversions'!$A$47:$A$73,0))))</f>
        <v/>
      </c>
      <c r="MH68" s="31" t="str">
        <f>IF(MG68/(INDEX('Standards for Conversions'!$H$47:$H$73,MATCH(MF$3,'Standards for Conversions'!$A$47:$A$73,0)))=0,"",MG68/(INDEX('Standards for Conversions'!$H$47:$H$73,MATCH(MF$3,'Standards for Conversions'!$A$47:$A$73,0))))</f>
        <v/>
      </c>
      <c r="MK68" s="31" t="str">
        <f>IF(MJ68/(INDEX('Standards for Conversions'!$H$47:$H$73,MATCH(MI$3,'Standards for Conversions'!$A$47:$A$73,0)))=0,"",MJ68/(INDEX('Standards for Conversions'!$H$47:$H$73,MATCH(MI$3,'Standards for Conversions'!$A$47:$A$73,0))))</f>
        <v/>
      </c>
      <c r="MN68" s="31" t="str">
        <f>IF(MM68/(INDEX('Standards for Conversions'!$H$47:$H$73,MATCH(ML$3,'Standards for Conversions'!$A$47:$A$73,0)))=0,"",MM68/(INDEX('Standards for Conversions'!$H$47:$H$73,MATCH(ML$3,'Standards for Conversions'!$A$47:$A$73,0))))</f>
        <v/>
      </c>
      <c r="MR68" s="31" t="str">
        <f>IF(MQ68/(INDEX('Standards for Conversions'!$H$47:$H$73,MATCH(MP$3,'Standards for Conversions'!$A$47:$A$73,0)))=0,"",MQ68/(INDEX('Standards for Conversions'!$H$47:$H$73,MATCH(MP$3,'Standards for Conversions'!$A$47:$A$73,0))))</f>
        <v/>
      </c>
    </row>
    <row r="69" spans="1:369" hidden="1" x14ac:dyDescent="0.3">
      <c r="A69" s="103" t="s">
        <v>244</v>
      </c>
      <c r="B69" s="10" t="s">
        <v>40</v>
      </c>
      <c r="C69" s="7"/>
      <c r="D69" s="7"/>
      <c r="E69" s="31" t="str">
        <f>IF(D69/(INDEX('Standards for Conversions'!$H$34:$H$73,MATCH(C$3,'Standards for Conversions'!$A$34:$A$73,0)))=0,"",D69/(INDEX('Standards for Conversions'!$H$34:$H$73,MATCH(C$3,'Standards for Conversions'!$A$34:$A$73,0))))</f>
        <v/>
      </c>
      <c r="F69" s="10" t="s">
        <v>40</v>
      </c>
      <c r="G69" s="7"/>
      <c r="H69" s="7"/>
      <c r="I69" s="31" t="str">
        <f>IF(H69/(INDEX('Standards for Conversions'!$H$34:$H$73,MATCH(G$3,'Standards for Conversions'!$A$34:$A$73,0)))=0,"",H69/(INDEX('Standards for Conversions'!$H$34:$H$73,MATCH(G$3,'Standards for Conversions'!$A$34:$A$73,0))))</f>
        <v/>
      </c>
      <c r="J69" s="10" t="s">
        <v>40</v>
      </c>
      <c r="K69" s="9"/>
      <c r="L69" s="9"/>
      <c r="M69" s="31" t="str">
        <f>IF(L69/(INDEX('Standards for Conversions'!$H$34:$H$73,MATCH(K$3,'Standards for Conversions'!$A$34:$A$73,0)))=0,"",L69/(INDEX('Standards for Conversions'!$H$34:$H$73,MATCH(K$3,'Standards for Conversions'!$A$34:$A$73,0))))</f>
        <v/>
      </c>
      <c r="N69" s="10" t="s">
        <v>40</v>
      </c>
      <c r="O69" s="7"/>
      <c r="P69" s="7"/>
      <c r="Q69" s="31" t="str">
        <f>IF(P69/(INDEX('Standards for Conversions'!$H$34:$H$73,MATCH(O$3,'Standards for Conversions'!$A$34:$A$73,0)))=0,"",P69/(INDEX('Standards for Conversions'!$H$34:$H$73,MATCH(O$3,'Standards for Conversions'!$A$34:$A$73,0))))</f>
        <v/>
      </c>
      <c r="R69" s="10" t="s">
        <v>40</v>
      </c>
      <c r="S69" s="7"/>
      <c r="T69" s="7"/>
      <c r="U69" s="31" t="str">
        <f>IF(T69/(INDEX('Standards for Conversions'!$H$34:$H$73,MATCH(S$3,'Standards for Conversions'!$A$34:$A$73,0)))=0,"",T69/(INDEX('Standards for Conversions'!$H$34:$H$73,MATCH(S$3,'Standards for Conversions'!$A$34:$A$73,0))))</f>
        <v/>
      </c>
      <c r="V69" s="10" t="s">
        <v>40</v>
      </c>
      <c r="W69" s="7"/>
      <c r="X69" s="7"/>
      <c r="Y69" s="31" t="str">
        <f>IF(X69/(INDEX('Standards for Conversions'!$H$34:$H$73,MATCH(W$3,'Standards for Conversions'!$A$34:$A$73,0)))=0,"",X69/(INDEX('Standards for Conversions'!$H$34:$H$73,MATCH(W$3,'Standards for Conversions'!$A$34:$A$73,0))))</f>
        <v/>
      </c>
      <c r="Z69" s="10" t="s">
        <v>40</v>
      </c>
      <c r="AA69" s="9"/>
      <c r="AB69" s="9"/>
      <c r="AC69" s="31" t="str">
        <f>IF(AB69/(INDEX('Standards for Conversions'!$H$34:$H$73,MATCH(AA$3,'Standards for Conversions'!$A$34:$A$73,0)))=0,"",AB69/(INDEX('Standards for Conversions'!$H$34:$H$73,MATCH(AA$3,'Standards for Conversions'!$A$34:$A$73,0))))</f>
        <v/>
      </c>
      <c r="AD69" s="10" t="s">
        <v>40</v>
      </c>
      <c r="AE69" s="7"/>
      <c r="AF69" s="7"/>
      <c r="AG69" s="31" t="str">
        <f>IF(AF69/(INDEX('Standards for Conversions'!$H$34:$H$73,MATCH(AE$3,'Standards for Conversions'!$A$34:$A$73,0)))=0,"",AF69/(INDEX('Standards for Conversions'!$H$34:$H$73,MATCH(AE$3,'Standards for Conversions'!$A$34:$A$73,0))))</f>
        <v/>
      </c>
      <c r="AH69" s="10" t="s">
        <v>40</v>
      </c>
      <c r="AI69" s="7"/>
      <c r="AJ69" s="7"/>
      <c r="AK69" s="31" t="str">
        <f>IF(AJ69/(INDEX('Standards for Conversions'!$H$34:$H$73,MATCH(AI$3,'Standards for Conversions'!$A$34:$A$73,0)))=0,"",AJ69/(INDEX('Standards for Conversions'!$H$34:$H$73,MATCH(AI$3,'Standards for Conversions'!$A$34:$A$73,0))))</f>
        <v/>
      </c>
      <c r="AL69" s="10" t="s">
        <v>40</v>
      </c>
      <c r="AM69" s="7"/>
      <c r="AN69" s="7"/>
      <c r="AO69" s="31" t="str">
        <f>IF(AN69/(INDEX('Standards for Conversions'!$H$34:$H$73,MATCH(AM$3,'Standards for Conversions'!$A$34:$A$73,0)))=0,"",AN69/(INDEX('Standards for Conversions'!$H$34:$H$73,MATCH(AM$3,'Standards for Conversions'!$A$34:$A$73,0))))</f>
        <v/>
      </c>
      <c r="AP69" s="10" t="s">
        <v>40</v>
      </c>
      <c r="AQ69" s="9"/>
      <c r="AR69" s="9"/>
      <c r="AS69" s="31" t="str">
        <f>IF(AR69/(INDEX('Standards for Conversions'!$H$34:$H$73,MATCH(AQ$3,'Standards for Conversions'!$A$34:$A$73,0)))=0,"",AR69/(INDEX('Standards for Conversions'!$H$34:$H$73,MATCH(AQ$3,'Standards for Conversions'!$A$34:$A$73,0))))</f>
        <v/>
      </c>
      <c r="AT69" s="10" t="s">
        <v>40</v>
      </c>
      <c r="AU69" s="7"/>
      <c r="AV69" s="7"/>
      <c r="AW69" s="31" t="str">
        <f>IF(AV69/(INDEX('Standards for Conversions'!$H$34:$H$73,MATCH(AU$3,'Standards for Conversions'!$A$34:$A$73,0)))=0,"",AV69/(INDEX('Standards for Conversions'!$H$34:$H$73,MATCH(AU$3,'Standards for Conversions'!$A$34:$A$73,0))))</f>
        <v/>
      </c>
      <c r="AX69" s="10" t="s">
        <v>40</v>
      </c>
      <c r="AY69" s="7"/>
      <c r="AZ69" s="7"/>
      <c r="BA69" s="31" t="str">
        <f>IF(AZ69/(INDEX('Standards for Conversions'!$H$34:$H$73,MATCH(AY$3,'Standards for Conversions'!$A$34:$A$73,0)))=0,"",AZ69/(INDEX('Standards for Conversions'!$H$34:$H$73,MATCH(AY$3,'Standards for Conversions'!$A$34:$A$73,0))))</f>
        <v/>
      </c>
      <c r="BB69" s="10" t="s">
        <v>40</v>
      </c>
      <c r="BC69" s="7"/>
      <c r="BD69" s="7"/>
      <c r="BE69" s="31" t="str">
        <f>IF(BD69/(INDEX('Standards for Conversions'!$H$34:$H$73,MATCH(BC$3,'Standards for Conversions'!$A$34:$A$73,0)))=0,"",BD69/(INDEX('Standards for Conversions'!$H$34:$H$73,MATCH(BC$3,'Standards for Conversions'!$A$34:$A$73,0))))</f>
        <v/>
      </c>
      <c r="BF69" s="10" t="s">
        <v>40</v>
      </c>
      <c r="BG69" s="9"/>
      <c r="BH69" s="9"/>
      <c r="BI69" s="31" t="str">
        <f>IF(BH69/(INDEX('Standards for Conversions'!$H$34:$H$73,MATCH(BG$3,'Standards for Conversions'!$A$34:$A$73,0)))=0,"",BH69/(INDEX('Standards for Conversions'!$H$34:$H$73,MATCH(BG$3,'Standards for Conversions'!$A$34:$A$73,0))))</f>
        <v/>
      </c>
      <c r="BJ69" s="10" t="s">
        <v>40</v>
      </c>
      <c r="BK69" s="7"/>
      <c r="BL69" s="7"/>
      <c r="BM69" s="31" t="str">
        <f>IF(BL69/(INDEX('Standards for Conversions'!$H$34:$H$73,MATCH(BK$3,'Standards for Conversions'!$A$34:$A$73,0)))=0,"",BL69/(INDEX('Standards for Conversions'!$H$34:$H$73,MATCH(BK$3,'Standards for Conversions'!$A$34:$A$73,0))))</f>
        <v/>
      </c>
      <c r="BN69" s="10" t="s">
        <v>40</v>
      </c>
      <c r="BO69" s="7"/>
      <c r="BP69" s="7"/>
      <c r="BQ69" s="31" t="str">
        <f>IF(BP69/(INDEX('Standards for Conversions'!$H$34:$H$73,MATCH(BO$3,'Standards for Conversions'!$A$34:$A$73,0)))=0,"",BP69/(INDEX('Standards for Conversions'!$H$34:$H$73,MATCH(BO$3,'Standards for Conversions'!$A$34:$A$73,0))))</f>
        <v/>
      </c>
      <c r="BR69" s="10" t="s">
        <v>40</v>
      </c>
      <c r="BS69" s="7"/>
      <c r="BT69" s="7"/>
      <c r="BU69" s="31" t="str">
        <f>IF(BT69/(INDEX('Standards for Conversions'!$H$34:$H$73,MATCH(BS$3,'Standards for Conversions'!$A$34:$A$73,0)))=0,"",BT69/(INDEX('Standards for Conversions'!$H$34:$H$73,MATCH(BS$3,'Standards for Conversions'!$A$34:$A$73,0))))</f>
        <v/>
      </c>
      <c r="BV69" s="10" t="s">
        <v>40</v>
      </c>
      <c r="BW69" s="9"/>
      <c r="BX69" s="9"/>
      <c r="BY69" s="31" t="str">
        <f>IF(BX69/(INDEX('Standards for Conversions'!$H$34:$H$73,MATCH(BW$3,'Standards for Conversions'!$A$34:$A$73,0)))=0,"",BX69/(INDEX('Standards for Conversions'!$H$34:$H$73,MATCH(BW$3,'Standards for Conversions'!$A$34:$A$73,0))))</f>
        <v/>
      </c>
      <c r="BZ69" s="10" t="s">
        <v>40</v>
      </c>
      <c r="CA69" s="7"/>
      <c r="CB69" s="7"/>
      <c r="CC69" s="31" t="str">
        <f>IF(CB69/(INDEX('Standards for Conversions'!$H$34:$H$73,MATCH(CA$3,'Standards for Conversions'!$A$34:$A$73,0)))=0,"",CB69/(INDEX('Standards for Conversions'!$H$34:$H$73,MATCH(CA$3,'Standards for Conversions'!$A$34:$A$73,0))))</f>
        <v/>
      </c>
      <c r="CD69" s="10" t="s">
        <v>40</v>
      </c>
      <c r="CE69" s="7"/>
      <c r="CF69" s="7"/>
      <c r="CG69" s="31" t="str">
        <f>IF(CF69/(INDEX('Standards for Conversions'!$H$34:$H$73,MATCH(CE$3,'Standards for Conversions'!$A$34:$A$73,0)))=0,"",CF69/(INDEX('Standards for Conversions'!$H$34:$H$73,MATCH(CE$3,'Standards for Conversions'!$A$34:$A$73,0))))</f>
        <v/>
      </c>
      <c r="CH69" s="10" t="s">
        <v>40</v>
      </c>
      <c r="CI69" s="7"/>
      <c r="CJ69" s="7"/>
      <c r="CK69" s="31" t="str">
        <f>IF(CJ69/(INDEX('Standards for Conversions'!$H$34:$H$73,MATCH(CI$3,'Standards for Conversions'!$A$34:$A$73,0)))=0,"",CJ69/(INDEX('Standards for Conversions'!$H$34:$H$73,MATCH(CI$3,'Standards for Conversions'!$A$34:$A$73,0))))</f>
        <v/>
      </c>
      <c r="CL69" s="10" t="s">
        <v>40</v>
      </c>
      <c r="CM69" s="9"/>
      <c r="CN69" s="9"/>
      <c r="CO69" s="31" t="str">
        <f>IF(CN69/(INDEX('Standards for Conversions'!$H$34:$H$73,MATCH(CM$3,'Standards for Conversions'!$A$34:$A$73,0)))=0,"",CN69/(INDEX('Standards for Conversions'!$H$34:$H$73,MATCH(CM$3,'Standards for Conversions'!$A$34:$A$73,0))))</f>
        <v/>
      </c>
      <c r="CP69" s="10" t="s">
        <v>40</v>
      </c>
      <c r="CQ69" s="7"/>
      <c r="CR69" s="7"/>
      <c r="CS69" s="31" t="str">
        <f>IF(CR69/(INDEX('Standards for Conversions'!$H$34:$H$73,MATCH(CQ$3,'Standards for Conversions'!$A$34:$A$73,0)))=0,"",CR69/(INDEX('Standards for Conversions'!$H$34:$H$73,MATCH(CQ$3,'Standards for Conversions'!$A$34:$A$73,0))))</f>
        <v/>
      </c>
      <c r="CT69" s="10" t="s">
        <v>40</v>
      </c>
      <c r="CU69" s="7"/>
      <c r="CV69" s="7"/>
      <c r="CW69" s="31" t="str">
        <f>IF(CV69/(INDEX('Standards for Conversions'!$H$34:$H$73,MATCH(CU$3,'Standards for Conversions'!$A$34:$A$73,0)))=0,"",CV69/(INDEX('Standards for Conversions'!$H$34:$H$73,MATCH(CU$3,'Standards for Conversions'!$A$34:$A$73,0))))</f>
        <v/>
      </c>
      <c r="CX69" s="10" t="s">
        <v>40</v>
      </c>
      <c r="CY69" s="7"/>
      <c r="CZ69" s="7"/>
      <c r="DA69" s="31" t="str">
        <f>IF(CZ69/(INDEX('Standards for Conversions'!$H$34:$H$73,MATCH(CY$3,'Standards for Conversions'!$A$34:$A$73,0)))=0,"",CZ69/(INDEX('Standards for Conversions'!$H$34:$H$73,MATCH(CY$3,'Standards for Conversions'!$A$34:$A$73,0))))</f>
        <v/>
      </c>
      <c r="DB69" s="10" t="s">
        <v>40</v>
      </c>
      <c r="DC69" s="9"/>
      <c r="DD69" s="9"/>
      <c r="DE69" s="31" t="str">
        <f>IF(DD69/(INDEX('Standards for Conversions'!$H$34:$H$73,MATCH(DC$3,'Standards for Conversions'!$A$34:$A$73,0)))=0,"",DD69/(INDEX('Standards for Conversions'!$H$34:$H$73,MATCH(DC$3,'Standards for Conversions'!$A$34:$A$73,0))))</f>
        <v/>
      </c>
      <c r="DF69" s="10" t="s">
        <v>40</v>
      </c>
      <c r="DG69" s="7"/>
      <c r="DH69" s="7"/>
      <c r="DI69" s="31" t="str">
        <f>IF(DH69/(INDEX('Standards for Conversions'!$H$34:$H$73,MATCH(DG$3,'Standards for Conversions'!$A$34:$A$73,0)))=0,"",DH69/(INDEX('Standards for Conversions'!$H$34:$H$73,MATCH(DG$3,'Standards for Conversions'!$A$34:$A$73,0))))</f>
        <v/>
      </c>
      <c r="DJ69" s="10" t="s">
        <v>40</v>
      </c>
      <c r="DK69" s="7"/>
      <c r="DL69" s="7"/>
      <c r="DM69" s="31" t="str">
        <f>IF(DL69/(INDEX('Standards for Conversions'!$H$34:$H$73,MATCH(DK$3,'Standards for Conversions'!$A$34:$A$73,0)))=0,"",DL69/(INDEX('Standards for Conversions'!$H$34:$H$73,MATCH(DK$3,'Standards for Conversions'!$A$34:$A$73,0))))</f>
        <v/>
      </c>
      <c r="DN69" s="10" t="s">
        <v>40</v>
      </c>
      <c r="DO69" s="7"/>
      <c r="DP69" s="7"/>
      <c r="DQ69" s="31" t="str">
        <f>IF(DP69/(INDEX('Standards for Conversions'!$H$34:$H$73,MATCH(DO$3,'Standards for Conversions'!$A$34:$A$73,0)))=0,"",DP69/(INDEX('Standards for Conversions'!$H$34:$H$73,MATCH(DO$3,'Standards for Conversions'!$A$34:$A$73,0))))</f>
        <v/>
      </c>
      <c r="DR69" s="10" t="s">
        <v>40</v>
      </c>
      <c r="DS69" s="9"/>
      <c r="DT69" s="9"/>
      <c r="DU69" s="31" t="str">
        <f>IF(DT69/(INDEX('Standards for Conversions'!$H$34:$H$73,MATCH(DS$3,'Standards for Conversions'!$A$34:$A$73,0)))=0,"",DT69/(INDEX('Standards for Conversions'!$H$34:$H$73,MATCH(DS$3,'Standards for Conversions'!$A$34:$A$73,0))))</f>
        <v/>
      </c>
      <c r="DV69" s="10" t="s">
        <v>40</v>
      </c>
      <c r="DW69" s="7"/>
      <c r="DX69" s="7"/>
      <c r="DY69" s="31" t="str">
        <f>IF(DX69/(INDEX('Standards for Conversions'!$H$34:$H$73,MATCH(DW$3,'Standards for Conversions'!$A$34:$A$73,0)))=0,"",DX69/(INDEX('Standards for Conversions'!$H$34:$H$73,MATCH(DW$3,'Standards for Conversions'!$A$34:$A$73,0))))</f>
        <v/>
      </c>
      <c r="DZ69" s="10" t="s">
        <v>40</v>
      </c>
      <c r="EA69" s="7"/>
      <c r="EB69" s="7"/>
      <c r="EC69" s="31" t="str">
        <f>IF(EB69/(INDEX('Standards for Conversions'!$H$34:$H$73,MATCH(EA$3,'Standards for Conversions'!$A$34:$A$73,0)))=0,"",EB69/(INDEX('Standards for Conversions'!$H$34:$H$73,MATCH(EA$3,'Standards for Conversions'!$A$34:$A$73,0))))</f>
        <v/>
      </c>
      <c r="ED69" s="10" t="s">
        <v>40</v>
      </c>
      <c r="EE69" s="7"/>
      <c r="EF69" s="7"/>
      <c r="EG69" s="31" t="str">
        <f>IF(EF69/(INDEX('Standards for Conversions'!$H$34:$H$73,MATCH(EE$3,'Standards for Conversions'!$A$34:$A$73,0)))=0,"",EF69/(INDEX('Standards for Conversions'!$H$34:$H$73,MATCH(EE$3,'Standards for Conversions'!$A$34:$A$73,0))))</f>
        <v/>
      </c>
      <c r="EH69" s="10" t="s">
        <v>40</v>
      </c>
      <c r="EI69" s="9"/>
      <c r="EJ69" s="9"/>
      <c r="EK69" s="31" t="str">
        <f>IF(EJ69/(INDEX('Standards for Conversions'!$H$34:$H$73,MATCH(EI$3,'Standards for Conversions'!$A$34:$A$73,0)))=0,"",EJ69/(INDEX('Standards for Conversions'!$H$34:$H$73,MATCH(EI$3,'Standards for Conversions'!$A$34:$A$73,0))))</f>
        <v/>
      </c>
      <c r="EL69" s="10" t="s">
        <v>40</v>
      </c>
      <c r="EM69" s="7"/>
      <c r="EN69" s="7"/>
      <c r="EO69" s="31" t="str">
        <f>IF(EN69/(INDEX('Standards for Conversions'!$H$34:$H$73,MATCH(EM$3,'Standards for Conversions'!$A$34:$A$73,0)))=0,"",EN69/(INDEX('Standards for Conversions'!$H$34:$H$73,MATCH(EM$3,'Standards for Conversions'!$A$34:$A$73,0))))</f>
        <v/>
      </c>
      <c r="EP69" s="10" t="s">
        <v>40</v>
      </c>
      <c r="EQ69" s="7"/>
      <c r="ER69" s="7"/>
      <c r="ES69" s="31" t="str">
        <f>IF(ER69/(INDEX('Standards for Conversions'!$H$34:$H$73,MATCH(EQ$3,'Standards for Conversions'!$A$34:$A$73,0)))=0,"",ER69/(INDEX('Standards for Conversions'!$H$34:$H$73,MATCH(EQ$3,'Standards for Conversions'!$A$34:$A$73,0))))</f>
        <v/>
      </c>
      <c r="ET69" s="10" t="s">
        <v>40</v>
      </c>
      <c r="EU69" s="7"/>
      <c r="EV69" s="7"/>
      <c r="EW69" s="31" t="str">
        <f>IF(EV69/(INDEX('Standards for Conversions'!$H$34:$H$73,MATCH(EU$3,'Standards for Conversions'!$A$34:$A$73,0)))=0,"",EV69/(INDEX('Standards for Conversions'!$H$34:$H$73,MATCH(EU$3,'Standards for Conversions'!$A$34:$A$73,0))))</f>
        <v/>
      </c>
      <c r="EX69" s="10" t="s">
        <v>40</v>
      </c>
      <c r="EY69" s="9"/>
      <c r="EZ69" s="9"/>
      <c r="FA69" s="31" t="str">
        <f>IF(EZ69/(INDEX('Standards for Conversions'!$H$34:$H$73,MATCH(EY$3,'Standards for Conversions'!$A$34:$A$73,0)))=0,"",EZ69/(INDEX('Standards for Conversions'!$H$34:$H$73,MATCH(EY$3,'Standards for Conversions'!$A$34:$A$73,0))))</f>
        <v/>
      </c>
      <c r="FB69" s="10" t="s">
        <v>40</v>
      </c>
      <c r="FC69" s="7"/>
      <c r="FD69" s="7"/>
      <c r="FE69" s="31" t="str">
        <f>IF(FD69/(INDEX('Standards for Conversions'!$H$34:$H$73,MATCH(FC$3,'Standards for Conversions'!$A$34:$A$73,0)))=0,"",FD69/(INDEX('Standards for Conversions'!$H$34:$H$73,MATCH(FC$3,'Standards for Conversions'!$A$34:$A$73,0))))</f>
        <v/>
      </c>
      <c r="FF69" s="10" t="s">
        <v>40</v>
      </c>
      <c r="FG69" s="7"/>
      <c r="FH69" s="7"/>
      <c r="FI69" s="31" t="str">
        <f>IF(FH69/(INDEX('Standards for Conversions'!$H$34:$H$73,MATCH(FG$3,'Standards for Conversions'!$A$34:$A$73,0)))=0,"",FH69/(INDEX('Standards for Conversions'!$H$34:$H$73,MATCH(FG$3,'Standards for Conversions'!$A$34:$A$73,0))))</f>
        <v/>
      </c>
      <c r="FJ69" s="10" t="s">
        <v>40</v>
      </c>
      <c r="FK69" s="7"/>
      <c r="FL69" s="7"/>
      <c r="FM69" s="31" t="str">
        <f>IF(FL69/(INDEX('Standards for Conversions'!$H$34:$H$73,MATCH(FK$3,'Standards for Conversions'!$A$34:$A$73,0)))=0,"",FL69/(INDEX('Standards for Conversions'!$H$34:$H$73,MATCH(FK$3,'Standards for Conversions'!$A$34:$A$73,0))))</f>
        <v/>
      </c>
      <c r="FN69" s="10" t="s">
        <v>40</v>
      </c>
      <c r="FO69" s="9"/>
      <c r="FP69" s="9"/>
      <c r="FQ69" s="31" t="str">
        <f>IF(FP69/(INDEX('Standards for Conversions'!$H$34:$H$73,MATCH(FO$3,'Standards for Conversions'!$A$34:$A$73,0)))=0,"",FP69/(INDEX('Standards for Conversions'!$H$34:$H$73,MATCH(FO$3,'Standards for Conversions'!$A$34:$A$73,0))))</f>
        <v/>
      </c>
      <c r="FR69" s="10" t="s">
        <v>40</v>
      </c>
      <c r="FS69" s="7"/>
      <c r="FT69" s="7"/>
      <c r="FU69" s="31" t="str">
        <f>IF(FT69/(INDEX('Standards for Conversions'!$H$34:$H$73,MATCH(FS$3,'Standards for Conversions'!$A$34:$A$73,0)))=0,"",FT69/(INDEX('Standards for Conversions'!$H$34:$H$73,MATCH(FS$3,'Standards for Conversions'!$A$34:$A$73,0))))</f>
        <v/>
      </c>
      <c r="FV69" s="10" t="s">
        <v>40</v>
      </c>
      <c r="FW69" s="7"/>
      <c r="FX69" s="7"/>
      <c r="FY69" s="31" t="str">
        <f>IF(FX69/(INDEX('Standards for Conversions'!$H$34:$H$73,MATCH(FW$3,'Standards for Conversions'!$A$34:$A$73,0)))=0,"",FX69/(INDEX('Standards for Conversions'!$H$34:$H$73,MATCH(FW$3,'Standards for Conversions'!$A$34:$A$73,0))))</f>
        <v/>
      </c>
      <c r="FZ69" s="10" t="s">
        <v>40</v>
      </c>
      <c r="GA69" s="7"/>
      <c r="GB69" s="7"/>
      <c r="GC69" s="31" t="str">
        <f>IF(GB69/(INDEX('Standards for Conversions'!$H$34:$H$73,MATCH(GA$3,'Standards for Conversions'!$A$34:$A$73,0)))=0,"",GB69/(INDEX('Standards for Conversions'!$H$34:$H$73,MATCH(GA$3,'Standards for Conversions'!$A$34:$A$73,0))))</f>
        <v/>
      </c>
      <c r="GD69" s="10" t="s">
        <v>40</v>
      </c>
      <c r="GE69" s="9"/>
      <c r="GF69" s="9"/>
      <c r="GG69" s="31" t="str">
        <f>IF(GF69/(INDEX('Standards for Conversions'!$H$34:$H$73,MATCH(GE$3,'Standards for Conversions'!$A$34:$A$73,0)))=0,"",GF69/(INDEX('Standards for Conversions'!$H$34:$H$73,MATCH(GE$3,'Standards for Conversions'!$A$34:$A$73,0))))</f>
        <v/>
      </c>
      <c r="GH69" s="10" t="s">
        <v>40</v>
      </c>
      <c r="GI69" s="7"/>
      <c r="GJ69" s="7"/>
      <c r="GK69" s="31" t="str">
        <f>IF(GJ69/(INDEX('Standards for Conversions'!$H$34:$H$73,MATCH(GI$3,'Standards for Conversions'!$A$34:$A$73,0)))=0,"",GJ69/(INDEX('Standards for Conversions'!$H$34:$H$73,MATCH(GI$3,'Standards for Conversions'!$A$34:$A$73,0))))</f>
        <v/>
      </c>
      <c r="GL69" s="10" t="s">
        <v>40</v>
      </c>
      <c r="GM69" s="7"/>
      <c r="GN69" s="7"/>
      <c r="GO69" s="31" t="str">
        <f>IF(GN69/(INDEX('Standards for Conversions'!$H$34:$H$73,MATCH(GM$3,'Standards for Conversions'!$A$34:$A$73,0)))=0,"",GN69/(INDEX('Standards for Conversions'!$H$34:$H$73,MATCH(GM$3,'Standards for Conversions'!$A$34:$A$73,0))))</f>
        <v/>
      </c>
      <c r="GP69" s="10" t="s">
        <v>40</v>
      </c>
      <c r="GQ69" s="7"/>
      <c r="GR69" s="7"/>
      <c r="GS69" s="31" t="str">
        <f>IF(GR69/(INDEX('Standards for Conversions'!$H$34:$H$73,MATCH(GQ$3,'Standards for Conversions'!$A$34:$A$73,0)))=0,"",GR69/(INDEX('Standards for Conversions'!$H$34:$H$73,MATCH(GQ$3,'Standards for Conversions'!$A$34:$A$73,0))))</f>
        <v/>
      </c>
      <c r="GT69" s="10" t="s">
        <v>40</v>
      </c>
      <c r="GU69" s="9"/>
      <c r="GV69" s="9"/>
      <c r="GW69" s="31" t="str">
        <f>IF(GV69/(INDEX('Standards for Conversions'!$H$34:$H$73,MATCH(GU$3,'Standards for Conversions'!$A$34:$A$73,0)))=0,"",GV69/(INDEX('Standards for Conversions'!$H$34:$H$73,MATCH(GU$3,'Standards for Conversions'!$A$34:$A$73,0))))</f>
        <v/>
      </c>
      <c r="GX69" s="10" t="s">
        <v>40</v>
      </c>
      <c r="GY69" s="7"/>
      <c r="GZ69" s="7"/>
      <c r="HA69" s="31" t="str">
        <f>IF(GZ69/(INDEX('Standards for Conversions'!$H$34:$H$73,MATCH(GY$3,'Standards for Conversions'!$A$34:$A$73,0)))=0,"",GZ69/(INDEX('Standards for Conversions'!$H$34:$H$73,MATCH(GY$3,'Standards for Conversions'!$A$34:$A$73,0))))</f>
        <v/>
      </c>
      <c r="HB69" s="10" t="s">
        <v>40</v>
      </c>
      <c r="HC69" s="7"/>
      <c r="HD69" s="7"/>
      <c r="HE69" s="31" t="str">
        <f>IF(HD69/(INDEX('Standards for Conversions'!$H$34:$H$73,MATCH(HC$3,'Standards for Conversions'!$A$34:$A$73,0)))=0,"",HD69/(INDEX('Standards for Conversions'!$H$34:$H$73,MATCH(HC$3,'Standards for Conversions'!$A$34:$A$73,0))))</f>
        <v/>
      </c>
      <c r="HF69" s="10" t="s">
        <v>40</v>
      </c>
      <c r="HG69" s="7"/>
      <c r="HH69" s="7"/>
      <c r="HI69" s="31" t="str">
        <f>IF(HH69/(INDEX('Standards for Conversions'!$H$34:$H$73,MATCH(HG$3,'Standards for Conversions'!$A$34:$A$73,0)))=0,"",HH69/(INDEX('Standards for Conversions'!$H$34:$H$73,MATCH(HG$3,'Standards for Conversions'!$A$34:$A$73,0))))</f>
        <v/>
      </c>
      <c r="HJ69" s="10" t="s">
        <v>40</v>
      </c>
      <c r="HK69" s="9"/>
      <c r="HL69" s="9"/>
      <c r="HM69" s="31" t="str">
        <f>IF(HL69/(INDEX('Standards for Conversions'!$H$34:$H$73,MATCH(HK$3,'Standards for Conversions'!$A$34:$A$73,0)))=0,"",HL69/(INDEX('Standards for Conversions'!$H$34:$H$73,MATCH(HK$3,'Standards for Conversions'!$A$34:$A$73,0))))</f>
        <v/>
      </c>
      <c r="HN69" s="10" t="s">
        <v>40</v>
      </c>
      <c r="HO69" s="7"/>
      <c r="HP69" s="7"/>
      <c r="HQ69" s="31" t="str">
        <f>IF(HP69/(INDEX('Standards for Conversions'!$H$34:$H$73,MATCH(HO$3,'Standards for Conversions'!$A$34:$A$73,0)))=0,"",HP69/(INDEX('Standards for Conversions'!$H$34:$H$73,MATCH(HO$3,'Standards for Conversions'!$A$34:$A$73,0))))</f>
        <v/>
      </c>
      <c r="HR69" s="33" t="s">
        <v>40</v>
      </c>
      <c r="HU69" s="31" t="str">
        <f>IF(HT69/(INDEX('Standards for Conversions'!$H$47:$H$73,MATCH(HS$3,'Standards for Conversions'!$A$47:$A$73,0)))=0,"",HT69/(INDEX('Standards for Conversions'!$H$47:$H$73,MATCH(HS$3,'Standards for Conversions'!$A$47:$A$73,0))))</f>
        <v/>
      </c>
      <c r="HV69" s="33" t="s">
        <v>40</v>
      </c>
      <c r="HW69" s="29">
        <v>30</v>
      </c>
      <c r="HX69" s="29">
        <v>600</v>
      </c>
      <c r="HY69" s="31">
        <f>IF(HX69/(INDEX('Standards for Conversions'!$H$47:$H$73,MATCH(HW$3,'Standards for Conversions'!$A$47:$A$73,0)))=0,"",HX69/(INDEX('Standards for Conversions'!$H$47:$H$73,MATCH(HW$3,'Standards for Conversions'!$A$47:$A$73,0))))</f>
        <v>87.147247327713572</v>
      </c>
      <c r="HZ69" s="33"/>
      <c r="IA69" s="33"/>
      <c r="IB69" s="31" t="str">
        <f>IF(IA69/(INDEX('Standards for Conversions'!$H$47:$H$73,MATCH(HZ$3,'Standards for Conversions'!$A$47:$A$73,0)))=0,"",IA69/(INDEX('Standards for Conversions'!$H$47:$H$73,MATCH(HZ$3,'Standards for Conversions'!$A$47:$A$73,0))))</f>
        <v/>
      </c>
      <c r="IC69" s="33" t="s">
        <v>40</v>
      </c>
      <c r="ID69" s="29">
        <v>200</v>
      </c>
      <c r="IE69" s="29">
        <v>2500</v>
      </c>
      <c r="IF69" s="31">
        <f>IF(IE69/(INDEX('Standards for Conversions'!$H$47:$H$73,MATCH(ID$3,'Standards for Conversions'!$A$47:$A$73,0)))=0,"",IE69/(INDEX('Standards for Conversions'!$H$47:$H$73,MATCH(ID$3,'Standards for Conversions'!$A$47:$A$73,0))))</f>
        <v>363.11353053213992</v>
      </c>
      <c r="IG69" s="33" t="s">
        <v>40</v>
      </c>
      <c r="IJ69" s="31" t="str">
        <f>IF(II69/(INDEX('Standards for Conversions'!$H$47:$H$73,MATCH(IH$3,'Standards for Conversions'!$A$47:$A$73,0)))=0,"",II69/(INDEX('Standards for Conversions'!$H$47:$H$73,MATCH(IH$3,'Standards for Conversions'!$A$47:$A$73,0))))</f>
        <v/>
      </c>
      <c r="IK69" s="33" t="s">
        <v>40</v>
      </c>
      <c r="IL69" s="29">
        <v>147</v>
      </c>
      <c r="IM69" s="29">
        <v>2128</v>
      </c>
      <c r="IN69" s="31">
        <f>IF(IM69/(INDEX('Standards for Conversions'!$H$47:$H$73,MATCH(IL$3,'Standards for Conversions'!$A$47:$A$73,0)))=0,"",IM69/(INDEX('Standards for Conversions'!$H$47:$H$73,MATCH(IL$3,'Standards for Conversions'!$A$47:$A$73,0))))</f>
        <v>307.73056559775205</v>
      </c>
      <c r="IO69" s="33" t="s">
        <v>40</v>
      </c>
      <c r="IR69" s="31" t="str">
        <f>IF(IQ69/(INDEX('Standards for Conversions'!$H$47:$H$73,MATCH(IP$3,'Standards for Conversions'!$A$47:$A$73,0)))=0,"",IQ69/(INDEX('Standards for Conversions'!$H$47:$H$73,MATCH(IP$3,'Standards for Conversions'!$A$47:$A$73,0))))</f>
        <v/>
      </c>
      <c r="IS69" s="33" t="s">
        <v>40</v>
      </c>
      <c r="IT69" s="29">
        <v>135</v>
      </c>
      <c r="IU69" s="29">
        <v>2650</v>
      </c>
      <c r="IV69" s="31">
        <f>IF(IU69/(INDEX('Standards for Conversions'!$H$47:$H$73,MATCH(IT$3,'Standards for Conversions'!$A$47:$A$73,0)))=0,"",IU69/(INDEX('Standards for Conversions'!$H$47:$H$73,MATCH(IT$3,'Standards for Conversions'!$A$47:$A$73,0))))</f>
        <v>383.21710471524574</v>
      </c>
      <c r="IW69" s="33" t="s">
        <v>40</v>
      </c>
      <c r="IZ69" s="31" t="str">
        <f>IF(IY69/(INDEX('Standards for Conversions'!$H$47:$H$73,MATCH(IX$3,'Standards for Conversions'!$A$47:$A$73,0)))=0,"",IY69/(INDEX('Standards for Conversions'!$H$47:$H$73,MATCH(IX$3,'Standards for Conversions'!$A$47:$A$73,0))))</f>
        <v/>
      </c>
      <c r="JA69" s="33" t="s">
        <v>40</v>
      </c>
      <c r="JB69" s="29">
        <v>15</v>
      </c>
      <c r="JC69" s="29">
        <v>2400</v>
      </c>
      <c r="JD69" s="31">
        <f>IF(JC69/(INDEX('Standards for Conversions'!$H$47:$H$73,MATCH(JB$3,'Standards for Conversions'!$A$47:$A$73,0)))=0,"",JC69/(INDEX('Standards for Conversions'!$H$47:$H$73,MATCH(JB$3,'Standards for Conversions'!$A$47:$A$73,0))))</f>
        <v>388.22447206048486</v>
      </c>
      <c r="JE69" s="33" t="s">
        <v>40</v>
      </c>
      <c r="JH69" s="31" t="str">
        <f>IF(JG69/(INDEX('Standards for Conversions'!$H$47:$H$73,MATCH(JF$3,'Standards for Conversions'!$A$47:$A$73,0)))=0,"",JG69/(INDEX('Standards for Conversions'!$H$47:$H$73,MATCH(JF$3,'Standards for Conversions'!$A$47:$A$73,0))))</f>
        <v/>
      </c>
      <c r="JI69" s="48" t="s">
        <v>40</v>
      </c>
      <c r="JJ69" s="29">
        <v>5</v>
      </c>
      <c r="JK69" s="29">
        <v>1200</v>
      </c>
      <c r="JL69" s="31">
        <f>IF(JK69/(INDEX('Standards for Conversions'!$H$47:$H$73,MATCH(JJ$3,'Standards for Conversions'!$A$47:$A$73,0)))=0,"",JK69/(INDEX('Standards for Conversions'!$H$47:$H$73,MATCH(JJ$3,'Standards for Conversions'!$A$47:$A$73,0))))</f>
        <v>194.11223603024243</v>
      </c>
      <c r="JM69" s="33" t="s">
        <v>40</v>
      </c>
      <c r="JP69" s="31" t="str">
        <f>IF(JO69/(INDEX('Standards for Conversions'!$H$47:$H$73,MATCH(JN$3,'Standards for Conversions'!$A$47:$A$73,0)))=0,"",JO69/(INDEX('Standards for Conversions'!$H$47:$H$73,MATCH(JN$3,'Standards for Conversions'!$A$47:$A$73,0))))</f>
        <v/>
      </c>
      <c r="JQ69" s="33" t="s">
        <v>40</v>
      </c>
      <c r="JR69" s="29">
        <v>150</v>
      </c>
      <c r="JS69" s="29">
        <v>2000</v>
      </c>
      <c r="JT69" s="31">
        <f>IF(JS69/(INDEX('Standards for Conversions'!$H$47:$H$73,MATCH(JR$3,'Standards for Conversions'!$A$47:$A$73,0)))=0,"",JS69/(INDEX('Standards for Conversions'!$H$47:$H$73,MATCH(JR$3,'Standards for Conversions'!$A$47:$A$73,0))))</f>
        <v>305.31178485559514</v>
      </c>
      <c r="JU69" s="33" t="s">
        <v>40</v>
      </c>
      <c r="JX69" s="31" t="str">
        <f>IF(JW69/(INDEX('Standards for Conversions'!$H$47:$H$73,MATCH(JV$3,'Standards for Conversions'!$A$47:$A$73,0)))=0,"",JW69/(INDEX('Standards for Conversions'!$H$47:$H$73,MATCH(JV$3,'Standards for Conversions'!$A$47:$A$73,0))))</f>
        <v/>
      </c>
      <c r="JY69" s="33" t="s">
        <v>40</v>
      </c>
      <c r="JZ69" s="29">
        <v>300</v>
      </c>
      <c r="KA69" s="29">
        <v>4000</v>
      </c>
      <c r="KB69" s="31">
        <f>IF(KA69/(INDEX('Standards for Conversions'!$H$47:$H$73,MATCH(JZ$3,'Standards for Conversions'!$A$47:$A$73,0)))=0,"",KA69/(INDEX('Standards for Conversions'!$H$47:$H$73,MATCH(JZ$3,'Standards for Conversions'!$A$47:$A$73,0))))</f>
        <v>610.62356971119027</v>
      </c>
      <c r="KC69" s="33" t="s">
        <v>40</v>
      </c>
      <c r="KF69" s="31" t="str">
        <f>IF(KE69/(INDEX('Standards for Conversions'!$H$47:$H$73,MATCH(KD$3,'Standards for Conversions'!$A$47:$A$73,0)))=0,"",KE69/(INDEX('Standards for Conversions'!$H$47:$H$73,MATCH(KD$3,'Standards for Conversions'!$A$47:$A$73,0))))</f>
        <v/>
      </c>
      <c r="KG69" s="33" t="s">
        <v>40</v>
      </c>
      <c r="KH69" s="29">
        <v>140</v>
      </c>
      <c r="KI69" s="29">
        <v>1800</v>
      </c>
      <c r="KJ69" s="31">
        <f>IF(KI69/(INDEX('Standards for Conversions'!$H$47:$H$73,MATCH(KH$3,'Standards for Conversions'!$A$47:$A$73,0)))=0,"",KI69/(INDEX('Standards for Conversions'!$H$47:$H$73,MATCH(KH$3,'Standards for Conversions'!$A$47:$A$73,0))))</f>
        <v>242.38622143043364</v>
      </c>
      <c r="KK69" s="33" t="s">
        <v>40</v>
      </c>
      <c r="KN69" s="31" t="str">
        <f>IF(KM69/(INDEX('Standards for Conversions'!$H$47:$H$73,MATCH(KL$3,'Standards for Conversions'!$A$47:$A$73,0)))=0,"",KM69/(INDEX('Standards for Conversions'!$H$47:$H$73,MATCH(KL$3,'Standards for Conversions'!$A$47:$A$73,0))))</f>
        <v/>
      </c>
      <c r="KO69" s="33" t="s">
        <v>40</v>
      </c>
      <c r="KP69" s="29">
        <v>250</v>
      </c>
      <c r="KQ69" s="29">
        <v>2800</v>
      </c>
      <c r="KR69" s="31">
        <f>IF(KQ69/(INDEX('Standards for Conversions'!$H$47:$H$73,MATCH(KP$3,'Standards for Conversions'!$A$47:$A$73,0)))=0,"",KQ69/(INDEX('Standards for Conversions'!$H$47:$H$73,MATCH(KP$3,'Standards for Conversions'!$A$47:$A$73,0))))</f>
        <v>377.04523333623007</v>
      </c>
      <c r="KS69" s="33" t="s">
        <v>40</v>
      </c>
      <c r="KV69" s="31" t="str">
        <f>IF(KU69/(INDEX('Standards for Conversions'!$H$47:$H$73,MATCH(KT$3,'Standards for Conversions'!$A$47:$A$73,0)))=0,"",KU69/(INDEX('Standards for Conversions'!$H$47:$H$73,MATCH(KT$3,'Standards for Conversions'!$A$47:$A$73,0))))</f>
        <v/>
      </c>
      <c r="KW69" s="33" t="s">
        <v>40</v>
      </c>
      <c r="KX69" s="29">
        <v>10</v>
      </c>
      <c r="KY69" s="29">
        <v>200</v>
      </c>
      <c r="KZ69" s="31">
        <f>IF(KY69/(INDEX('Standards for Conversions'!$H$47:$H$73,MATCH(KX$3,'Standards for Conversions'!$A$47:$A$73,0)))=0,"",KY69/(INDEX('Standards for Conversions'!$H$47:$H$73,MATCH(KX$3,'Standards for Conversions'!$A$47:$A$73,0))))</f>
        <v>24.323313345499837</v>
      </c>
      <c r="LA69" s="33" t="s">
        <v>40</v>
      </c>
      <c r="LD69" s="31" t="str">
        <f>IF(LC69/(INDEX('Standards for Conversions'!$H$47:$H$73,MATCH(LB$3,'Standards for Conversions'!$A$47:$A$73,0)))=0,"",LC69/(INDEX('Standards for Conversions'!$H$47:$H$73,MATCH(LB$3,'Standards for Conversions'!$A$47:$A$73,0))))</f>
        <v/>
      </c>
      <c r="LE69" s="48" t="s">
        <v>40</v>
      </c>
      <c r="LF69" s="29">
        <v>79</v>
      </c>
      <c r="LG69" s="29">
        <v>840</v>
      </c>
      <c r="LH69" s="31">
        <f>IF(LG69/(INDEX('Standards for Conversions'!$H$47:$H$73,MATCH(LF$3,'Standards for Conversions'!$A$47:$A$73,0)))=0,"",LG69/(INDEX('Standards for Conversions'!$H$47:$H$73,MATCH(LF$3,'Standards for Conversions'!$A$47:$A$73,0))))</f>
        <v>102.15791605109931</v>
      </c>
      <c r="LL69" s="31" t="str">
        <f>IF(LK69/(INDEX('Standards for Conversions'!$H$47:$H$73,MATCH(LJ$3,'Standards for Conversions'!$A$47:$A$73,0)))=0,"",LK69/(INDEX('Standards for Conversions'!$H$47:$H$73,MATCH(LJ$3,'Standards for Conversions'!$A$47:$A$73,0))))</f>
        <v/>
      </c>
      <c r="LO69" s="31" t="str">
        <f>IF(LN69/(INDEX('Standards for Conversions'!$H$47:$H$73,MATCH(LM$3,'Standards for Conversions'!$A$47:$A$73,0)))=0,"",LN69/(INDEX('Standards for Conversions'!$H$47:$H$73,MATCH(LM$3,'Standards for Conversions'!$A$47:$A$73,0))))</f>
        <v/>
      </c>
      <c r="LR69" s="31" t="str">
        <f>IF(LQ69/(INDEX('Standards for Conversions'!$H$47:$H$73,MATCH(LP$3,'Standards for Conversions'!$A$47:$A$73,0)))=0,"",LQ69/(INDEX('Standards for Conversions'!$H$47:$H$73,MATCH(LP$3,'Standards for Conversions'!$A$47:$A$73,0))))</f>
        <v/>
      </c>
      <c r="LV69" s="31" t="str">
        <f>IF(LU69/(INDEX('Standards for Conversions'!$H$47:$H$73,MATCH(LT$3,'Standards for Conversions'!$A$47:$A$73,0)))=0,"",LU69/(INDEX('Standards for Conversions'!$H$47:$H$73,MATCH(LT$3,'Standards for Conversions'!$A$47:$A$73,0))))</f>
        <v/>
      </c>
      <c r="LY69" s="31" t="str">
        <f>IF(LX69/(INDEX('Standards for Conversions'!$H$47:$H$73,MATCH(LW$3,'Standards for Conversions'!$A$47:$A$73,0)))=0,"",LX69/(INDEX('Standards for Conversions'!$H$47:$H$73,MATCH(LW$3,'Standards for Conversions'!$A$47:$A$73,0))))</f>
        <v/>
      </c>
      <c r="MB69" s="31" t="str">
        <f>IF(MA69/(INDEX('Standards for Conversions'!$H$47:$H$73,MATCH(LZ$3,'Standards for Conversions'!$A$47:$A$73,0)))=0,"",MA69/(INDEX('Standards for Conversions'!$H$47:$H$73,MATCH(LZ$3,'Standards for Conversions'!$A$47:$A$73,0))))</f>
        <v/>
      </c>
      <c r="ME69" s="31" t="str">
        <f>IF(MD69/(INDEX('Standards for Conversions'!$H$47:$H$73,MATCH(MC$3,'Standards for Conversions'!$A$47:$A$73,0)))=0,"",MD69/(INDEX('Standards for Conversions'!$H$47:$H$73,MATCH(MC$3,'Standards for Conversions'!$A$47:$A$73,0))))</f>
        <v/>
      </c>
      <c r="MH69" s="31" t="str">
        <f>IF(MG69/(INDEX('Standards for Conversions'!$H$47:$H$73,MATCH(MF$3,'Standards for Conversions'!$A$47:$A$73,0)))=0,"",MG69/(INDEX('Standards for Conversions'!$H$47:$H$73,MATCH(MF$3,'Standards for Conversions'!$A$47:$A$73,0))))</f>
        <v/>
      </c>
      <c r="MK69" s="31" t="str">
        <f>IF(MJ69/(INDEX('Standards for Conversions'!$H$47:$H$73,MATCH(MI$3,'Standards for Conversions'!$A$47:$A$73,0)))=0,"",MJ69/(INDEX('Standards for Conversions'!$H$47:$H$73,MATCH(MI$3,'Standards for Conversions'!$A$47:$A$73,0))))</f>
        <v/>
      </c>
      <c r="MN69" s="31" t="str">
        <f>IF(MM69/(INDEX('Standards for Conversions'!$H$47:$H$73,MATCH(ML$3,'Standards for Conversions'!$A$47:$A$73,0)))=0,"",MM69/(INDEX('Standards for Conversions'!$H$47:$H$73,MATCH(ML$3,'Standards for Conversions'!$A$47:$A$73,0))))</f>
        <v/>
      </c>
      <c r="MR69" s="31" t="str">
        <f>IF(MQ69/(INDEX('Standards for Conversions'!$H$47:$H$73,MATCH(MP$3,'Standards for Conversions'!$A$47:$A$73,0)))=0,"",MQ69/(INDEX('Standards for Conversions'!$H$47:$H$73,MATCH(MP$3,'Standards for Conversions'!$A$47:$A$73,0))))</f>
        <v/>
      </c>
    </row>
    <row r="70" spans="1:369" hidden="1" x14ac:dyDescent="0.3">
      <c r="A70" s="103" t="s">
        <v>245</v>
      </c>
      <c r="B70" s="10" t="s">
        <v>42</v>
      </c>
      <c r="C70" s="7"/>
      <c r="D70" s="7"/>
      <c r="E70" s="31" t="str">
        <f>IF(D70/(INDEX('Standards for Conversions'!$H$34:$H$73,MATCH(C$3,'Standards for Conversions'!$A$34:$A$73,0)))=0,"",D70/(INDEX('Standards for Conversions'!$H$34:$H$73,MATCH(C$3,'Standards for Conversions'!$A$34:$A$73,0))))</f>
        <v/>
      </c>
      <c r="F70" s="10" t="s">
        <v>42</v>
      </c>
      <c r="G70" s="7"/>
      <c r="H70" s="7"/>
      <c r="I70" s="31" t="str">
        <f>IF(H70/(INDEX('Standards for Conversions'!$H$34:$H$73,MATCH(G$3,'Standards for Conversions'!$A$34:$A$73,0)))=0,"",H70/(INDEX('Standards for Conversions'!$H$34:$H$73,MATCH(G$3,'Standards for Conversions'!$A$34:$A$73,0))))</f>
        <v/>
      </c>
      <c r="J70" s="10" t="s">
        <v>42</v>
      </c>
      <c r="K70" s="9"/>
      <c r="L70" s="9"/>
      <c r="M70" s="31" t="str">
        <f>IF(L70/(INDEX('Standards for Conversions'!$H$34:$H$73,MATCH(K$3,'Standards for Conversions'!$A$34:$A$73,0)))=0,"",L70/(INDEX('Standards for Conversions'!$H$34:$H$73,MATCH(K$3,'Standards for Conversions'!$A$34:$A$73,0))))</f>
        <v/>
      </c>
      <c r="N70" s="10" t="s">
        <v>42</v>
      </c>
      <c r="O70" s="7"/>
      <c r="P70" s="7"/>
      <c r="Q70" s="31" t="str">
        <f>IF(P70/(INDEX('Standards for Conversions'!$H$34:$H$73,MATCH(O$3,'Standards for Conversions'!$A$34:$A$73,0)))=0,"",P70/(INDEX('Standards for Conversions'!$H$34:$H$73,MATCH(O$3,'Standards for Conversions'!$A$34:$A$73,0))))</f>
        <v/>
      </c>
      <c r="R70" s="10" t="s">
        <v>42</v>
      </c>
      <c r="S70" s="7"/>
      <c r="T70" s="7"/>
      <c r="U70" s="31" t="str">
        <f>IF(T70/(INDEX('Standards for Conversions'!$H$34:$H$73,MATCH(S$3,'Standards for Conversions'!$A$34:$A$73,0)))=0,"",T70/(INDEX('Standards for Conversions'!$H$34:$H$73,MATCH(S$3,'Standards for Conversions'!$A$34:$A$73,0))))</f>
        <v/>
      </c>
      <c r="V70" s="10" t="s">
        <v>42</v>
      </c>
      <c r="W70" s="7"/>
      <c r="X70" s="7"/>
      <c r="Y70" s="31" t="str">
        <f>IF(X70/(INDEX('Standards for Conversions'!$H$34:$H$73,MATCH(W$3,'Standards for Conversions'!$A$34:$A$73,0)))=0,"",X70/(INDEX('Standards for Conversions'!$H$34:$H$73,MATCH(W$3,'Standards for Conversions'!$A$34:$A$73,0))))</f>
        <v/>
      </c>
      <c r="Z70" s="10" t="s">
        <v>42</v>
      </c>
      <c r="AA70" s="9"/>
      <c r="AB70" s="9"/>
      <c r="AC70" s="31" t="str">
        <f>IF(AB70/(INDEX('Standards for Conversions'!$H$34:$H$73,MATCH(AA$3,'Standards for Conversions'!$A$34:$A$73,0)))=0,"",AB70/(INDEX('Standards for Conversions'!$H$34:$H$73,MATCH(AA$3,'Standards for Conversions'!$A$34:$A$73,0))))</f>
        <v/>
      </c>
      <c r="AD70" s="10" t="s">
        <v>42</v>
      </c>
      <c r="AE70" s="7"/>
      <c r="AF70" s="7"/>
      <c r="AG70" s="31" t="str">
        <f>IF(AF70/(INDEX('Standards for Conversions'!$H$34:$H$73,MATCH(AE$3,'Standards for Conversions'!$A$34:$A$73,0)))=0,"",AF70/(INDEX('Standards for Conversions'!$H$34:$H$73,MATCH(AE$3,'Standards for Conversions'!$A$34:$A$73,0))))</f>
        <v/>
      </c>
      <c r="AH70" s="10" t="s">
        <v>42</v>
      </c>
      <c r="AI70" s="7"/>
      <c r="AJ70" s="7"/>
      <c r="AK70" s="31" t="str">
        <f>IF(AJ70/(INDEX('Standards for Conversions'!$H$34:$H$73,MATCH(AI$3,'Standards for Conversions'!$A$34:$A$73,0)))=0,"",AJ70/(INDEX('Standards for Conversions'!$H$34:$H$73,MATCH(AI$3,'Standards for Conversions'!$A$34:$A$73,0))))</f>
        <v/>
      </c>
      <c r="AL70" s="10" t="s">
        <v>42</v>
      </c>
      <c r="AM70" s="7"/>
      <c r="AN70" s="7"/>
      <c r="AO70" s="31" t="str">
        <f>IF(AN70/(INDEX('Standards for Conversions'!$H$34:$H$73,MATCH(AM$3,'Standards for Conversions'!$A$34:$A$73,0)))=0,"",AN70/(INDEX('Standards for Conversions'!$H$34:$H$73,MATCH(AM$3,'Standards for Conversions'!$A$34:$A$73,0))))</f>
        <v/>
      </c>
      <c r="AP70" s="10" t="s">
        <v>42</v>
      </c>
      <c r="AQ70" s="9"/>
      <c r="AR70" s="9"/>
      <c r="AS70" s="31" t="str">
        <f>IF(AR70/(INDEX('Standards for Conversions'!$H$34:$H$73,MATCH(AQ$3,'Standards for Conversions'!$A$34:$A$73,0)))=0,"",AR70/(INDEX('Standards for Conversions'!$H$34:$H$73,MATCH(AQ$3,'Standards for Conversions'!$A$34:$A$73,0))))</f>
        <v/>
      </c>
      <c r="AT70" s="10" t="s">
        <v>42</v>
      </c>
      <c r="AU70" s="7"/>
      <c r="AV70" s="7"/>
      <c r="AW70" s="31" t="str">
        <f>IF(AV70/(INDEX('Standards for Conversions'!$H$34:$H$73,MATCH(AU$3,'Standards for Conversions'!$A$34:$A$73,0)))=0,"",AV70/(INDEX('Standards for Conversions'!$H$34:$H$73,MATCH(AU$3,'Standards for Conversions'!$A$34:$A$73,0))))</f>
        <v/>
      </c>
      <c r="AX70" s="10" t="s">
        <v>42</v>
      </c>
      <c r="AY70" s="7"/>
      <c r="AZ70" s="7"/>
      <c r="BA70" s="31" t="str">
        <f>IF(AZ70/(INDEX('Standards for Conversions'!$H$34:$H$73,MATCH(AY$3,'Standards for Conversions'!$A$34:$A$73,0)))=0,"",AZ70/(INDEX('Standards for Conversions'!$H$34:$H$73,MATCH(AY$3,'Standards for Conversions'!$A$34:$A$73,0))))</f>
        <v/>
      </c>
      <c r="BB70" s="10" t="s">
        <v>42</v>
      </c>
      <c r="BC70" s="7"/>
      <c r="BD70" s="7"/>
      <c r="BE70" s="31" t="str">
        <f>IF(BD70/(INDEX('Standards for Conversions'!$H$34:$H$73,MATCH(BC$3,'Standards for Conversions'!$A$34:$A$73,0)))=0,"",BD70/(INDEX('Standards for Conversions'!$H$34:$H$73,MATCH(BC$3,'Standards for Conversions'!$A$34:$A$73,0))))</f>
        <v/>
      </c>
      <c r="BF70" s="10" t="s">
        <v>42</v>
      </c>
      <c r="BG70" s="9"/>
      <c r="BH70" s="9"/>
      <c r="BI70" s="31" t="str">
        <f>IF(BH70/(INDEX('Standards for Conversions'!$H$34:$H$73,MATCH(BG$3,'Standards for Conversions'!$A$34:$A$73,0)))=0,"",BH70/(INDEX('Standards for Conversions'!$H$34:$H$73,MATCH(BG$3,'Standards for Conversions'!$A$34:$A$73,0))))</f>
        <v/>
      </c>
      <c r="BJ70" s="10" t="s">
        <v>42</v>
      </c>
      <c r="BK70" s="7"/>
      <c r="BL70" s="7"/>
      <c r="BM70" s="31" t="str">
        <f>IF(BL70/(INDEX('Standards for Conversions'!$H$34:$H$73,MATCH(BK$3,'Standards for Conversions'!$A$34:$A$73,0)))=0,"",BL70/(INDEX('Standards for Conversions'!$H$34:$H$73,MATCH(BK$3,'Standards for Conversions'!$A$34:$A$73,0))))</f>
        <v/>
      </c>
      <c r="BN70" s="10" t="s">
        <v>42</v>
      </c>
      <c r="BO70" s="7"/>
      <c r="BP70" s="7"/>
      <c r="BQ70" s="31" t="str">
        <f>IF(BP70/(INDEX('Standards for Conversions'!$H$34:$H$73,MATCH(BO$3,'Standards for Conversions'!$A$34:$A$73,0)))=0,"",BP70/(INDEX('Standards for Conversions'!$H$34:$H$73,MATCH(BO$3,'Standards for Conversions'!$A$34:$A$73,0))))</f>
        <v/>
      </c>
      <c r="BR70" s="10" t="s">
        <v>42</v>
      </c>
      <c r="BS70" s="7"/>
      <c r="BT70" s="7"/>
      <c r="BU70" s="31" t="str">
        <f>IF(BT70/(INDEX('Standards for Conversions'!$H$34:$H$73,MATCH(BS$3,'Standards for Conversions'!$A$34:$A$73,0)))=0,"",BT70/(INDEX('Standards for Conversions'!$H$34:$H$73,MATCH(BS$3,'Standards for Conversions'!$A$34:$A$73,0))))</f>
        <v/>
      </c>
      <c r="BV70" s="10" t="s">
        <v>42</v>
      </c>
      <c r="BW70" s="9"/>
      <c r="BX70" s="9"/>
      <c r="BY70" s="31" t="str">
        <f>IF(BX70/(INDEX('Standards for Conversions'!$H$34:$H$73,MATCH(BW$3,'Standards for Conversions'!$A$34:$A$73,0)))=0,"",BX70/(INDEX('Standards for Conversions'!$H$34:$H$73,MATCH(BW$3,'Standards for Conversions'!$A$34:$A$73,0))))</f>
        <v/>
      </c>
      <c r="BZ70" s="10" t="s">
        <v>42</v>
      </c>
      <c r="CA70" s="7"/>
      <c r="CB70" s="7"/>
      <c r="CC70" s="31" t="str">
        <f>IF(CB70/(INDEX('Standards for Conversions'!$H$34:$H$73,MATCH(CA$3,'Standards for Conversions'!$A$34:$A$73,0)))=0,"",CB70/(INDEX('Standards for Conversions'!$H$34:$H$73,MATCH(CA$3,'Standards for Conversions'!$A$34:$A$73,0))))</f>
        <v/>
      </c>
      <c r="CD70" s="10" t="s">
        <v>42</v>
      </c>
      <c r="CE70" s="7"/>
      <c r="CF70" s="7"/>
      <c r="CG70" s="31" t="str">
        <f>IF(CF70/(INDEX('Standards for Conversions'!$H$34:$H$73,MATCH(CE$3,'Standards for Conversions'!$A$34:$A$73,0)))=0,"",CF70/(INDEX('Standards for Conversions'!$H$34:$H$73,MATCH(CE$3,'Standards for Conversions'!$A$34:$A$73,0))))</f>
        <v/>
      </c>
      <c r="CH70" s="10" t="s">
        <v>42</v>
      </c>
      <c r="CI70" s="7"/>
      <c r="CJ70" s="7"/>
      <c r="CK70" s="31" t="str">
        <f>IF(CJ70/(INDEX('Standards for Conversions'!$H$34:$H$73,MATCH(CI$3,'Standards for Conversions'!$A$34:$A$73,0)))=0,"",CJ70/(INDEX('Standards for Conversions'!$H$34:$H$73,MATCH(CI$3,'Standards for Conversions'!$A$34:$A$73,0))))</f>
        <v/>
      </c>
      <c r="CL70" s="10" t="s">
        <v>42</v>
      </c>
      <c r="CM70" s="9"/>
      <c r="CN70" s="9"/>
      <c r="CO70" s="31" t="str">
        <f>IF(CN70/(INDEX('Standards for Conversions'!$H$34:$H$73,MATCH(CM$3,'Standards for Conversions'!$A$34:$A$73,0)))=0,"",CN70/(INDEX('Standards for Conversions'!$H$34:$H$73,MATCH(CM$3,'Standards for Conversions'!$A$34:$A$73,0))))</f>
        <v/>
      </c>
      <c r="CP70" s="10" t="s">
        <v>42</v>
      </c>
      <c r="CQ70" s="7"/>
      <c r="CR70" s="7"/>
      <c r="CS70" s="31" t="str">
        <f>IF(CR70/(INDEX('Standards for Conversions'!$H$34:$H$73,MATCH(CQ$3,'Standards for Conversions'!$A$34:$A$73,0)))=0,"",CR70/(INDEX('Standards for Conversions'!$H$34:$H$73,MATCH(CQ$3,'Standards for Conversions'!$A$34:$A$73,0))))</f>
        <v/>
      </c>
      <c r="CT70" s="10" t="s">
        <v>42</v>
      </c>
      <c r="CU70" s="7"/>
      <c r="CV70" s="7"/>
      <c r="CW70" s="31" t="str">
        <f>IF(CV70/(INDEX('Standards for Conversions'!$H$34:$H$73,MATCH(CU$3,'Standards for Conversions'!$A$34:$A$73,0)))=0,"",CV70/(INDEX('Standards for Conversions'!$H$34:$H$73,MATCH(CU$3,'Standards for Conversions'!$A$34:$A$73,0))))</f>
        <v/>
      </c>
      <c r="CX70" s="10" t="s">
        <v>42</v>
      </c>
      <c r="CY70" s="7"/>
      <c r="CZ70" s="7"/>
      <c r="DA70" s="31" t="str">
        <f>IF(CZ70/(INDEX('Standards for Conversions'!$H$34:$H$73,MATCH(CY$3,'Standards for Conversions'!$A$34:$A$73,0)))=0,"",CZ70/(INDEX('Standards for Conversions'!$H$34:$H$73,MATCH(CY$3,'Standards for Conversions'!$A$34:$A$73,0))))</f>
        <v/>
      </c>
      <c r="DB70" s="10" t="s">
        <v>42</v>
      </c>
      <c r="DC70" s="9"/>
      <c r="DD70" s="9"/>
      <c r="DE70" s="31" t="str">
        <f>IF(DD70/(INDEX('Standards for Conversions'!$H$34:$H$73,MATCH(DC$3,'Standards for Conversions'!$A$34:$A$73,0)))=0,"",DD70/(INDEX('Standards for Conversions'!$H$34:$H$73,MATCH(DC$3,'Standards for Conversions'!$A$34:$A$73,0))))</f>
        <v/>
      </c>
      <c r="DF70" s="10" t="s">
        <v>42</v>
      </c>
      <c r="DG70" s="7"/>
      <c r="DH70" s="7"/>
      <c r="DI70" s="31" t="str">
        <f>IF(DH70/(INDEX('Standards for Conversions'!$H$34:$H$73,MATCH(DG$3,'Standards for Conversions'!$A$34:$A$73,0)))=0,"",DH70/(INDEX('Standards for Conversions'!$H$34:$H$73,MATCH(DG$3,'Standards for Conversions'!$A$34:$A$73,0))))</f>
        <v/>
      </c>
      <c r="DJ70" s="10" t="s">
        <v>42</v>
      </c>
      <c r="DK70" s="7"/>
      <c r="DL70" s="7"/>
      <c r="DM70" s="31" t="str">
        <f>IF(DL70/(INDEX('Standards for Conversions'!$H$34:$H$73,MATCH(DK$3,'Standards for Conversions'!$A$34:$A$73,0)))=0,"",DL70/(INDEX('Standards for Conversions'!$H$34:$H$73,MATCH(DK$3,'Standards for Conversions'!$A$34:$A$73,0))))</f>
        <v/>
      </c>
      <c r="DN70" s="10" t="s">
        <v>42</v>
      </c>
      <c r="DO70" s="7"/>
      <c r="DP70" s="7"/>
      <c r="DQ70" s="31" t="str">
        <f>IF(DP70/(INDEX('Standards for Conversions'!$H$34:$H$73,MATCH(DO$3,'Standards for Conversions'!$A$34:$A$73,0)))=0,"",DP70/(INDEX('Standards for Conversions'!$H$34:$H$73,MATCH(DO$3,'Standards for Conversions'!$A$34:$A$73,0))))</f>
        <v/>
      </c>
      <c r="DR70" s="10" t="s">
        <v>42</v>
      </c>
      <c r="DS70" s="9"/>
      <c r="DT70" s="9"/>
      <c r="DU70" s="31" t="str">
        <f>IF(DT70/(INDEX('Standards for Conversions'!$H$34:$H$73,MATCH(DS$3,'Standards for Conversions'!$A$34:$A$73,0)))=0,"",DT70/(INDEX('Standards for Conversions'!$H$34:$H$73,MATCH(DS$3,'Standards for Conversions'!$A$34:$A$73,0))))</f>
        <v/>
      </c>
      <c r="DV70" s="10" t="s">
        <v>42</v>
      </c>
      <c r="DW70" s="7"/>
      <c r="DX70" s="7"/>
      <c r="DY70" s="31" t="str">
        <f>IF(DX70/(INDEX('Standards for Conversions'!$H$34:$H$73,MATCH(DW$3,'Standards for Conversions'!$A$34:$A$73,0)))=0,"",DX70/(INDEX('Standards for Conversions'!$H$34:$H$73,MATCH(DW$3,'Standards for Conversions'!$A$34:$A$73,0))))</f>
        <v/>
      </c>
      <c r="DZ70" s="10" t="s">
        <v>42</v>
      </c>
      <c r="EA70" s="7"/>
      <c r="EB70" s="7"/>
      <c r="EC70" s="31" t="str">
        <f>IF(EB70/(INDEX('Standards for Conversions'!$H$34:$H$73,MATCH(EA$3,'Standards for Conversions'!$A$34:$A$73,0)))=0,"",EB70/(INDEX('Standards for Conversions'!$H$34:$H$73,MATCH(EA$3,'Standards for Conversions'!$A$34:$A$73,0))))</f>
        <v/>
      </c>
      <c r="ED70" s="10" t="s">
        <v>42</v>
      </c>
      <c r="EE70" s="7"/>
      <c r="EF70" s="7"/>
      <c r="EG70" s="31" t="str">
        <f>IF(EF70/(INDEX('Standards for Conversions'!$H$34:$H$73,MATCH(EE$3,'Standards for Conversions'!$A$34:$A$73,0)))=0,"",EF70/(INDEX('Standards for Conversions'!$H$34:$H$73,MATCH(EE$3,'Standards for Conversions'!$A$34:$A$73,0))))</f>
        <v/>
      </c>
      <c r="EH70" s="10" t="s">
        <v>42</v>
      </c>
      <c r="EI70" s="9"/>
      <c r="EJ70" s="9"/>
      <c r="EK70" s="31" t="str">
        <f>IF(EJ70/(INDEX('Standards for Conversions'!$H$34:$H$73,MATCH(EI$3,'Standards for Conversions'!$A$34:$A$73,0)))=0,"",EJ70/(INDEX('Standards for Conversions'!$H$34:$H$73,MATCH(EI$3,'Standards for Conversions'!$A$34:$A$73,0))))</f>
        <v/>
      </c>
      <c r="EL70" s="10" t="s">
        <v>42</v>
      </c>
      <c r="EM70" s="7"/>
      <c r="EN70" s="7"/>
      <c r="EO70" s="31" t="str">
        <f>IF(EN70/(INDEX('Standards for Conversions'!$H$34:$H$73,MATCH(EM$3,'Standards for Conversions'!$A$34:$A$73,0)))=0,"",EN70/(INDEX('Standards for Conversions'!$H$34:$H$73,MATCH(EM$3,'Standards for Conversions'!$A$34:$A$73,0))))</f>
        <v/>
      </c>
      <c r="EP70" s="10" t="s">
        <v>42</v>
      </c>
      <c r="EQ70" s="7"/>
      <c r="ER70" s="7"/>
      <c r="ES70" s="31" t="str">
        <f>IF(ER70/(INDEX('Standards for Conversions'!$H$34:$H$73,MATCH(EQ$3,'Standards for Conversions'!$A$34:$A$73,0)))=0,"",ER70/(INDEX('Standards for Conversions'!$H$34:$H$73,MATCH(EQ$3,'Standards for Conversions'!$A$34:$A$73,0))))</f>
        <v/>
      </c>
      <c r="ET70" s="10" t="s">
        <v>42</v>
      </c>
      <c r="EU70" s="7"/>
      <c r="EV70" s="7"/>
      <c r="EW70" s="31" t="str">
        <f>IF(EV70/(INDEX('Standards for Conversions'!$H$34:$H$73,MATCH(EU$3,'Standards for Conversions'!$A$34:$A$73,0)))=0,"",EV70/(INDEX('Standards for Conversions'!$H$34:$H$73,MATCH(EU$3,'Standards for Conversions'!$A$34:$A$73,0))))</f>
        <v/>
      </c>
      <c r="EX70" s="10" t="s">
        <v>42</v>
      </c>
      <c r="EY70" s="9"/>
      <c r="EZ70" s="9"/>
      <c r="FA70" s="31" t="str">
        <f>IF(EZ70/(INDEX('Standards for Conversions'!$H$34:$H$73,MATCH(EY$3,'Standards for Conversions'!$A$34:$A$73,0)))=0,"",EZ70/(INDEX('Standards for Conversions'!$H$34:$H$73,MATCH(EY$3,'Standards for Conversions'!$A$34:$A$73,0))))</f>
        <v/>
      </c>
      <c r="FB70" s="10" t="s">
        <v>42</v>
      </c>
      <c r="FC70" s="7"/>
      <c r="FD70" s="7"/>
      <c r="FE70" s="31" t="str">
        <f>IF(FD70/(INDEX('Standards for Conversions'!$H$34:$H$73,MATCH(FC$3,'Standards for Conversions'!$A$34:$A$73,0)))=0,"",FD70/(INDEX('Standards for Conversions'!$H$34:$H$73,MATCH(FC$3,'Standards for Conversions'!$A$34:$A$73,0))))</f>
        <v/>
      </c>
      <c r="FF70" s="10" t="s">
        <v>42</v>
      </c>
      <c r="FG70" s="7"/>
      <c r="FH70" s="7"/>
      <c r="FI70" s="31" t="str">
        <f>IF(FH70/(INDEX('Standards for Conversions'!$H$34:$H$73,MATCH(FG$3,'Standards for Conversions'!$A$34:$A$73,0)))=0,"",FH70/(INDEX('Standards for Conversions'!$H$34:$H$73,MATCH(FG$3,'Standards for Conversions'!$A$34:$A$73,0))))</f>
        <v/>
      </c>
      <c r="FJ70" s="10" t="s">
        <v>42</v>
      </c>
      <c r="FK70" s="7"/>
      <c r="FL70" s="7"/>
      <c r="FM70" s="31" t="str">
        <f>IF(FL70/(INDEX('Standards for Conversions'!$H$34:$H$73,MATCH(FK$3,'Standards for Conversions'!$A$34:$A$73,0)))=0,"",FL70/(INDEX('Standards for Conversions'!$H$34:$H$73,MATCH(FK$3,'Standards for Conversions'!$A$34:$A$73,0))))</f>
        <v/>
      </c>
      <c r="FN70" s="10" t="s">
        <v>42</v>
      </c>
      <c r="FO70" s="9"/>
      <c r="FP70" s="9"/>
      <c r="FQ70" s="31" t="str">
        <f>IF(FP70/(INDEX('Standards for Conversions'!$H$34:$H$73,MATCH(FO$3,'Standards for Conversions'!$A$34:$A$73,0)))=0,"",FP70/(INDEX('Standards for Conversions'!$H$34:$H$73,MATCH(FO$3,'Standards for Conversions'!$A$34:$A$73,0))))</f>
        <v/>
      </c>
      <c r="FR70" s="10" t="s">
        <v>42</v>
      </c>
      <c r="FS70" s="7"/>
      <c r="FT70" s="7"/>
      <c r="FU70" s="31" t="str">
        <f>IF(FT70/(INDEX('Standards for Conversions'!$H$34:$H$73,MATCH(FS$3,'Standards for Conversions'!$A$34:$A$73,0)))=0,"",FT70/(INDEX('Standards for Conversions'!$H$34:$H$73,MATCH(FS$3,'Standards for Conversions'!$A$34:$A$73,0))))</f>
        <v/>
      </c>
      <c r="FV70" s="10" t="s">
        <v>42</v>
      </c>
      <c r="FW70" s="7"/>
      <c r="FX70" s="7"/>
      <c r="FY70" s="31" t="str">
        <f>IF(FX70/(INDEX('Standards for Conversions'!$H$34:$H$73,MATCH(FW$3,'Standards for Conversions'!$A$34:$A$73,0)))=0,"",FX70/(INDEX('Standards for Conversions'!$H$34:$H$73,MATCH(FW$3,'Standards for Conversions'!$A$34:$A$73,0))))</f>
        <v/>
      </c>
      <c r="FZ70" s="10" t="s">
        <v>42</v>
      </c>
      <c r="GA70" s="7"/>
      <c r="GB70" s="7"/>
      <c r="GC70" s="31" t="str">
        <f>IF(GB70/(INDEX('Standards for Conversions'!$H$34:$H$73,MATCH(GA$3,'Standards for Conversions'!$A$34:$A$73,0)))=0,"",GB70/(INDEX('Standards for Conversions'!$H$34:$H$73,MATCH(GA$3,'Standards for Conversions'!$A$34:$A$73,0))))</f>
        <v/>
      </c>
      <c r="GD70" s="10" t="s">
        <v>42</v>
      </c>
      <c r="GE70" s="9"/>
      <c r="GF70" s="9"/>
      <c r="GG70" s="31" t="str">
        <f>IF(GF70/(INDEX('Standards for Conversions'!$H$34:$H$73,MATCH(GE$3,'Standards for Conversions'!$A$34:$A$73,0)))=0,"",GF70/(INDEX('Standards for Conversions'!$H$34:$H$73,MATCH(GE$3,'Standards for Conversions'!$A$34:$A$73,0))))</f>
        <v/>
      </c>
      <c r="GH70" s="10" t="s">
        <v>42</v>
      </c>
      <c r="GI70" s="7"/>
      <c r="GJ70" s="7"/>
      <c r="GK70" s="31" t="str">
        <f>IF(GJ70/(INDEX('Standards for Conversions'!$H$34:$H$73,MATCH(GI$3,'Standards for Conversions'!$A$34:$A$73,0)))=0,"",GJ70/(INDEX('Standards for Conversions'!$H$34:$H$73,MATCH(GI$3,'Standards for Conversions'!$A$34:$A$73,0))))</f>
        <v/>
      </c>
      <c r="GL70" s="10" t="s">
        <v>42</v>
      </c>
      <c r="GM70" s="7"/>
      <c r="GN70" s="7"/>
      <c r="GO70" s="31" t="str">
        <f>IF(GN70/(INDEX('Standards for Conversions'!$H$34:$H$73,MATCH(GM$3,'Standards for Conversions'!$A$34:$A$73,0)))=0,"",GN70/(INDEX('Standards for Conversions'!$H$34:$H$73,MATCH(GM$3,'Standards for Conversions'!$A$34:$A$73,0))))</f>
        <v/>
      </c>
      <c r="GP70" s="10" t="s">
        <v>42</v>
      </c>
      <c r="GQ70" s="7"/>
      <c r="GR70" s="7"/>
      <c r="GS70" s="31" t="str">
        <f>IF(GR70/(INDEX('Standards for Conversions'!$H$34:$H$73,MATCH(GQ$3,'Standards for Conversions'!$A$34:$A$73,0)))=0,"",GR70/(INDEX('Standards for Conversions'!$H$34:$H$73,MATCH(GQ$3,'Standards for Conversions'!$A$34:$A$73,0))))</f>
        <v/>
      </c>
      <c r="GT70" s="10" t="s">
        <v>42</v>
      </c>
      <c r="GU70" s="9"/>
      <c r="GV70" s="9"/>
      <c r="GW70" s="31" t="str">
        <f>IF(GV70/(INDEX('Standards for Conversions'!$H$34:$H$73,MATCH(GU$3,'Standards for Conversions'!$A$34:$A$73,0)))=0,"",GV70/(INDEX('Standards for Conversions'!$H$34:$H$73,MATCH(GU$3,'Standards for Conversions'!$A$34:$A$73,0))))</f>
        <v/>
      </c>
      <c r="GX70" s="10" t="s">
        <v>42</v>
      </c>
      <c r="GY70" s="7"/>
      <c r="GZ70" s="7"/>
      <c r="HA70" s="31" t="str">
        <f>IF(GZ70/(INDEX('Standards for Conversions'!$H$34:$H$73,MATCH(GY$3,'Standards for Conversions'!$A$34:$A$73,0)))=0,"",GZ70/(INDEX('Standards for Conversions'!$H$34:$H$73,MATCH(GY$3,'Standards for Conversions'!$A$34:$A$73,0))))</f>
        <v/>
      </c>
      <c r="HB70" s="10" t="s">
        <v>42</v>
      </c>
      <c r="HC70" s="7"/>
      <c r="HD70" s="7"/>
      <c r="HE70" s="31" t="str">
        <f>IF(HD70/(INDEX('Standards for Conversions'!$H$34:$H$73,MATCH(HC$3,'Standards for Conversions'!$A$34:$A$73,0)))=0,"",HD70/(INDEX('Standards for Conversions'!$H$34:$H$73,MATCH(HC$3,'Standards for Conversions'!$A$34:$A$73,0))))</f>
        <v/>
      </c>
      <c r="HF70" s="10" t="s">
        <v>42</v>
      </c>
      <c r="HG70" s="7"/>
      <c r="HH70" s="7"/>
      <c r="HI70" s="31" t="str">
        <f>IF(HH70/(INDEX('Standards for Conversions'!$H$34:$H$73,MATCH(HG$3,'Standards for Conversions'!$A$34:$A$73,0)))=0,"",HH70/(INDEX('Standards for Conversions'!$H$34:$H$73,MATCH(HG$3,'Standards for Conversions'!$A$34:$A$73,0))))</f>
        <v/>
      </c>
      <c r="HJ70" s="10" t="s">
        <v>42</v>
      </c>
      <c r="HK70" s="9"/>
      <c r="HL70" s="9"/>
      <c r="HM70" s="31" t="str">
        <f>IF(HL70/(INDEX('Standards for Conversions'!$H$34:$H$73,MATCH(HK$3,'Standards for Conversions'!$A$34:$A$73,0)))=0,"",HL70/(INDEX('Standards for Conversions'!$H$34:$H$73,MATCH(HK$3,'Standards for Conversions'!$A$34:$A$73,0))))</f>
        <v/>
      </c>
      <c r="HN70" s="10" t="s">
        <v>42</v>
      </c>
      <c r="HO70" s="7"/>
      <c r="HP70" s="7"/>
      <c r="HQ70" s="31" t="str">
        <f>IF(HP70/(INDEX('Standards for Conversions'!$H$34:$H$73,MATCH(HO$3,'Standards for Conversions'!$A$34:$A$73,0)))=0,"",HP70/(INDEX('Standards for Conversions'!$H$34:$H$73,MATCH(HO$3,'Standards for Conversions'!$A$34:$A$73,0))))</f>
        <v/>
      </c>
      <c r="HR70" s="33" t="s">
        <v>42</v>
      </c>
      <c r="HU70" s="31" t="str">
        <f>IF(HT70/(INDEX('Standards for Conversions'!$H$47:$H$73,MATCH(HS$3,'Standards for Conversions'!$A$47:$A$73,0)))=0,"",HT70/(INDEX('Standards for Conversions'!$H$47:$H$73,MATCH(HS$3,'Standards for Conversions'!$A$47:$A$73,0))))</f>
        <v/>
      </c>
      <c r="HV70" s="33" t="s">
        <v>42</v>
      </c>
      <c r="HW70" s="29">
        <v>500</v>
      </c>
      <c r="HX70" s="29">
        <v>1600</v>
      </c>
      <c r="HY70" s="31">
        <f>IF(HX70/(INDEX('Standards for Conversions'!$H$47:$H$73,MATCH(HW$3,'Standards for Conversions'!$A$47:$A$73,0)))=0,"",HX70/(INDEX('Standards for Conversions'!$H$47:$H$73,MATCH(HW$3,'Standards for Conversions'!$A$47:$A$73,0))))</f>
        <v>232.39265954056953</v>
      </c>
      <c r="HZ70" s="33"/>
      <c r="IA70" s="33"/>
      <c r="IB70" s="31" t="str">
        <f>IF(IA70/(INDEX('Standards for Conversions'!$H$47:$H$73,MATCH(HZ$3,'Standards for Conversions'!$A$47:$A$73,0)))=0,"",IA70/(INDEX('Standards for Conversions'!$H$47:$H$73,MATCH(HZ$3,'Standards for Conversions'!$A$47:$A$73,0))))</f>
        <v/>
      </c>
      <c r="IC70" s="33" t="s">
        <v>42</v>
      </c>
      <c r="IF70" s="31" t="str">
        <f>IF(IE70/(INDEX('Standards for Conversions'!$H$47:$H$73,MATCH(ID$3,'Standards for Conversions'!$A$47:$A$73,0)))=0,"",IE70/(INDEX('Standards for Conversions'!$H$47:$H$73,MATCH(ID$3,'Standards for Conversions'!$A$47:$A$73,0))))</f>
        <v/>
      </c>
      <c r="IG70" s="33" t="s">
        <v>42</v>
      </c>
      <c r="IJ70" s="31" t="str">
        <f>IF(II70/(INDEX('Standards for Conversions'!$H$47:$H$73,MATCH(IH$3,'Standards for Conversions'!$A$47:$A$73,0)))=0,"",II70/(INDEX('Standards for Conversions'!$H$47:$H$73,MATCH(IH$3,'Standards for Conversions'!$A$47:$A$73,0))))</f>
        <v/>
      </c>
      <c r="IK70" s="33" t="s">
        <v>42</v>
      </c>
      <c r="IL70" s="29">
        <v>480</v>
      </c>
      <c r="IM70" s="29">
        <v>1806</v>
      </c>
      <c r="IN70" s="31">
        <f>IF(IM70/(INDEX('Standards for Conversions'!$H$47:$H$73,MATCH(IL$3,'Standards for Conversions'!$A$47:$A$73,0)))=0,"",IM70/(INDEX('Standards for Conversions'!$H$47:$H$73,MATCH(IL$3,'Standards for Conversions'!$A$47:$A$73,0))))</f>
        <v>261.16607211914487</v>
      </c>
      <c r="IO70" s="33" t="s">
        <v>42</v>
      </c>
      <c r="IR70" s="31" t="str">
        <f>IF(IQ70/(INDEX('Standards for Conversions'!$H$47:$H$73,MATCH(IP$3,'Standards for Conversions'!$A$47:$A$73,0)))=0,"",IQ70/(INDEX('Standards for Conversions'!$H$47:$H$73,MATCH(IP$3,'Standards for Conversions'!$A$47:$A$73,0))))</f>
        <v/>
      </c>
      <c r="IS70" s="33" t="s">
        <v>42</v>
      </c>
      <c r="IV70" s="31" t="str">
        <f>IF(IU70/(INDEX('Standards for Conversions'!$H$47:$H$73,MATCH(IT$3,'Standards for Conversions'!$A$47:$A$73,0)))=0,"",IU70/(INDEX('Standards for Conversions'!$H$47:$H$73,MATCH(IT$3,'Standards for Conversions'!$A$47:$A$73,0))))</f>
        <v/>
      </c>
      <c r="IW70" s="33" t="s">
        <v>42</v>
      </c>
      <c r="IZ70" s="31" t="str">
        <f>IF(IY70/(INDEX('Standards for Conversions'!$H$47:$H$73,MATCH(IX$3,'Standards for Conversions'!$A$47:$A$73,0)))=0,"",IY70/(INDEX('Standards for Conversions'!$H$47:$H$73,MATCH(IX$3,'Standards for Conversions'!$A$47:$A$73,0))))</f>
        <v/>
      </c>
      <c r="JA70" s="48" t="s">
        <v>42</v>
      </c>
      <c r="JB70" s="29">
        <v>427</v>
      </c>
      <c r="JC70" s="29">
        <v>2000</v>
      </c>
      <c r="JD70" s="31">
        <f>IF(JC70/(INDEX('Standards for Conversions'!$H$47:$H$73,MATCH(JB$3,'Standards for Conversions'!$A$47:$A$73,0)))=0,"",JC70/(INDEX('Standards for Conversions'!$H$47:$H$73,MATCH(JB$3,'Standards for Conversions'!$A$47:$A$73,0))))</f>
        <v>323.52039338373737</v>
      </c>
      <c r="JE70" s="33"/>
      <c r="JH70" s="31" t="str">
        <f>IF(JG70/(INDEX('Standards for Conversions'!$H$47:$H$73,MATCH(JF$3,'Standards for Conversions'!$A$47:$A$73,0)))=0,"",JG70/(INDEX('Standards for Conversions'!$H$47:$H$73,MATCH(JF$3,'Standards for Conversions'!$A$47:$A$73,0))))</f>
        <v/>
      </c>
      <c r="JI70" s="48"/>
      <c r="JL70" s="31" t="str">
        <f>IF(JK70/(INDEX('Standards for Conversions'!$H$47:$H$73,MATCH(JJ$3,'Standards for Conversions'!$A$47:$A$73,0)))=0,"",JK70/(INDEX('Standards for Conversions'!$H$47:$H$73,MATCH(JJ$3,'Standards for Conversions'!$A$47:$A$73,0))))</f>
        <v/>
      </c>
      <c r="JM70" s="33" t="s">
        <v>42</v>
      </c>
      <c r="JP70" s="31" t="str">
        <f>IF(JO70/(INDEX('Standards for Conversions'!$H$47:$H$73,MATCH(JN$3,'Standards for Conversions'!$A$47:$A$73,0)))=0,"",JO70/(INDEX('Standards for Conversions'!$H$47:$H$73,MATCH(JN$3,'Standards for Conversions'!$A$47:$A$73,0))))</f>
        <v/>
      </c>
      <c r="JQ70" s="33" t="s">
        <v>42</v>
      </c>
      <c r="JR70" s="29">
        <v>300</v>
      </c>
      <c r="JS70" s="29">
        <v>1500</v>
      </c>
      <c r="JT70" s="31">
        <f>IF(JS70/(INDEX('Standards for Conversions'!$H$47:$H$73,MATCH(JR$3,'Standards for Conversions'!$A$47:$A$73,0)))=0,"",JS70/(INDEX('Standards for Conversions'!$H$47:$H$73,MATCH(JR$3,'Standards for Conversions'!$A$47:$A$73,0))))</f>
        <v>228.98383864169634</v>
      </c>
      <c r="JU70" s="33" t="s">
        <v>42</v>
      </c>
      <c r="JX70" s="31" t="str">
        <f>IF(JW70/(INDEX('Standards for Conversions'!$H$47:$H$73,MATCH(JV$3,'Standards for Conversions'!$A$47:$A$73,0)))=0,"",JW70/(INDEX('Standards for Conversions'!$H$47:$H$73,MATCH(JV$3,'Standards for Conversions'!$A$47:$A$73,0))))</f>
        <v/>
      </c>
      <c r="JY70" s="33" t="s">
        <v>42</v>
      </c>
      <c r="KB70" s="31" t="str">
        <f>IF(KA70/(INDEX('Standards for Conversions'!$H$47:$H$73,MATCH(JZ$3,'Standards for Conversions'!$A$47:$A$73,0)))=0,"",KA70/(INDEX('Standards for Conversions'!$H$47:$H$73,MATCH(JZ$3,'Standards for Conversions'!$A$47:$A$73,0))))</f>
        <v/>
      </c>
      <c r="KC70" s="33" t="s">
        <v>42</v>
      </c>
      <c r="KF70" s="31" t="str">
        <f>IF(KE70/(INDEX('Standards for Conversions'!$H$47:$H$73,MATCH(KD$3,'Standards for Conversions'!$A$47:$A$73,0)))=0,"",KE70/(INDEX('Standards for Conversions'!$H$47:$H$73,MATCH(KD$3,'Standards for Conversions'!$A$47:$A$73,0))))</f>
        <v/>
      </c>
      <c r="KG70" s="48" t="s">
        <v>42</v>
      </c>
      <c r="KH70" s="29">
        <v>200</v>
      </c>
      <c r="KI70" s="29">
        <v>1600</v>
      </c>
      <c r="KJ70" s="31">
        <f>IF(KI70/(INDEX('Standards for Conversions'!$H$47:$H$73,MATCH(KH$3,'Standards for Conversions'!$A$47:$A$73,0)))=0,"",KI70/(INDEX('Standards for Conversions'!$H$47:$H$73,MATCH(KH$3,'Standards for Conversions'!$A$47:$A$73,0))))</f>
        <v>215.45441904927435</v>
      </c>
      <c r="KK70" s="33" t="s">
        <v>40</v>
      </c>
      <c r="KN70" s="31" t="str">
        <f>IF(KM70/(INDEX('Standards for Conversions'!$H$47:$H$73,MATCH(KL$3,'Standards for Conversions'!$A$47:$A$73,0)))=0,"",KM70/(INDEX('Standards for Conversions'!$H$47:$H$73,MATCH(KL$3,'Standards for Conversions'!$A$47:$A$73,0))))</f>
        <v/>
      </c>
      <c r="KO70" s="33" t="s">
        <v>40</v>
      </c>
      <c r="KR70" s="31" t="str">
        <f>IF(KQ70/(INDEX('Standards for Conversions'!$H$47:$H$73,MATCH(KP$3,'Standards for Conversions'!$A$47:$A$73,0)))=0,"",KQ70/(INDEX('Standards for Conversions'!$H$47:$H$73,MATCH(KP$3,'Standards for Conversions'!$A$47:$A$73,0))))</f>
        <v/>
      </c>
      <c r="KS70" s="33" t="s">
        <v>40</v>
      </c>
      <c r="KV70" s="31" t="str">
        <f>IF(KU70/(INDEX('Standards for Conversions'!$H$47:$H$73,MATCH(KT$3,'Standards for Conversions'!$A$47:$A$73,0)))=0,"",KU70/(INDEX('Standards for Conversions'!$H$47:$H$73,MATCH(KT$3,'Standards for Conversions'!$A$47:$A$73,0))))</f>
        <v/>
      </c>
      <c r="KW70" s="48" t="s">
        <v>40</v>
      </c>
      <c r="KX70" s="29">
        <v>400</v>
      </c>
      <c r="KY70" s="29">
        <v>1600</v>
      </c>
      <c r="KZ70" s="31">
        <f>IF(KY70/(INDEX('Standards for Conversions'!$H$47:$H$73,MATCH(KX$3,'Standards for Conversions'!$A$47:$A$73,0)))=0,"",KY70/(INDEX('Standards for Conversions'!$H$47:$H$73,MATCH(KX$3,'Standards for Conversions'!$A$47:$A$73,0))))</f>
        <v>194.5865067639987</v>
      </c>
      <c r="LD70" s="31" t="str">
        <f>IF(LC70/(INDEX('Standards for Conversions'!$H$47:$H$73,MATCH(LB$3,'Standards for Conversions'!$A$47:$A$73,0)))=0,"",LC70/(INDEX('Standards for Conversions'!$H$47:$H$73,MATCH(LB$3,'Standards for Conversions'!$A$47:$A$73,0))))</f>
        <v/>
      </c>
      <c r="LE70" s="48"/>
      <c r="LH70" s="31" t="str">
        <f>IF(LG70/(INDEX('Standards for Conversions'!$H$47:$H$73,MATCH(LF$3,'Standards for Conversions'!$A$47:$A$73,0)))=0,"",LG70/(INDEX('Standards for Conversions'!$H$47:$H$73,MATCH(LF$3,'Standards for Conversions'!$A$47:$A$73,0))))</f>
        <v/>
      </c>
      <c r="LL70" s="31" t="str">
        <f>IF(LK70/(INDEX('Standards for Conversions'!$H$47:$H$73,MATCH(LJ$3,'Standards for Conversions'!$A$47:$A$73,0)))=0,"",LK70/(INDEX('Standards for Conversions'!$H$47:$H$73,MATCH(LJ$3,'Standards for Conversions'!$A$47:$A$73,0))))</f>
        <v/>
      </c>
      <c r="LO70" s="31" t="str">
        <f>IF(LN70/(INDEX('Standards for Conversions'!$H$47:$H$73,MATCH(LM$3,'Standards for Conversions'!$A$47:$A$73,0)))=0,"",LN70/(INDEX('Standards for Conversions'!$H$47:$H$73,MATCH(LM$3,'Standards for Conversions'!$A$47:$A$73,0))))</f>
        <v/>
      </c>
      <c r="LR70" s="31" t="str">
        <f>IF(LQ70/(INDEX('Standards for Conversions'!$H$47:$H$73,MATCH(LP$3,'Standards for Conversions'!$A$47:$A$73,0)))=0,"",LQ70/(INDEX('Standards for Conversions'!$H$47:$H$73,MATCH(LP$3,'Standards for Conversions'!$A$47:$A$73,0))))</f>
        <v/>
      </c>
      <c r="LV70" s="31" t="str">
        <f>IF(LU70/(INDEX('Standards for Conversions'!$H$47:$H$73,MATCH(LT$3,'Standards for Conversions'!$A$47:$A$73,0)))=0,"",LU70/(INDEX('Standards for Conversions'!$H$47:$H$73,MATCH(LT$3,'Standards for Conversions'!$A$47:$A$73,0))))</f>
        <v/>
      </c>
      <c r="LY70" s="31" t="str">
        <f>IF(LX70/(INDEX('Standards for Conversions'!$H$47:$H$73,MATCH(LW$3,'Standards for Conversions'!$A$47:$A$73,0)))=0,"",LX70/(INDEX('Standards for Conversions'!$H$47:$H$73,MATCH(LW$3,'Standards for Conversions'!$A$47:$A$73,0))))</f>
        <v/>
      </c>
      <c r="MB70" s="31" t="str">
        <f>IF(MA70/(INDEX('Standards for Conversions'!$H$47:$H$73,MATCH(LZ$3,'Standards for Conversions'!$A$47:$A$73,0)))=0,"",MA70/(INDEX('Standards for Conversions'!$H$47:$H$73,MATCH(LZ$3,'Standards for Conversions'!$A$47:$A$73,0))))</f>
        <v/>
      </c>
      <c r="ME70" s="31" t="str">
        <f>IF(MD70/(INDEX('Standards for Conversions'!$H$47:$H$73,MATCH(MC$3,'Standards for Conversions'!$A$47:$A$73,0)))=0,"",MD70/(INDEX('Standards for Conversions'!$H$47:$H$73,MATCH(MC$3,'Standards for Conversions'!$A$47:$A$73,0))))</f>
        <v/>
      </c>
      <c r="MH70" s="31" t="str">
        <f>IF(MG70/(INDEX('Standards for Conversions'!$H$47:$H$73,MATCH(MF$3,'Standards for Conversions'!$A$47:$A$73,0)))=0,"",MG70/(INDEX('Standards for Conversions'!$H$47:$H$73,MATCH(MF$3,'Standards for Conversions'!$A$47:$A$73,0))))</f>
        <v/>
      </c>
      <c r="MK70" s="31" t="str">
        <f>IF(MJ70/(INDEX('Standards for Conversions'!$H$47:$H$73,MATCH(MI$3,'Standards for Conversions'!$A$47:$A$73,0)))=0,"",MJ70/(INDEX('Standards for Conversions'!$H$47:$H$73,MATCH(MI$3,'Standards for Conversions'!$A$47:$A$73,0))))</f>
        <v/>
      </c>
      <c r="MN70" s="31" t="str">
        <f>IF(MM70/(INDEX('Standards for Conversions'!$H$47:$H$73,MATCH(ML$3,'Standards for Conversions'!$A$47:$A$73,0)))=0,"",MM70/(INDEX('Standards for Conversions'!$H$47:$H$73,MATCH(ML$3,'Standards for Conversions'!$A$47:$A$73,0))))</f>
        <v/>
      </c>
      <c r="MR70" s="31" t="str">
        <f>IF(MQ70/(INDEX('Standards for Conversions'!$H$47:$H$73,MATCH(MP$3,'Standards for Conversions'!$A$47:$A$73,0)))=0,"",MQ70/(INDEX('Standards for Conversions'!$H$47:$H$73,MATCH(MP$3,'Standards for Conversions'!$A$47:$A$73,0))))</f>
        <v/>
      </c>
    </row>
    <row r="71" spans="1:369" ht="15.6" hidden="1" x14ac:dyDescent="0.3">
      <c r="A71" s="103" t="s">
        <v>246</v>
      </c>
      <c r="B71" s="10" t="s">
        <v>38</v>
      </c>
      <c r="C71" s="3"/>
      <c r="D71" s="8"/>
      <c r="E71" s="31" t="str">
        <f>IF(D71/(INDEX('Standards for Conversions'!$H$34:$H$73,MATCH(C$3,'Standards for Conversions'!$A$34:$A$73,0)))=0,"",D71/(INDEX('Standards for Conversions'!$H$34:$H$73,MATCH(C$3,'Standards for Conversions'!$A$34:$A$73,0))))</f>
        <v/>
      </c>
      <c r="F71" s="10" t="s">
        <v>38</v>
      </c>
      <c r="G71" s="3"/>
      <c r="H71" s="8"/>
      <c r="I71" s="31" t="str">
        <f>IF(H71/(INDEX('Standards for Conversions'!$H$34:$H$73,MATCH(G$3,'Standards for Conversions'!$A$34:$A$73,0)))=0,"",H71/(INDEX('Standards for Conversions'!$H$34:$H$73,MATCH(G$3,'Standards for Conversions'!$A$34:$A$73,0))))</f>
        <v/>
      </c>
      <c r="J71" s="10" t="s">
        <v>38</v>
      </c>
      <c r="K71" s="11"/>
      <c r="L71" s="8"/>
      <c r="M71" s="31" t="str">
        <f>IF(L71/(INDEX('Standards for Conversions'!$H$34:$H$73,MATCH(K$3,'Standards for Conversions'!$A$34:$A$73,0)))=0,"",L71/(INDEX('Standards for Conversions'!$H$34:$H$73,MATCH(K$3,'Standards for Conversions'!$A$34:$A$73,0))))</f>
        <v/>
      </c>
      <c r="N71" s="10" t="s">
        <v>38</v>
      </c>
      <c r="O71" s="3"/>
      <c r="P71" s="8"/>
      <c r="Q71" s="31" t="str">
        <f>IF(P71/(INDEX('Standards for Conversions'!$H$34:$H$73,MATCH(O$3,'Standards for Conversions'!$A$34:$A$73,0)))=0,"",P71/(INDEX('Standards for Conversions'!$H$34:$H$73,MATCH(O$3,'Standards for Conversions'!$A$34:$A$73,0))))</f>
        <v/>
      </c>
      <c r="R71" s="10" t="s">
        <v>38</v>
      </c>
      <c r="S71" s="3"/>
      <c r="T71" s="8"/>
      <c r="U71" s="31" t="str">
        <f>IF(T71/(INDEX('Standards for Conversions'!$H$34:$H$73,MATCH(S$3,'Standards for Conversions'!$A$34:$A$73,0)))=0,"",T71/(INDEX('Standards for Conversions'!$H$34:$H$73,MATCH(S$3,'Standards for Conversions'!$A$34:$A$73,0))))</f>
        <v/>
      </c>
      <c r="V71" s="10" t="s">
        <v>38</v>
      </c>
      <c r="W71" s="3"/>
      <c r="X71" s="8"/>
      <c r="Y71" s="31" t="str">
        <f>IF(X71/(INDEX('Standards for Conversions'!$H$34:$H$73,MATCH(W$3,'Standards for Conversions'!$A$34:$A$73,0)))=0,"",X71/(INDEX('Standards for Conversions'!$H$34:$H$73,MATCH(W$3,'Standards for Conversions'!$A$34:$A$73,0))))</f>
        <v/>
      </c>
      <c r="Z71" s="10" t="s">
        <v>38</v>
      </c>
      <c r="AA71" s="11"/>
      <c r="AB71" s="8"/>
      <c r="AC71" s="31" t="str">
        <f>IF(AB71/(INDEX('Standards for Conversions'!$H$34:$H$73,MATCH(AA$3,'Standards for Conversions'!$A$34:$A$73,0)))=0,"",AB71/(INDEX('Standards for Conversions'!$H$34:$H$73,MATCH(AA$3,'Standards for Conversions'!$A$34:$A$73,0))))</f>
        <v/>
      </c>
      <c r="AD71" s="10" t="s">
        <v>38</v>
      </c>
      <c r="AE71" s="3"/>
      <c r="AF71" s="8"/>
      <c r="AG71" s="31" t="str">
        <f>IF(AF71/(INDEX('Standards for Conversions'!$H$34:$H$73,MATCH(AE$3,'Standards for Conversions'!$A$34:$A$73,0)))=0,"",AF71/(INDEX('Standards for Conversions'!$H$34:$H$73,MATCH(AE$3,'Standards for Conversions'!$A$34:$A$73,0))))</f>
        <v/>
      </c>
      <c r="AH71" s="10" t="s">
        <v>38</v>
      </c>
      <c r="AI71" s="3"/>
      <c r="AJ71" s="8"/>
      <c r="AK71" s="31" t="str">
        <f>IF(AJ71/(INDEX('Standards for Conversions'!$H$34:$H$73,MATCH(AI$3,'Standards for Conversions'!$A$34:$A$73,0)))=0,"",AJ71/(INDEX('Standards for Conversions'!$H$34:$H$73,MATCH(AI$3,'Standards for Conversions'!$A$34:$A$73,0))))</f>
        <v/>
      </c>
      <c r="AL71" s="10" t="s">
        <v>38</v>
      </c>
      <c r="AM71" s="3"/>
      <c r="AN71" s="8"/>
      <c r="AO71" s="31" t="str">
        <f>IF(AN71/(INDEX('Standards for Conversions'!$H$34:$H$73,MATCH(AM$3,'Standards for Conversions'!$A$34:$A$73,0)))=0,"",AN71/(INDEX('Standards for Conversions'!$H$34:$H$73,MATCH(AM$3,'Standards for Conversions'!$A$34:$A$73,0))))</f>
        <v/>
      </c>
      <c r="AP71" s="10" t="s">
        <v>38</v>
      </c>
      <c r="AQ71" s="11"/>
      <c r="AR71" s="8"/>
      <c r="AS71" s="31" t="str">
        <f>IF(AR71/(INDEX('Standards for Conversions'!$H$34:$H$73,MATCH(AQ$3,'Standards for Conversions'!$A$34:$A$73,0)))=0,"",AR71/(INDEX('Standards for Conversions'!$H$34:$H$73,MATCH(AQ$3,'Standards for Conversions'!$A$34:$A$73,0))))</f>
        <v/>
      </c>
      <c r="AT71" s="10" t="s">
        <v>38</v>
      </c>
      <c r="AU71" s="3"/>
      <c r="AV71" s="8"/>
      <c r="AW71" s="31" t="str">
        <f>IF(AV71/(INDEX('Standards for Conversions'!$H$34:$H$73,MATCH(AU$3,'Standards for Conversions'!$A$34:$A$73,0)))=0,"",AV71/(INDEX('Standards for Conversions'!$H$34:$H$73,MATCH(AU$3,'Standards for Conversions'!$A$34:$A$73,0))))</f>
        <v/>
      </c>
      <c r="AX71" s="10" t="s">
        <v>38</v>
      </c>
      <c r="AY71" s="3"/>
      <c r="AZ71" s="8"/>
      <c r="BA71" s="31" t="str">
        <f>IF(AZ71/(INDEX('Standards for Conversions'!$H$34:$H$73,MATCH(AY$3,'Standards for Conversions'!$A$34:$A$73,0)))=0,"",AZ71/(INDEX('Standards for Conversions'!$H$34:$H$73,MATCH(AY$3,'Standards for Conversions'!$A$34:$A$73,0))))</f>
        <v/>
      </c>
      <c r="BB71" s="10" t="s">
        <v>38</v>
      </c>
      <c r="BC71" s="3"/>
      <c r="BD71" s="8"/>
      <c r="BE71" s="31" t="str">
        <f>IF(BD71/(INDEX('Standards for Conversions'!$H$34:$H$73,MATCH(BC$3,'Standards for Conversions'!$A$34:$A$73,0)))=0,"",BD71/(INDEX('Standards for Conversions'!$H$34:$H$73,MATCH(BC$3,'Standards for Conversions'!$A$34:$A$73,0))))</f>
        <v/>
      </c>
      <c r="BF71" s="10" t="s">
        <v>38</v>
      </c>
      <c r="BG71" s="11"/>
      <c r="BH71" s="8"/>
      <c r="BI71" s="31" t="str">
        <f>IF(BH71/(INDEX('Standards for Conversions'!$H$34:$H$73,MATCH(BG$3,'Standards for Conversions'!$A$34:$A$73,0)))=0,"",BH71/(INDEX('Standards for Conversions'!$H$34:$H$73,MATCH(BG$3,'Standards for Conversions'!$A$34:$A$73,0))))</f>
        <v/>
      </c>
      <c r="BJ71" s="10" t="s">
        <v>38</v>
      </c>
      <c r="BK71" s="3"/>
      <c r="BL71" s="8"/>
      <c r="BM71" s="31" t="str">
        <f>IF(BL71/(INDEX('Standards for Conversions'!$H$34:$H$73,MATCH(BK$3,'Standards for Conversions'!$A$34:$A$73,0)))=0,"",BL71/(INDEX('Standards for Conversions'!$H$34:$H$73,MATCH(BK$3,'Standards for Conversions'!$A$34:$A$73,0))))</f>
        <v/>
      </c>
      <c r="BN71" s="10" t="s">
        <v>38</v>
      </c>
      <c r="BO71" s="3"/>
      <c r="BP71" s="8"/>
      <c r="BQ71" s="31" t="str">
        <f>IF(BP71/(INDEX('Standards for Conversions'!$H$34:$H$73,MATCH(BO$3,'Standards for Conversions'!$A$34:$A$73,0)))=0,"",BP71/(INDEX('Standards for Conversions'!$H$34:$H$73,MATCH(BO$3,'Standards for Conversions'!$A$34:$A$73,0))))</f>
        <v/>
      </c>
      <c r="BR71" s="10" t="s">
        <v>38</v>
      </c>
      <c r="BS71" s="3"/>
      <c r="BT71" s="8"/>
      <c r="BU71" s="31" t="str">
        <f>IF(BT71/(INDEX('Standards for Conversions'!$H$34:$H$73,MATCH(BS$3,'Standards for Conversions'!$A$34:$A$73,0)))=0,"",BT71/(INDEX('Standards for Conversions'!$H$34:$H$73,MATCH(BS$3,'Standards for Conversions'!$A$34:$A$73,0))))</f>
        <v/>
      </c>
      <c r="BV71" s="10" t="s">
        <v>38</v>
      </c>
      <c r="BW71" s="11"/>
      <c r="BX71" s="8"/>
      <c r="BY71" s="31" t="str">
        <f>IF(BX71/(INDEX('Standards for Conversions'!$H$34:$H$73,MATCH(BW$3,'Standards for Conversions'!$A$34:$A$73,0)))=0,"",BX71/(INDEX('Standards for Conversions'!$H$34:$H$73,MATCH(BW$3,'Standards for Conversions'!$A$34:$A$73,0))))</f>
        <v/>
      </c>
      <c r="BZ71" s="10" t="s">
        <v>38</v>
      </c>
      <c r="CA71" s="3"/>
      <c r="CB71" s="8"/>
      <c r="CC71" s="31" t="str">
        <f>IF(CB71/(INDEX('Standards for Conversions'!$H$34:$H$73,MATCH(CA$3,'Standards for Conversions'!$A$34:$A$73,0)))=0,"",CB71/(INDEX('Standards for Conversions'!$H$34:$H$73,MATCH(CA$3,'Standards for Conversions'!$A$34:$A$73,0))))</f>
        <v/>
      </c>
      <c r="CD71" s="10" t="s">
        <v>38</v>
      </c>
      <c r="CE71" s="3"/>
      <c r="CF71" s="8"/>
      <c r="CG71" s="31" t="str">
        <f>IF(CF71/(INDEX('Standards for Conversions'!$H$34:$H$73,MATCH(CE$3,'Standards for Conversions'!$A$34:$A$73,0)))=0,"",CF71/(INDEX('Standards for Conversions'!$H$34:$H$73,MATCH(CE$3,'Standards for Conversions'!$A$34:$A$73,0))))</f>
        <v/>
      </c>
      <c r="CH71" s="10" t="s">
        <v>38</v>
      </c>
      <c r="CI71" s="3"/>
      <c r="CJ71" s="8"/>
      <c r="CK71" s="31" t="str">
        <f>IF(CJ71/(INDEX('Standards for Conversions'!$H$34:$H$73,MATCH(CI$3,'Standards for Conversions'!$A$34:$A$73,0)))=0,"",CJ71/(INDEX('Standards for Conversions'!$H$34:$H$73,MATCH(CI$3,'Standards for Conversions'!$A$34:$A$73,0))))</f>
        <v/>
      </c>
      <c r="CL71" s="10" t="s">
        <v>38</v>
      </c>
      <c r="CM71" s="11"/>
      <c r="CN71" s="8"/>
      <c r="CO71" s="31" t="str">
        <f>IF(CN71/(INDEX('Standards for Conversions'!$H$34:$H$73,MATCH(CM$3,'Standards for Conversions'!$A$34:$A$73,0)))=0,"",CN71/(INDEX('Standards for Conversions'!$H$34:$H$73,MATCH(CM$3,'Standards for Conversions'!$A$34:$A$73,0))))</f>
        <v/>
      </c>
      <c r="CP71" s="10" t="s">
        <v>38</v>
      </c>
      <c r="CQ71" s="3"/>
      <c r="CR71" s="8"/>
      <c r="CS71" s="31" t="str">
        <f>IF(CR71/(INDEX('Standards for Conversions'!$H$34:$H$73,MATCH(CQ$3,'Standards for Conversions'!$A$34:$A$73,0)))=0,"",CR71/(INDEX('Standards for Conversions'!$H$34:$H$73,MATCH(CQ$3,'Standards for Conversions'!$A$34:$A$73,0))))</f>
        <v/>
      </c>
      <c r="CT71" s="10" t="s">
        <v>38</v>
      </c>
      <c r="CU71" s="3"/>
      <c r="CV71" s="8"/>
      <c r="CW71" s="31" t="str">
        <f>IF(CV71/(INDEX('Standards for Conversions'!$H$34:$H$73,MATCH(CU$3,'Standards for Conversions'!$A$34:$A$73,0)))=0,"",CV71/(INDEX('Standards for Conversions'!$H$34:$H$73,MATCH(CU$3,'Standards for Conversions'!$A$34:$A$73,0))))</f>
        <v/>
      </c>
      <c r="CX71" s="10" t="s">
        <v>38</v>
      </c>
      <c r="CY71" s="3"/>
      <c r="CZ71" s="8"/>
      <c r="DA71" s="31" t="str">
        <f>IF(CZ71/(INDEX('Standards for Conversions'!$H$34:$H$73,MATCH(CY$3,'Standards for Conversions'!$A$34:$A$73,0)))=0,"",CZ71/(INDEX('Standards for Conversions'!$H$34:$H$73,MATCH(CY$3,'Standards for Conversions'!$A$34:$A$73,0))))</f>
        <v/>
      </c>
      <c r="DB71" s="10" t="s">
        <v>38</v>
      </c>
      <c r="DC71" s="11"/>
      <c r="DD71" s="8"/>
      <c r="DE71" s="31" t="str">
        <f>IF(DD71/(INDEX('Standards for Conversions'!$H$34:$H$73,MATCH(DC$3,'Standards for Conversions'!$A$34:$A$73,0)))=0,"",DD71/(INDEX('Standards for Conversions'!$H$34:$H$73,MATCH(DC$3,'Standards for Conversions'!$A$34:$A$73,0))))</f>
        <v/>
      </c>
      <c r="DF71" s="10" t="s">
        <v>38</v>
      </c>
      <c r="DG71" s="3"/>
      <c r="DH71" s="8"/>
      <c r="DI71" s="31" t="str">
        <f>IF(DH71/(INDEX('Standards for Conversions'!$H$34:$H$73,MATCH(DG$3,'Standards for Conversions'!$A$34:$A$73,0)))=0,"",DH71/(INDEX('Standards for Conversions'!$H$34:$H$73,MATCH(DG$3,'Standards for Conversions'!$A$34:$A$73,0))))</f>
        <v/>
      </c>
      <c r="DJ71" s="10" t="s">
        <v>38</v>
      </c>
      <c r="DK71" s="3"/>
      <c r="DL71" s="8"/>
      <c r="DM71" s="31" t="str">
        <f>IF(DL71/(INDEX('Standards for Conversions'!$H$34:$H$73,MATCH(DK$3,'Standards for Conversions'!$A$34:$A$73,0)))=0,"",DL71/(INDEX('Standards for Conversions'!$H$34:$H$73,MATCH(DK$3,'Standards for Conversions'!$A$34:$A$73,0))))</f>
        <v/>
      </c>
      <c r="DN71" s="10" t="s">
        <v>38</v>
      </c>
      <c r="DO71" s="3"/>
      <c r="DP71" s="8"/>
      <c r="DQ71" s="31" t="str">
        <f>IF(DP71/(INDEX('Standards for Conversions'!$H$34:$H$73,MATCH(DO$3,'Standards for Conversions'!$A$34:$A$73,0)))=0,"",DP71/(INDEX('Standards for Conversions'!$H$34:$H$73,MATCH(DO$3,'Standards for Conversions'!$A$34:$A$73,0))))</f>
        <v/>
      </c>
      <c r="DR71" s="10" t="s">
        <v>38</v>
      </c>
      <c r="DS71" s="11"/>
      <c r="DT71" s="8"/>
      <c r="DU71" s="31" t="str">
        <f>IF(DT71/(INDEX('Standards for Conversions'!$H$34:$H$73,MATCH(DS$3,'Standards for Conversions'!$A$34:$A$73,0)))=0,"",DT71/(INDEX('Standards for Conversions'!$H$34:$H$73,MATCH(DS$3,'Standards for Conversions'!$A$34:$A$73,0))))</f>
        <v/>
      </c>
      <c r="DV71" s="10" t="s">
        <v>38</v>
      </c>
      <c r="DW71" s="3"/>
      <c r="DX71" s="8"/>
      <c r="DY71" s="31" t="str">
        <f>IF(DX71/(INDEX('Standards for Conversions'!$H$34:$H$73,MATCH(DW$3,'Standards for Conversions'!$A$34:$A$73,0)))=0,"",DX71/(INDEX('Standards for Conversions'!$H$34:$H$73,MATCH(DW$3,'Standards for Conversions'!$A$34:$A$73,0))))</f>
        <v/>
      </c>
      <c r="DZ71" s="10" t="s">
        <v>38</v>
      </c>
      <c r="EA71" s="3"/>
      <c r="EB71" s="8"/>
      <c r="EC71" s="31" t="str">
        <f>IF(EB71/(INDEX('Standards for Conversions'!$H$34:$H$73,MATCH(EA$3,'Standards for Conversions'!$A$34:$A$73,0)))=0,"",EB71/(INDEX('Standards for Conversions'!$H$34:$H$73,MATCH(EA$3,'Standards for Conversions'!$A$34:$A$73,0))))</f>
        <v/>
      </c>
      <c r="ED71" s="10" t="s">
        <v>38</v>
      </c>
      <c r="EE71" s="3"/>
      <c r="EF71" s="8"/>
      <c r="EG71" s="31" t="str">
        <f>IF(EF71/(INDEX('Standards for Conversions'!$H$34:$H$73,MATCH(EE$3,'Standards for Conversions'!$A$34:$A$73,0)))=0,"",EF71/(INDEX('Standards for Conversions'!$H$34:$H$73,MATCH(EE$3,'Standards for Conversions'!$A$34:$A$73,0))))</f>
        <v/>
      </c>
      <c r="EH71" s="10" t="s">
        <v>38</v>
      </c>
      <c r="EI71" s="11"/>
      <c r="EJ71" s="8"/>
      <c r="EK71" s="31" t="str">
        <f>IF(EJ71/(INDEX('Standards for Conversions'!$H$34:$H$73,MATCH(EI$3,'Standards for Conversions'!$A$34:$A$73,0)))=0,"",EJ71/(INDEX('Standards for Conversions'!$H$34:$H$73,MATCH(EI$3,'Standards for Conversions'!$A$34:$A$73,0))))</f>
        <v/>
      </c>
      <c r="EL71" s="10" t="s">
        <v>38</v>
      </c>
      <c r="EM71" s="3"/>
      <c r="EN71" s="8"/>
      <c r="EO71" s="31" t="str">
        <f>IF(EN71/(INDEX('Standards for Conversions'!$H$34:$H$73,MATCH(EM$3,'Standards for Conversions'!$A$34:$A$73,0)))=0,"",EN71/(INDEX('Standards for Conversions'!$H$34:$H$73,MATCH(EM$3,'Standards for Conversions'!$A$34:$A$73,0))))</f>
        <v/>
      </c>
      <c r="EP71" s="10" t="s">
        <v>38</v>
      </c>
      <c r="EQ71" s="3"/>
      <c r="ER71" s="8"/>
      <c r="ES71" s="31" t="str">
        <f>IF(ER71/(INDEX('Standards for Conversions'!$H$34:$H$73,MATCH(EQ$3,'Standards for Conversions'!$A$34:$A$73,0)))=0,"",ER71/(INDEX('Standards for Conversions'!$H$34:$H$73,MATCH(EQ$3,'Standards for Conversions'!$A$34:$A$73,0))))</f>
        <v/>
      </c>
      <c r="ET71" s="10" t="s">
        <v>38</v>
      </c>
      <c r="EU71" s="3"/>
      <c r="EV71" s="8"/>
      <c r="EW71" s="31" t="str">
        <f>IF(EV71/(INDEX('Standards for Conversions'!$H$34:$H$73,MATCH(EU$3,'Standards for Conversions'!$A$34:$A$73,0)))=0,"",EV71/(INDEX('Standards for Conversions'!$H$34:$H$73,MATCH(EU$3,'Standards for Conversions'!$A$34:$A$73,0))))</f>
        <v/>
      </c>
      <c r="EX71" s="10" t="s">
        <v>38</v>
      </c>
      <c r="EY71" s="11"/>
      <c r="EZ71" s="8"/>
      <c r="FA71" s="31" t="str">
        <f>IF(EZ71/(INDEX('Standards for Conversions'!$H$34:$H$73,MATCH(EY$3,'Standards for Conversions'!$A$34:$A$73,0)))=0,"",EZ71/(INDEX('Standards for Conversions'!$H$34:$H$73,MATCH(EY$3,'Standards for Conversions'!$A$34:$A$73,0))))</f>
        <v/>
      </c>
      <c r="FB71" s="10" t="s">
        <v>38</v>
      </c>
      <c r="FC71" s="3"/>
      <c r="FD71" s="8"/>
      <c r="FE71" s="31" t="str">
        <f>IF(FD71/(INDEX('Standards for Conversions'!$H$34:$H$73,MATCH(FC$3,'Standards for Conversions'!$A$34:$A$73,0)))=0,"",FD71/(INDEX('Standards for Conversions'!$H$34:$H$73,MATCH(FC$3,'Standards for Conversions'!$A$34:$A$73,0))))</f>
        <v/>
      </c>
      <c r="FF71" s="10" t="s">
        <v>38</v>
      </c>
      <c r="FG71" s="3"/>
      <c r="FH71" s="8"/>
      <c r="FI71" s="31" t="str">
        <f>IF(FH71/(INDEX('Standards for Conversions'!$H$34:$H$73,MATCH(FG$3,'Standards for Conversions'!$A$34:$A$73,0)))=0,"",FH71/(INDEX('Standards for Conversions'!$H$34:$H$73,MATCH(FG$3,'Standards for Conversions'!$A$34:$A$73,0))))</f>
        <v/>
      </c>
      <c r="FJ71" s="10" t="s">
        <v>38</v>
      </c>
      <c r="FK71" s="3"/>
      <c r="FL71" s="8"/>
      <c r="FM71" s="31" t="str">
        <f>IF(FL71/(INDEX('Standards for Conversions'!$H$34:$H$73,MATCH(FK$3,'Standards for Conversions'!$A$34:$A$73,0)))=0,"",FL71/(INDEX('Standards for Conversions'!$H$34:$H$73,MATCH(FK$3,'Standards for Conversions'!$A$34:$A$73,0))))</f>
        <v/>
      </c>
      <c r="FN71" s="10" t="s">
        <v>38</v>
      </c>
      <c r="FO71" s="11"/>
      <c r="FP71" s="8"/>
      <c r="FQ71" s="31" t="str">
        <f>IF(FP71/(INDEX('Standards for Conversions'!$H$34:$H$73,MATCH(FO$3,'Standards for Conversions'!$A$34:$A$73,0)))=0,"",FP71/(INDEX('Standards for Conversions'!$H$34:$H$73,MATCH(FO$3,'Standards for Conversions'!$A$34:$A$73,0))))</f>
        <v/>
      </c>
      <c r="FR71" s="10" t="s">
        <v>38</v>
      </c>
      <c r="FS71" s="3"/>
      <c r="FT71" s="8"/>
      <c r="FU71" s="31" t="str">
        <f>IF(FT71/(INDEX('Standards for Conversions'!$H$34:$H$73,MATCH(FS$3,'Standards for Conversions'!$A$34:$A$73,0)))=0,"",FT71/(INDEX('Standards for Conversions'!$H$34:$H$73,MATCH(FS$3,'Standards for Conversions'!$A$34:$A$73,0))))</f>
        <v/>
      </c>
      <c r="FV71" s="10" t="s">
        <v>38</v>
      </c>
      <c r="FW71" s="3"/>
      <c r="FX71" s="8"/>
      <c r="FY71" s="31" t="str">
        <f>IF(FX71/(INDEX('Standards for Conversions'!$H$34:$H$73,MATCH(FW$3,'Standards for Conversions'!$A$34:$A$73,0)))=0,"",FX71/(INDEX('Standards for Conversions'!$H$34:$H$73,MATCH(FW$3,'Standards for Conversions'!$A$34:$A$73,0))))</f>
        <v/>
      </c>
      <c r="FZ71" s="10" t="s">
        <v>38</v>
      </c>
      <c r="GA71" s="3"/>
      <c r="GB71" s="8"/>
      <c r="GC71" s="31" t="str">
        <f>IF(GB71/(INDEX('Standards for Conversions'!$H$34:$H$73,MATCH(GA$3,'Standards for Conversions'!$A$34:$A$73,0)))=0,"",GB71/(INDEX('Standards for Conversions'!$H$34:$H$73,MATCH(GA$3,'Standards for Conversions'!$A$34:$A$73,0))))</f>
        <v/>
      </c>
      <c r="GD71" s="10" t="s">
        <v>38</v>
      </c>
      <c r="GE71" s="11"/>
      <c r="GF71" s="8"/>
      <c r="GG71" s="31" t="str">
        <f>IF(GF71/(INDEX('Standards for Conversions'!$H$34:$H$73,MATCH(GE$3,'Standards for Conversions'!$A$34:$A$73,0)))=0,"",GF71/(INDEX('Standards for Conversions'!$H$34:$H$73,MATCH(GE$3,'Standards for Conversions'!$A$34:$A$73,0))))</f>
        <v/>
      </c>
      <c r="GH71" s="10" t="s">
        <v>38</v>
      </c>
      <c r="GI71" s="3"/>
      <c r="GJ71" s="8"/>
      <c r="GK71" s="31" t="str">
        <f>IF(GJ71/(INDEX('Standards for Conversions'!$H$34:$H$73,MATCH(GI$3,'Standards for Conversions'!$A$34:$A$73,0)))=0,"",GJ71/(INDEX('Standards for Conversions'!$H$34:$H$73,MATCH(GI$3,'Standards for Conversions'!$A$34:$A$73,0))))</f>
        <v/>
      </c>
      <c r="GL71" s="10" t="s">
        <v>38</v>
      </c>
      <c r="GM71" s="3"/>
      <c r="GN71" s="8"/>
      <c r="GO71" s="31" t="str">
        <f>IF(GN71/(INDEX('Standards for Conversions'!$H$34:$H$73,MATCH(GM$3,'Standards for Conversions'!$A$34:$A$73,0)))=0,"",GN71/(INDEX('Standards for Conversions'!$H$34:$H$73,MATCH(GM$3,'Standards for Conversions'!$A$34:$A$73,0))))</f>
        <v/>
      </c>
      <c r="GP71" s="10" t="s">
        <v>38</v>
      </c>
      <c r="GQ71" s="3"/>
      <c r="GR71" s="8"/>
      <c r="GS71" s="31" t="str">
        <f>IF(GR71/(INDEX('Standards for Conversions'!$H$34:$H$73,MATCH(GQ$3,'Standards for Conversions'!$A$34:$A$73,0)))=0,"",GR71/(INDEX('Standards for Conversions'!$H$34:$H$73,MATCH(GQ$3,'Standards for Conversions'!$A$34:$A$73,0))))</f>
        <v/>
      </c>
      <c r="GT71" s="10" t="s">
        <v>38</v>
      </c>
      <c r="GU71" s="11"/>
      <c r="GV71" s="8"/>
      <c r="GW71" s="31" t="str">
        <f>IF(GV71/(INDEX('Standards for Conversions'!$H$34:$H$73,MATCH(GU$3,'Standards for Conversions'!$A$34:$A$73,0)))=0,"",GV71/(INDEX('Standards for Conversions'!$H$34:$H$73,MATCH(GU$3,'Standards for Conversions'!$A$34:$A$73,0))))</f>
        <v/>
      </c>
      <c r="GX71" s="10" t="s">
        <v>38</v>
      </c>
      <c r="GY71" s="3"/>
      <c r="GZ71" s="8"/>
      <c r="HA71" s="31" t="str">
        <f>IF(GZ71/(INDEX('Standards for Conversions'!$H$34:$H$73,MATCH(GY$3,'Standards for Conversions'!$A$34:$A$73,0)))=0,"",GZ71/(INDEX('Standards for Conversions'!$H$34:$H$73,MATCH(GY$3,'Standards for Conversions'!$A$34:$A$73,0))))</f>
        <v/>
      </c>
      <c r="HB71" s="10" t="s">
        <v>38</v>
      </c>
      <c r="HC71" s="3"/>
      <c r="HD71" s="8"/>
      <c r="HE71" s="31" t="str">
        <f>IF(HD71/(INDEX('Standards for Conversions'!$H$34:$H$73,MATCH(HC$3,'Standards for Conversions'!$A$34:$A$73,0)))=0,"",HD71/(INDEX('Standards for Conversions'!$H$34:$H$73,MATCH(HC$3,'Standards for Conversions'!$A$34:$A$73,0))))</f>
        <v/>
      </c>
      <c r="HF71" s="10" t="s">
        <v>38</v>
      </c>
      <c r="HG71" s="3"/>
      <c r="HH71" s="8"/>
      <c r="HI71" s="31" t="str">
        <f>IF(HH71/(INDEX('Standards for Conversions'!$H$34:$H$73,MATCH(HG$3,'Standards for Conversions'!$A$34:$A$73,0)))=0,"",HH71/(INDEX('Standards for Conversions'!$H$34:$H$73,MATCH(HG$3,'Standards for Conversions'!$A$34:$A$73,0))))</f>
        <v/>
      </c>
      <c r="HJ71" s="10" t="s">
        <v>38</v>
      </c>
      <c r="HK71" s="11"/>
      <c r="HL71" s="8"/>
      <c r="HM71" s="31" t="str">
        <f>IF(HL71/(INDEX('Standards for Conversions'!$H$34:$H$73,MATCH(HK$3,'Standards for Conversions'!$A$34:$A$73,0)))=0,"",HL71/(INDEX('Standards for Conversions'!$H$34:$H$73,MATCH(HK$3,'Standards for Conversions'!$A$34:$A$73,0))))</f>
        <v/>
      </c>
      <c r="HN71" s="10" t="s">
        <v>38</v>
      </c>
      <c r="HO71" s="3"/>
      <c r="HP71" s="8"/>
      <c r="HQ71" s="31" t="str">
        <f>IF(HP71/(INDEX('Standards for Conversions'!$H$34:$H$73,MATCH(HO$3,'Standards for Conversions'!$A$34:$A$73,0)))=0,"",HP71/(INDEX('Standards for Conversions'!$H$34:$H$73,MATCH(HO$3,'Standards for Conversions'!$A$34:$A$73,0))))</f>
        <v/>
      </c>
      <c r="HR71" s="33" t="s">
        <v>38</v>
      </c>
      <c r="HS71" s="43"/>
      <c r="HT71" s="44"/>
      <c r="HU71" s="31" t="str">
        <f>IF(HT71/(INDEX('Standards for Conversions'!$H$47:$H$73,MATCH(HS$3,'Standards for Conversions'!$A$47:$A$73,0)))=0,"",HT71/(INDEX('Standards for Conversions'!$H$47:$H$73,MATCH(HS$3,'Standards for Conversions'!$A$47:$A$73,0))))</f>
        <v/>
      </c>
      <c r="HV71" s="33" t="s">
        <v>38</v>
      </c>
      <c r="HW71" s="43"/>
      <c r="HX71" s="44"/>
      <c r="HY71" s="31" t="str">
        <f>IF(HX71/(INDEX('Standards for Conversions'!$H$47:$H$73,MATCH(HW$3,'Standards for Conversions'!$A$47:$A$73,0)))=0,"",HX71/(INDEX('Standards for Conversions'!$H$47:$H$73,MATCH(HW$3,'Standards for Conversions'!$A$47:$A$73,0))))</f>
        <v/>
      </c>
      <c r="HZ71" s="45"/>
      <c r="IA71" s="44"/>
      <c r="IB71" s="31" t="str">
        <f>IF(IA71/(INDEX('Standards for Conversions'!$H$47:$H$73,MATCH(HZ$3,'Standards for Conversions'!$A$47:$A$73,0)))=0,"",IA71/(INDEX('Standards for Conversions'!$H$47:$H$73,MATCH(HZ$3,'Standards for Conversions'!$A$47:$A$73,0))))</f>
        <v/>
      </c>
      <c r="IC71" s="33" t="s">
        <v>38</v>
      </c>
      <c r="ID71" s="43"/>
      <c r="IE71" s="44"/>
      <c r="IF71" s="31" t="str">
        <f>IF(IE71/(INDEX('Standards for Conversions'!$H$47:$H$73,MATCH(ID$3,'Standards for Conversions'!$A$47:$A$73,0)))=0,"",IE71/(INDEX('Standards for Conversions'!$H$47:$H$73,MATCH(ID$3,'Standards for Conversions'!$A$47:$A$73,0))))</f>
        <v/>
      </c>
      <c r="IG71" s="33" t="s">
        <v>38</v>
      </c>
      <c r="IH71" s="43"/>
      <c r="II71" s="44"/>
      <c r="IJ71" s="31" t="str">
        <f>IF(II71/(INDEX('Standards for Conversions'!$H$47:$H$73,MATCH(IH$3,'Standards for Conversions'!$A$47:$A$73,0)))=0,"",II71/(INDEX('Standards for Conversions'!$H$47:$H$73,MATCH(IH$3,'Standards for Conversions'!$A$47:$A$73,0))))</f>
        <v/>
      </c>
      <c r="IK71" s="33" t="s">
        <v>38</v>
      </c>
      <c r="IL71" s="43"/>
      <c r="IM71" s="44"/>
      <c r="IN71" s="31" t="str">
        <f>IF(IM71/(INDEX('Standards for Conversions'!$H$47:$H$73,MATCH(IL$3,'Standards for Conversions'!$A$47:$A$73,0)))=0,"",IM71/(INDEX('Standards for Conversions'!$H$47:$H$73,MATCH(IL$3,'Standards for Conversions'!$A$47:$A$73,0))))</f>
        <v/>
      </c>
      <c r="IO71" s="33" t="s">
        <v>38</v>
      </c>
      <c r="IP71" s="43"/>
      <c r="IQ71" s="44"/>
      <c r="IR71" s="31" t="str">
        <f>IF(IQ71/(INDEX('Standards for Conversions'!$H$47:$H$73,MATCH(IP$3,'Standards for Conversions'!$A$47:$A$73,0)))=0,"",IQ71/(INDEX('Standards for Conversions'!$H$47:$H$73,MATCH(IP$3,'Standards for Conversions'!$A$47:$A$73,0))))</f>
        <v/>
      </c>
      <c r="IS71" s="33" t="s">
        <v>38</v>
      </c>
      <c r="IT71" s="43"/>
      <c r="IU71" s="44"/>
      <c r="IV71" s="31" t="str">
        <f>IF(IU71/(INDEX('Standards for Conversions'!$H$47:$H$73,MATCH(IT$3,'Standards for Conversions'!$A$47:$A$73,0)))=0,"",IU71/(INDEX('Standards for Conversions'!$H$47:$H$73,MATCH(IT$3,'Standards for Conversions'!$A$47:$A$73,0))))</f>
        <v/>
      </c>
      <c r="IW71" s="33" t="s">
        <v>38</v>
      </c>
      <c r="IZ71" s="31" t="str">
        <f>IF(IY71/(INDEX('Standards for Conversions'!$H$47:$H$73,MATCH(IX$3,'Standards for Conversions'!$A$47:$A$73,0)))=0,"",IY71/(INDEX('Standards for Conversions'!$H$47:$H$73,MATCH(IX$3,'Standards for Conversions'!$A$47:$A$73,0))))</f>
        <v/>
      </c>
      <c r="JA71" s="48" t="s">
        <v>38</v>
      </c>
      <c r="JB71" s="29">
        <v>7</v>
      </c>
      <c r="JC71" s="29">
        <v>140</v>
      </c>
      <c r="JD71" s="31">
        <f>IF(JC71/(INDEX('Standards for Conversions'!$H$47:$H$73,MATCH(JB$3,'Standards for Conversions'!$A$47:$A$73,0)))=0,"",JC71/(INDEX('Standards for Conversions'!$H$47:$H$73,MATCH(JB$3,'Standards for Conversions'!$A$47:$A$73,0))))</f>
        <v>22.646427536861616</v>
      </c>
      <c r="JE71" s="46"/>
      <c r="JH71" s="31" t="str">
        <f>IF(JG71/(INDEX('Standards for Conversions'!$H$47:$H$73,MATCH(JF$3,'Standards for Conversions'!$A$47:$A$73,0)))=0,"",JG71/(INDEX('Standards for Conversions'!$H$47:$H$73,MATCH(JF$3,'Standards for Conversions'!$A$47:$A$73,0))))</f>
        <v/>
      </c>
      <c r="JI71" s="46"/>
      <c r="JJ71" s="43"/>
      <c r="JK71" s="44"/>
      <c r="JL71" s="31" t="str">
        <f>IF(JK71/(INDEX('Standards for Conversions'!$H$47:$H$73,MATCH(JJ$3,'Standards for Conversions'!$A$47:$A$73,0)))=0,"",JK71/(INDEX('Standards for Conversions'!$H$47:$H$73,MATCH(JJ$3,'Standards for Conversions'!$A$47:$A$73,0))))</f>
        <v/>
      </c>
      <c r="JM71" s="33" t="s">
        <v>38</v>
      </c>
      <c r="JP71" s="31" t="str">
        <f>IF(JO71/(INDEX('Standards for Conversions'!$H$47:$H$73,MATCH(JN$3,'Standards for Conversions'!$A$47:$A$73,0)))=0,"",JO71/(INDEX('Standards for Conversions'!$H$47:$H$73,MATCH(JN$3,'Standards for Conversions'!$A$47:$A$73,0))))</f>
        <v/>
      </c>
      <c r="JQ71" s="33" t="s">
        <v>38</v>
      </c>
      <c r="JR71" s="29">
        <v>5</v>
      </c>
      <c r="JS71" s="29">
        <v>100</v>
      </c>
      <c r="JT71" s="31">
        <f>IF(JS71/(INDEX('Standards for Conversions'!$H$47:$H$73,MATCH(JR$3,'Standards for Conversions'!$A$47:$A$73,0)))=0,"",JS71/(INDEX('Standards for Conversions'!$H$47:$H$73,MATCH(JR$3,'Standards for Conversions'!$A$47:$A$73,0))))</f>
        <v>15.265589242779756</v>
      </c>
      <c r="JU71" s="33" t="s">
        <v>38</v>
      </c>
      <c r="JV71" s="43"/>
      <c r="JW71" s="44"/>
      <c r="JX71" s="31" t="str">
        <f>IF(JW71/(INDEX('Standards for Conversions'!$H$47:$H$73,MATCH(JV$3,'Standards for Conversions'!$A$47:$A$73,0)))=0,"",JW71/(INDEX('Standards for Conversions'!$H$47:$H$73,MATCH(JV$3,'Standards for Conversions'!$A$47:$A$73,0))))</f>
        <v/>
      </c>
      <c r="JY71" s="33" t="s">
        <v>38</v>
      </c>
      <c r="JZ71" s="43"/>
      <c r="KA71" s="44"/>
      <c r="KB71" s="31" t="str">
        <f>IF(KA71/(INDEX('Standards for Conversions'!$H$47:$H$73,MATCH(JZ$3,'Standards for Conversions'!$A$47:$A$73,0)))=0,"",KA71/(INDEX('Standards for Conversions'!$H$47:$H$73,MATCH(JZ$3,'Standards for Conversions'!$A$47:$A$73,0))))</f>
        <v/>
      </c>
      <c r="KC71" s="33" t="s">
        <v>38</v>
      </c>
      <c r="KF71" s="31" t="str">
        <f>IF(KE71/(INDEX('Standards for Conversions'!$H$47:$H$73,MATCH(KD$3,'Standards for Conversions'!$A$47:$A$73,0)))=0,"",KE71/(INDEX('Standards for Conversions'!$H$47:$H$73,MATCH(KD$3,'Standards for Conversions'!$A$47:$A$73,0))))</f>
        <v/>
      </c>
      <c r="KG71" s="33" t="s">
        <v>38</v>
      </c>
      <c r="KH71" s="29">
        <v>6</v>
      </c>
      <c r="KI71" s="29">
        <v>120</v>
      </c>
      <c r="KJ71" s="31">
        <f>IF(KI71/(INDEX('Standards for Conversions'!$H$47:$H$73,MATCH(KH$3,'Standards for Conversions'!$A$47:$A$73,0)))=0,"",KI71/(INDEX('Standards for Conversions'!$H$47:$H$73,MATCH(KH$3,'Standards for Conversions'!$A$47:$A$73,0))))</f>
        <v>16.159081428695576</v>
      </c>
      <c r="KK71" s="33" t="s">
        <v>38</v>
      </c>
      <c r="KL71" s="43"/>
      <c r="KM71" s="44"/>
      <c r="KN71" s="31" t="str">
        <f>IF(KM71/(INDEX('Standards for Conversions'!$H$47:$H$73,MATCH(KL$3,'Standards for Conversions'!$A$47:$A$73,0)))=0,"",KM71/(INDEX('Standards for Conversions'!$H$47:$H$73,MATCH(KL$3,'Standards for Conversions'!$A$47:$A$73,0))))</f>
        <v/>
      </c>
      <c r="KO71" s="33" t="s">
        <v>38</v>
      </c>
      <c r="KP71" s="43"/>
      <c r="KQ71" s="44"/>
      <c r="KR71" s="31" t="str">
        <f>IF(KQ71/(INDEX('Standards for Conversions'!$H$47:$H$73,MATCH(KP$3,'Standards for Conversions'!$A$47:$A$73,0)))=0,"",KQ71/(INDEX('Standards for Conversions'!$H$47:$H$73,MATCH(KP$3,'Standards for Conversions'!$A$47:$A$73,0))))</f>
        <v/>
      </c>
      <c r="KS71" s="33" t="s">
        <v>38</v>
      </c>
      <c r="KV71" s="31" t="str">
        <f>IF(KU71/(INDEX('Standards for Conversions'!$H$47:$H$73,MATCH(KT$3,'Standards for Conversions'!$A$47:$A$73,0)))=0,"",KU71/(INDEX('Standards for Conversions'!$H$47:$H$73,MATCH(KT$3,'Standards for Conversions'!$A$47:$A$73,0))))</f>
        <v/>
      </c>
      <c r="KW71" s="48" t="s">
        <v>38</v>
      </c>
      <c r="KZ71" s="31" t="str">
        <f>IF(KY71/(INDEX('Standards for Conversions'!$H$47:$H$73,MATCH(KX$3,'Standards for Conversions'!$A$47:$A$73,0)))=0,"",KY71/(INDEX('Standards for Conversions'!$H$47:$H$73,MATCH(KX$3,'Standards for Conversions'!$A$47:$A$73,0))))</f>
        <v/>
      </c>
      <c r="LA71" s="42"/>
      <c r="LB71" s="43"/>
      <c r="LC71" s="44"/>
      <c r="LD71" s="31" t="str">
        <f>IF(LC71/(INDEX('Standards for Conversions'!$H$47:$H$73,MATCH(LB$3,'Standards for Conversions'!$A$47:$A$73,0)))=0,"",LC71/(INDEX('Standards for Conversions'!$H$47:$H$73,MATCH(LB$3,'Standards for Conversions'!$A$47:$A$73,0))))</f>
        <v/>
      </c>
      <c r="LE71" s="46"/>
      <c r="LF71" s="43"/>
      <c r="LG71" s="44"/>
      <c r="LH71" s="31" t="str">
        <f>IF(LG71/(INDEX('Standards for Conversions'!$H$47:$H$73,MATCH(LF$3,'Standards for Conversions'!$A$47:$A$73,0)))=0,"",LG71/(INDEX('Standards for Conversions'!$H$47:$H$73,MATCH(LF$3,'Standards for Conversions'!$A$47:$A$73,0))))</f>
        <v/>
      </c>
      <c r="LI71" s="33"/>
      <c r="LJ71" s="43"/>
      <c r="LK71" s="44"/>
      <c r="LL71" s="31" t="str">
        <f>IF(LK71/(INDEX('Standards for Conversions'!$H$47:$H$73,MATCH(LJ$3,'Standards for Conversions'!$A$47:$A$73,0)))=0,"",LK71/(INDEX('Standards for Conversions'!$H$47:$H$73,MATCH(LJ$3,'Standards for Conversions'!$A$47:$A$73,0))))</f>
        <v/>
      </c>
      <c r="LM71" s="43"/>
      <c r="LN71" s="44"/>
      <c r="LO71" s="31" t="str">
        <f>IF(LN71/(INDEX('Standards for Conversions'!$H$47:$H$73,MATCH(LM$3,'Standards for Conversions'!$A$47:$A$73,0)))=0,"",LN71/(INDEX('Standards for Conversions'!$H$47:$H$73,MATCH(LM$3,'Standards for Conversions'!$A$47:$A$73,0))))</f>
        <v/>
      </c>
      <c r="LP71" s="43"/>
      <c r="LQ71" s="44"/>
      <c r="LR71" s="31" t="str">
        <f>IF(LQ71/(INDEX('Standards for Conversions'!$H$47:$H$73,MATCH(LP$3,'Standards for Conversions'!$A$47:$A$73,0)))=0,"",LQ71/(INDEX('Standards for Conversions'!$H$47:$H$73,MATCH(LP$3,'Standards for Conversions'!$A$47:$A$73,0))))</f>
        <v/>
      </c>
      <c r="LS71" s="33"/>
      <c r="LT71" s="43"/>
      <c r="LU71" s="44"/>
      <c r="LV71" s="31" t="str">
        <f>IF(LU71/(INDEX('Standards for Conversions'!$H$47:$H$73,MATCH(LT$3,'Standards for Conversions'!$A$47:$A$73,0)))=0,"",LU71/(INDEX('Standards for Conversions'!$H$47:$H$73,MATCH(LT$3,'Standards for Conversions'!$A$47:$A$73,0))))</f>
        <v/>
      </c>
      <c r="LW71" s="43"/>
      <c r="LX71" s="44"/>
      <c r="LY71" s="31" t="str">
        <f>IF(LX71/(INDEX('Standards for Conversions'!$H$47:$H$73,MATCH(LW$3,'Standards for Conversions'!$A$47:$A$73,0)))=0,"",LX71/(INDEX('Standards for Conversions'!$H$47:$H$73,MATCH(LW$3,'Standards for Conversions'!$A$47:$A$73,0))))</f>
        <v/>
      </c>
      <c r="LZ71" s="43"/>
      <c r="MA71" s="44"/>
      <c r="MB71" s="31" t="str">
        <f>IF(MA71/(INDEX('Standards for Conversions'!$H$47:$H$73,MATCH(LZ$3,'Standards for Conversions'!$A$47:$A$73,0)))=0,"",MA71/(INDEX('Standards for Conversions'!$H$47:$H$73,MATCH(LZ$3,'Standards for Conversions'!$A$47:$A$73,0))))</f>
        <v/>
      </c>
      <c r="MC71" s="43"/>
      <c r="MD71" s="44"/>
      <c r="ME71" s="31" t="str">
        <f>IF(MD71/(INDEX('Standards for Conversions'!$H$47:$H$73,MATCH(MC$3,'Standards for Conversions'!$A$47:$A$73,0)))=0,"",MD71/(INDEX('Standards for Conversions'!$H$47:$H$73,MATCH(MC$3,'Standards for Conversions'!$A$47:$A$73,0))))</f>
        <v/>
      </c>
      <c r="MF71" s="43"/>
      <c r="MG71" s="44"/>
      <c r="MH71" s="31" t="str">
        <f>IF(MG71/(INDEX('Standards for Conversions'!$H$47:$H$73,MATCH(MF$3,'Standards for Conversions'!$A$47:$A$73,0)))=0,"",MG71/(INDEX('Standards for Conversions'!$H$47:$H$73,MATCH(MF$3,'Standards for Conversions'!$A$47:$A$73,0))))</f>
        <v/>
      </c>
      <c r="MI71" s="43"/>
      <c r="MJ71" s="44"/>
      <c r="MK71" s="31" t="str">
        <f>IF(MJ71/(INDEX('Standards for Conversions'!$H$47:$H$73,MATCH(MI$3,'Standards for Conversions'!$A$47:$A$73,0)))=0,"",MJ71/(INDEX('Standards for Conversions'!$H$47:$H$73,MATCH(MI$3,'Standards for Conversions'!$A$47:$A$73,0))))</f>
        <v/>
      </c>
      <c r="ML71" s="43"/>
      <c r="MM71" s="44"/>
      <c r="MN71" s="31" t="str">
        <f>IF(MM71/(INDEX('Standards for Conversions'!$H$47:$H$73,MATCH(ML$3,'Standards for Conversions'!$A$47:$A$73,0)))=0,"",MM71/(INDEX('Standards for Conversions'!$H$47:$H$73,MATCH(ML$3,'Standards for Conversions'!$A$47:$A$73,0))))</f>
        <v/>
      </c>
      <c r="MO71" s="42"/>
      <c r="MP71" s="45"/>
      <c r="MQ71" s="44"/>
      <c r="MR71" s="31" t="str">
        <f>IF(MQ71/(INDEX('Standards for Conversions'!$H$47:$H$73,MATCH(MP$3,'Standards for Conversions'!$A$47:$A$73,0)))=0,"",MQ71/(INDEX('Standards for Conversions'!$H$47:$H$73,MATCH(MP$3,'Standards for Conversions'!$A$47:$A$73,0))))</f>
        <v/>
      </c>
      <c r="MS71" s="42"/>
      <c r="MT71" s="45"/>
      <c r="MU71" s="44"/>
      <c r="MV71" s="43"/>
      <c r="MW71" s="44"/>
      <c r="MX71" s="43"/>
      <c r="MY71" s="44"/>
      <c r="MZ71" s="33"/>
      <c r="NE71" s="33"/>
    </row>
    <row r="72" spans="1:369" hidden="1" x14ac:dyDescent="0.3">
      <c r="A72" s="103" t="s">
        <v>247</v>
      </c>
      <c r="B72" s="10" t="s">
        <v>40</v>
      </c>
      <c r="C72" s="7"/>
      <c r="D72" s="7"/>
      <c r="E72" s="31" t="str">
        <f>IF(D72/(INDEX('Standards for Conversions'!$H$34:$H$73,MATCH(C$3,'Standards for Conversions'!$A$34:$A$73,0)))=0,"",D72/(INDEX('Standards for Conversions'!$H$34:$H$73,MATCH(C$3,'Standards for Conversions'!$A$34:$A$73,0))))</f>
        <v/>
      </c>
      <c r="F72" s="10" t="s">
        <v>40</v>
      </c>
      <c r="G72" s="7"/>
      <c r="H72" s="7"/>
      <c r="I72" s="31" t="str">
        <f>IF(H72/(INDEX('Standards for Conversions'!$H$34:$H$73,MATCH(G$3,'Standards for Conversions'!$A$34:$A$73,0)))=0,"",H72/(INDEX('Standards for Conversions'!$H$34:$H$73,MATCH(G$3,'Standards for Conversions'!$A$34:$A$73,0))))</f>
        <v/>
      </c>
      <c r="J72" s="10" t="s">
        <v>40</v>
      </c>
      <c r="K72" s="9"/>
      <c r="L72" s="9"/>
      <c r="M72" s="31" t="str">
        <f>IF(L72/(INDEX('Standards for Conversions'!$H$34:$H$73,MATCH(K$3,'Standards for Conversions'!$A$34:$A$73,0)))=0,"",L72/(INDEX('Standards for Conversions'!$H$34:$H$73,MATCH(K$3,'Standards for Conversions'!$A$34:$A$73,0))))</f>
        <v/>
      </c>
      <c r="N72" s="10" t="s">
        <v>40</v>
      </c>
      <c r="O72" s="7"/>
      <c r="P72" s="7"/>
      <c r="Q72" s="31" t="str">
        <f>IF(P72/(INDEX('Standards for Conversions'!$H$34:$H$73,MATCH(O$3,'Standards for Conversions'!$A$34:$A$73,0)))=0,"",P72/(INDEX('Standards for Conversions'!$H$34:$H$73,MATCH(O$3,'Standards for Conversions'!$A$34:$A$73,0))))</f>
        <v/>
      </c>
      <c r="R72" s="10" t="s">
        <v>40</v>
      </c>
      <c r="S72" s="7"/>
      <c r="T72" s="7"/>
      <c r="U72" s="31" t="str">
        <f>IF(T72/(INDEX('Standards for Conversions'!$H$34:$H$73,MATCH(S$3,'Standards for Conversions'!$A$34:$A$73,0)))=0,"",T72/(INDEX('Standards for Conversions'!$H$34:$H$73,MATCH(S$3,'Standards for Conversions'!$A$34:$A$73,0))))</f>
        <v/>
      </c>
      <c r="V72" s="10" t="s">
        <v>40</v>
      </c>
      <c r="W72" s="7"/>
      <c r="X72" s="7"/>
      <c r="Y72" s="31" t="str">
        <f>IF(X72/(INDEX('Standards for Conversions'!$H$34:$H$73,MATCH(W$3,'Standards for Conversions'!$A$34:$A$73,0)))=0,"",X72/(INDEX('Standards for Conversions'!$H$34:$H$73,MATCH(W$3,'Standards for Conversions'!$A$34:$A$73,0))))</f>
        <v/>
      </c>
      <c r="Z72" s="10" t="s">
        <v>40</v>
      </c>
      <c r="AA72" s="9"/>
      <c r="AB72" s="9"/>
      <c r="AC72" s="31" t="str">
        <f>IF(AB72/(INDEX('Standards for Conversions'!$H$34:$H$73,MATCH(AA$3,'Standards for Conversions'!$A$34:$A$73,0)))=0,"",AB72/(INDEX('Standards for Conversions'!$H$34:$H$73,MATCH(AA$3,'Standards for Conversions'!$A$34:$A$73,0))))</f>
        <v/>
      </c>
      <c r="AD72" s="10" t="s">
        <v>40</v>
      </c>
      <c r="AE72" s="7"/>
      <c r="AF72" s="7"/>
      <c r="AG72" s="31" t="str">
        <f>IF(AF72/(INDEX('Standards for Conversions'!$H$34:$H$73,MATCH(AE$3,'Standards for Conversions'!$A$34:$A$73,0)))=0,"",AF72/(INDEX('Standards for Conversions'!$H$34:$H$73,MATCH(AE$3,'Standards for Conversions'!$A$34:$A$73,0))))</f>
        <v/>
      </c>
      <c r="AH72" s="10" t="s">
        <v>40</v>
      </c>
      <c r="AI72" s="7"/>
      <c r="AJ72" s="7"/>
      <c r="AK72" s="31" t="str">
        <f>IF(AJ72/(INDEX('Standards for Conversions'!$H$34:$H$73,MATCH(AI$3,'Standards for Conversions'!$A$34:$A$73,0)))=0,"",AJ72/(INDEX('Standards for Conversions'!$H$34:$H$73,MATCH(AI$3,'Standards for Conversions'!$A$34:$A$73,0))))</f>
        <v/>
      </c>
      <c r="AL72" s="10" t="s">
        <v>40</v>
      </c>
      <c r="AM72" s="7"/>
      <c r="AN72" s="7"/>
      <c r="AO72" s="31" t="str">
        <f>IF(AN72/(INDEX('Standards for Conversions'!$H$34:$H$73,MATCH(AM$3,'Standards for Conversions'!$A$34:$A$73,0)))=0,"",AN72/(INDEX('Standards for Conversions'!$H$34:$H$73,MATCH(AM$3,'Standards for Conversions'!$A$34:$A$73,0))))</f>
        <v/>
      </c>
      <c r="AP72" s="10" t="s">
        <v>40</v>
      </c>
      <c r="AQ72" s="9"/>
      <c r="AR72" s="9"/>
      <c r="AS72" s="31" t="str">
        <f>IF(AR72/(INDEX('Standards for Conversions'!$H$34:$H$73,MATCH(AQ$3,'Standards for Conversions'!$A$34:$A$73,0)))=0,"",AR72/(INDEX('Standards for Conversions'!$H$34:$H$73,MATCH(AQ$3,'Standards for Conversions'!$A$34:$A$73,0))))</f>
        <v/>
      </c>
      <c r="AT72" s="10" t="s">
        <v>40</v>
      </c>
      <c r="AU72" s="7"/>
      <c r="AV72" s="7"/>
      <c r="AW72" s="31" t="str">
        <f>IF(AV72/(INDEX('Standards for Conversions'!$H$34:$H$73,MATCH(AU$3,'Standards for Conversions'!$A$34:$A$73,0)))=0,"",AV72/(INDEX('Standards for Conversions'!$H$34:$H$73,MATCH(AU$3,'Standards for Conversions'!$A$34:$A$73,0))))</f>
        <v/>
      </c>
      <c r="AX72" s="10" t="s">
        <v>40</v>
      </c>
      <c r="AY72" s="7"/>
      <c r="AZ72" s="7"/>
      <c r="BA72" s="31" t="str">
        <f>IF(AZ72/(INDEX('Standards for Conversions'!$H$34:$H$73,MATCH(AY$3,'Standards for Conversions'!$A$34:$A$73,0)))=0,"",AZ72/(INDEX('Standards for Conversions'!$H$34:$H$73,MATCH(AY$3,'Standards for Conversions'!$A$34:$A$73,0))))</f>
        <v/>
      </c>
      <c r="BB72" s="10" t="s">
        <v>40</v>
      </c>
      <c r="BC72" s="7"/>
      <c r="BD72" s="7"/>
      <c r="BE72" s="31" t="str">
        <f>IF(BD72/(INDEX('Standards for Conversions'!$H$34:$H$73,MATCH(BC$3,'Standards for Conversions'!$A$34:$A$73,0)))=0,"",BD72/(INDEX('Standards for Conversions'!$H$34:$H$73,MATCH(BC$3,'Standards for Conversions'!$A$34:$A$73,0))))</f>
        <v/>
      </c>
      <c r="BF72" s="10" t="s">
        <v>40</v>
      </c>
      <c r="BG72" s="9"/>
      <c r="BH72" s="9"/>
      <c r="BI72" s="31" t="str">
        <f>IF(BH72/(INDEX('Standards for Conversions'!$H$34:$H$73,MATCH(BG$3,'Standards for Conversions'!$A$34:$A$73,0)))=0,"",BH72/(INDEX('Standards for Conversions'!$H$34:$H$73,MATCH(BG$3,'Standards for Conversions'!$A$34:$A$73,0))))</f>
        <v/>
      </c>
      <c r="BJ72" s="10" t="s">
        <v>40</v>
      </c>
      <c r="BK72" s="7"/>
      <c r="BL72" s="7"/>
      <c r="BM72" s="31" t="str">
        <f>IF(BL72/(INDEX('Standards for Conversions'!$H$34:$H$73,MATCH(BK$3,'Standards for Conversions'!$A$34:$A$73,0)))=0,"",BL72/(INDEX('Standards for Conversions'!$H$34:$H$73,MATCH(BK$3,'Standards for Conversions'!$A$34:$A$73,0))))</f>
        <v/>
      </c>
      <c r="BN72" s="10" t="s">
        <v>40</v>
      </c>
      <c r="BO72" s="7"/>
      <c r="BP72" s="7"/>
      <c r="BQ72" s="31" t="str">
        <f>IF(BP72/(INDEX('Standards for Conversions'!$H$34:$H$73,MATCH(BO$3,'Standards for Conversions'!$A$34:$A$73,0)))=0,"",BP72/(INDEX('Standards for Conversions'!$H$34:$H$73,MATCH(BO$3,'Standards for Conversions'!$A$34:$A$73,0))))</f>
        <v/>
      </c>
      <c r="BR72" s="10" t="s">
        <v>40</v>
      </c>
      <c r="BS72" s="7"/>
      <c r="BT72" s="7"/>
      <c r="BU72" s="31" t="str">
        <f>IF(BT72/(INDEX('Standards for Conversions'!$H$34:$H$73,MATCH(BS$3,'Standards for Conversions'!$A$34:$A$73,0)))=0,"",BT72/(INDEX('Standards for Conversions'!$H$34:$H$73,MATCH(BS$3,'Standards for Conversions'!$A$34:$A$73,0))))</f>
        <v/>
      </c>
      <c r="BV72" s="10" t="s">
        <v>40</v>
      </c>
      <c r="BW72" s="9"/>
      <c r="BX72" s="9"/>
      <c r="BY72" s="31" t="str">
        <f>IF(BX72/(INDEX('Standards for Conversions'!$H$34:$H$73,MATCH(BW$3,'Standards for Conversions'!$A$34:$A$73,0)))=0,"",BX72/(INDEX('Standards for Conversions'!$H$34:$H$73,MATCH(BW$3,'Standards for Conversions'!$A$34:$A$73,0))))</f>
        <v/>
      </c>
      <c r="BZ72" s="10" t="s">
        <v>40</v>
      </c>
      <c r="CA72" s="7"/>
      <c r="CB72" s="7"/>
      <c r="CC72" s="31" t="str">
        <f>IF(CB72/(INDEX('Standards for Conversions'!$H$34:$H$73,MATCH(CA$3,'Standards for Conversions'!$A$34:$A$73,0)))=0,"",CB72/(INDEX('Standards for Conversions'!$H$34:$H$73,MATCH(CA$3,'Standards for Conversions'!$A$34:$A$73,0))))</f>
        <v/>
      </c>
      <c r="CD72" s="10" t="s">
        <v>40</v>
      </c>
      <c r="CE72" s="7"/>
      <c r="CF72" s="7"/>
      <c r="CG72" s="31" t="str">
        <f>IF(CF72/(INDEX('Standards for Conversions'!$H$34:$H$73,MATCH(CE$3,'Standards for Conversions'!$A$34:$A$73,0)))=0,"",CF72/(INDEX('Standards for Conversions'!$H$34:$H$73,MATCH(CE$3,'Standards for Conversions'!$A$34:$A$73,0))))</f>
        <v/>
      </c>
      <c r="CH72" s="10" t="s">
        <v>40</v>
      </c>
      <c r="CI72" s="7"/>
      <c r="CJ72" s="7"/>
      <c r="CK72" s="31" t="str">
        <f>IF(CJ72/(INDEX('Standards for Conversions'!$H$34:$H$73,MATCH(CI$3,'Standards for Conversions'!$A$34:$A$73,0)))=0,"",CJ72/(INDEX('Standards for Conversions'!$H$34:$H$73,MATCH(CI$3,'Standards for Conversions'!$A$34:$A$73,0))))</f>
        <v/>
      </c>
      <c r="CL72" s="10" t="s">
        <v>40</v>
      </c>
      <c r="CM72" s="9"/>
      <c r="CN72" s="9"/>
      <c r="CO72" s="31" t="str">
        <f>IF(CN72/(INDEX('Standards for Conversions'!$H$34:$H$73,MATCH(CM$3,'Standards for Conversions'!$A$34:$A$73,0)))=0,"",CN72/(INDEX('Standards for Conversions'!$H$34:$H$73,MATCH(CM$3,'Standards for Conversions'!$A$34:$A$73,0))))</f>
        <v/>
      </c>
      <c r="CP72" s="10" t="s">
        <v>40</v>
      </c>
      <c r="CQ72" s="7"/>
      <c r="CR72" s="7"/>
      <c r="CS72" s="31" t="str">
        <f>IF(CR72/(INDEX('Standards for Conversions'!$H$34:$H$73,MATCH(CQ$3,'Standards for Conversions'!$A$34:$A$73,0)))=0,"",CR72/(INDEX('Standards for Conversions'!$H$34:$H$73,MATCH(CQ$3,'Standards for Conversions'!$A$34:$A$73,0))))</f>
        <v/>
      </c>
      <c r="CT72" s="10" t="s">
        <v>40</v>
      </c>
      <c r="CU72" s="7"/>
      <c r="CV72" s="7"/>
      <c r="CW72" s="31" t="str">
        <f>IF(CV72/(INDEX('Standards for Conversions'!$H$34:$H$73,MATCH(CU$3,'Standards for Conversions'!$A$34:$A$73,0)))=0,"",CV72/(INDEX('Standards for Conversions'!$H$34:$H$73,MATCH(CU$3,'Standards for Conversions'!$A$34:$A$73,0))))</f>
        <v/>
      </c>
      <c r="CX72" s="10" t="s">
        <v>40</v>
      </c>
      <c r="CY72" s="7"/>
      <c r="CZ72" s="7"/>
      <c r="DA72" s="31" t="str">
        <f>IF(CZ72/(INDEX('Standards for Conversions'!$H$34:$H$73,MATCH(CY$3,'Standards for Conversions'!$A$34:$A$73,0)))=0,"",CZ72/(INDEX('Standards for Conversions'!$H$34:$H$73,MATCH(CY$3,'Standards for Conversions'!$A$34:$A$73,0))))</f>
        <v/>
      </c>
      <c r="DB72" s="10" t="s">
        <v>40</v>
      </c>
      <c r="DC72" s="9"/>
      <c r="DD72" s="9"/>
      <c r="DE72" s="31" t="str">
        <f>IF(DD72/(INDEX('Standards for Conversions'!$H$34:$H$73,MATCH(DC$3,'Standards for Conversions'!$A$34:$A$73,0)))=0,"",DD72/(INDEX('Standards for Conversions'!$H$34:$H$73,MATCH(DC$3,'Standards for Conversions'!$A$34:$A$73,0))))</f>
        <v/>
      </c>
      <c r="DF72" s="10" t="s">
        <v>40</v>
      </c>
      <c r="DG72" s="7"/>
      <c r="DH72" s="7"/>
      <c r="DI72" s="31" t="str">
        <f>IF(DH72/(INDEX('Standards for Conversions'!$H$34:$H$73,MATCH(DG$3,'Standards for Conversions'!$A$34:$A$73,0)))=0,"",DH72/(INDEX('Standards for Conversions'!$H$34:$H$73,MATCH(DG$3,'Standards for Conversions'!$A$34:$A$73,0))))</f>
        <v/>
      </c>
      <c r="DJ72" s="10" t="s">
        <v>40</v>
      </c>
      <c r="DK72" s="7"/>
      <c r="DL72" s="7"/>
      <c r="DM72" s="31" t="str">
        <f>IF(DL72/(INDEX('Standards for Conversions'!$H$34:$H$73,MATCH(DK$3,'Standards for Conversions'!$A$34:$A$73,0)))=0,"",DL72/(INDEX('Standards for Conversions'!$H$34:$H$73,MATCH(DK$3,'Standards for Conversions'!$A$34:$A$73,0))))</f>
        <v/>
      </c>
      <c r="DN72" s="10" t="s">
        <v>40</v>
      </c>
      <c r="DO72" s="7"/>
      <c r="DP72" s="7"/>
      <c r="DQ72" s="31" t="str">
        <f>IF(DP72/(INDEX('Standards for Conversions'!$H$34:$H$73,MATCH(DO$3,'Standards for Conversions'!$A$34:$A$73,0)))=0,"",DP72/(INDEX('Standards for Conversions'!$H$34:$H$73,MATCH(DO$3,'Standards for Conversions'!$A$34:$A$73,0))))</f>
        <v/>
      </c>
      <c r="DR72" s="10" t="s">
        <v>40</v>
      </c>
      <c r="DS72" s="9"/>
      <c r="DT72" s="9"/>
      <c r="DU72" s="31" t="str">
        <f>IF(DT72/(INDEX('Standards for Conversions'!$H$34:$H$73,MATCH(DS$3,'Standards for Conversions'!$A$34:$A$73,0)))=0,"",DT72/(INDEX('Standards for Conversions'!$H$34:$H$73,MATCH(DS$3,'Standards for Conversions'!$A$34:$A$73,0))))</f>
        <v/>
      </c>
      <c r="DV72" s="10" t="s">
        <v>40</v>
      </c>
      <c r="DW72" s="7"/>
      <c r="DX72" s="7"/>
      <c r="DY72" s="31" t="str">
        <f>IF(DX72/(INDEX('Standards for Conversions'!$H$34:$H$73,MATCH(DW$3,'Standards for Conversions'!$A$34:$A$73,0)))=0,"",DX72/(INDEX('Standards for Conversions'!$H$34:$H$73,MATCH(DW$3,'Standards for Conversions'!$A$34:$A$73,0))))</f>
        <v/>
      </c>
      <c r="DZ72" s="10" t="s">
        <v>40</v>
      </c>
      <c r="EA72" s="7"/>
      <c r="EB72" s="7"/>
      <c r="EC72" s="31" t="str">
        <f>IF(EB72/(INDEX('Standards for Conversions'!$H$34:$H$73,MATCH(EA$3,'Standards for Conversions'!$A$34:$A$73,0)))=0,"",EB72/(INDEX('Standards for Conversions'!$H$34:$H$73,MATCH(EA$3,'Standards for Conversions'!$A$34:$A$73,0))))</f>
        <v/>
      </c>
      <c r="ED72" s="10" t="s">
        <v>40</v>
      </c>
      <c r="EE72" s="7"/>
      <c r="EF72" s="7"/>
      <c r="EG72" s="31" t="str">
        <f>IF(EF72/(INDEX('Standards for Conversions'!$H$34:$H$73,MATCH(EE$3,'Standards for Conversions'!$A$34:$A$73,0)))=0,"",EF72/(INDEX('Standards for Conversions'!$H$34:$H$73,MATCH(EE$3,'Standards for Conversions'!$A$34:$A$73,0))))</f>
        <v/>
      </c>
      <c r="EH72" s="10" t="s">
        <v>40</v>
      </c>
      <c r="EI72" s="9"/>
      <c r="EJ72" s="9"/>
      <c r="EK72" s="31" t="str">
        <f>IF(EJ72/(INDEX('Standards for Conversions'!$H$34:$H$73,MATCH(EI$3,'Standards for Conversions'!$A$34:$A$73,0)))=0,"",EJ72/(INDEX('Standards for Conversions'!$H$34:$H$73,MATCH(EI$3,'Standards for Conversions'!$A$34:$A$73,0))))</f>
        <v/>
      </c>
      <c r="EL72" s="10" t="s">
        <v>40</v>
      </c>
      <c r="EM72" s="7"/>
      <c r="EN72" s="7"/>
      <c r="EO72" s="31" t="str">
        <f>IF(EN72/(INDEX('Standards for Conversions'!$H$34:$H$73,MATCH(EM$3,'Standards for Conversions'!$A$34:$A$73,0)))=0,"",EN72/(INDEX('Standards for Conversions'!$H$34:$H$73,MATCH(EM$3,'Standards for Conversions'!$A$34:$A$73,0))))</f>
        <v/>
      </c>
      <c r="EP72" s="10" t="s">
        <v>40</v>
      </c>
      <c r="EQ72" s="7"/>
      <c r="ER72" s="7"/>
      <c r="ES72" s="31" t="str">
        <f>IF(ER72/(INDEX('Standards for Conversions'!$H$34:$H$73,MATCH(EQ$3,'Standards for Conversions'!$A$34:$A$73,0)))=0,"",ER72/(INDEX('Standards for Conversions'!$H$34:$H$73,MATCH(EQ$3,'Standards for Conversions'!$A$34:$A$73,0))))</f>
        <v/>
      </c>
      <c r="ET72" s="10" t="s">
        <v>40</v>
      </c>
      <c r="EU72" s="7"/>
      <c r="EV72" s="7"/>
      <c r="EW72" s="31" t="str">
        <f>IF(EV72/(INDEX('Standards for Conversions'!$H$34:$H$73,MATCH(EU$3,'Standards for Conversions'!$A$34:$A$73,0)))=0,"",EV72/(INDEX('Standards for Conversions'!$H$34:$H$73,MATCH(EU$3,'Standards for Conversions'!$A$34:$A$73,0))))</f>
        <v/>
      </c>
      <c r="EX72" s="10" t="s">
        <v>40</v>
      </c>
      <c r="EY72" s="9"/>
      <c r="EZ72" s="9"/>
      <c r="FA72" s="31" t="str">
        <f>IF(EZ72/(INDEX('Standards for Conversions'!$H$34:$H$73,MATCH(EY$3,'Standards for Conversions'!$A$34:$A$73,0)))=0,"",EZ72/(INDEX('Standards for Conversions'!$H$34:$H$73,MATCH(EY$3,'Standards for Conversions'!$A$34:$A$73,0))))</f>
        <v/>
      </c>
      <c r="FB72" s="10" t="s">
        <v>40</v>
      </c>
      <c r="FC72" s="7"/>
      <c r="FD72" s="7"/>
      <c r="FE72" s="31" t="str">
        <f>IF(FD72/(INDEX('Standards for Conversions'!$H$34:$H$73,MATCH(FC$3,'Standards for Conversions'!$A$34:$A$73,0)))=0,"",FD72/(INDEX('Standards for Conversions'!$H$34:$H$73,MATCH(FC$3,'Standards for Conversions'!$A$34:$A$73,0))))</f>
        <v/>
      </c>
      <c r="FF72" s="10" t="s">
        <v>40</v>
      </c>
      <c r="FG72" s="7"/>
      <c r="FH72" s="7"/>
      <c r="FI72" s="31" t="str">
        <f>IF(FH72/(INDEX('Standards for Conversions'!$H$34:$H$73,MATCH(FG$3,'Standards for Conversions'!$A$34:$A$73,0)))=0,"",FH72/(INDEX('Standards for Conversions'!$H$34:$H$73,MATCH(FG$3,'Standards for Conversions'!$A$34:$A$73,0))))</f>
        <v/>
      </c>
      <c r="FJ72" s="10" t="s">
        <v>40</v>
      </c>
      <c r="FK72" s="7"/>
      <c r="FL72" s="7"/>
      <c r="FM72" s="31" t="str">
        <f>IF(FL72/(INDEX('Standards for Conversions'!$H$34:$H$73,MATCH(FK$3,'Standards for Conversions'!$A$34:$A$73,0)))=0,"",FL72/(INDEX('Standards for Conversions'!$H$34:$H$73,MATCH(FK$3,'Standards for Conversions'!$A$34:$A$73,0))))</f>
        <v/>
      </c>
      <c r="FN72" s="10" t="s">
        <v>40</v>
      </c>
      <c r="FO72" s="9"/>
      <c r="FP72" s="9"/>
      <c r="FQ72" s="31" t="str">
        <f>IF(FP72/(INDEX('Standards for Conversions'!$H$34:$H$73,MATCH(FO$3,'Standards for Conversions'!$A$34:$A$73,0)))=0,"",FP72/(INDEX('Standards for Conversions'!$H$34:$H$73,MATCH(FO$3,'Standards for Conversions'!$A$34:$A$73,0))))</f>
        <v/>
      </c>
      <c r="FR72" s="10" t="s">
        <v>40</v>
      </c>
      <c r="FS72" s="7"/>
      <c r="FT72" s="7"/>
      <c r="FU72" s="31" t="str">
        <f>IF(FT72/(INDEX('Standards for Conversions'!$H$34:$H$73,MATCH(FS$3,'Standards for Conversions'!$A$34:$A$73,0)))=0,"",FT72/(INDEX('Standards for Conversions'!$H$34:$H$73,MATCH(FS$3,'Standards for Conversions'!$A$34:$A$73,0))))</f>
        <v/>
      </c>
      <c r="FV72" s="10" t="s">
        <v>40</v>
      </c>
      <c r="FW72" s="7"/>
      <c r="FX72" s="7"/>
      <c r="FY72" s="31" t="str">
        <f>IF(FX72/(INDEX('Standards for Conversions'!$H$34:$H$73,MATCH(FW$3,'Standards for Conversions'!$A$34:$A$73,0)))=0,"",FX72/(INDEX('Standards for Conversions'!$H$34:$H$73,MATCH(FW$3,'Standards for Conversions'!$A$34:$A$73,0))))</f>
        <v/>
      </c>
      <c r="FZ72" s="10" t="s">
        <v>40</v>
      </c>
      <c r="GA72" s="7"/>
      <c r="GB72" s="7"/>
      <c r="GC72" s="31" t="str">
        <f>IF(GB72/(INDEX('Standards for Conversions'!$H$34:$H$73,MATCH(GA$3,'Standards for Conversions'!$A$34:$A$73,0)))=0,"",GB72/(INDEX('Standards for Conversions'!$H$34:$H$73,MATCH(GA$3,'Standards for Conversions'!$A$34:$A$73,0))))</f>
        <v/>
      </c>
      <c r="GD72" s="10" t="s">
        <v>40</v>
      </c>
      <c r="GE72" s="9"/>
      <c r="GF72" s="9"/>
      <c r="GG72" s="31" t="str">
        <f>IF(GF72/(INDEX('Standards for Conversions'!$H$34:$H$73,MATCH(GE$3,'Standards for Conversions'!$A$34:$A$73,0)))=0,"",GF72/(INDEX('Standards for Conversions'!$H$34:$H$73,MATCH(GE$3,'Standards for Conversions'!$A$34:$A$73,0))))</f>
        <v/>
      </c>
      <c r="GH72" s="10" t="s">
        <v>40</v>
      </c>
      <c r="GI72" s="7"/>
      <c r="GJ72" s="7"/>
      <c r="GK72" s="31" t="str">
        <f>IF(GJ72/(INDEX('Standards for Conversions'!$H$34:$H$73,MATCH(GI$3,'Standards for Conversions'!$A$34:$A$73,0)))=0,"",GJ72/(INDEX('Standards for Conversions'!$H$34:$H$73,MATCH(GI$3,'Standards for Conversions'!$A$34:$A$73,0))))</f>
        <v/>
      </c>
      <c r="GL72" s="10" t="s">
        <v>40</v>
      </c>
      <c r="GM72" s="7"/>
      <c r="GN72" s="7"/>
      <c r="GO72" s="31" t="str">
        <f>IF(GN72/(INDEX('Standards for Conversions'!$H$34:$H$73,MATCH(GM$3,'Standards for Conversions'!$A$34:$A$73,0)))=0,"",GN72/(INDEX('Standards for Conversions'!$H$34:$H$73,MATCH(GM$3,'Standards for Conversions'!$A$34:$A$73,0))))</f>
        <v/>
      </c>
      <c r="GP72" s="10" t="s">
        <v>40</v>
      </c>
      <c r="GQ72" s="7"/>
      <c r="GR72" s="7"/>
      <c r="GS72" s="31" t="str">
        <f>IF(GR72/(INDEX('Standards for Conversions'!$H$34:$H$73,MATCH(GQ$3,'Standards for Conversions'!$A$34:$A$73,0)))=0,"",GR72/(INDEX('Standards for Conversions'!$H$34:$H$73,MATCH(GQ$3,'Standards for Conversions'!$A$34:$A$73,0))))</f>
        <v/>
      </c>
      <c r="GT72" s="10" t="s">
        <v>40</v>
      </c>
      <c r="GU72" s="9"/>
      <c r="GV72" s="9"/>
      <c r="GW72" s="31" t="str">
        <f>IF(GV72/(INDEX('Standards for Conversions'!$H$34:$H$73,MATCH(GU$3,'Standards for Conversions'!$A$34:$A$73,0)))=0,"",GV72/(INDEX('Standards for Conversions'!$H$34:$H$73,MATCH(GU$3,'Standards for Conversions'!$A$34:$A$73,0))))</f>
        <v/>
      </c>
      <c r="GX72" s="10" t="s">
        <v>40</v>
      </c>
      <c r="GY72" s="7"/>
      <c r="GZ72" s="7"/>
      <c r="HA72" s="31" t="str">
        <f>IF(GZ72/(INDEX('Standards for Conversions'!$H$34:$H$73,MATCH(GY$3,'Standards for Conversions'!$A$34:$A$73,0)))=0,"",GZ72/(INDEX('Standards for Conversions'!$H$34:$H$73,MATCH(GY$3,'Standards for Conversions'!$A$34:$A$73,0))))</f>
        <v/>
      </c>
      <c r="HB72" s="10" t="s">
        <v>40</v>
      </c>
      <c r="HC72" s="7"/>
      <c r="HD72" s="7"/>
      <c r="HE72" s="31" t="str">
        <f>IF(HD72/(INDEX('Standards for Conversions'!$H$34:$H$73,MATCH(HC$3,'Standards for Conversions'!$A$34:$A$73,0)))=0,"",HD72/(INDEX('Standards for Conversions'!$H$34:$H$73,MATCH(HC$3,'Standards for Conversions'!$A$34:$A$73,0))))</f>
        <v/>
      </c>
      <c r="HF72" s="10" t="s">
        <v>40</v>
      </c>
      <c r="HG72" s="7"/>
      <c r="HH72" s="7"/>
      <c r="HI72" s="31" t="str">
        <f>IF(HH72/(INDEX('Standards for Conversions'!$H$34:$H$73,MATCH(HG$3,'Standards for Conversions'!$A$34:$A$73,0)))=0,"",HH72/(INDEX('Standards for Conversions'!$H$34:$H$73,MATCH(HG$3,'Standards for Conversions'!$A$34:$A$73,0))))</f>
        <v/>
      </c>
      <c r="HJ72" s="10" t="s">
        <v>40</v>
      </c>
      <c r="HK72" s="9"/>
      <c r="HL72" s="9"/>
      <c r="HM72" s="31" t="str">
        <f>IF(HL72/(INDEX('Standards for Conversions'!$H$34:$H$73,MATCH(HK$3,'Standards for Conversions'!$A$34:$A$73,0)))=0,"",HL72/(INDEX('Standards for Conversions'!$H$34:$H$73,MATCH(HK$3,'Standards for Conversions'!$A$34:$A$73,0))))</f>
        <v/>
      </c>
      <c r="HN72" s="10" t="s">
        <v>40</v>
      </c>
      <c r="HO72" s="7"/>
      <c r="HP72" s="7"/>
      <c r="HQ72" s="31" t="str">
        <f>IF(HP72/(INDEX('Standards for Conversions'!$H$34:$H$73,MATCH(HO$3,'Standards for Conversions'!$A$34:$A$73,0)))=0,"",HP72/(INDEX('Standards for Conversions'!$H$34:$H$73,MATCH(HO$3,'Standards for Conversions'!$A$34:$A$73,0))))</f>
        <v/>
      </c>
      <c r="HR72" s="33" t="s">
        <v>40</v>
      </c>
      <c r="HU72" s="31" t="str">
        <f>IF(HT72/(INDEX('Standards for Conversions'!$H$47:$H$73,MATCH(HS$3,'Standards for Conversions'!$A$47:$A$73,0)))=0,"",HT72/(INDEX('Standards for Conversions'!$H$47:$H$73,MATCH(HS$3,'Standards for Conversions'!$A$47:$A$73,0))))</f>
        <v/>
      </c>
      <c r="HV72" s="33" t="s">
        <v>40</v>
      </c>
      <c r="HW72" s="29">
        <v>5</v>
      </c>
      <c r="HX72" s="29">
        <v>1500</v>
      </c>
      <c r="HY72" s="31">
        <f>IF(HX72/(INDEX('Standards for Conversions'!$H$47:$H$73,MATCH(HW$3,'Standards for Conversions'!$A$47:$A$73,0)))=0,"",HX72/(INDEX('Standards for Conversions'!$H$47:$H$73,MATCH(HW$3,'Standards for Conversions'!$A$47:$A$73,0))))</f>
        <v>217.86811831928395</v>
      </c>
      <c r="HZ72" s="33"/>
      <c r="IA72" s="33"/>
      <c r="IB72" s="31" t="str">
        <f>IF(IA72/(INDEX('Standards for Conversions'!$H$47:$H$73,MATCH(HZ$3,'Standards for Conversions'!$A$47:$A$73,0)))=0,"",IA72/(INDEX('Standards for Conversions'!$H$47:$H$73,MATCH(HZ$3,'Standards for Conversions'!$A$47:$A$73,0))))</f>
        <v/>
      </c>
      <c r="IC72" s="33" t="s">
        <v>40</v>
      </c>
      <c r="IF72" s="31" t="str">
        <f>IF(IE72/(INDEX('Standards for Conversions'!$H$47:$H$73,MATCH(ID$3,'Standards for Conversions'!$A$47:$A$73,0)))=0,"",IE72/(INDEX('Standards for Conversions'!$H$47:$H$73,MATCH(ID$3,'Standards for Conversions'!$A$47:$A$73,0))))</f>
        <v/>
      </c>
      <c r="IG72" s="33" t="s">
        <v>40</v>
      </c>
      <c r="IJ72" s="31" t="str">
        <f>IF(II72/(INDEX('Standards for Conversions'!$H$47:$H$73,MATCH(IH$3,'Standards for Conversions'!$A$47:$A$73,0)))=0,"",II72/(INDEX('Standards for Conversions'!$H$47:$H$73,MATCH(IH$3,'Standards for Conversions'!$A$47:$A$73,0))))</f>
        <v/>
      </c>
      <c r="IK72" s="33" t="s">
        <v>40</v>
      </c>
      <c r="IL72" s="29">
        <v>7</v>
      </c>
      <c r="IM72" s="29">
        <v>1200</v>
      </c>
      <c r="IN72" s="31">
        <f>IF(IM72/(INDEX('Standards for Conversions'!$H$47:$H$73,MATCH(IL$3,'Standards for Conversions'!$A$47:$A$73,0)))=0,"",IM72/(INDEX('Standards for Conversions'!$H$47:$H$73,MATCH(IL$3,'Standards for Conversions'!$A$47:$A$73,0))))</f>
        <v>173.53227383331884</v>
      </c>
      <c r="IO72" s="33" t="s">
        <v>40</v>
      </c>
      <c r="IR72" s="31" t="str">
        <f>IF(IQ72/(INDEX('Standards for Conversions'!$H$47:$H$73,MATCH(IP$3,'Standards for Conversions'!$A$47:$A$73,0)))=0,"",IQ72/(INDEX('Standards for Conversions'!$H$47:$H$73,MATCH(IP$3,'Standards for Conversions'!$A$47:$A$73,0))))</f>
        <v/>
      </c>
      <c r="IS72" s="33" t="s">
        <v>40</v>
      </c>
      <c r="IV72" s="31" t="str">
        <f>IF(IU72/(INDEX('Standards for Conversions'!$H$47:$H$73,MATCH(IT$3,'Standards for Conversions'!$A$47:$A$73,0)))=0,"",IU72/(INDEX('Standards for Conversions'!$H$47:$H$73,MATCH(IT$3,'Standards for Conversions'!$A$47:$A$73,0))))</f>
        <v/>
      </c>
      <c r="IW72" s="33" t="s">
        <v>40</v>
      </c>
      <c r="IZ72" s="31" t="str">
        <f>IF(IY72/(INDEX('Standards for Conversions'!$H$47:$H$73,MATCH(IX$3,'Standards for Conversions'!$A$47:$A$73,0)))=0,"",IY72/(INDEX('Standards for Conversions'!$H$47:$H$73,MATCH(IX$3,'Standards for Conversions'!$A$47:$A$73,0))))</f>
        <v/>
      </c>
      <c r="JA72" s="48" t="s">
        <v>40</v>
      </c>
      <c r="JB72" s="29">
        <v>2</v>
      </c>
      <c r="JC72" s="29">
        <v>1400</v>
      </c>
      <c r="JD72" s="31">
        <f>IF(JC72/(INDEX('Standards for Conversions'!$H$47:$H$73,MATCH(JB$3,'Standards for Conversions'!$A$47:$A$73,0)))=0,"",JC72/(INDEX('Standards for Conversions'!$H$47:$H$73,MATCH(JB$3,'Standards for Conversions'!$A$47:$A$73,0))))</f>
        <v>226.46427536861617</v>
      </c>
      <c r="JE72" s="33"/>
      <c r="JH72" s="31" t="str">
        <f>IF(JG72/(INDEX('Standards for Conversions'!$H$47:$H$73,MATCH(JF$3,'Standards for Conversions'!$A$47:$A$73,0)))=0,"",JG72/(INDEX('Standards for Conversions'!$H$47:$H$73,MATCH(JF$3,'Standards for Conversions'!$A$47:$A$73,0))))</f>
        <v/>
      </c>
      <c r="JI72" s="48"/>
      <c r="JL72" s="31" t="str">
        <f>IF(JK72/(INDEX('Standards for Conversions'!$H$47:$H$73,MATCH(JJ$3,'Standards for Conversions'!$A$47:$A$73,0)))=0,"",JK72/(INDEX('Standards for Conversions'!$H$47:$H$73,MATCH(JJ$3,'Standards for Conversions'!$A$47:$A$73,0))))</f>
        <v/>
      </c>
      <c r="JM72" s="33" t="s">
        <v>40</v>
      </c>
      <c r="JP72" s="31" t="str">
        <f>IF(JO72/(INDEX('Standards for Conversions'!$H$47:$H$73,MATCH(JN$3,'Standards for Conversions'!$A$47:$A$73,0)))=0,"",JO72/(INDEX('Standards for Conversions'!$H$47:$H$73,MATCH(JN$3,'Standards for Conversions'!$A$47:$A$73,0))))</f>
        <v/>
      </c>
      <c r="JQ72" s="33" t="s">
        <v>40</v>
      </c>
      <c r="JR72" s="29">
        <v>2</v>
      </c>
      <c r="JS72" s="29">
        <v>350</v>
      </c>
      <c r="JT72" s="31">
        <f>IF(JS72/(INDEX('Standards for Conversions'!$H$47:$H$73,MATCH(JR$3,'Standards for Conversions'!$A$47:$A$73,0)))=0,"",JS72/(INDEX('Standards for Conversions'!$H$47:$H$73,MATCH(JR$3,'Standards for Conversions'!$A$47:$A$73,0))))</f>
        <v>53.429562349729146</v>
      </c>
      <c r="JU72" s="33" t="s">
        <v>40</v>
      </c>
      <c r="JX72" s="31" t="str">
        <f>IF(JW72/(INDEX('Standards for Conversions'!$H$47:$H$73,MATCH(JV$3,'Standards for Conversions'!$A$47:$A$73,0)))=0,"",JW72/(INDEX('Standards for Conversions'!$H$47:$H$73,MATCH(JV$3,'Standards for Conversions'!$A$47:$A$73,0))))</f>
        <v/>
      </c>
      <c r="JY72" s="33" t="s">
        <v>40</v>
      </c>
      <c r="KB72" s="31" t="str">
        <f>IF(KA72/(INDEX('Standards for Conversions'!$H$47:$H$73,MATCH(JZ$3,'Standards for Conversions'!$A$47:$A$73,0)))=0,"",KA72/(INDEX('Standards for Conversions'!$H$47:$H$73,MATCH(JZ$3,'Standards for Conversions'!$A$47:$A$73,0))))</f>
        <v/>
      </c>
      <c r="KC72" s="33" t="s">
        <v>40</v>
      </c>
      <c r="KF72" s="31" t="str">
        <f>IF(KE72/(INDEX('Standards for Conversions'!$H$47:$H$73,MATCH(KD$3,'Standards for Conversions'!$A$47:$A$73,0)))=0,"",KE72/(INDEX('Standards for Conversions'!$H$47:$H$73,MATCH(KD$3,'Standards for Conversions'!$A$47:$A$73,0))))</f>
        <v/>
      </c>
      <c r="KG72" s="33" t="s">
        <v>40</v>
      </c>
      <c r="KH72" s="29">
        <v>2</v>
      </c>
      <c r="KI72" s="29">
        <v>400</v>
      </c>
      <c r="KJ72" s="31">
        <f>IF(KI72/(INDEX('Standards for Conversions'!$H$47:$H$73,MATCH(KH$3,'Standards for Conversions'!$A$47:$A$73,0)))=0,"",KI72/(INDEX('Standards for Conversions'!$H$47:$H$73,MATCH(KH$3,'Standards for Conversions'!$A$47:$A$73,0))))</f>
        <v>53.863604762318587</v>
      </c>
      <c r="KK72" s="33" t="s">
        <v>40</v>
      </c>
      <c r="KN72" s="31" t="str">
        <f>IF(KM72/(INDEX('Standards for Conversions'!$H$47:$H$73,MATCH(KL$3,'Standards for Conversions'!$A$47:$A$73,0)))=0,"",KM72/(INDEX('Standards for Conversions'!$H$47:$H$73,MATCH(KL$3,'Standards for Conversions'!$A$47:$A$73,0))))</f>
        <v/>
      </c>
      <c r="KO72" s="33" t="s">
        <v>40</v>
      </c>
      <c r="KR72" s="31" t="str">
        <f>IF(KQ72/(INDEX('Standards for Conversions'!$H$47:$H$73,MATCH(KP$3,'Standards for Conversions'!$A$47:$A$73,0)))=0,"",KQ72/(INDEX('Standards for Conversions'!$H$47:$H$73,MATCH(KP$3,'Standards for Conversions'!$A$47:$A$73,0))))</f>
        <v/>
      </c>
      <c r="KS72" s="33" t="s">
        <v>40</v>
      </c>
      <c r="KV72" s="31" t="str">
        <f>IF(KU72/(INDEX('Standards for Conversions'!$H$47:$H$73,MATCH(KT$3,'Standards for Conversions'!$A$47:$A$73,0)))=0,"",KU72/(INDEX('Standards for Conversions'!$H$47:$H$73,MATCH(KT$3,'Standards for Conversions'!$A$47:$A$73,0))))</f>
        <v/>
      </c>
      <c r="KW72" s="48" t="s">
        <v>40</v>
      </c>
      <c r="KX72" s="29">
        <v>4</v>
      </c>
      <c r="KY72" s="29">
        <v>800</v>
      </c>
      <c r="KZ72" s="31">
        <f>IF(KY72/(INDEX('Standards for Conversions'!$H$47:$H$73,MATCH(KX$3,'Standards for Conversions'!$A$47:$A$73,0)))=0,"",KY72/(INDEX('Standards for Conversions'!$H$47:$H$73,MATCH(KX$3,'Standards for Conversions'!$A$47:$A$73,0))))</f>
        <v>97.293253381999349</v>
      </c>
      <c r="LD72" s="31" t="str">
        <f>IF(LC72/(INDEX('Standards for Conversions'!$H$47:$H$73,MATCH(LB$3,'Standards for Conversions'!$A$47:$A$73,0)))=0,"",LC72/(INDEX('Standards for Conversions'!$H$47:$H$73,MATCH(LB$3,'Standards for Conversions'!$A$47:$A$73,0))))</f>
        <v/>
      </c>
      <c r="LE72" s="48"/>
      <c r="LH72" s="31" t="str">
        <f>IF(LG72/(INDEX('Standards for Conversions'!$H$47:$H$73,MATCH(LF$3,'Standards for Conversions'!$A$47:$A$73,0)))=0,"",LG72/(INDEX('Standards for Conversions'!$H$47:$H$73,MATCH(LF$3,'Standards for Conversions'!$A$47:$A$73,0))))</f>
        <v/>
      </c>
      <c r="LL72" s="31" t="str">
        <f>IF(LK72/(INDEX('Standards for Conversions'!$H$47:$H$73,MATCH(LJ$3,'Standards for Conversions'!$A$47:$A$73,0)))=0,"",LK72/(INDEX('Standards for Conversions'!$H$47:$H$73,MATCH(LJ$3,'Standards for Conversions'!$A$47:$A$73,0))))</f>
        <v/>
      </c>
      <c r="LO72" s="31" t="str">
        <f>IF(LN72/(INDEX('Standards for Conversions'!$H$47:$H$73,MATCH(LM$3,'Standards for Conversions'!$A$47:$A$73,0)))=0,"",LN72/(INDEX('Standards for Conversions'!$H$47:$H$73,MATCH(LM$3,'Standards for Conversions'!$A$47:$A$73,0))))</f>
        <v/>
      </c>
      <c r="LR72" s="31" t="str">
        <f>IF(LQ72/(INDEX('Standards for Conversions'!$H$47:$H$73,MATCH(LP$3,'Standards for Conversions'!$A$47:$A$73,0)))=0,"",LQ72/(INDEX('Standards for Conversions'!$H$47:$H$73,MATCH(LP$3,'Standards for Conversions'!$A$47:$A$73,0))))</f>
        <v/>
      </c>
      <c r="LV72" s="31" t="str">
        <f>IF(LU72/(INDEX('Standards for Conversions'!$H$47:$H$73,MATCH(LT$3,'Standards for Conversions'!$A$47:$A$73,0)))=0,"",LU72/(INDEX('Standards for Conversions'!$H$47:$H$73,MATCH(LT$3,'Standards for Conversions'!$A$47:$A$73,0))))</f>
        <v/>
      </c>
      <c r="LY72" s="31" t="str">
        <f>IF(LX72/(INDEX('Standards for Conversions'!$H$47:$H$73,MATCH(LW$3,'Standards for Conversions'!$A$47:$A$73,0)))=0,"",LX72/(INDEX('Standards for Conversions'!$H$47:$H$73,MATCH(LW$3,'Standards for Conversions'!$A$47:$A$73,0))))</f>
        <v/>
      </c>
      <c r="MB72" s="31" t="str">
        <f>IF(MA72/(INDEX('Standards for Conversions'!$H$47:$H$73,MATCH(LZ$3,'Standards for Conversions'!$A$47:$A$73,0)))=0,"",MA72/(INDEX('Standards for Conversions'!$H$47:$H$73,MATCH(LZ$3,'Standards for Conversions'!$A$47:$A$73,0))))</f>
        <v/>
      </c>
      <c r="ME72" s="31" t="str">
        <f>IF(MD72/(INDEX('Standards for Conversions'!$H$47:$H$73,MATCH(MC$3,'Standards for Conversions'!$A$47:$A$73,0)))=0,"",MD72/(INDEX('Standards for Conversions'!$H$47:$H$73,MATCH(MC$3,'Standards for Conversions'!$A$47:$A$73,0))))</f>
        <v/>
      </c>
      <c r="MH72" s="31" t="str">
        <f>IF(MG72/(INDEX('Standards for Conversions'!$H$47:$H$73,MATCH(MF$3,'Standards for Conversions'!$A$47:$A$73,0)))=0,"",MG72/(INDEX('Standards for Conversions'!$H$47:$H$73,MATCH(MF$3,'Standards for Conversions'!$A$47:$A$73,0))))</f>
        <v/>
      </c>
      <c r="MK72" s="31" t="str">
        <f>IF(MJ72/(INDEX('Standards for Conversions'!$H$47:$H$73,MATCH(MI$3,'Standards for Conversions'!$A$47:$A$73,0)))=0,"",MJ72/(INDEX('Standards for Conversions'!$H$47:$H$73,MATCH(MI$3,'Standards for Conversions'!$A$47:$A$73,0))))</f>
        <v/>
      </c>
      <c r="MN72" s="31" t="str">
        <f>IF(MM72/(INDEX('Standards for Conversions'!$H$47:$H$73,MATCH(ML$3,'Standards for Conversions'!$A$47:$A$73,0)))=0,"",MM72/(INDEX('Standards for Conversions'!$H$47:$H$73,MATCH(ML$3,'Standards for Conversions'!$A$47:$A$73,0))))</f>
        <v/>
      </c>
      <c r="MR72" s="31" t="str">
        <f>IF(MQ72/(INDEX('Standards for Conversions'!$H$47:$H$73,MATCH(MP$3,'Standards for Conversions'!$A$47:$A$73,0)))=0,"",MQ72/(INDEX('Standards for Conversions'!$H$47:$H$73,MATCH(MP$3,'Standards for Conversions'!$A$47:$A$73,0))))</f>
        <v/>
      </c>
    </row>
    <row r="73" spans="1:369" hidden="1" x14ac:dyDescent="0.3">
      <c r="A73" s="103" t="s">
        <v>248</v>
      </c>
      <c r="B73" s="10" t="s">
        <v>38</v>
      </c>
      <c r="C73" s="7"/>
      <c r="D73" s="7"/>
      <c r="E73" s="31" t="str">
        <f>IF(D73/(INDEX('Standards for Conversions'!$H$34:$H$73,MATCH(C$3,'Standards for Conversions'!$A$34:$A$73,0)))=0,"",D73/(INDEX('Standards for Conversions'!$H$34:$H$73,MATCH(C$3,'Standards for Conversions'!$A$34:$A$73,0))))</f>
        <v/>
      </c>
      <c r="F73" s="10" t="s">
        <v>38</v>
      </c>
      <c r="G73" s="7"/>
      <c r="H73" s="7"/>
      <c r="I73" s="31" t="str">
        <f>IF(H73/(INDEX('Standards for Conversions'!$H$34:$H$73,MATCH(G$3,'Standards for Conversions'!$A$34:$A$73,0)))=0,"",H73/(INDEX('Standards for Conversions'!$H$34:$H$73,MATCH(G$3,'Standards for Conversions'!$A$34:$A$73,0))))</f>
        <v/>
      </c>
      <c r="J73" s="10" t="s">
        <v>38</v>
      </c>
      <c r="K73" s="9"/>
      <c r="L73" s="9"/>
      <c r="M73" s="31" t="str">
        <f>IF(L73/(INDEX('Standards for Conversions'!$H$34:$H$73,MATCH(K$3,'Standards for Conversions'!$A$34:$A$73,0)))=0,"",L73/(INDEX('Standards for Conversions'!$H$34:$H$73,MATCH(K$3,'Standards for Conversions'!$A$34:$A$73,0))))</f>
        <v/>
      </c>
      <c r="N73" s="10" t="s">
        <v>38</v>
      </c>
      <c r="O73" s="7"/>
      <c r="P73" s="7"/>
      <c r="Q73" s="31" t="str">
        <f>IF(P73/(INDEX('Standards for Conversions'!$H$34:$H$73,MATCH(O$3,'Standards for Conversions'!$A$34:$A$73,0)))=0,"",P73/(INDEX('Standards for Conversions'!$H$34:$H$73,MATCH(O$3,'Standards for Conversions'!$A$34:$A$73,0))))</f>
        <v/>
      </c>
      <c r="R73" s="10" t="s">
        <v>38</v>
      </c>
      <c r="S73" s="7"/>
      <c r="T73" s="7"/>
      <c r="U73" s="31" t="str">
        <f>IF(T73/(INDEX('Standards for Conversions'!$H$34:$H$73,MATCH(S$3,'Standards for Conversions'!$A$34:$A$73,0)))=0,"",T73/(INDEX('Standards for Conversions'!$H$34:$H$73,MATCH(S$3,'Standards for Conversions'!$A$34:$A$73,0))))</f>
        <v/>
      </c>
      <c r="V73" s="10" t="s">
        <v>38</v>
      </c>
      <c r="W73" s="7"/>
      <c r="X73" s="7"/>
      <c r="Y73" s="31" t="str">
        <f>IF(X73/(INDEX('Standards for Conversions'!$H$34:$H$73,MATCH(W$3,'Standards for Conversions'!$A$34:$A$73,0)))=0,"",X73/(INDEX('Standards for Conversions'!$H$34:$H$73,MATCH(W$3,'Standards for Conversions'!$A$34:$A$73,0))))</f>
        <v/>
      </c>
      <c r="Z73" s="10" t="s">
        <v>38</v>
      </c>
      <c r="AA73" s="9"/>
      <c r="AB73" s="9"/>
      <c r="AC73" s="31" t="str">
        <f>IF(AB73/(INDEX('Standards for Conversions'!$H$34:$H$73,MATCH(AA$3,'Standards for Conversions'!$A$34:$A$73,0)))=0,"",AB73/(INDEX('Standards for Conversions'!$H$34:$H$73,MATCH(AA$3,'Standards for Conversions'!$A$34:$A$73,0))))</f>
        <v/>
      </c>
      <c r="AD73" s="10" t="s">
        <v>38</v>
      </c>
      <c r="AE73" s="7"/>
      <c r="AF73" s="7"/>
      <c r="AG73" s="31" t="str">
        <f>IF(AF73/(INDEX('Standards for Conversions'!$H$34:$H$73,MATCH(AE$3,'Standards for Conversions'!$A$34:$A$73,0)))=0,"",AF73/(INDEX('Standards for Conversions'!$H$34:$H$73,MATCH(AE$3,'Standards for Conversions'!$A$34:$A$73,0))))</f>
        <v/>
      </c>
      <c r="AH73" s="10" t="s">
        <v>38</v>
      </c>
      <c r="AI73" s="7"/>
      <c r="AJ73" s="7"/>
      <c r="AK73" s="31" t="str">
        <f>IF(AJ73/(INDEX('Standards for Conversions'!$H$34:$H$73,MATCH(AI$3,'Standards for Conversions'!$A$34:$A$73,0)))=0,"",AJ73/(INDEX('Standards for Conversions'!$H$34:$H$73,MATCH(AI$3,'Standards for Conversions'!$A$34:$A$73,0))))</f>
        <v/>
      </c>
      <c r="AL73" s="10" t="s">
        <v>38</v>
      </c>
      <c r="AM73" s="7"/>
      <c r="AN73" s="7"/>
      <c r="AO73" s="31" t="str">
        <f>IF(AN73/(INDEX('Standards for Conversions'!$H$34:$H$73,MATCH(AM$3,'Standards for Conversions'!$A$34:$A$73,0)))=0,"",AN73/(INDEX('Standards for Conversions'!$H$34:$H$73,MATCH(AM$3,'Standards for Conversions'!$A$34:$A$73,0))))</f>
        <v/>
      </c>
      <c r="AP73" s="10" t="s">
        <v>38</v>
      </c>
      <c r="AQ73" s="9"/>
      <c r="AR73" s="9"/>
      <c r="AS73" s="31" t="str">
        <f>IF(AR73/(INDEX('Standards for Conversions'!$H$34:$H$73,MATCH(AQ$3,'Standards for Conversions'!$A$34:$A$73,0)))=0,"",AR73/(INDEX('Standards for Conversions'!$H$34:$H$73,MATCH(AQ$3,'Standards for Conversions'!$A$34:$A$73,0))))</f>
        <v/>
      </c>
      <c r="AT73" s="10" t="s">
        <v>38</v>
      </c>
      <c r="AU73" s="7"/>
      <c r="AV73" s="7"/>
      <c r="AW73" s="31" t="str">
        <f>IF(AV73/(INDEX('Standards for Conversions'!$H$34:$H$73,MATCH(AU$3,'Standards for Conversions'!$A$34:$A$73,0)))=0,"",AV73/(INDEX('Standards for Conversions'!$H$34:$H$73,MATCH(AU$3,'Standards for Conversions'!$A$34:$A$73,0))))</f>
        <v/>
      </c>
      <c r="AX73" s="10" t="s">
        <v>38</v>
      </c>
      <c r="AY73" s="7"/>
      <c r="AZ73" s="7"/>
      <c r="BA73" s="31" t="str">
        <f>IF(AZ73/(INDEX('Standards for Conversions'!$H$34:$H$73,MATCH(AY$3,'Standards for Conversions'!$A$34:$A$73,0)))=0,"",AZ73/(INDEX('Standards for Conversions'!$H$34:$H$73,MATCH(AY$3,'Standards for Conversions'!$A$34:$A$73,0))))</f>
        <v/>
      </c>
      <c r="BB73" s="10" t="s">
        <v>38</v>
      </c>
      <c r="BC73" s="7"/>
      <c r="BD73" s="7"/>
      <c r="BE73" s="31" t="str">
        <f>IF(BD73/(INDEX('Standards for Conversions'!$H$34:$H$73,MATCH(BC$3,'Standards for Conversions'!$A$34:$A$73,0)))=0,"",BD73/(INDEX('Standards for Conversions'!$H$34:$H$73,MATCH(BC$3,'Standards for Conversions'!$A$34:$A$73,0))))</f>
        <v/>
      </c>
      <c r="BF73" s="10" t="s">
        <v>38</v>
      </c>
      <c r="BG73" s="9"/>
      <c r="BH73" s="9"/>
      <c r="BI73" s="31" t="str">
        <f>IF(BH73/(INDEX('Standards for Conversions'!$H$34:$H$73,MATCH(BG$3,'Standards for Conversions'!$A$34:$A$73,0)))=0,"",BH73/(INDEX('Standards for Conversions'!$H$34:$H$73,MATCH(BG$3,'Standards for Conversions'!$A$34:$A$73,0))))</f>
        <v/>
      </c>
      <c r="BJ73" s="10" t="s">
        <v>38</v>
      </c>
      <c r="BK73" s="7"/>
      <c r="BL73" s="7"/>
      <c r="BM73" s="31" t="str">
        <f>IF(BL73/(INDEX('Standards for Conversions'!$H$34:$H$73,MATCH(BK$3,'Standards for Conversions'!$A$34:$A$73,0)))=0,"",BL73/(INDEX('Standards for Conversions'!$H$34:$H$73,MATCH(BK$3,'Standards for Conversions'!$A$34:$A$73,0))))</f>
        <v/>
      </c>
      <c r="BN73" s="10" t="s">
        <v>38</v>
      </c>
      <c r="BO73" s="7"/>
      <c r="BP73" s="7"/>
      <c r="BQ73" s="31" t="str">
        <f>IF(BP73/(INDEX('Standards for Conversions'!$H$34:$H$73,MATCH(BO$3,'Standards for Conversions'!$A$34:$A$73,0)))=0,"",BP73/(INDEX('Standards for Conversions'!$H$34:$H$73,MATCH(BO$3,'Standards for Conversions'!$A$34:$A$73,0))))</f>
        <v/>
      </c>
      <c r="BR73" s="10" t="s">
        <v>38</v>
      </c>
      <c r="BS73" s="7"/>
      <c r="BT73" s="7"/>
      <c r="BU73" s="31" t="str">
        <f>IF(BT73/(INDEX('Standards for Conversions'!$H$34:$H$73,MATCH(BS$3,'Standards for Conversions'!$A$34:$A$73,0)))=0,"",BT73/(INDEX('Standards for Conversions'!$H$34:$H$73,MATCH(BS$3,'Standards for Conversions'!$A$34:$A$73,0))))</f>
        <v/>
      </c>
      <c r="BV73" s="10" t="s">
        <v>38</v>
      </c>
      <c r="BW73" s="9"/>
      <c r="BX73" s="9"/>
      <c r="BY73" s="31" t="str">
        <f>IF(BX73/(INDEX('Standards for Conversions'!$H$34:$H$73,MATCH(BW$3,'Standards for Conversions'!$A$34:$A$73,0)))=0,"",BX73/(INDEX('Standards for Conversions'!$H$34:$H$73,MATCH(BW$3,'Standards for Conversions'!$A$34:$A$73,0))))</f>
        <v/>
      </c>
      <c r="BZ73" s="10" t="s">
        <v>38</v>
      </c>
      <c r="CA73" s="7"/>
      <c r="CB73" s="7"/>
      <c r="CC73" s="31" t="str">
        <f>IF(CB73/(INDEX('Standards for Conversions'!$H$34:$H$73,MATCH(CA$3,'Standards for Conversions'!$A$34:$A$73,0)))=0,"",CB73/(INDEX('Standards for Conversions'!$H$34:$H$73,MATCH(CA$3,'Standards for Conversions'!$A$34:$A$73,0))))</f>
        <v/>
      </c>
      <c r="CD73" s="10" t="s">
        <v>38</v>
      </c>
      <c r="CE73" s="7"/>
      <c r="CF73" s="7"/>
      <c r="CG73" s="31" t="str">
        <f>IF(CF73/(INDEX('Standards for Conversions'!$H$34:$H$73,MATCH(CE$3,'Standards for Conversions'!$A$34:$A$73,0)))=0,"",CF73/(INDEX('Standards for Conversions'!$H$34:$H$73,MATCH(CE$3,'Standards for Conversions'!$A$34:$A$73,0))))</f>
        <v/>
      </c>
      <c r="CH73" s="10" t="s">
        <v>38</v>
      </c>
      <c r="CI73" s="7"/>
      <c r="CJ73" s="7"/>
      <c r="CK73" s="31" t="str">
        <f>IF(CJ73/(INDEX('Standards for Conversions'!$H$34:$H$73,MATCH(CI$3,'Standards for Conversions'!$A$34:$A$73,0)))=0,"",CJ73/(INDEX('Standards for Conversions'!$H$34:$H$73,MATCH(CI$3,'Standards for Conversions'!$A$34:$A$73,0))))</f>
        <v/>
      </c>
      <c r="CL73" s="10" t="s">
        <v>38</v>
      </c>
      <c r="CM73" s="9"/>
      <c r="CN73" s="9"/>
      <c r="CO73" s="31" t="str">
        <f>IF(CN73/(INDEX('Standards for Conversions'!$H$34:$H$73,MATCH(CM$3,'Standards for Conversions'!$A$34:$A$73,0)))=0,"",CN73/(INDEX('Standards for Conversions'!$H$34:$H$73,MATCH(CM$3,'Standards for Conversions'!$A$34:$A$73,0))))</f>
        <v/>
      </c>
      <c r="CP73" s="10" t="s">
        <v>38</v>
      </c>
      <c r="CQ73" s="7"/>
      <c r="CR73" s="7"/>
      <c r="CS73" s="31" t="str">
        <f>IF(CR73/(INDEX('Standards for Conversions'!$H$34:$H$73,MATCH(CQ$3,'Standards for Conversions'!$A$34:$A$73,0)))=0,"",CR73/(INDEX('Standards for Conversions'!$H$34:$H$73,MATCH(CQ$3,'Standards for Conversions'!$A$34:$A$73,0))))</f>
        <v/>
      </c>
      <c r="CT73" s="10" t="s">
        <v>38</v>
      </c>
      <c r="CU73" s="7"/>
      <c r="CV73" s="7"/>
      <c r="CW73" s="31" t="str">
        <f>IF(CV73/(INDEX('Standards for Conversions'!$H$34:$H$73,MATCH(CU$3,'Standards for Conversions'!$A$34:$A$73,0)))=0,"",CV73/(INDEX('Standards for Conversions'!$H$34:$H$73,MATCH(CU$3,'Standards for Conversions'!$A$34:$A$73,0))))</f>
        <v/>
      </c>
      <c r="CX73" s="10" t="s">
        <v>38</v>
      </c>
      <c r="CY73" s="7"/>
      <c r="CZ73" s="7"/>
      <c r="DA73" s="31" t="str">
        <f>IF(CZ73/(INDEX('Standards for Conversions'!$H$34:$H$73,MATCH(CY$3,'Standards for Conversions'!$A$34:$A$73,0)))=0,"",CZ73/(INDEX('Standards for Conversions'!$H$34:$H$73,MATCH(CY$3,'Standards for Conversions'!$A$34:$A$73,0))))</f>
        <v/>
      </c>
      <c r="DB73" s="10" t="s">
        <v>38</v>
      </c>
      <c r="DC73" s="9"/>
      <c r="DD73" s="9"/>
      <c r="DE73" s="31" t="str">
        <f>IF(DD73/(INDEX('Standards for Conversions'!$H$34:$H$73,MATCH(DC$3,'Standards for Conversions'!$A$34:$A$73,0)))=0,"",DD73/(INDEX('Standards for Conversions'!$H$34:$H$73,MATCH(DC$3,'Standards for Conversions'!$A$34:$A$73,0))))</f>
        <v/>
      </c>
      <c r="DF73" s="10" t="s">
        <v>38</v>
      </c>
      <c r="DG73" s="7"/>
      <c r="DH73" s="7"/>
      <c r="DI73" s="31" t="str">
        <f>IF(DH73/(INDEX('Standards for Conversions'!$H$34:$H$73,MATCH(DG$3,'Standards for Conversions'!$A$34:$A$73,0)))=0,"",DH73/(INDEX('Standards for Conversions'!$H$34:$H$73,MATCH(DG$3,'Standards for Conversions'!$A$34:$A$73,0))))</f>
        <v/>
      </c>
      <c r="DJ73" s="10" t="s">
        <v>38</v>
      </c>
      <c r="DK73" s="7"/>
      <c r="DL73" s="7"/>
      <c r="DM73" s="31" t="str">
        <f>IF(DL73/(INDEX('Standards for Conversions'!$H$34:$H$73,MATCH(DK$3,'Standards for Conversions'!$A$34:$A$73,0)))=0,"",DL73/(INDEX('Standards for Conversions'!$H$34:$H$73,MATCH(DK$3,'Standards for Conversions'!$A$34:$A$73,0))))</f>
        <v/>
      </c>
      <c r="DN73" s="10" t="s">
        <v>38</v>
      </c>
      <c r="DO73" s="7"/>
      <c r="DP73" s="7"/>
      <c r="DQ73" s="31" t="str">
        <f>IF(DP73/(INDEX('Standards for Conversions'!$H$34:$H$73,MATCH(DO$3,'Standards for Conversions'!$A$34:$A$73,0)))=0,"",DP73/(INDEX('Standards for Conversions'!$H$34:$H$73,MATCH(DO$3,'Standards for Conversions'!$A$34:$A$73,0))))</f>
        <v/>
      </c>
      <c r="DR73" s="10" t="s">
        <v>38</v>
      </c>
      <c r="DS73" s="9"/>
      <c r="DT73" s="9"/>
      <c r="DU73" s="31" t="str">
        <f>IF(DT73/(INDEX('Standards for Conversions'!$H$34:$H$73,MATCH(DS$3,'Standards for Conversions'!$A$34:$A$73,0)))=0,"",DT73/(INDEX('Standards for Conversions'!$H$34:$H$73,MATCH(DS$3,'Standards for Conversions'!$A$34:$A$73,0))))</f>
        <v/>
      </c>
      <c r="DV73" s="10" t="s">
        <v>38</v>
      </c>
      <c r="DW73" s="7"/>
      <c r="DX73" s="7"/>
      <c r="DY73" s="31" t="str">
        <f>IF(DX73/(INDEX('Standards for Conversions'!$H$34:$H$73,MATCH(DW$3,'Standards for Conversions'!$A$34:$A$73,0)))=0,"",DX73/(INDEX('Standards for Conversions'!$H$34:$H$73,MATCH(DW$3,'Standards for Conversions'!$A$34:$A$73,0))))</f>
        <v/>
      </c>
      <c r="DZ73" s="10" t="s">
        <v>38</v>
      </c>
      <c r="EA73" s="7"/>
      <c r="EB73" s="7"/>
      <c r="EC73" s="31" t="str">
        <f>IF(EB73/(INDEX('Standards for Conversions'!$H$34:$H$73,MATCH(EA$3,'Standards for Conversions'!$A$34:$A$73,0)))=0,"",EB73/(INDEX('Standards for Conversions'!$H$34:$H$73,MATCH(EA$3,'Standards for Conversions'!$A$34:$A$73,0))))</f>
        <v/>
      </c>
      <c r="ED73" s="10" t="s">
        <v>38</v>
      </c>
      <c r="EE73" s="7"/>
      <c r="EF73" s="7"/>
      <c r="EG73" s="31" t="str">
        <f>IF(EF73/(INDEX('Standards for Conversions'!$H$34:$H$73,MATCH(EE$3,'Standards for Conversions'!$A$34:$A$73,0)))=0,"",EF73/(INDEX('Standards for Conversions'!$H$34:$H$73,MATCH(EE$3,'Standards for Conversions'!$A$34:$A$73,0))))</f>
        <v/>
      </c>
      <c r="EH73" s="10" t="s">
        <v>38</v>
      </c>
      <c r="EI73" s="9"/>
      <c r="EJ73" s="9"/>
      <c r="EK73" s="31" t="str">
        <f>IF(EJ73/(INDEX('Standards for Conversions'!$H$34:$H$73,MATCH(EI$3,'Standards for Conversions'!$A$34:$A$73,0)))=0,"",EJ73/(INDEX('Standards for Conversions'!$H$34:$H$73,MATCH(EI$3,'Standards for Conversions'!$A$34:$A$73,0))))</f>
        <v/>
      </c>
      <c r="EL73" s="10" t="s">
        <v>38</v>
      </c>
      <c r="EM73" s="7"/>
      <c r="EN73" s="7"/>
      <c r="EO73" s="31" t="str">
        <f>IF(EN73/(INDEX('Standards for Conversions'!$H$34:$H$73,MATCH(EM$3,'Standards for Conversions'!$A$34:$A$73,0)))=0,"",EN73/(INDEX('Standards for Conversions'!$H$34:$H$73,MATCH(EM$3,'Standards for Conversions'!$A$34:$A$73,0))))</f>
        <v/>
      </c>
      <c r="EP73" s="10" t="s">
        <v>38</v>
      </c>
      <c r="EQ73" s="7"/>
      <c r="ER73" s="7"/>
      <c r="ES73" s="31" t="str">
        <f>IF(ER73/(INDEX('Standards for Conversions'!$H$34:$H$73,MATCH(EQ$3,'Standards for Conversions'!$A$34:$A$73,0)))=0,"",ER73/(INDEX('Standards for Conversions'!$H$34:$H$73,MATCH(EQ$3,'Standards for Conversions'!$A$34:$A$73,0))))</f>
        <v/>
      </c>
      <c r="ET73" s="10" t="s">
        <v>38</v>
      </c>
      <c r="EU73" s="7"/>
      <c r="EV73" s="7"/>
      <c r="EW73" s="31" t="str">
        <f>IF(EV73/(INDEX('Standards for Conversions'!$H$34:$H$73,MATCH(EU$3,'Standards for Conversions'!$A$34:$A$73,0)))=0,"",EV73/(INDEX('Standards for Conversions'!$H$34:$H$73,MATCH(EU$3,'Standards for Conversions'!$A$34:$A$73,0))))</f>
        <v/>
      </c>
      <c r="EX73" s="10" t="s">
        <v>38</v>
      </c>
      <c r="EY73" s="9"/>
      <c r="EZ73" s="9"/>
      <c r="FA73" s="31" t="str">
        <f>IF(EZ73/(INDEX('Standards for Conversions'!$H$34:$H$73,MATCH(EY$3,'Standards for Conversions'!$A$34:$A$73,0)))=0,"",EZ73/(INDEX('Standards for Conversions'!$H$34:$H$73,MATCH(EY$3,'Standards for Conversions'!$A$34:$A$73,0))))</f>
        <v/>
      </c>
      <c r="FB73" s="10" t="s">
        <v>38</v>
      </c>
      <c r="FC73" s="7"/>
      <c r="FD73" s="7"/>
      <c r="FE73" s="31" t="str">
        <f>IF(FD73/(INDEX('Standards for Conversions'!$H$34:$H$73,MATCH(FC$3,'Standards for Conversions'!$A$34:$A$73,0)))=0,"",FD73/(INDEX('Standards for Conversions'!$H$34:$H$73,MATCH(FC$3,'Standards for Conversions'!$A$34:$A$73,0))))</f>
        <v/>
      </c>
      <c r="FF73" s="10" t="s">
        <v>38</v>
      </c>
      <c r="FG73" s="7"/>
      <c r="FH73" s="7"/>
      <c r="FI73" s="31" t="str">
        <f>IF(FH73/(INDEX('Standards for Conversions'!$H$34:$H$73,MATCH(FG$3,'Standards for Conversions'!$A$34:$A$73,0)))=0,"",FH73/(INDEX('Standards for Conversions'!$H$34:$H$73,MATCH(FG$3,'Standards for Conversions'!$A$34:$A$73,0))))</f>
        <v/>
      </c>
      <c r="FJ73" s="10" t="s">
        <v>38</v>
      </c>
      <c r="FK73" s="7"/>
      <c r="FL73" s="7"/>
      <c r="FM73" s="31" t="str">
        <f>IF(FL73/(INDEX('Standards for Conversions'!$H$34:$H$73,MATCH(FK$3,'Standards for Conversions'!$A$34:$A$73,0)))=0,"",FL73/(INDEX('Standards for Conversions'!$H$34:$H$73,MATCH(FK$3,'Standards for Conversions'!$A$34:$A$73,0))))</f>
        <v/>
      </c>
      <c r="FN73" s="10" t="s">
        <v>38</v>
      </c>
      <c r="FO73" s="9"/>
      <c r="FP73" s="9"/>
      <c r="FQ73" s="31" t="str">
        <f>IF(FP73/(INDEX('Standards for Conversions'!$H$34:$H$73,MATCH(FO$3,'Standards for Conversions'!$A$34:$A$73,0)))=0,"",FP73/(INDEX('Standards for Conversions'!$H$34:$H$73,MATCH(FO$3,'Standards for Conversions'!$A$34:$A$73,0))))</f>
        <v/>
      </c>
      <c r="FR73" s="10" t="s">
        <v>38</v>
      </c>
      <c r="FS73" s="7"/>
      <c r="FT73" s="7"/>
      <c r="FU73" s="31" t="str">
        <f>IF(FT73/(INDEX('Standards for Conversions'!$H$34:$H$73,MATCH(FS$3,'Standards for Conversions'!$A$34:$A$73,0)))=0,"",FT73/(INDEX('Standards for Conversions'!$H$34:$H$73,MATCH(FS$3,'Standards for Conversions'!$A$34:$A$73,0))))</f>
        <v/>
      </c>
      <c r="FV73" s="10" t="s">
        <v>38</v>
      </c>
      <c r="FW73" s="7"/>
      <c r="FX73" s="7"/>
      <c r="FY73" s="31" t="str">
        <f>IF(FX73/(INDEX('Standards for Conversions'!$H$34:$H$73,MATCH(FW$3,'Standards for Conversions'!$A$34:$A$73,0)))=0,"",FX73/(INDEX('Standards for Conversions'!$H$34:$H$73,MATCH(FW$3,'Standards for Conversions'!$A$34:$A$73,0))))</f>
        <v/>
      </c>
      <c r="FZ73" s="10" t="s">
        <v>38</v>
      </c>
      <c r="GA73" s="7"/>
      <c r="GB73" s="7"/>
      <c r="GC73" s="31" t="str">
        <f>IF(GB73/(INDEX('Standards for Conversions'!$H$34:$H$73,MATCH(GA$3,'Standards for Conversions'!$A$34:$A$73,0)))=0,"",GB73/(INDEX('Standards for Conversions'!$H$34:$H$73,MATCH(GA$3,'Standards for Conversions'!$A$34:$A$73,0))))</f>
        <v/>
      </c>
      <c r="GD73" s="10" t="s">
        <v>38</v>
      </c>
      <c r="GE73" s="9"/>
      <c r="GF73" s="9"/>
      <c r="GG73" s="31" t="str">
        <f>IF(GF73/(INDEX('Standards for Conversions'!$H$34:$H$73,MATCH(GE$3,'Standards for Conversions'!$A$34:$A$73,0)))=0,"",GF73/(INDEX('Standards for Conversions'!$H$34:$H$73,MATCH(GE$3,'Standards for Conversions'!$A$34:$A$73,0))))</f>
        <v/>
      </c>
      <c r="GH73" s="10" t="s">
        <v>38</v>
      </c>
      <c r="GI73" s="7"/>
      <c r="GJ73" s="7"/>
      <c r="GK73" s="31" t="str">
        <f>IF(GJ73/(INDEX('Standards for Conversions'!$H$34:$H$73,MATCH(GI$3,'Standards for Conversions'!$A$34:$A$73,0)))=0,"",GJ73/(INDEX('Standards for Conversions'!$H$34:$H$73,MATCH(GI$3,'Standards for Conversions'!$A$34:$A$73,0))))</f>
        <v/>
      </c>
      <c r="GL73" s="10" t="s">
        <v>38</v>
      </c>
      <c r="GM73" s="7"/>
      <c r="GN73" s="7"/>
      <c r="GO73" s="31" t="str">
        <f>IF(GN73/(INDEX('Standards for Conversions'!$H$34:$H$73,MATCH(GM$3,'Standards for Conversions'!$A$34:$A$73,0)))=0,"",GN73/(INDEX('Standards for Conversions'!$H$34:$H$73,MATCH(GM$3,'Standards for Conversions'!$A$34:$A$73,0))))</f>
        <v/>
      </c>
      <c r="GP73" s="10" t="s">
        <v>38</v>
      </c>
      <c r="GQ73" s="7"/>
      <c r="GR73" s="7"/>
      <c r="GS73" s="31" t="str">
        <f>IF(GR73/(INDEX('Standards for Conversions'!$H$34:$H$73,MATCH(GQ$3,'Standards for Conversions'!$A$34:$A$73,0)))=0,"",GR73/(INDEX('Standards for Conversions'!$H$34:$H$73,MATCH(GQ$3,'Standards for Conversions'!$A$34:$A$73,0))))</f>
        <v/>
      </c>
      <c r="GT73" s="10" t="s">
        <v>38</v>
      </c>
      <c r="GU73" s="9"/>
      <c r="GV73" s="9"/>
      <c r="GW73" s="31" t="str">
        <f>IF(GV73/(INDEX('Standards for Conversions'!$H$34:$H$73,MATCH(GU$3,'Standards for Conversions'!$A$34:$A$73,0)))=0,"",GV73/(INDEX('Standards for Conversions'!$H$34:$H$73,MATCH(GU$3,'Standards for Conversions'!$A$34:$A$73,0))))</f>
        <v/>
      </c>
      <c r="GX73" s="10" t="s">
        <v>38</v>
      </c>
      <c r="GY73" s="7"/>
      <c r="GZ73" s="7"/>
      <c r="HA73" s="31" t="str">
        <f>IF(GZ73/(INDEX('Standards for Conversions'!$H$34:$H$73,MATCH(GY$3,'Standards for Conversions'!$A$34:$A$73,0)))=0,"",GZ73/(INDEX('Standards for Conversions'!$H$34:$H$73,MATCH(GY$3,'Standards for Conversions'!$A$34:$A$73,0))))</f>
        <v/>
      </c>
      <c r="HB73" s="10" t="s">
        <v>38</v>
      </c>
      <c r="HC73" s="7"/>
      <c r="HD73" s="7"/>
      <c r="HE73" s="31" t="str">
        <f>IF(HD73/(INDEX('Standards for Conversions'!$H$34:$H$73,MATCH(HC$3,'Standards for Conversions'!$A$34:$A$73,0)))=0,"",HD73/(INDEX('Standards for Conversions'!$H$34:$H$73,MATCH(HC$3,'Standards for Conversions'!$A$34:$A$73,0))))</f>
        <v/>
      </c>
      <c r="HF73" s="10" t="s">
        <v>38</v>
      </c>
      <c r="HG73" s="7"/>
      <c r="HH73" s="7"/>
      <c r="HI73" s="31" t="str">
        <f>IF(HH73/(INDEX('Standards for Conversions'!$H$34:$H$73,MATCH(HG$3,'Standards for Conversions'!$A$34:$A$73,0)))=0,"",HH73/(INDEX('Standards for Conversions'!$H$34:$H$73,MATCH(HG$3,'Standards for Conversions'!$A$34:$A$73,0))))</f>
        <v/>
      </c>
      <c r="HJ73" s="10" t="s">
        <v>38</v>
      </c>
      <c r="HK73" s="9"/>
      <c r="HL73" s="9"/>
      <c r="HM73" s="31" t="str">
        <f>IF(HL73/(INDEX('Standards for Conversions'!$H$34:$H$73,MATCH(HK$3,'Standards for Conversions'!$A$34:$A$73,0)))=0,"",HL73/(INDEX('Standards for Conversions'!$H$34:$H$73,MATCH(HK$3,'Standards for Conversions'!$A$34:$A$73,0))))</f>
        <v/>
      </c>
      <c r="HN73" s="10" t="s">
        <v>38</v>
      </c>
      <c r="HO73" s="7"/>
      <c r="HP73" s="7"/>
      <c r="HQ73" s="31" t="str">
        <f>IF(HP73/(INDEX('Standards for Conversions'!$H$34:$H$73,MATCH(HO$3,'Standards for Conversions'!$A$34:$A$73,0)))=0,"",HP73/(INDEX('Standards for Conversions'!$H$34:$H$73,MATCH(HO$3,'Standards for Conversions'!$A$34:$A$73,0))))</f>
        <v/>
      </c>
      <c r="HR73" s="33" t="s">
        <v>38</v>
      </c>
      <c r="HU73" s="31" t="str">
        <f>IF(HT73/(INDEX('Standards for Conversions'!$H$47:$H$73,MATCH(HS$3,'Standards for Conversions'!$A$47:$A$73,0)))=0,"",HT73/(INDEX('Standards for Conversions'!$H$47:$H$73,MATCH(HS$3,'Standards for Conversions'!$A$47:$A$73,0))))</f>
        <v/>
      </c>
      <c r="HV73" s="33" t="s">
        <v>38</v>
      </c>
      <c r="HW73" s="29">
        <v>400</v>
      </c>
      <c r="HX73" s="29">
        <v>16000</v>
      </c>
      <c r="HY73" s="31">
        <f>IF(HX73/(INDEX('Standards for Conversions'!$H$47:$H$73,MATCH(HW$3,'Standards for Conversions'!$A$47:$A$73,0)))=0,"",HX73/(INDEX('Standards for Conversions'!$H$47:$H$73,MATCH(HW$3,'Standards for Conversions'!$A$47:$A$73,0))))</f>
        <v>2323.9265954056955</v>
      </c>
      <c r="HZ73" s="33"/>
      <c r="IA73" s="33"/>
      <c r="IB73" s="31" t="str">
        <f>IF(IA73/(INDEX('Standards for Conversions'!$H$47:$H$73,MATCH(HZ$3,'Standards for Conversions'!$A$47:$A$73,0)))=0,"",IA73/(INDEX('Standards for Conversions'!$H$47:$H$73,MATCH(HZ$3,'Standards for Conversions'!$A$47:$A$73,0))))</f>
        <v/>
      </c>
      <c r="IC73" s="33" t="s">
        <v>38</v>
      </c>
      <c r="IF73" s="31" t="str">
        <f>IF(IE73/(INDEX('Standards for Conversions'!$H$47:$H$73,MATCH(ID$3,'Standards for Conversions'!$A$47:$A$73,0)))=0,"",IE73/(INDEX('Standards for Conversions'!$H$47:$H$73,MATCH(ID$3,'Standards for Conversions'!$A$47:$A$73,0))))</f>
        <v/>
      </c>
      <c r="IG73" s="33" t="s">
        <v>38</v>
      </c>
      <c r="IJ73" s="31" t="str">
        <f>IF(II73/(INDEX('Standards for Conversions'!$H$47:$H$73,MATCH(IH$3,'Standards for Conversions'!$A$47:$A$73,0)))=0,"",II73/(INDEX('Standards for Conversions'!$H$47:$H$73,MATCH(IH$3,'Standards for Conversions'!$A$47:$A$73,0))))</f>
        <v/>
      </c>
      <c r="IK73" s="48" t="s">
        <v>38</v>
      </c>
      <c r="IL73" s="29">
        <v>225</v>
      </c>
      <c r="IM73" s="29">
        <v>8441</v>
      </c>
      <c r="IN73" s="31">
        <f>IF(IM73/(INDEX('Standards for Conversions'!$H$47:$H$73,MATCH(IL$3,'Standards for Conversions'!$A$47:$A$73,0)))=0,"",IM73/(INDEX('Standards for Conversions'!$H$47:$H$73,MATCH(IL$3,'Standards for Conversions'!$A$47:$A$73,0))))</f>
        <v>1220.6549361892037</v>
      </c>
      <c r="IR73" s="31" t="str">
        <f>IF(IQ73/(INDEX('Standards for Conversions'!$H$47:$H$73,MATCH(IP$3,'Standards for Conversions'!$A$47:$A$73,0)))=0,"",IQ73/(INDEX('Standards for Conversions'!$H$47:$H$73,MATCH(IP$3,'Standards for Conversions'!$A$47:$A$73,0))))</f>
        <v/>
      </c>
      <c r="IV73" s="31" t="str">
        <f>IF(IU73/(INDEX('Standards for Conversions'!$H$47:$H$73,MATCH(IT$3,'Standards for Conversions'!$A$47:$A$73,0)))=0,"",IU73/(INDEX('Standards for Conversions'!$H$47:$H$73,MATCH(IT$3,'Standards for Conversions'!$A$47:$A$73,0))))</f>
        <v/>
      </c>
      <c r="IZ73" s="31" t="str">
        <f>IF(IY73/(INDEX('Standards for Conversions'!$H$47:$H$73,MATCH(IX$3,'Standards for Conversions'!$A$47:$A$73,0)))=0,"",IY73/(INDEX('Standards for Conversions'!$H$47:$H$73,MATCH(IX$3,'Standards for Conversions'!$A$47:$A$73,0))))</f>
        <v/>
      </c>
      <c r="JA73" s="48"/>
      <c r="JD73" s="31" t="str">
        <f>IF(JC73/(INDEX('Standards for Conversions'!$H$47:$H$73,MATCH(JB$3,'Standards for Conversions'!$A$47:$A$73,0)))=0,"",JC73/(INDEX('Standards for Conversions'!$H$47:$H$73,MATCH(JB$3,'Standards for Conversions'!$A$47:$A$73,0))))</f>
        <v/>
      </c>
      <c r="JE73" s="33"/>
      <c r="JH73" s="31" t="str">
        <f>IF(JG73/(INDEX('Standards for Conversions'!$H$47:$H$73,MATCH(JF$3,'Standards for Conversions'!$A$47:$A$73,0)))=0,"",JG73/(INDEX('Standards for Conversions'!$H$47:$H$73,MATCH(JF$3,'Standards for Conversions'!$A$47:$A$73,0))))</f>
        <v/>
      </c>
      <c r="JI73" s="48"/>
      <c r="JL73" s="31" t="str">
        <f>IF(JK73/(INDEX('Standards for Conversions'!$H$47:$H$73,MATCH(JJ$3,'Standards for Conversions'!$A$47:$A$73,0)))=0,"",JK73/(INDEX('Standards for Conversions'!$H$47:$H$73,MATCH(JJ$3,'Standards for Conversions'!$A$47:$A$73,0))))</f>
        <v/>
      </c>
      <c r="JM73" s="33" t="s">
        <v>59</v>
      </c>
      <c r="JP73" s="31" t="str">
        <f>IF(JO73/(INDEX('Standards for Conversions'!$H$47:$H$73,MATCH(JN$3,'Standards for Conversions'!$A$47:$A$73,0)))=0,"",JO73/(INDEX('Standards for Conversions'!$H$47:$H$73,MATCH(JN$3,'Standards for Conversions'!$A$47:$A$73,0))))</f>
        <v/>
      </c>
      <c r="JQ73" s="33" t="s">
        <v>59</v>
      </c>
      <c r="JR73" s="29">
        <v>250</v>
      </c>
      <c r="JS73" s="29">
        <v>10000</v>
      </c>
      <c r="JT73" s="31">
        <f>IF(JS73/(INDEX('Standards for Conversions'!$H$47:$H$73,MATCH(JR$3,'Standards for Conversions'!$A$47:$A$73,0)))=0,"",JS73/(INDEX('Standards for Conversions'!$H$47:$H$73,MATCH(JR$3,'Standards for Conversions'!$A$47:$A$73,0))))</f>
        <v>1526.5589242779756</v>
      </c>
      <c r="JU73" s="33" t="s">
        <v>59</v>
      </c>
      <c r="JX73" s="31" t="str">
        <f>IF(JW73/(INDEX('Standards for Conversions'!$H$47:$H$73,MATCH(JV$3,'Standards for Conversions'!$A$47:$A$73,0)))=0,"",JW73/(INDEX('Standards for Conversions'!$H$47:$H$73,MATCH(JV$3,'Standards for Conversions'!$A$47:$A$73,0))))</f>
        <v/>
      </c>
      <c r="JY73" s="33" t="s">
        <v>59</v>
      </c>
      <c r="KB73" s="31" t="str">
        <f>IF(KA73/(INDEX('Standards for Conversions'!$H$47:$H$73,MATCH(JZ$3,'Standards for Conversions'!$A$47:$A$73,0)))=0,"",KA73/(INDEX('Standards for Conversions'!$H$47:$H$73,MATCH(JZ$3,'Standards for Conversions'!$A$47:$A$73,0))))</f>
        <v/>
      </c>
      <c r="KC73" s="33" t="s">
        <v>59</v>
      </c>
      <c r="KF73" s="31" t="str">
        <f>IF(KE73/(INDEX('Standards for Conversions'!$H$47:$H$73,MATCH(KD$3,'Standards for Conversions'!$A$47:$A$73,0)))=0,"",KE73/(INDEX('Standards for Conversions'!$H$47:$H$73,MATCH(KD$3,'Standards for Conversions'!$A$47:$A$73,0))))</f>
        <v/>
      </c>
      <c r="KG73" s="33" t="s">
        <v>59</v>
      </c>
      <c r="KH73" s="29">
        <v>200</v>
      </c>
      <c r="KI73" s="29">
        <v>9000</v>
      </c>
      <c r="KJ73" s="31">
        <f>IF(KI73/(INDEX('Standards for Conversions'!$H$47:$H$73,MATCH(KH$3,'Standards for Conversions'!$A$47:$A$73,0)))=0,"",KI73/(INDEX('Standards for Conversions'!$H$47:$H$73,MATCH(KH$3,'Standards for Conversions'!$A$47:$A$73,0))))</f>
        <v>1211.9311071521681</v>
      </c>
      <c r="KK73" s="33" t="s">
        <v>59</v>
      </c>
      <c r="KN73" s="31" t="str">
        <f>IF(KM73/(INDEX('Standards for Conversions'!$H$47:$H$73,MATCH(KL$3,'Standards for Conversions'!$A$47:$A$73,0)))=0,"",KM73/(INDEX('Standards for Conversions'!$H$47:$H$73,MATCH(KL$3,'Standards for Conversions'!$A$47:$A$73,0))))</f>
        <v/>
      </c>
      <c r="KO73" s="33" t="s">
        <v>59</v>
      </c>
      <c r="KR73" s="31" t="str">
        <f>IF(KQ73/(INDEX('Standards for Conversions'!$H$47:$H$73,MATCH(KP$3,'Standards for Conversions'!$A$47:$A$73,0)))=0,"",KQ73/(INDEX('Standards for Conversions'!$H$47:$H$73,MATCH(KP$3,'Standards for Conversions'!$A$47:$A$73,0))))</f>
        <v/>
      </c>
      <c r="KS73" s="33" t="s">
        <v>59</v>
      </c>
      <c r="KV73" s="31" t="str">
        <f>IF(KU73/(INDEX('Standards for Conversions'!$H$47:$H$73,MATCH(KT$3,'Standards for Conversions'!$A$47:$A$73,0)))=0,"",KU73/(INDEX('Standards for Conversions'!$H$47:$H$73,MATCH(KT$3,'Standards for Conversions'!$A$47:$A$73,0))))</f>
        <v/>
      </c>
      <c r="KW73" s="48" t="s">
        <v>59</v>
      </c>
      <c r="KX73" s="29">
        <v>230</v>
      </c>
      <c r="KY73" s="29">
        <v>16000</v>
      </c>
      <c r="KZ73" s="31">
        <f>IF(KY73/(INDEX('Standards for Conversions'!$H$47:$H$73,MATCH(KX$3,'Standards for Conversions'!$A$47:$A$73,0)))=0,"",KY73/(INDEX('Standards for Conversions'!$H$47:$H$73,MATCH(KX$3,'Standards for Conversions'!$A$47:$A$73,0))))</f>
        <v>1945.8650676399868</v>
      </c>
      <c r="LD73" s="31" t="str">
        <f>IF(LC73/(INDEX('Standards for Conversions'!$H$47:$H$73,MATCH(LB$3,'Standards for Conversions'!$A$47:$A$73,0)))=0,"",LC73/(INDEX('Standards for Conversions'!$H$47:$H$73,MATCH(LB$3,'Standards for Conversions'!$A$47:$A$73,0))))</f>
        <v/>
      </c>
      <c r="LE73" s="48"/>
      <c r="LH73" s="31" t="str">
        <f>IF(LG73/(INDEX('Standards for Conversions'!$H$47:$H$73,MATCH(LF$3,'Standards for Conversions'!$A$47:$A$73,0)))=0,"",LG73/(INDEX('Standards for Conversions'!$H$47:$H$73,MATCH(LF$3,'Standards for Conversions'!$A$47:$A$73,0))))</f>
        <v/>
      </c>
      <c r="LL73" s="31" t="str">
        <f>IF(LK73/(INDEX('Standards for Conversions'!$H$47:$H$73,MATCH(LJ$3,'Standards for Conversions'!$A$47:$A$73,0)))=0,"",LK73/(INDEX('Standards for Conversions'!$H$47:$H$73,MATCH(LJ$3,'Standards for Conversions'!$A$47:$A$73,0))))</f>
        <v/>
      </c>
      <c r="LO73" s="31" t="str">
        <f>IF(LN73/(INDEX('Standards for Conversions'!$H$47:$H$73,MATCH(LM$3,'Standards for Conversions'!$A$47:$A$73,0)))=0,"",LN73/(INDEX('Standards for Conversions'!$H$47:$H$73,MATCH(LM$3,'Standards for Conversions'!$A$47:$A$73,0))))</f>
        <v/>
      </c>
      <c r="LR73" s="31" t="str">
        <f>IF(LQ73/(INDEX('Standards for Conversions'!$H$47:$H$73,MATCH(LP$3,'Standards for Conversions'!$A$47:$A$73,0)))=0,"",LQ73/(INDEX('Standards for Conversions'!$H$47:$H$73,MATCH(LP$3,'Standards for Conversions'!$A$47:$A$73,0))))</f>
        <v/>
      </c>
      <c r="LV73" s="31" t="str">
        <f>IF(LU73/(INDEX('Standards for Conversions'!$H$47:$H$73,MATCH(LT$3,'Standards for Conversions'!$A$47:$A$73,0)))=0,"",LU73/(INDEX('Standards for Conversions'!$H$47:$H$73,MATCH(LT$3,'Standards for Conversions'!$A$47:$A$73,0))))</f>
        <v/>
      </c>
      <c r="LY73" s="31" t="str">
        <f>IF(LX73/(INDEX('Standards for Conversions'!$H$47:$H$73,MATCH(LW$3,'Standards for Conversions'!$A$47:$A$73,0)))=0,"",LX73/(INDEX('Standards for Conversions'!$H$47:$H$73,MATCH(LW$3,'Standards for Conversions'!$A$47:$A$73,0))))</f>
        <v/>
      </c>
      <c r="MB73" s="31" t="str">
        <f>IF(MA73/(INDEX('Standards for Conversions'!$H$47:$H$73,MATCH(LZ$3,'Standards for Conversions'!$A$47:$A$73,0)))=0,"",MA73/(INDEX('Standards for Conversions'!$H$47:$H$73,MATCH(LZ$3,'Standards for Conversions'!$A$47:$A$73,0))))</f>
        <v/>
      </c>
      <c r="ME73" s="31" t="str">
        <f>IF(MD73/(INDEX('Standards for Conversions'!$H$47:$H$73,MATCH(MC$3,'Standards for Conversions'!$A$47:$A$73,0)))=0,"",MD73/(INDEX('Standards for Conversions'!$H$47:$H$73,MATCH(MC$3,'Standards for Conversions'!$A$47:$A$73,0))))</f>
        <v/>
      </c>
      <c r="MH73" s="31" t="str">
        <f>IF(MG73/(INDEX('Standards for Conversions'!$H$47:$H$73,MATCH(MF$3,'Standards for Conversions'!$A$47:$A$73,0)))=0,"",MG73/(INDEX('Standards for Conversions'!$H$47:$H$73,MATCH(MF$3,'Standards for Conversions'!$A$47:$A$73,0))))</f>
        <v/>
      </c>
      <c r="MK73" s="31" t="str">
        <f>IF(MJ73/(INDEX('Standards for Conversions'!$H$47:$H$73,MATCH(MI$3,'Standards for Conversions'!$A$47:$A$73,0)))=0,"",MJ73/(INDEX('Standards for Conversions'!$H$47:$H$73,MATCH(MI$3,'Standards for Conversions'!$A$47:$A$73,0))))</f>
        <v/>
      </c>
      <c r="MN73" s="31" t="str">
        <f>IF(MM73/(INDEX('Standards for Conversions'!$H$47:$H$73,MATCH(ML$3,'Standards for Conversions'!$A$47:$A$73,0)))=0,"",MM73/(INDEX('Standards for Conversions'!$H$47:$H$73,MATCH(ML$3,'Standards for Conversions'!$A$47:$A$73,0))))</f>
        <v/>
      </c>
      <c r="MR73" s="31" t="str">
        <f>IF(MQ73/(INDEX('Standards for Conversions'!$H$47:$H$73,MATCH(MP$3,'Standards for Conversions'!$A$47:$A$73,0)))=0,"",MQ73/(INDEX('Standards for Conversions'!$H$47:$H$73,MATCH(MP$3,'Standards for Conversions'!$A$47:$A$73,0))))</f>
        <v/>
      </c>
    </row>
    <row r="74" spans="1:369" hidden="1" x14ac:dyDescent="0.3">
      <c r="A74" s="103" t="s">
        <v>249</v>
      </c>
      <c r="B74" s="10" t="s">
        <v>38</v>
      </c>
      <c r="C74" s="7"/>
      <c r="D74" s="7"/>
      <c r="E74" s="31" t="str">
        <f>IF(D74/(INDEX('Standards for Conversions'!$H$34:$H$73,MATCH(C$3,'Standards for Conversions'!$A$34:$A$73,0)))=0,"",D74/(INDEX('Standards for Conversions'!$H$34:$H$73,MATCH(C$3,'Standards for Conversions'!$A$34:$A$73,0))))</f>
        <v/>
      </c>
      <c r="F74" s="10" t="s">
        <v>38</v>
      </c>
      <c r="G74" s="7"/>
      <c r="H74" s="7"/>
      <c r="I74" s="31" t="str">
        <f>IF(H74/(INDEX('Standards for Conversions'!$H$34:$H$73,MATCH(G$3,'Standards for Conversions'!$A$34:$A$73,0)))=0,"",H74/(INDEX('Standards for Conversions'!$H$34:$H$73,MATCH(G$3,'Standards for Conversions'!$A$34:$A$73,0))))</f>
        <v/>
      </c>
      <c r="J74" s="10" t="s">
        <v>38</v>
      </c>
      <c r="K74" s="9"/>
      <c r="L74" s="9"/>
      <c r="M74" s="31" t="str">
        <f>IF(L74/(INDEX('Standards for Conversions'!$H$34:$H$73,MATCH(K$3,'Standards for Conversions'!$A$34:$A$73,0)))=0,"",L74/(INDEX('Standards for Conversions'!$H$34:$H$73,MATCH(K$3,'Standards for Conversions'!$A$34:$A$73,0))))</f>
        <v/>
      </c>
      <c r="N74" s="10" t="s">
        <v>38</v>
      </c>
      <c r="O74" s="7"/>
      <c r="P74" s="7"/>
      <c r="Q74" s="31" t="str">
        <f>IF(P74/(INDEX('Standards for Conversions'!$H$34:$H$73,MATCH(O$3,'Standards for Conversions'!$A$34:$A$73,0)))=0,"",P74/(INDEX('Standards for Conversions'!$H$34:$H$73,MATCH(O$3,'Standards for Conversions'!$A$34:$A$73,0))))</f>
        <v/>
      </c>
      <c r="R74" s="10" t="s">
        <v>38</v>
      </c>
      <c r="S74" s="7"/>
      <c r="T74" s="7"/>
      <c r="U74" s="31" t="str">
        <f>IF(T74/(INDEX('Standards for Conversions'!$H$34:$H$73,MATCH(S$3,'Standards for Conversions'!$A$34:$A$73,0)))=0,"",T74/(INDEX('Standards for Conversions'!$H$34:$H$73,MATCH(S$3,'Standards for Conversions'!$A$34:$A$73,0))))</f>
        <v/>
      </c>
      <c r="V74" s="10" t="s">
        <v>38</v>
      </c>
      <c r="W74" s="7"/>
      <c r="X74" s="7"/>
      <c r="Y74" s="31" t="str">
        <f>IF(X74/(INDEX('Standards for Conversions'!$H$34:$H$73,MATCH(W$3,'Standards for Conversions'!$A$34:$A$73,0)))=0,"",X74/(INDEX('Standards for Conversions'!$H$34:$H$73,MATCH(W$3,'Standards for Conversions'!$A$34:$A$73,0))))</f>
        <v/>
      </c>
      <c r="Z74" s="10" t="s">
        <v>38</v>
      </c>
      <c r="AA74" s="9"/>
      <c r="AB74" s="9"/>
      <c r="AC74" s="31" t="str">
        <f>IF(AB74/(INDEX('Standards for Conversions'!$H$34:$H$73,MATCH(AA$3,'Standards for Conversions'!$A$34:$A$73,0)))=0,"",AB74/(INDEX('Standards for Conversions'!$H$34:$H$73,MATCH(AA$3,'Standards for Conversions'!$A$34:$A$73,0))))</f>
        <v/>
      </c>
      <c r="AD74" s="10" t="s">
        <v>38</v>
      </c>
      <c r="AE74" s="7"/>
      <c r="AF74" s="7"/>
      <c r="AG74" s="31" t="str">
        <f>IF(AF74/(INDEX('Standards for Conversions'!$H$34:$H$73,MATCH(AE$3,'Standards for Conversions'!$A$34:$A$73,0)))=0,"",AF74/(INDEX('Standards for Conversions'!$H$34:$H$73,MATCH(AE$3,'Standards for Conversions'!$A$34:$A$73,0))))</f>
        <v/>
      </c>
      <c r="AH74" s="10" t="s">
        <v>38</v>
      </c>
      <c r="AI74" s="7"/>
      <c r="AJ74" s="7"/>
      <c r="AK74" s="31" t="str">
        <f>IF(AJ74/(INDEX('Standards for Conversions'!$H$34:$H$73,MATCH(AI$3,'Standards for Conversions'!$A$34:$A$73,0)))=0,"",AJ74/(INDEX('Standards for Conversions'!$H$34:$H$73,MATCH(AI$3,'Standards for Conversions'!$A$34:$A$73,0))))</f>
        <v/>
      </c>
      <c r="AL74" s="10" t="s">
        <v>38</v>
      </c>
      <c r="AM74" s="7"/>
      <c r="AN74" s="7"/>
      <c r="AO74" s="31" t="str">
        <f>IF(AN74/(INDEX('Standards for Conversions'!$H$34:$H$73,MATCH(AM$3,'Standards for Conversions'!$A$34:$A$73,0)))=0,"",AN74/(INDEX('Standards for Conversions'!$H$34:$H$73,MATCH(AM$3,'Standards for Conversions'!$A$34:$A$73,0))))</f>
        <v/>
      </c>
      <c r="AP74" s="10" t="s">
        <v>38</v>
      </c>
      <c r="AQ74" s="9"/>
      <c r="AR74" s="9"/>
      <c r="AS74" s="31" t="str">
        <f>IF(AR74/(INDEX('Standards for Conversions'!$H$34:$H$73,MATCH(AQ$3,'Standards for Conversions'!$A$34:$A$73,0)))=0,"",AR74/(INDEX('Standards for Conversions'!$H$34:$H$73,MATCH(AQ$3,'Standards for Conversions'!$A$34:$A$73,0))))</f>
        <v/>
      </c>
      <c r="AT74" s="10" t="s">
        <v>38</v>
      </c>
      <c r="AU74" s="7"/>
      <c r="AV74" s="7"/>
      <c r="AW74" s="31" t="str">
        <f>IF(AV74/(INDEX('Standards for Conversions'!$H$34:$H$73,MATCH(AU$3,'Standards for Conversions'!$A$34:$A$73,0)))=0,"",AV74/(INDEX('Standards for Conversions'!$H$34:$H$73,MATCH(AU$3,'Standards for Conversions'!$A$34:$A$73,0))))</f>
        <v/>
      </c>
      <c r="AX74" s="10" t="s">
        <v>38</v>
      </c>
      <c r="AY74" s="7"/>
      <c r="AZ74" s="7"/>
      <c r="BA74" s="31" t="str">
        <f>IF(AZ74/(INDEX('Standards for Conversions'!$H$34:$H$73,MATCH(AY$3,'Standards for Conversions'!$A$34:$A$73,0)))=0,"",AZ74/(INDEX('Standards for Conversions'!$H$34:$H$73,MATCH(AY$3,'Standards for Conversions'!$A$34:$A$73,0))))</f>
        <v/>
      </c>
      <c r="BB74" s="10" t="s">
        <v>38</v>
      </c>
      <c r="BC74" s="7"/>
      <c r="BD74" s="7"/>
      <c r="BE74" s="31" t="str">
        <f>IF(BD74/(INDEX('Standards for Conversions'!$H$34:$H$73,MATCH(BC$3,'Standards for Conversions'!$A$34:$A$73,0)))=0,"",BD74/(INDEX('Standards for Conversions'!$H$34:$H$73,MATCH(BC$3,'Standards for Conversions'!$A$34:$A$73,0))))</f>
        <v/>
      </c>
      <c r="BF74" s="10" t="s">
        <v>38</v>
      </c>
      <c r="BG74" s="9"/>
      <c r="BH74" s="9"/>
      <c r="BI74" s="31" t="str">
        <f>IF(BH74/(INDEX('Standards for Conversions'!$H$34:$H$73,MATCH(BG$3,'Standards for Conversions'!$A$34:$A$73,0)))=0,"",BH74/(INDEX('Standards for Conversions'!$H$34:$H$73,MATCH(BG$3,'Standards for Conversions'!$A$34:$A$73,0))))</f>
        <v/>
      </c>
      <c r="BJ74" s="10" t="s">
        <v>38</v>
      </c>
      <c r="BK74" s="7"/>
      <c r="BL74" s="7"/>
      <c r="BM74" s="31" t="str">
        <f>IF(BL74/(INDEX('Standards for Conversions'!$H$34:$H$73,MATCH(BK$3,'Standards for Conversions'!$A$34:$A$73,0)))=0,"",BL74/(INDEX('Standards for Conversions'!$H$34:$H$73,MATCH(BK$3,'Standards for Conversions'!$A$34:$A$73,0))))</f>
        <v/>
      </c>
      <c r="BN74" s="10" t="s">
        <v>38</v>
      </c>
      <c r="BO74" s="7"/>
      <c r="BP74" s="7"/>
      <c r="BQ74" s="31" t="str">
        <f>IF(BP74/(INDEX('Standards for Conversions'!$H$34:$H$73,MATCH(BO$3,'Standards for Conversions'!$A$34:$A$73,0)))=0,"",BP74/(INDEX('Standards for Conversions'!$H$34:$H$73,MATCH(BO$3,'Standards for Conversions'!$A$34:$A$73,0))))</f>
        <v/>
      </c>
      <c r="BR74" s="10" t="s">
        <v>38</v>
      </c>
      <c r="BS74" s="7"/>
      <c r="BT74" s="7"/>
      <c r="BU74" s="31" t="str">
        <f>IF(BT74/(INDEX('Standards for Conversions'!$H$34:$H$73,MATCH(BS$3,'Standards for Conversions'!$A$34:$A$73,0)))=0,"",BT74/(INDEX('Standards for Conversions'!$H$34:$H$73,MATCH(BS$3,'Standards for Conversions'!$A$34:$A$73,0))))</f>
        <v/>
      </c>
      <c r="BV74" s="10" t="s">
        <v>38</v>
      </c>
      <c r="BW74" s="9"/>
      <c r="BX74" s="9"/>
      <c r="BY74" s="31" t="str">
        <f>IF(BX74/(INDEX('Standards for Conversions'!$H$34:$H$73,MATCH(BW$3,'Standards for Conversions'!$A$34:$A$73,0)))=0,"",BX74/(INDEX('Standards for Conversions'!$H$34:$H$73,MATCH(BW$3,'Standards for Conversions'!$A$34:$A$73,0))))</f>
        <v/>
      </c>
      <c r="BZ74" s="10" t="s">
        <v>38</v>
      </c>
      <c r="CA74" s="7"/>
      <c r="CB74" s="7"/>
      <c r="CC74" s="31" t="str">
        <f>IF(CB74/(INDEX('Standards for Conversions'!$H$34:$H$73,MATCH(CA$3,'Standards for Conversions'!$A$34:$A$73,0)))=0,"",CB74/(INDEX('Standards for Conversions'!$H$34:$H$73,MATCH(CA$3,'Standards for Conversions'!$A$34:$A$73,0))))</f>
        <v/>
      </c>
      <c r="CD74" s="10" t="s">
        <v>38</v>
      </c>
      <c r="CE74" s="7"/>
      <c r="CF74" s="7"/>
      <c r="CG74" s="31" t="str">
        <f>IF(CF74/(INDEX('Standards for Conversions'!$H$34:$H$73,MATCH(CE$3,'Standards for Conversions'!$A$34:$A$73,0)))=0,"",CF74/(INDEX('Standards for Conversions'!$H$34:$H$73,MATCH(CE$3,'Standards for Conversions'!$A$34:$A$73,0))))</f>
        <v/>
      </c>
      <c r="CH74" s="10" t="s">
        <v>38</v>
      </c>
      <c r="CI74" s="7"/>
      <c r="CJ74" s="7"/>
      <c r="CK74" s="31" t="str">
        <f>IF(CJ74/(INDEX('Standards for Conversions'!$H$34:$H$73,MATCH(CI$3,'Standards for Conversions'!$A$34:$A$73,0)))=0,"",CJ74/(INDEX('Standards for Conversions'!$H$34:$H$73,MATCH(CI$3,'Standards for Conversions'!$A$34:$A$73,0))))</f>
        <v/>
      </c>
      <c r="CL74" s="10" t="s">
        <v>38</v>
      </c>
      <c r="CM74" s="9"/>
      <c r="CN74" s="9"/>
      <c r="CO74" s="31" t="str">
        <f>IF(CN74/(INDEX('Standards for Conversions'!$H$34:$H$73,MATCH(CM$3,'Standards for Conversions'!$A$34:$A$73,0)))=0,"",CN74/(INDEX('Standards for Conversions'!$H$34:$H$73,MATCH(CM$3,'Standards for Conversions'!$A$34:$A$73,0))))</f>
        <v/>
      </c>
      <c r="CP74" s="10" t="s">
        <v>38</v>
      </c>
      <c r="CQ74" s="7"/>
      <c r="CR74" s="7"/>
      <c r="CS74" s="31" t="str">
        <f>IF(CR74/(INDEX('Standards for Conversions'!$H$34:$H$73,MATCH(CQ$3,'Standards for Conversions'!$A$34:$A$73,0)))=0,"",CR74/(INDEX('Standards for Conversions'!$H$34:$H$73,MATCH(CQ$3,'Standards for Conversions'!$A$34:$A$73,0))))</f>
        <v/>
      </c>
      <c r="CT74" s="10" t="s">
        <v>38</v>
      </c>
      <c r="CU74" s="7"/>
      <c r="CV74" s="7"/>
      <c r="CW74" s="31" t="str">
        <f>IF(CV74/(INDEX('Standards for Conversions'!$H$34:$H$73,MATCH(CU$3,'Standards for Conversions'!$A$34:$A$73,0)))=0,"",CV74/(INDEX('Standards for Conversions'!$H$34:$H$73,MATCH(CU$3,'Standards for Conversions'!$A$34:$A$73,0))))</f>
        <v/>
      </c>
      <c r="CX74" s="10" t="s">
        <v>38</v>
      </c>
      <c r="CY74" s="7"/>
      <c r="CZ74" s="7"/>
      <c r="DA74" s="31" t="str">
        <f>IF(CZ74/(INDEX('Standards for Conversions'!$H$34:$H$73,MATCH(CY$3,'Standards for Conversions'!$A$34:$A$73,0)))=0,"",CZ74/(INDEX('Standards for Conversions'!$H$34:$H$73,MATCH(CY$3,'Standards for Conversions'!$A$34:$A$73,0))))</f>
        <v/>
      </c>
      <c r="DB74" s="10" t="s">
        <v>38</v>
      </c>
      <c r="DC74" s="9"/>
      <c r="DD74" s="9"/>
      <c r="DE74" s="31" t="str">
        <f>IF(DD74/(INDEX('Standards for Conversions'!$H$34:$H$73,MATCH(DC$3,'Standards for Conversions'!$A$34:$A$73,0)))=0,"",DD74/(INDEX('Standards for Conversions'!$H$34:$H$73,MATCH(DC$3,'Standards for Conversions'!$A$34:$A$73,0))))</f>
        <v/>
      </c>
      <c r="DF74" s="10" t="s">
        <v>38</v>
      </c>
      <c r="DG74" s="7"/>
      <c r="DH74" s="7"/>
      <c r="DI74" s="31" t="str">
        <f>IF(DH74/(INDEX('Standards for Conversions'!$H$34:$H$73,MATCH(DG$3,'Standards for Conversions'!$A$34:$A$73,0)))=0,"",DH74/(INDEX('Standards for Conversions'!$H$34:$H$73,MATCH(DG$3,'Standards for Conversions'!$A$34:$A$73,0))))</f>
        <v/>
      </c>
      <c r="DJ74" s="10" t="s">
        <v>38</v>
      </c>
      <c r="DK74" s="7"/>
      <c r="DL74" s="7"/>
      <c r="DM74" s="31" t="str">
        <f>IF(DL74/(INDEX('Standards for Conversions'!$H$34:$H$73,MATCH(DK$3,'Standards for Conversions'!$A$34:$A$73,0)))=0,"",DL74/(INDEX('Standards for Conversions'!$H$34:$H$73,MATCH(DK$3,'Standards for Conversions'!$A$34:$A$73,0))))</f>
        <v/>
      </c>
      <c r="DN74" s="10" t="s">
        <v>38</v>
      </c>
      <c r="DO74" s="7"/>
      <c r="DP74" s="7"/>
      <c r="DQ74" s="31" t="str">
        <f>IF(DP74/(INDEX('Standards for Conversions'!$H$34:$H$73,MATCH(DO$3,'Standards for Conversions'!$A$34:$A$73,0)))=0,"",DP74/(INDEX('Standards for Conversions'!$H$34:$H$73,MATCH(DO$3,'Standards for Conversions'!$A$34:$A$73,0))))</f>
        <v/>
      </c>
      <c r="DR74" s="10" t="s">
        <v>38</v>
      </c>
      <c r="DS74" s="9"/>
      <c r="DT74" s="9"/>
      <c r="DU74" s="31" t="str">
        <f>IF(DT74/(INDEX('Standards for Conversions'!$H$34:$H$73,MATCH(DS$3,'Standards for Conversions'!$A$34:$A$73,0)))=0,"",DT74/(INDEX('Standards for Conversions'!$H$34:$H$73,MATCH(DS$3,'Standards for Conversions'!$A$34:$A$73,0))))</f>
        <v/>
      </c>
      <c r="DV74" s="10" t="s">
        <v>38</v>
      </c>
      <c r="DW74" s="7"/>
      <c r="DX74" s="7"/>
      <c r="DY74" s="31" t="str">
        <f>IF(DX74/(INDEX('Standards for Conversions'!$H$34:$H$73,MATCH(DW$3,'Standards for Conversions'!$A$34:$A$73,0)))=0,"",DX74/(INDEX('Standards for Conversions'!$H$34:$H$73,MATCH(DW$3,'Standards for Conversions'!$A$34:$A$73,0))))</f>
        <v/>
      </c>
      <c r="DZ74" s="10" t="s">
        <v>38</v>
      </c>
      <c r="EA74" s="7"/>
      <c r="EB74" s="7"/>
      <c r="EC74" s="31" t="str">
        <f>IF(EB74/(INDEX('Standards for Conversions'!$H$34:$H$73,MATCH(EA$3,'Standards for Conversions'!$A$34:$A$73,0)))=0,"",EB74/(INDEX('Standards for Conversions'!$H$34:$H$73,MATCH(EA$3,'Standards for Conversions'!$A$34:$A$73,0))))</f>
        <v/>
      </c>
      <c r="ED74" s="10" t="s">
        <v>38</v>
      </c>
      <c r="EE74" s="7"/>
      <c r="EF74" s="7"/>
      <c r="EG74" s="31" t="str">
        <f>IF(EF74/(INDEX('Standards for Conversions'!$H$34:$H$73,MATCH(EE$3,'Standards for Conversions'!$A$34:$A$73,0)))=0,"",EF74/(INDEX('Standards for Conversions'!$H$34:$H$73,MATCH(EE$3,'Standards for Conversions'!$A$34:$A$73,0))))</f>
        <v/>
      </c>
      <c r="EH74" s="10" t="s">
        <v>38</v>
      </c>
      <c r="EI74" s="9"/>
      <c r="EJ74" s="9"/>
      <c r="EK74" s="31" t="str">
        <f>IF(EJ74/(INDEX('Standards for Conversions'!$H$34:$H$73,MATCH(EI$3,'Standards for Conversions'!$A$34:$A$73,0)))=0,"",EJ74/(INDEX('Standards for Conversions'!$H$34:$H$73,MATCH(EI$3,'Standards for Conversions'!$A$34:$A$73,0))))</f>
        <v/>
      </c>
      <c r="EL74" s="10" t="s">
        <v>38</v>
      </c>
      <c r="EM74" s="7"/>
      <c r="EN74" s="7"/>
      <c r="EO74" s="31" t="str">
        <f>IF(EN74/(INDEX('Standards for Conversions'!$H$34:$H$73,MATCH(EM$3,'Standards for Conversions'!$A$34:$A$73,0)))=0,"",EN74/(INDEX('Standards for Conversions'!$H$34:$H$73,MATCH(EM$3,'Standards for Conversions'!$A$34:$A$73,0))))</f>
        <v/>
      </c>
      <c r="EP74" s="10" t="s">
        <v>38</v>
      </c>
      <c r="EQ74" s="7"/>
      <c r="ER74" s="7"/>
      <c r="ES74" s="31" t="str">
        <f>IF(ER74/(INDEX('Standards for Conversions'!$H$34:$H$73,MATCH(EQ$3,'Standards for Conversions'!$A$34:$A$73,0)))=0,"",ER74/(INDEX('Standards for Conversions'!$H$34:$H$73,MATCH(EQ$3,'Standards for Conversions'!$A$34:$A$73,0))))</f>
        <v/>
      </c>
      <c r="ET74" s="10" t="s">
        <v>38</v>
      </c>
      <c r="EU74" s="7"/>
      <c r="EV74" s="7"/>
      <c r="EW74" s="31" t="str">
        <f>IF(EV74/(INDEX('Standards for Conversions'!$H$34:$H$73,MATCH(EU$3,'Standards for Conversions'!$A$34:$A$73,0)))=0,"",EV74/(INDEX('Standards for Conversions'!$H$34:$H$73,MATCH(EU$3,'Standards for Conversions'!$A$34:$A$73,0))))</f>
        <v/>
      </c>
      <c r="EX74" s="10" t="s">
        <v>38</v>
      </c>
      <c r="EY74" s="9"/>
      <c r="EZ74" s="9"/>
      <c r="FA74" s="31" t="str">
        <f>IF(EZ74/(INDEX('Standards for Conversions'!$H$34:$H$73,MATCH(EY$3,'Standards for Conversions'!$A$34:$A$73,0)))=0,"",EZ74/(INDEX('Standards for Conversions'!$H$34:$H$73,MATCH(EY$3,'Standards for Conversions'!$A$34:$A$73,0))))</f>
        <v/>
      </c>
      <c r="FB74" s="10" t="s">
        <v>38</v>
      </c>
      <c r="FC74" s="7"/>
      <c r="FD74" s="7"/>
      <c r="FE74" s="31" t="str">
        <f>IF(FD74/(INDEX('Standards for Conversions'!$H$34:$H$73,MATCH(FC$3,'Standards for Conversions'!$A$34:$A$73,0)))=0,"",FD74/(INDEX('Standards for Conversions'!$H$34:$H$73,MATCH(FC$3,'Standards for Conversions'!$A$34:$A$73,0))))</f>
        <v/>
      </c>
      <c r="FF74" s="10" t="s">
        <v>38</v>
      </c>
      <c r="FG74" s="7"/>
      <c r="FH74" s="7"/>
      <c r="FI74" s="31" t="str">
        <f>IF(FH74/(INDEX('Standards for Conversions'!$H$34:$H$73,MATCH(FG$3,'Standards for Conversions'!$A$34:$A$73,0)))=0,"",FH74/(INDEX('Standards for Conversions'!$H$34:$H$73,MATCH(FG$3,'Standards for Conversions'!$A$34:$A$73,0))))</f>
        <v/>
      </c>
      <c r="FJ74" s="10" t="s">
        <v>38</v>
      </c>
      <c r="FK74" s="7"/>
      <c r="FL74" s="7"/>
      <c r="FM74" s="31" t="str">
        <f>IF(FL74/(INDEX('Standards for Conversions'!$H$34:$H$73,MATCH(FK$3,'Standards for Conversions'!$A$34:$A$73,0)))=0,"",FL74/(INDEX('Standards for Conversions'!$H$34:$H$73,MATCH(FK$3,'Standards for Conversions'!$A$34:$A$73,0))))</f>
        <v/>
      </c>
      <c r="FN74" s="10" t="s">
        <v>38</v>
      </c>
      <c r="FO74" s="9"/>
      <c r="FP74" s="9"/>
      <c r="FQ74" s="31" t="str">
        <f>IF(FP74/(INDEX('Standards for Conversions'!$H$34:$H$73,MATCH(FO$3,'Standards for Conversions'!$A$34:$A$73,0)))=0,"",FP74/(INDEX('Standards for Conversions'!$H$34:$H$73,MATCH(FO$3,'Standards for Conversions'!$A$34:$A$73,0))))</f>
        <v/>
      </c>
      <c r="FR74" s="10" t="s">
        <v>38</v>
      </c>
      <c r="FS74" s="7"/>
      <c r="FT74" s="7"/>
      <c r="FU74" s="31" t="str">
        <f>IF(FT74/(INDEX('Standards for Conversions'!$H$34:$H$73,MATCH(FS$3,'Standards for Conversions'!$A$34:$A$73,0)))=0,"",FT74/(INDEX('Standards for Conversions'!$H$34:$H$73,MATCH(FS$3,'Standards for Conversions'!$A$34:$A$73,0))))</f>
        <v/>
      </c>
      <c r="FV74" s="10" t="s">
        <v>38</v>
      </c>
      <c r="FW74" s="7"/>
      <c r="FX74" s="7"/>
      <c r="FY74" s="31" t="str">
        <f>IF(FX74/(INDEX('Standards for Conversions'!$H$34:$H$73,MATCH(FW$3,'Standards for Conversions'!$A$34:$A$73,0)))=0,"",FX74/(INDEX('Standards for Conversions'!$H$34:$H$73,MATCH(FW$3,'Standards for Conversions'!$A$34:$A$73,0))))</f>
        <v/>
      </c>
      <c r="FZ74" s="10" t="s">
        <v>38</v>
      </c>
      <c r="GA74" s="7"/>
      <c r="GB74" s="7"/>
      <c r="GC74" s="31" t="str">
        <f>IF(GB74/(INDEX('Standards for Conversions'!$H$34:$H$73,MATCH(GA$3,'Standards for Conversions'!$A$34:$A$73,0)))=0,"",GB74/(INDEX('Standards for Conversions'!$H$34:$H$73,MATCH(GA$3,'Standards for Conversions'!$A$34:$A$73,0))))</f>
        <v/>
      </c>
      <c r="GD74" s="10" t="s">
        <v>38</v>
      </c>
      <c r="GE74" s="9"/>
      <c r="GF74" s="9"/>
      <c r="GG74" s="31" t="str">
        <f>IF(GF74/(INDEX('Standards for Conversions'!$H$34:$H$73,MATCH(GE$3,'Standards for Conversions'!$A$34:$A$73,0)))=0,"",GF74/(INDEX('Standards for Conversions'!$H$34:$H$73,MATCH(GE$3,'Standards for Conversions'!$A$34:$A$73,0))))</f>
        <v/>
      </c>
      <c r="GH74" s="10" t="s">
        <v>38</v>
      </c>
      <c r="GI74" s="7"/>
      <c r="GJ74" s="7"/>
      <c r="GK74" s="31" t="str">
        <f>IF(GJ74/(INDEX('Standards for Conversions'!$H$34:$H$73,MATCH(GI$3,'Standards for Conversions'!$A$34:$A$73,0)))=0,"",GJ74/(INDEX('Standards for Conversions'!$H$34:$H$73,MATCH(GI$3,'Standards for Conversions'!$A$34:$A$73,0))))</f>
        <v/>
      </c>
      <c r="GL74" s="10" t="s">
        <v>38</v>
      </c>
      <c r="GM74" s="7"/>
      <c r="GN74" s="7"/>
      <c r="GO74" s="31" t="str">
        <f>IF(GN74/(INDEX('Standards for Conversions'!$H$34:$H$73,MATCH(GM$3,'Standards for Conversions'!$A$34:$A$73,0)))=0,"",GN74/(INDEX('Standards for Conversions'!$H$34:$H$73,MATCH(GM$3,'Standards for Conversions'!$A$34:$A$73,0))))</f>
        <v/>
      </c>
      <c r="GP74" s="10" t="s">
        <v>38</v>
      </c>
      <c r="GQ74" s="7"/>
      <c r="GR74" s="7"/>
      <c r="GS74" s="31" t="str">
        <f>IF(GR74/(INDEX('Standards for Conversions'!$H$34:$H$73,MATCH(GQ$3,'Standards for Conversions'!$A$34:$A$73,0)))=0,"",GR74/(INDEX('Standards for Conversions'!$H$34:$H$73,MATCH(GQ$3,'Standards for Conversions'!$A$34:$A$73,0))))</f>
        <v/>
      </c>
      <c r="GT74" s="10" t="s">
        <v>38</v>
      </c>
      <c r="GU74" s="9"/>
      <c r="GV74" s="9"/>
      <c r="GW74" s="31" t="str">
        <f>IF(GV74/(INDEX('Standards for Conversions'!$H$34:$H$73,MATCH(GU$3,'Standards for Conversions'!$A$34:$A$73,0)))=0,"",GV74/(INDEX('Standards for Conversions'!$H$34:$H$73,MATCH(GU$3,'Standards for Conversions'!$A$34:$A$73,0))))</f>
        <v/>
      </c>
      <c r="GX74" s="10" t="s">
        <v>38</v>
      </c>
      <c r="GY74" s="7"/>
      <c r="GZ74" s="7"/>
      <c r="HA74" s="31" t="str">
        <f>IF(GZ74/(INDEX('Standards for Conversions'!$H$34:$H$73,MATCH(GY$3,'Standards for Conversions'!$A$34:$A$73,0)))=0,"",GZ74/(INDEX('Standards for Conversions'!$H$34:$H$73,MATCH(GY$3,'Standards for Conversions'!$A$34:$A$73,0))))</f>
        <v/>
      </c>
      <c r="HB74" s="10" t="s">
        <v>38</v>
      </c>
      <c r="HC74" s="7"/>
      <c r="HD74" s="7"/>
      <c r="HE74" s="31" t="str">
        <f>IF(HD74/(INDEX('Standards for Conversions'!$H$34:$H$73,MATCH(HC$3,'Standards for Conversions'!$A$34:$A$73,0)))=0,"",HD74/(INDEX('Standards for Conversions'!$H$34:$H$73,MATCH(HC$3,'Standards for Conversions'!$A$34:$A$73,0))))</f>
        <v/>
      </c>
      <c r="HF74" s="10" t="s">
        <v>38</v>
      </c>
      <c r="HG74" s="7"/>
      <c r="HH74" s="7"/>
      <c r="HI74" s="31" t="str">
        <f>IF(HH74/(INDEX('Standards for Conversions'!$H$34:$H$73,MATCH(HG$3,'Standards for Conversions'!$A$34:$A$73,0)))=0,"",HH74/(INDEX('Standards for Conversions'!$H$34:$H$73,MATCH(HG$3,'Standards for Conversions'!$A$34:$A$73,0))))</f>
        <v/>
      </c>
      <c r="HJ74" s="10" t="s">
        <v>38</v>
      </c>
      <c r="HK74" s="9"/>
      <c r="HL74" s="9"/>
      <c r="HM74" s="31" t="str">
        <f>IF(HL74/(INDEX('Standards for Conversions'!$H$34:$H$73,MATCH(HK$3,'Standards for Conversions'!$A$34:$A$73,0)))=0,"",HL74/(INDEX('Standards for Conversions'!$H$34:$H$73,MATCH(HK$3,'Standards for Conversions'!$A$34:$A$73,0))))</f>
        <v/>
      </c>
      <c r="HN74" s="10" t="s">
        <v>38</v>
      </c>
      <c r="HO74" s="7"/>
      <c r="HP74" s="7"/>
      <c r="HQ74" s="31" t="str">
        <f>IF(HP74/(INDEX('Standards for Conversions'!$H$34:$H$73,MATCH(HO$3,'Standards for Conversions'!$A$34:$A$73,0)))=0,"",HP74/(INDEX('Standards for Conversions'!$H$34:$H$73,MATCH(HO$3,'Standards for Conversions'!$A$34:$A$73,0))))</f>
        <v/>
      </c>
      <c r="HR74" s="33" t="s">
        <v>38</v>
      </c>
      <c r="HU74" s="31" t="str">
        <f>IF(HT74/(INDEX('Standards for Conversions'!$H$47:$H$73,MATCH(HS$3,'Standards for Conversions'!$A$47:$A$73,0)))=0,"",HT74/(INDEX('Standards for Conversions'!$H$47:$H$73,MATCH(HS$3,'Standards for Conversions'!$A$47:$A$73,0))))</f>
        <v/>
      </c>
      <c r="HV74" s="33" t="s">
        <v>38</v>
      </c>
      <c r="HW74" s="29">
        <v>50</v>
      </c>
      <c r="HX74" s="29">
        <v>200</v>
      </c>
      <c r="HY74" s="31">
        <f>IF(HX74/(INDEX('Standards for Conversions'!$H$47:$H$73,MATCH(HW$3,'Standards for Conversions'!$A$47:$A$73,0)))=0,"",HX74/(INDEX('Standards for Conversions'!$H$47:$H$73,MATCH(HW$3,'Standards for Conversions'!$A$47:$A$73,0))))</f>
        <v>29.049082442571191</v>
      </c>
      <c r="HZ74" s="33"/>
      <c r="IA74" s="33"/>
      <c r="IB74" s="31" t="str">
        <f>IF(IA74/(INDEX('Standards for Conversions'!$H$47:$H$73,MATCH(HZ$3,'Standards for Conversions'!$A$47:$A$73,0)))=0,"",IA74/(INDEX('Standards for Conversions'!$H$47:$H$73,MATCH(HZ$3,'Standards for Conversions'!$A$47:$A$73,0))))</f>
        <v/>
      </c>
      <c r="IC74" s="33" t="s">
        <v>38</v>
      </c>
      <c r="IF74" s="31" t="str">
        <f>IF(IE74/(INDEX('Standards for Conversions'!$H$47:$H$73,MATCH(ID$3,'Standards for Conversions'!$A$47:$A$73,0)))=0,"",IE74/(INDEX('Standards for Conversions'!$H$47:$H$73,MATCH(ID$3,'Standards for Conversions'!$A$47:$A$73,0))))</f>
        <v/>
      </c>
      <c r="IG74" s="33" t="s">
        <v>38</v>
      </c>
      <c r="IJ74" s="31" t="str">
        <f>IF(II74/(INDEX('Standards for Conversions'!$H$47:$H$73,MATCH(IH$3,'Standards for Conversions'!$A$47:$A$73,0)))=0,"",II74/(INDEX('Standards for Conversions'!$H$47:$H$73,MATCH(IH$3,'Standards for Conversions'!$A$47:$A$73,0))))</f>
        <v/>
      </c>
      <c r="IK74" s="33" t="s">
        <v>38</v>
      </c>
      <c r="IL74" s="29">
        <v>40</v>
      </c>
      <c r="IM74" s="29">
        <v>140</v>
      </c>
      <c r="IN74" s="31">
        <f>IF(IM74/(INDEX('Standards for Conversions'!$H$47:$H$73,MATCH(IL$3,'Standards for Conversions'!$A$47:$A$73,0)))=0,"",IM74/(INDEX('Standards for Conversions'!$H$47:$H$73,MATCH(IL$3,'Standards for Conversions'!$A$47:$A$73,0))))</f>
        <v>20.245431947220531</v>
      </c>
      <c r="IO74" s="33" t="s">
        <v>38</v>
      </c>
      <c r="IR74" s="31" t="str">
        <f>IF(IQ74/(INDEX('Standards for Conversions'!$H$47:$H$73,MATCH(IP$3,'Standards for Conversions'!$A$47:$A$73,0)))=0,"",IQ74/(INDEX('Standards for Conversions'!$H$47:$H$73,MATCH(IP$3,'Standards for Conversions'!$A$47:$A$73,0))))</f>
        <v/>
      </c>
      <c r="IS74" s="33" t="s">
        <v>38</v>
      </c>
      <c r="IV74" s="31" t="str">
        <f>IF(IU74/(INDEX('Standards for Conversions'!$H$47:$H$73,MATCH(IT$3,'Standards for Conversions'!$A$47:$A$73,0)))=0,"",IU74/(INDEX('Standards for Conversions'!$H$47:$H$73,MATCH(IT$3,'Standards for Conversions'!$A$47:$A$73,0))))</f>
        <v/>
      </c>
      <c r="IW74" s="33" t="s">
        <v>38</v>
      </c>
      <c r="IZ74" s="31" t="str">
        <f>IF(IY74/(INDEX('Standards for Conversions'!$H$47:$H$73,MATCH(IX$3,'Standards for Conversions'!$A$47:$A$73,0)))=0,"",IY74/(INDEX('Standards for Conversions'!$H$47:$H$73,MATCH(IX$3,'Standards for Conversions'!$A$47:$A$73,0))))</f>
        <v/>
      </c>
      <c r="JA74" s="48" t="s">
        <v>38</v>
      </c>
      <c r="JB74" s="29">
        <v>50</v>
      </c>
      <c r="JC74" s="29">
        <v>200</v>
      </c>
      <c r="JD74" s="31">
        <f>IF(JC74/(INDEX('Standards for Conversions'!$H$47:$H$73,MATCH(JB$3,'Standards for Conversions'!$A$47:$A$73,0)))=0,"",JC74/(INDEX('Standards for Conversions'!$H$47:$H$73,MATCH(JB$3,'Standards for Conversions'!$A$47:$A$73,0))))</f>
        <v>32.352039338373736</v>
      </c>
      <c r="JE74" s="33"/>
      <c r="JH74" s="31" t="str">
        <f>IF(JG74/(INDEX('Standards for Conversions'!$H$47:$H$73,MATCH(JF$3,'Standards for Conversions'!$A$47:$A$73,0)))=0,"",JG74/(INDEX('Standards for Conversions'!$H$47:$H$73,MATCH(JF$3,'Standards for Conversions'!$A$47:$A$73,0))))</f>
        <v/>
      </c>
      <c r="JI74" s="48"/>
      <c r="JL74" s="31" t="str">
        <f>IF(JK74/(INDEX('Standards for Conversions'!$H$47:$H$73,MATCH(JJ$3,'Standards for Conversions'!$A$47:$A$73,0)))=0,"",JK74/(INDEX('Standards for Conversions'!$H$47:$H$73,MATCH(JJ$3,'Standards for Conversions'!$A$47:$A$73,0))))</f>
        <v/>
      </c>
      <c r="JM74" s="33" t="s">
        <v>38</v>
      </c>
      <c r="JP74" s="31" t="str">
        <f>IF(JO74/(INDEX('Standards for Conversions'!$H$47:$H$73,MATCH(JN$3,'Standards for Conversions'!$A$47:$A$73,0)))=0,"",JO74/(INDEX('Standards for Conversions'!$H$47:$H$73,MATCH(JN$3,'Standards for Conversions'!$A$47:$A$73,0))))</f>
        <v/>
      </c>
      <c r="JQ74" s="33" t="s">
        <v>38</v>
      </c>
      <c r="JR74" s="29">
        <v>120</v>
      </c>
      <c r="JS74" s="29">
        <v>250</v>
      </c>
      <c r="JT74" s="31">
        <f>IF(JS74/(INDEX('Standards for Conversions'!$H$47:$H$73,MATCH(JR$3,'Standards for Conversions'!$A$47:$A$73,0)))=0,"",JS74/(INDEX('Standards for Conversions'!$H$47:$H$73,MATCH(JR$3,'Standards for Conversions'!$A$47:$A$73,0))))</f>
        <v>38.163973106949392</v>
      </c>
      <c r="JU74" s="33" t="s">
        <v>38</v>
      </c>
      <c r="JX74" s="31" t="str">
        <f>IF(JW74/(INDEX('Standards for Conversions'!$H$47:$H$73,MATCH(JV$3,'Standards for Conversions'!$A$47:$A$73,0)))=0,"",JW74/(INDEX('Standards for Conversions'!$H$47:$H$73,MATCH(JV$3,'Standards for Conversions'!$A$47:$A$73,0))))</f>
        <v/>
      </c>
      <c r="JY74" s="33" t="s">
        <v>38</v>
      </c>
      <c r="KB74" s="31" t="str">
        <f>IF(KA74/(INDEX('Standards for Conversions'!$H$47:$H$73,MATCH(JZ$3,'Standards for Conversions'!$A$47:$A$73,0)))=0,"",KA74/(INDEX('Standards for Conversions'!$H$47:$H$73,MATCH(JZ$3,'Standards for Conversions'!$A$47:$A$73,0))))</f>
        <v/>
      </c>
      <c r="KC74" s="33" t="s">
        <v>38</v>
      </c>
      <c r="KF74" s="31" t="str">
        <f>IF(KE74/(INDEX('Standards for Conversions'!$H$47:$H$73,MATCH(KD$3,'Standards for Conversions'!$A$47:$A$73,0)))=0,"",KE74/(INDEX('Standards for Conversions'!$H$47:$H$73,MATCH(KD$3,'Standards for Conversions'!$A$47:$A$73,0))))</f>
        <v/>
      </c>
      <c r="KG74" s="33" t="s">
        <v>38</v>
      </c>
      <c r="KH74" s="29">
        <v>100</v>
      </c>
      <c r="KI74" s="29">
        <v>200</v>
      </c>
      <c r="KJ74" s="31">
        <f>IF(KI74/(INDEX('Standards for Conversions'!$H$47:$H$73,MATCH(KH$3,'Standards for Conversions'!$A$47:$A$73,0)))=0,"",KI74/(INDEX('Standards for Conversions'!$H$47:$H$73,MATCH(KH$3,'Standards for Conversions'!$A$47:$A$73,0))))</f>
        <v>26.931802381159294</v>
      </c>
      <c r="KK74" s="33" t="s">
        <v>38</v>
      </c>
      <c r="KN74" s="31" t="str">
        <f>IF(KM74/(INDEX('Standards for Conversions'!$H$47:$H$73,MATCH(KL$3,'Standards for Conversions'!$A$47:$A$73,0)))=0,"",KM74/(INDEX('Standards for Conversions'!$H$47:$H$73,MATCH(KL$3,'Standards for Conversions'!$A$47:$A$73,0))))</f>
        <v/>
      </c>
      <c r="KO74" s="33" t="s">
        <v>38</v>
      </c>
      <c r="KR74" s="31" t="str">
        <f>IF(KQ74/(INDEX('Standards for Conversions'!$H$47:$H$73,MATCH(KP$3,'Standards for Conversions'!$A$47:$A$73,0)))=0,"",KQ74/(INDEX('Standards for Conversions'!$H$47:$H$73,MATCH(KP$3,'Standards for Conversions'!$A$47:$A$73,0))))</f>
        <v/>
      </c>
      <c r="KS74" s="33" t="s">
        <v>38</v>
      </c>
      <c r="KV74" s="31" t="str">
        <f>IF(KU74/(INDEX('Standards for Conversions'!$H$47:$H$73,MATCH(KT$3,'Standards for Conversions'!$A$47:$A$73,0)))=0,"",KU74/(INDEX('Standards for Conversions'!$H$47:$H$73,MATCH(KT$3,'Standards for Conversions'!$A$47:$A$73,0))))</f>
        <v/>
      </c>
      <c r="KW74" s="48" t="s">
        <v>38</v>
      </c>
      <c r="KX74" s="29">
        <v>50</v>
      </c>
      <c r="KY74" s="29">
        <v>100</v>
      </c>
      <c r="KZ74" s="31">
        <f>IF(KY74/(INDEX('Standards for Conversions'!$H$47:$H$73,MATCH(KX$3,'Standards for Conversions'!$A$47:$A$73,0)))=0,"",KY74/(INDEX('Standards for Conversions'!$H$47:$H$73,MATCH(KX$3,'Standards for Conversions'!$A$47:$A$73,0))))</f>
        <v>12.161656672749919</v>
      </c>
      <c r="LD74" s="31" t="str">
        <f>IF(LC74/(INDEX('Standards for Conversions'!$H$47:$H$73,MATCH(LB$3,'Standards for Conversions'!$A$47:$A$73,0)))=0,"",LC74/(INDEX('Standards for Conversions'!$H$47:$H$73,MATCH(LB$3,'Standards for Conversions'!$A$47:$A$73,0))))</f>
        <v/>
      </c>
      <c r="LE74" s="48"/>
      <c r="LH74" s="31" t="str">
        <f>IF(LG74/(INDEX('Standards for Conversions'!$H$47:$H$73,MATCH(LF$3,'Standards for Conversions'!$A$47:$A$73,0)))=0,"",LG74/(INDEX('Standards for Conversions'!$H$47:$H$73,MATCH(LF$3,'Standards for Conversions'!$A$47:$A$73,0))))</f>
        <v/>
      </c>
      <c r="LL74" s="31" t="str">
        <f>IF(LK74/(INDEX('Standards for Conversions'!$H$47:$H$73,MATCH(LJ$3,'Standards for Conversions'!$A$47:$A$73,0)))=0,"",LK74/(INDEX('Standards for Conversions'!$H$47:$H$73,MATCH(LJ$3,'Standards for Conversions'!$A$47:$A$73,0))))</f>
        <v/>
      </c>
      <c r="LO74" s="31" t="str">
        <f>IF(LN74/(INDEX('Standards for Conversions'!$H$47:$H$73,MATCH(LM$3,'Standards for Conversions'!$A$47:$A$73,0)))=0,"",LN74/(INDEX('Standards for Conversions'!$H$47:$H$73,MATCH(LM$3,'Standards for Conversions'!$A$47:$A$73,0))))</f>
        <v/>
      </c>
      <c r="LR74" s="31" t="str">
        <f>IF(LQ74/(INDEX('Standards for Conversions'!$H$47:$H$73,MATCH(LP$3,'Standards for Conversions'!$A$47:$A$73,0)))=0,"",LQ74/(INDEX('Standards for Conversions'!$H$47:$H$73,MATCH(LP$3,'Standards for Conversions'!$A$47:$A$73,0))))</f>
        <v/>
      </c>
      <c r="LV74" s="31" t="str">
        <f>IF(LU74/(INDEX('Standards for Conversions'!$H$47:$H$73,MATCH(LT$3,'Standards for Conversions'!$A$47:$A$73,0)))=0,"",LU74/(INDEX('Standards for Conversions'!$H$47:$H$73,MATCH(LT$3,'Standards for Conversions'!$A$47:$A$73,0))))</f>
        <v/>
      </c>
      <c r="LY74" s="31" t="str">
        <f>IF(LX74/(INDEX('Standards for Conversions'!$H$47:$H$73,MATCH(LW$3,'Standards for Conversions'!$A$47:$A$73,0)))=0,"",LX74/(INDEX('Standards for Conversions'!$H$47:$H$73,MATCH(LW$3,'Standards for Conversions'!$A$47:$A$73,0))))</f>
        <v/>
      </c>
      <c r="MB74" s="31" t="str">
        <f>IF(MA74/(INDEX('Standards for Conversions'!$H$47:$H$73,MATCH(LZ$3,'Standards for Conversions'!$A$47:$A$73,0)))=0,"",MA74/(INDEX('Standards for Conversions'!$H$47:$H$73,MATCH(LZ$3,'Standards for Conversions'!$A$47:$A$73,0))))</f>
        <v/>
      </c>
      <c r="ME74" s="31" t="str">
        <f>IF(MD74/(INDEX('Standards for Conversions'!$H$47:$H$73,MATCH(MC$3,'Standards for Conversions'!$A$47:$A$73,0)))=0,"",MD74/(INDEX('Standards for Conversions'!$H$47:$H$73,MATCH(MC$3,'Standards for Conversions'!$A$47:$A$73,0))))</f>
        <v/>
      </c>
      <c r="MH74" s="31" t="str">
        <f>IF(MG74/(INDEX('Standards for Conversions'!$H$47:$H$73,MATCH(MF$3,'Standards for Conversions'!$A$47:$A$73,0)))=0,"",MG74/(INDEX('Standards for Conversions'!$H$47:$H$73,MATCH(MF$3,'Standards for Conversions'!$A$47:$A$73,0))))</f>
        <v/>
      </c>
      <c r="MK74" s="31" t="str">
        <f>IF(MJ74/(INDEX('Standards for Conversions'!$H$47:$H$73,MATCH(MI$3,'Standards for Conversions'!$A$47:$A$73,0)))=0,"",MJ74/(INDEX('Standards for Conversions'!$H$47:$H$73,MATCH(MI$3,'Standards for Conversions'!$A$47:$A$73,0))))</f>
        <v/>
      </c>
      <c r="MN74" s="31" t="str">
        <f>IF(MM74/(INDEX('Standards for Conversions'!$H$47:$H$73,MATCH(ML$3,'Standards for Conversions'!$A$47:$A$73,0)))=0,"",MM74/(INDEX('Standards for Conversions'!$H$47:$H$73,MATCH(ML$3,'Standards for Conversions'!$A$47:$A$73,0))))</f>
        <v/>
      </c>
      <c r="MR74" s="31" t="str">
        <f>IF(MQ74/(INDEX('Standards for Conversions'!$H$47:$H$73,MATCH(MP$3,'Standards for Conversions'!$A$47:$A$73,0)))=0,"",MQ74/(INDEX('Standards for Conversions'!$H$47:$H$73,MATCH(MP$3,'Standards for Conversions'!$A$47:$A$73,0))))</f>
        <v/>
      </c>
    </row>
    <row r="75" spans="1:369" hidden="1" x14ac:dyDescent="0.3">
      <c r="A75" s="103" t="s">
        <v>250</v>
      </c>
      <c r="B75" s="10" t="s">
        <v>40</v>
      </c>
      <c r="C75" s="7"/>
      <c r="D75" s="7"/>
      <c r="E75" s="31" t="str">
        <f>IF(D75/(INDEX('Standards for Conversions'!$H$34:$H$73,MATCH(C$3,'Standards for Conversions'!$A$34:$A$73,0)))=0,"",D75/(INDEX('Standards for Conversions'!$H$34:$H$73,MATCH(C$3,'Standards for Conversions'!$A$34:$A$73,0))))</f>
        <v/>
      </c>
      <c r="F75" s="10" t="s">
        <v>40</v>
      </c>
      <c r="G75" s="7"/>
      <c r="H75" s="7"/>
      <c r="I75" s="31" t="str">
        <f>IF(H75/(INDEX('Standards for Conversions'!$H$34:$H$73,MATCH(G$3,'Standards for Conversions'!$A$34:$A$73,0)))=0,"",H75/(INDEX('Standards for Conversions'!$H$34:$H$73,MATCH(G$3,'Standards for Conversions'!$A$34:$A$73,0))))</f>
        <v/>
      </c>
      <c r="J75" s="10" t="s">
        <v>40</v>
      </c>
      <c r="K75" s="9"/>
      <c r="L75" s="9"/>
      <c r="M75" s="31" t="str">
        <f>IF(L75/(INDEX('Standards for Conversions'!$H$34:$H$73,MATCH(K$3,'Standards for Conversions'!$A$34:$A$73,0)))=0,"",L75/(INDEX('Standards for Conversions'!$H$34:$H$73,MATCH(K$3,'Standards for Conversions'!$A$34:$A$73,0))))</f>
        <v/>
      </c>
      <c r="N75" s="10" t="s">
        <v>40</v>
      </c>
      <c r="O75" s="7"/>
      <c r="P75" s="7"/>
      <c r="Q75" s="31" t="str">
        <f>IF(P75/(INDEX('Standards for Conversions'!$H$34:$H$73,MATCH(O$3,'Standards for Conversions'!$A$34:$A$73,0)))=0,"",P75/(INDEX('Standards for Conversions'!$H$34:$H$73,MATCH(O$3,'Standards for Conversions'!$A$34:$A$73,0))))</f>
        <v/>
      </c>
      <c r="R75" s="10" t="s">
        <v>40</v>
      </c>
      <c r="S75" s="7"/>
      <c r="T75" s="7"/>
      <c r="U75" s="31" t="str">
        <f>IF(T75/(INDEX('Standards for Conversions'!$H$34:$H$73,MATCH(S$3,'Standards for Conversions'!$A$34:$A$73,0)))=0,"",T75/(INDEX('Standards for Conversions'!$H$34:$H$73,MATCH(S$3,'Standards for Conversions'!$A$34:$A$73,0))))</f>
        <v/>
      </c>
      <c r="V75" s="10" t="s">
        <v>40</v>
      </c>
      <c r="W75" s="7"/>
      <c r="X75" s="7"/>
      <c r="Y75" s="31" t="str">
        <f>IF(X75/(INDEX('Standards for Conversions'!$H$34:$H$73,MATCH(W$3,'Standards for Conversions'!$A$34:$A$73,0)))=0,"",X75/(INDEX('Standards for Conversions'!$H$34:$H$73,MATCH(W$3,'Standards for Conversions'!$A$34:$A$73,0))))</f>
        <v/>
      </c>
      <c r="Z75" s="10" t="s">
        <v>40</v>
      </c>
      <c r="AA75" s="9"/>
      <c r="AB75" s="9"/>
      <c r="AC75" s="31" t="str">
        <f>IF(AB75/(INDEX('Standards for Conversions'!$H$34:$H$73,MATCH(AA$3,'Standards for Conversions'!$A$34:$A$73,0)))=0,"",AB75/(INDEX('Standards for Conversions'!$H$34:$H$73,MATCH(AA$3,'Standards for Conversions'!$A$34:$A$73,0))))</f>
        <v/>
      </c>
      <c r="AD75" s="10" t="s">
        <v>40</v>
      </c>
      <c r="AE75" s="7"/>
      <c r="AF75" s="7"/>
      <c r="AG75" s="31" t="str">
        <f>IF(AF75/(INDEX('Standards for Conversions'!$H$34:$H$73,MATCH(AE$3,'Standards for Conversions'!$A$34:$A$73,0)))=0,"",AF75/(INDEX('Standards for Conversions'!$H$34:$H$73,MATCH(AE$3,'Standards for Conversions'!$A$34:$A$73,0))))</f>
        <v/>
      </c>
      <c r="AH75" s="10" t="s">
        <v>40</v>
      </c>
      <c r="AI75" s="7"/>
      <c r="AJ75" s="7"/>
      <c r="AK75" s="31" t="str">
        <f>IF(AJ75/(INDEX('Standards for Conversions'!$H$34:$H$73,MATCH(AI$3,'Standards for Conversions'!$A$34:$A$73,0)))=0,"",AJ75/(INDEX('Standards for Conversions'!$H$34:$H$73,MATCH(AI$3,'Standards for Conversions'!$A$34:$A$73,0))))</f>
        <v/>
      </c>
      <c r="AL75" s="10" t="s">
        <v>40</v>
      </c>
      <c r="AM75" s="7"/>
      <c r="AN75" s="7"/>
      <c r="AO75" s="31" t="str">
        <f>IF(AN75/(INDEX('Standards for Conversions'!$H$34:$H$73,MATCH(AM$3,'Standards for Conversions'!$A$34:$A$73,0)))=0,"",AN75/(INDEX('Standards for Conversions'!$H$34:$H$73,MATCH(AM$3,'Standards for Conversions'!$A$34:$A$73,0))))</f>
        <v/>
      </c>
      <c r="AP75" s="10" t="s">
        <v>40</v>
      </c>
      <c r="AQ75" s="9"/>
      <c r="AR75" s="9"/>
      <c r="AS75" s="31" t="str">
        <f>IF(AR75/(INDEX('Standards for Conversions'!$H$34:$H$73,MATCH(AQ$3,'Standards for Conversions'!$A$34:$A$73,0)))=0,"",AR75/(INDEX('Standards for Conversions'!$H$34:$H$73,MATCH(AQ$3,'Standards for Conversions'!$A$34:$A$73,0))))</f>
        <v/>
      </c>
      <c r="AT75" s="10" t="s">
        <v>40</v>
      </c>
      <c r="AU75" s="7"/>
      <c r="AV75" s="7"/>
      <c r="AW75" s="31" t="str">
        <f>IF(AV75/(INDEX('Standards for Conversions'!$H$34:$H$73,MATCH(AU$3,'Standards for Conversions'!$A$34:$A$73,0)))=0,"",AV75/(INDEX('Standards for Conversions'!$H$34:$H$73,MATCH(AU$3,'Standards for Conversions'!$A$34:$A$73,0))))</f>
        <v/>
      </c>
      <c r="AX75" s="10" t="s">
        <v>40</v>
      </c>
      <c r="AY75" s="7"/>
      <c r="AZ75" s="7"/>
      <c r="BA75" s="31" t="str">
        <f>IF(AZ75/(INDEX('Standards for Conversions'!$H$34:$H$73,MATCH(AY$3,'Standards for Conversions'!$A$34:$A$73,0)))=0,"",AZ75/(INDEX('Standards for Conversions'!$H$34:$H$73,MATCH(AY$3,'Standards for Conversions'!$A$34:$A$73,0))))</f>
        <v/>
      </c>
      <c r="BB75" s="10" t="s">
        <v>40</v>
      </c>
      <c r="BC75" s="7"/>
      <c r="BD75" s="7"/>
      <c r="BE75" s="31" t="str">
        <f>IF(BD75/(INDEX('Standards for Conversions'!$H$34:$H$73,MATCH(BC$3,'Standards for Conversions'!$A$34:$A$73,0)))=0,"",BD75/(INDEX('Standards for Conversions'!$H$34:$H$73,MATCH(BC$3,'Standards for Conversions'!$A$34:$A$73,0))))</f>
        <v/>
      </c>
      <c r="BF75" s="10" t="s">
        <v>40</v>
      </c>
      <c r="BG75" s="9"/>
      <c r="BH75" s="9"/>
      <c r="BI75" s="31" t="str">
        <f>IF(BH75/(INDEX('Standards for Conversions'!$H$34:$H$73,MATCH(BG$3,'Standards for Conversions'!$A$34:$A$73,0)))=0,"",BH75/(INDEX('Standards for Conversions'!$H$34:$H$73,MATCH(BG$3,'Standards for Conversions'!$A$34:$A$73,0))))</f>
        <v/>
      </c>
      <c r="BJ75" s="10" t="s">
        <v>40</v>
      </c>
      <c r="BK75" s="7"/>
      <c r="BL75" s="7"/>
      <c r="BM75" s="31" t="str">
        <f>IF(BL75/(INDEX('Standards for Conversions'!$H$34:$H$73,MATCH(BK$3,'Standards for Conversions'!$A$34:$A$73,0)))=0,"",BL75/(INDEX('Standards for Conversions'!$H$34:$H$73,MATCH(BK$3,'Standards for Conversions'!$A$34:$A$73,0))))</f>
        <v/>
      </c>
      <c r="BN75" s="10" t="s">
        <v>40</v>
      </c>
      <c r="BO75" s="7"/>
      <c r="BP75" s="7"/>
      <c r="BQ75" s="31" t="str">
        <f>IF(BP75/(INDEX('Standards for Conversions'!$H$34:$H$73,MATCH(BO$3,'Standards for Conversions'!$A$34:$A$73,0)))=0,"",BP75/(INDEX('Standards for Conversions'!$H$34:$H$73,MATCH(BO$3,'Standards for Conversions'!$A$34:$A$73,0))))</f>
        <v/>
      </c>
      <c r="BR75" s="10" t="s">
        <v>40</v>
      </c>
      <c r="BS75" s="7"/>
      <c r="BT75" s="7"/>
      <c r="BU75" s="31" t="str">
        <f>IF(BT75/(INDEX('Standards for Conversions'!$H$34:$H$73,MATCH(BS$3,'Standards for Conversions'!$A$34:$A$73,0)))=0,"",BT75/(INDEX('Standards for Conversions'!$H$34:$H$73,MATCH(BS$3,'Standards for Conversions'!$A$34:$A$73,0))))</f>
        <v/>
      </c>
      <c r="BV75" s="10" t="s">
        <v>40</v>
      </c>
      <c r="BW75" s="9"/>
      <c r="BX75" s="9"/>
      <c r="BY75" s="31" t="str">
        <f>IF(BX75/(INDEX('Standards for Conversions'!$H$34:$H$73,MATCH(BW$3,'Standards for Conversions'!$A$34:$A$73,0)))=0,"",BX75/(INDEX('Standards for Conversions'!$H$34:$H$73,MATCH(BW$3,'Standards for Conversions'!$A$34:$A$73,0))))</f>
        <v/>
      </c>
      <c r="BZ75" s="10" t="s">
        <v>40</v>
      </c>
      <c r="CA75" s="7"/>
      <c r="CB75" s="7"/>
      <c r="CC75" s="31" t="str">
        <f>IF(CB75/(INDEX('Standards for Conversions'!$H$34:$H$73,MATCH(CA$3,'Standards for Conversions'!$A$34:$A$73,0)))=0,"",CB75/(INDEX('Standards for Conversions'!$H$34:$H$73,MATCH(CA$3,'Standards for Conversions'!$A$34:$A$73,0))))</f>
        <v/>
      </c>
      <c r="CD75" s="10" t="s">
        <v>40</v>
      </c>
      <c r="CE75" s="7"/>
      <c r="CF75" s="7"/>
      <c r="CG75" s="31" t="str">
        <f>IF(CF75/(INDEX('Standards for Conversions'!$H$34:$H$73,MATCH(CE$3,'Standards for Conversions'!$A$34:$A$73,0)))=0,"",CF75/(INDEX('Standards for Conversions'!$H$34:$H$73,MATCH(CE$3,'Standards for Conversions'!$A$34:$A$73,0))))</f>
        <v/>
      </c>
      <c r="CH75" s="10" t="s">
        <v>40</v>
      </c>
      <c r="CI75" s="7"/>
      <c r="CJ75" s="7"/>
      <c r="CK75" s="31" t="str">
        <f>IF(CJ75/(INDEX('Standards for Conversions'!$H$34:$H$73,MATCH(CI$3,'Standards for Conversions'!$A$34:$A$73,0)))=0,"",CJ75/(INDEX('Standards for Conversions'!$H$34:$H$73,MATCH(CI$3,'Standards for Conversions'!$A$34:$A$73,0))))</f>
        <v/>
      </c>
      <c r="CL75" s="10" t="s">
        <v>40</v>
      </c>
      <c r="CM75" s="9"/>
      <c r="CN75" s="9"/>
      <c r="CO75" s="31" t="str">
        <f>IF(CN75/(INDEX('Standards for Conversions'!$H$34:$H$73,MATCH(CM$3,'Standards for Conversions'!$A$34:$A$73,0)))=0,"",CN75/(INDEX('Standards for Conversions'!$H$34:$H$73,MATCH(CM$3,'Standards for Conversions'!$A$34:$A$73,0))))</f>
        <v/>
      </c>
      <c r="CP75" s="10" t="s">
        <v>40</v>
      </c>
      <c r="CQ75" s="7"/>
      <c r="CR75" s="7"/>
      <c r="CS75" s="31" t="str">
        <f>IF(CR75/(INDEX('Standards for Conversions'!$H$34:$H$73,MATCH(CQ$3,'Standards for Conversions'!$A$34:$A$73,0)))=0,"",CR75/(INDEX('Standards for Conversions'!$H$34:$H$73,MATCH(CQ$3,'Standards for Conversions'!$A$34:$A$73,0))))</f>
        <v/>
      </c>
      <c r="CT75" s="10" t="s">
        <v>40</v>
      </c>
      <c r="CU75" s="7"/>
      <c r="CV75" s="7"/>
      <c r="CW75" s="31" t="str">
        <f>IF(CV75/(INDEX('Standards for Conversions'!$H$34:$H$73,MATCH(CU$3,'Standards for Conversions'!$A$34:$A$73,0)))=0,"",CV75/(INDEX('Standards for Conversions'!$H$34:$H$73,MATCH(CU$3,'Standards for Conversions'!$A$34:$A$73,0))))</f>
        <v/>
      </c>
      <c r="CX75" s="10" t="s">
        <v>40</v>
      </c>
      <c r="CY75" s="7"/>
      <c r="CZ75" s="7"/>
      <c r="DA75" s="31" t="str">
        <f>IF(CZ75/(INDEX('Standards for Conversions'!$H$34:$H$73,MATCH(CY$3,'Standards for Conversions'!$A$34:$A$73,0)))=0,"",CZ75/(INDEX('Standards for Conversions'!$H$34:$H$73,MATCH(CY$3,'Standards for Conversions'!$A$34:$A$73,0))))</f>
        <v/>
      </c>
      <c r="DB75" s="10" t="s">
        <v>40</v>
      </c>
      <c r="DC75" s="9"/>
      <c r="DD75" s="9"/>
      <c r="DE75" s="31" t="str">
        <f>IF(DD75/(INDEX('Standards for Conversions'!$H$34:$H$73,MATCH(DC$3,'Standards for Conversions'!$A$34:$A$73,0)))=0,"",DD75/(INDEX('Standards for Conversions'!$H$34:$H$73,MATCH(DC$3,'Standards for Conversions'!$A$34:$A$73,0))))</f>
        <v/>
      </c>
      <c r="DF75" s="10" t="s">
        <v>40</v>
      </c>
      <c r="DG75" s="7"/>
      <c r="DH75" s="7"/>
      <c r="DI75" s="31" t="str">
        <f>IF(DH75/(INDEX('Standards for Conversions'!$H$34:$H$73,MATCH(DG$3,'Standards for Conversions'!$A$34:$A$73,0)))=0,"",DH75/(INDEX('Standards for Conversions'!$H$34:$H$73,MATCH(DG$3,'Standards for Conversions'!$A$34:$A$73,0))))</f>
        <v/>
      </c>
      <c r="DJ75" s="10" t="s">
        <v>40</v>
      </c>
      <c r="DK75" s="7"/>
      <c r="DL75" s="7"/>
      <c r="DM75" s="31" t="str">
        <f>IF(DL75/(INDEX('Standards for Conversions'!$H$34:$H$73,MATCH(DK$3,'Standards for Conversions'!$A$34:$A$73,0)))=0,"",DL75/(INDEX('Standards for Conversions'!$H$34:$H$73,MATCH(DK$3,'Standards for Conversions'!$A$34:$A$73,0))))</f>
        <v/>
      </c>
      <c r="DN75" s="10" t="s">
        <v>40</v>
      </c>
      <c r="DO75" s="7"/>
      <c r="DP75" s="7"/>
      <c r="DQ75" s="31" t="str">
        <f>IF(DP75/(INDEX('Standards for Conversions'!$H$34:$H$73,MATCH(DO$3,'Standards for Conversions'!$A$34:$A$73,0)))=0,"",DP75/(INDEX('Standards for Conversions'!$H$34:$H$73,MATCH(DO$3,'Standards for Conversions'!$A$34:$A$73,0))))</f>
        <v/>
      </c>
      <c r="DR75" s="10" t="s">
        <v>40</v>
      </c>
      <c r="DS75" s="9"/>
      <c r="DT75" s="9"/>
      <c r="DU75" s="31" t="str">
        <f>IF(DT75/(INDEX('Standards for Conversions'!$H$34:$H$73,MATCH(DS$3,'Standards for Conversions'!$A$34:$A$73,0)))=0,"",DT75/(INDEX('Standards for Conversions'!$H$34:$H$73,MATCH(DS$3,'Standards for Conversions'!$A$34:$A$73,0))))</f>
        <v/>
      </c>
      <c r="DV75" s="10" t="s">
        <v>40</v>
      </c>
      <c r="DW75" s="7"/>
      <c r="DX75" s="7"/>
      <c r="DY75" s="31" t="str">
        <f>IF(DX75/(INDEX('Standards for Conversions'!$H$34:$H$73,MATCH(DW$3,'Standards for Conversions'!$A$34:$A$73,0)))=0,"",DX75/(INDEX('Standards for Conversions'!$H$34:$H$73,MATCH(DW$3,'Standards for Conversions'!$A$34:$A$73,0))))</f>
        <v/>
      </c>
      <c r="DZ75" s="10" t="s">
        <v>40</v>
      </c>
      <c r="EA75" s="7"/>
      <c r="EB75" s="7"/>
      <c r="EC75" s="31" t="str">
        <f>IF(EB75/(INDEX('Standards for Conversions'!$H$34:$H$73,MATCH(EA$3,'Standards for Conversions'!$A$34:$A$73,0)))=0,"",EB75/(INDEX('Standards for Conversions'!$H$34:$H$73,MATCH(EA$3,'Standards for Conversions'!$A$34:$A$73,0))))</f>
        <v/>
      </c>
      <c r="ED75" s="10" t="s">
        <v>40</v>
      </c>
      <c r="EE75" s="7"/>
      <c r="EF75" s="7"/>
      <c r="EG75" s="31" t="str">
        <f>IF(EF75/(INDEX('Standards for Conversions'!$H$34:$H$73,MATCH(EE$3,'Standards for Conversions'!$A$34:$A$73,0)))=0,"",EF75/(INDEX('Standards for Conversions'!$H$34:$H$73,MATCH(EE$3,'Standards for Conversions'!$A$34:$A$73,0))))</f>
        <v/>
      </c>
      <c r="EH75" s="10" t="s">
        <v>40</v>
      </c>
      <c r="EI75" s="9"/>
      <c r="EJ75" s="9"/>
      <c r="EK75" s="31" t="str">
        <f>IF(EJ75/(INDEX('Standards for Conversions'!$H$34:$H$73,MATCH(EI$3,'Standards for Conversions'!$A$34:$A$73,0)))=0,"",EJ75/(INDEX('Standards for Conversions'!$H$34:$H$73,MATCH(EI$3,'Standards for Conversions'!$A$34:$A$73,0))))</f>
        <v/>
      </c>
      <c r="EL75" s="10" t="s">
        <v>40</v>
      </c>
      <c r="EM75" s="7"/>
      <c r="EN75" s="7"/>
      <c r="EO75" s="31" t="str">
        <f>IF(EN75/(INDEX('Standards for Conversions'!$H$34:$H$73,MATCH(EM$3,'Standards for Conversions'!$A$34:$A$73,0)))=0,"",EN75/(INDEX('Standards for Conversions'!$H$34:$H$73,MATCH(EM$3,'Standards for Conversions'!$A$34:$A$73,0))))</f>
        <v/>
      </c>
      <c r="EP75" s="10" t="s">
        <v>40</v>
      </c>
      <c r="EQ75" s="7"/>
      <c r="ER75" s="7"/>
      <c r="ES75" s="31" t="str">
        <f>IF(ER75/(INDEX('Standards for Conversions'!$H$34:$H$73,MATCH(EQ$3,'Standards for Conversions'!$A$34:$A$73,0)))=0,"",ER75/(INDEX('Standards for Conversions'!$H$34:$H$73,MATCH(EQ$3,'Standards for Conversions'!$A$34:$A$73,0))))</f>
        <v/>
      </c>
      <c r="ET75" s="10" t="s">
        <v>40</v>
      </c>
      <c r="EU75" s="7"/>
      <c r="EV75" s="7"/>
      <c r="EW75" s="31" t="str">
        <f>IF(EV75/(INDEX('Standards for Conversions'!$H$34:$H$73,MATCH(EU$3,'Standards for Conversions'!$A$34:$A$73,0)))=0,"",EV75/(INDEX('Standards for Conversions'!$H$34:$H$73,MATCH(EU$3,'Standards for Conversions'!$A$34:$A$73,0))))</f>
        <v/>
      </c>
      <c r="EX75" s="10" t="s">
        <v>40</v>
      </c>
      <c r="EY75" s="9"/>
      <c r="EZ75" s="9"/>
      <c r="FA75" s="31" t="str">
        <f>IF(EZ75/(INDEX('Standards for Conversions'!$H$34:$H$73,MATCH(EY$3,'Standards for Conversions'!$A$34:$A$73,0)))=0,"",EZ75/(INDEX('Standards for Conversions'!$H$34:$H$73,MATCH(EY$3,'Standards for Conversions'!$A$34:$A$73,0))))</f>
        <v/>
      </c>
      <c r="FB75" s="10" t="s">
        <v>40</v>
      </c>
      <c r="FC75" s="7"/>
      <c r="FD75" s="7"/>
      <c r="FE75" s="31" t="str">
        <f>IF(FD75/(INDEX('Standards for Conversions'!$H$34:$H$73,MATCH(FC$3,'Standards for Conversions'!$A$34:$A$73,0)))=0,"",FD75/(INDEX('Standards for Conversions'!$H$34:$H$73,MATCH(FC$3,'Standards for Conversions'!$A$34:$A$73,0))))</f>
        <v/>
      </c>
      <c r="FF75" s="10" t="s">
        <v>40</v>
      </c>
      <c r="FG75" s="7"/>
      <c r="FH75" s="7"/>
      <c r="FI75" s="31" t="str">
        <f>IF(FH75/(INDEX('Standards for Conversions'!$H$34:$H$73,MATCH(FG$3,'Standards for Conversions'!$A$34:$A$73,0)))=0,"",FH75/(INDEX('Standards for Conversions'!$H$34:$H$73,MATCH(FG$3,'Standards for Conversions'!$A$34:$A$73,0))))</f>
        <v/>
      </c>
      <c r="FJ75" s="10" t="s">
        <v>40</v>
      </c>
      <c r="FK75" s="7"/>
      <c r="FL75" s="7"/>
      <c r="FM75" s="31" t="str">
        <f>IF(FL75/(INDEX('Standards for Conversions'!$H$34:$H$73,MATCH(FK$3,'Standards for Conversions'!$A$34:$A$73,0)))=0,"",FL75/(INDEX('Standards for Conversions'!$H$34:$H$73,MATCH(FK$3,'Standards for Conversions'!$A$34:$A$73,0))))</f>
        <v/>
      </c>
      <c r="FN75" s="10" t="s">
        <v>40</v>
      </c>
      <c r="FO75" s="9"/>
      <c r="FP75" s="9"/>
      <c r="FQ75" s="31" t="str">
        <f>IF(FP75/(INDEX('Standards for Conversions'!$H$34:$H$73,MATCH(FO$3,'Standards for Conversions'!$A$34:$A$73,0)))=0,"",FP75/(INDEX('Standards for Conversions'!$H$34:$H$73,MATCH(FO$3,'Standards for Conversions'!$A$34:$A$73,0))))</f>
        <v/>
      </c>
      <c r="FR75" s="10" t="s">
        <v>40</v>
      </c>
      <c r="FS75" s="7"/>
      <c r="FT75" s="7"/>
      <c r="FU75" s="31" t="str">
        <f>IF(FT75/(INDEX('Standards for Conversions'!$H$34:$H$73,MATCH(FS$3,'Standards for Conversions'!$A$34:$A$73,0)))=0,"",FT75/(INDEX('Standards for Conversions'!$H$34:$H$73,MATCH(FS$3,'Standards for Conversions'!$A$34:$A$73,0))))</f>
        <v/>
      </c>
      <c r="FV75" s="10" t="s">
        <v>40</v>
      </c>
      <c r="FW75" s="7"/>
      <c r="FX75" s="7"/>
      <c r="FY75" s="31" t="str">
        <f>IF(FX75/(INDEX('Standards for Conversions'!$H$34:$H$73,MATCH(FW$3,'Standards for Conversions'!$A$34:$A$73,0)))=0,"",FX75/(INDEX('Standards for Conversions'!$H$34:$H$73,MATCH(FW$3,'Standards for Conversions'!$A$34:$A$73,0))))</f>
        <v/>
      </c>
      <c r="FZ75" s="10" t="s">
        <v>40</v>
      </c>
      <c r="GA75" s="7"/>
      <c r="GB75" s="7"/>
      <c r="GC75" s="31" t="str">
        <f>IF(GB75/(INDEX('Standards for Conversions'!$H$34:$H$73,MATCH(GA$3,'Standards for Conversions'!$A$34:$A$73,0)))=0,"",GB75/(INDEX('Standards for Conversions'!$H$34:$H$73,MATCH(GA$3,'Standards for Conversions'!$A$34:$A$73,0))))</f>
        <v/>
      </c>
      <c r="GD75" s="10" t="s">
        <v>40</v>
      </c>
      <c r="GE75" s="9"/>
      <c r="GF75" s="9"/>
      <c r="GG75" s="31" t="str">
        <f>IF(GF75/(INDEX('Standards for Conversions'!$H$34:$H$73,MATCH(GE$3,'Standards for Conversions'!$A$34:$A$73,0)))=0,"",GF75/(INDEX('Standards for Conversions'!$H$34:$H$73,MATCH(GE$3,'Standards for Conversions'!$A$34:$A$73,0))))</f>
        <v/>
      </c>
      <c r="GH75" s="10" t="s">
        <v>40</v>
      </c>
      <c r="GI75" s="7"/>
      <c r="GJ75" s="7"/>
      <c r="GK75" s="31" t="str">
        <f>IF(GJ75/(INDEX('Standards for Conversions'!$H$34:$H$73,MATCH(GI$3,'Standards for Conversions'!$A$34:$A$73,0)))=0,"",GJ75/(INDEX('Standards for Conversions'!$H$34:$H$73,MATCH(GI$3,'Standards for Conversions'!$A$34:$A$73,0))))</f>
        <v/>
      </c>
      <c r="GL75" s="10" t="s">
        <v>40</v>
      </c>
      <c r="GM75" s="7"/>
      <c r="GN75" s="7"/>
      <c r="GO75" s="31" t="str">
        <f>IF(GN75/(INDEX('Standards for Conversions'!$H$34:$H$73,MATCH(GM$3,'Standards for Conversions'!$A$34:$A$73,0)))=0,"",GN75/(INDEX('Standards for Conversions'!$H$34:$H$73,MATCH(GM$3,'Standards for Conversions'!$A$34:$A$73,0))))</f>
        <v/>
      </c>
      <c r="GP75" s="10" t="s">
        <v>40</v>
      </c>
      <c r="GQ75" s="7"/>
      <c r="GR75" s="7"/>
      <c r="GS75" s="31" t="str">
        <f>IF(GR75/(INDEX('Standards for Conversions'!$H$34:$H$73,MATCH(GQ$3,'Standards for Conversions'!$A$34:$A$73,0)))=0,"",GR75/(INDEX('Standards for Conversions'!$H$34:$H$73,MATCH(GQ$3,'Standards for Conversions'!$A$34:$A$73,0))))</f>
        <v/>
      </c>
      <c r="GT75" s="10" t="s">
        <v>40</v>
      </c>
      <c r="GU75" s="9"/>
      <c r="GV75" s="9"/>
      <c r="GW75" s="31" t="str">
        <f>IF(GV75/(INDEX('Standards for Conversions'!$H$34:$H$73,MATCH(GU$3,'Standards for Conversions'!$A$34:$A$73,0)))=0,"",GV75/(INDEX('Standards for Conversions'!$H$34:$H$73,MATCH(GU$3,'Standards for Conversions'!$A$34:$A$73,0))))</f>
        <v/>
      </c>
      <c r="GX75" s="10" t="s">
        <v>40</v>
      </c>
      <c r="GY75" s="7"/>
      <c r="GZ75" s="7"/>
      <c r="HA75" s="31" t="str">
        <f>IF(GZ75/(INDEX('Standards for Conversions'!$H$34:$H$73,MATCH(GY$3,'Standards for Conversions'!$A$34:$A$73,0)))=0,"",GZ75/(INDEX('Standards for Conversions'!$H$34:$H$73,MATCH(GY$3,'Standards for Conversions'!$A$34:$A$73,0))))</f>
        <v/>
      </c>
      <c r="HB75" s="10" t="s">
        <v>40</v>
      </c>
      <c r="HC75" s="7"/>
      <c r="HD75" s="7"/>
      <c r="HE75" s="31" t="str">
        <f>IF(HD75/(INDEX('Standards for Conversions'!$H$34:$H$73,MATCH(HC$3,'Standards for Conversions'!$A$34:$A$73,0)))=0,"",HD75/(INDEX('Standards for Conversions'!$H$34:$H$73,MATCH(HC$3,'Standards for Conversions'!$A$34:$A$73,0))))</f>
        <v/>
      </c>
      <c r="HF75" s="10" t="s">
        <v>40</v>
      </c>
      <c r="HG75" s="7"/>
      <c r="HH75" s="7"/>
      <c r="HI75" s="31" t="str">
        <f>IF(HH75/(INDEX('Standards for Conversions'!$H$34:$H$73,MATCH(HG$3,'Standards for Conversions'!$A$34:$A$73,0)))=0,"",HH75/(INDEX('Standards for Conversions'!$H$34:$H$73,MATCH(HG$3,'Standards for Conversions'!$A$34:$A$73,0))))</f>
        <v/>
      </c>
      <c r="HJ75" s="10" t="s">
        <v>40</v>
      </c>
      <c r="HK75" s="9"/>
      <c r="HL75" s="9"/>
      <c r="HM75" s="31" t="str">
        <f>IF(HL75/(INDEX('Standards for Conversions'!$H$34:$H$73,MATCH(HK$3,'Standards for Conversions'!$A$34:$A$73,0)))=0,"",HL75/(INDEX('Standards for Conversions'!$H$34:$H$73,MATCH(HK$3,'Standards for Conversions'!$A$34:$A$73,0))))</f>
        <v/>
      </c>
      <c r="HN75" s="10" t="s">
        <v>40</v>
      </c>
      <c r="HO75" s="7"/>
      <c r="HP75" s="7"/>
      <c r="HQ75" s="31" t="str">
        <f>IF(HP75/(INDEX('Standards for Conversions'!$H$34:$H$73,MATCH(HO$3,'Standards for Conversions'!$A$34:$A$73,0)))=0,"",HP75/(INDEX('Standards for Conversions'!$H$34:$H$73,MATCH(HO$3,'Standards for Conversions'!$A$34:$A$73,0))))</f>
        <v/>
      </c>
      <c r="HR75" s="33" t="s">
        <v>40</v>
      </c>
      <c r="HU75" s="31" t="str">
        <f>IF(HT75/(INDEX('Standards for Conversions'!$H$47:$H$73,MATCH(HS$3,'Standards for Conversions'!$A$47:$A$73,0)))=0,"",HT75/(INDEX('Standards for Conversions'!$H$47:$H$73,MATCH(HS$3,'Standards for Conversions'!$A$47:$A$73,0))))</f>
        <v/>
      </c>
      <c r="HV75" s="33" t="s">
        <v>40</v>
      </c>
      <c r="HY75" s="31" t="str">
        <f>IF(HX75/(INDEX('Standards for Conversions'!$H$47:$H$73,MATCH(HW$3,'Standards for Conversions'!$A$47:$A$73,0)))=0,"",HX75/(INDEX('Standards for Conversions'!$H$47:$H$73,MATCH(HW$3,'Standards for Conversions'!$A$47:$A$73,0))))</f>
        <v/>
      </c>
      <c r="HZ75" s="33"/>
      <c r="IA75" s="33"/>
      <c r="IB75" s="31" t="str">
        <f>IF(IA75/(INDEX('Standards for Conversions'!$H$47:$H$73,MATCH(HZ$3,'Standards for Conversions'!$A$47:$A$73,0)))=0,"",IA75/(INDEX('Standards for Conversions'!$H$47:$H$73,MATCH(HZ$3,'Standards for Conversions'!$A$47:$A$73,0))))</f>
        <v/>
      </c>
      <c r="IC75" s="33" t="s">
        <v>40</v>
      </c>
      <c r="IF75" s="31" t="str">
        <f>IF(IE75/(INDEX('Standards for Conversions'!$H$47:$H$73,MATCH(ID$3,'Standards for Conversions'!$A$47:$A$73,0)))=0,"",IE75/(INDEX('Standards for Conversions'!$H$47:$H$73,MATCH(ID$3,'Standards for Conversions'!$A$47:$A$73,0))))</f>
        <v/>
      </c>
      <c r="IG75" s="33" t="s">
        <v>40</v>
      </c>
      <c r="IJ75" s="31" t="str">
        <f>IF(II75/(INDEX('Standards for Conversions'!$H$47:$H$73,MATCH(IH$3,'Standards for Conversions'!$A$47:$A$73,0)))=0,"",II75/(INDEX('Standards for Conversions'!$H$47:$H$73,MATCH(IH$3,'Standards for Conversions'!$A$47:$A$73,0))))</f>
        <v/>
      </c>
      <c r="IK75" s="33" t="s">
        <v>40</v>
      </c>
      <c r="IN75" s="31" t="str">
        <f>IF(IM75/(INDEX('Standards for Conversions'!$H$47:$H$73,MATCH(IL$3,'Standards for Conversions'!$A$47:$A$73,0)))=0,"",IM75/(INDEX('Standards for Conversions'!$H$47:$H$73,MATCH(IL$3,'Standards for Conversions'!$A$47:$A$73,0))))</f>
        <v/>
      </c>
      <c r="IO75" s="33" t="s">
        <v>40</v>
      </c>
      <c r="IR75" s="31" t="str">
        <f>IF(IQ75/(INDEX('Standards for Conversions'!$H$47:$H$73,MATCH(IP$3,'Standards for Conversions'!$A$47:$A$73,0)))=0,"",IQ75/(INDEX('Standards for Conversions'!$H$47:$H$73,MATCH(IP$3,'Standards for Conversions'!$A$47:$A$73,0))))</f>
        <v/>
      </c>
      <c r="IS75" s="33" t="s">
        <v>40</v>
      </c>
      <c r="IT75" s="29">
        <v>33</v>
      </c>
      <c r="IU75" s="29">
        <v>603</v>
      </c>
      <c r="IV75" s="31">
        <f>IF(IU75/(INDEX('Standards for Conversions'!$H$47:$H$73,MATCH(IT$3,'Standards for Conversions'!$A$47:$A$73,0)))=0,"",IU75/(INDEX('Standards for Conversions'!$H$47:$H$73,MATCH(IT$3,'Standards for Conversions'!$A$47:$A$73,0))))</f>
        <v>87.199967601242719</v>
      </c>
      <c r="IW75" s="33" t="s">
        <v>40</v>
      </c>
      <c r="IZ75" s="31" t="str">
        <f>IF(IY75/(INDEX('Standards for Conversions'!$H$47:$H$73,MATCH(IX$3,'Standards for Conversions'!$A$47:$A$73,0)))=0,"",IY75/(INDEX('Standards for Conversions'!$H$47:$H$73,MATCH(IX$3,'Standards for Conversions'!$A$47:$A$73,0))))</f>
        <v/>
      </c>
      <c r="JA75" s="33" t="s">
        <v>40</v>
      </c>
      <c r="JD75" s="31" t="str">
        <f>IF(JC75/(INDEX('Standards for Conversions'!$H$47:$H$73,MATCH(JB$3,'Standards for Conversions'!$A$47:$A$73,0)))=0,"",JC75/(INDEX('Standards for Conversions'!$H$47:$H$73,MATCH(JB$3,'Standards for Conversions'!$A$47:$A$73,0))))</f>
        <v/>
      </c>
      <c r="JE75" s="33" t="s">
        <v>40</v>
      </c>
      <c r="JH75" s="31" t="str">
        <f>IF(JG75/(INDEX('Standards for Conversions'!$H$47:$H$73,MATCH(JF$3,'Standards for Conversions'!$A$47:$A$73,0)))=0,"",JG75/(INDEX('Standards for Conversions'!$H$47:$H$73,MATCH(JF$3,'Standards for Conversions'!$A$47:$A$73,0))))</f>
        <v/>
      </c>
      <c r="JI75" s="48" t="s">
        <v>40</v>
      </c>
      <c r="JJ75" s="29">
        <v>35</v>
      </c>
      <c r="JK75" s="29">
        <v>700</v>
      </c>
      <c r="JL75" s="31">
        <f>IF(JK75/(INDEX('Standards for Conversions'!$H$47:$H$73,MATCH(JJ$3,'Standards for Conversions'!$A$47:$A$73,0)))=0,"",JK75/(INDEX('Standards for Conversions'!$H$47:$H$73,MATCH(JJ$3,'Standards for Conversions'!$A$47:$A$73,0))))</f>
        <v>113.23213768430809</v>
      </c>
      <c r="JM75" s="33" t="s">
        <v>40</v>
      </c>
      <c r="JP75" s="31" t="str">
        <f>IF(JO75/(INDEX('Standards for Conversions'!$H$47:$H$73,MATCH(JN$3,'Standards for Conversions'!$A$47:$A$73,0)))=0,"",JO75/(INDEX('Standards for Conversions'!$H$47:$H$73,MATCH(JN$3,'Standards for Conversions'!$A$47:$A$73,0))))</f>
        <v/>
      </c>
      <c r="JQ75" s="33" t="s">
        <v>40</v>
      </c>
      <c r="JT75" s="31" t="str">
        <f>IF(JS75/(INDEX('Standards for Conversions'!$H$47:$H$73,MATCH(JR$3,'Standards for Conversions'!$A$47:$A$73,0)))=0,"",JS75/(INDEX('Standards for Conversions'!$H$47:$H$73,MATCH(JR$3,'Standards for Conversions'!$A$47:$A$73,0))))</f>
        <v/>
      </c>
      <c r="JU75" s="33" t="s">
        <v>40</v>
      </c>
      <c r="JX75" s="31" t="str">
        <f>IF(JW75/(INDEX('Standards for Conversions'!$H$47:$H$73,MATCH(JV$3,'Standards for Conversions'!$A$47:$A$73,0)))=0,"",JW75/(INDEX('Standards for Conversions'!$H$47:$H$73,MATCH(JV$3,'Standards for Conversions'!$A$47:$A$73,0))))</f>
        <v/>
      </c>
      <c r="JY75" s="33" t="s">
        <v>40</v>
      </c>
      <c r="JZ75" s="29">
        <v>30</v>
      </c>
      <c r="KA75" s="29">
        <v>700</v>
      </c>
      <c r="KB75" s="31">
        <f>IF(KA75/(INDEX('Standards for Conversions'!$H$47:$H$73,MATCH(JZ$3,'Standards for Conversions'!$A$47:$A$73,0)))=0,"",KA75/(INDEX('Standards for Conversions'!$H$47:$H$73,MATCH(JZ$3,'Standards for Conversions'!$A$47:$A$73,0))))</f>
        <v>106.85912469945829</v>
      </c>
      <c r="KC75" s="33" t="s">
        <v>40</v>
      </c>
      <c r="KF75" s="31" t="str">
        <f>IF(KE75/(INDEX('Standards for Conversions'!$H$47:$H$73,MATCH(KD$3,'Standards for Conversions'!$A$47:$A$73,0)))=0,"",KE75/(INDEX('Standards for Conversions'!$H$47:$H$73,MATCH(KD$3,'Standards for Conversions'!$A$47:$A$73,0))))</f>
        <v/>
      </c>
      <c r="KG75" s="33" t="s">
        <v>40</v>
      </c>
      <c r="KJ75" s="31" t="str">
        <f>IF(KI75/(INDEX('Standards for Conversions'!$H$47:$H$73,MATCH(KH$3,'Standards for Conversions'!$A$47:$A$73,0)))=0,"",KI75/(INDEX('Standards for Conversions'!$H$47:$H$73,MATCH(KH$3,'Standards for Conversions'!$A$47:$A$73,0))))</f>
        <v/>
      </c>
      <c r="KK75" s="33" t="s">
        <v>40</v>
      </c>
      <c r="KN75" s="31" t="str">
        <f>IF(KM75/(INDEX('Standards for Conversions'!$H$47:$H$73,MATCH(KL$3,'Standards for Conversions'!$A$47:$A$73,0)))=0,"",KM75/(INDEX('Standards for Conversions'!$H$47:$H$73,MATCH(KL$3,'Standards for Conversions'!$A$47:$A$73,0))))</f>
        <v/>
      </c>
      <c r="KO75" s="33" t="s">
        <v>40</v>
      </c>
      <c r="KP75" s="29">
        <v>80</v>
      </c>
      <c r="KQ75" s="29">
        <v>2000</v>
      </c>
      <c r="KR75" s="31">
        <f>IF(KQ75/(INDEX('Standards for Conversions'!$H$47:$H$73,MATCH(KP$3,'Standards for Conversions'!$A$47:$A$73,0)))=0,"",KQ75/(INDEX('Standards for Conversions'!$H$47:$H$73,MATCH(KP$3,'Standards for Conversions'!$A$47:$A$73,0))))</f>
        <v>269.31802381159292</v>
      </c>
      <c r="KS75" s="33" t="s">
        <v>40</v>
      </c>
      <c r="KV75" s="31" t="str">
        <f>IF(KU75/(INDEX('Standards for Conversions'!$H$47:$H$73,MATCH(KT$3,'Standards for Conversions'!$A$47:$A$73,0)))=0,"",KU75/(INDEX('Standards for Conversions'!$H$47:$H$73,MATCH(KT$3,'Standards for Conversions'!$A$47:$A$73,0))))</f>
        <v/>
      </c>
      <c r="KW75" s="33" t="s">
        <v>40</v>
      </c>
      <c r="KZ75" s="31" t="str">
        <f>IF(KY75/(INDEX('Standards for Conversions'!$H$47:$H$73,MATCH(KX$3,'Standards for Conversions'!$A$47:$A$73,0)))=0,"",KY75/(INDEX('Standards for Conversions'!$H$47:$H$73,MATCH(KX$3,'Standards for Conversions'!$A$47:$A$73,0))))</f>
        <v/>
      </c>
      <c r="LA75" s="33" t="s">
        <v>40</v>
      </c>
      <c r="LD75" s="31" t="str">
        <f>IF(LC75/(INDEX('Standards for Conversions'!$H$47:$H$73,MATCH(LB$3,'Standards for Conversions'!$A$47:$A$73,0)))=0,"",LC75/(INDEX('Standards for Conversions'!$H$47:$H$73,MATCH(LB$3,'Standards for Conversions'!$A$47:$A$73,0))))</f>
        <v/>
      </c>
      <c r="LE75" s="48" t="s">
        <v>40</v>
      </c>
      <c r="LF75" s="29">
        <v>73</v>
      </c>
      <c r="LG75" s="29">
        <v>1965</v>
      </c>
      <c r="LH75" s="31">
        <f>IF(LG75/(INDEX('Standards for Conversions'!$H$47:$H$73,MATCH(LF$3,'Standards for Conversions'!$A$47:$A$73,0)))=0,"",LG75/(INDEX('Standards for Conversions'!$H$47:$H$73,MATCH(LF$3,'Standards for Conversions'!$A$47:$A$73,0))))</f>
        <v>238.97655361953588</v>
      </c>
      <c r="LL75" s="31" t="str">
        <f>IF(LK75/(INDEX('Standards for Conversions'!$H$47:$H$73,MATCH(LJ$3,'Standards for Conversions'!$A$47:$A$73,0)))=0,"",LK75/(INDEX('Standards for Conversions'!$H$47:$H$73,MATCH(LJ$3,'Standards for Conversions'!$A$47:$A$73,0))))</f>
        <v/>
      </c>
      <c r="LO75" s="31" t="str">
        <f>IF(LN75/(INDEX('Standards for Conversions'!$H$47:$H$73,MATCH(LM$3,'Standards for Conversions'!$A$47:$A$73,0)))=0,"",LN75/(INDEX('Standards for Conversions'!$H$47:$H$73,MATCH(LM$3,'Standards for Conversions'!$A$47:$A$73,0))))</f>
        <v/>
      </c>
      <c r="LR75" s="31" t="str">
        <f>IF(LQ75/(INDEX('Standards for Conversions'!$H$47:$H$73,MATCH(LP$3,'Standards for Conversions'!$A$47:$A$73,0)))=0,"",LQ75/(INDEX('Standards for Conversions'!$H$47:$H$73,MATCH(LP$3,'Standards for Conversions'!$A$47:$A$73,0))))</f>
        <v/>
      </c>
      <c r="LV75" s="31" t="str">
        <f>IF(LU75/(INDEX('Standards for Conversions'!$H$47:$H$73,MATCH(LT$3,'Standards for Conversions'!$A$47:$A$73,0)))=0,"",LU75/(INDEX('Standards for Conversions'!$H$47:$H$73,MATCH(LT$3,'Standards for Conversions'!$A$47:$A$73,0))))</f>
        <v/>
      </c>
      <c r="LY75" s="31" t="str">
        <f>IF(LX75/(INDEX('Standards for Conversions'!$H$47:$H$73,MATCH(LW$3,'Standards for Conversions'!$A$47:$A$73,0)))=0,"",LX75/(INDEX('Standards for Conversions'!$H$47:$H$73,MATCH(LW$3,'Standards for Conversions'!$A$47:$A$73,0))))</f>
        <v/>
      </c>
      <c r="MB75" s="31" t="str">
        <f>IF(MA75/(INDEX('Standards for Conversions'!$H$47:$H$73,MATCH(LZ$3,'Standards for Conversions'!$A$47:$A$73,0)))=0,"",MA75/(INDEX('Standards for Conversions'!$H$47:$H$73,MATCH(LZ$3,'Standards for Conversions'!$A$47:$A$73,0))))</f>
        <v/>
      </c>
      <c r="ME75" s="31" t="str">
        <f>IF(MD75/(INDEX('Standards for Conversions'!$H$47:$H$73,MATCH(MC$3,'Standards for Conversions'!$A$47:$A$73,0)))=0,"",MD75/(INDEX('Standards for Conversions'!$H$47:$H$73,MATCH(MC$3,'Standards for Conversions'!$A$47:$A$73,0))))</f>
        <v/>
      </c>
      <c r="MH75" s="31" t="str">
        <f>IF(MG75/(INDEX('Standards for Conversions'!$H$47:$H$73,MATCH(MF$3,'Standards for Conversions'!$A$47:$A$73,0)))=0,"",MG75/(INDEX('Standards for Conversions'!$H$47:$H$73,MATCH(MF$3,'Standards for Conversions'!$A$47:$A$73,0))))</f>
        <v/>
      </c>
      <c r="MK75" s="31" t="str">
        <f>IF(MJ75/(INDEX('Standards for Conversions'!$H$47:$H$73,MATCH(MI$3,'Standards for Conversions'!$A$47:$A$73,0)))=0,"",MJ75/(INDEX('Standards for Conversions'!$H$47:$H$73,MATCH(MI$3,'Standards for Conversions'!$A$47:$A$73,0))))</f>
        <v/>
      </c>
      <c r="MN75" s="31" t="str">
        <f>IF(MM75/(INDEX('Standards for Conversions'!$H$47:$H$73,MATCH(ML$3,'Standards for Conversions'!$A$47:$A$73,0)))=0,"",MM75/(INDEX('Standards for Conversions'!$H$47:$H$73,MATCH(ML$3,'Standards for Conversions'!$A$47:$A$73,0))))</f>
        <v/>
      </c>
      <c r="MQ75" s="33"/>
      <c r="MR75" s="31" t="str">
        <f>IF(MQ75/(INDEX('Standards for Conversions'!$H$47:$H$73,MATCH(MP$3,'Standards for Conversions'!$A$47:$A$73,0)))=0,"",MQ75/(INDEX('Standards for Conversions'!$H$47:$H$73,MATCH(MP$3,'Standards for Conversions'!$A$47:$A$73,0))))</f>
        <v/>
      </c>
    </row>
    <row r="76" spans="1:369" hidden="1" x14ac:dyDescent="0.3">
      <c r="A76" s="103" t="s">
        <v>251</v>
      </c>
      <c r="B76" s="10" t="s">
        <v>40</v>
      </c>
      <c r="C76" s="7"/>
      <c r="D76" s="7"/>
      <c r="E76" s="31" t="str">
        <f>IF(D76/(INDEX('Standards for Conversions'!$H$34:$H$73,MATCH(C$3,'Standards for Conversions'!$A$34:$A$73,0)))=0,"",D76/(INDEX('Standards for Conversions'!$H$34:$H$73,MATCH(C$3,'Standards for Conversions'!$A$34:$A$73,0))))</f>
        <v/>
      </c>
      <c r="F76" s="10" t="s">
        <v>40</v>
      </c>
      <c r="G76" s="7"/>
      <c r="H76" s="7"/>
      <c r="I76" s="31" t="str">
        <f>IF(H76/(INDEX('Standards for Conversions'!$H$34:$H$73,MATCH(G$3,'Standards for Conversions'!$A$34:$A$73,0)))=0,"",H76/(INDEX('Standards for Conversions'!$H$34:$H$73,MATCH(G$3,'Standards for Conversions'!$A$34:$A$73,0))))</f>
        <v/>
      </c>
      <c r="J76" s="10" t="s">
        <v>40</v>
      </c>
      <c r="K76" s="9"/>
      <c r="L76" s="9"/>
      <c r="M76" s="31" t="str">
        <f>IF(L76/(INDEX('Standards for Conversions'!$H$34:$H$73,MATCH(K$3,'Standards for Conversions'!$A$34:$A$73,0)))=0,"",L76/(INDEX('Standards for Conversions'!$H$34:$H$73,MATCH(K$3,'Standards for Conversions'!$A$34:$A$73,0))))</f>
        <v/>
      </c>
      <c r="N76" s="10" t="s">
        <v>40</v>
      </c>
      <c r="O76" s="7"/>
      <c r="P76" s="7"/>
      <c r="Q76" s="31" t="str">
        <f>IF(P76/(INDEX('Standards for Conversions'!$H$34:$H$73,MATCH(O$3,'Standards for Conversions'!$A$34:$A$73,0)))=0,"",P76/(INDEX('Standards for Conversions'!$H$34:$H$73,MATCH(O$3,'Standards for Conversions'!$A$34:$A$73,0))))</f>
        <v/>
      </c>
      <c r="R76" s="10" t="s">
        <v>40</v>
      </c>
      <c r="S76" s="7"/>
      <c r="T76" s="7"/>
      <c r="U76" s="31" t="str">
        <f>IF(T76/(INDEX('Standards for Conversions'!$H$34:$H$73,MATCH(S$3,'Standards for Conversions'!$A$34:$A$73,0)))=0,"",T76/(INDEX('Standards for Conversions'!$H$34:$H$73,MATCH(S$3,'Standards for Conversions'!$A$34:$A$73,0))))</f>
        <v/>
      </c>
      <c r="V76" s="10" t="s">
        <v>40</v>
      </c>
      <c r="W76" s="7"/>
      <c r="X76" s="7"/>
      <c r="Y76" s="31" t="str">
        <f>IF(X76/(INDEX('Standards for Conversions'!$H$34:$H$73,MATCH(W$3,'Standards for Conversions'!$A$34:$A$73,0)))=0,"",X76/(INDEX('Standards for Conversions'!$H$34:$H$73,MATCH(W$3,'Standards for Conversions'!$A$34:$A$73,0))))</f>
        <v/>
      </c>
      <c r="Z76" s="10" t="s">
        <v>40</v>
      </c>
      <c r="AA76" s="9"/>
      <c r="AB76" s="9"/>
      <c r="AC76" s="31" t="str">
        <f>IF(AB76/(INDEX('Standards for Conversions'!$H$34:$H$73,MATCH(AA$3,'Standards for Conversions'!$A$34:$A$73,0)))=0,"",AB76/(INDEX('Standards for Conversions'!$H$34:$H$73,MATCH(AA$3,'Standards for Conversions'!$A$34:$A$73,0))))</f>
        <v/>
      </c>
      <c r="AD76" s="10" t="s">
        <v>40</v>
      </c>
      <c r="AE76" s="7"/>
      <c r="AF76" s="7"/>
      <c r="AG76" s="31" t="str">
        <f>IF(AF76/(INDEX('Standards for Conversions'!$H$34:$H$73,MATCH(AE$3,'Standards for Conversions'!$A$34:$A$73,0)))=0,"",AF76/(INDEX('Standards for Conversions'!$H$34:$H$73,MATCH(AE$3,'Standards for Conversions'!$A$34:$A$73,0))))</f>
        <v/>
      </c>
      <c r="AH76" s="10" t="s">
        <v>40</v>
      </c>
      <c r="AI76" s="7"/>
      <c r="AJ76" s="7"/>
      <c r="AK76" s="31" t="str">
        <f>IF(AJ76/(INDEX('Standards for Conversions'!$H$34:$H$73,MATCH(AI$3,'Standards for Conversions'!$A$34:$A$73,0)))=0,"",AJ76/(INDEX('Standards for Conversions'!$H$34:$H$73,MATCH(AI$3,'Standards for Conversions'!$A$34:$A$73,0))))</f>
        <v/>
      </c>
      <c r="AL76" s="10" t="s">
        <v>40</v>
      </c>
      <c r="AM76" s="7"/>
      <c r="AN76" s="7"/>
      <c r="AO76" s="31" t="str">
        <f>IF(AN76/(INDEX('Standards for Conversions'!$H$34:$H$73,MATCH(AM$3,'Standards for Conversions'!$A$34:$A$73,0)))=0,"",AN76/(INDEX('Standards for Conversions'!$H$34:$H$73,MATCH(AM$3,'Standards for Conversions'!$A$34:$A$73,0))))</f>
        <v/>
      </c>
      <c r="AP76" s="10" t="s">
        <v>40</v>
      </c>
      <c r="AQ76" s="9"/>
      <c r="AR76" s="9"/>
      <c r="AS76" s="31" t="str">
        <f>IF(AR76/(INDEX('Standards for Conversions'!$H$34:$H$73,MATCH(AQ$3,'Standards for Conversions'!$A$34:$A$73,0)))=0,"",AR76/(INDEX('Standards for Conversions'!$H$34:$H$73,MATCH(AQ$3,'Standards for Conversions'!$A$34:$A$73,0))))</f>
        <v/>
      </c>
      <c r="AT76" s="10" t="s">
        <v>40</v>
      </c>
      <c r="AU76" s="7"/>
      <c r="AV76" s="7"/>
      <c r="AW76" s="31" t="str">
        <f>IF(AV76/(INDEX('Standards for Conversions'!$H$34:$H$73,MATCH(AU$3,'Standards for Conversions'!$A$34:$A$73,0)))=0,"",AV76/(INDEX('Standards for Conversions'!$H$34:$H$73,MATCH(AU$3,'Standards for Conversions'!$A$34:$A$73,0))))</f>
        <v/>
      </c>
      <c r="AX76" s="10" t="s">
        <v>40</v>
      </c>
      <c r="AY76" s="7"/>
      <c r="AZ76" s="7"/>
      <c r="BA76" s="31" t="str">
        <f>IF(AZ76/(INDEX('Standards for Conversions'!$H$34:$H$73,MATCH(AY$3,'Standards for Conversions'!$A$34:$A$73,0)))=0,"",AZ76/(INDEX('Standards for Conversions'!$H$34:$H$73,MATCH(AY$3,'Standards for Conversions'!$A$34:$A$73,0))))</f>
        <v/>
      </c>
      <c r="BB76" s="10" t="s">
        <v>40</v>
      </c>
      <c r="BC76" s="7"/>
      <c r="BD76" s="7"/>
      <c r="BE76" s="31" t="str">
        <f>IF(BD76/(INDEX('Standards for Conversions'!$H$34:$H$73,MATCH(BC$3,'Standards for Conversions'!$A$34:$A$73,0)))=0,"",BD76/(INDEX('Standards for Conversions'!$H$34:$H$73,MATCH(BC$3,'Standards for Conversions'!$A$34:$A$73,0))))</f>
        <v/>
      </c>
      <c r="BF76" s="10" t="s">
        <v>40</v>
      </c>
      <c r="BG76" s="9"/>
      <c r="BH76" s="9"/>
      <c r="BI76" s="31" t="str">
        <f>IF(BH76/(INDEX('Standards for Conversions'!$H$34:$H$73,MATCH(BG$3,'Standards for Conversions'!$A$34:$A$73,0)))=0,"",BH76/(INDEX('Standards for Conversions'!$H$34:$H$73,MATCH(BG$3,'Standards for Conversions'!$A$34:$A$73,0))))</f>
        <v/>
      </c>
      <c r="BJ76" s="10" t="s">
        <v>40</v>
      </c>
      <c r="BK76" s="7"/>
      <c r="BL76" s="7"/>
      <c r="BM76" s="31" t="str">
        <f>IF(BL76/(INDEX('Standards for Conversions'!$H$34:$H$73,MATCH(BK$3,'Standards for Conversions'!$A$34:$A$73,0)))=0,"",BL76/(INDEX('Standards for Conversions'!$H$34:$H$73,MATCH(BK$3,'Standards for Conversions'!$A$34:$A$73,0))))</f>
        <v/>
      </c>
      <c r="BN76" s="10" t="s">
        <v>40</v>
      </c>
      <c r="BO76" s="7"/>
      <c r="BP76" s="7"/>
      <c r="BQ76" s="31" t="str">
        <f>IF(BP76/(INDEX('Standards for Conversions'!$H$34:$H$73,MATCH(BO$3,'Standards for Conversions'!$A$34:$A$73,0)))=0,"",BP76/(INDEX('Standards for Conversions'!$H$34:$H$73,MATCH(BO$3,'Standards for Conversions'!$A$34:$A$73,0))))</f>
        <v/>
      </c>
      <c r="BR76" s="10" t="s">
        <v>40</v>
      </c>
      <c r="BS76" s="7"/>
      <c r="BT76" s="7"/>
      <c r="BU76" s="31" t="str">
        <f>IF(BT76/(INDEX('Standards for Conversions'!$H$34:$H$73,MATCH(BS$3,'Standards for Conversions'!$A$34:$A$73,0)))=0,"",BT76/(INDEX('Standards for Conversions'!$H$34:$H$73,MATCH(BS$3,'Standards for Conversions'!$A$34:$A$73,0))))</f>
        <v/>
      </c>
      <c r="BV76" s="10" t="s">
        <v>40</v>
      </c>
      <c r="BW76" s="9"/>
      <c r="BX76" s="9"/>
      <c r="BY76" s="31" t="str">
        <f>IF(BX76/(INDEX('Standards for Conversions'!$H$34:$H$73,MATCH(BW$3,'Standards for Conversions'!$A$34:$A$73,0)))=0,"",BX76/(INDEX('Standards for Conversions'!$H$34:$H$73,MATCH(BW$3,'Standards for Conversions'!$A$34:$A$73,0))))</f>
        <v/>
      </c>
      <c r="BZ76" s="10" t="s">
        <v>40</v>
      </c>
      <c r="CA76" s="7"/>
      <c r="CB76" s="7"/>
      <c r="CC76" s="31" t="str">
        <f>IF(CB76/(INDEX('Standards for Conversions'!$H$34:$H$73,MATCH(CA$3,'Standards for Conversions'!$A$34:$A$73,0)))=0,"",CB76/(INDEX('Standards for Conversions'!$H$34:$H$73,MATCH(CA$3,'Standards for Conversions'!$A$34:$A$73,0))))</f>
        <v/>
      </c>
      <c r="CD76" s="10" t="s">
        <v>40</v>
      </c>
      <c r="CE76" s="7"/>
      <c r="CF76" s="7"/>
      <c r="CG76" s="31" t="str">
        <f>IF(CF76/(INDEX('Standards for Conversions'!$H$34:$H$73,MATCH(CE$3,'Standards for Conversions'!$A$34:$A$73,0)))=0,"",CF76/(INDEX('Standards for Conversions'!$H$34:$H$73,MATCH(CE$3,'Standards for Conversions'!$A$34:$A$73,0))))</f>
        <v/>
      </c>
      <c r="CH76" s="10" t="s">
        <v>40</v>
      </c>
      <c r="CI76" s="7"/>
      <c r="CJ76" s="7"/>
      <c r="CK76" s="31" t="str">
        <f>IF(CJ76/(INDEX('Standards for Conversions'!$H$34:$H$73,MATCH(CI$3,'Standards for Conversions'!$A$34:$A$73,0)))=0,"",CJ76/(INDEX('Standards for Conversions'!$H$34:$H$73,MATCH(CI$3,'Standards for Conversions'!$A$34:$A$73,0))))</f>
        <v/>
      </c>
      <c r="CL76" s="10" t="s">
        <v>40</v>
      </c>
      <c r="CM76" s="9"/>
      <c r="CN76" s="9"/>
      <c r="CO76" s="31" t="str">
        <f>IF(CN76/(INDEX('Standards for Conversions'!$H$34:$H$73,MATCH(CM$3,'Standards for Conversions'!$A$34:$A$73,0)))=0,"",CN76/(INDEX('Standards for Conversions'!$H$34:$H$73,MATCH(CM$3,'Standards for Conversions'!$A$34:$A$73,0))))</f>
        <v/>
      </c>
      <c r="CP76" s="10" t="s">
        <v>40</v>
      </c>
      <c r="CQ76" s="7"/>
      <c r="CR76" s="7"/>
      <c r="CS76" s="31" t="str">
        <f>IF(CR76/(INDEX('Standards for Conversions'!$H$34:$H$73,MATCH(CQ$3,'Standards for Conversions'!$A$34:$A$73,0)))=0,"",CR76/(INDEX('Standards for Conversions'!$H$34:$H$73,MATCH(CQ$3,'Standards for Conversions'!$A$34:$A$73,0))))</f>
        <v/>
      </c>
      <c r="CT76" s="10" t="s">
        <v>40</v>
      </c>
      <c r="CU76" s="7"/>
      <c r="CV76" s="7"/>
      <c r="CW76" s="31" t="str">
        <f>IF(CV76/(INDEX('Standards for Conversions'!$H$34:$H$73,MATCH(CU$3,'Standards for Conversions'!$A$34:$A$73,0)))=0,"",CV76/(INDEX('Standards for Conversions'!$H$34:$H$73,MATCH(CU$3,'Standards for Conversions'!$A$34:$A$73,0))))</f>
        <v/>
      </c>
      <c r="CX76" s="10" t="s">
        <v>40</v>
      </c>
      <c r="CY76" s="7"/>
      <c r="CZ76" s="7"/>
      <c r="DA76" s="31" t="str">
        <f>IF(CZ76/(INDEX('Standards for Conversions'!$H$34:$H$73,MATCH(CY$3,'Standards for Conversions'!$A$34:$A$73,0)))=0,"",CZ76/(INDEX('Standards for Conversions'!$H$34:$H$73,MATCH(CY$3,'Standards for Conversions'!$A$34:$A$73,0))))</f>
        <v/>
      </c>
      <c r="DB76" s="10" t="s">
        <v>40</v>
      </c>
      <c r="DC76" s="9"/>
      <c r="DD76" s="9"/>
      <c r="DE76" s="31" t="str">
        <f>IF(DD76/(INDEX('Standards for Conversions'!$H$34:$H$73,MATCH(DC$3,'Standards for Conversions'!$A$34:$A$73,0)))=0,"",DD76/(INDEX('Standards for Conversions'!$H$34:$H$73,MATCH(DC$3,'Standards for Conversions'!$A$34:$A$73,0))))</f>
        <v/>
      </c>
      <c r="DF76" s="10" t="s">
        <v>40</v>
      </c>
      <c r="DG76" s="7"/>
      <c r="DH76" s="7"/>
      <c r="DI76" s="31" t="str">
        <f>IF(DH76/(INDEX('Standards for Conversions'!$H$34:$H$73,MATCH(DG$3,'Standards for Conversions'!$A$34:$A$73,0)))=0,"",DH76/(INDEX('Standards for Conversions'!$H$34:$H$73,MATCH(DG$3,'Standards for Conversions'!$A$34:$A$73,0))))</f>
        <v/>
      </c>
      <c r="DJ76" s="10" t="s">
        <v>40</v>
      </c>
      <c r="DK76" s="7"/>
      <c r="DL76" s="7"/>
      <c r="DM76" s="31" t="str">
        <f>IF(DL76/(INDEX('Standards for Conversions'!$H$34:$H$73,MATCH(DK$3,'Standards for Conversions'!$A$34:$A$73,0)))=0,"",DL76/(INDEX('Standards for Conversions'!$H$34:$H$73,MATCH(DK$3,'Standards for Conversions'!$A$34:$A$73,0))))</f>
        <v/>
      </c>
      <c r="DN76" s="10" t="s">
        <v>40</v>
      </c>
      <c r="DO76" s="7"/>
      <c r="DP76" s="7"/>
      <c r="DQ76" s="31" t="str">
        <f>IF(DP76/(INDEX('Standards for Conversions'!$H$34:$H$73,MATCH(DO$3,'Standards for Conversions'!$A$34:$A$73,0)))=0,"",DP76/(INDEX('Standards for Conversions'!$H$34:$H$73,MATCH(DO$3,'Standards for Conversions'!$A$34:$A$73,0))))</f>
        <v/>
      </c>
      <c r="DR76" s="10" t="s">
        <v>40</v>
      </c>
      <c r="DS76" s="9"/>
      <c r="DT76" s="9"/>
      <c r="DU76" s="31" t="str">
        <f>IF(DT76/(INDEX('Standards for Conversions'!$H$34:$H$73,MATCH(DS$3,'Standards for Conversions'!$A$34:$A$73,0)))=0,"",DT76/(INDEX('Standards for Conversions'!$H$34:$H$73,MATCH(DS$3,'Standards for Conversions'!$A$34:$A$73,0))))</f>
        <v/>
      </c>
      <c r="DV76" s="10" t="s">
        <v>40</v>
      </c>
      <c r="DW76" s="7"/>
      <c r="DX76" s="7"/>
      <c r="DY76" s="31" t="str">
        <f>IF(DX76/(INDEX('Standards for Conversions'!$H$34:$H$73,MATCH(DW$3,'Standards for Conversions'!$A$34:$A$73,0)))=0,"",DX76/(INDEX('Standards for Conversions'!$H$34:$H$73,MATCH(DW$3,'Standards for Conversions'!$A$34:$A$73,0))))</f>
        <v/>
      </c>
      <c r="DZ76" s="10" t="s">
        <v>40</v>
      </c>
      <c r="EA76" s="7"/>
      <c r="EB76" s="7"/>
      <c r="EC76" s="31" t="str">
        <f>IF(EB76/(INDEX('Standards for Conversions'!$H$34:$H$73,MATCH(EA$3,'Standards for Conversions'!$A$34:$A$73,0)))=0,"",EB76/(INDEX('Standards for Conversions'!$H$34:$H$73,MATCH(EA$3,'Standards for Conversions'!$A$34:$A$73,0))))</f>
        <v/>
      </c>
      <c r="ED76" s="10" t="s">
        <v>40</v>
      </c>
      <c r="EE76" s="7"/>
      <c r="EF76" s="7"/>
      <c r="EG76" s="31" t="str">
        <f>IF(EF76/(INDEX('Standards for Conversions'!$H$34:$H$73,MATCH(EE$3,'Standards for Conversions'!$A$34:$A$73,0)))=0,"",EF76/(INDEX('Standards for Conversions'!$H$34:$H$73,MATCH(EE$3,'Standards for Conversions'!$A$34:$A$73,0))))</f>
        <v/>
      </c>
      <c r="EH76" s="10" t="s">
        <v>40</v>
      </c>
      <c r="EI76" s="9"/>
      <c r="EJ76" s="9"/>
      <c r="EK76" s="31" t="str">
        <f>IF(EJ76/(INDEX('Standards for Conversions'!$H$34:$H$73,MATCH(EI$3,'Standards for Conversions'!$A$34:$A$73,0)))=0,"",EJ76/(INDEX('Standards for Conversions'!$H$34:$H$73,MATCH(EI$3,'Standards for Conversions'!$A$34:$A$73,0))))</f>
        <v/>
      </c>
      <c r="EL76" s="10" t="s">
        <v>40</v>
      </c>
      <c r="EM76" s="7"/>
      <c r="EN76" s="7"/>
      <c r="EO76" s="31" t="str">
        <f>IF(EN76/(INDEX('Standards for Conversions'!$H$34:$H$73,MATCH(EM$3,'Standards for Conversions'!$A$34:$A$73,0)))=0,"",EN76/(INDEX('Standards for Conversions'!$H$34:$H$73,MATCH(EM$3,'Standards for Conversions'!$A$34:$A$73,0))))</f>
        <v/>
      </c>
      <c r="EP76" s="10" t="s">
        <v>40</v>
      </c>
      <c r="EQ76" s="7"/>
      <c r="ER76" s="7"/>
      <c r="ES76" s="31" t="str">
        <f>IF(ER76/(INDEX('Standards for Conversions'!$H$34:$H$73,MATCH(EQ$3,'Standards for Conversions'!$A$34:$A$73,0)))=0,"",ER76/(INDEX('Standards for Conversions'!$H$34:$H$73,MATCH(EQ$3,'Standards for Conversions'!$A$34:$A$73,0))))</f>
        <v/>
      </c>
      <c r="ET76" s="10" t="s">
        <v>40</v>
      </c>
      <c r="EU76" s="7"/>
      <c r="EV76" s="7"/>
      <c r="EW76" s="31" t="str">
        <f>IF(EV76/(INDEX('Standards for Conversions'!$H$34:$H$73,MATCH(EU$3,'Standards for Conversions'!$A$34:$A$73,0)))=0,"",EV76/(INDEX('Standards for Conversions'!$H$34:$H$73,MATCH(EU$3,'Standards for Conversions'!$A$34:$A$73,0))))</f>
        <v/>
      </c>
      <c r="EX76" s="10" t="s">
        <v>40</v>
      </c>
      <c r="EY76" s="9"/>
      <c r="EZ76" s="9"/>
      <c r="FA76" s="31" t="str">
        <f>IF(EZ76/(INDEX('Standards for Conversions'!$H$34:$H$73,MATCH(EY$3,'Standards for Conversions'!$A$34:$A$73,0)))=0,"",EZ76/(INDEX('Standards for Conversions'!$H$34:$H$73,MATCH(EY$3,'Standards for Conversions'!$A$34:$A$73,0))))</f>
        <v/>
      </c>
      <c r="FB76" s="10" t="s">
        <v>40</v>
      </c>
      <c r="FC76" s="7"/>
      <c r="FD76" s="7"/>
      <c r="FE76" s="31" t="str">
        <f>IF(FD76/(INDEX('Standards for Conversions'!$H$34:$H$73,MATCH(FC$3,'Standards for Conversions'!$A$34:$A$73,0)))=0,"",FD76/(INDEX('Standards for Conversions'!$H$34:$H$73,MATCH(FC$3,'Standards for Conversions'!$A$34:$A$73,0))))</f>
        <v/>
      </c>
      <c r="FF76" s="10" t="s">
        <v>40</v>
      </c>
      <c r="FG76" s="7"/>
      <c r="FH76" s="7"/>
      <c r="FI76" s="31" t="str">
        <f>IF(FH76/(INDEX('Standards for Conversions'!$H$34:$H$73,MATCH(FG$3,'Standards for Conversions'!$A$34:$A$73,0)))=0,"",FH76/(INDEX('Standards for Conversions'!$H$34:$H$73,MATCH(FG$3,'Standards for Conversions'!$A$34:$A$73,0))))</f>
        <v/>
      </c>
      <c r="FJ76" s="10" t="s">
        <v>40</v>
      </c>
      <c r="FK76" s="7"/>
      <c r="FL76" s="7"/>
      <c r="FM76" s="31" t="str">
        <f>IF(FL76/(INDEX('Standards for Conversions'!$H$34:$H$73,MATCH(FK$3,'Standards for Conversions'!$A$34:$A$73,0)))=0,"",FL76/(INDEX('Standards for Conversions'!$H$34:$H$73,MATCH(FK$3,'Standards for Conversions'!$A$34:$A$73,0))))</f>
        <v/>
      </c>
      <c r="FN76" s="10" t="s">
        <v>40</v>
      </c>
      <c r="FO76" s="9"/>
      <c r="FP76" s="9"/>
      <c r="FQ76" s="31" t="str">
        <f>IF(FP76/(INDEX('Standards for Conversions'!$H$34:$H$73,MATCH(FO$3,'Standards for Conversions'!$A$34:$A$73,0)))=0,"",FP76/(INDEX('Standards for Conversions'!$H$34:$H$73,MATCH(FO$3,'Standards for Conversions'!$A$34:$A$73,0))))</f>
        <v/>
      </c>
      <c r="FR76" s="10" t="s">
        <v>40</v>
      </c>
      <c r="FS76" s="7"/>
      <c r="FT76" s="7"/>
      <c r="FU76" s="31" t="str">
        <f>IF(FT76/(INDEX('Standards for Conversions'!$H$34:$H$73,MATCH(FS$3,'Standards for Conversions'!$A$34:$A$73,0)))=0,"",FT76/(INDEX('Standards for Conversions'!$H$34:$H$73,MATCH(FS$3,'Standards for Conversions'!$A$34:$A$73,0))))</f>
        <v/>
      </c>
      <c r="FV76" s="10" t="s">
        <v>40</v>
      </c>
      <c r="FW76" s="7"/>
      <c r="FX76" s="7"/>
      <c r="FY76" s="31" t="str">
        <f>IF(FX76/(INDEX('Standards for Conversions'!$H$34:$H$73,MATCH(FW$3,'Standards for Conversions'!$A$34:$A$73,0)))=0,"",FX76/(INDEX('Standards for Conversions'!$H$34:$H$73,MATCH(FW$3,'Standards for Conversions'!$A$34:$A$73,0))))</f>
        <v/>
      </c>
      <c r="FZ76" s="10" t="s">
        <v>40</v>
      </c>
      <c r="GA76" s="7"/>
      <c r="GB76" s="7"/>
      <c r="GC76" s="31" t="str">
        <f>IF(GB76/(INDEX('Standards for Conversions'!$H$34:$H$73,MATCH(GA$3,'Standards for Conversions'!$A$34:$A$73,0)))=0,"",GB76/(INDEX('Standards for Conversions'!$H$34:$H$73,MATCH(GA$3,'Standards for Conversions'!$A$34:$A$73,0))))</f>
        <v/>
      </c>
      <c r="GD76" s="10" t="s">
        <v>40</v>
      </c>
      <c r="GE76" s="9"/>
      <c r="GF76" s="9"/>
      <c r="GG76" s="31" t="str">
        <f>IF(GF76/(INDEX('Standards for Conversions'!$H$34:$H$73,MATCH(GE$3,'Standards for Conversions'!$A$34:$A$73,0)))=0,"",GF76/(INDEX('Standards for Conversions'!$H$34:$H$73,MATCH(GE$3,'Standards for Conversions'!$A$34:$A$73,0))))</f>
        <v/>
      </c>
      <c r="GH76" s="10" t="s">
        <v>40</v>
      </c>
      <c r="GI76" s="7"/>
      <c r="GJ76" s="7"/>
      <c r="GK76" s="31" t="str">
        <f>IF(GJ76/(INDEX('Standards for Conversions'!$H$34:$H$73,MATCH(GI$3,'Standards for Conversions'!$A$34:$A$73,0)))=0,"",GJ76/(INDEX('Standards for Conversions'!$H$34:$H$73,MATCH(GI$3,'Standards for Conversions'!$A$34:$A$73,0))))</f>
        <v/>
      </c>
      <c r="GL76" s="10" t="s">
        <v>40</v>
      </c>
      <c r="GM76" s="7"/>
      <c r="GN76" s="7"/>
      <c r="GO76" s="31" t="str">
        <f>IF(GN76/(INDEX('Standards for Conversions'!$H$34:$H$73,MATCH(GM$3,'Standards for Conversions'!$A$34:$A$73,0)))=0,"",GN76/(INDEX('Standards for Conversions'!$H$34:$H$73,MATCH(GM$3,'Standards for Conversions'!$A$34:$A$73,0))))</f>
        <v/>
      </c>
      <c r="GP76" s="10" t="s">
        <v>40</v>
      </c>
      <c r="GQ76" s="7"/>
      <c r="GR76" s="7"/>
      <c r="GS76" s="31" t="str">
        <f>IF(GR76/(INDEX('Standards for Conversions'!$H$34:$H$73,MATCH(GQ$3,'Standards for Conversions'!$A$34:$A$73,0)))=0,"",GR76/(INDEX('Standards for Conversions'!$H$34:$H$73,MATCH(GQ$3,'Standards for Conversions'!$A$34:$A$73,0))))</f>
        <v/>
      </c>
      <c r="GT76" s="10" t="s">
        <v>40</v>
      </c>
      <c r="GU76" s="9"/>
      <c r="GV76" s="9"/>
      <c r="GW76" s="31" t="str">
        <f>IF(GV76/(INDEX('Standards for Conversions'!$H$34:$H$73,MATCH(GU$3,'Standards for Conversions'!$A$34:$A$73,0)))=0,"",GV76/(INDEX('Standards for Conversions'!$H$34:$H$73,MATCH(GU$3,'Standards for Conversions'!$A$34:$A$73,0))))</f>
        <v/>
      </c>
      <c r="GX76" s="10" t="s">
        <v>40</v>
      </c>
      <c r="GY76" s="7"/>
      <c r="GZ76" s="7"/>
      <c r="HA76" s="31" t="str">
        <f>IF(GZ76/(INDEX('Standards for Conversions'!$H$34:$H$73,MATCH(GY$3,'Standards for Conversions'!$A$34:$A$73,0)))=0,"",GZ76/(INDEX('Standards for Conversions'!$H$34:$H$73,MATCH(GY$3,'Standards for Conversions'!$A$34:$A$73,0))))</f>
        <v/>
      </c>
      <c r="HB76" s="10" t="s">
        <v>40</v>
      </c>
      <c r="HC76" s="7"/>
      <c r="HD76" s="7"/>
      <c r="HE76" s="31" t="str">
        <f>IF(HD76/(INDEX('Standards for Conversions'!$H$34:$H$73,MATCH(HC$3,'Standards for Conversions'!$A$34:$A$73,0)))=0,"",HD76/(INDEX('Standards for Conversions'!$H$34:$H$73,MATCH(HC$3,'Standards for Conversions'!$A$34:$A$73,0))))</f>
        <v/>
      </c>
      <c r="HF76" s="10" t="s">
        <v>40</v>
      </c>
      <c r="HG76" s="7"/>
      <c r="HH76" s="7"/>
      <c r="HI76" s="31" t="str">
        <f>IF(HH76/(INDEX('Standards for Conversions'!$H$34:$H$73,MATCH(HG$3,'Standards for Conversions'!$A$34:$A$73,0)))=0,"",HH76/(INDEX('Standards for Conversions'!$H$34:$H$73,MATCH(HG$3,'Standards for Conversions'!$A$34:$A$73,0))))</f>
        <v/>
      </c>
      <c r="HJ76" s="10" t="s">
        <v>40</v>
      </c>
      <c r="HK76" s="9"/>
      <c r="HL76" s="9"/>
      <c r="HM76" s="31" t="str">
        <f>IF(HL76/(INDEX('Standards for Conversions'!$H$34:$H$73,MATCH(HK$3,'Standards for Conversions'!$A$34:$A$73,0)))=0,"",HL76/(INDEX('Standards for Conversions'!$H$34:$H$73,MATCH(HK$3,'Standards for Conversions'!$A$34:$A$73,0))))</f>
        <v/>
      </c>
      <c r="HN76" s="10" t="s">
        <v>40</v>
      </c>
      <c r="HO76" s="7"/>
      <c r="HP76" s="7"/>
      <c r="HQ76" s="31" t="str">
        <f>IF(HP76/(INDEX('Standards for Conversions'!$H$34:$H$73,MATCH(HO$3,'Standards for Conversions'!$A$34:$A$73,0)))=0,"",HP76/(INDEX('Standards for Conversions'!$H$34:$H$73,MATCH(HO$3,'Standards for Conversions'!$A$34:$A$73,0))))</f>
        <v/>
      </c>
      <c r="HR76" s="33" t="s">
        <v>40</v>
      </c>
      <c r="HU76" s="31" t="str">
        <f>IF(HT76/(INDEX('Standards for Conversions'!$H$47:$H$73,MATCH(HS$3,'Standards for Conversions'!$A$47:$A$73,0)))=0,"",HT76/(INDEX('Standards for Conversions'!$H$47:$H$73,MATCH(HS$3,'Standards for Conversions'!$A$47:$A$73,0))))</f>
        <v/>
      </c>
      <c r="HV76" s="33" t="s">
        <v>40</v>
      </c>
      <c r="HY76" s="31" t="str">
        <f>IF(HX76/(INDEX('Standards for Conversions'!$H$47:$H$73,MATCH(HW$3,'Standards for Conversions'!$A$47:$A$73,0)))=0,"",HX76/(INDEX('Standards for Conversions'!$H$47:$H$73,MATCH(HW$3,'Standards for Conversions'!$A$47:$A$73,0))))</f>
        <v/>
      </c>
      <c r="HZ76" s="33"/>
      <c r="IA76" s="33"/>
      <c r="IB76" s="31" t="str">
        <f>IF(IA76/(INDEX('Standards for Conversions'!$H$47:$H$73,MATCH(HZ$3,'Standards for Conversions'!$A$47:$A$73,0)))=0,"",IA76/(INDEX('Standards for Conversions'!$H$47:$H$73,MATCH(HZ$3,'Standards for Conversions'!$A$47:$A$73,0))))</f>
        <v/>
      </c>
      <c r="IC76" s="33" t="s">
        <v>40</v>
      </c>
      <c r="ID76" s="29">
        <v>20</v>
      </c>
      <c r="IE76" s="29">
        <v>350</v>
      </c>
      <c r="IF76" s="31">
        <f>IF(IE76/(INDEX('Standards for Conversions'!$H$47:$H$73,MATCH(ID$3,'Standards for Conversions'!$A$47:$A$73,0)))=0,"",IE76/(INDEX('Standards for Conversions'!$H$47:$H$73,MATCH(ID$3,'Standards for Conversions'!$A$47:$A$73,0))))</f>
        <v>50.835894274499587</v>
      </c>
      <c r="IG76" s="33" t="s">
        <v>40</v>
      </c>
      <c r="IJ76" s="31" t="str">
        <f>IF(II76/(INDEX('Standards for Conversions'!$H$47:$H$73,MATCH(IH$3,'Standards for Conversions'!$A$47:$A$73,0)))=0,"",II76/(INDEX('Standards for Conversions'!$H$47:$H$73,MATCH(IH$3,'Standards for Conversions'!$A$47:$A$73,0))))</f>
        <v/>
      </c>
      <c r="IK76" s="33" t="s">
        <v>40</v>
      </c>
      <c r="IN76" s="31" t="str">
        <f>IF(IM76/(INDEX('Standards for Conversions'!$H$47:$H$73,MATCH(IL$3,'Standards for Conversions'!$A$47:$A$73,0)))=0,"",IM76/(INDEX('Standards for Conversions'!$H$47:$H$73,MATCH(IL$3,'Standards for Conversions'!$A$47:$A$73,0))))</f>
        <v/>
      </c>
      <c r="IO76" s="33" t="s">
        <v>40</v>
      </c>
      <c r="IR76" s="31" t="str">
        <f>IF(IQ76/(INDEX('Standards for Conversions'!$H$47:$H$73,MATCH(IP$3,'Standards for Conversions'!$A$47:$A$73,0)))=0,"",IQ76/(INDEX('Standards for Conversions'!$H$47:$H$73,MATCH(IP$3,'Standards for Conversions'!$A$47:$A$73,0))))</f>
        <v/>
      </c>
      <c r="IS76" s="33" t="s">
        <v>40</v>
      </c>
      <c r="IT76" s="29">
        <v>12</v>
      </c>
      <c r="IU76" s="29">
        <v>223</v>
      </c>
      <c r="IV76" s="31">
        <f>IF(IU76/(INDEX('Standards for Conversions'!$H$47:$H$73,MATCH(IT$3,'Standards for Conversions'!$A$47:$A$73,0)))=0,"",IU76/(INDEX('Standards for Conversions'!$H$47:$H$73,MATCH(IT$3,'Standards for Conversions'!$A$47:$A$73,0))))</f>
        <v>32.248080887358419</v>
      </c>
      <c r="IW76" s="33" t="s">
        <v>40</v>
      </c>
      <c r="IZ76" s="31" t="str">
        <f>IF(IY76/(INDEX('Standards for Conversions'!$H$47:$H$73,MATCH(IX$3,'Standards for Conversions'!$A$47:$A$73,0)))=0,"",IY76/(INDEX('Standards for Conversions'!$H$47:$H$73,MATCH(IX$3,'Standards for Conversions'!$A$47:$A$73,0))))</f>
        <v/>
      </c>
      <c r="JA76" s="33" t="s">
        <v>40</v>
      </c>
      <c r="JD76" s="31" t="str">
        <f>IF(JC76/(INDEX('Standards for Conversions'!$H$47:$H$73,MATCH(JB$3,'Standards for Conversions'!$A$47:$A$73,0)))=0,"",JC76/(INDEX('Standards for Conversions'!$H$47:$H$73,MATCH(JB$3,'Standards for Conversions'!$A$47:$A$73,0))))</f>
        <v/>
      </c>
      <c r="JE76" s="33" t="s">
        <v>40</v>
      </c>
      <c r="JH76" s="31" t="str">
        <f>IF(JG76/(INDEX('Standards for Conversions'!$H$47:$H$73,MATCH(JF$3,'Standards for Conversions'!$A$47:$A$73,0)))=0,"",JG76/(INDEX('Standards for Conversions'!$H$47:$H$73,MATCH(JF$3,'Standards for Conversions'!$A$47:$A$73,0))))</f>
        <v/>
      </c>
      <c r="JI76" s="48" t="s">
        <v>40</v>
      </c>
      <c r="JJ76" s="29">
        <v>15</v>
      </c>
      <c r="JK76" s="29">
        <v>200</v>
      </c>
      <c r="JL76" s="31">
        <f>IF(JK76/(INDEX('Standards for Conversions'!$H$47:$H$73,MATCH(JJ$3,'Standards for Conversions'!$A$47:$A$73,0)))=0,"",JK76/(INDEX('Standards for Conversions'!$H$47:$H$73,MATCH(JJ$3,'Standards for Conversions'!$A$47:$A$73,0))))</f>
        <v>32.352039338373736</v>
      </c>
      <c r="JM76" s="33" t="s">
        <v>40</v>
      </c>
      <c r="JP76" s="31" t="str">
        <f>IF(JO76/(INDEX('Standards for Conversions'!$H$47:$H$73,MATCH(JN$3,'Standards for Conversions'!$A$47:$A$73,0)))=0,"",JO76/(INDEX('Standards for Conversions'!$H$47:$H$73,MATCH(JN$3,'Standards for Conversions'!$A$47:$A$73,0))))</f>
        <v/>
      </c>
      <c r="JQ76" s="33" t="s">
        <v>40</v>
      </c>
      <c r="JT76" s="31" t="str">
        <f>IF(JS76/(INDEX('Standards for Conversions'!$H$47:$H$73,MATCH(JR$3,'Standards for Conversions'!$A$47:$A$73,0)))=0,"",JS76/(INDEX('Standards for Conversions'!$H$47:$H$73,MATCH(JR$3,'Standards for Conversions'!$A$47:$A$73,0))))</f>
        <v/>
      </c>
      <c r="JU76" s="33" t="s">
        <v>40</v>
      </c>
      <c r="JX76" s="31" t="str">
        <f>IF(JW76/(INDEX('Standards for Conversions'!$H$47:$H$73,MATCH(JV$3,'Standards for Conversions'!$A$47:$A$73,0)))=0,"",JW76/(INDEX('Standards for Conversions'!$H$47:$H$73,MATCH(JV$3,'Standards for Conversions'!$A$47:$A$73,0))))</f>
        <v/>
      </c>
      <c r="JY76" s="33" t="s">
        <v>40</v>
      </c>
      <c r="JZ76" s="29">
        <v>17</v>
      </c>
      <c r="KA76" s="29">
        <v>250</v>
      </c>
      <c r="KB76" s="31">
        <f>IF(KA76/(INDEX('Standards for Conversions'!$H$47:$H$73,MATCH(JZ$3,'Standards for Conversions'!$A$47:$A$73,0)))=0,"",KA76/(INDEX('Standards for Conversions'!$H$47:$H$73,MATCH(JZ$3,'Standards for Conversions'!$A$47:$A$73,0))))</f>
        <v>38.163973106949392</v>
      </c>
      <c r="KC76" s="33" t="s">
        <v>40</v>
      </c>
      <c r="KF76" s="31" t="str">
        <f>IF(KE76/(INDEX('Standards for Conversions'!$H$47:$H$73,MATCH(KD$3,'Standards for Conversions'!$A$47:$A$73,0)))=0,"",KE76/(INDEX('Standards for Conversions'!$H$47:$H$73,MATCH(KD$3,'Standards for Conversions'!$A$47:$A$73,0))))</f>
        <v/>
      </c>
      <c r="KG76" s="33" t="s">
        <v>40</v>
      </c>
      <c r="KJ76" s="31" t="str">
        <f>IF(KI76/(INDEX('Standards for Conversions'!$H$47:$H$73,MATCH(KH$3,'Standards for Conversions'!$A$47:$A$73,0)))=0,"",KI76/(INDEX('Standards for Conversions'!$H$47:$H$73,MATCH(KH$3,'Standards for Conversions'!$A$47:$A$73,0))))</f>
        <v/>
      </c>
      <c r="KK76" s="33" t="s">
        <v>40</v>
      </c>
      <c r="KN76" s="31" t="str">
        <f>IF(KM76/(INDEX('Standards for Conversions'!$H$47:$H$73,MATCH(KL$3,'Standards for Conversions'!$A$47:$A$73,0)))=0,"",KM76/(INDEX('Standards for Conversions'!$H$47:$H$73,MATCH(KL$3,'Standards for Conversions'!$A$47:$A$73,0))))</f>
        <v/>
      </c>
      <c r="KO76" s="33" t="s">
        <v>40</v>
      </c>
      <c r="KP76" s="29">
        <v>15</v>
      </c>
      <c r="KQ76" s="29">
        <v>200</v>
      </c>
      <c r="KR76" s="31">
        <f>IF(KQ76/(INDEX('Standards for Conversions'!$H$47:$H$73,MATCH(KP$3,'Standards for Conversions'!$A$47:$A$73,0)))=0,"",KQ76/(INDEX('Standards for Conversions'!$H$47:$H$73,MATCH(KP$3,'Standards for Conversions'!$A$47:$A$73,0))))</f>
        <v>26.931802381159294</v>
      </c>
      <c r="KS76" s="33" t="s">
        <v>40</v>
      </c>
      <c r="KV76" s="31" t="str">
        <f>IF(KU76/(INDEX('Standards for Conversions'!$H$47:$H$73,MATCH(KT$3,'Standards for Conversions'!$A$47:$A$73,0)))=0,"",KU76/(INDEX('Standards for Conversions'!$H$47:$H$73,MATCH(KT$3,'Standards for Conversions'!$A$47:$A$73,0))))</f>
        <v/>
      </c>
      <c r="KW76" s="33" t="s">
        <v>40</v>
      </c>
      <c r="KZ76" s="31" t="str">
        <f>IF(KY76/(INDEX('Standards for Conversions'!$H$47:$H$73,MATCH(KX$3,'Standards for Conversions'!$A$47:$A$73,0)))=0,"",KY76/(INDEX('Standards for Conversions'!$H$47:$H$73,MATCH(KX$3,'Standards for Conversions'!$A$47:$A$73,0))))</f>
        <v/>
      </c>
      <c r="LA76" s="33" t="s">
        <v>40</v>
      </c>
      <c r="LD76" s="31" t="str">
        <f>IF(LC76/(INDEX('Standards for Conversions'!$H$47:$H$73,MATCH(LB$3,'Standards for Conversions'!$A$47:$A$73,0)))=0,"",LC76/(INDEX('Standards for Conversions'!$H$47:$H$73,MATCH(LB$3,'Standards for Conversions'!$A$47:$A$73,0))))</f>
        <v/>
      </c>
      <c r="LE76" s="48" t="s">
        <v>40</v>
      </c>
      <c r="LF76" s="29">
        <v>15</v>
      </c>
      <c r="LG76" s="29">
        <v>380</v>
      </c>
      <c r="LH76" s="31">
        <f>IF(LG76/(INDEX('Standards for Conversions'!$H$47:$H$73,MATCH(LF$3,'Standards for Conversions'!$A$47:$A$73,0)))=0,"",LG76/(INDEX('Standards for Conversions'!$H$47:$H$73,MATCH(LF$3,'Standards for Conversions'!$A$47:$A$73,0))))</f>
        <v>46.214295356449689</v>
      </c>
      <c r="LL76" s="31" t="str">
        <f>IF(LK76/(INDEX('Standards for Conversions'!$H$47:$H$73,MATCH(LJ$3,'Standards for Conversions'!$A$47:$A$73,0)))=0,"",LK76/(INDEX('Standards for Conversions'!$H$47:$H$73,MATCH(LJ$3,'Standards for Conversions'!$A$47:$A$73,0))))</f>
        <v/>
      </c>
      <c r="LO76" s="31" t="str">
        <f>IF(LN76/(INDEX('Standards for Conversions'!$H$47:$H$73,MATCH(LM$3,'Standards for Conversions'!$A$47:$A$73,0)))=0,"",LN76/(INDEX('Standards for Conversions'!$H$47:$H$73,MATCH(LM$3,'Standards for Conversions'!$A$47:$A$73,0))))</f>
        <v/>
      </c>
      <c r="LR76" s="31" t="str">
        <f>IF(LQ76/(INDEX('Standards for Conversions'!$H$47:$H$73,MATCH(LP$3,'Standards for Conversions'!$A$47:$A$73,0)))=0,"",LQ76/(INDEX('Standards for Conversions'!$H$47:$H$73,MATCH(LP$3,'Standards for Conversions'!$A$47:$A$73,0))))</f>
        <v/>
      </c>
      <c r="LV76" s="31" t="str">
        <f>IF(LU76/(INDEX('Standards for Conversions'!$H$47:$H$73,MATCH(LT$3,'Standards for Conversions'!$A$47:$A$73,0)))=0,"",LU76/(INDEX('Standards for Conversions'!$H$47:$H$73,MATCH(LT$3,'Standards for Conversions'!$A$47:$A$73,0))))</f>
        <v/>
      </c>
      <c r="LY76" s="31" t="str">
        <f>IF(LX76/(INDEX('Standards for Conversions'!$H$47:$H$73,MATCH(LW$3,'Standards for Conversions'!$A$47:$A$73,0)))=0,"",LX76/(INDEX('Standards for Conversions'!$H$47:$H$73,MATCH(LW$3,'Standards for Conversions'!$A$47:$A$73,0))))</f>
        <v/>
      </c>
      <c r="MB76" s="31" t="str">
        <f>IF(MA76/(INDEX('Standards for Conversions'!$H$47:$H$73,MATCH(LZ$3,'Standards for Conversions'!$A$47:$A$73,0)))=0,"",MA76/(INDEX('Standards for Conversions'!$H$47:$H$73,MATCH(LZ$3,'Standards for Conversions'!$A$47:$A$73,0))))</f>
        <v/>
      </c>
      <c r="ME76" s="31" t="str">
        <f>IF(MD76/(INDEX('Standards for Conversions'!$H$47:$H$73,MATCH(MC$3,'Standards for Conversions'!$A$47:$A$73,0)))=0,"",MD76/(INDEX('Standards for Conversions'!$H$47:$H$73,MATCH(MC$3,'Standards for Conversions'!$A$47:$A$73,0))))</f>
        <v/>
      </c>
      <c r="MH76" s="31" t="str">
        <f>IF(MG76/(INDEX('Standards for Conversions'!$H$47:$H$73,MATCH(MF$3,'Standards for Conversions'!$A$47:$A$73,0)))=0,"",MG76/(INDEX('Standards for Conversions'!$H$47:$H$73,MATCH(MF$3,'Standards for Conversions'!$A$47:$A$73,0))))</f>
        <v/>
      </c>
      <c r="MK76" s="31" t="str">
        <f>IF(MJ76/(INDEX('Standards for Conversions'!$H$47:$H$73,MATCH(MI$3,'Standards for Conversions'!$A$47:$A$73,0)))=0,"",MJ76/(INDEX('Standards for Conversions'!$H$47:$H$73,MATCH(MI$3,'Standards for Conversions'!$A$47:$A$73,0))))</f>
        <v/>
      </c>
      <c r="MN76" s="31" t="str">
        <f>IF(MM76/(INDEX('Standards for Conversions'!$H$47:$H$73,MATCH(ML$3,'Standards for Conversions'!$A$47:$A$73,0)))=0,"",MM76/(INDEX('Standards for Conversions'!$H$47:$H$73,MATCH(ML$3,'Standards for Conversions'!$A$47:$A$73,0))))</f>
        <v/>
      </c>
      <c r="MR76" s="31" t="str">
        <f>IF(MQ76/(INDEX('Standards for Conversions'!$H$47:$H$73,MATCH(MP$3,'Standards for Conversions'!$A$47:$A$73,0)))=0,"",MQ76/(INDEX('Standards for Conversions'!$H$47:$H$73,MATCH(MP$3,'Standards for Conversions'!$A$47:$A$73,0))))</f>
        <v/>
      </c>
    </row>
    <row r="77" spans="1:369" hidden="1" x14ac:dyDescent="0.3">
      <c r="A77" s="103" t="s">
        <v>252</v>
      </c>
      <c r="B77" s="10" t="s">
        <v>42</v>
      </c>
      <c r="C77" s="7"/>
      <c r="D77" s="7"/>
      <c r="E77" s="31" t="str">
        <f>IF(D77/(INDEX('Standards for Conversions'!$H$34:$H$73,MATCH(C$3,'Standards for Conversions'!$A$34:$A$73,0)))=0,"",D77/(INDEX('Standards for Conversions'!$H$34:$H$73,MATCH(C$3,'Standards for Conversions'!$A$34:$A$73,0))))</f>
        <v/>
      </c>
      <c r="F77" s="10" t="s">
        <v>42</v>
      </c>
      <c r="G77" s="7"/>
      <c r="H77" s="7"/>
      <c r="I77" s="31" t="str">
        <f>IF(H77/(INDEX('Standards for Conversions'!$H$34:$H$73,MATCH(G$3,'Standards for Conversions'!$A$34:$A$73,0)))=0,"",H77/(INDEX('Standards for Conversions'!$H$34:$H$73,MATCH(G$3,'Standards for Conversions'!$A$34:$A$73,0))))</f>
        <v/>
      </c>
      <c r="J77" s="10" t="s">
        <v>42</v>
      </c>
      <c r="K77" s="9"/>
      <c r="L77" s="9"/>
      <c r="M77" s="31" t="str">
        <f>IF(L77/(INDEX('Standards for Conversions'!$H$34:$H$73,MATCH(K$3,'Standards for Conversions'!$A$34:$A$73,0)))=0,"",L77/(INDEX('Standards for Conversions'!$H$34:$H$73,MATCH(K$3,'Standards for Conversions'!$A$34:$A$73,0))))</f>
        <v/>
      </c>
      <c r="N77" s="10" t="s">
        <v>42</v>
      </c>
      <c r="O77" s="7"/>
      <c r="P77" s="7"/>
      <c r="Q77" s="31" t="str">
        <f>IF(P77/(INDEX('Standards for Conversions'!$H$34:$H$73,MATCH(O$3,'Standards for Conversions'!$A$34:$A$73,0)))=0,"",P77/(INDEX('Standards for Conversions'!$H$34:$H$73,MATCH(O$3,'Standards for Conversions'!$A$34:$A$73,0))))</f>
        <v/>
      </c>
      <c r="R77" s="10" t="s">
        <v>42</v>
      </c>
      <c r="S77" s="7"/>
      <c r="T77" s="7"/>
      <c r="U77" s="31" t="str">
        <f>IF(T77/(INDEX('Standards for Conversions'!$H$34:$H$73,MATCH(S$3,'Standards for Conversions'!$A$34:$A$73,0)))=0,"",T77/(INDEX('Standards for Conversions'!$H$34:$H$73,MATCH(S$3,'Standards for Conversions'!$A$34:$A$73,0))))</f>
        <v/>
      </c>
      <c r="V77" s="10" t="s">
        <v>42</v>
      </c>
      <c r="W77" s="7"/>
      <c r="X77" s="7"/>
      <c r="Y77" s="31" t="str">
        <f>IF(X77/(INDEX('Standards for Conversions'!$H$34:$H$73,MATCH(W$3,'Standards for Conversions'!$A$34:$A$73,0)))=0,"",X77/(INDEX('Standards for Conversions'!$H$34:$H$73,MATCH(W$3,'Standards for Conversions'!$A$34:$A$73,0))))</f>
        <v/>
      </c>
      <c r="Z77" s="10" t="s">
        <v>42</v>
      </c>
      <c r="AA77" s="9"/>
      <c r="AB77" s="9"/>
      <c r="AC77" s="31" t="str">
        <f>IF(AB77/(INDEX('Standards for Conversions'!$H$34:$H$73,MATCH(AA$3,'Standards for Conversions'!$A$34:$A$73,0)))=0,"",AB77/(INDEX('Standards for Conversions'!$H$34:$H$73,MATCH(AA$3,'Standards for Conversions'!$A$34:$A$73,0))))</f>
        <v/>
      </c>
      <c r="AD77" s="10" t="s">
        <v>42</v>
      </c>
      <c r="AE77" s="7"/>
      <c r="AF77" s="7"/>
      <c r="AG77" s="31" t="str">
        <f>IF(AF77/(INDEX('Standards for Conversions'!$H$34:$H$73,MATCH(AE$3,'Standards for Conversions'!$A$34:$A$73,0)))=0,"",AF77/(INDEX('Standards for Conversions'!$H$34:$H$73,MATCH(AE$3,'Standards for Conversions'!$A$34:$A$73,0))))</f>
        <v/>
      </c>
      <c r="AH77" s="10" t="s">
        <v>42</v>
      </c>
      <c r="AI77" s="7"/>
      <c r="AJ77" s="7"/>
      <c r="AK77" s="31" t="str">
        <f>IF(AJ77/(INDEX('Standards for Conversions'!$H$34:$H$73,MATCH(AI$3,'Standards for Conversions'!$A$34:$A$73,0)))=0,"",AJ77/(INDEX('Standards for Conversions'!$H$34:$H$73,MATCH(AI$3,'Standards for Conversions'!$A$34:$A$73,0))))</f>
        <v/>
      </c>
      <c r="AL77" s="10" t="s">
        <v>42</v>
      </c>
      <c r="AM77" s="7"/>
      <c r="AN77" s="7"/>
      <c r="AO77" s="31" t="str">
        <f>IF(AN77/(INDEX('Standards for Conversions'!$H$34:$H$73,MATCH(AM$3,'Standards for Conversions'!$A$34:$A$73,0)))=0,"",AN77/(INDEX('Standards for Conversions'!$H$34:$H$73,MATCH(AM$3,'Standards for Conversions'!$A$34:$A$73,0))))</f>
        <v/>
      </c>
      <c r="AP77" s="10" t="s">
        <v>42</v>
      </c>
      <c r="AQ77" s="9"/>
      <c r="AR77" s="9"/>
      <c r="AS77" s="31" t="str">
        <f>IF(AR77/(INDEX('Standards for Conversions'!$H$34:$H$73,MATCH(AQ$3,'Standards for Conversions'!$A$34:$A$73,0)))=0,"",AR77/(INDEX('Standards for Conversions'!$H$34:$H$73,MATCH(AQ$3,'Standards for Conversions'!$A$34:$A$73,0))))</f>
        <v/>
      </c>
      <c r="AT77" s="10" t="s">
        <v>42</v>
      </c>
      <c r="AU77" s="7"/>
      <c r="AV77" s="7"/>
      <c r="AW77" s="31" t="str">
        <f>IF(AV77/(INDEX('Standards for Conversions'!$H$34:$H$73,MATCH(AU$3,'Standards for Conversions'!$A$34:$A$73,0)))=0,"",AV77/(INDEX('Standards for Conversions'!$H$34:$H$73,MATCH(AU$3,'Standards for Conversions'!$A$34:$A$73,0))))</f>
        <v/>
      </c>
      <c r="AX77" s="10" t="s">
        <v>42</v>
      </c>
      <c r="AY77" s="7"/>
      <c r="AZ77" s="7"/>
      <c r="BA77" s="31" t="str">
        <f>IF(AZ77/(INDEX('Standards for Conversions'!$H$34:$H$73,MATCH(AY$3,'Standards for Conversions'!$A$34:$A$73,0)))=0,"",AZ77/(INDEX('Standards for Conversions'!$H$34:$H$73,MATCH(AY$3,'Standards for Conversions'!$A$34:$A$73,0))))</f>
        <v/>
      </c>
      <c r="BB77" s="10" t="s">
        <v>42</v>
      </c>
      <c r="BC77" s="7"/>
      <c r="BD77" s="7"/>
      <c r="BE77" s="31" t="str">
        <f>IF(BD77/(INDEX('Standards for Conversions'!$H$34:$H$73,MATCH(BC$3,'Standards for Conversions'!$A$34:$A$73,0)))=0,"",BD77/(INDEX('Standards for Conversions'!$H$34:$H$73,MATCH(BC$3,'Standards for Conversions'!$A$34:$A$73,0))))</f>
        <v/>
      </c>
      <c r="BF77" s="10" t="s">
        <v>42</v>
      </c>
      <c r="BG77" s="9"/>
      <c r="BH77" s="9"/>
      <c r="BI77" s="31" t="str">
        <f>IF(BH77/(INDEX('Standards for Conversions'!$H$34:$H$73,MATCH(BG$3,'Standards for Conversions'!$A$34:$A$73,0)))=0,"",BH77/(INDEX('Standards for Conversions'!$H$34:$H$73,MATCH(BG$3,'Standards for Conversions'!$A$34:$A$73,0))))</f>
        <v/>
      </c>
      <c r="BJ77" s="10" t="s">
        <v>42</v>
      </c>
      <c r="BK77" s="7"/>
      <c r="BL77" s="7"/>
      <c r="BM77" s="31" t="str">
        <f>IF(BL77/(INDEX('Standards for Conversions'!$H$34:$H$73,MATCH(BK$3,'Standards for Conversions'!$A$34:$A$73,0)))=0,"",BL77/(INDEX('Standards for Conversions'!$H$34:$H$73,MATCH(BK$3,'Standards for Conversions'!$A$34:$A$73,0))))</f>
        <v/>
      </c>
      <c r="BN77" s="10" t="s">
        <v>42</v>
      </c>
      <c r="BO77" s="7"/>
      <c r="BP77" s="7"/>
      <c r="BQ77" s="31" t="str">
        <f>IF(BP77/(INDEX('Standards for Conversions'!$H$34:$H$73,MATCH(BO$3,'Standards for Conversions'!$A$34:$A$73,0)))=0,"",BP77/(INDEX('Standards for Conversions'!$H$34:$H$73,MATCH(BO$3,'Standards for Conversions'!$A$34:$A$73,0))))</f>
        <v/>
      </c>
      <c r="BR77" s="10" t="s">
        <v>42</v>
      </c>
      <c r="BS77" s="7"/>
      <c r="BT77" s="7"/>
      <c r="BU77" s="31" t="str">
        <f>IF(BT77/(INDEX('Standards for Conversions'!$H$34:$H$73,MATCH(BS$3,'Standards for Conversions'!$A$34:$A$73,0)))=0,"",BT77/(INDEX('Standards for Conversions'!$H$34:$H$73,MATCH(BS$3,'Standards for Conversions'!$A$34:$A$73,0))))</f>
        <v/>
      </c>
      <c r="BV77" s="10" t="s">
        <v>42</v>
      </c>
      <c r="BW77" s="9"/>
      <c r="BX77" s="9"/>
      <c r="BY77" s="31" t="str">
        <f>IF(BX77/(INDEX('Standards for Conversions'!$H$34:$H$73,MATCH(BW$3,'Standards for Conversions'!$A$34:$A$73,0)))=0,"",BX77/(INDEX('Standards for Conversions'!$H$34:$H$73,MATCH(BW$3,'Standards for Conversions'!$A$34:$A$73,0))))</f>
        <v/>
      </c>
      <c r="BZ77" s="10" t="s">
        <v>42</v>
      </c>
      <c r="CA77" s="7"/>
      <c r="CB77" s="7"/>
      <c r="CC77" s="31" t="str">
        <f>IF(CB77/(INDEX('Standards for Conversions'!$H$34:$H$73,MATCH(CA$3,'Standards for Conversions'!$A$34:$A$73,0)))=0,"",CB77/(INDEX('Standards for Conversions'!$H$34:$H$73,MATCH(CA$3,'Standards for Conversions'!$A$34:$A$73,0))))</f>
        <v/>
      </c>
      <c r="CD77" s="10" t="s">
        <v>42</v>
      </c>
      <c r="CE77" s="7"/>
      <c r="CF77" s="7"/>
      <c r="CG77" s="31" t="str">
        <f>IF(CF77/(INDEX('Standards for Conversions'!$H$34:$H$73,MATCH(CE$3,'Standards for Conversions'!$A$34:$A$73,0)))=0,"",CF77/(INDEX('Standards for Conversions'!$H$34:$H$73,MATCH(CE$3,'Standards for Conversions'!$A$34:$A$73,0))))</f>
        <v/>
      </c>
      <c r="CH77" s="10" t="s">
        <v>42</v>
      </c>
      <c r="CI77" s="7"/>
      <c r="CJ77" s="7"/>
      <c r="CK77" s="31" t="str">
        <f>IF(CJ77/(INDEX('Standards for Conversions'!$H$34:$H$73,MATCH(CI$3,'Standards for Conversions'!$A$34:$A$73,0)))=0,"",CJ77/(INDEX('Standards for Conversions'!$H$34:$H$73,MATCH(CI$3,'Standards for Conversions'!$A$34:$A$73,0))))</f>
        <v/>
      </c>
      <c r="CL77" s="10" t="s">
        <v>42</v>
      </c>
      <c r="CM77" s="9"/>
      <c r="CN77" s="9"/>
      <c r="CO77" s="31" t="str">
        <f>IF(CN77/(INDEX('Standards for Conversions'!$H$34:$H$73,MATCH(CM$3,'Standards for Conversions'!$A$34:$A$73,0)))=0,"",CN77/(INDEX('Standards for Conversions'!$H$34:$H$73,MATCH(CM$3,'Standards for Conversions'!$A$34:$A$73,0))))</f>
        <v/>
      </c>
      <c r="CP77" s="10" t="s">
        <v>42</v>
      </c>
      <c r="CQ77" s="7"/>
      <c r="CR77" s="7"/>
      <c r="CS77" s="31" t="str">
        <f>IF(CR77/(INDEX('Standards for Conversions'!$H$34:$H$73,MATCH(CQ$3,'Standards for Conversions'!$A$34:$A$73,0)))=0,"",CR77/(INDEX('Standards for Conversions'!$H$34:$H$73,MATCH(CQ$3,'Standards for Conversions'!$A$34:$A$73,0))))</f>
        <v/>
      </c>
      <c r="CT77" s="10" t="s">
        <v>42</v>
      </c>
      <c r="CU77" s="7"/>
      <c r="CV77" s="7"/>
      <c r="CW77" s="31" t="str">
        <f>IF(CV77/(INDEX('Standards for Conversions'!$H$34:$H$73,MATCH(CU$3,'Standards for Conversions'!$A$34:$A$73,0)))=0,"",CV77/(INDEX('Standards for Conversions'!$H$34:$H$73,MATCH(CU$3,'Standards for Conversions'!$A$34:$A$73,0))))</f>
        <v/>
      </c>
      <c r="CX77" s="10" t="s">
        <v>42</v>
      </c>
      <c r="CY77" s="7"/>
      <c r="CZ77" s="7"/>
      <c r="DA77" s="31" t="str">
        <f>IF(CZ77/(INDEX('Standards for Conversions'!$H$34:$H$73,MATCH(CY$3,'Standards for Conversions'!$A$34:$A$73,0)))=0,"",CZ77/(INDEX('Standards for Conversions'!$H$34:$H$73,MATCH(CY$3,'Standards for Conversions'!$A$34:$A$73,0))))</f>
        <v/>
      </c>
      <c r="DB77" s="10" t="s">
        <v>42</v>
      </c>
      <c r="DC77" s="9"/>
      <c r="DD77" s="9"/>
      <c r="DE77" s="31" t="str">
        <f>IF(DD77/(INDEX('Standards for Conversions'!$H$34:$H$73,MATCH(DC$3,'Standards for Conversions'!$A$34:$A$73,0)))=0,"",DD77/(INDEX('Standards for Conversions'!$H$34:$H$73,MATCH(DC$3,'Standards for Conversions'!$A$34:$A$73,0))))</f>
        <v/>
      </c>
      <c r="DF77" s="10" t="s">
        <v>42</v>
      </c>
      <c r="DG77" s="7"/>
      <c r="DH77" s="7"/>
      <c r="DI77" s="31" t="str">
        <f>IF(DH77/(INDEX('Standards for Conversions'!$H$34:$H$73,MATCH(DG$3,'Standards for Conversions'!$A$34:$A$73,0)))=0,"",DH77/(INDEX('Standards for Conversions'!$H$34:$H$73,MATCH(DG$3,'Standards for Conversions'!$A$34:$A$73,0))))</f>
        <v/>
      </c>
      <c r="DJ77" s="10" t="s">
        <v>42</v>
      </c>
      <c r="DK77" s="7"/>
      <c r="DL77" s="7"/>
      <c r="DM77" s="31" t="str">
        <f>IF(DL77/(INDEX('Standards for Conversions'!$H$34:$H$73,MATCH(DK$3,'Standards for Conversions'!$A$34:$A$73,0)))=0,"",DL77/(INDEX('Standards for Conversions'!$H$34:$H$73,MATCH(DK$3,'Standards for Conversions'!$A$34:$A$73,0))))</f>
        <v/>
      </c>
      <c r="DN77" s="10" t="s">
        <v>42</v>
      </c>
      <c r="DO77" s="7"/>
      <c r="DP77" s="7"/>
      <c r="DQ77" s="31" t="str">
        <f>IF(DP77/(INDEX('Standards for Conversions'!$H$34:$H$73,MATCH(DO$3,'Standards for Conversions'!$A$34:$A$73,0)))=0,"",DP77/(INDEX('Standards for Conversions'!$H$34:$H$73,MATCH(DO$3,'Standards for Conversions'!$A$34:$A$73,0))))</f>
        <v/>
      </c>
      <c r="DR77" s="10" t="s">
        <v>42</v>
      </c>
      <c r="DS77" s="9"/>
      <c r="DT77" s="9"/>
      <c r="DU77" s="31" t="str">
        <f>IF(DT77/(INDEX('Standards for Conversions'!$H$34:$H$73,MATCH(DS$3,'Standards for Conversions'!$A$34:$A$73,0)))=0,"",DT77/(INDEX('Standards for Conversions'!$H$34:$H$73,MATCH(DS$3,'Standards for Conversions'!$A$34:$A$73,0))))</f>
        <v/>
      </c>
      <c r="DV77" s="10" t="s">
        <v>42</v>
      </c>
      <c r="DW77" s="7"/>
      <c r="DX77" s="7"/>
      <c r="DY77" s="31" t="str">
        <f>IF(DX77/(INDEX('Standards for Conversions'!$H$34:$H$73,MATCH(DW$3,'Standards for Conversions'!$A$34:$A$73,0)))=0,"",DX77/(INDEX('Standards for Conversions'!$H$34:$H$73,MATCH(DW$3,'Standards for Conversions'!$A$34:$A$73,0))))</f>
        <v/>
      </c>
      <c r="DZ77" s="10" t="s">
        <v>42</v>
      </c>
      <c r="EA77" s="7"/>
      <c r="EB77" s="7"/>
      <c r="EC77" s="31" t="str">
        <f>IF(EB77/(INDEX('Standards for Conversions'!$H$34:$H$73,MATCH(EA$3,'Standards for Conversions'!$A$34:$A$73,0)))=0,"",EB77/(INDEX('Standards for Conversions'!$H$34:$H$73,MATCH(EA$3,'Standards for Conversions'!$A$34:$A$73,0))))</f>
        <v/>
      </c>
      <c r="ED77" s="10" t="s">
        <v>42</v>
      </c>
      <c r="EE77" s="7"/>
      <c r="EF77" s="7"/>
      <c r="EG77" s="31" t="str">
        <f>IF(EF77/(INDEX('Standards for Conversions'!$H$34:$H$73,MATCH(EE$3,'Standards for Conversions'!$A$34:$A$73,0)))=0,"",EF77/(INDEX('Standards for Conversions'!$H$34:$H$73,MATCH(EE$3,'Standards for Conversions'!$A$34:$A$73,0))))</f>
        <v/>
      </c>
      <c r="EH77" s="10" t="s">
        <v>42</v>
      </c>
      <c r="EI77" s="9"/>
      <c r="EJ77" s="9"/>
      <c r="EK77" s="31" t="str">
        <f>IF(EJ77/(INDEX('Standards for Conversions'!$H$34:$H$73,MATCH(EI$3,'Standards for Conversions'!$A$34:$A$73,0)))=0,"",EJ77/(INDEX('Standards for Conversions'!$H$34:$H$73,MATCH(EI$3,'Standards for Conversions'!$A$34:$A$73,0))))</f>
        <v/>
      </c>
      <c r="EL77" s="10" t="s">
        <v>42</v>
      </c>
      <c r="EM77" s="7"/>
      <c r="EN77" s="7"/>
      <c r="EO77" s="31" t="str">
        <f>IF(EN77/(INDEX('Standards for Conversions'!$H$34:$H$73,MATCH(EM$3,'Standards for Conversions'!$A$34:$A$73,0)))=0,"",EN77/(INDEX('Standards for Conversions'!$H$34:$H$73,MATCH(EM$3,'Standards for Conversions'!$A$34:$A$73,0))))</f>
        <v/>
      </c>
      <c r="EP77" s="10" t="s">
        <v>42</v>
      </c>
      <c r="EQ77" s="7"/>
      <c r="ER77" s="7"/>
      <c r="ES77" s="31" t="str">
        <f>IF(ER77/(INDEX('Standards for Conversions'!$H$34:$H$73,MATCH(EQ$3,'Standards for Conversions'!$A$34:$A$73,0)))=0,"",ER77/(INDEX('Standards for Conversions'!$H$34:$H$73,MATCH(EQ$3,'Standards for Conversions'!$A$34:$A$73,0))))</f>
        <v/>
      </c>
      <c r="ET77" s="10" t="s">
        <v>42</v>
      </c>
      <c r="EU77" s="7"/>
      <c r="EV77" s="7"/>
      <c r="EW77" s="31" t="str">
        <f>IF(EV77/(INDEX('Standards for Conversions'!$H$34:$H$73,MATCH(EU$3,'Standards for Conversions'!$A$34:$A$73,0)))=0,"",EV77/(INDEX('Standards for Conversions'!$H$34:$H$73,MATCH(EU$3,'Standards for Conversions'!$A$34:$A$73,0))))</f>
        <v/>
      </c>
      <c r="EX77" s="10" t="s">
        <v>42</v>
      </c>
      <c r="EY77" s="9"/>
      <c r="EZ77" s="9"/>
      <c r="FA77" s="31" t="str">
        <f>IF(EZ77/(INDEX('Standards for Conversions'!$H$34:$H$73,MATCH(EY$3,'Standards for Conversions'!$A$34:$A$73,0)))=0,"",EZ77/(INDEX('Standards for Conversions'!$H$34:$H$73,MATCH(EY$3,'Standards for Conversions'!$A$34:$A$73,0))))</f>
        <v/>
      </c>
      <c r="FB77" s="10" t="s">
        <v>42</v>
      </c>
      <c r="FC77" s="7"/>
      <c r="FD77" s="7"/>
      <c r="FE77" s="31" t="str">
        <f>IF(FD77/(INDEX('Standards for Conversions'!$H$34:$H$73,MATCH(FC$3,'Standards for Conversions'!$A$34:$A$73,0)))=0,"",FD77/(INDEX('Standards for Conversions'!$H$34:$H$73,MATCH(FC$3,'Standards for Conversions'!$A$34:$A$73,0))))</f>
        <v/>
      </c>
      <c r="FF77" s="10" t="s">
        <v>42</v>
      </c>
      <c r="FG77" s="7"/>
      <c r="FH77" s="7"/>
      <c r="FI77" s="31" t="str">
        <f>IF(FH77/(INDEX('Standards for Conversions'!$H$34:$H$73,MATCH(FG$3,'Standards for Conversions'!$A$34:$A$73,0)))=0,"",FH77/(INDEX('Standards for Conversions'!$H$34:$H$73,MATCH(FG$3,'Standards for Conversions'!$A$34:$A$73,0))))</f>
        <v/>
      </c>
      <c r="FJ77" s="10" t="s">
        <v>42</v>
      </c>
      <c r="FK77" s="7"/>
      <c r="FL77" s="7"/>
      <c r="FM77" s="31" t="str">
        <f>IF(FL77/(INDEX('Standards for Conversions'!$H$34:$H$73,MATCH(FK$3,'Standards for Conversions'!$A$34:$A$73,0)))=0,"",FL77/(INDEX('Standards for Conversions'!$H$34:$H$73,MATCH(FK$3,'Standards for Conversions'!$A$34:$A$73,0))))</f>
        <v/>
      </c>
      <c r="FN77" s="10" t="s">
        <v>42</v>
      </c>
      <c r="FO77" s="9"/>
      <c r="FP77" s="9"/>
      <c r="FQ77" s="31" t="str">
        <f>IF(FP77/(INDEX('Standards for Conversions'!$H$34:$H$73,MATCH(FO$3,'Standards for Conversions'!$A$34:$A$73,0)))=0,"",FP77/(INDEX('Standards for Conversions'!$H$34:$H$73,MATCH(FO$3,'Standards for Conversions'!$A$34:$A$73,0))))</f>
        <v/>
      </c>
      <c r="FR77" s="10" t="s">
        <v>42</v>
      </c>
      <c r="FS77" s="7"/>
      <c r="FT77" s="7"/>
      <c r="FU77" s="31" t="str">
        <f>IF(FT77/(INDEX('Standards for Conversions'!$H$34:$H$73,MATCH(FS$3,'Standards for Conversions'!$A$34:$A$73,0)))=0,"",FT77/(INDEX('Standards for Conversions'!$H$34:$H$73,MATCH(FS$3,'Standards for Conversions'!$A$34:$A$73,0))))</f>
        <v/>
      </c>
      <c r="FV77" s="10" t="s">
        <v>42</v>
      </c>
      <c r="FW77" s="7"/>
      <c r="FX77" s="7"/>
      <c r="FY77" s="31" t="str">
        <f>IF(FX77/(INDEX('Standards for Conversions'!$H$34:$H$73,MATCH(FW$3,'Standards for Conversions'!$A$34:$A$73,0)))=0,"",FX77/(INDEX('Standards for Conversions'!$H$34:$H$73,MATCH(FW$3,'Standards for Conversions'!$A$34:$A$73,0))))</f>
        <v/>
      </c>
      <c r="FZ77" s="10" t="s">
        <v>42</v>
      </c>
      <c r="GA77" s="7"/>
      <c r="GB77" s="7"/>
      <c r="GC77" s="31" t="str">
        <f>IF(GB77/(INDEX('Standards for Conversions'!$H$34:$H$73,MATCH(GA$3,'Standards for Conversions'!$A$34:$A$73,0)))=0,"",GB77/(INDEX('Standards for Conversions'!$H$34:$H$73,MATCH(GA$3,'Standards for Conversions'!$A$34:$A$73,0))))</f>
        <v/>
      </c>
      <c r="GD77" s="10" t="s">
        <v>42</v>
      </c>
      <c r="GE77" s="9"/>
      <c r="GF77" s="9"/>
      <c r="GG77" s="31" t="str">
        <f>IF(GF77/(INDEX('Standards for Conversions'!$H$34:$H$73,MATCH(GE$3,'Standards for Conversions'!$A$34:$A$73,0)))=0,"",GF77/(INDEX('Standards for Conversions'!$H$34:$H$73,MATCH(GE$3,'Standards for Conversions'!$A$34:$A$73,0))))</f>
        <v/>
      </c>
      <c r="GH77" s="10" t="s">
        <v>42</v>
      </c>
      <c r="GI77" s="7"/>
      <c r="GJ77" s="7"/>
      <c r="GK77" s="31" t="str">
        <f>IF(GJ77/(INDEX('Standards for Conversions'!$H$34:$H$73,MATCH(GI$3,'Standards for Conversions'!$A$34:$A$73,0)))=0,"",GJ77/(INDEX('Standards for Conversions'!$H$34:$H$73,MATCH(GI$3,'Standards for Conversions'!$A$34:$A$73,0))))</f>
        <v/>
      </c>
      <c r="GL77" s="10" t="s">
        <v>42</v>
      </c>
      <c r="GM77" s="7"/>
      <c r="GN77" s="7"/>
      <c r="GO77" s="31" t="str">
        <f>IF(GN77/(INDEX('Standards for Conversions'!$H$34:$H$73,MATCH(GM$3,'Standards for Conversions'!$A$34:$A$73,0)))=0,"",GN77/(INDEX('Standards for Conversions'!$H$34:$H$73,MATCH(GM$3,'Standards for Conversions'!$A$34:$A$73,0))))</f>
        <v/>
      </c>
      <c r="GP77" s="10" t="s">
        <v>42</v>
      </c>
      <c r="GQ77" s="7"/>
      <c r="GR77" s="7"/>
      <c r="GS77" s="31" t="str">
        <f>IF(GR77/(INDEX('Standards for Conversions'!$H$34:$H$73,MATCH(GQ$3,'Standards for Conversions'!$A$34:$A$73,0)))=0,"",GR77/(INDEX('Standards for Conversions'!$H$34:$H$73,MATCH(GQ$3,'Standards for Conversions'!$A$34:$A$73,0))))</f>
        <v/>
      </c>
      <c r="GT77" s="10" t="s">
        <v>42</v>
      </c>
      <c r="GU77" s="9"/>
      <c r="GV77" s="9"/>
      <c r="GW77" s="31" t="str">
        <f>IF(GV77/(INDEX('Standards for Conversions'!$H$34:$H$73,MATCH(GU$3,'Standards for Conversions'!$A$34:$A$73,0)))=0,"",GV77/(INDEX('Standards for Conversions'!$H$34:$H$73,MATCH(GU$3,'Standards for Conversions'!$A$34:$A$73,0))))</f>
        <v/>
      </c>
      <c r="GX77" s="10" t="s">
        <v>42</v>
      </c>
      <c r="GY77" s="7"/>
      <c r="GZ77" s="7"/>
      <c r="HA77" s="31" t="str">
        <f>IF(GZ77/(INDEX('Standards for Conversions'!$H$34:$H$73,MATCH(GY$3,'Standards for Conversions'!$A$34:$A$73,0)))=0,"",GZ77/(INDEX('Standards for Conversions'!$H$34:$H$73,MATCH(GY$3,'Standards for Conversions'!$A$34:$A$73,0))))</f>
        <v/>
      </c>
      <c r="HB77" s="10" t="s">
        <v>42</v>
      </c>
      <c r="HC77" s="7"/>
      <c r="HD77" s="7"/>
      <c r="HE77" s="31" t="str">
        <f>IF(HD77/(INDEX('Standards for Conversions'!$H$34:$H$73,MATCH(HC$3,'Standards for Conversions'!$A$34:$A$73,0)))=0,"",HD77/(INDEX('Standards for Conversions'!$H$34:$H$73,MATCH(HC$3,'Standards for Conversions'!$A$34:$A$73,0))))</f>
        <v/>
      </c>
      <c r="HF77" s="10" t="s">
        <v>42</v>
      </c>
      <c r="HG77" s="7"/>
      <c r="HH77" s="7"/>
      <c r="HI77" s="31" t="str">
        <f>IF(HH77/(INDEX('Standards for Conversions'!$H$34:$H$73,MATCH(HG$3,'Standards for Conversions'!$A$34:$A$73,0)))=0,"",HH77/(INDEX('Standards for Conversions'!$H$34:$H$73,MATCH(HG$3,'Standards for Conversions'!$A$34:$A$73,0))))</f>
        <v/>
      </c>
      <c r="HJ77" s="10" t="s">
        <v>42</v>
      </c>
      <c r="HK77" s="9"/>
      <c r="HL77" s="9"/>
      <c r="HM77" s="31" t="str">
        <f>IF(HL77/(INDEX('Standards for Conversions'!$H$34:$H$73,MATCH(HK$3,'Standards for Conversions'!$A$34:$A$73,0)))=0,"",HL77/(INDEX('Standards for Conversions'!$H$34:$H$73,MATCH(HK$3,'Standards for Conversions'!$A$34:$A$73,0))))</f>
        <v/>
      </c>
      <c r="HN77" s="10" t="s">
        <v>42</v>
      </c>
      <c r="HO77" s="7"/>
      <c r="HP77" s="7"/>
      <c r="HQ77" s="31" t="str">
        <f>IF(HP77/(INDEX('Standards for Conversions'!$H$34:$H$73,MATCH(HO$3,'Standards for Conversions'!$A$34:$A$73,0)))=0,"",HP77/(INDEX('Standards for Conversions'!$H$34:$H$73,MATCH(HO$3,'Standards for Conversions'!$A$34:$A$73,0))))</f>
        <v/>
      </c>
      <c r="HR77" s="33" t="s">
        <v>42</v>
      </c>
      <c r="HU77" s="31" t="str">
        <f>IF(HT77/(INDEX('Standards for Conversions'!$H$47:$H$73,MATCH(HS$3,'Standards for Conversions'!$A$47:$A$73,0)))=0,"",HT77/(INDEX('Standards for Conversions'!$H$47:$H$73,MATCH(HS$3,'Standards for Conversions'!$A$47:$A$73,0))))</f>
        <v/>
      </c>
      <c r="HV77" s="33" t="s">
        <v>42</v>
      </c>
      <c r="HY77" s="31" t="str">
        <f>IF(HX77/(INDEX('Standards for Conversions'!$H$47:$H$73,MATCH(HW$3,'Standards for Conversions'!$A$47:$A$73,0)))=0,"",HX77/(INDEX('Standards for Conversions'!$H$47:$H$73,MATCH(HW$3,'Standards for Conversions'!$A$47:$A$73,0))))</f>
        <v/>
      </c>
      <c r="HZ77" s="33"/>
      <c r="IA77" s="33"/>
      <c r="IB77" s="31" t="str">
        <f>IF(IA77/(INDEX('Standards for Conversions'!$H$47:$H$73,MATCH(HZ$3,'Standards for Conversions'!$A$47:$A$73,0)))=0,"",IA77/(INDEX('Standards for Conversions'!$H$47:$H$73,MATCH(HZ$3,'Standards for Conversions'!$A$47:$A$73,0))))</f>
        <v/>
      </c>
      <c r="IC77" s="33" t="s">
        <v>42</v>
      </c>
      <c r="ID77" s="29">
        <v>80</v>
      </c>
      <c r="IE77" s="29">
        <v>400</v>
      </c>
      <c r="IF77" s="31">
        <f>IF(IE77/(INDEX('Standards for Conversions'!$H$47:$H$73,MATCH(ID$3,'Standards for Conversions'!$A$47:$A$73,0)))=0,"",IE77/(INDEX('Standards for Conversions'!$H$47:$H$73,MATCH(ID$3,'Standards for Conversions'!$A$47:$A$73,0))))</f>
        <v>58.098164885142381</v>
      </c>
      <c r="IG77" s="33" t="s">
        <v>42</v>
      </c>
      <c r="IJ77" s="31" t="str">
        <f>IF(II77/(INDEX('Standards for Conversions'!$H$47:$H$73,MATCH(IH$3,'Standards for Conversions'!$A$47:$A$73,0)))=0,"",II77/(INDEX('Standards for Conversions'!$H$47:$H$73,MATCH(IH$3,'Standards for Conversions'!$A$47:$A$73,0))))</f>
        <v/>
      </c>
      <c r="IK77" s="33" t="s">
        <v>42</v>
      </c>
      <c r="IN77" s="31" t="str">
        <f>IF(IM77/(INDEX('Standards for Conversions'!$H$47:$H$73,MATCH(IL$3,'Standards for Conversions'!$A$47:$A$73,0)))=0,"",IM77/(INDEX('Standards for Conversions'!$H$47:$H$73,MATCH(IL$3,'Standards for Conversions'!$A$47:$A$73,0))))</f>
        <v/>
      </c>
      <c r="IO77" s="33" t="s">
        <v>42</v>
      </c>
      <c r="IR77" s="31" t="str">
        <f>IF(IQ77/(INDEX('Standards for Conversions'!$H$47:$H$73,MATCH(IP$3,'Standards for Conversions'!$A$47:$A$73,0)))=0,"",IQ77/(INDEX('Standards for Conversions'!$H$47:$H$73,MATCH(IP$3,'Standards for Conversions'!$A$47:$A$73,0))))</f>
        <v/>
      </c>
      <c r="IS77" s="33" t="s">
        <v>42</v>
      </c>
      <c r="IT77" s="29">
        <v>141</v>
      </c>
      <c r="IU77" s="29">
        <v>705</v>
      </c>
      <c r="IV77" s="31">
        <f>IF(IU77/(INDEX('Standards for Conversions'!$H$47:$H$73,MATCH(IT$3,'Standards for Conversions'!$A$47:$A$73,0)))=0,"",IU77/(INDEX('Standards for Conversions'!$H$47:$H$73,MATCH(IT$3,'Standards for Conversions'!$A$47:$A$73,0))))</f>
        <v>101.95021087707481</v>
      </c>
      <c r="IW77" s="33" t="s">
        <v>42</v>
      </c>
      <c r="IZ77" s="31" t="str">
        <f>IF(IY77/(INDEX('Standards for Conversions'!$H$47:$H$73,MATCH(IX$3,'Standards for Conversions'!$A$47:$A$73,0)))=0,"",IY77/(INDEX('Standards for Conversions'!$H$47:$H$73,MATCH(IX$3,'Standards for Conversions'!$A$47:$A$73,0))))</f>
        <v/>
      </c>
      <c r="JA77" s="33" t="s">
        <v>42</v>
      </c>
      <c r="JD77" s="31" t="str">
        <f>IF(JC77/(INDEX('Standards for Conversions'!$H$47:$H$73,MATCH(JB$3,'Standards for Conversions'!$A$47:$A$73,0)))=0,"",JC77/(INDEX('Standards for Conversions'!$H$47:$H$73,MATCH(JB$3,'Standards for Conversions'!$A$47:$A$73,0))))</f>
        <v/>
      </c>
      <c r="JE77" s="33" t="s">
        <v>42</v>
      </c>
      <c r="JH77" s="31" t="str">
        <f>IF(JG77/(INDEX('Standards for Conversions'!$H$47:$H$73,MATCH(JF$3,'Standards for Conversions'!$A$47:$A$73,0)))=0,"",JG77/(INDEX('Standards for Conversions'!$H$47:$H$73,MATCH(JF$3,'Standards for Conversions'!$A$47:$A$73,0))))</f>
        <v/>
      </c>
      <c r="JI77" s="48" t="s">
        <v>42</v>
      </c>
      <c r="JJ77" s="29">
        <v>180</v>
      </c>
      <c r="JK77" s="29">
        <v>300</v>
      </c>
      <c r="JL77" s="31">
        <f>IF(JK77/(INDEX('Standards for Conversions'!$H$47:$H$73,MATCH(JJ$3,'Standards for Conversions'!$A$47:$A$73,0)))=0,"",JK77/(INDEX('Standards for Conversions'!$H$47:$H$73,MATCH(JJ$3,'Standards for Conversions'!$A$47:$A$73,0))))</f>
        <v>48.528059007560607</v>
      </c>
      <c r="JM77" s="33" t="s">
        <v>48</v>
      </c>
      <c r="JP77" s="31" t="str">
        <f>IF(JO77/(INDEX('Standards for Conversions'!$H$47:$H$73,MATCH(JN$3,'Standards for Conversions'!$A$47:$A$73,0)))=0,"",JO77/(INDEX('Standards for Conversions'!$H$47:$H$73,MATCH(JN$3,'Standards for Conversions'!$A$47:$A$73,0))))</f>
        <v/>
      </c>
      <c r="JQ77" s="33" t="s">
        <v>48</v>
      </c>
      <c r="JT77" s="31" t="str">
        <f>IF(JS77/(INDEX('Standards for Conversions'!$H$47:$H$73,MATCH(JR$3,'Standards for Conversions'!$A$47:$A$73,0)))=0,"",JS77/(INDEX('Standards for Conversions'!$H$47:$H$73,MATCH(JR$3,'Standards for Conversions'!$A$47:$A$73,0))))</f>
        <v/>
      </c>
      <c r="JU77" s="33" t="s">
        <v>48</v>
      </c>
      <c r="JX77" s="31" t="str">
        <f>IF(JW77/(INDEX('Standards for Conversions'!$H$47:$H$73,MATCH(JV$3,'Standards for Conversions'!$A$47:$A$73,0)))=0,"",JW77/(INDEX('Standards for Conversions'!$H$47:$H$73,MATCH(JV$3,'Standards for Conversions'!$A$47:$A$73,0))))</f>
        <v/>
      </c>
      <c r="JY77" s="33" t="s">
        <v>48</v>
      </c>
      <c r="JZ77" s="29">
        <v>200</v>
      </c>
      <c r="KA77" s="29">
        <v>400</v>
      </c>
      <c r="KB77" s="31">
        <f>IF(KA77/(INDEX('Standards for Conversions'!$H$47:$H$73,MATCH(JZ$3,'Standards for Conversions'!$A$47:$A$73,0)))=0,"",KA77/(INDEX('Standards for Conversions'!$H$47:$H$73,MATCH(JZ$3,'Standards for Conversions'!$A$47:$A$73,0))))</f>
        <v>61.062356971119023</v>
      </c>
      <c r="KC77" s="33" t="s">
        <v>48</v>
      </c>
      <c r="KF77" s="31" t="str">
        <f>IF(KE77/(INDEX('Standards for Conversions'!$H$47:$H$73,MATCH(KD$3,'Standards for Conversions'!$A$47:$A$73,0)))=0,"",KE77/(INDEX('Standards for Conversions'!$H$47:$H$73,MATCH(KD$3,'Standards for Conversions'!$A$47:$A$73,0))))</f>
        <v/>
      </c>
      <c r="KG77" s="33" t="s">
        <v>48</v>
      </c>
      <c r="KJ77" s="31" t="str">
        <f>IF(KI77/(INDEX('Standards for Conversions'!$H$47:$H$73,MATCH(KH$3,'Standards for Conversions'!$A$47:$A$73,0)))=0,"",KI77/(INDEX('Standards for Conversions'!$H$47:$H$73,MATCH(KH$3,'Standards for Conversions'!$A$47:$A$73,0))))</f>
        <v/>
      </c>
      <c r="KK77" s="33" t="s">
        <v>48</v>
      </c>
      <c r="KN77" s="31" t="str">
        <f>IF(KM77/(INDEX('Standards for Conversions'!$H$47:$H$73,MATCH(KL$3,'Standards for Conversions'!$A$47:$A$73,0)))=0,"",KM77/(INDEX('Standards for Conversions'!$H$47:$H$73,MATCH(KL$3,'Standards for Conversions'!$A$47:$A$73,0))))</f>
        <v/>
      </c>
      <c r="KO77" s="48" t="s">
        <v>48</v>
      </c>
      <c r="KP77" s="29">
        <v>180</v>
      </c>
      <c r="KQ77" s="29">
        <v>400</v>
      </c>
      <c r="KR77" s="31">
        <f>IF(KQ77/(INDEX('Standards for Conversions'!$H$47:$H$73,MATCH(KP$3,'Standards for Conversions'!$A$47:$A$73,0)))=0,"",KQ77/(INDEX('Standards for Conversions'!$H$47:$H$73,MATCH(KP$3,'Standards for Conversions'!$A$47:$A$73,0))))</f>
        <v>53.863604762318587</v>
      </c>
      <c r="KS77" s="33" t="s">
        <v>42</v>
      </c>
      <c r="KV77" s="31" t="str">
        <f>IF(KU77/(INDEX('Standards for Conversions'!$H$47:$H$73,MATCH(KT$3,'Standards for Conversions'!$A$47:$A$73,0)))=0,"",KU77/(INDEX('Standards for Conversions'!$H$47:$H$73,MATCH(KT$3,'Standards for Conversions'!$A$47:$A$73,0))))</f>
        <v/>
      </c>
      <c r="KW77" s="33" t="s">
        <v>42</v>
      </c>
      <c r="KZ77" s="31" t="str">
        <f>IF(KY77/(INDEX('Standards for Conversions'!$H$47:$H$73,MATCH(KX$3,'Standards for Conversions'!$A$47:$A$73,0)))=0,"",KY77/(INDEX('Standards for Conversions'!$H$47:$H$73,MATCH(KX$3,'Standards for Conversions'!$A$47:$A$73,0))))</f>
        <v/>
      </c>
      <c r="LA77" s="33" t="s">
        <v>42</v>
      </c>
      <c r="LD77" s="31" t="str">
        <f>IF(LC77/(INDEX('Standards for Conversions'!$H$47:$H$73,MATCH(LB$3,'Standards for Conversions'!$A$47:$A$73,0)))=0,"",LC77/(INDEX('Standards for Conversions'!$H$47:$H$73,MATCH(LB$3,'Standards for Conversions'!$A$47:$A$73,0))))</f>
        <v/>
      </c>
      <c r="LE77" s="48" t="s">
        <v>42</v>
      </c>
      <c r="LF77" s="29">
        <v>30</v>
      </c>
      <c r="LG77" s="29">
        <v>100</v>
      </c>
      <c r="LH77" s="31">
        <f>IF(LG77/(INDEX('Standards for Conversions'!$H$47:$H$73,MATCH(LF$3,'Standards for Conversions'!$A$47:$A$73,0)))=0,"",LG77/(INDEX('Standards for Conversions'!$H$47:$H$73,MATCH(LF$3,'Standards for Conversions'!$A$47:$A$73,0))))</f>
        <v>12.161656672749919</v>
      </c>
      <c r="LL77" s="31" t="str">
        <f>IF(LK77/(INDEX('Standards for Conversions'!$H$47:$H$73,MATCH(LJ$3,'Standards for Conversions'!$A$47:$A$73,0)))=0,"",LK77/(INDEX('Standards for Conversions'!$H$47:$H$73,MATCH(LJ$3,'Standards for Conversions'!$A$47:$A$73,0))))</f>
        <v/>
      </c>
      <c r="LO77" s="31" t="str">
        <f>IF(LN77/(INDEX('Standards for Conversions'!$H$47:$H$73,MATCH(LM$3,'Standards for Conversions'!$A$47:$A$73,0)))=0,"",LN77/(INDEX('Standards for Conversions'!$H$47:$H$73,MATCH(LM$3,'Standards for Conversions'!$A$47:$A$73,0))))</f>
        <v/>
      </c>
      <c r="LR77" s="31" t="str">
        <f>IF(LQ77/(INDEX('Standards for Conversions'!$H$47:$H$73,MATCH(LP$3,'Standards for Conversions'!$A$47:$A$73,0)))=0,"",LQ77/(INDEX('Standards for Conversions'!$H$47:$H$73,MATCH(LP$3,'Standards for Conversions'!$A$47:$A$73,0))))</f>
        <v/>
      </c>
      <c r="LV77" s="31" t="str">
        <f>IF(LU77/(INDEX('Standards for Conversions'!$H$47:$H$73,MATCH(LT$3,'Standards for Conversions'!$A$47:$A$73,0)))=0,"",LU77/(INDEX('Standards for Conversions'!$H$47:$H$73,MATCH(LT$3,'Standards for Conversions'!$A$47:$A$73,0))))</f>
        <v/>
      </c>
      <c r="LY77" s="31" t="str">
        <f>IF(LX77/(INDEX('Standards for Conversions'!$H$47:$H$73,MATCH(LW$3,'Standards for Conversions'!$A$47:$A$73,0)))=0,"",LX77/(INDEX('Standards for Conversions'!$H$47:$H$73,MATCH(LW$3,'Standards for Conversions'!$A$47:$A$73,0))))</f>
        <v/>
      </c>
      <c r="MB77" s="31" t="str">
        <f>IF(MA77/(INDEX('Standards for Conversions'!$H$47:$H$73,MATCH(LZ$3,'Standards for Conversions'!$A$47:$A$73,0)))=0,"",MA77/(INDEX('Standards for Conversions'!$H$47:$H$73,MATCH(LZ$3,'Standards for Conversions'!$A$47:$A$73,0))))</f>
        <v/>
      </c>
      <c r="ME77" s="31" t="str">
        <f>IF(MD77/(INDEX('Standards for Conversions'!$H$47:$H$73,MATCH(MC$3,'Standards for Conversions'!$A$47:$A$73,0)))=0,"",MD77/(INDEX('Standards for Conversions'!$H$47:$H$73,MATCH(MC$3,'Standards for Conversions'!$A$47:$A$73,0))))</f>
        <v/>
      </c>
      <c r="MH77" s="31" t="str">
        <f>IF(MG77/(INDEX('Standards for Conversions'!$H$47:$H$73,MATCH(MF$3,'Standards for Conversions'!$A$47:$A$73,0)))=0,"",MG77/(INDEX('Standards for Conversions'!$H$47:$H$73,MATCH(MF$3,'Standards for Conversions'!$A$47:$A$73,0))))</f>
        <v/>
      </c>
      <c r="MK77" s="31" t="str">
        <f>IF(MJ77/(INDEX('Standards for Conversions'!$H$47:$H$73,MATCH(MI$3,'Standards for Conversions'!$A$47:$A$73,0)))=0,"",MJ77/(INDEX('Standards for Conversions'!$H$47:$H$73,MATCH(MI$3,'Standards for Conversions'!$A$47:$A$73,0))))</f>
        <v/>
      </c>
      <c r="MN77" s="31" t="str">
        <f>IF(MM77/(INDEX('Standards for Conversions'!$H$47:$H$73,MATCH(ML$3,'Standards for Conversions'!$A$47:$A$73,0)))=0,"",MM77/(INDEX('Standards for Conversions'!$H$47:$H$73,MATCH(ML$3,'Standards for Conversions'!$A$47:$A$73,0))))</f>
        <v/>
      </c>
      <c r="MR77" s="31" t="str">
        <f>IF(MQ77/(INDEX('Standards for Conversions'!$H$47:$H$73,MATCH(MP$3,'Standards for Conversions'!$A$47:$A$73,0)))=0,"",MQ77/(INDEX('Standards for Conversions'!$H$47:$H$73,MATCH(MP$3,'Standards for Conversions'!$A$47:$A$73,0))))</f>
        <v/>
      </c>
    </row>
    <row r="78" spans="1:369" hidden="1" x14ac:dyDescent="0.3">
      <c r="A78" s="103" t="s">
        <v>370</v>
      </c>
      <c r="B78" s="10" t="s">
        <v>38</v>
      </c>
      <c r="C78" s="7"/>
      <c r="D78" s="7"/>
      <c r="E78" s="31" t="str">
        <f>IF(D78/(INDEX('Standards for Conversions'!$H$34:$H$73,MATCH(C$3,'Standards for Conversions'!$A$34:$A$73,0)))=0,"",D78/(INDEX('Standards for Conversions'!$H$34:$H$73,MATCH(C$3,'Standards for Conversions'!$A$34:$A$73,0))))</f>
        <v/>
      </c>
      <c r="F78" s="10" t="s">
        <v>38</v>
      </c>
      <c r="G78" s="7"/>
      <c r="H78" s="7"/>
      <c r="I78" s="31" t="str">
        <f>IF(H78/(INDEX('Standards for Conversions'!$H$34:$H$73,MATCH(G$3,'Standards for Conversions'!$A$34:$A$73,0)))=0,"",H78/(INDEX('Standards for Conversions'!$H$34:$H$73,MATCH(G$3,'Standards for Conversions'!$A$34:$A$73,0))))</f>
        <v/>
      </c>
      <c r="J78" s="10" t="s">
        <v>38</v>
      </c>
      <c r="K78" s="9"/>
      <c r="L78" s="9"/>
      <c r="M78" s="31" t="str">
        <f>IF(L78/(INDEX('Standards for Conversions'!$H$34:$H$73,MATCH(K$3,'Standards for Conversions'!$A$34:$A$73,0)))=0,"",L78/(INDEX('Standards for Conversions'!$H$34:$H$73,MATCH(K$3,'Standards for Conversions'!$A$34:$A$73,0))))</f>
        <v/>
      </c>
      <c r="N78" s="10" t="s">
        <v>38</v>
      </c>
      <c r="O78" s="7"/>
      <c r="P78" s="7"/>
      <c r="Q78" s="31" t="str">
        <f>IF(P78/(INDEX('Standards for Conversions'!$H$34:$H$73,MATCH(O$3,'Standards for Conversions'!$A$34:$A$73,0)))=0,"",P78/(INDEX('Standards for Conversions'!$H$34:$H$73,MATCH(O$3,'Standards for Conversions'!$A$34:$A$73,0))))</f>
        <v/>
      </c>
      <c r="R78" s="10" t="s">
        <v>38</v>
      </c>
      <c r="S78" s="7"/>
      <c r="T78" s="7"/>
      <c r="U78" s="31" t="str">
        <f>IF(T78/(INDEX('Standards for Conversions'!$H$34:$H$73,MATCH(S$3,'Standards for Conversions'!$A$34:$A$73,0)))=0,"",T78/(INDEX('Standards for Conversions'!$H$34:$H$73,MATCH(S$3,'Standards for Conversions'!$A$34:$A$73,0))))</f>
        <v/>
      </c>
      <c r="V78" s="10" t="s">
        <v>38</v>
      </c>
      <c r="W78" s="7"/>
      <c r="X78" s="7"/>
      <c r="Y78" s="31" t="str">
        <f>IF(X78/(INDEX('Standards for Conversions'!$H$34:$H$73,MATCH(W$3,'Standards for Conversions'!$A$34:$A$73,0)))=0,"",X78/(INDEX('Standards for Conversions'!$H$34:$H$73,MATCH(W$3,'Standards for Conversions'!$A$34:$A$73,0))))</f>
        <v/>
      </c>
      <c r="Z78" s="10" t="s">
        <v>38</v>
      </c>
      <c r="AA78" s="9"/>
      <c r="AB78" s="9"/>
      <c r="AC78" s="31" t="str">
        <f>IF(AB78/(INDEX('Standards for Conversions'!$H$34:$H$73,MATCH(AA$3,'Standards for Conversions'!$A$34:$A$73,0)))=0,"",AB78/(INDEX('Standards for Conversions'!$H$34:$H$73,MATCH(AA$3,'Standards for Conversions'!$A$34:$A$73,0))))</f>
        <v/>
      </c>
      <c r="AD78" s="10" t="s">
        <v>38</v>
      </c>
      <c r="AE78" s="7"/>
      <c r="AF78" s="7"/>
      <c r="AG78" s="31" t="str">
        <f>IF(AF78/(INDEX('Standards for Conversions'!$H$34:$H$73,MATCH(AE$3,'Standards for Conversions'!$A$34:$A$73,0)))=0,"",AF78/(INDEX('Standards for Conversions'!$H$34:$H$73,MATCH(AE$3,'Standards for Conversions'!$A$34:$A$73,0))))</f>
        <v/>
      </c>
      <c r="AH78" s="10" t="s">
        <v>38</v>
      </c>
      <c r="AI78" s="7"/>
      <c r="AJ78" s="7"/>
      <c r="AK78" s="31" t="str">
        <f>IF(AJ78/(INDEX('Standards for Conversions'!$H$34:$H$73,MATCH(AI$3,'Standards for Conversions'!$A$34:$A$73,0)))=0,"",AJ78/(INDEX('Standards for Conversions'!$H$34:$H$73,MATCH(AI$3,'Standards for Conversions'!$A$34:$A$73,0))))</f>
        <v/>
      </c>
      <c r="AL78" s="10" t="s">
        <v>38</v>
      </c>
      <c r="AM78" s="7"/>
      <c r="AN78" s="7"/>
      <c r="AO78" s="31" t="str">
        <f>IF(AN78/(INDEX('Standards for Conversions'!$H$34:$H$73,MATCH(AM$3,'Standards for Conversions'!$A$34:$A$73,0)))=0,"",AN78/(INDEX('Standards for Conversions'!$H$34:$H$73,MATCH(AM$3,'Standards for Conversions'!$A$34:$A$73,0))))</f>
        <v/>
      </c>
      <c r="AP78" s="10" t="s">
        <v>38</v>
      </c>
      <c r="AQ78" s="9"/>
      <c r="AR78" s="9"/>
      <c r="AS78" s="31" t="str">
        <f>IF(AR78/(INDEX('Standards for Conversions'!$H$34:$H$73,MATCH(AQ$3,'Standards for Conversions'!$A$34:$A$73,0)))=0,"",AR78/(INDEX('Standards for Conversions'!$H$34:$H$73,MATCH(AQ$3,'Standards for Conversions'!$A$34:$A$73,0))))</f>
        <v/>
      </c>
      <c r="AT78" s="10" t="s">
        <v>38</v>
      </c>
      <c r="AU78" s="7"/>
      <c r="AV78" s="7"/>
      <c r="AW78" s="31" t="str">
        <f>IF(AV78/(INDEX('Standards for Conversions'!$H$34:$H$73,MATCH(AU$3,'Standards for Conversions'!$A$34:$A$73,0)))=0,"",AV78/(INDEX('Standards for Conversions'!$H$34:$H$73,MATCH(AU$3,'Standards for Conversions'!$A$34:$A$73,0))))</f>
        <v/>
      </c>
      <c r="AX78" s="10" t="s">
        <v>38</v>
      </c>
      <c r="AY78" s="7"/>
      <c r="AZ78" s="7"/>
      <c r="BA78" s="31" t="str">
        <f>IF(AZ78/(INDEX('Standards for Conversions'!$H$34:$H$73,MATCH(AY$3,'Standards for Conversions'!$A$34:$A$73,0)))=0,"",AZ78/(INDEX('Standards for Conversions'!$H$34:$H$73,MATCH(AY$3,'Standards for Conversions'!$A$34:$A$73,0))))</f>
        <v/>
      </c>
      <c r="BB78" s="10" t="s">
        <v>38</v>
      </c>
      <c r="BC78" s="7"/>
      <c r="BD78" s="7"/>
      <c r="BE78" s="31" t="str">
        <f>IF(BD78/(INDEX('Standards for Conversions'!$H$34:$H$73,MATCH(BC$3,'Standards for Conversions'!$A$34:$A$73,0)))=0,"",BD78/(INDEX('Standards for Conversions'!$H$34:$H$73,MATCH(BC$3,'Standards for Conversions'!$A$34:$A$73,0))))</f>
        <v/>
      </c>
      <c r="BF78" s="10" t="s">
        <v>38</v>
      </c>
      <c r="BG78" s="9"/>
      <c r="BH78" s="9"/>
      <c r="BI78" s="31" t="str">
        <f>IF(BH78/(INDEX('Standards for Conversions'!$H$34:$H$73,MATCH(BG$3,'Standards for Conversions'!$A$34:$A$73,0)))=0,"",BH78/(INDEX('Standards for Conversions'!$H$34:$H$73,MATCH(BG$3,'Standards for Conversions'!$A$34:$A$73,0))))</f>
        <v/>
      </c>
      <c r="BJ78" s="10" t="s">
        <v>38</v>
      </c>
      <c r="BK78" s="7"/>
      <c r="BL78" s="7"/>
      <c r="BM78" s="31" t="str">
        <f>IF(BL78/(INDEX('Standards for Conversions'!$H$34:$H$73,MATCH(BK$3,'Standards for Conversions'!$A$34:$A$73,0)))=0,"",BL78/(INDEX('Standards for Conversions'!$H$34:$H$73,MATCH(BK$3,'Standards for Conversions'!$A$34:$A$73,0))))</f>
        <v/>
      </c>
      <c r="BN78" s="10" t="s">
        <v>38</v>
      </c>
      <c r="BO78" s="7"/>
      <c r="BP78" s="7"/>
      <c r="BQ78" s="31" t="str">
        <f>IF(BP78/(INDEX('Standards for Conversions'!$H$34:$H$73,MATCH(BO$3,'Standards for Conversions'!$A$34:$A$73,0)))=0,"",BP78/(INDEX('Standards for Conversions'!$H$34:$H$73,MATCH(BO$3,'Standards for Conversions'!$A$34:$A$73,0))))</f>
        <v/>
      </c>
      <c r="BR78" s="10" t="s">
        <v>38</v>
      </c>
      <c r="BS78" s="7"/>
      <c r="BT78" s="7"/>
      <c r="BU78" s="31" t="str">
        <f>IF(BT78/(INDEX('Standards for Conversions'!$H$34:$H$73,MATCH(BS$3,'Standards for Conversions'!$A$34:$A$73,0)))=0,"",BT78/(INDEX('Standards for Conversions'!$H$34:$H$73,MATCH(BS$3,'Standards for Conversions'!$A$34:$A$73,0))))</f>
        <v/>
      </c>
      <c r="BV78" s="10" t="s">
        <v>38</v>
      </c>
      <c r="BW78" s="9"/>
      <c r="BX78" s="9"/>
      <c r="BY78" s="31" t="str">
        <f>IF(BX78/(INDEX('Standards for Conversions'!$H$34:$H$73,MATCH(BW$3,'Standards for Conversions'!$A$34:$A$73,0)))=0,"",BX78/(INDEX('Standards for Conversions'!$H$34:$H$73,MATCH(BW$3,'Standards for Conversions'!$A$34:$A$73,0))))</f>
        <v/>
      </c>
      <c r="BZ78" s="10" t="s">
        <v>38</v>
      </c>
      <c r="CA78" s="7"/>
      <c r="CB78" s="7"/>
      <c r="CC78" s="31" t="str">
        <f>IF(CB78/(INDEX('Standards for Conversions'!$H$34:$H$73,MATCH(CA$3,'Standards for Conversions'!$A$34:$A$73,0)))=0,"",CB78/(INDEX('Standards for Conversions'!$H$34:$H$73,MATCH(CA$3,'Standards for Conversions'!$A$34:$A$73,0))))</f>
        <v/>
      </c>
      <c r="CD78" s="10" t="s">
        <v>38</v>
      </c>
      <c r="CE78" s="7"/>
      <c r="CF78" s="7"/>
      <c r="CG78" s="31" t="str">
        <f>IF(CF78/(INDEX('Standards for Conversions'!$H$34:$H$73,MATCH(CE$3,'Standards for Conversions'!$A$34:$A$73,0)))=0,"",CF78/(INDEX('Standards for Conversions'!$H$34:$H$73,MATCH(CE$3,'Standards for Conversions'!$A$34:$A$73,0))))</f>
        <v/>
      </c>
      <c r="CH78" s="10" t="s">
        <v>38</v>
      </c>
      <c r="CI78" s="7"/>
      <c r="CJ78" s="7"/>
      <c r="CK78" s="31" t="str">
        <f>IF(CJ78/(INDEX('Standards for Conversions'!$H$34:$H$73,MATCH(CI$3,'Standards for Conversions'!$A$34:$A$73,0)))=0,"",CJ78/(INDEX('Standards for Conversions'!$H$34:$H$73,MATCH(CI$3,'Standards for Conversions'!$A$34:$A$73,0))))</f>
        <v/>
      </c>
      <c r="CL78" s="10" t="s">
        <v>38</v>
      </c>
      <c r="CM78" s="9"/>
      <c r="CN78" s="9"/>
      <c r="CO78" s="31" t="str">
        <f>IF(CN78/(INDEX('Standards for Conversions'!$H$34:$H$73,MATCH(CM$3,'Standards for Conversions'!$A$34:$A$73,0)))=0,"",CN78/(INDEX('Standards for Conversions'!$H$34:$H$73,MATCH(CM$3,'Standards for Conversions'!$A$34:$A$73,0))))</f>
        <v/>
      </c>
      <c r="CP78" s="10" t="s">
        <v>38</v>
      </c>
      <c r="CQ78" s="7"/>
      <c r="CR78" s="7"/>
      <c r="CS78" s="31" t="str">
        <f>IF(CR78/(INDEX('Standards for Conversions'!$H$34:$H$73,MATCH(CQ$3,'Standards for Conversions'!$A$34:$A$73,0)))=0,"",CR78/(INDEX('Standards for Conversions'!$H$34:$H$73,MATCH(CQ$3,'Standards for Conversions'!$A$34:$A$73,0))))</f>
        <v/>
      </c>
      <c r="CT78" s="10" t="s">
        <v>38</v>
      </c>
      <c r="CU78" s="7"/>
      <c r="CV78" s="7"/>
      <c r="CW78" s="31" t="str">
        <f>IF(CV78/(INDEX('Standards for Conversions'!$H$34:$H$73,MATCH(CU$3,'Standards for Conversions'!$A$34:$A$73,0)))=0,"",CV78/(INDEX('Standards for Conversions'!$H$34:$H$73,MATCH(CU$3,'Standards for Conversions'!$A$34:$A$73,0))))</f>
        <v/>
      </c>
      <c r="CX78" s="10" t="s">
        <v>38</v>
      </c>
      <c r="CY78" s="7"/>
      <c r="CZ78" s="7"/>
      <c r="DA78" s="31" t="str">
        <f>IF(CZ78/(INDEX('Standards for Conversions'!$H$34:$H$73,MATCH(CY$3,'Standards for Conversions'!$A$34:$A$73,0)))=0,"",CZ78/(INDEX('Standards for Conversions'!$H$34:$H$73,MATCH(CY$3,'Standards for Conversions'!$A$34:$A$73,0))))</f>
        <v/>
      </c>
      <c r="DB78" s="10" t="s">
        <v>38</v>
      </c>
      <c r="DC78" s="9"/>
      <c r="DD78" s="9"/>
      <c r="DE78" s="31" t="str">
        <f>IF(DD78/(INDEX('Standards for Conversions'!$H$34:$H$73,MATCH(DC$3,'Standards for Conversions'!$A$34:$A$73,0)))=0,"",DD78/(INDEX('Standards for Conversions'!$H$34:$H$73,MATCH(DC$3,'Standards for Conversions'!$A$34:$A$73,0))))</f>
        <v/>
      </c>
      <c r="DF78" s="10" t="s">
        <v>38</v>
      </c>
      <c r="DG78" s="7"/>
      <c r="DH78" s="7"/>
      <c r="DI78" s="31" t="str">
        <f>IF(DH78/(INDEX('Standards for Conversions'!$H$34:$H$73,MATCH(DG$3,'Standards for Conversions'!$A$34:$A$73,0)))=0,"",DH78/(INDEX('Standards for Conversions'!$H$34:$H$73,MATCH(DG$3,'Standards for Conversions'!$A$34:$A$73,0))))</f>
        <v/>
      </c>
      <c r="DJ78" s="10" t="s">
        <v>38</v>
      </c>
      <c r="DK78" s="7"/>
      <c r="DL78" s="7"/>
      <c r="DM78" s="31" t="str">
        <f>IF(DL78/(INDEX('Standards for Conversions'!$H$34:$H$73,MATCH(DK$3,'Standards for Conversions'!$A$34:$A$73,0)))=0,"",DL78/(INDEX('Standards for Conversions'!$H$34:$H$73,MATCH(DK$3,'Standards for Conversions'!$A$34:$A$73,0))))</f>
        <v/>
      </c>
      <c r="DN78" s="10" t="s">
        <v>38</v>
      </c>
      <c r="DO78" s="7"/>
      <c r="DP78" s="7"/>
      <c r="DQ78" s="31" t="str">
        <f>IF(DP78/(INDEX('Standards for Conversions'!$H$34:$H$73,MATCH(DO$3,'Standards for Conversions'!$A$34:$A$73,0)))=0,"",DP78/(INDEX('Standards for Conversions'!$H$34:$H$73,MATCH(DO$3,'Standards for Conversions'!$A$34:$A$73,0))))</f>
        <v/>
      </c>
      <c r="DR78" s="10" t="s">
        <v>38</v>
      </c>
      <c r="DS78" s="9"/>
      <c r="DT78" s="9"/>
      <c r="DU78" s="31" t="str">
        <f>IF(DT78/(INDEX('Standards for Conversions'!$H$34:$H$73,MATCH(DS$3,'Standards for Conversions'!$A$34:$A$73,0)))=0,"",DT78/(INDEX('Standards for Conversions'!$H$34:$H$73,MATCH(DS$3,'Standards for Conversions'!$A$34:$A$73,0))))</f>
        <v/>
      </c>
      <c r="DV78" s="10" t="s">
        <v>38</v>
      </c>
      <c r="DW78" s="7"/>
      <c r="DX78" s="7"/>
      <c r="DY78" s="31" t="str">
        <f>IF(DX78/(INDEX('Standards for Conversions'!$H$34:$H$73,MATCH(DW$3,'Standards for Conversions'!$A$34:$A$73,0)))=0,"",DX78/(INDEX('Standards for Conversions'!$H$34:$H$73,MATCH(DW$3,'Standards for Conversions'!$A$34:$A$73,0))))</f>
        <v/>
      </c>
      <c r="DZ78" s="10" t="s">
        <v>38</v>
      </c>
      <c r="EA78" s="7"/>
      <c r="EB78" s="7"/>
      <c r="EC78" s="31" t="str">
        <f>IF(EB78/(INDEX('Standards for Conversions'!$H$34:$H$73,MATCH(EA$3,'Standards for Conversions'!$A$34:$A$73,0)))=0,"",EB78/(INDEX('Standards for Conversions'!$H$34:$H$73,MATCH(EA$3,'Standards for Conversions'!$A$34:$A$73,0))))</f>
        <v/>
      </c>
      <c r="ED78" s="10" t="s">
        <v>38</v>
      </c>
      <c r="EE78" s="7"/>
      <c r="EF78" s="7"/>
      <c r="EG78" s="31" t="str">
        <f>IF(EF78/(INDEX('Standards for Conversions'!$H$34:$H$73,MATCH(EE$3,'Standards for Conversions'!$A$34:$A$73,0)))=0,"",EF78/(INDEX('Standards for Conversions'!$H$34:$H$73,MATCH(EE$3,'Standards for Conversions'!$A$34:$A$73,0))))</f>
        <v/>
      </c>
      <c r="EH78" s="10" t="s">
        <v>38</v>
      </c>
      <c r="EI78" s="9"/>
      <c r="EJ78" s="9"/>
      <c r="EK78" s="31" t="str">
        <f>IF(EJ78/(INDEX('Standards for Conversions'!$H$34:$H$73,MATCH(EI$3,'Standards for Conversions'!$A$34:$A$73,0)))=0,"",EJ78/(INDEX('Standards for Conversions'!$H$34:$H$73,MATCH(EI$3,'Standards for Conversions'!$A$34:$A$73,0))))</f>
        <v/>
      </c>
      <c r="EL78" s="10" t="s">
        <v>38</v>
      </c>
      <c r="EM78" s="7"/>
      <c r="EN78" s="7"/>
      <c r="EO78" s="31" t="str">
        <f>IF(EN78/(INDEX('Standards for Conversions'!$H$34:$H$73,MATCH(EM$3,'Standards for Conversions'!$A$34:$A$73,0)))=0,"",EN78/(INDEX('Standards for Conversions'!$H$34:$H$73,MATCH(EM$3,'Standards for Conversions'!$A$34:$A$73,0))))</f>
        <v/>
      </c>
      <c r="EP78" s="10" t="s">
        <v>38</v>
      </c>
      <c r="EQ78" s="7"/>
      <c r="ER78" s="7"/>
      <c r="ES78" s="31" t="str">
        <f>IF(ER78/(INDEX('Standards for Conversions'!$H$34:$H$73,MATCH(EQ$3,'Standards for Conversions'!$A$34:$A$73,0)))=0,"",ER78/(INDEX('Standards for Conversions'!$H$34:$H$73,MATCH(EQ$3,'Standards for Conversions'!$A$34:$A$73,0))))</f>
        <v/>
      </c>
      <c r="ET78" s="10" t="s">
        <v>38</v>
      </c>
      <c r="EU78" s="7"/>
      <c r="EV78" s="7"/>
      <c r="EW78" s="31" t="str">
        <f>IF(EV78/(INDEX('Standards for Conversions'!$H$34:$H$73,MATCH(EU$3,'Standards for Conversions'!$A$34:$A$73,0)))=0,"",EV78/(INDEX('Standards for Conversions'!$H$34:$H$73,MATCH(EU$3,'Standards for Conversions'!$A$34:$A$73,0))))</f>
        <v/>
      </c>
      <c r="EX78" s="10" t="s">
        <v>38</v>
      </c>
      <c r="EY78" s="9"/>
      <c r="EZ78" s="9"/>
      <c r="FA78" s="31" t="str">
        <f>IF(EZ78/(INDEX('Standards for Conversions'!$H$34:$H$73,MATCH(EY$3,'Standards for Conversions'!$A$34:$A$73,0)))=0,"",EZ78/(INDEX('Standards for Conversions'!$H$34:$H$73,MATCH(EY$3,'Standards for Conversions'!$A$34:$A$73,0))))</f>
        <v/>
      </c>
      <c r="FB78" s="10" t="s">
        <v>38</v>
      </c>
      <c r="FC78" s="7"/>
      <c r="FD78" s="7"/>
      <c r="FE78" s="31" t="str">
        <f>IF(FD78/(INDEX('Standards for Conversions'!$H$34:$H$73,MATCH(FC$3,'Standards for Conversions'!$A$34:$A$73,0)))=0,"",FD78/(INDEX('Standards for Conversions'!$H$34:$H$73,MATCH(FC$3,'Standards for Conversions'!$A$34:$A$73,0))))</f>
        <v/>
      </c>
      <c r="FF78" s="10" t="s">
        <v>38</v>
      </c>
      <c r="FG78" s="7"/>
      <c r="FH78" s="7"/>
      <c r="FI78" s="31" t="str">
        <f>IF(FH78/(INDEX('Standards for Conversions'!$H$34:$H$73,MATCH(FG$3,'Standards for Conversions'!$A$34:$A$73,0)))=0,"",FH78/(INDEX('Standards for Conversions'!$H$34:$H$73,MATCH(FG$3,'Standards for Conversions'!$A$34:$A$73,0))))</f>
        <v/>
      </c>
      <c r="FJ78" s="10" t="s">
        <v>38</v>
      </c>
      <c r="FK78" s="7"/>
      <c r="FL78" s="7"/>
      <c r="FM78" s="31" t="str">
        <f>IF(FL78/(INDEX('Standards for Conversions'!$H$34:$H$73,MATCH(FK$3,'Standards for Conversions'!$A$34:$A$73,0)))=0,"",FL78/(INDEX('Standards for Conversions'!$H$34:$H$73,MATCH(FK$3,'Standards for Conversions'!$A$34:$A$73,0))))</f>
        <v/>
      </c>
      <c r="FN78" s="10" t="s">
        <v>38</v>
      </c>
      <c r="FO78" s="9"/>
      <c r="FP78" s="9"/>
      <c r="FQ78" s="31" t="str">
        <f>IF(FP78/(INDEX('Standards for Conversions'!$H$34:$H$73,MATCH(FO$3,'Standards for Conversions'!$A$34:$A$73,0)))=0,"",FP78/(INDEX('Standards for Conversions'!$H$34:$H$73,MATCH(FO$3,'Standards for Conversions'!$A$34:$A$73,0))))</f>
        <v/>
      </c>
      <c r="FR78" s="10" t="s">
        <v>38</v>
      </c>
      <c r="FS78" s="7"/>
      <c r="FT78" s="7"/>
      <c r="FU78" s="31" t="str">
        <f>IF(FT78/(INDEX('Standards for Conversions'!$H$34:$H$73,MATCH(FS$3,'Standards for Conversions'!$A$34:$A$73,0)))=0,"",FT78/(INDEX('Standards for Conversions'!$H$34:$H$73,MATCH(FS$3,'Standards for Conversions'!$A$34:$A$73,0))))</f>
        <v/>
      </c>
      <c r="FV78" s="10" t="s">
        <v>38</v>
      </c>
      <c r="FW78" s="7"/>
      <c r="FX78" s="7"/>
      <c r="FY78" s="31" t="str">
        <f>IF(FX78/(INDEX('Standards for Conversions'!$H$34:$H$73,MATCH(FW$3,'Standards for Conversions'!$A$34:$A$73,0)))=0,"",FX78/(INDEX('Standards for Conversions'!$H$34:$H$73,MATCH(FW$3,'Standards for Conversions'!$A$34:$A$73,0))))</f>
        <v/>
      </c>
      <c r="FZ78" s="10" t="s">
        <v>38</v>
      </c>
      <c r="GA78" s="7"/>
      <c r="GB78" s="7"/>
      <c r="GC78" s="31" t="str">
        <f>IF(GB78/(INDEX('Standards for Conversions'!$H$34:$H$73,MATCH(GA$3,'Standards for Conversions'!$A$34:$A$73,0)))=0,"",GB78/(INDEX('Standards for Conversions'!$H$34:$H$73,MATCH(GA$3,'Standards for Conversions'!$A$34:$A$73,0))))</f>
        <v/>
      </c>
      <c r="GD78" s="10" t="s">
        <v>38</v>
      </c>
      <c r="GE78" s="9"/>
      <c r="GF78" s="9"/>
      <c r="GG78" s="31" t="str">
        <f>IF(GF78/(INDEX('Standards for Conversions'!$H$34:$H$73,MATCH(GE$3,'Standards for Conversions'!$A$34:$A$73,0)))=0,"",GF78/(INDEX('Standards for Conversions'!$H$34:$H$73,MATCH(GE$3,'Standards for Conversions'!$A$34:$A$73,0))))</f>
        <v/>
      </c>
      <c r="GH78" s="10" t="s">
        <v>38</v>
      </c>
      <c r="GI78" s="7"/>
      <c r="GJ78" s="7"/>
      <c r="GK78" s="31" t="str">
        <f>IF(GJ78/(INDEX('Standards for Conversions'!$H$34:$H$73,MATCH(GI$3,'Standards for Conversions'!$A$34:$A$73,0)))=0,"",GJ78/(INDEX('Standards for Conversions'!$H$34:$H$73,MATCH(GI$3,'Standards for Conversions'!$A$34:$A$73,0))))</f>
        <v/>
      </c>
      <c r="GL78" s="10" t="s">
        <v>38</v>
      </c>
      <c r="GM78" s="7"/>
      <c r="GN78" s="7"/>
      <c r="GO78" s="31" t="str">
        <f>IF(GN78/(INDEX('Standards for Conversions'!$H$34:$H$73,MATCH(GM$3,'Standards for Conversions'!$A$34:$A$73,0)))=0,"",GN78/(INDEX('Standards for Conversions'!$H$34:$H$73,MATCH(GM$3,'Standards for Conversions'!$A$34:$A$73,0))))</f>
        <v/>
      </c>
      <c r="GP78" s="10" t="s">
        <v>38</v>
      </c>
      <c r="GQ78" s="7"/>
      <c r="GR78" s="7"/>
      <c r="GS78" s="31" t="str">
        <f>IF(GR78/(INDEX('Standards for Conversions'!$H$34:$H$73,MATCH(GQ$3,'Standards for Conversions'!$A$34:$A$73,0)))=0,"",GR78/(INDEX('Standards for Conversions'!$H$34:$H$73,MATCH(GQ$3,'Standards for Conversions'!$A$34:$A$73,0))))</f>
        <v/>
      </c>
      <c r="GT78" s="10" t="s">
        <v>38</v>
      </c>
      <c r="GU78" s="9"/>
      <c r="GV78" s="9"/>
      <c r="GW78" s="31" t="str">
        <f>IF(GV78/(INDEX('Standards for Conversions'!$H$34:$H$73,MATCH(GU$3,'Standards for Conversions'!$A$34:$A$73,0)))=0,"",GV78/(INDEX('Standards for Conversions'!$H$34:$H$73,MATCH(GU$3,'Standards for Conversions'!$A$34:$A$73,0))))</f>
        <v/>
      </c>
      <c r="GX78" s="10" t="s">
        <v>38</v>
      </c>
      <c r="GY78" s="7"/>
      <c r="GZ78" s="7"/>
      <c r="HA78" s="31" t="str">
        <f>IF(GZ78/(INDEX('Standards for Conversions'!$H$34:$H$73,MATCH(GY$3,'Standards for Conversions'!$A$34:$A$73,0)))=0,"",GZ78/(INDEX('Standards for Conversions'!$H$34:$H$73,MATCH(GY$3,'Standards for Conversions'!$A$34:$A$73,0))))</f>
        <v/>
      </c>
      <c r="HB78" s="10" t="s">
        <v>38</v>
      </c>
      <c r="HC78" s="7"/>
      <c r="HD78" s="7"/>
      <c r="HE78" s="31" t="str">
        <f>IF(HD78/(INDEX('Standards for Conversions'!$H$34:$H$73,MATCH(HC$3,'Standards for Conversions'!$A$34:$A$73,0)))=0,"",HD78/(INDEX('Standards for Conversions'!$H$34:$H$73,MATCH(HC$3,'Standards for Conversions'!$A$34:$A$73,0))))</f>
        <v/>
      </c>
      <c r="HF78" s="10" t="s">
        <v>38</v>
      </c>
      <c r="HG78" s="7"/>
      <c r="HH78" s="7"/>
      <c r="HI78" s="31" t="str">
        <f>IF(HH78/(INDEX('Standards for Conversions'!$H$34:$H$73,MATCH(HG$3,'Standards for Conversions'!$A$34:$A$73,0)))=0,"",HH78/(INDEX('Standards for Conversions'!$H$34:$H$73,MATCH(HG$3,'Standards for Conversions'!$A$34:$A$73,0))))</f>
        <v/>
      </c>
      <c r="HJ78" s="10" t="s">
        <v>38</v>
      </c>
      <c r="HK78" s="9"/>
      <c r="HL78" s="9"/>
      <c r="HM78" s="31" t="str">
        <f>IF(HL78/(INDEX('Standards for Conversions'!$H$34:$H$73,MATCH(HK$3,'Standards for Conversions'!$A$34:$A$73,0)))=0,"",HL78/(INDEX('Standards for Conversions'!$H$34:$H$73,MATCH(HK$3,'Standards for Conversions'!$A$34:$A$73,0))))</f>
        <v/>
      </c>
      <c r="HN78" s="10" t="s">
        <v>38</v>
      </c>
      <c r="HO78" s="7"/>
      <c r="HP78" s="7"/>
      <c r="HQ78" s="31" t="str">
        <f>IF(HP78/(INDEX('Standards for Conversions'!$H$34:$H$73,MATCH(HO$3,'Standards for Conversions'!$A$34:$A$73,0)))=0,"",HP78/(INDEX('Standards for Conversions'!$H$34:$H$73,MATCH(HO$3,'Standards for Conversions'!$A$34:$A$73,0))))</f>
        <v/>
      </c>
      <c r="HR78" s="33" t="s">
        <v>38</v>
      </c>
      <c r="HU78" s="31" t="str">
        <f>IF(HT78/(INDEX('Standards for Conversions'!$H$47:$H$73,MATCH(HS$3,'Standards for Conversions'!$A$47:$A$73,0)))=0,"",HT78/(INDEX('Standards for Conversions'!$H$47:$H$73,MATCH(HS$3,'Standards for Conversions'!$A$47:$A$73,0))))</f>
        <v/>
      </c>
      <c r="HV78" s="33" t="s">
        <v>38</v>
      </c>
      <c r="HW78" s="29">
        <v>200</v>
      </c>
      <c r="HX78" s="29">
        <v>750</v>
      </c>
      <c r="HY78" s="31">
        <f>IF(HX78/(INDEX('Standards for Conversions'!$H$47:$H$73,MATCH(HW$3,'Standards for Conversions'!$A$47:$A$73,0)))=0,"",HX78/(INDEX('Standards for Conversions'!$H$47:$H$73,MATCH(HW$3,'Standards for Conversions'!$A$47:$A$73,0))))</f>
        <v>108.93405915964198</v>
      </c>
      <c r="HZ78" s="33"/>
      <c r="IA78" s="33"/>
      <c r="IB78" s="31" t="str">
        <f>IF(IA78/(INDEX('Standards for Conversions'!$H$47:$H$73,MATCH(HZ$3,'Standards for Conversions'!$A$47:$A$73,0)))=0,"",IA78/(INDEX('Standards for Conversions'!$H$47:$H$73,MATCH(HZ$3,'Standards for Conversions'!$A$47:$A$73,0))))</f>
        <v/>
      </c>
      <c r="IC78" s="33" t="s">
        <v>38</v>
      </c>
      <c r="IF78" s="31" t="str">
        <f>IF(IE78/(INDEX('Standards for Conversions'!$H$47:$H$73,MATCH(ID$3,'Standards for Conversions'!$A$47:$A$73,0)))=0,"",IE78/(INDEX('Standards for Conversions'!$H$47:$H$73,MATCH(ID$3,'Standards for Conversions'!$A$47:$A$73,0))))</f>
        <v/>
      </c>
      <c r="IG78" s="33" t="s">
        <v>38</v>
      </c>
      <c r="IJ78" s="31" t="str">
        <f>IF(II78/(INDEX('Standards for Conversions'!$H$47:$H$73,MATCH(IH$3,'Standards for Conversions'!$A$47:$A$73,0)))=0,"",II78/(INDEX('Standards for Conversions'!$H$47:$H$73,MATCH(IH$3,'Standards for Conversions'!$A$47:$A$73,0))))</f>
        <v/>
      </c>
      <c r="IK78" s="33" t="s">
        <v>38</v>
      </c>
      <c r="IN78" s="31" t="str">
        <f>IF(IM78/(INDEX('Standards for Conversions'!$H$47:$H$73,MATCH(IL$3,'Standards for Conversions'!$A$47:$A$73,0)))=0,"",IM78/(INDEX('Standards for Conversions'!$H$47:$H$73,MATCH(IL$3,'Standards for Conversions'!$A$47:$A$73,0))))</f>
        <v/>
      </c>
      <c r="IO78" s="33" t="s">
        <v>38</v>
      </c>
      <c r="IP78" s="29">
        <v>80</v>
      </c>
      <c r="IQ78" s="29">
        <v>250</v>
      </c>
      <c r="IR78" s="31">
        <f>IF(IQ78/(INDEX('Standards for Conversions'!$H$47:$H$73,MATCH(IP$3,'Standards for Conversions'!$A$47:$A$73,0)))=0,"",IQ78/(INDEX('Standards for Conversions'!$H$47:$H$73,MATCH(IP$3,'Standards for Conversions'!$A$47:$A$73,0))))</f>
        <v>36.152557048608088</v>
      </c>
      <c r="IS78" s="33" t="s">
        <v>38</v>
      </c>
      <c r="IV78" s="31" t="str">
        <f>IF(IU78/(INDEX('Standards for Conversions'!$H$47:$H$73,MATCH(IT$3,'Standards for Conversions'!$A$47:$A$73,0)))=0,"",IU78/(INDEX('Standards for Conversions'!$H$47:$H$73,MATCH(IT$3,'Standards for Conversions'!$A$47:$A$73,0))))</f>
        <v/>
      </c>
      <c r="IW78" s="33" t="s">
        <v>38</v>
      </c>
      <c r="IZ78" s="31" t="str">
        <f>IF(IY78/(INDEX('Standards for Conversions'!$H$47:$H$73,MATCH(IX$3,'Standards for Conversions'!$A$47:$A$73,0)))=0,"",IY78/(INDEX('Standards for Conversions'!$H$47:$H$73,MATCH(IX$3,'Standards for Conversions'!$A$47:$A$73,0))))</f>
        <v/>
      </c>
      <c r="JA78" s="33" t="s">
        <v>38</v>
      </c>
      <c r="JD78" s="31" t="str">
        <f>IF(JC78/(INDEX('Standards for Conversions'!$H$47:$H$73,MATCH(JB$3,'Standards for Conversions'!$A$47:$A$73,0)))=0,"",JC78/(INDEX('Standards for Conversions'!$H$47:$H$73,MATCH(JB$3,'Standards for Conversions'!$A$47:$A$73,0))))</f>
        <v/>
      </c>
      <c r="JE78" s="33" t="s">
        <v>38</v>
      </c>
      <c r="JF78" s="29">
        <v>185</v>
      </c>
      <c r="JG78" s="29">
        <v>480</v>
      </c>
      <c r="JH78" s="31">
        <f>IF(JG78/(INDEX('Standards for Conversions'!$H$47:$H$73,MATCH(JF$3,'Standards for Conversions'!$A$47:$A$73,0)))=0,"",JG78/(INDEX('Standards for Conversions'!$H$47:$H$73,MATCH(JF$3,'Standards for Conversions'!$A$47:$A$73,0))))</f>
        <v>77.644894412096974</v>
      </c>
      <c r="JI78" s="33"/>
      <c r="JL78" s="31" t="str">
        <f>IF(JK78/(INDEX('Standards for Conversions'!$H$47:$H$73,MATCH(JJ$3,'Standards for Conversions'!$A$47:$A$73,0)))=0,"",JK78/(INDEX('Standards for Conversions'!$H$47:$H$73,MATCH(JJ$3,'Standards for Conversions'!$A$47:$A$73,0))))</f>
        <v/>
      </c>
      <c r="JM78" s="33" t="s">
        <v>38</v>
      </c>
      <c r="JP78" s="31" t="str">
        <f>IF(JO78/(INDEX('Standards for Conversions'!$H$47:$H$73,MATCH(JN$3,'Standards for Conversions'!$A$47:$A$73,0)))=0,"",JO78/(INDEX('Standards for Conversions'!$H$47:$H$73,MATCH(JN$3,'Standards for Conversions'!$A$47:$A$73,0))))</f>
        <v/>
      </c>
      <c r="JQ78" s="33" t="s">
        <v>38</v>
      </c>
      <c r="JR78" s="29">
        <v>100</v>
      </c>
      <c r="JS78" s="29">
        <v>200</v>
      </c>
      <c r="JT78" s="31">
        <f>IF(JS78/(INDEX('Standards for Conversions'!$H$47:$H$73,MATCH(JR$3,'Standards for Conversions'!$A$47:$A$73,0)))=0,"",JS78/(INDEX('Standards for Conversions'!$H$47:$H$73,MATCH(JR$3,'Standards for Conversions'!$A$47:$A$73,0))))</f>
        <v>30.531178485559511</v>
      </c>
      <c r="JU78" s="33" t="s">
        <v>38</v>
      </c>
      <c r="JV78" s="29">
        <v>200</v>
      </c>
      <c r="JW78" s="29">
        <v>500</v>
      </c>
      <c r="JX78" s="31">
        <f>IF(JW78/(INDEX('Standards for Conversions'!$H$47:$H$73,MATCH(JV$3,'Standards for Conversions'!$A$47:$A$73,0)))=0,"",JW78/(INDEX('Standards for Conversions'!$H$47:$H$73,MATCH(JV$3,'Standards for Conversions'!$A$47:$A$73,0))))</f>
        <v>76.327946213898784</v>
      </c>
      <c r="JY78" s="33" t="s">
        <v>38</v>
      </c>
      <c r="KB78" s="31" t="str">
        <f>IF(KA78/(INDEX('Standards for Conversions'!$H$47:$H$73,MATCH(JZ$3,'Standards for Conversions'!$A$47:$A$73,0)))=0,"",KA78/(INDEX('Standards for Conversions'!$H$47:$H$73,MATCH(JZ$3,'Standards for Conversions'!$A$47:$A$73,0))))</f>
        <v/>
      </c>
      <c r="KC78" s="33" t="s">
        <v>38</v>
      </c>
      <c r="KF78" s="31" t="str">
        <f>IF(KE78/(INDEX('Standards for Conversions'!$H$47:$H$73,MATCH(KD$3,'Standards for Conversions'!$A$47:$A$73,0)))=0,"",KE78/(INDEX('Standards for Conversions'!$H$47:$H$73,MATCH(KD$3,'Standards for Conversions'!$A$47:$A$73,0))))</f>
        <v/>
      </c>
      <c r="KG78" s="33" t="s">
        <v>38</v>
      </c>
      <c r="KH78" s="29">
        <v>75</v>
      </c>
      <c r="KI78" s="29">
        <v>180</v>
      </c>
      <c r="KJ78" s="31">
        <f>IF(KI78/(INDEX('Standards for Conversions'!$H$47:$H$73,MATCH(KH$3,'Standards for Conversions'!$A$47:$A$73,0)))=0,"",KI78/(INDEX('Standards for Conversions'!$H$47:$H$73,MATCH(KH$3,'Standards for Conversions'!$A$47:$A$73,0))))</f>
        <v>24.238622143043365</v>
      </c>
      <c r="KK78" s="33" t="s">
        <v>38</v>
      </c>
      <c r="KL78" s="29">
        <v>150</v>
      </c>
      <c r="KM78" s="29">
        <v>400</v>
      </c>
      <c r="KN78" s="31">
        <f>IF(KM78/(INDEX('Standards for Conversions'!$H$47:$H$73,MATCH(KL$3,'Standards for Conversions'!$A$47:$A$73,0)))=0,"",KM78/(INDEX('Standards for Conversions'!$H$47:$H$73,MATCH(KL$3,'Standards for Conversions'!$A$47:$A$73,0))))</f>
        <v>53.863604762318587</v>
      </c>
      <c r="KO78" s="33" t="s">
        <v>38</v>
      </c>
      <c r="KR78" s="31" t="str">
        <f>IF(KQ78/(INDEX('Standards for Conversions'!$H$47:$H$73,MATCH(KP$3,'Standards for Conversions'!$A$47:$A$73,0)))=0,"",KQ78/(INDEX('Standards for Conversions'!$H$47:$H$73,MATCH(KP$3,'Standards for Conversions'!$A$47:$A$73,0))))</f>
        <v/>
      </c>
      <c r="KS78" s="33" t="s">
        <v>38</v>
      </c>
      <c r="KV78" s="31" t="str">
        <f>IF(KU78/(INDEX('Standards for Conversions'!$H$47:$H$73,MATCH(KT$3,'Standards for Conversions'!$A$47:$A$73,0)))=0,"",KU78/(INDEX('Standards for Conversions'!$H$47:$H$73,MATCH(KT$3,'Standards for Conversions'!$A$47:$A$73,0))))</f>
        <v/>
      </c>
      <c r="KW78" s="33" t="s">
        <v>38</v>
      </c>
      <c r="KX78" s="29">
        <v>100</v>
      </c>
      <c r="KY78" s="29">
        <v>300</v>
      </c>
      <c r="KZ78" s="31">
        <f>IF(KY78/(INDEX('Standards for Conversions'!$H$47:$H$73,MATCH(KX$3,'Standards for Conversions'!$A$47:$A$73,0)))=0,"",KY78/(INDEX('Standards for Conversions'!$H$47:$H$73,MATCH(KX$3,'Standards for Conversions'!$A$47:$A$73,0))))</f>
        <v>36.484970018249754</v>
      </c>
      <c r="LD78" s="31" t="str">
        <f>IF(LC78/(INDEX('Standards for Conversions'!$H$47:$H$73,MATCH(LB$3,'Standards for Conversions'!$A$47:$A$73,0)))=0,"",LC78/(INDEX('Standards for Conversions'!$H$47:$H$73,MATCH(LB$3,'Standards for Conversions'!$A$47:$A$73,0))))</f>
        <v/>
      </c>
      <c r="LE78" s="33"/>
      <c r="LH78" s="31" t="str">
        <f>IF(LG78/(INDEX('Standards for Conversions'!$H$47:$H$73,MATCH(LF$3,'Standards for Conversions'!$A$47:$A$73,0)))=0,"",LG78/(INDEX('Standards for Conversions'!$H$47:$H$73,MATCH(LF$3,'Standards for Conversions'!$A$47:$A$73,0))))</f>
        <v/>
      </c>
      <c r="LL78" s="31" t="str">
        <f>IF(LK78/(INDEX('Standards for Conversions'!$H$47:$H$73,MATCH(LJ$3,'Standards for Conversions'!$A$47:$A$73,0)))=0,"",LK78/(INDEX('Standards for Conversions'!$H$47:$H$73,MATCH(LJ$3,'Standards for Conversions'!$A$47:$A$73,0))))</f>
        <v/>
      </c>
      <c r="LO78" s="31" t="str">
        <f>IF(LN78/(INDEX('Standards for Conversions'!$H$47:$H$73,MATCH(LM$3,'Standards for Conversions'!$A$47:$A$73,0)))=0,"",LN78/(INDEX('Standards for Conversions'!$H$47:$H$73,MATCH(LM$3,'Standards for Conversions'!$A$47:$A$73,0))))</f>
        <v/>
      </c>
      <c r="LR78" s="31" t="str">
        <f>IF(LQ78/(INDEX('Standards for Conversions'!$H$47:$H$73,MATCH(LP$3,'Standards for Conversions'!$A$47:$A$73,0)))=0,"",LQ78/(INDEX('Standards for Conversions'!$H$47:$H$73,MATCH(LP$3,'Standards for Conversions'!$A$47:$A$73,0))))</f>
        <v/>
      </c>
      <c r="LV78" s="31" t="str">
        <f>IF(LU78/(INDEX('Standards for Conversions'!$H$47:$H$73,MATCH(LT$3,'Standards for Conversions'!$A$47:$A$73,0)))=0,"",LU78/(INDEX('Standards for Conversions'!$H$47:$H$73,MATCH(LT$3,'Standards for Conversions'!$A$47:$A$73,0))))</f>
        <v/>
      </c>
      <c r="LY78" s="31" t="str">
        <f>IF(LX78/(INDEX('Standards for Conversions'!$H$47:$H$73,MATCH(LW$3,'Standards for Conversions'!$A$47:$A$73,0)))=0,"",LX78/(INDEX('Standards for Conversions'!$H$47:$H$73,MATCH(LW$3,'Standards for Conversions'!$A$47:$A$73,0))))</f>
        <v/>
      </c>
      <c r="MB78" s="31" t="str">
        <f>IF(MA78/(INDEX('Standards for Conversions'!$H$47:$H$73,MATCH(LZ$3,'Standards for Conversions'!$A$47:$A$73,0)))=0,"",MA78/(INDEX('Standards for Conversions'!$H$47:$H$73,MATCH(LZ$3,'Standards for Conversions'!$A$47:$A$73,0))))</f>
        <v/>
      </c>
      <c r="ME78" s="31" t="str">
        <f>IF(MD78/(INDEX('Standards for Conversions'!$H$47:$H$73,MATCH(MC$3,'Standards for Conversions'!$A$47:$A$73,0)))=0,"",MD78/(INDEX('Standards for Conversions'!$H$47:$H$73,MATCH(MC$3,'Standards for Conversions'!$A$47:$A$73,0))))</f>
        <v/>
      </c>
      <c r="MH78" s="31" t="str">
        <f>IF(MG78/(INDEX('Standards for Conversions'!$H$47:$H$73,MATCH(MF$3,'Standards for Conversions'!$A$47:$A$73,0)))=0,"",MG78/(INDEX('Standards for Conversions'!$H$47:$H$73,MATCH(MF$3,'Standards for Conversions'!$A$47:$A$73,0))))</f>
        <v/>
      </c>
      <c r="MK78" s="31" t="str">
        <f>IF(MJ78/(INDEX('Standards for Conversions'!$H$47:$H$73,MATCH(MI$3,'Standards for Conversions'!$A$47:$A$73,0)))=0,"",MJ78/(INDEX('Standards for Conversions'!$H$47:$H$73,MATCH(MI$3,'Standards for Conversions'!$A$47:$A$73,0))))</f>
        <v/>
      </c>
      <c r="MN78" s="31" t="str">
        <f>IF(MM78/(INDEX('Standards for Conversions'!$H$47:$H$73,MATCH(ML$3,'Standards for Conversions'!$A$47:$A$73,0)))=0,"",MM78/(INDEX('Standards for Conversions'!$H$47:$H$73,MATCH(ML$3,'Standards for Conversions'!$A$47:$A$73,0))))</f>
        <v/>
      </c>
      <c r="MR78" s="31" t="str">
        <f>IF(MQ78/(INDEX('Standards for Conversions'!$H$47:$H$73,MATCH(MP$3,'Standards for Conversions'!$A$47:$A$73,0)))=0,"",MQ78/(INDEX('Standards for Conversions'!$H$47:$H$73,MATCH(MP$3,'Standards for Conversions'!$A$47:$A$73,0))))</f>
        <v/>
      </c>
    </row>
    <row r="79" spans="1:369" hidden="1" x14ac:dyDescent="0.3">
      <c r="A79" s="103" t="s">
        <v>253</v>
      </c>
      <c r="B79" s="10" t="s">
        <v>38</v>
      </c>
      <c r="C79" s="7"/>
      <c r="D79" s="7"/>
      <c r="E79" s="31" t="str">
        <f>IF(D79/(INDEX('Standards for Conversions'!$H$34:$H$73,MATCH(C$3,'Standards for Conversions'!$A$34:$A$73,0)))=0,"",D79/(INDEX('Standards for Conversions'!$H$34:$H$73,MATCH(C$3,'Standards for Conversions'!$A$34:$A$73,0))))</f>
        <v/>
      </c>
      <c r="F79" s="10" t="s">
        <v>38</v>
      </c>
      <c r="G79" s="7"/>
      <c r="H79" s="7"/>
      <c r="I79" s="31" t="str">
        <f>IF(H79/(INDEX('Standards for Conversions'!$H$34:$H$73,MATCH(G$3,'Standards for Conversions'!$A$34:$A$73,0)))=0,"",H79/(INDEX('Standards for Conversions'!$H$34:$H$73,MATCH(G$3,'Standards for Conversions'!$A$34:$A$73,0))))</f>
        <v/>
      </c>
      <c r="J79" s="10" t="s">
        <v>38</v>
      </c>
      <c r="K79" s="9"/>
      <c r="L79" s="9"/>
      <c r="M79" s="31" t="str">
        <f>IF(L79/(INDEX('Standards for Conversions'!$H$34:$H$73,MATCH(K$3,'Standards for Conversions'!$A$34:$A$73,0)))=0,"",L79/(INDEX('Standards for Conversions'!$H$34:$H$73,MATCH(K$3,'Standards for Conversions'!$A$34:$A$73,0))))</f>
        <v/>
      </c>
      <c r="N79" s="10" t="s">
        <v>38</v>
      </c>
      <c r="O79" s="7"/>
      <c r="P79" s="7"/>
      <c r="Q79" s="31" t="str">
        <f>IF(P79/(INDEX('Standards for Conversions'!$H$34:$H$73,MATCH(O$3,'Standards for Conversions'!$A$34:$A$73,0)))=0,"",P79/(INDEX('Standards for Conversions'!$H$34:$H$73,MATCH(O$3,'Standards for Conversions'!$A$34:$A$73,0))))</f>
        <v/>
      </c>
      <c r="R79" s="10" t="s">
        <v>38</v>
      </c>
      <c r="S79" s="7"/>
      <c r="T79" s="7"/>
      <c r="U79" s="31" t="str">
        <f>IF(T79/(INDEX('Standards for Conversions'!$H$34:$H$73,MATCH(S$3,'Standards for Conversions'!$A$34:$A$73,0)))=0,"",T79/(INDEX('Standards for Conversions'!$H$34:$H$73,MATCH(S$3,'Standards for Conversions'!$A$34:$A$73,0))))</f>
        <v/>
      </c>
      <c r="V79" s="10" t="s">
        <v>38</v>
      </c>
      <c r="W79" s="7"/>
      <c r="X79" s="7"/>
      <c r="Y79" s="31" t="str">
        <f>IF(X79/(INDEX('Standards for Conversions'!$H$34:$H$73,MATCH(W$3,'Standards for Conversions'!$A$34:$A$73,0)))=0,"",X79/(INDEX('Standards for Conversions'!$H$34:$H$73,MATCH(W$3,'Standards for Conversions'!$A$34:$A$73,0))))</f>
        <v/>
      </c>
      <c r="Z79" s="10" t="s">
        <v>38</v>
      </c>
      <c r="AA79" s="9"/>
      <c r="AB79" s="9"/>
      <c r="AC79" s="31" t="str">
        <f>IF(AB79/(INDEX('Standards for Conversions'!$H$34:$H$73,MATCH(AA$3,'Standards for Conversions'!$A$34:$A$73,0)))=0,"",AB79/(INDEX('Standards for Conversions'!$H$34:$H$73,MATCH(AA$3,'Standards for Conversions'!$A$34:$A$73,0))))</f>
        <v/>
      </c>
      <c r="AD79" s="10" t="s">
        <v>38</v>
      </c>
      <c r="AE79" s="7"/>
      <c r="AF79" s="7"/>
      <c r="AG79" s="31" t="str">
        <f>IF(AF79/(INDEX('Standards for Conversions'!$H$34:$H$73,MATCH(AE$3,'Standards for Conversions'!$A$34:$A$73,0)))=0,"",AF79/(INDEX('Standards for Conversions'!$H$34:$H$73,MATCH(AE$3,'Standards for Conversions'!$A$34:$A$73,0))))</f>
        <v/>
      </c>
      <c r="AH79" s="10" t="s">
        <v>38</v>
      </c>
      <c r="AI79" s="7"/>
      <c r="AJ79" s="7"/>
      <c r="AK79" s="31" t="str">
        <f>IF(AJ79/(INDEX('Standards for Conversions'!$H$34:$H$73,MATCH(AI$3,'Standards for Conversions'!$A$34:$A$73,0)))=0,"",AJ79/(INDEX('Standards for Conversions'!$H$34:$H$73,MATCH(AI$3,'Standards for Conversions'!$A$34:$A$73,0))))</f>
        <v/>
      </c>
      <c r="AL79" s="10" t="s">
        <v>38</v>
      </c>
      <c r="AM79" s="7"/>
      <c r="AN79" s="7"/>
      <c r="AO79" s="31" t="str">
        <f>IF(AN79/(INDEX('Standards for Conversions'!$H$34:$H$73,MATCH(AM$3,'Standards for Conversions'!$A$34:$A$73,0)))=0,"",AN79/(INDEX('Standards for Conversions'!$H$34:$H$73,MATCH(AM$3,'Standards for Conversions'!$A$34:$A$73,0))))</f>
        <v/>
      </c>
      <c r="AP79" s="10" t="s">
        <v>38</v>
      </c>
      <c r="AQ79" s="9"/>
      <c r="AR79" s="9"/>
      <c r="AS79" s="31" t="str">
        <f>IF(AR79/(INDEX('Standards for Conversions'!$H$34:$H$73,MATCH(AQ$3,'Standards for Conversions'!$A$34:$A$73,0)))=0,"",AR79/(INDEX('Standards for Conversions'!$H$34:$H$73,MATCH(AQ$3,'Standards for Conversions'!$A$34:$A$73,0))))</f>
        <v/>
      </c>
      <c r="AT79" s="10" t="s">
        <v>38</v>
      </c>
      <c r="AU79" s="7"/>
      <c r="AV79" s="7"/>
      <c r="AW79" s="31" t="str">
        <f>IF(AV79/(INDEX('Standards for Conversions'!$H$34:$H$73,MATCH(AU$3,'Standards for Conversions'!$A$34:$A$73,0)))=0,"",AV79/(INDEX('Standards for Conversions'!$H$34:$H$73,MATCH(AU$3,'Standards for Conversions'!$A$34:$A$73,0))))</f>
        <v/>
      </c>
      <c r="AX79" s="10" t="s">
        <v>38</v>
      </c>
      <c r="AY79" s="7"/>
      <c r="AZ79" s="7"/>
      <c r="BA79" s="31" t="str">
        <f>IF(AZ79/(INDEX('Standards for Conversions'!$H$34:$H$73,MATCH(AY$3,'Standards for Conversions'!$A$34:$A$73,0)))=0,"",AZ79/(INDEX('Standards for Conversions'!$H$34:$H$73,MATCH(AY$3,'Standards for Conversions'!$A$34:$A$73,0))))</f>
        <v/>
      </c>
      <c r="BB79" s="10" t="s">
        <v>38</v>
      </c>
      <c r="BC79" s="7"/>
      <c r="BD79" s="7"/>
      <c r="BE79" s="31" t="str">
        <f>IF(BD79/(INDEX('Standards for Conversions'!$H$34:$H$73,MATCH(BC$3,'Standards for Conversions'!$A$34:$A$73,0)))=0,"",BD79/(INDEX('Standards for Conversions'!$H$34:$H$73,MATCH(BC$3,'Standards for Conversions'!$A$34:$A$73,0))))</f>
        <v/>
      </c>
      <c r="BF79" s="10" t="s">
        <v>38</v>
      </c>
      <c r="BG79" s="9"/>
      <c r="BH79" s="9"/>
      <c r="BI79" s="31" t="str">
        <f>IF(BH79/(INDEX('Standards for Conversions'!$H$34:$H$73,MATCH(BG$3,'Standards for Conversions'!$A$34:$A$73,0)))=0,"",BH79/(INDEX('Standards for Conversions'!$H$34:$H$73,MATCH(BG$3,'Standards for Conversions'!$A$34:$A$73,0))))</f>
        <v/>
      </c>
      <c r="BJ79" s="10" t="s">
        <v>38</v>
      </c>
      <c r="BK79" s="7"/>
      <c r="BL79" s="7"/>
      <c r="BM79" s="31" t="str">
        <f>IF(BL79/(INDEX('Standards for Conversions'!$H$34:$H$73,MATCH(BK$3,'Standards for Conversions'!$A$34:$A$73,0)))=0,"",BL79/(INDEX('Standards for Conversions'!$H$34:$H$73,MATCH(BK$3,'Standards for Conversions'!$A$34:$A$73,0))))</f>
        <v/>
      </c>
      <c r="BN79" s="10" t="s">
        <v>38</v>
      </c>
      <c r="BO79" s="7"/>
      <c r="BP79" s="7"/>
      <c r="BQ79" s="31" t="str">
        <f>IF(BP79/(INDEX('Standards for Conversions'!$H$34:$H$73,MATCH(BO$3,'Standards for Conversions'!$A$34:$A$73,0)))=0,"",BP79/(INDEX('Standards for Conversions'!$H$34:$H$73,MATCH(BO$3,'Standards for Conversions'!$A$34:$A$73,0))))</f>
        <v/>
      </c>
      <c r="BR79" s="10" t="s">
        <v>38</v>
      </c>
      <c r="BS79" s="7"/>
      <c r="BT79" s="7"/>
      <c r="BU79" s="31" t="str">
        <f>IF(BT79/(INDEX('Standards for Conversions'!$H$34:$H$73,MATCH(BS$3,'Standards for Conversions'!$A$34:$A$73,0)))=0,"",BT79/(INDEX('Standards for Conversions'!$H$34:$H$73,MATCH(BS$3,'Standards for Conversions'!$A$34:$A$73,0))))</f>
        <v/>
      </c>
      <c r="BV79" s="10" t="s">
        <v>38</v>
      </c>
      <c r="BW79" s="9"/>
      <c r="BX79" s="9"/>
      <c r="BY79" s="31" t="str">
        <f>IF(BX79/(INDEX('Standards for Conversions'!$H$34:$H$73,MATCH(BW$3,'Standards for Conversions'!$A$34:$A$73,0)))=0,"",BX79/(INDEX('Standards for Conversions'!$H$34:$H$73,MATCH(BW$3,'Standards for Conversions'!$A$34:$A$73,0))))</f>
        <v/>
      </c>
      <c r="BZ79" s="10" t="s">
        <v>38</v>
      </c>
      <c r="CA79" s="7"/>
      <c r="CB79" s="7"/>
      <c r="CC79" s="31" t="str">
        <f>IF(CB79/(INDEX('Standards for Conversions'!$H$34:$H$73,MATCH(CA$3,'Standards for Conversions'!$A$34:$A$73,0)))=0,"",CB79/(INDEX('Standards for Conversions'!$H$34:$H$73,MATCH(CA$3,'Standards for Conversions'!$A$34:$A$73,0))))</f>
        <v/>
      </c>
      <c r="CD79" s="10" t="s">
        <v>38</v>
      </c>
      <c r="CE79" s="7"/>
      <c r="CF79" s="7"/>
      <c r="CG79" s="31" t="str">
        <f>IF(CF79/(INDEX('Standards for Conversions'!$H$34:$H$73,MATCH(CE$3,'Standards for Conversions'!$A$34:$A$73,0)))=0,"",CF79/(INDEX('Standards for Conversions'!$H$34:$H$73,MATCH(CE$3,'Standards for Conversions'!$A$34:$A$73,0))))</f>
        <v/>
      </c>
      <c r="CH79" s="10" t="s">
        <v>38</v>
      </c>
      <c r="CI79" s="7"/>
      <c r="CJ79" s="7"/>
      <c r="CK79" s="31" t="str">
        <f>IF(CJ79/(INDEX('Standards for Conversions'!$H$34:$H$73,MATCH(CI$3,'Standards for Conversions'!$A$34:$A$73,0)))=0,"",CJ79/(INDEX('Standards for Conversions'!$H$34:$H$73,MATCH(CI$3,'Standards for Conversions'!$A$34:$A$73,0))))</f>
        <v/>
      </c>
      <c r="CL79" s="10" t="s">
        <v>38</v>
      </c>
      <c r="CM79" s="9"/>
      <c r="CN79" s="9"/>
      <c r="CO79" s="31" t="str">
        <f>IF(CN79/(INDEX('Standards for Conversions'!$H$34:$H$73,MATCH(CM$3,'Standards for Conversions'!$A$34:$A$73,0)))=0,"",CN79/(INDEX('Standards for Conversions'!$H$34:$H$73,MATCH(CM$3,'Standards for Conversions'!$A$34:$A$73,0))))</f>
        <v/>
      </c>
      <c r="CP79" s="10" t="s">
        <v>38</v>
      </c>
      <c r="CQ79" s="7"/>
      <c r="CR79" s="7"/>
      <c r="CS79" s="31" t="str">
        <f>IF(CR79/(INDEX('Standards for Conversions'!$H$34:$H$73,MATCH(CQ$3,'Standards for Conversions'!$A$34:$A$73,0)))=0,"",CR79/(INDEX('Standards for Conversions'!$H$34:$H$73,MATCH(CQ$3,'Standards for Conversions'!$A$34:$A$73,0))))</f>
        <v/>
      </c>
      <c r="CT79" s="10" t="s">
        <v>38</v>
      </c>
      <c r="CU79" s="7"/>
      <c r="CV79" s="7"/>
      <c r="CW79" s="31" t="str">
        <f>IF(CV79/(INDEX('Standards for Conversions'!$H$34:$H$73,MATCH(CU$3,'Standards for Conversions'!$A$34:$A$73,0)))=0,"",CV79/(INDEX('Standards for Conversions'!$H$34:$H$73,MATCH(CU$3,'Standards for Conversions'!$A$34:$A$73,0))))</f>
        <v/>
      </c>
      <c r="CX79" s="10" t="s">
        <v>38</v>
      </c>
      <c r="CY79" s="7"/>
      <c r="CZ79" s="7"/>
      <c r="DA79" s="31" t="str">
        <f>IF(CZ79/(INDEX('Standards for Conversions'!$H$34:$H$73,MATCH(CY$3,'Standards for Conversions'!$A$34:$A$73,0)))=0,"",CZ79/(INDEX('Standards for Conversions'!$H$34:$H$73,MATCH(CY$3,'Standards for Conversions'!$A$34:$A$73,0))))</f>
        <v/>
      </c>
      <c r="DB79" s="10" t="s">
        <v>38</v>
      </c>
      <c r="DC79" s="9"/>
      <c r="DD79" s="9"/>
      <c r="DE79" s="31" t="str">
        <f>IF(DD79/(INDEX('Standards for Conversions'!$H$34:$H$73,MATCH(DC$3,'Standards for Conversions'!$A$34:$A$73,0)))=0,"",DD79/(INDEX('Standards for Conversions'!$H$34:$H$73,MATCH(DC$3,'Standards for Conversions'!$A$34:$A$73,0))))</f>
        <v/>
      </c>
      <c r="DF79" s="10" t="s">
        <v>38</v>
      </c>
      <c r="DG79" s="7"/>
      <c r="DH79" s="7"/>
      <c r="DI79" s="31" t="str">
        <f>IF(DH79/(INDEX('Standards for Conversions'!$H$34:$H$73,MATCH(DG$3,'Standards for Conversions'!$A$34:$A$73,0)))=0,"",DH79/(INDEX('Standards for Conversions'!$H$34:$H$73,MATCH(DG$3,'Standards for Conversions'!$A$34:$A$73,0))))</f>
        <v/>
      </c>
      <c r="DJ79" s="10" t="s">
        <v>38</v>
      </c>
      <c r="DK79" s="7"/>
      <c r="DL79" s="7"/>
      <c r="DM79" s="31" t="str">
        <f>IF(DL79/(INDEX('Standards for Conversions'!$H$34:$H$73,MATCH(DK$3,'Standards for Conversions'!$A$34:$A$73,0)))=0,"",DL79/(INDEX('Standards for Conversions'!$H$34:$H$73,MATCH(DK$3,'Standards for Conversions'!$A$34:$A$73,0))))</f>
        <v/>
      </c>
      <c r="DN79" s="10" t="s">
        <v>38</v>
      </c>
      <c r="DO79" s="7"/>
      <c r="DP79" s="7"/>
      <c r="DQ79" s="31" t="str">
        <f>IF(DP79/(INDEX('Standards for Conversions'!$H$34:$H$73,MATCH(DO$3,'Standards for Conversions'!$A$34:$A$73,0)))=0,"",DP79/(INDEX('Standards for Conversions'!$H$34:$H$73,MATCH(DO$3,'Standards for Conversions'!$A$34:$A$73,0))))</f>
        <v/>
      </c>
      <c r="DR79" s="10" t="s">
        <v>38</v>
      </c>
      <c r="DS79" s="9"/>
      <c r="DT79" s="9"/>
      <c r="DU79" s="31" t="str">
        <f>IF(DT79/(INDEX('Standards for Conversions'!$H$34:$H$73,MATCH(DS$3,'Standards for Conversions'!$A$34:$A$73,0)))=0,"",DT79/(INDEX('Standards for Conversions'!$H$34:$H$73,MATCH(DS$3,'Standards for Conversions'!$A$34:$A$73,0))))</f>
        <v/>
      </c>
      <c r="DV79" s="10" t="s">
        <v>38</v>
      </c>
      <c r="DW79" s="7"/>
      <c r="DX79" s="7"/>
      <c r="DY79" s="31" t="str">
        <f>IF(DX79/(INDEX('Standards for Conversions'!$H$34:$H$73,MATCH(DW$3,'Standards for Conversions'!$A$34:$A$73,0)))=0,"",DX79/(INDEX('Standards for Conversions'!$H$34:$H$73,MATCH(DW$3,'Standards for Conversions'!$A$34:$A$73,0))))</f>
        <v/>
      </c>
      <c r="DZ79" s="10" t="s">
        <v>38</v>
      </c>
      <c r="EA79" s="7"/>
      <c r="EB79" s="7"/>
      <c r="EC79" s="31" t="str">
        <f>IF(EB79/(INDEX('Standards for Conversions'!$H$34:$H$73,MATCH(EA$3,'Standards for Conversions'!$A$34:$A$73,0)))=0,"",EB79/(INDEX('Standards for Conversions'!$H$34:$H$73,MATCH(EA$3,'Standards for Conversions'!$A$34:$A$73,0))))</f>
        <v/>
      </c>
      <c r="ED79" s="10" t="s">
        <v>38</v>
      </c>
      <c r="EE79" s="7"/>
      <c r="EF79" s="7"/>
      <c r="EG79" s="31" t="str">
        <f>IF(EF79/(INDEX('Standards for Conversions'!$H$34:$H$73,MATCH(EE$3,'Standards for Conversions'!$A$34:$A$73,0)))=0,"",EF79/(INDEX('Standards for Conversions'!$H$34:$H$73,MATCH(EE$3,'Standards for Conversions'!$A$34:$A$73,0))))</f>
        <v/>
      </c>
      <c r="EH79" s="10" t="s">
        <v>38</v>
      </c>
      <c r="EI79" s="9"/>
      <c r="EJ79" s="9"/>
      <c r="EK79" s="31" t="str">
        <f>IF(EJ79/(INDEX('Standards for Conversions'!$H$34:$H$73,MATCH(EI$3,'Standards for Conversions'!$A$34:$A$73,0)))=0,"",EJ79/(INDEX('Standards for Conversions'!$H$34:$H$73,MATCH(EI$3,'Standards for Conversions'!$A$34:$A$73,0))))</f>
        <v/>
      </c>
      <c r="EL79" s="10" t="s">
        <v>38</v>
      </c>
      <c r="EM79" s="7"/>
      <c r="EN79" s="7"/>
      <c r="EO79" s="31" t="str">
        <f>IF(EN79/(INDEX('Standards for Conversions'!$H$34:$H$73,MATCH(EM$3,'Standards for Conversions'!$A$34:$A$73,0)))=0,"",EN79/(INDEX('Standards for Conversions'!$H$34:$H$73,MATCH(EM$3,'Standards for Conversions'!$A$34:$A$73,0))))</f>
        <v/>
      </c>
      <c r="EP79" s="10" t="s">
        <v>38</v>
      </c>
      <c r="EQ79" s="7"/>
      <c r="ER79" s="7"/>
      <c r="ES79" s="31" t="str">
        <f>IF(ER79/(INDEX('Standards for Conversions'!$H$34:$H$73,MATCH(EQ$3,'Standards for Conversions'!$A$34:$A$73,0)))=0,"",ER79/(INDEX('Standards for Conversions'!$H$34:$H$73,MATCH(EQ$3,'Standards for Conversions'!$A$34:$A$73,0))))</f>
        <v/>
      </c>
      <c r="ET79" s="10" t="s">
        <v>38</v>
      </c>
      <c r="EU79" s="7"/>
      <c r="EV79" s="7"/>
      <c r="EW79" s="31" t="str">
        <f>IF(EV79/(INDEX('Standards for Conversions'!$H$34:$H$73,MATCH(EU$3,'Standards for Conversions'!$A$34:$A$73,0)))=0,"",EV79/(INDEX('Standards for Conversions'!$H$34:$H$73,MATCH(EU$3,'Standards for Conversions'!$A$34:$A$73,0))))</f>
        <v/>
      </c>
      <c r="EX79" s="10" t="s">
        <v>38</v>
      </c>
      <c r="EY79" s="9"/>
      <c r="EZ79" s="9"/>
      <c r="FA79" s="31" t="str">
        <f>IF(EZ79/(INDEX('Standards for Conversions'!$H$34:$H$73,MATCH(EY$3,'Standards for Conversions'!$A$34:$A$73,0)))=0,"",EZ79/(INDEX('Standards for Conversions'!$H$34:$H$73,MATCH(EY$3,'Standards for Conversions'!$A$34:$A$73,0))))</f>
        <v/>
      </c>
      <c r="FB79" s="10" t="s">
        <v>38</v>
      </c>
      <c r="FC79" s="7"/>
      <c r="FD79" s="7"/>
      <c r="FE79" s="31" t="str">
        <f>IF(FD79/(INDEX('Standards for Conversions'!$H$34:$H$73,MATCH(FC$3,'Standards for Conversions'!$A$34:$A$73,0)))=0,"",FD79/(INDEX('Standards for Conversions'!$H$34:$H$73,MATCH(FC$3,'Standards for Conversions'!$A$34:$A$73,0))))</f>
        <v/>
      </c>
      <c r="FF79" s="10" t="s">
        <v>38</v>
      </c>
      <c r="FG79" s="7"/>
      <c r="FH79" s="7"/>
      <c r="FI79" s="31" t="str">
        <f>IF(FH79/(INDEX('Standards for Conversions'!$H$34:$H$73,MATCH(FG$3,'Standards for Conversions'!$A$34:$A$73,0)))=0,"",FH79/(INDEX('Standards for Conversions'!$H$34:$H$73,MATCH(FG$3,'Standards for Conversions'!$A$34:$A$73,0))))</f>
        <v/>
      </c>
      <c r="FJ79" s="10" t="s">
        <v>38</v>
      </c>
      <c r="FK79" s="7"/>
      <c r="FL79" s="7"/>
      <c r="FM79" s="31" t="str">
        <f>IF(FL79/(INDEX('Standards for Conversions'!$H$34:$H$73,MATCH(FK$3,'Standards for Conversions'!$A$34:$A$73,0)))=0,"",FL79/(INDEX('Standards for Conversions'!$H$34:$H$73,MATCH(FK$3,'Standards for Conversions'!$A$34:$A$73,0))))</f>
        <v/>
      </c>
      <c r="FN79" s="10" t="s">
        <v>38</v>
      </c>
      <c r="FO79" s="9"/>
      <c r="FP79" s="9"/>
      <c r="FQ79" s="31" t="str">
        <f>IF(FP79/(INDEX('Standards for Conversions'!$H$34:$H$73,MATCH(FO$3,'Standards for Conversions'!$A$34:$A$73,0)))=0,"",FP79/(INDEX('Standards for Conversions'!$H$34:$H$73,MATCH(FO$3,'Standards for Conversions'!$A$34:$A$73,0))))</f>
        <v/>
      </c>
      <c r="FR79" s="10" t="s">
        <v>38</v>
      </c>
      <c r="FS79" s="7"/>
      <c r="FT79" s="7"/>
      <c r="FU79" s="31" t="str">
        <f>IF(FT79/(INDEX('Standards for Conversions'!$H$34:$H$73,MATCH(FS$3,'Standards for Conversions'!$A$34:$A$73,0)))=0,"",FT79/(INDEX('Standards for Conversions'!$H$34:$H$73,MATCH(FS$3,'Standards for Conversions'!$A$34:$A$73,0))))</f>
        <v/>
      </c>
      <c r="FV79" s="10" t="s">
        <v>38</v>
      </c>
      <c r="FW79" s="7"/>
      <c r="FX79" s="7"/>
      <c r="FY79" s="31" t="str">
        <f>IF(FX79/(INDEX('Standards for Conversions'!$H$34:$H$73,MATCH(FW$3,'Standards for Conversions'!$A$34:$A$73,0)))=0,"",FX79/(INDEX('Standards for Conversions'!$H$34:$H$73,MATCH(FW$3,'Standards for Conversions'!$A$34:$A$73,0))))</f>
        <v/>
      </c>
      <c r="FZ79" s="10" t="s">
        <v>38</v>
      </c>
      <c r="GA79" s="7"/>
      <c r="GB79" s="7"/>
      <c r="GC79" s="31" t="str">
        <f>IF(GB79/(INDEX('Standards for Conversions'!$H$34:$H$73,MATCH(GA$3,'Standards for Conversions'!$A$34:$A$73,0)))=0,"",GB79/(INDEX('Standards for Conversions'!$H$34:$H$73,MATCH(GA$3,'Standards for Conversions'!$A$34:$A$73,0))))</f>
        <v/>
      </c>
      <c r="GD79" s="10" t="s">
        <v>38</v>
      </c>
      <c r="GE79" s="9"/>
      <c r="GF79" s="9"/>
      <c r="GG79" s="31" t="str">
        <f>IF(GF79/(INDEX('Standards for Conversions'!$H$34:$H$73,MATCH(GE$3,'Standards for Conversions'!$A$34:$A$73,0)))=0,"",GF79/(INDEX('Standards for Conversions'!$H$34:$H$73,MATCH(GE$3,'Standards for Conversions'!$A$34:$A$73,0))))</f>
        <v/>
      </c>
      <c r="GH79" s="10" t="s">
        <v>38</v>
      </c>
      <c r="GI79" s="7"/>
      <c r="GJ79" s="7"/>
      <c r="GK79" s="31" t="str">
        <f>IF(GJ79/(INDEX('Standards for Conversions'!$H$34:$H$73,MATCH(GI$3,'Standards for Conversions'!$A$34:$A$73,0)))=0,"",GJ79/(INDEX('Standards for Conversions'!$H$34:$H$73,MATCH(GI$3,'Standards for Conversions'!$A$34:$A$73,0))))</f>
        <v/>
      </c>
      <c r="GL79" s="10" t="s">
        <v>38</v>
      </c>
      <c r="GM79" s="7"/>
      <c r="GN79" s="7"/>
      <c r="GO79" s="31" t="str">
        <f>IF(GN79/(INDEX('Standards for Conversions'!$H$34:$H$73,MATCH(GM$3,'Standards for Conversions'!$A$34:$A$73,0)))=0,"",GN79/(INDEX('Standards for Conversions'!$H$34:$H$73,MATCH(GM$3,'Standards for Conversions'!$A$34:$A$73,0))))</f>
        <v/>
      </c>
      <c r="GP79" s="10" t="s">
        <v>38</v>
      </c>
      <c r="GQ79" s="7"/>
      <c r="GR79" s="7"/>
      <c r="GS79" s="31" t="str">
        <f>IF(GR79/(INDEX('Standards for Conversions'!$H$34:$H$73,MATCH(GQ$3,'Standards for Conversions'!$A$34:$A$73,0)))=0,"",GR79/(INDEX('Standards for Conversions'!$H$34:$H$73,MATCH(GQ$3,'Standards for Conversions'!$A$34:$A$73,0))))</f>
        <v/>
      </c>
      <c r="GT79" s="10" t="s">
        <v>38</v>
      </c>
      <c r="GU79" s="9"/>
      <c r="GV79" s="9"/>
      <c r="GW79" s="31" t="str">
        <f>IF(GV79/(INDEX('Standards for Conversions'!$H$34:$H$73,MATCH(GU$3,'Standards for Conversions'!$A$34:$A$73,0)))=0,"",GV79/(INDEX('Standards for Conversions'!$H$34:$H$73,MATCH(GU$3,'Standards for Conversions'!$A$34:$A$73,0))))</f>
        <v/>
      </c>
      <c r="GX79" s="10" t="s">
        <v>38</v>
      </c>
      <c r="GY79" s="7"/>
      <c r="GZ79" s="7"/>
      <c r="HA79" s="31" t="str">
        <f>IF(GZ79/(INDEX('Standards for Conversions'!$H$34:$H$73,MATCH(GY$3,'Standards for Conversions'!$A$34:$A$73,0)))=0,"",GZ79/(INDEX('Standards for Conversions'!$H$34:$H$73,MATCH(GY$3,'Standards for Conversions'!$A$34:$A$73,0))))</f>
        <v/>
      </c>
      <c r="HB79" s="10" t="s">
        <v>38</v>
      </c>
      <c r="HC79" s="7"/>
      <c r="HD79" s="7"/>
      <c r="HE79" s="31" t="str">
        <f>IF(HD79/(INDEX('Standards for Conversions'!$H$34:$H$73,MATCH(HC$3,'Standards for Conversions'!$A$34:$A$73,0)))=0,"",HD79/(INDEX('Standards for Conversions'!$H$34:$H$73,MATCH(HC$3,'Standards for Conversions'!$A$34:$A$73,0))))</f>
        <v/>
      </c>
      <c r="HF79" s="10" t="s">
        <v>38</v>
      </c>
      <c r="HG79" s="7"/>
      <c r="HH79" s="7"/>
      <c r="HI79" s="31" t="str">
        <f>IF(HH79/(INDEX('Standards for Conversions'!$H$34:$H$73,MATCH(HG$3,'Standards for Conversions'!$A$34:$A$73,0)))=0,"",HH79/(INDEX('Standards for Conversions'!$H$34:$H$73,MATCH(HG$3,'Standards for Conversions'!$A$34:$A$73,0))))</f>
        <v/>
      </c>
      <c r="HJ79" s="10" t="s">
        <v>38</v>
      </c>
      <c r="HK79" s="9"/>
      <c r="HL79" s="9"/>
      <c r="HM79" s="31" t="str">
        <f>IF(HL79/(INDEX('Standards for Conversions'!$H$34:$H$73,MATCH(HK$3,'Standards for Conversions'!$A$34:$A$73,0)))=0,"",HL79/(INDEX('Standards for Conversions'!$H$34:$H$73,MATCH(HK$3,'Standards for Conversions'!$A$34:$A$73,0))))</f>
        <v/>
      </c>
      <c r="HN79" s="10" t="s">
        <v>38</v>
      </c>
      <c r="HO79" s="7"/>
      <c r="HP79" s="7"/>
      <c r="HQ79" s="31" t="str">
        <f>IF(HP79/(INDEX('Standards for Conversions'!$H$34:$H$73,MATCH(HO$3,'Standards for Conversions'!$A$34:$A$73,0)))=0,"",HP79/(INDEX('Standards for Conversions'!$H$34:$H$73,MATCH(HO$3,'Standards for Conversions'!$A$34:$A$73,0))))</f>
        <v/>
      </c>
      <c r="HR79" s="33" t="s">
        <v>38</v>
      </c>
      <c r="HU79" s="31" t="str">
        <f>IF(HT79/(INDEX('Standards for Conversions'!$H$47:$H$73,MATCH(HS$3,'Standards for Conversions'!$A$47:$A$73,0)))=0,"",HT79/(INDEX('Standards for Conversions'!$H$47:$H$73,MATCH(HS$3,'Standards for Conversions'!$A$47:$A$73,0))))</f>
        <v/>
      </c>
      <c r="HV79" s="33" t="s">
        <v>38</v>
      </c>
      <c r="HY79" s="31" t="str">
        <f>IF(HX79/(INDEX('Standards for Conversions'!$H$47:$H$73,MATCH(HW$3,'Standards for Conversions'!$A$47:$A$73,0)))=0,"",HX79/(INDEX('Standards for Conversions'!$H$47:$H$73,MATCH(HW$3,'Standards for Conversions'!$A$47:$A$73,0))))</f>
        <v/>
      </c>
      <c r="HZ79" s="33"/>
      <c r="IA79" s="33"/>
      <c r="IB79" s="31" t="str">
        <f>IF(IA79/(INDEX('Standards for Conversions'!$H$47:$H$73,MATCH(HZ$3,'Standards for Conversions'!$A$47:$A$73,0)))=0,"",IA79/(INDEX('Standards for Conversions'!$H$47:$H$73,MATCH(HZ$3,'Standards for Conversions'!$A$47:$A$73,0))))</f>
        <v/>
      </c>
      <c r="IC79" s="33" t="s">
        <v>38</v>
      </c>
      <c r="ID79" s="29">
        <v>175</v>
      </c>
      <c r="IE79" s="29">
        <v>500</v>
      </c>
      <c r="IF79" s="31">
        <f>IF(IE79/(INDEX('Standards for Conversions'!$H$47:$H$73,MATCH(ID$3,'Standards for Conversions'!$A$47:$A$73,0)))=0,"",IE79/(INDEX('Standards for Conversions'!$H$47:$H$73,MATCH(ID$3,'Standards for Conversions'!$A$47:$A$73,0))))</f>
        <v>72.622706106427984</v>
      </c>
      <c r="IG79" s="33" t="s">
        <v>38</v>
      </c>
      <c r="IJ79" s="31" t="str">
        <f>IF(II79/(INDEX('Standards for Conversions'!$H$47:$H$73,MATCH(IH$3,'Standards for Conversions'!$A$47:$A$73,0)))=0,"",II79/(INDEX('Standards for Conversions'!$H$47:$H$73,MATCH(IH$3,'Standards for Conversions'!$A$47:$A$73,0))))</f>
        <v/>
      </c>
      <c r="IK79" s="33" t="s">
        <v>38</v>
      </c>
      <c r="IN79" s="31" t="str">
        <f>IF(IM79/(INDEX('Standards for Conversions'!$H$47:$H$73,MATCH(IL$3,'Standards for Conversions'!$A$47:$A$73,0)))=0,"",IM79/(INDEX('Standards for Conversions'!$H$47:$H$73,MATCH(IL$3,'Standards for Conversions'!$A$47:$A$73,0))))</f>
        <v/>
      </c>
      <c r="IO79" s="33" t="s">
        <v>38</v>
      </c>
      <c r="IR79" s="31" t="str">
        <f>IF(IQ79/(INDEX('Standards for Conversions'!$H$47:$H$73,MATCH(IP$3,'Standards for Conversions'!$A$47:$A$73,0)))=0,"",IQ79/(INDEX('Standards for Conversions'!$H$47:$H$73,MATCH(IP$3,'Standards for Conversions'!$A$47:$A$73,0))))</f>
        <v/>
      </c>
      <c r="IS79" s="33" t="s">
        <v>38</v>
      </c>
      <c r="IT79" s="29">
        <v>222</v>
      </c>
      <c r="IU79" s="29">
        <v>557</v>
      </c>
      <c r="IV79" s="31">
        <f>IF(IU79/(INDEX('Standards for Conversions'!$H$47:$H$73,MATCH(IT$3,'Standards for Conversions'!$A$47:$A$73,0)))=0,"",IU79/(INDEX('Standards for Conversions'!$H$47:$H$73,MATCH(IT$3,'Standards for Conversions'!$A$47:$A$73,0))))</f>
        <v>80.547897104298826</v>
      </c>
      <c r="IW79" s="33" t="s">
        <v>38</v>
      </c>
      <c r="IZ79" s="31" t="str">
        <f>IF(IY79/(INDEX('Standards for Conversions'!$H$47:$H$73,MATCH(IX$3,'Standards for Conversions'!$A$47:$A$73,0)))=0,"",IY79/(INDEX('Standards for Conversions'!$H$47:$H$73,MATCH(IX$3,'Standards for Conversions'!$A$47:$A$73,0))))</f>
        <v/>
      </c>
      <c r="JA79" s="33" t="s">
        <v>38</v>
      </c>
      <c r="JD79" s="31" t="str">
        <f>IF(JC79/(INDEX('Standards for Conversions'!$H$47:$H$73,MATCH(JB$3,'Standards for Conversions'!$A$47:$A$73,0)))=0,"",JC79/(INDEX('Standards for Conversions'!$H$47:$H$73,MATCH(JB$3,'Standards for Conversions'!$A$47:$A$73,0))))</f>
        <v/>
      </c>
      <c r="JE79" s="33" t="s">
        <v>38</v>
      </c>
      <c r="JH79" s="31" t="str">
        <f>IF(JG79/(INDEX('Standards for Conversions'!$H$47:$H$73,MATCH(JF$3,'Standards for Conversions'!$A$47:$A$73,0)))=0,"",JG79/(INDEX('Standards for Conversions'!$H$47:$H$73,MATCH(JF$3,'Standards for Conversions'!$A$47:$A$73,0))))</f>
        <v/>
      </c>
      <c r="JI79" s="48" t="s">
        <v>38</v>
      </c>
      <c r="JJ79" s="29">
        <v>50</v>
      </c>
      <c r="JK79" s="29">
        <v>100</v>
      </c>
      <c r="JL79" s="31">
        <f>IF(JK79/(INDEX('Standards for Conversions'!$H$47:$H$73,MATCH(JJ$3,'Standards for Conversions'!$A$47:$A$73,0)))=0,"",JK79/(INDEX('Standards for Conversions'!$H$47:$H$73,MATCH(JJ$3,'Standards for Conversions'!$A$47:$A$73,0))))</f>
        <v>16.176019669186868</v>
      </c>
      <c r="JM79" s="33" t="s">
        <v>38</v>
      </c>
      <c r="JP79" s="31" t="str">
        <f>IF(JO79/(INDEX('Standards for Conversions'!$H$47:$H$73,MATCH(JN$3,'Standards for Conversions'!$A$47:$A$73,0)))=0,"",JO79/(INDEX('Standards for Conversions'!$H$47:$H$73,MATCH(JN$3,'Standards for Conversions'!$A$47:$A$73,0))))</f>
        <v/>
      </c>
      <c r="JQ79" s="33" t="s">
        <v>38</v>
      </c>
      <c r="JT79" s="31" t="str">
        <f>IF(JS79/(INDEX('Standards for Conversions'!$H$47:$H$73,MATCH(JR$3,'Standards for Conversions'!$A$47:$A$73,0)))=0,"",JS79/(INDEX('Standards for Conversions'!$H$47:$H$73,MATCH(JR$3,'Standards for Conversions'!$A$47:$A$73,0))))</f>
        <v/>
      </c>
      <c r="JU79" s="33" t="s">
        <v>38</v>
      </c>
      <c r="JX79" s="31" t="str">
        <f>IF(JW79/(INDEX('Standards for Conversions'!$H$47:$H$73,MATCH(JV$3,'Standards for Conversions'!$A$47:$A$73,0)))=0,"",JW79/(INDEX('Standards for Conversions'!$H$47:$H$73,MATCH(JV$3,'Standards for Conversions'!$A$47:$A$73,0))))</f>
        <v/>
      </c>
      <c r="JY79" s="33" t="s">
        <v>38</v>
      </c>
      <c r="JZ79" s="29">
        <v>100</v>
      </c>
      <c r="KA79" s="29">
        <v>200</v>
      </c>
      <c r="KB79" s="31">
        <f>IF(KA79/(INDEX('Standards for Conversions'!$H$47:$H$73,MATCH(JZ$3,'Standards for Conversions'!$A$47:$A$73,0)))=0,"",KA79/(INDEX('Standards for Conversions'!$H$47:$H$73,MATCH(JZ$3,'Standards for Conversions'!$A$47:$A$73,0))))</f>
        <v>30.531178485559511</v>
      </c>
      <c r="KC79" s="33" t="s">
        <v>38</v>
      </c>
      <c r="KF79" s="31" t="str">
        <f>IF(KE79/(INDEX('Standards for Conversions'!$H$47:$H$73,MATCH(KD$3,'Standards for Conversions'!$A$47:$A$73,0)))=0,"",KE79/(INDEX('Standards for Conversions'!$H$47:$H$73,MATCH(KD$3,'Standards for Conversions'!$A$47:$A$73,0))))</f>
        <v/>
      </c>
      <c r="KG79" s="33" t="s">
        <v>38</v>
      </c>
      <c r="KJ79" s="31" t="str">
        <f>IF(KI79/(INDEX('Standards for Conversions'!$H$47:$H$73,MATCH(KH$3,'Standards for Conversions'!$A$47:$A$73,0)))=0,"",KI79/(INDEX('Standards for Conversions'!$H$47:$H$73,MATCH(KH$3,'Standards for Conversions'!$A$47:$A$73,0))))</f>
        <v/>
      </c>
      <c r="KK79" s="33" t="s">
        <v>38</v>
      </c>
      <c r="KN79" s="31" t="str">
        <f>IF(KM79/(INDEX('Standards for Conversions'!$H$47:$H$73,MATCH(KL$3,'Standards for Conversions'!$A$47:$A$73,0)))=0,"",KM79/(INDEX('Standards for Conversions'!$H$47:$H$73,MATCH(KL$3,'Standards for Conversions'!$A$47:$A$73,0))))</f>
        <v/>
      </c>
      <c r="KO79" s="33" t="s">
        <v>38</v>
      </c>
      <c r="KP79" s="29">
        <v>105</v>
      </c>
      <c r="KQ79" s="29">
        <v>216</v>
      </c>
      <c r="KR79" s="31">
        <f>IF(KQ79/(INDEX('Standards for Conversions'!$H$47:$H$73,MATCH(KP$3,'Standards for Conversions'!$A$47:$A$73,0)))=0,"",KQ79/(INDEX('Standards for Conversions'!$H$47:$H$73,MATCH(KP$3,'Standards for Conversions'!$A$47:$A$73,0))))</f>
        <v>29.086346571652037</v>
      </c>
      <c r="KS79" s="33" t="s">
        <v>38</v>
      </c>
      <c r="KV79" s="31" t="str">
        <f>IF(KU79/(INDEX('Standards for Conversions'!$H$47:$H$73,MATCH(KT$3,'Standards for Conversions'!$A$47:$A$73,0)))=0,"",KU79/(INDEX('Standards for Conversions'!$H$47:$H$73,MATCH(KT$3,'Standards for Conversions'!$A$47:$A$73,0))))</f>
        <v/>
      </c>
      <c r="KW79" s="33" t="s">
        <v>38</v>
      </c>
      <c r="KZ79" s="31" t="str">
        <f>IF(KY79/(INDEX('Standards for Conversions'!$H$47:$H$73,MATCH(KX$3,'Standards for Conversions'!$A$47:$A$73,0)))=0,"",KY79/(INDEX('Standards for Conversions'!$H$47:$H$73,MATCH(KX$3,'Standards for Conversions'!$A$47:$A$73,0))))</f>
        <v/>
      </c>
      <c r="LA79" s="33" t="s">
        <v>38</v>
      </c>
      <c r="LD79" s="31" t="str">
        <f>IF(LC79/(INDEX('Standards for Conversions'!$H$47:$H$73,MATCH(LB$3,'Standards for Conversions'!$A$47:$A$73,0)))=0,"",LC79/(INDEX('Standards for Conversions'!$H$47:$H$73,MATCH(LB$3,'Standards for Conversions'!$A$47:$A$73,0))))</f>
        <v/>
      </c>
      <c r="LE79" s="48" t="s">
        <v>38</v>
      </c>
      <c r="LF79" s="29">
        <v>165</v>
      </c>
      <c r="LG79" s="29">
        <v>500</v>
      </c>
      <c r="LH79" s="31">
        <f>IF(LG79/(INDEX('Standards for Conversions'!$H$47:$H$73,MATCH(LF$3,'Standards for Conversions'!$A$47:$A$73,0)))=0,"",LG79/(INDEX('Standards for Conversions'!$H$47:$H$73,MATCH(LF$3,'Standards for Conversions'!$A$47:$A$73,0))))</f>
        <v>60.808283363749588</v>
      </c>
      <c r="LL79" s="31" t="str">
        <f>IF(LK79/(INDEX('Standards for Conversions'!$H$47:$H$73,MATCH(LJ$3,'Standards for Conversions'!$A$47:$A$73,0)))=0,"",LK79/(INDEX('Standards for Conversions'!$H$47:$H$73,MATCH(LJ$3,'Standards for Conversions'!$A$47:$A$73,0))))</f>
        <v/>
      </c>
      <c r="LO79" s="31" t="str">
        <f>IF(LN79/(INDEX('Standards for Conversions'!$H$47:$H$73,MATCH(LM$3,'Standards for Conversions'!$A$47:$A$73,0)))=0,"",LN79/(INDEX('Standards for Conversions'!$H$47:$H$73,MATCH(LM$3,'Standards for Conversions'!$A$47:$A$73,0))))</f>
        <v/>
      </c>
      <c r="LR79" s="31" t="str">
        <f>IF(LQ79/(INDEX('Standards for Conversions'!$H$47:$H$73,MATCH(LP$3,'Standards for Conversions'!$A$47:$A$73,0)))=0,"",LQ79/(INDEX('Standards for Conversions'!$H$47:$H$73,MATCH(LP$3,'Standards for Conversions'!$A$47:$A$73,0))))</f>
        <v/>
      </c>
      <c r="LV79" s="31" t="str">
        <f>IF(LU79/(INDEX('Standards for Conversions'!$H$47:$H$73,MATCH(LT$3,'Standards for Conversions'!$A$47:$A$73,0)))=0,"",LU79/(INDEX('Standards for Conversions'!$H$47:$H$73,MATCH(LT$3,'Standards for Conversions'!$A$47:$A$73,0))))</f>
        <v/>
      </c>
      <c r="LY79" s="31" t="str">
        <f>IF(LX79/(INDEX('Standards for Conversions'!$H$47:$H$73,MATCH(LW$3,'Standards for Conversions'!$A$47:$A$73,0)))=0,"",LX79/(INDEX('Standards for Conversions'!$H$47:$H$73,MATCH(LW$3,'Standards for Conversions'!$A$47:$A$73,0))))</f>
        <v/>
      </c>
      <c r="MB79" s="31" t="str">
        <f>IF(MA79/(INDEX('Standards for Conversions'!$H$47:$H$73,MATCH(LZ$3,'Standards for Conversions'!$A$47:$A$73,0)))=0,"",MA79/(INDEX('Standards for Conversions'!$H$47:$H$73,MATCH(LZ$3,'Standards for Conversions'!$A$47:$A$73,0))))</f>
        <v/>
      </c>
      <c r="ME79" s="31" t="str">
        <f>IF(MD79/(INDEX('Standards for Conversions'!$H$47:$H$73,MATCH(MC$3,'Standards for Conversions'!$A$47:$A$73,0)))=0,"",MD79/(INDEX('Standards for Conversions'!$H$47:$H$73,MATCH(MC$3,'Standards for Conversions'!$A$47:$A$73,0))))</f>
        <v/>
      </c>
      <c r="MH79" s="31" t="str">
        <f>IF(MG79/(INDEX('Standards for Conversions'!$H$47:$H$73,MATCH(MF$3,'Standards for Conversions'!$A$47:$A$73,0)))=0,"",MG79/(INDEX('Standards for Conversions'!$H$47:$H$73,MATCH(MF$3,'Standards for Conversions'!$A$47:$A$73,0))))</f>
        <v/>
      </c>
      <c r="MK79" s="31" t="str">
        <f>IF(MJ79/(INDEX('Standards for Conversions'!$H$47:$H$73,MATCH(MI$3,'Standards for Conversions'!$A$47:$A$73,0)))=0,"",MJ79/(INDEX('Standards for Conversions'!$H$47:$H$73,MATCH(MI$3,'Standards for Conversions'!$A$47:$A$73,0))))</f>
        <v/>
      </c>
      <c r="MN79" s="31" t="str">
        <f>IF(MM79/(INDEX('Standards for Conversions'!$H$47:$H$73,MATCH(ML$3,'Standards for Conversions'!$A$47:$A$73,0)))=0,"",MM79/(INDEX('Standards for Conversions'!$H$47:$H$73,MATCH(ML$3,'Standards for Conversions'!$A$47:$A$73,0))))</f>
        <v/>
      </c>
      <c r="MR79" s="31" t="str">
        <f>IF(MQ79/(INDEX('Standards for Conversions'!$H$47:$H$73,MATCH(MP$3,'Standards for Conversions'!$A$47:$A$73,0)))=0,"",MQ79/(INDEX('Standards for Conversions'!$H$47:$H$73,MATCH(MP$3,'Standards for Conversions'!$A$47:$A$73,0))))</f>
        <v/>
      </c>
    </row>
    <row r="80" spans="1:369" hidden="1" x14ac:dyDescent="0.3">
      <c r="A80" s="103" t="s">
        <v>254</v>
      </c>
      <c r="B80" s="10" t="s">
        <v>38</v>
      </c>
      <c r="C80" s="7"/>
      <c r="D80" s="7"/>
      <c r="E80" s="31" t="str">
        <f>IF(D80/(INDEX('Standards for Conversions'!$H$34:$H$73,MATCH(C$3,'Standards for Conversions'!$A$34:$A$73,0)))=0,"",D80/(INDEX('Standards for Conversions'!$H$34:$H$73,MATCH(C$3,'Standards for Conversions'!$A$34:$A$73,0))))</f>
        <v/>
      </c>
      <c r="F80" s="10" t="s">
        <v>38</v>
      </c>
      <c r="G80" s="7"/>
      <c r="H80" s="7"/>
      <c r="I80" s="31" t="str">
        <f>IF(H80/(INDEX('Standards for Conversions'!$H$34:$H$73,MATCH(G$3,'Standards for Conversions'!$A$34:$A$73,0)))=0,"",H80/(INDEX('Standards for Conversions'!$H$34:$H$73,MATCH(G$3,'Standards for Conversions'!$A$34:$A$73,0))))</f>
        <v/>
      </c>
      <c r="J80" s="10" t="s">
        <v>38</v>
      </c>
      <c r="K80" s="9"/>
      <c r="L80" s="9"/>
      <c r="M80" s="31" t="str">
        <f>IF(L80/(INDEX('Standards for Conversions'!$H$34:$H$73,MATCH(K$3,'Standards for Conversions'!$A$34:$A$73,0)))=0,"",L80/(INDEX('Standards for Conversions'!$H$34:$H$73,MATCH(K$3,'Standards for Conversions'!$A$34:$A$73,0))))</f>
        <v/>
      </c>
      <c r="N80" s="10" t="s">
        <v>38</v>
      </c>
      <c r="O80" s="7"/>
      <c r="P80" s="7"/>
      <c r="Q80" s="31" t="str">
        <f>IF(P80/(INDEX('Standards for Conversions'!$H$34:$H$73,MATCH(O$3,'Standards for Conversions'!$A$34:$A$73,0)))=0,"",P80/(INDEX('Standards for Conversions'!$H$34:$H$73,MATCH(O$3,'Standards for Conversions'!$A$34:$A$73,0))))</f>
        <v/>
      </c>
      <c r="R80" s="10" t="s">
        <v>38</v>
      </c>
      <c r="S80" s="7"/>
      <c r="T80" s="7"/>
      <c r="U80" s="31" t="str">
        <f>IF(T80/(INDEX('Standards for Conversions'!$H$34:$H$73,MATCH(S$3,'Standards for Conversions'!$A$34:$A$73,0)))=0,"",T80/(INDEX('Standards for Conversions'!$H$34:$H$73,MATCH(S$3,'Standards for Conversions'!$A$34:$A$73,0))))</f>
        <v/>
      </c>
      <c r="V80" s="10" t="s">
        <v>38</v>
      </c>
      <c r="W80" s="7"/>
      <c r="X80" s="7"/>
      <c r="Y80" s="31" t="str">
        <f>IF(X80/(INDEX('Standards for Conversions'!$H$34:$H$73,MATCH(W$3,'Standards for Conversions'!$A$34:$A$73,0)))=0,"",X80/(INDEX('Standards for Conversions'!$H$34:$H$73,MATCH(W$3,'Standards for Conversions'!$A$34:$A$73,0))))</f>
        <v/>
      </c>
      <c r="Z80" s="10" t="s">
        <v>38</v>
      </c>
      <c r="AA80" s="9"/>
      <c r="AB80" s="9"/>
      <c r="AC80" s="31" t="str">
        <f>IF(AB80/(INDEX('Standards for Conversions'!$H$34:$H$73,MATCH(AA$3,'Standards for Conversions'!$A$34:$A$73,0)))=0,"",AB80/(INDEX('Standards for Conversions'!$H$34:$H$73,MATCH(AA$3,'Standards for Conversions'!$A$34:$A$73,0))))</f>
        <v/>
      </c>
      <c r="AD80" s="10" t="s">
        <v>38</v>
      </c>
      <c r="AE80" s="7"/>
      <c r="AF80" s="7"/>
      <c r="AG80" s="31" t="str">
        <f>IF(AF80/(INDEX('Standards for Conversions'!$H$34:$H$73,MATCH(AE$3,'Standards for Conversions'!$A$34:$A$73,0)))=0,"",AF80/(INDEX('Standards for Conversions'!$H$34:$H$73,MATCH(AE$3,'Standards for Conversions'!$A$34:$A$73,0))))</f>
        <v/>
      </c>
      <c r="AH80" s="10" t="s">
        <v>38</v>
      </c>
      <c r="AI80" s="7"/>
      <c r="AJ80" s="7"/>
      <c r="AK80" s="31" t="str">
        <f>IF(AJ80/(INDEX('Standards for Conversions'!$H$34:$H$73,MATCH(AI$3,'Standards for Conversions'!$A$34:$A$73,0)))=0,"",AJ80/(INDEX('Standards for Conversions'!$H$34:$H$73,MATCH(AI$3,'Standards for Conversions'!$A$34:$A$73,0))))</f>
        <v/>
      </c>
      <c r="AL80" s="10" t="s">
        <v>38</v>
      </c>
      <c r="AM80" s="7"/>
      <c r="AN80" s="7"/>
      <c r="AO80" s="31" t="str">
        <f>IF(AN80/(INDEX('Standards for Conversions'!$H$34:$H$73,MATCH(AM$3,'Standards for Conversions'!$A$34:$A$73,0)))=0,"",AN80/(INDEX('Standards for Conversions'!$H$34:$H$73,MATCH(AM$3,'Standards for Conversions'!$A$34:$A$73,0))))</f>
        <v/>
      </c>
      <c r="AP80" s="10" t="s">
        <v>38</v>
      </c>
      <c r="AQ80" s="9"/>
      <c r="AR80" s="9"/>
      <c r="AS80" s="31" t="str">
        <f>IF(AR80/(INDEX('Standards for Conversions'!$H$34:$H$73,MATCH(AQ$3,'Standards for Conversions'!$A$34:$A$73,0)))=0,"",AR80/(INDEX('Standards for Conversions'!$H$34:$H$73,MATCH(AQ$3,'Standards for Conversions'!$A$34:$A$73,0))))</f>
        <v/>
      </c>
      <c r="AT80" s="10" t="s">
        <v>38</v>
      </c>
      <c r="AU80" s="7"/>
      <c r="AV80" s="7"/>
      <c r="AW80" s="31" t="str">
        <f>IF(AV80/(INDEX('Standards for Conversions'!$H$34:$H$73,MATCH(AU$3,'Standards for Conversions'!$A$34:$A$73,0)))=0,"",AV80/(INDEX('Standards for Conversions'!$H$34:$H$73,MATCH(AU$3,'Standards for Conversions'!$A$34:$A$73,0))))</f>
        <v/>
      </c>
      <c r="AX80" s="10" t="s">
        <v>38</v>
      </c>
      <c r="AY80" s="7"/>
      <c r="AZ80" s="7"/>
      <c r="BA80" s="31" t="str">
        <f>IF(AZ80/(INDEX('Standards for Conversions'!$H$34:$H$73,MATCH(AY$3,'Standards for Conversions'!$A$34:$A$73,0)))=0,"",AZ80/(INDEX('Standards for Conversions'!$H$34:$H$73,MATCH(AY$3,'Standards for Conversions'!$A$34:$A$73,0))))</f>
        <v/>
      </c>
      <c r="BB80" s="10" t="s">
        <v>38</v>
      </c>
      <c r="BC80" s="7"/>
      <c r="BD80" s="7"/>
      <c r="BE80" s="31" t="str">
        <f>IF(BD80/(INDEX('Standards for Conversions'!$H$34:$H$73,MATCH(BC$3,'Standards for Conversions'!$A$34:$A$73,0)))=0,"",BD80/(INDEX('Standards for Conversions'!$H$34:$H$73,MATCH(BC$3,'Standards for Conversions'!$A$34:$A$73,0))))</f>
        <v/>
      </c>
      <c r="BF80" s="10" t="s">
        <v>38</v>
      </c>
      <c r="BG80" s="9"/>
      <c r="BH80" s="9"/>
      <c r="BI80" s="31" t="str">
        <f>IF(BH80/(INDEX('Standards for Conversions'!$H$34:$H$73,MATCH(BG$3,'Standards for Conversions'!$A$34:$A$73,0)))=0,"",BH80/(INDEX('Standards for Conversions'!$H$34:$H$73,MATCH(BG$3,'Standards for Conversions'!$A$34:$A$73,0))))</f>
        <v/>
      </c>
      <c r="BJ80" s="10" t="s">
        <v>38</v>
      </c>
      <c r="BK80" s="7"/>
      <c r="BL80" s="7"/>
      <c r="BM80" s="31" t="str">
        <f>IF(BL80/(INDEX('Standards for Conversions'!$H$34:$H$73,MATCH(BK$3,'Standards for Conversions'!$A$34:$A$73,0)))=0,"",BL80/(INDEX('Standards for Conversions'!$H$34:$H$73,MATCH(BK$3,'Standards for Conversions'!$A$34:$A$73,0))))</f>
        <v/>
      </c>
      <c r="BN80" s="10" t="s">
        <v>38</v>
      </c>
      <c r="BO80" s="7"/>
      <c r="BP80" s="7"/>
      <c r="BQ80" s="31" t="str">
        <f>IF(BP80/(INDEX('Standards for Conversions'!$H$34:$H$73,MATCH(BO$3,'Standards for Conversions'!$A$34:$A$73,0)))=0,"",BP80/(INDEX('Standards for Conversions'!$H$34:$H$73,MATCH(BO$3,'Standards for Conversions'!$A$34:$A$73,0))))</f>
        <v/>
      </c>
      <c r="BR80" s="10" t="s">
        <v>38</v>
      </c>
      <c r="BS80" s="7"/>
      <c r="BT80" s="7"/>
      <c r="BU80" s="31" t="str">
        <f>IF(BT80/(INDEX('Standards for Conversions'!$H$34:$H$73,MATCH(BS$3,'Standards for Conversions'!$A$34:$A$73,0)))=0,"",BT80/(INDEX('Standards for Conversions'!$H$34:$H$73,MATCH(BS$3,'Standards for Conversions'!$A$34:$A$73,0))))</f>
        <v/>
      </c>
      <c r="BV80" s="10" t="s">
        <v>38</v>
      </c>
      <c r="BW80" s="9"/>
      <c r="BX80" s="9"/>
      <c r="BY80" s="31" t="str">
        <f>IF(BX80/(INDEX('Standards for Conversions'!$H$34:$H$73,MATCH(BW$3,'Standards for Conversions'!$A$34:$A$73,0)))=0,"",BX80/(INDEX('Standards for Conversions'!$H$34:$H$73,MATCH(BW$3,'Standards for Conversions'!$A$34:$A$73,0))))</f>
        <v/>
      </c>
      <c r="BZ80" s="10" t="s">
        <v>38</v>
      </c>
      <c r="CA80" s="7"/>
      <c r="CB80" s="7"/>
      <c r="CC80" s="31" t="str">
        <f>IF(CB80/(INDEX('Standards for Conversions'!$H$34:$H$73,MATCH(CA$3,'Standards for Conversions'!$A$34:$A$73,0)))=0,"",CB80/(INDEX('Standards for Conversions'!$H$34:$H$73,MATCH(CA$3,'Standards for Conversions'!$A$34:$A$73,0))))</f>
        <v/>
      </c>
      <c r="CD80" s="10" t="s">
        <v>38</v>
      </c>
      <c r="CE80" s="7"/>
      <c r="CF80" s="7"/>
      <c r="CG80" s="31" t="str">
        <f>IF(CF80/(INDEX('Standards for Conversions'!$H$34:$H$73,MATCH(CE$3,'Standards for Conversions'!$A$34:$A$73,0)))=0,"",CF80/(INDEX('Standards for Conversions'!$H$34:$H$73,MATCH(CE$3,'Standards for Conversions'!$A$34:$A$73,0))))</f>
        <v/>
      </c>
      <c r="CH80" s="10" t="s">
        <v>38</v>
      </c>
      <c r="CI80" s="7"/>
      <c r="CJ80" s="7"/>
      <c r="CK80" s="31" t="str">
        <f>IF(CJ80/(INDEX('Standards for Conversions'!$H$34:$H$73,MATCH(CI$3,'Standards for Conversions'!$A$34:$A$73,0)))=0,"",CJ80/(INDEX('Standards for Conversions'!$H$34:$H$73,MATCH(CI$3,'Standards for Conversions'!$A$34:$A$73,0))))</f>
        <v/>
      </c>
      <c r="CL80" s="10" t="s">
        <v>38</v>
      </c>
      <c r="CM80" s="9"/>
      <c r="CN80" s="9"/>
      <c r="CO80" s="31" t="str">
        <f>IF(CN80/(INDEX('Standards for Conversions'!$H$34:$H$73,MATCH(CM$3,'Standards for Conversions'!$A$34:$A$73,0)))=0,"",CN80/(INDEX('Standards for Conversions'!$H$34:$H$73,MATCH(CM$3,'Standards for Conversions'!$A$34:$A$73,0))))</f>
        <v/>
      </c>
      <c r="CP80" s="10" t="s">
        <v>38</v>
      </c>
      <c r="CQ80" s="7"/>
      <c r="CR80" s="7"/>
      <c r="CS80" s="31" t="str">
        <f>IF(CR80/(INDEX('Standards for Conversions'!$H$34:$H$73,MATCH(CQ$3,'Standards for Conversions'!$A$34:$A$73,0)))=0,"",CR80/(INDEX('Standards for Conversions'!$H$34:$H$73,MATCH(CQ$3,'Standards for Conversions'!$A$34:$A$73,0))))</f>
        <v/>
      </c>
      <c r="CT80" s="10" t="s">
        <v>38</v>
      </c>
      <c r="CU80" s="7"/>
      <c r="CV80" s="7"/>
      <c r="CW80" s="31" t="str">
        <f>IF(CV80/(INDEX('Standards for Conversions'!$H$34:$H$73,MATCH(CU$3,'Standards for Conversions'!$A$34:$A$73,0)))=0,"",CV80/(INDEX('Standards for Conversions'!$H$34:$H$73,MATCH(CU$3,'Standards for Conversions'!$A$34:$A$73,0))))</f>
        <v/>
      </c>
      <c r="CX80" s="10" t="s">
        <v>38</v>
      </c>
      <c r="CY80" s="7"/>
      <c r="CZ80" s="7"/>
      <c r="DA80" s="31" t="str">
        <f>IF(CZ80/(INDEX('Standards for Conversions'!$H$34:$H$73,MATCH(CY$3,'Standards for Conversions'!$A$34:$A$73,0)))=0,"",CZ80/(INDEX('Standards for Conversions'!$H$34:$H$73,MATCH(CY$3,'Standards for Conversions'!$A$34:$A$73,0))))</f>
        <v/>
      </c>
      <c r="DB80" s="10" t="s">
        <v>38</v>
      </c>
      <c r="DC80" s="9"/>
      <c r="DD80" s="9"/>
      <c r="DE80" s="31" t="str">
        <f>IF(DD80/(INDEX('Standards for Conversions'!$H$34:$H$73,MATCH(DC$3,'Standards for Conversions'!$A$34:$A$73,0)))=0,"",DD80/(INDEX('Standards for Conversions'!$H$34:$H$73,MATCH(DC$3,'Standards for Conversions'!$A$34:$A$73,0))))</f>
        <v/>
      </c>
      <c r="DF80" s="10" t="s">
        <v>38</v>
      </c>
      <c r="DG80" s="7"/>
      <c r="DH80" s="7"/>
      <c r="DI80" s="31" t="str">
        <f>IF(DH80/(INDEX('Standards for Conversions'!$H$34:$H$73,MATCH(DG$3,'Standards for Conversions'!$A$34:$A$73,0)))=0,"",DH80/(INDEX('Standards for Conversions'!$H$34:$H$73,MATCH(DG$3,'Standards for Conversions'!$A$34:$A$73,0))))</f>
        <v/>
      </c>
      <c r="DJ80" s="10" t="s">
        <v>38</v>
      </c>
      <c r="DK80" s="7"/>
      <c r="DL80" s="7"/>
      <c r="DM80" s="31" t="str">
        <f>IF(DL80/(INDEX('Standards for Conversions'!$H$34:$H$73,MATCH(DK$3,'Standards for Conversions'!$A$34:$A$73,0)))=0,"",DL80/(INDEX('Standards for Conversions'!$H$34:$H$73,MATCH(DK$3,'Standards for Conversions'!$A$34:$A$73,0))))</f>
        <v/>
      </c>
      <c r="DN80" s="10" t="s">
        <v>38</v>
      </c>
      <c r="DO80" s="7"/>
      <c r="DP80" s="7"/>
      <c r="DQ80" s="31" t="str">
        <f>IF(DP80/(INDEX('Standards for Conversions'!$H$34:$H$73,MATCH(DO$3,'Standards for Conversions'!$A$34:$A$73,0)))=0,"",DP80/(INDEX('Standards for Conversions'!$H$34:$H$73,MATCH(DO$3,'Standards for Conversions'!$A$34:$A$73,0))))</f>
        <v/>
      </c>
      <c r="DR80" s="10" t="s">
        <v>38</v>
      </c>
      <c r="DS80" s="9"/>
      <c r="DT80" s="9"/>
      <c r="DU80" s="31" t="str">
        <f>IF(DT80/(INDEX('Standards for Conversions'!$H$34:$H$73,MATCH(DS$3,'Standards for Conversions'!$A$34:$A$73,0)))=0,"",DT80/(INDEX('Standards for Conversions'!$H$34:$H$73,MATCH(DS$3,'Standards for Conversions'!$A$34:$A$73,0))))</f>
        <v/>
      </c>
      <c r="DV80" s="10" t="s">
        <v>38</v>
      </c>
      <c r="DW80" s="7"/>
      <c r="DX80" s="7"/>
      <c r="DY80" s="31" t="str">
        <f>IF(DX80/(INDEX('Standards for Conversions'!$H$34:$H$73,MATCH(DW$3,'Standards for Conversions'!$A$34:$A$73,0)))=0,"",DX80/(INDEX('Standards for Conversions'!$H$34:$H$73,MATCH(DW$3,'Standards for Conversions'!$A$34:$A$73,0))))</f>
        <v/>
      </c>
      <c r="DZ80" s="10" t="s">
        <v>38</v>
      </c>
      <c r="EA80" s="7"/>
      <c r="EB80" s="7"/>
      <c r="EC80" s="31" t="str">
        <f>IF(EB80/(INDEX('Standards for Conversions'!$H$34:$H$73,MATCH(EA$3,'Standards for Conversions'!$A$34:$A$73,0)))=0,"",EB80/(INDEX('Standards for Conversions'!$H$34:$H$73,MATCH(EA$3,'Standards for Conversions'!$A$34:$A$73,0))))</f>
        <v/>
      </c>
      <c r="ED80" s="10" t="s">
        <v>38</v>
      </c>
      <c r="EE80" s="7"/>
      <c r="EF80" s="7"/>
      <c r="EG80" s="31" t="str">
        <f>IF(EF80/(INDEX('Standards for Conversions'!$H$34:$H$73,MATCH(EE$3,'Standards for Conversions'!$A$34:$A$73,0)))=0,"",EF80/(INDEX('Standards for Conversions'!$H$34:$H$73,MATCH(EE$3,'Standards for Conversions'!$A$34:$A$73,0))))</f>
        <v/>
      </c>
      <c r="EH80" s="10" t="s">
        <v>38</v>
      </c>
      <c r="EI80" s="9"/>
      <c r="EJ80" s="9"/>
      <c r="EK80" s="31" t="str">
        <f>IF(EJ80/(INDEX('Standards for Conversions'!$H$34:$H$73,MATCH(EI$3,'Standards for Conversions'!$A$34:$A$73,0)))=0,"",EJ80/(INDEX('Standards for Conversions'!$H$34:$H$73,MATCH(EI$3,'Standards for Conversions'!$A$34:$A$73,0))))</f>
        <v/>
      </c>
      <c r="EL80" s="10" t="s">
        <v>38</v>
      </c>
      <c r="EM80" s="7"/>
      <c r="EN80" s="7"/>
      <c r="EO80" s="31" t="str">
        <f>IF(EN80/(INDEX('Standards for Conversions'!$H$34:$H$73,MATCH(EM$3,'Standards for Conversions'!$A$34:$A$73,0)))=0,"",EN80/(INDEX('Standards for Conversions'!$H$34:$H$73,MATCH(EM$3,'Standards for Conversions'!$A$34:$A$73,0))))</f>
        <v/>
      </c>
      <c r="EP80" s="10" t="s">
        <v>38</v>
      </c>
      <c r="EQ80" s="7"/>
      <c r="ER80" s="7"/>
      <c r="ES80" s="31" t="str">
        <f>IF(ER80/(INDEX('Standards for Conversions'!$H$34:$H$73,MATCH(EQ$3,'Standards for Conversions'!$A$34:$A$73,0)))=0,"",ER80/(INDEX('Standards for Conversions'!$H$34:$H$73,MATCH(EQ$3,'Standards for Conversions'!$A$34:$A$73,0))))</f>
        <v/>
      </c>
      <c r="ET80" s="10" t="s">
        <v>38</v>
      </c>
      <c r="EU80" s="7"/>
      <c r="EV80" s="7"/>
      <c r="EW80" s="31" t="str">
        <f>IF(EV80/(INDEX('Standards for Conversions'!$H$34:$H$73,MATCH(EU$3,'Standards for Conversions'!$A$34:$A$73,0)))=0,"",EV80/(INDEX('Standards for Conversions'!$H$34:$H$73,MATCH(EU$3,'Standards for Conversions'!$A$34:$A$73,0))))</f>
        <v/>
      </c>
      <c r="EX80" s="10" t="s">
        <v>38</v>
      </c>
      <c r="EY80" s="9"/>
      <c r="EZ80" s="9"/>
      <c r="FA80" s="31" t="str">
        <f>IF(EZ80/(INDEX('Standards for Conversions'!$H$34:$H$73,MATCH(EY$3,'Standards for Conversions'!$A$34:$A$73,0)))=0,"",EZ80/(INDEX('Standards for Conversions'!$H$34:$H$73,MATCH(EY$3,'Standards for Conversions'!$A$34:$A$73,0))))</f>
        <v/>
      </c>
      <c r="FB80" s="10" t="s">
        <v>38</v>
      </c>
      <c r="FC80" s="7"/>
      <c r="FD80" s="7"/>
      <c r="FE80" s="31" t="str">
        <f>IF(FD80/(INDEX('Standards for Conversions'!$H$34:$H$73,MATCH(FC$3,'Standards for Conversions'!$A$34:$A$73,0)))=0,"",FD80/(INDEX('Standards for Conversions'!$H$34:$H$73,MATCH(FC$3,'Standards for Conversions'!$A$34:$A$73,0))))</f>
        <v/>
      </c>
      <c r="FF80" s="10" t="s">
        <v>38</v>
      </c>
      <c r="FG80" s="7"/>
      <c r="FH80" s="7"/>
      <c r="FI80" s="31" t="str">
        <f>IF(FH80/(INDEX('Standards for Conversions'!$H$34:$H$73,MATCH(FG$3,'Standards for Conversions'!$A$34:$A$73,0)))=0,"",FH80/(INDEX('Standards for Conversions'!$H$34:$H$73,MATCH(FG$3,'Standards for Conversions'!$A$34:$A$73,0))))</f>
        <v/>
      </c>
      <c r="FJ80" s="10" t="s">
        <v>38</v>
      </c>
      <c r="FK80" s="7"/>
      <c r="FL80" s="7"/>
      <c r="FM80" s="31" t="str">
        <f>IF(FL80/(INDEX('Standards for Conversions'!$H$34:$H$73,MATCH(FK$3,'Standards for Conversions'!$A$34:$A$73,0)))=0,"",FL80/(INDEX('Standards for Conversions'!$H$34:$H$73,MATCH(FK$3,'Standards for Conversions'!$A$34:$A$73,0))))</f>
        <v/>
      </c>
      <c r="FN80" s="10" t="s">
        <v>38</v>
      </c>
      <c r="FO80" s="9"/>
      <c r="FP80" s="9"/>
      <c r="FQ80" s="31" t="str">
        <f>IF(FP80/(INDEX('Standards for Conversions'!$H$34:$H$73,MATCH(FO$3,'Standards for Conversions'!$A$34:$A$73,0)))=0,"",FP80/(INDEX('Standards for Conversions'!$H$34:$H$73,MATCH(FO$3,'Standards for Conversions'!$A$34:$A$73,0))))</f>
        <v/>
      </c>
      <c r="FR80" s="10" t="s">
        <v>38</v>
      </c>
      <c r="FS80" s="7"/>
      <c r="FT80" s="7"/>
      <c r="FU80" s="31" t="str">
        <f>IF(FT80/(INDEX('Standards for Conversions'!$H$34:$H$73,MATCH(FS$3,'Standards for Conversions'!$A$34:$A$73,0)))=0,"",FT80/(INDEX('Standards for Conversions'!$H$34:$H$73,MATCH(FS$3,'Standards for Conversions'!$A$34:$A$73,0))))</f>
        <v/>
      </c>
      <c r="FV80" s="10" t="s">
        <v>38</v>
      </c>
      <c r="FW80" s="7"/>
      <c r="FX80" s="7"/>
      <c r="FY80" s="31" t="str">
        <f>IF(FX80/(INDEX('Standards for Conversions'!$H$34:$H$73,MATCH(FW$3,'Standards for Conversions'!$A$34:$A$73,0)))=0,"",FX80/(INDEX('Standards for Conversions'!$H$34:$H$73,MATCH(FW$3,'Standards for Conversions'!$A$34:$A$73,0))))</f>
        <v/>
      </c>
      <c r="FZ80" s="10" t="s">
        <v>38</v>
      </c>
      <c r="GA80" s="7"/>
      <c r="GB80" s="7"/>
      <c r="GC80" s="31" t="str">
        <f>IF(GB80/(INDEX('Standards for Conversions'!$H$34:$H$73,MATCH(GA$3,'Standards for Conversions'!$A$34:$A$73,0)))=0,"",GB80/(INDEX('Standards for Conversions'!$H$34:$H$73,MATCH(GA$3,'Standards for Conversions'!$A$34:$A$73,0))))</f>
        <v/>
      </c>
      <c r="GD80" s="10" t="s">
        <v>38</v>
      </c>
      <c r="GE80" s="9"/>
      <c r="GF80" s="9"/>
      <c r="GG80" s="31" t="str">
        <f>IF(GF80/(INDEX('Standards for Conversions'!$H$34:$H$73,MATCH(GE$3,'Standards for Conversions'!$A$34:$A$73,0)))=0,"",GF80/(INDEX('Standards for Conversions'!$H$34:$H$73,MATCH(GE$3,'Standards for Conversions'!$A$34:$A$73,0))))</f>
        <v/>
      </c>
      <c r="GH80" s="10" t="s">
        <v>38</v>
      </c>
      <c r="GI80" s="7"/>
      <c r="GJ80" s="7"/>
      <c r="GK80" s="31" t="str">
        <f>IF(GJ80/(INDEX('Standards for Conversions'!$H$34:$H$73,MATCH(GI$3,'Standards for Conversions'!$A$34:$A$73,0)))=0,"",GJ80/(INDEX('Standards for Conversions'!$H$34:$H$73,MATCH(GI$3,'Standards for Conversions'!$A$34:$A$73,0))))</f>
        <v/>
      </c>
      <c r="GL80" s="10" t="s">
        <v>38</v>
      </c>
      <c r="GM80" s="7"/>
      <c r="GN80" s="7"/>
      <c r="GO80" s="31" t="str">
        <f>IF(GN80/(INDEX('Standards for Conversions'!$H$34:$H$73,MATCH(GM$3,'Standards for Conversions'!$A$34:$A$73,0)))=0,"",GN80/(INDEX('Standards for Conversions'!$H$34:$H$73,MATCH(GM$3,'Standards for Conversions'!$A$34:$A$73,0))))</f>
        <v/>
      </c>
      <c r="GP80" s="10" t="s">
        <v>38</v>
      </c>
      <c r="GQ80" s="7"/>
      <c r="GR80" s="7"/>
      <c r="GS80" s="31" t="str">
        <f>IF(GR80/(INDEX('Standards for Conversions'!$H$34:$H$73,MATCH(GQ$3,'Standards for Conversions'!$A$34:$A$73,0)))=0,"",GR80/(INDEX('Standards for Conversions'!$H$34:$H$73,MATCH(GQ$3,'Standards for Conversions'!$A$34:$A$73,0))))</f>
        <v/>
      </c>
      <c r="GT80" s="10" t="s">
        <v>38</v>
      </c>
      <c r="GU80" s="9"/>
      <c r="GV80" s="9"/>
      <c r="GW80" s="31" t="str">
        <f>IF(GV80/(INDEX('Standards for Conversions'!$H$34:$H$73,MATCH(GU$3,'Standards for Conversions'!$A$34:$A$73,0)))=0,"",GV80/(INDEX('Standards for Conversions'!$H$34:$H$73,MATCH(GU$3,'Standards for Conversions'!$A$34:$A$73,0))))</f>
        <v/>
      </c>
      <c r="GX80" s="10" t="s">
        <v>38</v>
      </c>
      <c r="GY80" s="7"/>
      <c r="GZ80" s="7"/>
      <c r="HA80" s="31" t="str">
        <f>IF(GZ80/(INDEX('Standards for Conversions'!$H$34:$H$73,MATCH(GY$3,'Standards for Conversions'!$A$34:$A$73,0)))=0,"",GZ80/(INDEX('Standards for Conversions'!$H$34:$H$73,MATCH(GY$3,'Standards for Conversions'!$A$34:$A$73,0))))</f>
        <v/>
      </c>
      <c r="HB80" s="10" t="s">
        <v>38</v>
      </c>
      <c r="HC80" s="7"/>
      <c r="HD80" s="7"/>
      <c r="HE80" s="31" t="str">
        <f>IF(HD80/(INDEX('Standards for Conversions'!$H$34:$H$73,MATCH(HC$3,'Standards for Conversions'!$A$34:$A$73,0)))=0,"",HD80/(INDEX('Standards for Conversions'!$H$34:$H$73,MATCH(HC$3,'Standards for Conversions'!$A$34:$A$73,0))))</f>
        <v/>
      </c>
      <c r="HF80" s="10" t="s">
        <v>38</v>
      </c>
      <c r="HG80" s="7"/>
      <c r="HH80" s="7"/>
      <c r="HI80" s="31" t="str">
        <f>IF(HH80/(INDEX('Standards for Conversions'!$H$34:$H$73,MATCH(HG$3,'Standards for Conversions'!$A$34:$A$73,0)))=0,"",HH80/(INDEX('Standards for Conversions'!$H$34:$H$73,MATCH(HG$3,'Standards for Conversions'!$A$34:$A$73,0))))</f>
        <v/>
      </c>
      <c r="HJ80" s="10" t="s">
        <v>38</v>
      </c>
      <c r="HK80" s="9"/>
      <c r="HL80" s="9"/>
      <c r="HM80" s="31" t="str">
        <f>IF(HL80/(INDEX('Standards for Conversions'!$H$34:$H$73,MATCH(HK$3,'Standards for Conversions'!$A$34:$A$73,0)))=0,"",HL80/(INDEX('Standards for Conversions'!$H$34:$H$73,MATCH(HK$3,'Standards for Conversions'!$A$34:$A$73,0))))</f>
        <v/>
      </c>
      <c r="HN80" s="10" t="s">
        <v>38</v>
      </c>
      <c r="HO80" s="7"/>
      <c r="HP80" s="7"/>
      <c r="HQ80" s="31" t="str">
        <f>IF(HP80/(INDEX('Standards for Conversions'!$H$34:$H$73,MATCH(HO$3,'Standards for Conversions'!$A$34:$A$73,0)))=0,"",HP80/(INDEX('Standards for Conversions'!$H$34:$H$73,MATCH(HO$3,'Standards for Conversions'!$A$34:$A$73,0))))</f>
        <v/>
      </c>
      <c r="HR80" s="33" t="s">
        <v>38</v>
      </c>
      <c r="HU80" s="31" t="str">
        <f>IF(HT80/(INDEX('Standards for Conversions'!$H$47:$H$73,MATCH(HS$3,'Standards for Conversions'!$A$47:$A$73,0)))=0,"",HT80/(INDEX('Standards for Conversions'!$H$47:$H$73,MATCH(HS$3,'Standards for Conversions'!$A$47:$A$73,0))))</f>
        <v/>
      </c>
      <c r="HV80" s="33" t="s">
        <v>38</v>
      </c>
      <c r="HY80" s="31" t="str">
        <f>IF(HX80/(INDEX('Standards for Conversions'!$H$47:$H$73,MATCH(HW$3,'Standards for Conversions'!$A$47:$A$73,0)))=0,"",HX80/(INDEX('Standards for Conversions'!$H$47:$H$73,MATCH(HW$3,'Standards for Conversions'!$A$47:$A$73,0))))</f>
        <v/>
      </c>
      <c r="HZ80" s="33"/>
      <c r="IA80" s="33"/>
      <c r="IB80" s="31" t="str">
        <f>IF(IA80/(INDEX('Standards for Conversions'!$H$47:$H$73,MATCH(HZ$3,'Standards for Conversions'!$A$47:$A$73,0)))=0,"",IA80/(INDEX('Standards for Conversions'!$H$47:$H$73,MATCH(HZ$3,'Standards for Conversions'!$A$47:$A$73,0))))</f>
        <v/>
      </c>
      <c r="IC80" s="33" t="s">
        <v>38</v>
      </c>
      <c r="IF80" s="31" t="str">
        <f>IF(IE80/(INDEX('Standards for Conversions'!$H$47:$H$73,MATCH(ID$3,'Standards for Conversions'!$A$47:$A$73,0)))=0,"",IE80/(INDEX('Standards for Conversions'!$H$47:$H$73,MATCH(ID$3,'Standards for Conversions'!$A$47:$A$73,0))))</f>
        <v/>
      </c>
      <c r="IG80" s="33" t="s">
        <v>38</v>
      </c>
      <c r="IJ80" s="31" t="str">
        <f>IF(II80/(INDEX('Standards for Conversions'!$H$47:$H$73,MATCH(IH$3,'Standards for Conversions'!$A$47:$A$73,0)))=0,"",II80/(INDEX('Standards for Conversions'!$H$47:$H$73,MATCH(IH$3,'Standards for Conversions'!$A$47:$A$73,0))))</f>
        <v/>
      </c>
      <c r="IK80" s="33" t="s">
        <v>38</v>
      </c>
      <c r="IN80" s="31" t="str">
        <f>IF(IM80/(INDEX('Standards for Conversions'!$H$47:$H$73,MATCH(IL$3,'Standards for Conversions'!$A$47:$A$73,0)))=0,"",IM80/(INDEX('Standards for Conversions'!$H$47:$H$73,MATCH(IL$3,'Standards for Conversions'!$A$47:$A$73,0))))</f>
        <v/>
      </c>
      <c r="IO80" s="33" t="s">
        <v>38</v>
      </c>
      <c r="IR80" s="31" t="str">
        <f>IF(IQ80/(INDEX('Standards for Conversions'!$H$47:$H$73,MATCH(IP$3,'Standards for Conversions'!$A$47:$A$73,0)))=0,"",IQ80/(INDEX('Standards for Conversions'!$H$47:$H$73,MATCH(IP$3,'Standards for Conversions'!$A$47:$A$73,0))))</f>
        <v/>
      </c>
      <c r="IS80" s="33" t="s">
        <v>38</v>
      </c>
      <c r="IT80" s="29">
        <v>32</v>
      </c>
      <c r="IU80" s="29">
        <v>64</v>
      </c>
      <c r="IV80" s="31">
        <f>IF(IU80/(INDEX('Standards for Conversions'!$H$47:$H$73,MATCH(IT$3,'Standards for Conversions'!$A$47:$A$73,0)))=0,"",IU80/(INDEX('Standards for Conversions'!$H$47:$H$73,MATCH(IT$3,'Standards for Conversions'!$A$47:$A$73,0))))</f>
        <v>9.2550546044436715</v>
      </c>
      <c r="IW80" s="33" t="s">
        <v>38</v>
      </c>
      <c r="IZ80" s="31" t="str">
        <f>IF(IY80/(INDEX('Standards for Conversions'!$H$47:$H$73,MATCH(IX$3,'Standards for Conversions'!$A$47:$A$73,0)))=0,"",IY80/(INDEX('Standards for Conversions'!$H$47:$H$73,MATCH(IX$3,'Standards for Conversions'!$A$47:$A$73,0))))</f>
        <v/>
      </c>
      <c r="JA80" s="33" t="s">
        <v>38</v>
      </c>
      <c r="JD80" s="31" t="str">
        <f>IF(JC80/(INDEX('Standards for Conversions'!$H$47:$H$73,MATCH(JB$3,'Standards for Conversions'!$A$47:$A$73,0)))=0,"",JC80/(INDEX('Standards for Conversions'!$H$47:$H$73,MATCH(JB$3,'Standards for Conversions'!$A$47:$A$73,0))))</f>
        <v/>
      </c>
      <c r="JE80" s="33" t="s">
        <v>38</v>
      </c>
      <c r="JH80" s="31" t="str">
        <f>IF(JG80/(INDEX('Standards for Conversions'!$H$47:$H$73,MATCH(JF$3,'Standards for Conversions'!$A$47:$A$73,0)))=0,"",JG80/(INDEX('Standards for Conversions'!$H$47:$H$73,MATCH(JF$3,'Standards for Conversions'!$A$47:$A$73,0))))</f>
        <v/>
      </c>
      <c r="JI80" s="48" t="s">
        <v>38</v>
      </c>
      <c r="JJ80" s="29">
        <v>40</v>
      </c>
      <c r="JK80" s="29">
        <v>80</v>
      </c>
      <c r="JL80" s="31">
        <f>IF(JK80/(INDEX('Standards for Conversions'!$H$47:$H$73,MATCH(JJ$3,'Standards for Conversions'!$A$47:$A$73,0)))=0,"",JK80/(INDEX('Standards for Conversions'!$H$47:$H$73,MATCH(JJ$3,'Standards for Conversions'!$A$47:$A$73,0))))</f>
        <v>12.940815735349496</v>
      </c>
      <c r="JM80" s="33" t="s">
        <v>38</v>
      </c>
      <c r="JP80" s="31" t="str">
        <f>IF(JO80/(INDEX('Standards for Conversions'!$H$47:$H$73,MATCH(JN$3,'Standards for Conversions'!$A$47:$A$73,0)))=0,"",JO80/(INDEX('Standards for Conversions'!$H$47:$H$73,MATCH(JN$3,'Standards for Conversions'!$A$47:$A$73,0))))</f>
        <v/>
      </c>
      <c r="JQ80" s="33" t="s">
        <v>38</v>
      </c>
      <c r="JT80" s="31" t="str">
        <f>IF(JS80/(INDEX('Standards for Conversions'!$H$47:$H$73,MATCH(JR$3,'Standards for Conversions'!$A$47:$A$73,0)))=0,"",JS80/(INDEX('Standards for Conversions'!$H$47:$H$73,MATCH(JR$3,'Standards for Conversions'!$A$47:$A$73,0))))</f>
        <v/>
      </c>
      <c r="JU80" s="33" t="s">
        <v>38</v>
      </c>
      <c r="JX80" s="31" t="str">
        <f>IF(JW80/(INDEX('Standards for Conversions'!$H$47:$H$73,MATCH(JV$3,'Standards for Conversions'!$A$47:$A$73,0)))=0,"",JW80/(INDEX('Standards for Conversions'!$H$47:$H$73,MATCH(JV$3,'Standards for Conversions'!$A$47:$A$73,0))))</f>
        <v/>
      </c>
      <c r="JY80" s="33" t="s">
        <v>38</v>
      </c>
      <c r="JZ80" s="29">
        <v>50</v>
      </c>
      <c r="KA80" s="29">
        <v>100</v>
      </c>
      <c r="KB80" s="31">
        <f>IF(KA80/(INDEX('Standards for Conversions'!$H$47:$H$73,MATCH(JZ$3,'Standards for Conversions'!$A$47:$A$73,0)))=0,"",KA80/(INDEX('Standards for Conversions'!$H$47:$H$73,MATCH(JZ$3,'Standards for Conversions'!$A$47:$A$73,0))))</f>
        <v>15.265589242779756</v>
      </c>
      <c r="KC80" s="33" t="s">
        <v>38</v>
      </c>
      <c r="KF80" s="31" t="str">
        <f>IF(KE80/(INDEX('Standards for Conversions'!$H$47:$H$73,MATCH(KD$3,'Standards for Conversions'!$A$47:$A$73,0)))=0,"",KE80/(INDEX('Standards for Conversions'!$H$47:$H$73,MATCH(KD$3,'Standards for Conversions'!$A$47:$A$73,0))))</f>
        <v/>
      </c>
      <c r="KG80" s="33" t="s">
        <v>38</v>
      </c>
      <c r="KJ80" s="31" t="str">
        <f>IF(KI80/(INDEX('Standards for Conversions'!$H$47:$H$73,MATCH(KH$3,'Standards for Conversions'!$A$47:$A$73,0)))=0,"",KI80/(INDEX('Standards for Conversions'!$H$47:$H$73,MATCH(KH$3,'Standards for Conversions'!$A$47:$A$73,0))))</f>
        <v/>
      </c>
      <c r="KK80" s="33" t="s">
        <v>38</v>
      </c>
      <c r="KN80" s="31" t="str">
        <f>IF(KM80/(INDEX('Standards for Conversions'!$H$47:$H$73,MATCH(KL$3,'Standards for Conversions'!$A$47:$A$73,0)))=0,"",KM80/(INDEX('Standards for Conversions'!$H$47:$H$73,MATCH(KL$3,'Standards for Conversions'!$A$47:$A$73,0))))</f>
        <v/>
      </c>
      <c r="KO80" s="33" t="s">
        <v>38</v>
      </c>
      <c r="KP80" s="29">
        <v>55</v>
      </c>
      <c r="KQ80" s="29">
        <v>110</v>
      </c>
      <c r="KR80" s="31">
        <f>IF(KQ80/(INDEX('Standards for Conversions'!$H$47:$H$73,MATCH(KP$3,'Standards for Conversions'!$A$47:$A$73,0)))=0,"",KQ80/(INDEX('Standards for Conversions'!$H$47:$H$73,MATCH(KP$3,'Standards for Conversions'!$A$47:$A$73,0))))</f>
        <v>14.812491309637611</v>
      </c>
      <c r="KS80" s="33" t="s">
        <v>38</v>
      </c>
      <c r="KV80" s="31" t="str">
        <f>IF(KU80/(INDEX('Standards for Conversions'!$H$47:$H$73,MATCH(KT$3,'Standards for Conversions'!$A$47:$A$73,0)))=0,"",KU80/(INDEX('Standards for Conversions'!$H$47:$H$73,MATCH(KT$3,'Standards for Conversions'!$A$47:$A$73,0))))</f>
        <v/>
      </c>
      <c r="KW80" s="33" t="s">
        <v>38</v>
      </c>
      <c r="KZ80" s="31" t="str">
        <f>IF(KY80/(INDEX('Standards for Conversions'!$H$47:$H$73,MATCH(KX$3,'Standards for Conversions'!$A$47:$A$73,0)))=0,"",KY80/(INDEX('Standards for Conversions'!$H$47:$H$73,MATCH(KX$3,'Standards for Conversions'!$A$47:$A$73,0))))</f>
        <v/>
      </c>
      <c r="LA80" s="33" t="s">
        <v>38</v>
      </c>
      <c r="LD80" s="31" t="str">
        <f>IF(LC80/(INDEX('Standards for Conversions'!$H$47:$H$73,MATCH(LB$3,'Standards for Conversions'!$A$47:$A$73,0)))=0,"",LC80/(INDEX('Standards for Conversions'!$H$47:$H$73,MATCH(LB$3,'Standards for Conversions'!$A$47:$A$73,0))))</f>
        <v/>
      </c>
      <c r="LE80" s="48" t="s">
        <v>38</v>
      </c>
      <c r="LF80" s="29">
        <v>50</v>
      </c>
      <c r="LG80" s="29">
        <v>100</v>
      </c>
      <c r="LH80" s="31">
        <f>IF(LG80/(INDEX('Standards for Conversions'!$H$47:$H$73,MATCH(LF$3,'Standards for Conversions'!$A$47:$A$73,0)))=0,"",LG80/(INDEX('Standards for Conversions'!$H$47:$H$73,MATCH(LF$3,'Standards for Conversions'!$A$47:$A$73,0))))</f>
        <v>12.161656672749919</v>
      </c>
      <c r="LL80" s="31" t="str">
        <f>IF(LK80/(INDEX('Standards for Conversions'!$H$47:$H$73,MATCH(LJ$3,'Standards for Conversions'!$A$47:$A$73,0)))=0,"",LK80/(INDEX('Standards for Conversions'!$H$47:$H$73,MATCH(LJ$3,'Standards for Conversions'!$A$47:$A$73,0))))</f>
        <v/>
      </c>
      <c r="LO80" s="31" t="str">
        <f>IF(LN80/(INDEX('Standards for Conversions'!$H$47:$H$73,MATCH(LM$3,'Standards for Conversions'!$A$47:$A$73,0)))=0,"",LN80/(INDEX('Standards for Conversions'!$H$47:$H$73,MATCH(LM$3,'Standards for Conversions'!$A$47:$A$73,0))))</f>
        <v/>
      </c>
      <c r="LR80" s="31" t="str">
        <f>IF(LQ80/(INDEX('Standards for Conversions'!$H$47:$H$73,MATCH(LP$3,'Standards for Conversions'!$A$47:$A$73,0)))=0,"",LQ80/(INDEX('Standards for Conversions'!$H$47:$H$73,MATCH(LP$3,'Standards for Conversions'!$A$47:$A$73,0))))</f>
        <v/>
      </c>
      <c r="LV80" s="31" t="str">
        <f>IF(LU80/(INDEX('Standards for Conversions'!$H$47:$H$73,MATCH(LT$3,'Standards for Conversions'!$A$47:$A$73,0)))=0,"",LU80/(INDEX('Standards for Conversions'!$H$47:$H$73,MATCH(LT$3,'Standards for Conversions'!$A$47:$A$73,0))))</f>
        <v/>
      </c>
      <c r="LY80" s="31" t="str">
        <f>IF(LX80/(INDEX('Standards for Conversions'!$H$47:$H$73,MATCH(LW$3,'Standards for Conversions'!$A$47:$A$73,0)))=0,"",LX80/(INDEX('Standards for Conversions'!$H$47:$H$73,MATCH(LW$3,'Standards for Conversions'!$A$47:$A$73,0))))</f>
        <v/>
      </c>
      <c r="MB80" s="31" t="str">
        <f>IF(MA80/(INDEX('Standards for Conversions'!$H$47:$H$73,MATCH(LZ$3,'Standards for Conversions'!$A$47:$A$73,0)))=0,"",MA80/(INDEX('Standards for Conversions'!$H$47:$H$73,MATCH(LZ$3,'Standards for Conversions'!$A$47:$A$73,0))))</f>
        <v/>
      </c>
      <c r="ME80" s="31" t="str">
        <f>IF(MD80/(INDEX('Standards for Conversions'!$H$47:$H$73,MATCH(MC$3,'Standards for Conversions'!$A$47:$A$73,0)))=0,"",MD80/(INDEX('Standards for Conversions'!$H$47:$H$73,MATCH(MC$3,'Standards for Conversions'!$A$47:$A$73,0))))</f>
        <v/>
      </c>
      <c r="MH80" s="31" t="str">
        <f>IF(MG80/(INDEX('Standards for Conversions'!$H$47:$H$73,MATCH(MF$3,'Standards for Conversions'!$A$47:$A$73,0)))=0,"",MG80/(INDEX('Standards for Conversions'!$H$47:$H$73,MATCH(MF$3,'Standards for Conversions'!$A$47:$A$73,0))))</f>
        <v/>
      </c>
      <c r="MK80" s="31" t="str">
        <f>IF(MJ80/(INDEX('Standards for Conversions'!$H$47:$H$73,MATCH(MI$3,'Standards for Conversions'!$A$47:$A$73,0)))=0,"",MJ80/(INDEX('Standards for Conversions'!$H$47:$H$73,MATCH(MI$3,'Standards for Conversions'!$A$47:$A$73,0))))</f>
        <v/>
      </c>
      <c r="MN80" s="31" t="str">
        <f>IF(MM80/(INDEX('Standards for Conversions'!$H$47:$H$73,MATCH(ML$3,'Standards for Conversions'!$A$47:$A$73,0)))=0,"",MM80/(INDEX('Standards for Conversions'!$H$47:$H$73,MATCH(ML$3,'Standards for Conversions'!$A$47:$A$73,0))))</f>
        <v/>
      </c>
      <c r="MR80" s="31" t="str">
        <f>IF(MQ80/(INDEX('Standards for Conversions'!$H$47:$H$73,MATCH(MP$3,'Standards for Conversions'!$A$47:$A$73,0)))=0,"",MQ80/(INDEX('Standards for Conversions'!$H$47:$H$73,MATCH(MP$3,'Standards for Conversions'!$A$47:$A$73,0))))</f>
        <v/>
      </c>
    </row>
    <row r="81" spans="1:373" hidden="1" x14ac:dyDescent="0.3">
      <c r="A81" s="103" t="s">
        <v>255</v>
      </c>
      <c r="C81" s="7"/>
      <c r="D81" s="7"/>
      <c r="E81" s="31" t="str">
        <f>IF(D81/(INDEX('Standards for Conversions'!$H$34:$H$73,MATCH(C$3,'Standards for Conversions'!$A$34:$A$73,0)))=0,"",D81/(INDEX('Standards for Conversions'!$H$34:$H$73,MATCH(C$3,'Standards for Conversions'!$A$34:$A$73,0))))</f>
        <v/>
      </c>
      <c r="G81" s="7"/>
      <c r="H81" s="7"/>
      <c r="I81" s="31" t="str">
        <f>IF(H81/(INDEX('Standards for Conversions'!$H$34:$H$73,MATCH(G$3,'Standards for Conversions'!$A$34:$A$73,0)))=0,"",H81/(INDEX('Standards for Conversions'!$H$34:$H$73,MATCH(G$3,'Standards for Conversions'!$A$34:$A$73,0))))</f>
        <v/>
      </c>
      <c r="K81" s="9"/>
      <c r="L81" s="9"/>
      <c r="M81" s="31" t="str">
        <f>IF(L81/(INDEX('Standards for Conversions'!$H$34:$H$73,MATCH(K$3,'Standards for Conversions'!$A$34:$A$73,0)))=0,"",L81/(INDEX('Standards for Conversions'!$H$34:$H$73,MATCH(K$3,'Standards for Conversions'!$A$34:$A$73,0))))</f>
        <v/>
      </c>
      <c r="O81" s="7"/>
      <c r="P81" s="7"/>
      <c r="Q81" s="31" t="str">
        <f>IF(P81/(INDEX('Standards for Conversions'!$H$34:$H$73,MATCH(O$3,'Standards for Conversions'!$A$34:$A$73,0)))=0,"",P81/(INDEX('Standards for Conversions'!$H$34:$H$73,MATCH(O$3,'Standards for Conversions'!$A$34:$A$73,0))))</f>
        <v/>
      </c>
      <c r="S81" s="7"/>
      <c r="T81" s="7"/>
      <c r="U81" s="31" t="str">
        <f>IF(T81/(INDEX('Standards for Conversions'!$H$34:$H$73,MATCH(S$3,'Standards for Conversions'!$A$34:$A$73,0)))=0,"",T81/(INDEX('Standards for Conversions'!$H$34:$H$73,MATCH(S$3,'Standards for Conversions'!$A$34:$A$73,0))))</f>
        <v/>
      </c>
      <c r="W81" s="7"/>
      <c r="X81" s="7"/>
      <c r="Y81" s="31" t="str">
        <f>IF(X81/(INDEX('Standards for Conversions'!$H$34:$H$73,MATCH(W$3,'Standards for Conversions'!$A$34:$A$73,0)))=0,"",X81/(INDEX('Standards for Conversions'!$H$34:$H$73,MATCH(W$3,'Standards for Conversions'!$A$34:$A$73,0))))</f>
        <v/>
      </c>
      <c r="AA81" s="9"/>
      <c r="AB81" s="9"/>
      <c r="AC81" s="31" t="str">
        <f>IF(AB81/(INDEX('Standards for Conversions'!$H$34:$H$73,MATCH(AA$3,'Standards for Conversions'!$A$34:$A$73,0)))=0,"",AB81/(INDEX('Standards for Conversions'!$H$34:$H$73,MATCH(AA$3,'Standards for Conversions'!$A$34:$A$73,0))))</f>
        <v/>
      </c>
      <c r="AE81" s="7"/>
      <c r="AF81" s="7"/>
      <c r="AG81" s="31" t="str">
        <f>IF(AF81/(INDEX('Standards for Conversions'!$H$34:$H$73,MATCH(AE$3,'Standards for Conversions'!$A$34:$A$73,0)))=0,"",AF81/(INDEX('Standards for Conversions'!$H$34:$H$73,MATCH(AE$3,'Standards for Conversions'!$A$34:$A$73,0))))</f>
        <v/>
      </c>
      <c r="AI81" s="7"/>
      <c r="AJ81" s="7"/>
      <c r="AK81" s="31" t="str">
        <f>IF(AJ81/(INDEX('Standards for Conversions'!$H$34:$H$73,MATCH(AI$3,'Standards for Conversions'!$A$34:$A$73,0)))=0,"",AJ81/(INDEX('Standards for Conversions'!$H$34:$H$73,MATCH(AI$3,'Standards for Conversions'!$A$34:$A$73,0))))</f>
        <v/>
      </c>
      <c r="AM81" s="7"/>
      <c r="AN81" s="7"/>
      <c r="AO81" s="31" t="str">
        <f>IF(AN81/(INDEX('Standards for Conversions'!$H$34:$H$73,MATCH(AM$3,'Standards for Conversions'!$A$34:$A$73,0)))=0,"",AN81/(INDEX('Standards for Conversions'!$H$34:$H$73,MATCH(AM$3,'Standards for Conversions'!$A$34:$A$73,0))))</f>
        <v/>
      </c>
      <c r="AQ81" s="9"/>
      <c r="AR81" s="9"/>
      <c r="AS81" s="31" t="str">
        <f>IF(AR81/(INDEX('Standards for Conversions'!$H$34:$H$73,MATCH(AQ$3,'Standards for Conversions'!$A$34:$A$73,0)))=0,"",AR81/(INDEX('Standards for Conversions'!$H$34:$H$73,MATCH(AQ$3,'Standards for Conversions'!$A$34:$A$73,0))))</f>
        <v/>
      </c>
      <c r="AU81" s="7"/>
      <c r="AV81" s="7"/>
      <c r="AW81" s="31" t="str">
        <f>IF(AV81/(INDEX('Standards for Conversions'!$H$34:$H$73,MATCH(AU$3,'Standards for Conversions'!$A$34:$A$73,0)))=0,"",AV81/(INDEX('Standards for Conversions'!$H$34:$H$73,MATCH(AU$3,'Standards for Conversions'!$A$34:$A$73,0))))</f>
        <v/>
      </c>
      <c r="AY81" s="7"/>
      <c r="AZ81" s="7"/>
      <c r="BA81" s="31" t="str">
        <f>IF(AZ81/(INDEX('Standards for Conversions'!$H$34:$H$73,MATCH(AY$3,'Standards for Conversions'!$A$34:$A$73,0)))=0,"",AZ81/(INDEX('Standards for Conversions'!$H$34:$H$73,MATCH(AY$3,'Standards for Conversions'!$A$34:$A$73,0))))</f>
        <v/>
      </c>
      <c r="BC81" s="7"/>
      <c r="BD81" s="7"/>
      <c r="BE81" s="31" t="str">
        <f>IF(BD81/(INDEX('Standards for Conversions'!$H$34:$H$73,MATCH(BC$3,'Standards for Conversions'!$A$34:$A$73,0)))=0,"",BD81/(INDEX('Standards for Conversions'!$H$34:$H$73,MATCH(BC$3,'Standards for Conversions'!$A$34:$A$73,0))))</f>
        <v/>
      </c>
      <c r="BG81" s="9"/>
      <c r="BH81" s="9"/>
      <c r="BI81" s="31" t="str">
        <f>IF(BH81/(INDEX('Standards for Conversions'!$H$34:$H$73,MATCH(BG$3,'Standards for Conversions'!$A$34:$A$73,0)))=0,"",BH81/(INDEX('Standards for Conversions'!$H$34:$H$73,MATCH(BG$3,'Standards for Conversions'!$A$34:$A$73,0))))</f>
        <v/>
      </c>
      <c r="BK81" s="7"/>
      <c r="BL81" s="7"/>
      <c r="BM81" s="31" t="str">
        <f>IF(BL81/(INDEX('Standards for Conversions'!$H$34:$H$73,MATCH(BK$3,'Standards for Conversions'!$A$34:$A$73,0)))=0,"",BL81/(INDEX('Standards for Conversions'!$H$34:$H$73,MATCH(BK$3,'Standards for Conversions'!$A$34:$A$73,0))))</f>
        <v/>
      </c>
      <c r="BO81" s="7"/>
      <c r="BP81" s="7"/>
      <c r="BQ81" s="31" t="str">
        <f>IF(BP81/(INDEX('Standards for Conversions'!$H$34:$H$73,MATCH(BO$3,'Standards for Conversions'!$A$34:$A$73,0)))=0,"",BP81/(INDEX('Standards for Conversions'!$H$34:$H$73,MATCH(BO$3,'Standards for Conversions'!$A$34:$A$73,0))))</f>
        <v/>
      </c>
      <c r="BS81" s="7"/>
      <c r="BT81" s="7"/>
      <c r="BU81" s="31" t="str">
        <f>IF(BT81/(INDEX('Standards for Conversions'!$H$34:$H$73,MATCH(BS$3,'Standards for Conversions'!$A$34:$A$73,0)))=0,"",BT81/(INDEX('Standards for Conversions'!$H$34:$H$73,MATCH(BS$3,'Standards for Conversions'!$A$34:$A$73,0))))</f>
        <v/>
      </c>
      <c r="BW81" s="9"/>
      <c r="BX81" s="9"/>
      <c r="BY81" s="31" t="str">
        <f>IF(BX81/(INDEX('Standards for Conversions'!$H$34:$H$73,MATCH(BW$3,'Standards for Conversions'!$A$34:$A$73,0)))=0,"",BX81/(INDEX('Standards for Conversions'!$H$34:$H$73,MATCH(BW$3,'Standards for Conversions'!$A$34:$A$73,0))))</f>
        <v/>
      </c>
      <c r="CA81" s="7"/>
      <c r="CB81" s="7"/>
      <c r="CC81" s="31" t="str">
        <f>IF(CB81/(INDEX('Standards for Conversions'!$H$34:$H$73,MATCH(CA$3,'Standards for Conversions'!$A$34:$A$73,0)))=0,"",CB81/(INDEX('Standards for Conversions'!$H$34:$H$73,MATCH(CA$3,'Standards for Conversions'!$A$34:$A$73,0))))</f>
        <v/>
      </c>
      <c r="CE81" s="7"/>
      <c r="CF81" s="7"/>
      <c r="CG81" s="31" t="str">
        <f>IF(CF81/(INDEX('Standards for Conversions'!$H$34:$H$73,MATCH(CE$3,'Standards for Conversions'!$A$34:$A$73,0)))=0,"",CF81/(INDEX('Standards for Conversions'!$H$34:$H$73,MATCH(CE$3,'Standards for Conversions'!$A$34:$A$73,0))))</f>
        <v/>
      </c>
      <c r="CI81" s="7"/>
      <c r="CJ81" s="7"/>
      <c r="CK81" s="31" t="str">
        <f>IF(CJ81/(INDEX('Standards for Conversions'!$H$34:$H$73,MATCH(CI$3,'Standards for Conversions'!$A$34:$A$73,0)))=0,"",CJ81/(INDEX('Standards for Conversions'!$H$34:$H$73,MATCH(CI$3,'Standards for Conversions'!$A$34:$A$73,0))))</f>
        <v/>
      </c>
      <c r="CM81" s="9"/>
      <c r="CN81" s="9"/>
      <c r="CO81" s="31" t="str">
        <f>IF(CN81/(INDEX('Standards for Conversions'!$H$34:$H$73,MATCH(CM$3,'Standards for Conversions'!$A$34:$A$73,0)))=0,"",CN81/(INDEX('Standards for Conversions'!$H$34:$H$73,MATCH(CM$3,'Standards for Conversions'!$A$34:$A$73,0))))</f>
        <v/>
      </c>
      <c r="CQ81" s="7"/>
      <c r="CR81" s="7"/>
      <c r="CS81" s="31" t="str">
        <f>IF(CR81/(INDEX('Standards for Conversions'!$H$34:$H$73,MATCH(CQ$3,'Standards for Conversions'!$A$34:$A$73,0)))=0,"",CR81/(INDEX('Standards for Conversions'!$H$34:$H$73,MATCH(CQ$3,'Standards for Conversions'!$A$34:$A$73,0))))</f>
        <v/>
      </c>
      <c r="CU81" s="7"/>
      <c r="CV81" s="7"/>
      <c r="CW81" s="31" t="str">
        <f>IF(CV81/(INDEX('Standards for Conversions'!$H$34:$H$73,MATCH(CU$3,'Standards for Conversions'!$A$34:$A$73,0)))=0,"",CV81/(INDEX('Standards for Conversions'!$H$34:$H$73,MATCH(CU$3,'Standards for Conversions'!$A$34:$A$73,0))))</f>
        <v/>
      </c>
      <c r="CY81" s="7"/>
      <c r="CZ81" s="7"/>
      <c r="DA81" s="31" t="str">
        <f>IF(CZ81/(INDEX('Standards for Conversions'!$H$34:$H$73,MATCH(CY$3,'Standards for Conversions'!$A$34:$A$73,0)))=0,"",CZ81/(INDEX('Standards for Conversions'!$H$34:$H$73,MATCH(CY$3,'Standards for Conversions'!$A$34:$A$73,0))))</f>
        <v/>
      </c>
      <c r="DC81" s="9"/>
      <c r="DD81" s="9"/>
      <c r="DE81" s="31" t="str">
        <f>IF(DD81/(INDEX('Standards for Conversions'!$H$34:$H$73,MATCH(DC$3,'Standards for Conversions'!$A$34:$A$73,0)))=0,"",DD81/(INDEX('Standards for Conversions'!$H$34:$H$73,MATCH(DC$3,'Standards for Conversions'!$A$34:$A$73,0))))</f>
        <v/>
      </c>
      <c r="DG81" s="7"/>
      <c r="DH81" s="7"/>
      <c r="DI81" s="31" t="str">
        <f>IF(DH81/(INDEX('Standards for Conversions'!$H$34:$H$73,MATCH(DG$3,'Standards for Conversions'!$A$34:$A$73,0)))=0,"",DH81/(INDEX('Standards for Conversions'!$H$34:$H$73,MATCH(DG$3,'Standards for Conversions'!$A$34:$A$73,0))))</f>
        <v/>
      </c>
      <c r="DK81" s="7"/>
      <c r="DL81" s="7"/>
      <c r="DM81" s="31" t="str">
        <f>IF(DL81/(INDEX('Standards for Conversions'!$H$34:$H$73,MATCH(DK$3,'Standards for Conversions'!$A$34:$A$73,0)))=0,"",DL81/(INDEX('Standards for Conversions'!$H$34:$H$73,MATCH(DK$3,'Standards for Conversions'!$A$34:$A$73,0))))</f>
        <v/>
      </c>
      <c r="DO81" s="7"/>
      <c r="DP81" s="7"/>
      <c r="DQ81" s="31" t="str">
        <f>IF(DP81/(INDEX('Standards for Conversions'!$H$34:$H$73,MATCH(DO$3,'Standards for Conversions'!$A$34:$A$73,0)))=0,"",DP81/(INDEX('Standards for Conversions'!$H$34:$H$73,MATCH(DO$3,'Standards for Conversions'!$A$34:$A$73,0))))</f>
        <v/>
      </c>
      <c r="DS81" s="9"/>
      <c r="DT81" s="9"/>
      <c r="DU81" s="31" t="str">
        <f>IF(DT81/(INDEX('Standards for Conversions'!$H$34:$H$73,MATCH(DS$3,'Standards for Conversions'!$A$34:$A$73,0)))=0,"",DT81/(INDEX('Standards for Conversions'!$H$34:$H$73,MATCH(DS$3,'Standards for Conversions'!$A$34:$A$73,0))))</f>
        <v/>
      </c>
      <c r="DW81" s="7"/>
      <c r="DX81" s="7"/>
      <c r="DY81" s="31" t="str">
        <f>IF(DX81/(INDEX('Standards for Conversions'!$H$34:$H$73,MATCH(DW$3,'Standards for Conversions'!$A$34:$A$73,0)))=0,"",DX81/(INDEX('Standards for Conversions'!$H$34:$H$73,MATCH(DW$3,'Standards for Conversions'!$A$34:$A$73,0))))</f>
        <v/>
      </c>
      <c r="EA81" s="7"/>
      <c r="EB81" s="7"/>
      <c r="EC81" s="31" t="str">
        <f>IF(EB81/(INDEX('Standards for Conversions'!$H$34:$H$73,MATCH(EA$3,'Standards for Conversions'!$A$34:$A$73,0)))=0,"",EB81/(INDEX('Standards for Conversions'!$H$34:$H$73,MATCH(EA$3,'Standards for Conversions'!$A$34:$A$73,0))))</f>
        <v/>
      </c>
      <c r="EE81" s="7"/>
      <c r="EF81" s="7"/>
      <c r="EG81" s="31" t="str">
        <f>IF(EF81/(INDEX('Standards for Conversions'!$H$34:$H$73,MATCH(EE$3,'Standards for Conversions'!$A$34:$A$73,0)))=0,"",EF81/(INDEX('Standards for Conversions'!$H$34:$H$73,MATCH(EE$3,'Standards for Conversions'!$A$34:$A$73,0))))</f>
        <v/>
      </c>
      <c r="EI81" s="9"/>
      <c r="EJ81" s="9"/>
      <c r="EK81" s="31" t="str">
        <f>IF(EJ81/(INDEX('Standards for Conversions'!$H$34:$H$73,MATCH(EI$3,'Standards for Conversions'!$A$34:$A$73,0)))=0,"",EJ81/(INDEX('Standards for Conversions'!$H$34:$H$73,MATCH(EI$3,'Standards for Conversions'!$A$34:$A$73,0))))</f>
        <v/>
      </c>
      <c r="EM81" s="7"/>
      <c r="EN81" s="7"/>
      <c r="EO81" s="31" t="str">
        <f>IF(EN81/(INDEX('Standards for Conversions'!$H$34:$H$73,MATCH(EM$3,'Standards for Conversions'!$A$34:$A$73,0)))=0,"",EN81/(INDEX('Standards for Conversions'!$H$34:$H$73,MATCH(EM$3,'Standards for Conversions'!$A$34:$A$73,0))))</f>
        <v/>
      </c>
      <c r="EQ81" s="7"/>
      <c r="ER81" s="7"/>
      <c r="ES81" s="31" t="str">
        <f>IF(ER81/(INDEX('Standards for Conversions'!$H$34:$H$73,MATCH(EQ$3,'Standards for Conversions'!$A$34:$A$73,0)))=0,"",ER81/(INDEX('Standards for Conversions'!$H$34:$H$73,MATCH(EQ$3,'Standards for Conversions'!$A$34:$A$73,0))))</f>
        <v/>
      </c>
      <c r="EU81" s="7"/>
      <c r="EV81" s="7"/>
      <c r="EW81" s="31" t="str">
        <f>IF(EV81/(INDEX('Standards for Conversions'!$H$34:$H$73,MATCH(EU$3,'Standards for Conversions'!$A$34:$A$73,0)))=0,"",EV81/(INDEX('Standards for Conversions'!$H$34:$H$73,MATCH(EU$3,'Standards for Conversions'!$A$34:$A$73,0))))</f>
        <v/>
      </c>
      <c r="EY81" s="9"/>
      <c r="EZ81" s="9"/>
      <c r="FA81" s="31" t="str">
        <f>IF(EZ81/(INDEX('Standards for Conversions'!$H$34:$H$73,MATCH(EY$3,'Standards for Conversions'!$A$34:$A$73,0)))=0,"",EZ81/(INDEX('Standards for Conversions'!$H$34:$H$73,MATCH(EY$3,'Standards for Conversions'!$A$34:$A$73,0))))</f>
        <v/>
      </c>
      <c r="FC81" s="7"/>
      <c r="FD81" s="7"/>
      <c r="FE81" s="31" t="str">
        <f>IF(FD81/(INDEX('Standards for Conversions'!$H$34:$H$73,MATCH(FC$3,'Standards for Conversions'!$A$34:$A$73,0)))=0,"",FD81/(INDEX('Standards for Conversions'!$H$34:$H$73,MATCH(FC$3,'Standards for Conversions'!$A$34:$A$73,0))))</f>
        <v/>
      </c>
      <c r="FG81" s="7"/>
      <c r="FH81" s="7"/>
      <c r="FI81" s="31" t="str">
        <f>IF(FH81/(INDEX('Standards for Conversions'!$H$34:$H$73,MATCH(FG$3,'Standards for Conversions'!$A$34:$A$73,0)))=0,"",FH81/(INDEX('Standards for Conversions'!$H$34:$H$73,MATCH(FG$3,'Standards for Conversions'!$A$34:$A$73,0))))</f>
        <v/>
      </c>
      <c r="FK81" s="7"/>
      <c r="FL81" s="7"/>
      <c r="FM81" s="31" t="str">
        <f>IF(FL81/(INDEX('Standards for Conversions'!$H$34:$H$73,MATCH(FK$3,'Standards for Conversions'!$A$34:$A$73,0)))=0,"",FL81/(INDEX('Standards for Conversions'!$H$34:$H$73,MATCH(FK$3,'Standards for Conversions'!$A$34:$A$73,0))))</f>
        <v/>
      </c>
      <c r="FO81" s="9"/>
      <c r="FP81" s="9"/>
      <c r="FQ81" s="31" t="str">
        <f>IF(FP81/(INDEX('Standards for Conversions'!$H$34:$H$73,MATCH(FO$3,'Standards for Conversions'!$A$34:$A$73,0)))=0,"",FP81/(INDEX('Standards for Conversions'!$H$34:$H$73,MATCH(FO$3,'Standards for Conversions'!$A$34:$A$73,0))))</f>
        <v/>
      </c>
      <c r="FS81" s="7"/>
      <c r="FT81" s="7"/>
      <c r="FU81" s="31" t="str">
        <f>IF(FT81/(INDEX('Standards for Conversions'!$H$34:$H$73,MATCH(FS$3,'Standards for Conversions'!$A$34:$A$73,0)))=0,"",FT81/(INDEX('Standards for Conversions'!$H$34:$H$73,MATCH(FS$3,'Standards for Conversions'!$A$34:$A$73,0))))</f>
        <v/>
      </c>
      <c r="FW81" s="7"/>
      <c r="FX81" s="7"/>
      <c r="FY81" s="31" t="str">
        <f>IF(FX81/(INDEX('Standards for Conversions'!$H$34:$H$73,MATCH(FW$3,'Standards for Conversions'!$A$34:$A$73,0)))=0,"",FX81/(INDEX('Standards for Conversions'!$H$34:$H$73,MATCH(FW$3,'Standards for Conversions'!$A$34:$A$73,0))))</f>
        <v/>
      </c>
      <c r="GA81" s="7"/>
      <c r="GB81" s="7"/>
      <c r="GC81" s="31" t="str">
        <f>IF(GB81/(INDEX('Standards for Conversions'!$H$34:$H$73,MATCH(GA$3,'Standards for Conversions'!$A$34:$A$73,0)))=0,"",GB81/(INDEX('Standards for Conversions'!$H$34:$H$73,MATCH(GA$3,'Standards for Conversions'!$A$34:$A$73,0))))</f>
        <v/>
      </c>
      <c r="GE81" s="9"/>
      <c r="GF81" s="9"/>
      <c r="GG81" s="31" t="str">
        <f>IF(GF81/(INDEX('Standards for Conversions'!$H$34:$H$73,MATCH(GE$3,'Standards for Conversions'!$A$34:$A$73,0)))=0,"",GF81/(INDEX('Standards for Conversions'!$H$34:$H$73,MATCH(GE$3,'Standards for Conversions'!$A$34:$A$73,0))))</f>
        <v/>
      </c>
      <c r="GI81" s="7"/>
      <c r="GJ81" s="7"/>
      <c r="GK81" s="31" t="str">
        <f>IF(GJ81/(INDEX('Standards for Conversions'!$H$34:$H$73,MATCH(GI$3,'Standards for Conversions'!$A$34:$A$73,0)))=0,"",GJ81/(INDEX('Standards for Conversions'!$H$34:$H$73,MATCH(GI$3,'Standards for Conversions'!$A$34:$A$73,0))))</f>
        <v/>
      </c>
      <c r="GM81" s="7"/>
      <c r="GN81" s="7"/>
      <c r="GO81" s="31" t="str">
        <f>IF(GN81/(INDEX('Standards for Conversions'!$H$34:$H$73,MATCH(GM$3,'Standards for Conversions'!$A$34:$A$73,0)))=0,"",GN81/(INDEX('Standards for Conversions'!$H$34:$H$73,MATCH(GM$3,'Standards for Conversions'!$A$34:$A$73,0))))</f>
        <v/>
      </c>
      <c r="GQ81" s="7"/>
      <c r="GR81" s="7"/>
      <c r="GS81" s="31" t="str">
        <f>IF(GR81/(INDEX('Standards for Conversions'!$H$34:$H$73,MATCH(GQ$3,'Standards for Conversions'!$A$34:$A$73,0)))=0,"",GR81/(INDEX('Standards for Conversions'!$H$34:$H$73,MATCH(GQ$3,'Standards for Conversions'!$A$34:$A$73,0))))</f>
        <v/>
      </c>
      <c r="GU81" s="9"/>
      <c r="GV81" s="9"/>
      <c r="GW81" s="31" t="str">
        <f>IF(GV81/(INDEX('Standards for Conversions'!$H$34:$H$73,MATCH(GU$3,'Standards for Conversions'!$A$34:$A$73,0)))=0,"",GV81/(INDEX('Standards for Conversions'!$H$34:$H$73,MATCH(GU$3,'Standards for Conversions'!$A$34:$A$73,0))))</f>
        <v/>
      </c>
      <c r="GY81" s="7"/>
      <c r="GZ81" s="7"/>
      <c r="HA81" s="31" t="str">
        <f>IF(GZ81/(INDEX('Standards for Conversions'!$H$34:$H$73,MATCH(GY$3,'Standards for Conversions'!$A$34:$A$73,0)))=0,"",GZ81/(INDEX('Standards for Conversions'!$H$34:$H$73,MATCH(GY$3,'Standards for Conversions'!$A$34:$A$73,0))))</f>
        <v/>
      </c>
      <c r="HC81" s="7"/>
      <c r="HD81" s="7"/>
      <c r="HE81" s="31" t="str">
        <f>IF(HD81/(INDEX('Standards for Conversions'!$H$34:$H$73,MATCH(HC$3,'Standards for Conversions'!$A$34:$A$73,0)))=0,"",HD81/(INDEX('Standards for Conversions'!$H$34:$H$73,MATCH(HC$3,'Standards for Conversions'!$A$34:$A$73,0))))</f>
        <v/>
      </c>
      <c r="HG81" s="7"/>
      <c r="HH81" s="7"/>
      <c r="HI81" s="31" t="str">
        <f>IF(HH81/(INDEX('Standards for Conversions'!$H$34:$H$73,MATCH(HG$3,'Standards for Conversions'!$A$34:$A$73,0)))=0,"",HH81/(INDEX('Standards for Conversions'!$H$34:$H$73,MATCH(HG$3,'Standards for Conversions'!$A$34:$A$73,0))))</f>
        <v/>
      </c>
      <c r="HK81" s="9"/>
      <c r="HL81" s="9"/>
      <c r="HM81" s="31" t="str">
        <f>IF(HL81/(INDEX('Standards for Conversions'!$H$34:$H$73,MATCH(HK$3,'Standards for Conversions'!$A$34:$A$73,0)))=0,"",HL81/(INDEX('Standards for Conversions'!$H$34:$H$73,MATCH(HK$3,'Standards for Conversions'!$A$34:$A$73,0))))</f>
        <v/>
      </c>
      <c r="HO81" s="7"/>
      <c r="HP81" s="7"/>
      <c r="HQ81" s="31" t="str">
        <f>IF(HP81/(INDEX('Standards for Conversions'!$H$34:$H$73,MATCH(HO$3,'Standards for Conversions'!$A$34:$A$73,0)))=0,"",HP81/(INDEX('Standards for Conversions'!$H$34:$H$73,MATCH(HO$3,'Standards for Conversions'!$A$34:$A$73,0))))</f>
        <v/>
      </c>
      <c r="HU81" s="31" t="str">
        <f>IF(HT81/(INDEX('Standards for Conversions'!$H$47:$H$73,MATCH(HS$3,'Standards for Conversions'!$A$47:$A$73,0)))=0,"",HT81/(INDEX('Standards for Conversions'!$H$47:$H$73,MATCH(HS$3,'Standards for Conversions'!$A$47:$A$73,0))))</f>
        <v/>
      </c>
      <c r="HY81" s="31" t="str">
        <f>IF(HX81/(INDEX('Standards for Conversions'!$H$47:$H$73,MATCH(HW$3,'Standards for Conversions'!$A$47:$A$73,0)))=0,"",HX81/(INDEX('Standards for Conversions'!$H$47:$H$73,MATCH(HW$3,'Standards for Conversions'!$A$47:$A$73,0))))</f>
        <v/>
      </c>
      <c r="HZ81" s="33"/>
      <c r="IA81" s="33"/>
      <c r="IB81" s="31" t="str">
        <f>IF(IA81/(INDEX('Standards for Conversions'!$H$47:$H$73,MATCH(HZ$3,'Standards for Conversions'!$A$47:$A$73,0)))=0,"",IA81/(INDEX('Standards for Conversions'!$H$47:$H$73,MATCH(HZ$3,'Standards for Conversions'!$A$47:$A$73,0))))</f>
        <v/>
      </c>
      <c r="IF81" s="31" t="str">
        <f>IF(IE81/(INDEX('Standards for Conversions'!$H$47:$H$73,MATCH(ID$3,'Standards for Conversions'!$A$47:$A$73,0)))=0,"",IE81/(INDEX('Standards for Conversions'!$H$47:$H$73,MATCH(ID$3,'Standards for Conversions'!$A$47:$A$73,0))))</f>
        <v/>
      </c>
      <c r="IJ81" s="31" t="str">
        <f>IF(II81/(INDEX('Standards for Conversions'!$H$47:$H$73,MATCH(IH$3,'Standards for Conversions'!$A$47:$A$73,0)))=0,"",II81/(INDEX('Standards for Conversions'!$H$47:$H$73,MATCH(IH$3,'Standards for Conversions'!$A$47:$A$73,0))))</f>
        <v/>
      </c>
      <c r="IN81" s="31" t="str">
        <f>IF(IM81/(INDEX('Standards for Conversions'!$H$47:$H$73,MATCH(IL$3,'Standards for Conversions'!$A$47:$A$73,0)))=0,"",IM81/(INDEX('Standards for Conversions'!$H$47:$H$73,MATCH(IL$3,'Standards for Conversions'!$A$47:$A$73,0))))</f>
        <v/>
      </c>
      <c r="IR81" s="31" t="str">
        <f>IF(IQ81/(INDEX('Standards for Conversions'!$H$47:$H$73,MATCH(IP$3,'Standards for Conversions'!$A$47:$A$73,0)))=0,"",IQ81/(INDEX('Standards for Conversions'!$H$47:$H$73,MATCH(IP$3,'Standards for Conversions'!$A$47:$A$73,0))))</f>
        <v/>
      </c>
      <c r="IV81" s="31" t="str">
        <f>IF(IU81/(INDEX('Standards for Conversions'!$H$47:$H$73,MATCH(IT$3,'Standards for Conversions'!$A$47:$A$73,0)))=0,"",IU81/(INDEX('Standards for Conversions'!$H$47:$H$73,MATCH(IT$3,'Standards for Conversions'!$A$47:$A$73,0))))</f>
        <v/>
      </c>
      <c r="IZ81" s="31" t="str">
        <f>IF(IY81/(INDEX('Standards for Conversions'!$H$47:$H$73,MATCH(IX$3,'Standards for Conversions'!$A$47:$A$73,0)))=0,"",IY81/(INDEX('Standards for Conversions'!$H$47:$H$73,MATCH(IX$3,'Standards for Conversions'!$A$47:$A$73,0))))</f>
        <v/>
      </c>
      <c r="JA81" s="33"/>
      <c r="JD81" s="31" t="str">
        <f>IF(JC81/(INDEX('Standards for Conversions'!$H$47:$H$73,MATCH(JB$3,'Standards for Conversions'!$A$47:$A$73,0)))=0,"",JC81/(INDEX('Standards for Conversions'!$H$47:$H$73,MATCH(JB$3,'Standards for Conversions'!$A$47:$A$73,0))))</f>
        <v/>
      </c>
      <c r="JE81" s="33"/>
      <c r="JH81" s="31" t="str">
        <f>IF(JG81/(INDEX('Standards for Conversions'!$H$47:$H$73,MATCH(JF$3,'Standards for Conversions'!$A$47:$A$73,0)))=0,"",JG81/(INDEX('Standards for Conversions'!$H$47:$H$73,MATCH(JF$3,'Standards for Conversions'!$A$47:$A$73,0))))</f>
        <v/>
      </c>
      <c r="JL81" s="31" t="str">
        <f>IF(JK81/(INDEX('Standards for Conversions'!$H$47:$H$73,MATCH(JJ$3,'Standards for Conversions'!$A$47:$A$73,0)))=0,"",JK81/(INDEX('Standards for Conversions'!$H$47:$H$73,MATCH(JJ$3,'Standards for Conversions'!$A$47:$A$73,0))))</f>
        <v/>
      </c>
      <c r="JP81" s="31" t="str">
        <f>IF(JO81/(INDEX('Standards for Conversions'!$H$47:$H$73,MATCH(JN$3,'Standards for Conversions'!$A$47:$A$73,0)))=0,"",JO81/(INDEX('Standards for Conversions'!$H$47:$H$73,MATCH(JN$3,'Standards for Conversions'!$A$47:$A$73,0))))</f>
        <v/>
      </c>
      <c r="JT81" s="31" t="str">
        <f>IF(JS81/(INDEX('Standards for Conversions'!$H$47:$H$73,MATCH(JR$3,'Standards for Conversions'!$A$47:$A$73,0)))=0,"",JS81/(INDEX('Standards for Conversions'!$H$47:$H$73,MATCH(JR$3,'Standards for Conversions'!$A$47:$A$73,0))))</f>
        <v/>
      </c>
      <c r="JX81" s="31" t="str">
        <f>IF(JW81/(INDEX('Standards for Conversions'!$H$47:$H$73,MATCH(JV$3,'Standards for Conversions'!$A$47:$A$73,0)))=0,"",JW81/(INDEX('Standards for Conversions'!$H$47:$H$73,MATCH(JV$3,'Standards for Conversions'!$A$47:$A$73,0))))</f>
        <v/>
      </c>
      <c r="KB81" s="31" t="str">
        <f>IF(KA81/(INDEX('Standards for Conversions'!$H$47:$H$73,MATCH(JZ$3,'Standards for Conversions'!$A$47:$A$73,0)))=0,"",KA81/(INDEX('Standards for Conversions'!$H$47:$H$73,MATCH(JZ$3,'Standards for Conversions'!$A$47:$A$73,0))))</f>
        <v/>
      </c>
      <c r="KF81" s="31" t="str">
        <f>IF(KE81/(INDEX('Standards for Conversions'!$H$47:$H$73,MATCH(KD$3,'Standards for Conversions'!$A$47:$A$73,0)))=0,"",KE81/(INDEX('Standards for Conversions'!$H$47:$H$73,MATCH(KD$3,'Standards for Conversions'!$A$47:$A$73,0))))</f>
        <v/>
      </c>
      <c r="KJ81" s="31" t="str">
        <f>IF(KI81/(INDEX('Standards for Conversions'!$H$47:$H$73,MATCH(KH$3,'Standards for Conversions'!$A$47:$A$73,0)))=0,"",KI81/(INDEX('Standards for Conversions'!$H$47:$H$73,MATCH(KH$3,'Standards for Conversions'!$A$47:$A$73,0))))</f>
        <v/>
      </c>
      <c r="KN81" s="31" t="str">
        <f>IF(KM81/(INDEX('Standards for Conversions'!$H$47:$H$73,MATCH(KL$3,'Standards for Conversions'!$A$47:$A$73,0)))=0,"",KM81/(INDEX('Standards for Conversions'!$H$47:$H$73,MATCH(KL$3,'Standards for Conversions'!$A$47:$A$73,0))))</f>
        <v/>
      </c>
      <c r="KR81" s="31" t="str">
        <f>IF(KQ81/(INDEX('Standards for Conversions'!$H$47:$H$73,MATCH(KP$3,'Standards for Conversions'!$A$47:$A$73,0)))=0,"",KQ81/(INDEX('Standards for Conversions'!$H$47:$H$73,MATCH(KP$3,'Standards for Conversions'!$A$47:$A$73,0))))</f>
        <v/>
      </c>
      <c r="KV81" s="31" t="str">
        <f>IF(KU81/(INDEX('Standards for Conversions'!$H$47:$H$73,MATCH(KT$3,'Standards for Conversions'!$A$47:$A$73,0)))=0,"",KU81/(INDEX('Standards for Conversions'!$H$47:$H$73,MATCH(KT$3,'Standards for Conversions'!$A$47:$A$73,0))))</f>
        <v/>
      </c>
      <c r="KW81" s="33"/>
      <c r="KZ81" s="31" t="str">
        <f>IF(KY81/(INDEX('Standards for Conversions'!$H$47:$H$73,MATCH(KX$3,'Standards for Conversions'!$A$47:$A$73,0)))=0,"",KY81/(INDEX('Standards for Conversions'!$H$47:$H$73,MATCH(KX$3,'Standards for Conversions'!$A$47:$A$73,0))))</f>
        <v/>
      </c>
      <c r="LD81" s="31" t="str">
        <f>IF(LC81/(INDEX('Standards for Conversions'!$H$47:$H$73,MATCH(LB$3,'Standards for Conversions'!$A$47:$A$73,0)))=0,"",LC81/(INDEX('Standards for Conversions'!$H$47:$H$73,MATCH(LB$3,'Standards for Conversions'!$A$47:$A$73,0))))</f>
        <v/>
      </c>
      <c r="LH81" s="31" t="str">
        <f>IF(LG81/(INDEX('Standards for Conversions'!$H$47:$H$73,MATCH(LF$3,'Standards for Conversions'!$A$47:$A$73,0)))=0,"",LG81/(INDEX('Standards for Conversions'!$H$47:$H$73,MATCH(LF$3,'Standards for Conversions'!$A$47:$A$73,0))))</f>
        <v/>
      </c>
      <c r="LL81" s="31" t="str">
        <f>IF(LK81/(INDEX('Standards for Conversions'!$H$47:$H$73,MATCH(LJ$3,'Standards for Conversions'!$A$47:$A$73,0)))=0,"",LK81/(INDEX('Standards for Conversions'!$H$47:$H$73,MATCH(LJ$3,'Standards for Conversions'!$A$47:$A$73,0))))</f>
        <v/>
      </c>
      <c r="LO81" s="31" t="str">
        <f>IF(LN81/(INDEX('Standards for Conversions'!$H$47:$H$73,MATCH(LM$3,'Standards for Conversions'!$A$47:$A$73,0)))=0,"",LN81/(INDEX('Standards for Conversions'!$H$47:$H$73,MATCH(LM$3,'Standards for Conversions'!$A$47:$A$73,0))))</f>
        <v/>
      </c>
      <c r="LR81" s="31" t="str">
        <f>IF(LQ81/(INDEX('Standards for Conversions'!$H$47:$H$73,MATCH(LP$3,'Standards for Conversions'!$A$47:$A$73,0)))=0,"",LQ81/(INDEX('Standards for Conversions'!$H$47:$H$73,MATCH(LP$3,'Standards for Conversions'!$A$47:$A$73,0))))</f>
        <v/>
      </c>
      <c r="LV81" s="31" t="str">
        <f>IF(LU81/(INDEX('Standards for Conversions'!$H$47:$H$73,MATCH(LT$3,'Standards for Conversions'!$A$47:$A$73,0)))=0,"",LU81/(INDEX('Standards for Conversions'!$H$47:$H$73,MATCH(LT$3,'Standards for Conversions'!$A$47:$A$73,0))))</f>
        <v/>
      </c>
      <c r="LY81" s="31" t="str">
        <f>IF(LX81/(INDEX('Standards for Conversions'!$H$47:$H$73,MATCH(LW$3,'Standards for Conversions'!$A$47:$A$73,0)))=0,"",LX81/(INDEX('Standards for Conversions'!$H$47:$H$73,MATCH(LW$3,'Standards for Conversions'!$A$47:$A$73,0))))</f>
        <v/>
      </c>
      <c r="MB81" s="31" t="str">
        <f>IF(MA81/(INDEX('Standards for Conversions'!$H$47:$H$73,MATCH(LZ$3,'Standards for Conversions'!$A$47:$A$73,0)))=0,"",MA81/(INDEX('Standards for Conversions'!$H$47:$H$73,MATCH(LZ$3,'Standards for Conversions'!$A$47:$A$73,0))))</f>
        <v/>
      </c>
      <c r="ME81" s="31" t="str">
        <f>IF(MD81/(INDEX('Standards for Conversions'!$H$47:$H$73,MATCH(MC$3,'Standards for Conversions'!$A$47:$A$73,0)))=0,"",MD81/(INDEX('Standards for Conversions'!$H$47:$H$73,MATCH(MC$3,'Standards for Conversions'!$A$47:$A$73,0))))</f>
        <v/>
      </c>
      <c r="MH81" s="31" t="str">
        <f>IF(MG81/(INDEX('Standards for Conversions'!$H$47:$H$73,MATCH(MF$3,'Standards for Conversions'!$A$47:$A$73,0)))=0,"",MG81/(INDEX('Standards for Conversions'!$H$47:$H$73,MATCH(MF$3,'Standards for Conversions'!$A$47:$A$73,0))))</f>
        <v/>
      </c>
      <c r="MK81" s="31" t="str">
        <f>IF(MJ81/(INDEX('Standards for Conversions'!$H$47:$H$73,MATCH(MI$3,'Standards for Conversions'!$A$47:$A$73,0)))=0,"",MJ81/(INDEX('Standards for Conversions'!$H$47:$H$73,MATCH(MI$3,'Standards for Conversions'!$A$47:$A$73,0))))</f>
        <v/>
      </c>
      <c r="MN81" s="31" t="str">
        <f>IF(MM81/(INDEX('Standards for Conversions'!$H$47:$H$73,MATCH(ML$3,'Standards for Conversions'!$A$47:$A$73,0)))=0,"",MM81/(INDEX('Standards for Conversions'!$H$47:$H$73,MATCH(ML$3,'Standards for Conversions'!$A$47:$A$73,0))))</f>
        <v/>
      </c>
      <c r="MQ81" s="33"/>
      <c r="MR81" s="31" t="str">
        <f>IF(MQ81/(INDEX('Standards for Conversions'!$H$47:$H$73,MATCH(MP$3,'Standards for Conversions'!$A$47:$A$73,0)))=0,"",MQ81/(INDEX('Standards for Conversions'!$H$47:$H$73,MATCH(MP$3,'Standards for Conversions'!$A$47:$A$73,0))))</f>
        <v/>
      </c>
      <c r="NE81" s="29" t="s">
        <v>98</v>
      </c>
      <c r="NH81" s="29">
        <v>547</v>
      </c>
      <c r="NI81" s="29">
        <v>223</v>
      </c>
    </row>
    <row r="82" spans="1:373" hidden="1" x14ac:dyDescent="0.3">
      <c r="A82" s="103" t="s">
        <v>256</v>
      </c>
      <c r="C82" s="7"/>
      <c r="D82" s="7"/>
      <c r="E82" s="31" t="str">
        <f>IF(D82/(INDEX('Standards for Conversions'!$H$34:$H$73,MATCH(C$3,'Standards for Conversions'!$A$34:$A$73,0)))=0,"",D82/(INDEX('Standards for Conversions'!$H$34:$H$73,MATCH(C$3,'Standards for Conversions'!$A$34:$A$73,0))))</f>
        <v/>
      </c>
      <c r="G82" s="7"/>
      <c r="H82" s="7"/>
      <c r="I82" s="31" t="str">
        <f>IF(H82/(INDEX('Standards for Conversions'!$H$34:$H$73,MATCH(G$3,'Standards for Conversions'!$A$34:$A$73,0)))=0,"",H82/(INDEX('Standards for Conversions'!$H$34:$H$73,MATCH(G$3,'Standards for Conversions'!$A$34:$A$73,0))))</f>
        <v/>
      </c>
      <c r="K82" s="9"/>
      <c r="L82" s="9"/>
      <c r="M82" s="31" t="str">
        <f>IF(L82/(INDEX('Standards for Conversions'!$H$34:$H$73,MATCH(K$3,'Standards for Conversions'!$A$34:$A$73,0)))=0,"",L82/(INDEX('Standards for Conversions'!$H$34:$H$73,MATCH(K$3,'Standards for Conversions'!$A$34:$A$73,0))))</f>
        <v/>
      </c>
      <c r="O82" s="7"/>
      <c r="P82" s="7"/>
      <c r="Q82" s="31" t="str">
        <f>IF(P82/(INDEX('Standards for Conversions'!$H$34:$H$73,MATCH(O$3,'Standards for Conversions'!$A$34:$A$73,0)))=0,"",P82/(INDEX('Standards for Conversions'!$H$34:$H$73,MATCH(O$3,'Standards for Conversions'!$A$34:$A$73,0))))</f>
        <v/>
      </c>
      <c r="S82" s="7"/>
      <c r="T82" s="7"/>
      <c r="U82" s="31" t="str">
        <f>IF(T82/(INDEX('Standards for Conversions'!$H$34:$H$73,MATCH(S$3,'Standards for Conversions'!$A$34:$A$73,0)))=0,"",T82/(INDEX('Standards for Conversions'!$H$34:$H$73,MATCH(S$3,'Standards for Conversions'!$A$34:$A$73,0))))</f>
        <v/>
      </c>
      <c r="W82" s="7"/>
      <c r="X82" s="7"/>
      <c r="Y82" s="31" t="str">
        <f>IF(X82/(INDEX('Standards for Conversions'!$H$34:$H$73,MATCH(W$3,'Standards for Conversions'!$A$34:$A$73,0)))=0,"",X82/(INDEX('Standards for Conversions'!$H$34:$H$73,MATCH(W$3,'Standards for Conversions'!$A$34:$A$73,0))))</f>
        <v/>
      </c>
      <c r="AA82" s="9"/>
      <c r="AB82" s="9"/>
      <c r="AC82" s="31" t="str">
        <f>IF(AB82/(INDEX('Standards for Conversions'!$H$34:$H$73,MATCH(AA$3,'Standards for Conversions'!$A$34:$A$73,0)))=0,"",AB82/(INDEX('Standards for Conversions'!$H$34:$H$73,MATCH(AA$3,'Standards for Conversions'!$A$34:$A$73,0))))</f>
        <v/>
      </c>
      <c r="AE82" s="7"/>
      <c r="AF82" s="7"/>
      <c r="AG82" s="31" t="str">
        <f>IF(AF82/(INDEX('Standards for Conversions'!$H$34:$H$73,MATCH(AE$3,'Standards for Conversions'!$A$34:$A$73,0)))=0,"",AF82/(INDEX('Standards for Conversions'!$H$34:$H$73,MATCH(AE$3,'Standards for Conversions'!$A$34:$A$73,0))))</f>
        <v/>
      </c>
      <c r="AI82" s="7"/>
      <c r="AJ82" s="7"/>
      <c r="AK82" s="31" t="str">
        <f>IF(AJ82/(INDEX('Standards for Conversions'!$H$34:$H$73,MATCH(AI$3,'Standards for Conversions'!$A$34:$A$73,0)))=0,"",AJ82/(INDEX('Standards for Conversions'!$H$34:$H$73,MATCH(AI$3,'Standards for Conversions'!$A$34:$A$73,0))))</f>
        <v/>
      </c>
      <c r="AM82" s="7"/>
      <c r="AN82" s="7"/>
      <c r="AO82" s="31" t="str">
        <f>IF(AN82/(INDEX('Standards for Conversions'!$H$34:$H$73,MATCH(AM$3,'Standards for Conversions'!$A$34:$A$73,0)))=0,"",AN82/(INDEX('Standards for Conversions'!$H$34:$H$73,MATCH(AM$3,'Standards for Conversions'!$A$34:$A$73,0))))</f>
        <v/>
      </c>
      <c r="AQ82" s="9"/>
      <c r="AR82" s="9"/>
      <c r="AS82" s="31" t="str">
        <f>IF(AR82/(INDEX('Standards for Conversions'!$H$34:$H$73,MATCH(AQ$3,'Standards for Conversions'!$A$34:$A$73,0)))=0,"",AR82/(INDEX('Standards for Conversions'!$H$34:$H$73,MATCH(AQ$3,'Standards for Conversions'!$A$34:$A$73,0))))</f>
        <v/>
      </c>
      <c r="AU82" s="7"/>
      <c r="AV82" s="7"/>
      <c r="AW82" s="31" t="str">
        <f>IF(AV82/(INDEX('Standards for Conversions'!$H$34:$H$73,MATCH(AU$3,'Standards for Conversions'!$A$34:$A$73,0)))=0,"",AV82/(INDEX('Standards for Conversions'!$H$34:$H$73,MATCH(AU$3,'Standards for Conversions'!$A$34:$A$73,0))))</f>
        <v/>
      </c>
      <c r="AY82" s="7"/>
      <c r="AZ82" s="7"/>
      <c r="BA82" s="31" t="str">
        <f>IF(AZ82/(INDEX('Standards for Conversions'!$H$34:$H$73,MATCH(AY$3,'Standards for Conversions'!$A$34:$A$73,0)))=0,"",AZ82/(INDEX('Standards for Conversions'!$H$34:$H$73,MATCH(AY$3,'Standards for Conversions'!$A$34:$A$73,0))))</f>
        <v/>
      </c>
      <c r="BC82" s="7"/>
      <c r="BD82" s="7"/>
      <c r="BE82" s="31" t="str">
        <f>IF(BD82/(INDEX('Standards for Conversions'!$H$34:$H$73,MATCH(BC$3,'Standards for Conversions'!$A$34:$A$73,0)))=0,"",BD82/(INDEX('Standards for Conversions'!$H$34:$H$73,MATCH(BC$3,'Standards for Conversions'!$A$34:$A$73,0))))</f>
        <v/>
      </c>
      <c r="BG82" s="9"/>
      <c r="BH82" s="9"/>
      <c r="BI82" s="31" t="str">
        <f>IF(BH82/(INDEX('Standards for Conversions'!$H$34:$H$73,MATCH(BG$3,'Standards for Conversions'!$A$34:$A$73,0)))=0,"",BH82/(INDEX('Standards for Conversions'!$H$34:$H$73,MATCH(BG$3,'Standards for Conversions'!$A$34:$A$73,0))))</f>
        <v/>
      </c>
      <c r="BK82" s="7"/>
      <c r="BL82" s="7"/>
      <c r="BM82" s="31" t="str">
        <f>IF(BL82/(INDEX('Standards for Conversions'!$H$34:$H$73,MATCH(BK$3,'Standards for Conversions'!$A$34:$A$73,0)))=0,"",BL82/(INDEX('Standards for Conversions'!$H$34:$H$73,MATCH(BK$3,'Standards for Conversions'!$A$34:$A$73,0))))</f>
        <v/>
      </c>
      <c r="BO82" s="7"/>
      <c r="BP82" s="7"/>
      <c r="BQ82" s="31" t="str">
        <f>IF(BP82/(INDEX('Standards for Conversions'!$H$34:$H$73,MATCH(BO$3,'Standards for Conversions'!$A$34:$A$73,0)))=0,"",BP82/(INDEX('Standards for Conversions'!$H$34:$H$73,MATCH(BO$3,'Standards for Conversions'!$A$34:$A$73,0))))</f>
        <v/>
      </c>
      <c r="BS82" s="7"/>
      <c r="BT82" s="7"/>
      <c r="BU82" s="31" t="str">
        <f>IF(BT82/(INDEX('Standards for Conversions'!$H$34:$H$73,MATCH(BS$3,'Standards for Conversions'!$A$34:$A$73,0)))=0,"",BT82/(INDEX('Standards for Conversions'!$H$34:$H$73,MATCH(BS$3,'Standards for Conversions'!$A$34:$A$73,0))))</f>
        <v/>
      </c>
      <c r="BW82" s="9"/>
      <c r="BX82" s="9"/>
      <c r="BY82" s="31" t="str">
        <f>IF(BX82/(INDEX('Standards for Conversions'!$H$34:$H$73,MATCH(BW$3,'Standards for Conversions'!$A$34:$A$73,0)))=0,"",BX82/(INDEX('Standards for Conversions'!$H$34:$H$73,MATCH(BW$3,'Standards for Conversions'!$A$34:$A$73,0))))</f>
        <v/>
      </c>
      <c r="CA82" s="7"/>
      <c r="CB82" s="7"/>
      <c r="CC82" s="31" t="str">
        <f>IF(CB82/(INDEX('Standards for Conversions'!$H$34:$H$73,MATCH(CA$3,'Standards for Conversions'!$A$34:$A$73,0)))=0,"",CB82/(INDEX('Standards for Conversions'!$H$34:$H$73,MATCH(CA$3,'Standards for Conversions'!$A$34:$A$73,0))))</f>
        <v/>
      </c>
      <c r="CE82" s="7"/>
      <c r="CF82" s="7"/>
      <c r="CG82" s="31" t="str">
        <f>IF(CF82/(INDEX('Standards for Conversions'!$H$34:$H$73,MATCH(CE$3,'Standards for Conversions'!$A$34:$A$73,0)))=0,"",CF82/(INDEX('Standards for Conversions'!$H$34:$H$73,MATCH(CE$3,'Standards for Conversions'!$A$34:$A$73,0))))</f>
        <v/>
      </c>
      <c r="CI82" s="7"/>
      <c r="CJ82" s="7"/>
      <c r="CK82" s="31" t="str">
        <f>IF(CJ82/(INDEX('Standards for Conversions'!$H$34:$H$73,MATCH(CI$3,'Standards for Conversions'!$A$34:$A$73,0)))=0,"",CJ82/(INDEX('Standards for Conversions'!$H$34:$H$73,MATCH(CI$3,'Standards for Conversions'!$A$34:$A$73,0))))</f>
        <v/>
      </c>
      <c r="CM82" s="9"/>
      <c r="CN82" s="9"/>
      <c r="CO82" s="31" t="str">
        <f>IF(CN82/(INDEX('Standards for Conversions'!$H$34:$H$73,MATCH(CM$3,'Standards for Conversions'!$A$34:$A$73,0)))=0,"",CN82/(INDEX('Standards for Conversions'!$H$34:$H$73,MATCH(CM$3,'Standards for Conversions'!$A$34:$A$73,0))))</f>
        <v/>
      </c>
      <c r="CQ82" s="7"/>
      <c r="CR82" s="7"/>
      <c r="CS82" s="31" t="str">
        <f>IF(CR82/(INDEX('Standards for Conversions'!$H$34:$H$73,MATCH(CQ$3,'Standards for Conversions'!$A$34:$A$73,0)))=0,"",CR82/(INDEX('Standards for Conversions'!$H$34:$H$73,MATCH(CQ$3,'Standards for Conversions'!$A$34:$A$73,0))))</f>
        <v/>
      </c>
      <c r="CU82" s="7"/>
      <c r="CV82" s="7"/>
      <c r="CW82" s="31" t="str">
        <f>IF(CV82/(INDEX('Standards for Conversions'!$H$34:$H$73,MATCH(CU$3,'Standards for Conversions'!$A$34:$A$73,0)))=0,"",CV82/(INDEX('Standards for Conversions'!$H$34:$H$73,MATCH(CU$3,'Standards for Conversions'!$A$34:$A$73,0))))</f>
        <v/>
      </c>
      <c r="CY82" s="7"/>
      <c r="CZ82" s="7"/>
      <c r="DA82" s="31" t="str">
        <f>IF(CZ82/(INDEX('Standards for Conversions'!$H$34:$H$73,MATCH(CY$3,'Standards for Conversions'!$A$34:$A$73,0)))=0,"",CZ82/(INDEX('Standards for Conversions'!$H$34:$H$73,MATCH(CY$3,'Standards for Conversions'!$A$34:$A$73,0))))</f>
        <v/>
      </c>
      <c r="DC82" s="9"/>
      <c r="DD82" s="9"/>
      <c r="DE82" s="31" t="str">
        <f>IF(DD82/(INDEX('Standards for Conversions'!$H$34:$H$73,MATCH(DC$3,'Standards for Conversions'!$A$34:$A$73,0)))=0,"",DD82/(INDEX('Standards for Conversions'!$H$34:$H$73,MATCH(DC$3,'Standards for Conversions'!$A$34:$A$73,0))))</f>
        <v/>
      </c>
      <c r="DG82" s="7"/>
      <c r="DH82" s="7"/>
      <c r="DI82" s="31" t="str">
        <f>IF(DH82/(INDEX('Standards for Conversions'!$H$34:$H$73,MATCH(DG$3,'Standards for Conversions'!$A$34:$A$73,0)))=0,"",DH82/(INDEX('Standards for Conversions'!$H$34:$H$73,MATCH(DG$3,'Standards for Conversions'!$A$34:$A$73,0))))</f>
        <v/>
      </c>
      <c r="DK82" s="7"/>
      <c r="DL82" s="7"/>
      <c r="DM82" s="31" t="str">
        <f>IF(DL82/(INDEX('Standards for Conversions'!$H$34:$H$73,MATCH(DK$3,'Standards for Conversions'!$A$34:$A$73,0)))=0,"",DL82/(INDEX('Standards for Conversions'!$H$34:$H$73,MATCH(DK$3,'Standards for Conversions'!$A$34:$A$73,0))))</f>
        <v/>
      </c>
      <c r="DO82" s="7"/>
      <c r="DP82" s="7"/>
      <c r="DQ82" s="31" t="str">
        <f>IF(DP82/(INDEX('Standards for Conversions'!$H$34:$H$73,MATCH(DO$3,'Standards for Conversions'!$A$34:$A$73,0)))=0,"",DP82/(INDEX('Standards for Conversions'!$H$34:$H$73,MATCH(DO$3,'Standards for Conversions'!$A$34:$A$73,0))))</f>
        <v/>
      </c>
      <c r="DS82" s="9"/>
      <c r="DT82" s="9"/>
      <c r="DU82" s="31" t="str">
        <f>IF(DT82/(INDEX('Standards for Conversions'!$H$34:$H$73,MATCH(DS$3,'Standards for Conversions'!$A$34:$A$73,0)))=0,"",DT82/(INDEX('Standards for Conversions'!$H$34:$H$73,MATCH(DS$3,'Standards for Conversions'!$A$34:$A$73,0))))</f>
        <v/>
      </c>
      <c r="DW82" s="7"/>
      <c r="DX82" s="7"/>
      <c r="DY82" s="31" t="str">
        <f>IF(DX82/(INDEX('Standards for Conversions'!$H$34:$H$73,MATCH(DW$3,'Standards for Conversions'!$A$34:$A$73,0)))=0,"",DX82/(INDEX('Standards for Conversions'!$H$34:$H$73,MATCH(DW$3,'Standards for Conversions'!$A$34:$A$73,0))))</f>
        <v/>
      </c>
      <c r="EA82" s="7"/>
      <c r="EB82" s="7"/>
      <c r="EC82" s="31" t="str">
        <f>IF(EB82/(INDEX('Standards for Conversions'!$H$34:$H$73,MATCH(EA$3,'Standards for Conversions'!$A$34:$A$73,0)))=0,"",EB82/(INDEX('Standards for Conversions'!$H$34:$H$73,MATCH(EA$3,'Standards for Conversions'!$A$34:$A$73,0))))</f>
        <v/>
      </c>
      <c r="EE82" s="7"/>
      <c r="EF82" s="7"/>
      <c r="EG82" s="31" t="str">
        <f>IF(EF82/(INDEX('Standards for Conversions'!$H$34:$H$73,MATCH(EE$3,'Standards for Conversions'!$A$34:$A$73,0)))=0,"",EF82/(INDEX('Standards for Conversions'!$H$34:$H$73,MATCH(EE$3,'Standards for Conversions'!$A$34:$A$73,0))))</f>
        <v/>
      </c>
      <c r="EI82" s="9"/>
      <c r="EJ82" s="9"/>
      <c r="EK82" s="31" t="str">
        <f>IF(EJ82/(INDEX('Standards for Conversions'!$H$34:$H$73,MATCH(EI$3,'Standards for Conversions'!$A$34:$A$73,0)))=0,"",EJ82/(INDEX('Standards for Conversions'!$H$34:$H$73,MATCH(EI$3,'Standards for Conversions'!$A$34:$A$73,0))))</f>
        <v/>
      </c>
      <c r="EM82" s="7"/>
      <c r="EN82" s="7"/>
      <c r="EO82" s="31" t="str">
        <f>IF(EN82/(INDEX('Standards for Conversions'!$H$34:$H$73,MATCH(EM$3,'Standards for Conversions'!$A$34:$A$73,0)))=0,"",EN82/(INDEX('Standards for Conversions'!$H$34:$H$73,MATCH(EM$3,'Standards for Conversions'!$A$34:$A$73,0))))</f>
        <v/>
      </c>
      <c r="EQ82" s="7"/>
      <c r="ER82" s="7"/>
      <c r="ES82" s="31" t="str">
        <f>IF(ER82/(INDEX('Standards for Conversions'!$H$34:$H$73,MATCH(EQ$3,'Standards for Conversions'!$A$34:$A$73,0)))=0,"",ER82/(INDEX('Standards for Conversions'!$H$34:$H$73,MATCH(EQ$3,'Standards for Conversions'!$A$34:$A$73,0))))</f>
        <v/>
      </c>
      <c r="EU82" s="7"/>
      <c r="EV82" s="7"/>
      <c r="EW82" s="31" t="str">
        <f>IF(EV82/(INDEX('Standards for Conversions'!$H$34:$H$73,MATCH(EU$3,'Standards for Conversions'!$A$34:$A$73,0)))=0,"",EV82/(INDEX('Standards for Conversions'!$H$34:$H$73,MATCH(EU$3,'Standards for Conversions'!$A$34:$A$73,0))))</f>
        <v/>
      </c>
      <c r="EY82" s="9"/>
      <c r="EZ82" s="9"/>
      <c r="FA82" s="31" t="str">
        <f>IF(EZ82/(INDEX('Standards for Conversions'!$H$34:$H$73,MATCH(EY$3,'Standards for Conversions'!$A$34:$A$73,0)))=0,"",EZ82/(INDEX('Standards for Conversions'!$H$34:$H$73,MATCH(EY$3,'Standards for Conversions'!$A$34:$A$73,0))))</f>
        <v/>
      </c>
      <c r="FC82" s="7"/>
      <c r="FD82" s="7"/>
      <c r="FE82" s="31" t="str">
        <f>IF(FD82/(INDEX('Standards for Conversions'!$H$34:$H$73,MATCH(FC$3,'Standards for Conversions'!$A$34:$A$73,0)))=0,"",FD82/(INDEX('Standards for Conversions'!$H$34:$H$73,MATCH(FC$3,'Standards for Conversions'!$A$34:$A$73,0))))</f>
        <v/>
      </c>
      <c r="FG82" s="7"/>
      <c r="FH82" s="7"/>
      <c r="FI82" s="31" t="str">
        <f>IF(FH82/(INDEX('Standards for Conversions'!$H$34:$H$73,MATCH(FG$3,'Standards for Conversions'!$A$34:$A$73,0)))=0,"",FH82/(INDEX('Standards for Conversions'!$H$34:$H$73,MATCH(FG$3,'Standards for Conversions'!$A$34:$A$73,0))))</f>
        <v/>
      </c>
      <c r="FK82" s="7"/>
      <c r="FL82" s="7"/>
      <c r="FM82" s="31" t="str">
        <f>IF(FL82/(INDEX('Standards for Conversions'!$H$34:$H$73,MATCH(FK$3,'Standards for Conversions'!$A$34:$A$73,0)))=0,"",FL82/(INDEX('Standards for Conversions'!$H$34:$H$73,MATCH(FK$3,'Standards for Conversions'!$A$34:$A$73,0))))</f>
        <v/>
      </c>
      <c r="FO82" s="9"/>
      <c r="FP82" s="9"/>
      <c r="FQ82" s="31" t="str">
        <f>IF(FP82/(INDEX('Standards for Conversions'!$H$34:$H$73,MATCH(FO$3,'Standards for Conversions'!$A$34:$A$73,0)))=0,"",FP82/(INDEX('Standards for Conversions'!$H$34:$H$73,MATCH(FO$3,'Standards for Conversions'!$A$34:$A$73,0))))</f>
        <v/>
      </c>
      <c r="FS82" s="7"/>
      <c r="FT82" s="7"/>
      <c r="FU82" s="31" t="str">
        <f>IF(FT82/(INDEX('Standards for Conversions'!$H$34:$H$73,MATCH(FS$3,'Standards for Conversions'!$A$34:$A$73,0)))=0,"",FT82/(INDEX('Standards for Conversions'!$H$34:$H$73,MATCH(FS$3,'Standards for Conversions'!$A$34:$A$73,0))))</f>
        <v/>
      </c>
      <c r="FW82" s="7"/>
      <c r="FX82" s="7"/>
      <c r="FY82" s="31" t="str">
        <f>IF(FX82/(INDEX('Standards for Conversions'!$H$34:$H$73,MATCH(FW$3,'Standards for Conversions'!$A$34:$A$73,0)))=0,"",FX82/(INDEX('Standards for Conversions'!$H$34:$H$73,MATCH(FW$3,'Standards for Conversions'!$A$34:$A$73,0))))</f>
        <v/>
      </c>
      <c r="GA82" s="7"/>
      <c r="GB82" s="7"/>
      <c r="GC82" s="31" t="str">
        <f>IF(GB82/(INDEX('Standards for Conversions'!$H$34:$H$73,MATCH(GA$3,'Standards for Conversions'!$A$34:$A$73,0)))=0,"",GB82/(INDEX('Standards for Conversions'!$H$34:$H$73,MATCH(GA$3,'Standards for Conversions'!$A$34:$A$73,0))))</f>
        <v/>
      </c>
      <c r="GE82" s="9"/>
      <c r="GF82" s="9"/>
      <c r="GG82" s="31" t="str">
        <f>IF(GF82/(INDEX('Standards for Conversions'!$H$34:$H$73,MATCH(GE$3,'Standards for Conversions'!$A$34:$A$73,0)))=0,"",GF82/(INDEX('Standards for Conversions'!$H$34:$H$73,MATCH(GE$3,'Standards for Conversions'!$A$34:$A$73,0))))</f>
        <v/>
      </c>
      <c r="GI82" s="7"/>
      <c r="GJ82" s="7"/>
      <c r="GK82" s="31" t="str">
        <f>IF(GJ82/(INDEX('Standards for Conversions'!$H$34:$H$73,MATCH(GI$3,'Standards for Conversions'!$A$34:$A$73,0)))=0,"",GJ82/(INDEX('Standards for Conversions'!$H$34:$H$73,MATCH(GI$3,'Standards for Conversions'!$A$34:$A$73,0))))</f>
        <v/>
      </c>
      <c r="GM82" s="7"/>
      <c r="GN82" s="7"/>
      <c r="GO82" s="31" t="str">
        <f>IF(GN82/(INDEX('Standards for Conversions'!$H$34:$H$73,MATCH(GM$3,'Standards for Conversions'!$A$34:$A$73,0)))=0,"",GN82/(INDEX('Standards for Conversions'!$H$34:$H$73,MATCH(GM$3,'Standards for Conversions'!$A$34:$A$73,0))))</f>
        <v/>
      </c>
      <c r="GQ82" s="7"/>
      <c r="GR82" s="7"/>
      <c r="GS82" s="31" t="str">
        <f>IF(GR82/(INDEX('Standards for Conversions'!$H$34:$H$73,MATCH(GQ$3,'Standards for Conversions'!$A$34:$A$73,0)))=0,"",GR82/(INDEX('Standards for Conversions'!$H$34:$H$73,MATCH(GQ$3,'Standards for Conversions'!$A$34:$A$73,0))))</f>
        <v/>
      </c>
      <c r="GU82" s="9"/>
      <c r="GV82" s="9"/>
      <c r="GW82" s="31" t="str">
        <f>IF(GV82/(INDEX('Standards for Conversions'!$H$34:$H$73,MATCH(GU$3,'Standards for Conversions'!$A$34:$A$73,0)))=0,"",GV82/(INDEX('Standards for Conversions'!$H$34:$H$73,MATCH(GU$3,'Standards for Conversions'!$A$34:$A$73,0))))</f>
        <v/>
      </c>
      <c r="GY82" s="7"/>
      <c r="GZ82" s="7"/>
      <c r="HA82" s="31" t="str">
        <f>IF(GZ82/(INDEX('Standards for Conversions'!$H$34:$H$73,MATCH(GY$3,'Standards for Conversions'!$A$34:$A$73,0)))=0,"",GZ82/(INDEX('Standards for Conversions'!$H$34:$H$73,MATCH(GY$3,'Standards for Conversions'!$A$34:$A$73,0))))</f>
        <v/>
      </c>
      <c r="HC82" s="7"/>
      <c r="HD82" s="7"/>
      <c r="HE82" s="31" t="str">
        <f>IF(HD82/(INDEX('Standards for Conversions'!$H$34:$H$73,MATCH(HC$3,'Standards for Conversions'!$A$34:$A$73,0)))=0,"",HD82/(INDEX('Standards for Conversions'!$H$34:$H$73,MATCH(HC$3,'Standards for Conversions'!$A$34:$A$73,0))))</f>
        <v/>
      </c>
      <c r="HG82" s="7"/>
      <c r="HH82" s="7"/>
      <c r="HI82" s="31" t="str">
        <f>IF(HH82/(INDEX('Standards for Conversions'!$H$34:$H$73,MATCH(HG$3,'Standards for Conversions'!$A$34:$A$73,0)))=0,"",HH82/(INDEX('Standards for Conversions'!$H$34:$H$73,MATCH(HG$3,'Standards for Conversions'!$A$34:$A$73,0))))</f>
        <v/>
      </c>
      <c r="HK82" s="9"/>
      <c r="HL82" s="9"/>
      <c r="HM82" s="31" t="str">
        <f>IF(HL82/(INDEX('Standards for Conversions'!$H$34:$H$73,MATCH(HK$3,'Standards for Conversions'!$A$34:$A$73,0)))=0,"",HL82/(INDEX('Standards for Conversions'!$H$34:$H$73,MATCH(HK$3,'Standards for Conversions'!$A$34:$A$73,0))))</f>
        <v/>
      </c>
      <c r="HO82" s="7"/>
      <c r="HP82" s="7"/>
      <c r="HQ82" s="31" t="str">
        <f>IF(HP82/(INDEX('Standards for Conversions'!$H$34:$H$73,MATCH(HO$3,'Standards for Conversions'!$A$34:$A$73,0)))=0,"",HP82/(INDEX('Standards for Conversions'!$H$34:$H$73,MATCH(HO$3,'Standards for Conversions'!$A$34:$A$73,0))))</f>
        <v/>
      </c>
      <c r="HU82" s="31" t="str">
        <f>IF(HT82/(INDEX('Standards for Conversions'!$H$47:$H$73,MATCH(HS$3,'Standards for Conversions'!$A$47:$A$73,0)))=0,"",HT82/(INDEX('Standards for Conversions'!$H$47:$H$73,MATCH(HS$3,'Standards for Conversions'!$A$47:$A$73,0))))</f>
        <v/>
      </c>
      <c r="HY82" s="31" t="str">
        <f>IF(HX82/(INDEX('Standards for Conversions'!$H$47:$H$73,MATCH(HW$3,'Standards for Conversions'!$A$47:$A$73,0)))=0,"",HX82/(INDEX('Standards for Conversions'!$H$47:$H$73,MATCH(HW$3,'Standards for Conversions'!$A$47:$A$73,0))))</f>
        <v/>
      </c>
      <c r="HZ82" s="33"/>
      <c r="IA82" s="33"/>
      <c r="IB82" s="31" t="str">
        <f>IF(IA82/(INDEX('Standards for Conversions'!$H$47:$H$73,MATCH(HZ$3,'Standards for Conversions'!$A$47:$A$73,0)))=0,"",IA82/(INDEX('Standards for Conversions'!$H$47:$H$73,MATCH(HZ$3,'Standards for Conversions'!$A$47:$A$73,0))))</f>
        <v/>
      </c>
      <c r="IF82" s="31" t="str">
        <f>IF(IE82/(INDEX('Standards for Conversions'!$H$47:$H$73,MATCH(ID$3,'Standards for Conversions'!$A$47:$A$73,0)))=0,"",IE82/(INDEX('Standards for Conversions'!$H$47:$H$73,MATCH(ID$3,'Standards for Conversions'!$A$47:$A$73,0))))</f>
        <v/>
      </c>
      <c r="IJ82" s="31" t="str">
        <f>IF(II82/(INDEX('Standards for Conversions'!$H$47:$H$73,MATCH(IH$3,'Standards for Conversions'!$A$47:$A$73,0)))=0,"",II82/(INDEX('Standards for Conversions'!$H$47:$H$73,MATCH(IH$3,'Standards for Conversions'!$A$47:$A$73,0))))</f>
        <v/>
      </c>
      <c r="IN82" s="31" t="str">
        <f>IF(IM82/(INDEX('Standards for Conversions'!$H$47:$H$73,MATCH(IL$3,'Standards for Conversions'!$A$47:$A$73,0)))=0,"",IM82/(INDEX('Standards for Conversions'!$H$47:$H$73,MATCH(IL$3,'Standards for Conversions'!$A$47:$A$73,0))))</f>
        <v/>
      </c>
      <c r="IR82" s="31" t="str">
        <f>IF(IQ82/(INDEX('Standards for Conversions'!$H$47:$H$73,MATCH(IP$3,'Standards for Conversions'!$A$47:$A$73,0)))=0,"",IQ82/(INDEX('Standards for Conversions'!$H$47:$H$73,MATCH(IP$3,'Standards for Conversions'!$A$47:$A$73,0))))</f>
        <v/>
      </c>
      <c r="IV82" s="31" t="str">
        <f>IF(IU82/(INDEX('Standards for Conversions'!$H$47:$H$73,MATCH(IT$3,'Standards for Conversions'!$A$47:$A$73,0)))=0,"",IU82/(INDEX('Standards for Conversions'!$H$47:$H$73,MATCH(IT$3,'Standards for Conversions'!$A$47:$A$73,0))))</f>
        <v/>
      </c>
      <c r="IZ82" s="31" t="str">
        <f>IF(IY82/(INDEX('Standards for Conversions'!$H$47:$H$73,MATCH(IX$3,'Standards for Conversions'!$A$47:$A$73,0)))=0,"",IY82/(INDEX('Standards for Conversions'!$H$47:$H$73,MATCH(IX$3,'Standards for Conversions'!$A$47:$A$73,0))))</f>
        <v/>
      </c>
      <c r="JA82" s="33"/>
      <c r="JD82" s="31" t="str">
        <f>IF(JC82/(INDEX('Standards for Conversions'!$H$47:$H$73,MATCH(JB$3,'Standards for Conversions'!$A$47:$A$73,0)))=0,"",JC82/(INDEX('Standards for Conversions'!$H$47:$H$73,MATCH(JB$3,'Standards for Conversions'!$A$47:$A$73,0))))</f>
        <v/>
      </c>
      <c r="JE82" s="33"/>
      <c r="JH82" s="31" t="str">
        <f>IF(JG82/(INDEX('Standards for Conversions'!$H$47:$H$73,MATCH(JF$3,'Standards for Conversions'!$A$47:$A$73,0)))=0,"",JG82/(INDEX('Standards for Conversions'!$H$47:$H$73,MATCH(JF$3,'Standards for Conversions'!$A$47:$A$73,0))))</f>
        <v/>
      </c>
      <c r="JL82" s="31" t="str">
        <f>IF(JK82/(INDEX('Standards for Conversions'!$H$47:$H$73,MATCH(JJ$3,'Standards for Conversions'!$A$47:$A$73,0)))=0,"",JK82/(INDEX('Standards for Conversions'!$H$47:$H$73,MATCH(JJ$3,'Standards for Conversions'!$A$47:$A$73,0))))</f>
        <v/>
      </c>
      <c r="JP82" s="31" t="str">
        <f>IF(JO82/(INDEX('Standards for Conversions'!$H$47:$H$73,MATCH(JN$3,'Standards for Conversions'!$A$47:$A$73,0)))=0,"",JO82/(INDEX('Standards for Conversions'!$H$47:$H$73,MATCH(JN$3,'Standards for Conversions'!$A$47:$A$73,0))))</f>
        <v/>
      </c>
      <c r="JT82" s="31" t="str">
        <f>IF(JS82/(INDEX('Standards for Conversions'!$H$47:$H$73,MATCH(JR$3,'Standards for Conversions'!$A$47:$A$73,0)))=0,"",JS82/(INDEX('Standards for Conversions'!$H$47:$H$73,MATCH(JR$3,'Standards for Conversions'!$A$47:$A$73,0))))</f>
        <v/>
      </c>
      <c r="JX82" s="31" t="str">
        <f>IF(JW82/(INDEX('Standards for Conversions'!$H$47:$H$73,MATCH(JV$3,'Standards for Conversions'!$A$47:$A$73,0)))=0,"",JW82/(INDEX('Standards for Conversions'!$H$47:$H$73,MATCH(JV$3,'Standards for Conversions'!$A$47:$A$73,0))))</f>
        <v/>
      </c>
      <c r="KB82" s="31" t="str">
        <f>IF(KA82/(INDEX('Standards for Conversions'!$H$47:$H$73,MATCH(JZ$3,'Standards for Conversions'!$A$47:$A$73,0)))=0,"",KA82/(INDEX('Standards for Conversions'!$H$47:$H$73,MATCH(JZ$3,'Standards for Conversions'!$A$47:$A$73,0))))</f>
        <v/>
      </c>
      <c r="KF82" s="31" t="str">
        <f>IF(KE82/(INDEX('Standards for Conversions'!$H$47:$H$73,MATCH(KD$3,'Standards for Conversions'!$A$47:$A$73,0)))=0,"",KE82/(INDEX('Standards for Conversions'!$H$47:$H$73,MATCH(KD$3,'Standards for Conversions'!$A$47:$A$73,0))))</f>
        <v/>
      </c>
      <c r="KJ82" s="31" t="str">
        <f>IF(KI82/(INDEX('Standards for Conversions'!$H$47:$H$73,MATCH(KH$3,'Standards for Conversions'!$A$47:$A$73,0)))=0,"",KI82/(INDEX('Standards for Conversions'!$H$47:$H$73,MATCH(KH$3,'Standards for Conversions'!$A$47:$A$73,0))))</f>
        <v/>
      </c>
      <c r="KN82" s="31" t="str">
        <f>IF(KM82/(INDEX('Standards for Conversions'!$H$47:$H$73,MATCH(KL$3,'Standards for Conversions'!$A$47:$A$73,0)))=0,"",KM82/(INDEX('Standards for Conversions'!$H$47:$H$73,MATCH(KL$3,'Standards for Conversions'!$A$47:$A$73,0))))</f>
        <v/>
      </c>
      <c r="KR82" s="31" t="str">
        <f>IF(KQ82/(INDEX('Standards for Conversions'!$H$47:$H$73,MATCH(KP$3,'Standards for Conversions'!$A$47:$A$73,0)))=0,"",KQ82/(INDEX('Standards for Conversions'!$H$47:$H$73,MATCH(KP$3,'Standards for Conversions'!$A$47:$A$73,0))))</f>
        <v/>
      </c>
      <c r="KV82" s="31" t="str">
        <f>IF(KU82/(INDEX('Standards for Conversions'!$H$47:$H$73,MATCH(KT$3,'Standards for Conversions'!$A$47:$A$73,0)))=0,"",KU82/(INDEX('Standards for Conversions'!$H$47:$H$73,MATCH(KT$3,'Standards for Conversions'!$A$47:$A$73,0))))</f>
        <v/>
      </c>
      <c r="KW82" s="33"/>
      <c r="KZ82" s="31" t="str">
        <f>IF(KY82/(INDEX('Standards for Conversions'!$H$47:$H$73,MATCH(KX$3,'Standards for Conversions'!$A$47:$A$73,0)))=0,"",KY82/(INDEX('Standards for Conversions'!$H$47:$H$73,MATCH(KX$3,'Standards for Conversions'!$A$47:$A$73,0))))</f>
        <v/>
      </c>
      <c r="LD82" s="31" t="str">
        <f>IF(LC82/(INDEX('Standards for Conversions'!$H$47:$H$73,MATCH(LB$3,'Standards for Conversions'!$A$47:$A$73,0)))=0,"",LC82/(INDEX('Standards for Conversions'!$H$47:$H$73,MATCH(LB$3,'Standards for Conversions'!$A$47:$A$73,0))))</f>
        <v/>
      </c>
      <c r="LH82" s="31" t="str">
        <f>IF(LG82/(INDEX('Standards for Conversions'!$H$47:$H$73,MATCH(LF$3,'Standards for Conversions'!$A$47:$A$73,0)))=0,"",LG82/(INDEX('Standards for Conversions'!$H$47:$H$73,MATCH(LF$3,'Standards for Conversions'!$A$47:$A$73,0))))</f>
        <v/>
      </c>
      <c r="LL82" s="31" t="str">
        <f>IF(LK82/(INDEX('Standards for Conversions'!$H$47:$H$73,MATCH(LJ$3,'Standards for Conversions'!$A$47:$A$73,0)))=0,"",LK82/(INDEX('Standards for Conversions'!$H$47:$H$73,MATCH(LJ$3,'Standards for Conversions'!$A$47:$A$73,0))))</f>
        <v/>
      </c>
      <c r="LO82" s="31" t="str">
        <f>IF(LN82/(INDEX('Standards for Conversions'!$H$47:$H$73,MATCH(LM$3,'Standards for Conversions'!$A$47:$A$73,0)))=0,"",LN82/(INDEX('Standards for Conversions'!$H$47:$H$73,MATCH(LM$3,'Standards for Conversions'!$A$47:$A$73,0))))</f>
        <v/>
      </c>
      <c r="LR82" s="31" t="str">
        <f>IF(LQ82/(INDEX('Standards for Conversions'!$H$47:$H$73,MATCH(LP$3,'Standards for Conversions'!$A$47:$A$73,0)))=0,"",LQ82/(INDEX('Standards for Conversions'!$H$47:$H$73,MATCH(LP$3,'Standards for Conversions'!$A$47:$A$73,0))))</f>
        <v/>
      </c>
      <c r="LV82" s="31" t="str">
        <f>IF(LU82/(INDEX('Standards for Conversions'!$H$47:$H$73,MATCH(LT$3,'Standards for Conversions'!$A$47:$A$73,0)))=0,"",LU82/(INDEX('Standards for Conversions'!$H$47:$H$73,MATCH(LT$3,'Standards for Conversions'!$A$47:$A$73,0))))</f>
        <v/>
      </c>
      <c r="LY82" s="31" t="str">
        <f>IF(LX82/(INDEX('Standards for Conversions'!$H$47:$H$73,MATCH(LW$3,'Standards for Conversions'!$A$47:$A$73,0)))=0,"",LX82/(INDEX('Standards for Conversions'!$H$47:$H$73,MATCH(LW$3,'Standards for Conversions'!$A$47:$A$73,0))))</f>
        <v/>
      </c>
      <c r="MB82" s="31" t="str">
        <f>IF(MA82/(INDEX('Standards for Conversions'!$H$47:$H$73,MATCH(LZ$3,'Standards for Conversions'!$A$47:$A$73,0)))=0,"",MA82/(INDEX('Standards for Conversions'!$H$47:$H$73,MATCH(LZ$3,'Standards for Conversions'!$A$47:$A$73,0))))</f>
        <v/>
      </c>
      <c r="ME82" s="31" t="str">
        <f>IF(MD82/(INDEX('Standards for Conversions'!$H$47:$H$73,MATCH(MC$3,'Standards for Conversions'!$A$47:$A$73,0)))=0,"",MD82/(INDEX('Standards for Conversions'!$H$47:$H$73,MATCH(MC$3,'Standards for Conversions'!$A$47:$A$73,0))))</f>
        <v/>
      </c>
      <c r="MH82" s="31" t="str">
        <f>IF(MG82/(INDEX('Standards for Conversions'!$H$47:$H$73,MATCH(MF$3,'Standards for Conversions'!$A$47:$A$73,0)))=0,"",MG82/(INDEX('Standards for Conversions'!$H$47:$H$73,MATCH(MF$3,'Standards for Conversions'!$A$47:$A$73,0))))</f>
        <v/>
      </c>
      <c r="MK82" s="31" t="str">
        <f>IF(MJ82/(INDEX('Standards for Conversions'!$H$47:$H$73,MATCH(MI$3,'Standards for Conversions'!$A$47:$A$73,0)))=0,"",MJ82/(INDEX('Standards for Conversions'!$H$47:$H$73,MATCH(MI$3,'Standards for Conversions'!$A$47:$A$73,0))))</f>
        <v/>
      </c>
      <c r="MN82" s="31" t="str">
        <f>IF(MM82/(INDEX('Standards for Conversions'!$H$47:$H$73,MATCH(ML$3,'Standards for Conversions'!$A$47:$A$73,0)))=0,"",MM82/(INDEX('Standards for Conversions'!$H$47:$H$73,MATCH(ML$3,'Standards for Conversions'!$A$47:$A$73,0))))</f>
        <v/>
      </c>
      <c r="MQ82" s="33"/>
      <c r="MR82" s="31" t="str">
        <f>IF(MQ82/(INDEX('Standards for Conversions'!$H$47:$H$73,MATCH(MP$3,'Standards for Conversions'!$A$47:$A$73,0)))=0,"",MQ82/(INDEX('Standards for Conversions'!$H$47:$H$73,MATCH(MP$3,'Standards for Conversions'!$A$47:$A$73,0))))</f>
        <v/>
      </c>
      <c r="NE82" s="29" t="s">
        <v>98</v>
      </c>
      <c r="NH82" s="29">
        <v>2250</v>
      </c>
      <c r="NI82" s="29">
        <v>1094</v>
      </c>
    </row>
    <row r="83" spans="1:373" hidden="1" x14ac:dyDescent="0.3">
      <c r="A83" s="103" t="s">
        <v>257</v>
      </c>
      <c r="B83" s="10" t="s">
        <v>38</v>
      </c>
      <c r="C83" s="7"/>
      <c r="D83" s="7"/>
      <c r="E83" s="31" t="str">
        <f>IF(D83/(INDEX('Standards for Conversions'!$H$34:$H$73,MATCH(C$3,'Standards for Conversions'!$A$34:$A$73,0)))=0,"",D83/(INDEX('Standards for Conversions'!$H$34:$H$73,MATCH(C$3,'Standards for Conversions'!$A$34:$A$73,0))))</f>
        <v/>
      </c>
      <c r="F83" s="10" t="s">
        <v>38</v>
      </c>
      <c r="G83" s="7"/>
      <c r="H83" s="7"/>
      <c r="I83" s="31" t="str">
        <f>IF(H83/(INDEX('Standards for Conversions'!$H$34:$H$73,MATCH(G$3,'Standards for Conversions'!$A$34:$A$73,0)))=0,"",H83/(INDEX('Standards for Conversions'!$H$34:$H$73,MATCH(G$3,'Standards for Conversions'!$A$34:$A$73,0))))</f>
        <v/>
      </c>
      <c r="J83" s="10" t="s">
        <v>38</v>
      </c>
      <c r="K83" s="9"/>
      <c r="L83" s="9"/>
      <c r="M83" s="31" t="str">
        <f>IF(L83/(INDEX('Standards for Conversions'!$H$34:$H$73,MATCH(K$3,'Standards for Conversions'!$A$34:$A$73,0)))=0,"",L83/(INDEX('Standards for Conversions'!$H$34:$H$73,MATCH(K$3,'Standards for Conversions'!$A$34:$A$73,0))))</f>
        <v/>
      </c>
      <c r="N83" s="10" t="s">
        <v>38</v>
      </c>
      <c r="O83" s="7"/>
      <c r="P83" s="7"/>
      <c r="Q83" s="31" t="str">
        <f>IF(P83/(INDEX('Standards for Conversions'!$H$34:$H$73,MATCH(O$3,'Standards for Conversions'!$A$34:$A$73,0)))=0,"",P83/(INDEX('Standards for Conversions'!$H$34:$H$73,MATCH(O$3,'Standards for Conversions'!$A$34:$A$73,0))))</f>
        <v/>
      </c>
      <c r="R83" s="10" t="s">
        <v>38</v>
      </c>
      <c r="S83" s="7"/>
      <c r="T83" s="7"/>
      <c r="U83" s="31" t="str">
        <f>IF(T83/(INDEX('Standards for Conversions'!$H$34:$H$73,MATCH(S$3,'Standards for Conversions'!$A$34:$A$73,0)))=0,"",T83/(INDEX('Standards for Conversions'!$H$34:$H$73,MATCH(S$3,'Standards for Conversions'!$A$34:$A$73,0))))</f>
        <v/>
      </c>
      <c r="V83" s="10" t="s">
        <v>38</v>
      </c>
      <c r="W83" s="7"/>
      <c r="X83" s="7"/>
      <c r="Y83" s="31" t="str">
        <f>IF(X83/(INDEX('Standards for Conversions'!$H$34:$H$73,MATCH(W$3,'Standards for Conversions'!$A$34:$A$73,0)))=0,"",X83/(INDEX('Standards for Conversions'!$H$34:$H$73,MATCH(W$3,'Standards for Conversions'!$A$34:$A$73,0))))</f>
        <v/>
      </c>
      <c r="Z83" s="10" t="s">
        <v>38</v>
      </c>
      <c r="AA83" s="9"/>
      <c r="AB83" s="9"/>
      <c r="AC83" s="31" t="str">
        <f>IF(AB83/(INDEX('Standards for Conversions'!$H$34:$H$73,MATCH(AA$3,'Standards for Conversions'!$A$34:$A$73,0)))=0,"",AB83/(INDEX('Standards for Conversions'!$H$34:$H$73,MATCH(AA$3,'Standards for Conversions'!$A$34:$A$73,0))))</f>
        <v/>
      </c>
      <c r="AD83" s="10" t="s">
        <v>38</v>
      </c>
      <c r="AE83" s="7"/>
      <c r="AF83" s="7"/>
      <c r="AG83" s="31" t="str">
        <f>IF(AF83/(INDEX('Standards for Conversions'!$H$34:$H$73,MATCH(AE$3,'Standards for Conversions'!$A$34:$A$73,0)))=0,"",AF83/(INDEX('Standards for Conversions'!$H$34:$H$73,MATCH(AE$3,'Standards for Conversions'!$A$34:$A$73,0))))</f>
        <v/>
      </c>
      <c r="AH83" s="10" t="s">
        <v>38</v>
      </c>
      <c r="AI83" s="7"/>
      <c r="AJ83" s="7"/>
      <c r="AK83" s="31" t="str">
        <f>IF(AJ83/(INDEX('Standards for Conversions'!$H$34:$H$73,MATCH(AI$3,'Standards for Conversions'!$A$34:$A$73,0)))=0,"",AJ83/(INDEX('Standards for Conversions'!$H$34:$H$73,MATCH(AI$3,'Standards for Conversions'!$A$34:$A$73,0))))</f>
        <v/>
      </c>
      <c r="AL83" s="10" t="s">
        <v>38</v>
      </c>
      <c r="AM83" s="7"/>
      <c r="AN83" s="7"/>
      <c r="AO83" s="31" t="str">
        <f>IF(AN83/(INDEX('Standards for Conversions'!$H$34:$H$73,MATCH(AM$3,'Standards for Conversions'!$A$34:$A$73,0)))=0,"",AN83/(INDEX('Standards for Conversions'!$H$34:$H$73,MATCH(AM$3,'Standards for Conversions'!$A$34:$A$73,0))))</f>
        <v/>
      </c>
      <c r="AP83" s="10" t="s">
        <v>38</v>
      </c>
      <c r="AQ83" s="9"/>
      <c r="AR83" s="9"/>
      <c r="AS83" s="31" t="str">
        <f>IF(AR83/(INDEX('Standards for Conversions'!$H$34:$H$73,MATCH(AQ$3,'Standards for Conversions'!$A$34:$A$73,0)))=0,"",AR83/(INDEX('Standards for Conversions'!$H$34:$H$73,MATCH(AQ$3,'Standards for Conversions'!$A$34:$A$73,0))))</f>
        <v/>
      </c>
      <c r="AT83" s="10" t="s">
        <v>38</v>
      </c>
      <c r="AU83" s="7"/>
      <c r="AV83" s="7"/>
      <c r="AW83" s="31" t="str">
        <f>IF(AV83/(INDEX('Standards for Conversions'!$H$34:$H$73,MATCH(AU$3,'Standards for Conversions'!$A$34:$A$73,0)))=0,"",AV83/(INDEX('Standards for Conversions'!$H$34:$H$73,MATCH(AU$3,'Standards for Conversions'!$A$34:$A$73,0))))</f>
        <v/>
      </c>
      <c r="AX83" s="10" t="s">
        <v>38</v>
      </c>
      <c r="AY83" s="7"/>
      <c r="AZ83" s="7"/>
      <c r="BA83" s="31" t="str">
        <f>IF(AZ83/(INDEX('Standards for Conversions'!$H$34:$H$73,MATCH(AY$3,'Standards for Conversions'!$A$34:$A$73,0)))=0,"",AZ83/(INDEX('Standards for Conversions'!$H$34:$H$73,MATCH(AY$3,'Standards for Conversions'!$A$34:$A$73,0))))</f>
        <v/>
      </c>
      <c r="BB83" s="10" t="s">
        <v>38</v>
      </c>
      <c r="BC83" s="7"/>
      <c r="BD83" s="7"/>
      <c r="BE83" s="31" t="str">
        <f>IF(BD83/(INDEX('Standards for Conversions'!$H$34:$H$73,MATCH(BC$3,'Standards for Conversions'!$A$34:$A$73,0)))=0,"",BD83/(INDEX('Standards for Conversions'!$H$34:$H$73,MATCH(BC$3,'Standards for Conversions'!$A$34:$A$73,0))))</f>
        <v/>
      </c>
      <c r="BF83" s="10" t="s">
        <v>38</v>
      </c>
      <c r="BG83" s="9"/>
      <c r="BH83" s="9"/>
      <c r="BI83" s="31" t="str">
        <f>IF(BH83/(INDEX('Standards for Conversions'!$H$34:$H$73,MATCH(BG$3,'Standards for Conversions'!$A$34:$A$73,0)))=0,"",BH83/(INDEX('Standards for Conversions'!$H$34:$H$73,MATCH(BG$3,'Standards for Conversions'!$A$34:$A$73,0))))</f>
        <v/>
      </c>
      <c r="BJ83" s="10" t="s">
        <v>38</v>
      </c>
      <c r="BK83" s="7"/>
      <c r="BL83" s="7"/>
      <c r="BM83" s="31" t="str">
        <f>IF(BL83/(INDEX('Standards for Conversions'!$H$34:$H$73,MATCH(BK$3,'Standards for Conversions'!$A$34:$A$73,0)))=0,"",BL83/(INDEX('Standards for Conversions'!$H$34:$H$73,MATCH(BK$3,'Standards for Conversions'!$A$34:$A$73,0))))</f>
        <v/>
      </c>
      <c r="BN83" s="10" t="s">
        <v>38</v>
      </c>
      <c r="BO83" s="7"/>
      <c r="BP83" s="7"/>
      <c r="BQ83" s="31" t="str">
        <f>IF(BP83/(INDEX('Standards for Conversions'!$H$34:$H$73,MATCH(BO$3,'Standards for Conversions'!$A$34:$A$73,0)))=0,"",BP83/(INDEX('Standards for Conversions'!$H$34:$H$73,MATCH(BO$3,'Standards for Conversions'!$A$34:$A$73,0))))</f>
        <v/>
      </c>
      <c r="BR83" s="10" t="s">
        <v>38</v>
      </c>
      <c r="BS83" s="7"/>
      <c r="BT83" s="7"/>
      <c r="BU83" s="31" t="str">
        <f>IF(BT83/(INDEX('Standards for Conversions'!$H$34:$H$73,MATCH(BS$3,'Standards for Conversions'!$A$34:$A$73,0)))=0,"",BT83/(INDEX('Standards for Conversions'!$H$34:$H$73,MATCH(BS$3,'Standards for Conversions'!$A$34:$A$73,0))))</f>
        <v/>
      </c>
      <c r="BV83" s="10" t="s">
        <v>38</v>
      </c>
      <c r="BW83" s="9"/>
      <c r="BX83" s="9"/>
      <c r="BY83" s="31" t="str">
        <f>IF(BX83/(INDEX('Standards for Conversions'!$H$34:$H$73,MATCH(BW$3,'Standards for Conversions'!$A$34:$A$73,0)))=0,"",BX83/(INDEX('Standards for Conversions'!$H$34:$H$73,MATCH(BW$3,'Standards for Conversions'!$A$34:$A$73,0))))</f>
        <v/>
      </c>
      <c r="BZ83" s="10" t="s">
        <v>38</v>
      </c>
      <c r="CA83" s="7"/>
      <c r="CB83" s="7"/>
      <c r="CC83" s="31" t="str">
        <f>IF(CB83/(INDEX('Standards for Conversions'!$H$34:$H$73,MATCH(CA$3,'Standards for Conversions'!$A$34:$A$73,0)))=0,"",CB83/(INDEX('Standards for Conversions'!$H$34:$H$73,MATCH(CA$3,'Standards for Conversions'!$A$34:$A$73,0))))</f>
        <v/>
      </c>
      <c r="CD83" s="10" t="s">
        <v>38</v>
      </c>
      <c r="CE83" s="7"/>
      <c r="CF83" s="7"/>
      <c r="CG83" s="31" t="str">
        <f>IF(CF83/(INDEX('Standards for Conversions'!$H$34:$H$73,MATCH(CE$3,'Standards for Conversions'!$A$34:$A$73,0)))=0,"",CF83/(INDEX('Standards for Conversions'!$H$34:$H$73,MATCH(CE$3,'Standards for Conversions'!$A$34:$A$73,0))))</f>
        <v/>
      </c>
      <c r="CH83" s="10" t="s">
        <v>38</v>
      </c>
      <c r="CI83" s="7"/>
      <c r="CJ83" s="7"/>
      <c r="CK83" s="31" t="str">
        <f>IF(CJ83/(INDEX('Standards for Conversions'!$H$34:$H$73,MATCH(CI$3,'Standards for Conversions'!$A$34:$A$73,0)))=0,"",CJ83/(INDEX('Standards for Conversions'!$H$34:$H$73,MATCH(CI$3,'Standards for Conversions'!$A$34:$A$73,0))))</f>
        <v/>
      </c>
      <c r="CL83" s="10" t="s">
        <v>38</v>
      </c>
      <c r="CM83" s="9"/>
      <c r="CN83" s="9"/>
      <c r="CO83" s="31" t="str">
        <f>IF(CN83/(INDEX('Standards for Conversions'!$H$34:$H$73,MATCH(CM$3,'Standards for Conversions'!$A$34:$A$73,0)))=0,"",CN83/(INDEX('Standards for Conversions'!$H$34:$H$73,MATCH(CM$3,'Standards for Conversions'!$A$34:$A$73,0))))</f>
        <v/>
      </c>
      <c r="CP83" s="10" t="s">
        <v>38</v>
      </c>
      <c r="CQ83" s="7"/>
      <c r="CR83" s="7"/>
      <c r="CS83" s="31" t="str">
        <f>IF(CR83/(INDEX('Standards for Conversions'!$H$34:$H$73,MATCH(CQ$3,'Standards for Conversions'!$A$34:$A$73,0)))=0,"",CR83/(INDEX('Standards for Conversions'!$H$34:$H$73,MATCH(CQ$3,'Standards for Conversions'!$A$34:$A$73,0))))</f>
        <v/>
      </c>
      <c r="CT83" s="10" t="s">
        <v>38</v>
      </c>
      <c r="CU83" s="7"/>
      <c r="CV83" s="7"/>
      <c r="CW83" s="31" t="str">
        <f>IF(CV83/(INDEX('Standards for Conversions'!$H$34:$H$73,MATCH(CU$3,'Standards for Conversions'!$A$34:$A$73,0)))=0,"",CV83/(INDEX('Standards for Conversions'!$H$34:$H$73,MATCH(CU$3,'Standards for Conversions'!$A$34:$A$73,0))))</f>
        <v/>
      </c>
      <c r="CX83" s="10" t="s">
        <v>38</v>
      </c>
      <c r="CY83" s="7"/>
      <c r="CZ83" s="7"/>
      <c r="DA83" s="31" t="str">
        <f>IF(CZ83/(INDEX('Standards for Conversions'!$H$34:$H$73,MATCH(CY$3,'Standards for Conversions'!$A$34:$A$73,0)))=0,"",CZ83/(INDEX('Standards for Conversions'!$H$34:$H$73,MATCH(CY$3,'Standards for Conversions'!$A$34:$A$73,0))))</f>
        <v/>
      </c>
      <c r="DB83" s="10" t="s">
        <v>38</v>
      </c>
      <c r="DC83" s="9"/>
      <c r="DD83" s="9"/>
      <c r="DE83" s="31" t="str">
        <f>IF(DD83/(INDEX('Standards for Conversions'!$H$34:$H$73,MATCH(DC$3,'Standards for Conversions'!$A$34:$A$73,0)))=0,"",DD83/(INDEX('Standards for Conversions'!$H$34:$H$73,MATCH(DC$3,'Standards for Conversions'!$A$34:$A$73,0))))</f>
        <v/>
      </c>
      <c r="DF83" s="10" t="s">
        <v>38</v>
      </c>
      <c r="DG83" s="7"/>
      <c r="DH83" s="7"/>
      <c r="DI83" s="31" t="str">
        <f>IF(DH83/(INDEX('Standards for Conversions'!$H$34:$H$73,MATCH(DG$3,'Standards for Conversions'!$A$34:$A$73,0)))=0,"",DH83/(INDEX('Standards for Conversions'!$H$34:$H$73,MATCH(DG$3,'Standards for Conversions'!$A$34:$A$73,0))))</f>
        <v/>
      </c>
      <c r="DJ83" s="10" t="s">
        <v>38</v>
      </c>
      <c r="DK83" s="7"/>
      <c r="DL83" s="7"/>
      <c r="DM83" s="31" t="str">
        <f>IF(DL83/(INDEX('Standards for Conversions'!$H$34:$H$73,MATCH(DK$3,'Standards for Conversions'!$A$34:$A$73,0)))=0,"",DL83/(INDEX('Standards for Conversions'!$H$34:$H$73,MATCH(DK$3,'Standards for Conversions'!$A$34:$A$73,0))))</f>
        <v/>
      </c>
      <c r="DN83" s="10" t="s">
        <v>38</v>
      </c>
      <c r="DO83" s="7"/>
      <c r="DP83" s="7"/>
      <c r="DQ83" s="31" t="str">
        <f>IF(DP83/(INDEX('Standards for Conversions'!$H$34:$H$73,MATCH(DO$3,'Standards for Conversions'!$A$34:$A$73,0)))=0,"",DP83/(INDEX('Standards for Conversions'!$H$34:$H$73,MATCH(DO$3,'Standards for Conversions'!$A$34:$A$73,0))))</f>
        <v/>
      </c>
      <c r="DR83" s="10" t="s">
        <v>38</v>
      </c>
      <c r="DS83" s="9"/>
      <c r="DT83" s="9"/>
      <c r="DU83" s="31" t="str">
        <f>IF(DT83/(INDEX('Standards for Conversions'!$H$34:$H$73,MATCH(DS$3,'Standards for Conversions'!$A$34:$A$73,0)))=0,"",DT83/(INDEX('Standards for Conversions'!$H$34:$H$73,MATCH(DS$3,'Standards for Conversions'!$A$34:$A$73,0))))</f>
        <v/>
      </c>
      <c r="DV83" s="10" t="s">
        <v>38</v>
      </c>
      <c r="DW83" s="7"/>
      <c r="DX83" s="7"/>
      <c r="DY83" s="31" t="str">
        <f>IF(DX83/(INDEX('Standards for Conversions'!$H$34:$H$73,MATCH(DW$3,'Standards for Conversions'!$A$34:$A$73,0)))=0,"",DX83/(INDEX('Standards for Conversions'!$H$34:$H$73,MATCH(DW$3,'Standards for Conversions'!$A$34:$A$73,0))))</f>
        <v/>
      </c>
      <c r="DZ83" s="10" t="s">
        <v>38</v>
      </c>
      <c r="EA83" s="7"/>
      <c r="EB83" s="7"/>
      <c r="EC83" s="31" t="str">
        <f>IF(EB83/(INDEX('Standards for Conversions'!$H$34:$H$73,MATCH(EA$3,'Standards for Conversions'!$A$34:$A$73,0)))=0,"",EB83/(INDEX('Standards for Conversions'!$H$34:$H$73,MATCH(EA$3,'Standards for Conversions'!$A$34:$A$73,0))))</f>
        <v/>
      </c>
      <c r="ED83" s="10" t="s">
        <v>38</v>
      </c>
      <c r="EE83" s="7"/>
      <c r="EF83" s="7"/>
      <c r="EG83" s="31" t="str">
        <f>IF(EF83/(INDEX('Standards for Conversions'!$H$34:$H$73,MATCH(EE$3,'Standards for Conversions'!$A$34:$A$73,0)))=0,"",EF83/(INDEX('Standards for Conversions'!$H$34:$H$73,MATCH(EE$3,'Standards for Conversions'!$A$34:$A$73,0))))</f>
        <v/>
      </c>
      <c r="EH83" s="10" t="s">
        <v>38</v>
      </c>
      <c r="EI83" s="9"/>
      <c r="EJ83" s="9"/>
      <c r="EK83" s="31" t="str">
        <f>IF(EJ83/(INDEX('Standards for Conversions'!$H$34:$H$73,MATCH(EI$3,'Standards for Conversions'!$A$34:$A$73,0)))=0,"",EJ83/(INDEX('Standards for Conversions'!$H$34:$H$73,MATCH(EI$3,'Standards for Conversions'!$A$34:$A$73,0))))</f>
        <v/>
      </c>
      <c r="EL83" s="10" t="s">
        <v>38</v>
      </c>
      <c r="EM83" s="7"/>
      <c r="EN83" s="7"/>
      <c r="EO83" s="31" t="str">
        <f>IF(EN83/(INDEX('Standards for Conversions'!$H$34:$H$73,MATCH(EM$3,'Standards for Conversions'!$A$34:$A$73,0)))=0,"",EN83/(INDEX('Standards for Conversions'!$H$34:$H$73,MATCH(EM$3,'Standards for Conversions'!$A$34:$A$73,0))))</f>
        <v/>
      </c>
      <c r="EP83" s="10" t="s">
        <v>38</v>
      </c>
      <c r="EQ83" s="7"/>
      <c r="ER83" s="7"/>
      <c r="ES83" s="31" t="str">
        <f>IF(ER83/(INDEX('Standards for Conversions'!$H$34:$H$73,MATCH(EQ$3,'Standards for Conversions'!$A$34:$A$73,0)))=0,"",ER83/(INDEX('Standards for Conversions'!$H$34:$H$73,MATCH(EQ$3,'Standards for Conversions'!$A$34:$A$73,0))))</f>
        <v/>
      </c>
      <c r="ET83" s="10" t="s">
        <v>38</v>
      </c>
      <c r="EU83" s="7"/>
      <c r="EV83" s="7"/>
      <c r="EW83" s="31" t="str">
        <f>IF(EV83/(INDEX('Standards for Conversions'!$H$34:$H$73,MATCH(EU$3,'Standards for Conversions'!$A$34:$A$73,0)))=0,"",EV83/(INDEX('Standards for Conversions'!$H$34:$H$73,MATCH(EU$3,'Standards for Conversions'!$A$34:$A$73,0))))</f>
        <v/>
      </c>
      <c r="EX83" s="10" t="s">
        <v>38</v>
      </c>
      <c r="EY83" s="9"/>
      <c r="EZ83" s="9"/>
      <c r="FA83" s="31" t="str">
        <f>IF(EZ83/(INDEX('Standards for Conversions'!$H$34:$H$73,MATCH(EY$3,'Standards for Conversions'!$A$34:$A$73,0)))=0,"",EZ83/(INDEX('Standards for Conversions'!$H$34:$H$73,MATCH(EY$3,'Standards for Conversions'!$A$34:$A$73,0))))</f>
        <v/>
      </c>
      <c r="FB83" s="10" t="s">
        <v>38</v>
      </c>
      <c r="FC83" s="7"/>
      <c r="FD83" s="7"/>
      <c r="FE83" s="31" t="str">
        <f>IF(FD83/(INDEX('Standards for Conversions'!$H$34:$H$73,MATCH(FC$3,'Standards for Conversions'!$A$34:$A$73,0)))=0,"",FD83/(INDEX('Standards for Conversions'!$H$34:$H$73,MATCH(FC$3,'Standards for Conversions'!$A$34:$A$73,0))))</f>
        <v/>
      </c>
      <c r="FF83" s="10" t="s">
        <v>38</v>
      </c>
      <c r="FG83" s="7"/>
      <c r="FH83" s="7"/>
      <c r="FI83" s="31" t="str">
        <f>IF(FH83/(INDEX('Standards for Conversions'!$H$34:$H$73,MATCH(FG$3,'Standards for Conversions'!$A$34:$A$73,0)))=0,"",FH83/(INDEX('Standards for Conversions'!$H$34:$H$73,MATCH(FG$3,'Standards for Conversions'!$A$34:$A$73,0))))</f>
        <v/>
      </c>
      <c r="FJ83" s="10" t="s">
        <v>38</v>
      </c>
      <c r="FK83" s="7"/>
      <c r="FL83" s="7"/>
      <c r="FM83" s="31" t="str">
        <f>IF(FL83/(INDEX('Standards for Conversions'!$H$34:$H$73,MATCH(FK$3,'Standards for Conversions'!$A$34:$A$73,0)))=0,"",FL83/(INDEX('Standards for Conversions'!$H$34:$H$73,MATCH(FK$3,'Standards for Conversions'!$A$34:$A$73,0))))</f>
        <v/>
      </c>
      <c r="FN83" s="10" t="s">
        <v>38</v>
      </c>
      <c r="FO83" s="9"/>
      <c r="FP83" s="9"/>
      <c r="FQ83" s="31" t="str">
        <f>IF(FP83/(INDEX('Standards for Conversions'!$H$34:$H$73,MATCH(FO$3,'Standards for Conversions'!$A$34:$A$73,0)))=0,"",FP83/(INDEX('Standards for Conversions'!$H$34:$H$73,MATCH(FO$3,'Standards for Conversions'!$A$34:$A$73,0))))</f>
        <v/>
      </c>
      <c r="FR83" s="10" t="s">
        <v>38</v>
      </c>
      <c r="FS83" s="7"/>
      <c r="FT83" s="7"/>
      <c r="FU83" s="31" t="str">
        <f>IF(FT83/(INDEX('Standards for Conversions'!$H$34:$H$73,MATCH(FS$3,'Standards for Conversions'!$A$34:$A$73,0)))=0,"",FT83/(INDEX('Standards for Conversions'!$H$34:$H$73,MATCH(FS$3,'Standards for Conversions'!$A$34:$A$73,0))))</f>
        <v/>
      </c>
      <c r="FV83" s="10" t="s">
        <v>38</v>
      </c>
      <c r="FW83" s="7"/>
      <c r="FX83" s="7"/>
      <c r="FY83" s="31" t="str">
        <f>IF(FX83/(INDEX('Standards for Conversions'!$H$34:$H$73,MATCH(FW$3,'Standards for Conversions'!$A$34:$A$73,0)))=0,"",FX83/(INDEX('Standards for Conversions'!$H$34:$H$73,MATCH(FW$3,'Standards for Conversions'!$A$34:$A$73,0))))</f>
        <v/>
      </c>
      <c r="FZ83" s="10" t="s">
        <v>38</v>
      </c>
      <c r="GA83" s="7"/>
      <c r="GB83" s="7"/>
      <c r="GC83" s="31" t="str">
        <f>IF(GB83/(INDEX('Standards for Conversions'!$H$34:$H$73,MATCH(GA$3,'Standards for Conversions'!$A$34:$A$73,0)))=0,"",GB83/(INDEX('Standards for Conversions'!$H$34:$H$73,MATCH(GA$3,'Standards for Conversions'!$A$34:$A$73,0))))</f>
        <v/>
      </c>
      <c r="GD83" s="10" t="s">
        <v>38</v>
      </c>
      <c r="GE83" s="9"/>
      <c r="GF83" s="9"/>
      <c r="GG83" s="31" t="str">
        <f>IF(GF83/(INDEX('Standards for Conversions'!$H$34:$H$73,MATCH(GE$3,'Standards for Conversions'!$A$34:$A$73,0)))=0,"",GF83/(INDEX('Standards for Conversions'!$H$34:$H$73,MATCH(GE$3,'Standards for Conversions'!$A$34:$A$73,0))))</f>
        <v/>
      </c>
      <c r="GH83" s="10" t="s">
        <v>38</v>
      </c>
      <c r="GI83" s="7"/>
      <c r="GJ83" s="7"/>
      <c r="GK83" s="31" t="str">
        <f>IF(GJ83/(INDEX('Standards for Conversions'!$H$34:$H$73,MATCH(GI$3,'Standards for Conversions'!$A$34:$A$73,0)))=0,"",GJ83/(INDEX('Standards for Conversions'!$H$34:$H$73,MATCH(GI$3,'Standards for Conversions'!$A$34:$A$73,0))))</f>
        <v/>
      </c>
      <c r="GL83" s="10" t="s">
        <v>38</v>
      </c>
      <c r="GM83" s="7"/>
      <c r="GN83" s="7"/>
      <c r="GO83" s="31" t="str">
        <f>IF(GN83/(INDEX('Standards for Conversions'!$H$34:$H$73,MATCH(GM$3,'Standards for Conversions'!$A$34:$A$73,0)))=0,"",GN83/(INDEX('Standards for Conversions'!$H$34:$H$73,MATCH(GM$3,'Standards for Conversions'!$A$34:$A$73,0))))</f>
        <v/>
      </c>
      <c r="GP83" s="10" t="s">
        <v>38</v>
      </c>
      <c r="GQ83" s="7"/>
      <c r="GR83" s="7"/>
      <c r="GS83" s="31" t="str">
        <f>IF(GR83/(INDEX('Standards for Conversions'!$H$34:$H$73,MATCH(GQ$3,'Standards for Conversions'!$A$34:$A$73,0)))=0,"",GR83/(INDEX('Standards for Conversions'!$H$34:$H$73,MATCH(GQ$3,'Standards for Conversions'!$A$34:$A$73,0))))</f>
        <v/>
      </c>
      <c r="GT83" s="10" t="s">
        <v>38</v>
      </c>
      <c r="GU83" s="9"/>
      <c r="GV83" s="9"/>
      <c r="GW83" s="31" t="str">
        <f>IF(GV83/(INDEX('Standards for Conversions'!$H$34:$H$73,MATCH(GU$3,'Standards for Conversions'!$A$34:$A$73,0)))=0,"",GV83/(INDEX('Standards for Conversions'!$H$34:$H$73,MATCH(GU$3,'Standards for Conversions'!$A$34:$A$73,0))))</f>
        <v/>
      </c>
      <c r="GX83" s="10" t="s">
        <v>38</v>
      </c>
      <c r="GY83" s="7"/>
      <c r="GZ83" s="7"/>
      <c r="HA83" s="31" t="str">
        <f>IF(GZ83/(INDEX('Standards for Conversions'!$H$34:$H$73,MATCH(GY$3,'Standards for Conversions'!$A$34:$A$73,0)))=0,"",GZ83/(INDEX('Standards for Conversions'!$H$34:$H$73,MATCH(GY$3,'Standards for Conversions'!$A$34:$A$73,0))))</f>
        <v/>
      </c>
      <c r="HB83" s="10" t="s">
        <v>38</v>
      </c>
      <c r="HC83" s="7"/>
      <c r="HD83" s="7"/>
      <c r="HE83" s="31" t="str">
        <f>IF(HD83/(INDEX('Standards for Conversions'!$H$34:$H$73,MATCH(HC$3,'Standards for Conversions'!$A$34:$A$73,0)))=0,"",HD83/(INDEX('Standards for Conversions'!$H$34:$H$73,MATCH(HC$3,'Standards for Conversions'!$A$34:$A$73,0))))</f>
        <v/>
      </c>
      <c r="HF83" s="10" t="s">
        <v>38</v>
      </c>
      <c r="HG83" s="7"/>
      <c r="HH83" s="7"/>
      <c r="HI83" s="31" t="str">
        <f>IF(HH83/(INDEX('Standards for Conversions'!$H$34:$H$73,MATCH(HG$3,'Standards for Conversions'!$A$34:$A$73,0)))=0,"",HH83/(INDEX('Standards for Conversions'!$H$34:$H$73,MATCH(HG$3,'Standards for Conversions'!$A$34:$A$73,0))))</f>
        <v/>
      </c>
      <c r="HJ83" s="10" t="s">
        <v>38</v>
      </c>
      <c r="HK83" s="9"/>
      <c r="HL83" s="9"/>
      <c r="HM83" s="31" t="str">
        <f>IF(HL83/(INDEX('Standards for Conversions'!$H$34:$H$73,MATCH(HK$3,'Standards for Conversions'!$A$34:$A$73,0)))=0,"",HL83/(INDEX('Standards for Conversions'!$H$34:$H$73,MATCH(HK$3,'Standards for Conversions'!$A$34:$A$73,0))))</f>
        <v/>
      </c>
      <c r="HN83" s="10" t="s">
        <v>38</v>
      </c>
      <c r="HO83" s="7"/>
      <c r="HP83" s="7"/>
      <c r="HQ83" s="31" t="str">
        <f>IF(HP83/(INDEX('Standards for Conversions'!$H$34:$H$73,MATCH(HO$3,'Standards for Conversions'!$A$34:$A$73,0)))=0,"",HP83/(INDEX('Standards for Conversions'!$H$34:$H$73,MATCH(HO$3,'Standards for Conversions'!$A$34:$A$73,0))))</f>
        <v/>
      </c>
      <c r="HR83" s="33" t="s">
        <v>38</v>
      </c>
      <c r="HU83" s="31" t="str">
        <f>IF(HT83/(INDEX('Standards for Conversions'!$H$47:$H$73,MATCH(HS$3,'Standards for Conversions'!$A$47:$A$73,0)))=0,"",HT83/(INDEX('Standards for Conversions'!$H$47:$H$73,MATCH(HS$3,'Standards for Conversions'!$A$47:$A$73,0))))</f>
        <v/>
      </c>
      <c r="HV83" s="33" t="s">
        <v>38</v>
      </c>
      <c r="HY83" s="31" t="str">
        <f>IF(HX83/(INDEX('Standards for Conversions'!$H$47:$H$73,MATCH(HW$3,'Standards for Conversions'!$A$47:$A$73,0)))=0,"",HX83/(INDEX('Standards for Conversions'!$H$47:$H$73,MATCH(HW$3,'Standards for Conversions'!$A$47:$A$73,0))))</f>
        <v/>
      </c>
      <c r="HZ83" s="33"/>
      <c r="IA83" s="33"/>
      <c r="IB83" s="31" t="str">
        <f>IF(IA83/(INDEX('Standards for Conversions'!$H$47:$H$73,MATCH(HZ$3,'Standards for Conversions'!$A$47:$A$73,0)))=0,"",IA83/(INDEX('Standards for Conversions'!$H$47:$H$73,MATCH(HZ$3,'Standards for Conversions'!$A$47:$A$73,0))))</f>
        <v/>
      </c>
      <c r="IC83" s="33" t="s">
        <v>38</v>
      </c>
      <c r="ID83" s="29">
        <v>60</v>
      </c>
      <c r="IE83" s="29">
        <v>300</v>
      </c>
      <c r="IF83" s="31">
        <f>IF(IE83/(INDEX('Standards for Conversions'!$H$47:$H$73,MATCH(ID$3,'Standards for Conversions'!$A$47:$A$73,0)))=0,"",IE83/(INDEX('Standards for Conversions'!$H$47:$H$73,MATCH(ID$3,'Standards for Conversions'!$A$47:$A$73,0))))</f>
        <v>43.573623663856786</v>
      </c>
      <c r="IG83" s="33" t="s">
        <v>38</v>
      </c>
      <c r="IJ83" s="31" t="str">
        <f>IF(II83/(INDEX('Standards for Conversions'!$H$47:$H$73,MATCH(IH$3,'Standards for Conversions'!$A$47:$A$73,0)))=0,"",II83/(INDEX('Standards for Conversions'!$H$47:$H$73,MATCH(IH$3,'Standards for Conversions'!$A$47:$A$73,0))))</f>
        <v/>
      </c>
      <c r="IK83" s="33" t="s">
        <v>38</v>
      </c>
      <c r="IN83" s="31" t="str">
        <f>IF(IM83/(INDEX('Standards for Conversions'!$H$47:$H$73,MATCH(IL$3,'Standards for Conversions'!$A$47:$A$73,0)))=0,"",IM83/(INDEX('Standards for Conversions'!$H$47:$H$73,MATCH(IL$3,'Standards for Conversions'!$A$47:$A$73,0))))</f>
        <v/>
      </c>
      <c r="IO83" s="33" t="s">
        <v>38</v>
      </c>
      <c r="IR83" s="31" t="str">
        <f>IF(IQ83/(INDEX('Standards for Conversions'!$H$47:$H$73,MATCH(IP$3,'Standards for Conversions'!$A$47:$A$73,0)))=0,"",IQ83/(INDEX('Standards for Conversions'!$H$47:$H$73,MATCH(IP$3,'Standards for Conversions'!$A$47:$A$73,0))))</f>
        <v/>
      </c>
      <c r="IS83" s="33" t="s">
        <v>38</v>
      </c>
      <c r="IT83" s="29">
        <v>95</v>
      </c>
      <c r="IU83" s="29">
        <v>325</v>
      </c>
      <c r="IV83" s="31">
        <f>IF(IU83/(INDEX('Standards for Conversions'!$H$47:$H$73,MATCH(IT$3,'Standards for Conversions'!$A$47:$A$73,0)))=0,"",IU83/(INDEX('Standards for Conversions'!$H$47:$H$73,MATCH(IT$3,'Standards for Conversions'!$A$47:$A$73,0))))</f>
        <v>46.998324163190517</v>
      </c>
      <c r="IW83" s="33" t="s">
        <v>38</v>
      </c>
      <c r="IZ83" s="31" t="str">
        <f>IF(IY83/(INDEX('Standards for Conversions'!$H$47:$H$73,MATCH(IX$3,'Standards for Conversions'!$A$47:$A$73,0)))=0,"",IY83/(INDEX('Standards for Conversions'!$H$47:$H$73,MATCH(IX$3,'Standards for Conversions'!$A$47:$A$73,0))))</f>
        <v/>
      </c>
      <c r="JA83" s="33" t="s">
        <v>38</v>
      </c>
      <c r="JD83" s="31" t="str">
        <f>IF(JC83/(INDEX('Standards for Conversions'!$H$47:$H$73,MATCH(JB$3,'Standards for Conversions'!$A$47:$A$73,0)))=0,"",JC83/(INDEX('Standards for Conversions'!$H$47:$H$73,MATCH(JB$3,'Standards for Conversions'!$A$47:$A$73,0))))</f>
        <v/>
      </c>
      <c r="JE83" s="33" t="s">
        <v>38</v>
      </c>
      <c r="JH83" s="31" t="str">
        <f>IF(JG83/(INDEX('Standards for Conversions'!$H$47:$H$73,MATCH(JF$3,'Standards for Conversions'!$A$47:$A$73,0)))=0,"",JG83/(INDEX('Standards for Conversions'!$H$47:$H$73,MATCH(JF$3,'Standards for Conversions'!$A$47:$A$73,0))))</f>
        <v/>
      </c>
      <c r="JI83" s="48" t="s">
        <v>38</v>
      </c>
      <c r="JJ83" s="29">
        <v>30</v>
      </c>
      <c r="JK83" s="29">
        <v>170</v>
      </c>
      <c r="JL83" s="31">
        <f>IF(JK83/(INDEX('Standards for Conversions'!$H$47:$H$73,MATCH(JJ$3,'Standards for Conversions'!$A$47:$A$73,0)))=0,"",JK83/(INDEX('Standards for Conversions'!$H$47:$H$73,MATCH(JJ$3,'Standards for Conversions'!$A$47:$A$73,0))))</f>
        <v>27.499233437617679</v>
      </c>
      <c r="JM83" s="33" t="s">
        <v>38</v>
      </c>
      <c r="JP83" s="31" t="str">
        <f>IF(JO83/(INDEX('Standards for Conversions'!$H$47:$H$73,MATCH(JN$3,'Standards for Conversions'!$A$47:$A$73,0)))=0,"",JO83/(INDEX('Standards for Conversions'!$H$47:$H$73,MATCH(JN$3,'Standards for Conversions'!$A$47:$A$73,0))))</f>
        <v/>
      </c>
      <c r="JQ83" s="33" t="s">
        <v>38</v>
      </c>
      <c r="JT83" s="31" t="str">
        <f>IF(JS83/(INDEX('Standards for Conversions'!$H$47:$H$73,MATCH(JR$3,'Standards for Conversions'!$A$47:$A$73,0)))=0,"",JS83/(INDEX('Standards for Conversions'!$H$47:$H$73,MATCH(JR$3,'Standards for Conversions'!$A$47:$A$73,0))))</f>
        <v/>
      </c>
      <c r="JU83" s="33" t="s">
        <v>38</v>
      </c>
      <c r="JX83" s="31" t="str">
        <f>IF(JW83/(INDEX('Standards for Conversions'!$H$47:$H$73,MATCH(JV$3,'Standards for Conversions'!$A$47:$A$73,0)))=0,"",JW83/(INDEX('Standards for Conversions'!$H$47:$H$73,MATCH(JV$3,'Standards for Conversions'!$A$47:$A$73,0))))</f>
        <v/>
      </c>
      <c r="JY83" s="33" t="s">
        <v>38</v>
      </c>
      <c r="JZ83" s="29">
        <v>25</v>
      </c>
      <c r="KA83" s="29">
        <v>150</v>
      </c>
      <c r="KB83" s="31">
        <f>IF(KA83/(INDEX('Standards for Conversions'!$H$47:$H$73,MATCH(JZ$3,'Standards for Conversions'!$A$47:$A$73,0)))=0,"",KA83/(INDEX('Standards for Conversions'!$H$47:$H$73,MATCH(JZ$3,'Standards for Conversions'!$A$47:$A$73,0))))</f>
        <v>22.898383864169634</v>
      </c>
      <c r="KC83" s="33" t="s">
        <v>38</v>
      </c>
      <c r="KF83" s="31" t="str">
        <f>IF(KE83/(INDEX('Standards for Conversions'!$H$47:$H$73,MATCH(KD$3,'Standards for Conversions'!$A$47:$A$73,0)))=0,"",KE83/(INDEX('Standards for Conversions'!$H$47:$H$73,MATCH(KD$3,'Standards for Conversions'!$A$47:$A$73,0))))</f>
        <v/>
      </c>
      <c r="KG83" s="33" t="s">
        <v>38</v>
      </c>
      <c r="KJ83" s="31" t="str">
        <f>IF(KI83/(INDEX('Standards for Conversions'!$H$47:$H$73,MATCH(KH$3,'Standards for Conversions'!$A$47:$A$73,0)))=0,"",KI83/(INDEX('Standards for Conversions'!$H$47:$H$73,MATCH(KH$3,'Standards for Conversions'!$A$47:$A$73,0))))</f>
        <v/>
      </c>
      <c r="KK83" s="33" t="s">
        <v>38</v>
      </c>
      <c r="KN83" s="31" t="str">
        <f>IF(KM83/(INDEX('Standards for Conversions'!$H$47:$H$73,MATCH(KL$3,'Standards for Conversions'!$A$47:$A$73,0)))=0,"",KM83/(INDEX('Standards for Conversions'!$H$47:$H$73,MATCH(KL$3,'Standards for Conversions'!$A$47:$A$73,0))))</f>
        <v/>
      </c>
      <c r="KO83" s="33" t="s">
        <v>38</v>
      </c>
      <c r="KP83" s="29">
        <v>85</v>
      </c>
      <c r="KQ83" s="29">
        <v>400</v>
      </c>
      <c r="KR83" s="31">
        <f>IF(KQ83/(INDEX('Standards for Conversions'!$H$47:$H$73,MATCH(KP$3,'Standards for Conversions'!$A$47:$A$73,0)))=0,"",KQ83/(INDEX('Standards for Conversions'!$H$47:$H$73,MATCH(KP$3,'Standards for Conversions'!$A$47:$A$73,0))))</f>
        <v>53.863604762318587</v>
      </c>
      <c r="KS83" s="33" t="s">
        <v>38</v>
      </c>
      <c r="KV83" s="31" t="str">
        <f>IF(KU83/(INDEX('Standards for Conversions'!$H$47:$H$73,MATCH(KT$3,'Standards for Conversions'!$A$47:$A$73,0)))=0,"",KU83/(INDEX('Standards for Conversions'!$H$47:$H$73,MATCH(KT$3,'Standards for Conversions'!$A$47:$A$73,0))))</f>
        <v/>
      </c>
      <c r="KW83" s="33" t="s">
        <v>38</v>
      </c>
      <c r="KZ83" s="31" t="str">
        <f>IF(KY83/(INDEX('Standards for Conversions'!$H$47:$H$73,MATCH(KX$3,'Standards for Conversions'!$A$47:$A$73,0)))=0,"",KY83/(INDEX('Standards for Conversions'!$H$47:$H$73,MATCH(KX$3,'Standards for Conversions'!$A$47:$A$73,0))))</f>
        <v/>
      </c>
      <c r="LA83" s="33" t="s">
        <v>38</v>
      </c>
      <c r="LD83" s="31" t="str">
        <f>IF(LC83/(INDEX('Standards for Conversions'!$H$47:$H$73,MATCH(LB$3,'Standards for Conversions'!$A$47:$A$73,0)))=0,"",LC83/(INDEX('Standards for Conversions'!$H$47:$H$73,MATCH(LB$3,'Standards for Conversions'!$A$47:$A$73,0))))</f>
        <v/>
      </c>
      <c r="LE83" s="48" t="s">
        <v>38</v>
      </c>
      <c r="LF83" s="29">
        <v>25</v>
      </c>
      <c r="LG83" s="29">
        <v>140</v>
      </c>
      <c r="LH83" s="31">
        <f>IF(LG83/(INDEX('Standards for Conversions'!$H$47:$H$73,MATCH(LF$3,'Standards for Conversions'!$A$47:$A$73,0)))=0,"",LG83/(INDEX('Standards for Conversions'!$H$47:$H$73,MATCH(LF$3,'Standards for Conversions'!$A$47:$A$73,0))))</f>
        <v>17.026319341849884</v>
      </c>
      <c r="LL83" s="31" t="str">
        <f>IF(LK83/(INDEX('Standards for Conversions'!$H$47:$H$73,MATCH(LJ$3,'Standards for Conversions'!$A$47:$A$73,0)))=0,"",LK83/(INDEX('Standards for Conversions'!$H$47:$H$73,MATCH(LJ$3,'Standards for Conversions'!$A$47:$A$73,0))))</f>
        <v/>
      </c>
      <c r="LO83" s="31" t="str">
        <f>IF(LN83/(INDEX('Standards for Conversions'!$H$47:$H$73,MATCH(LM$3,'Standards for Conversions'!$A$47:$A$73,0)))=0,"",LN83/(INDEX('Standards for Conversions'!$H$47:$H$73,MATCH(LM$3,'Standards for Conversions'!$A$47:$A$73,0))))</f>
        <v/>
      </c>
      <c r="LR83" s="31" t="str">
        <f>IF(LQ83/(INDEX('Standards for Conversions'!$H$47:$H$73,MATCH(LP$3,'Standards for Conversions'!$A$47:$A$73,0)))=0,"",LQ83/(INDEX('Standards for Conversions'!$H$47:$H$73,MATCH(LP$3,'Standards for Conversions'!$A$47:$A$73,0))))</f>
        <v/>
      </c>
      <c r="LV83" s="31" t="str">
        <f>IF(LU83/(INDEX('Standards for Conversions'!$H$47:$H$73,MATCH(LT$3,'Standards for Conversions'!$A$47:$A$73,0)))=0,"",LU83/(INDEX('Standards for Conversions'!$H$47:$H$73,MATCH(LT$3,'Standards for Conversions'!$A$47:$A$73,0))))</f>
        <v/>
      </c>
      <c r="LY83" s="31" t="str">
        <f>IF(LX83/(INDEX('Standards for Conversions'!$H$47:$H$73,MATCH(LW$3,'Standards for Conversions'!$A$47:$A$73,0)))=0,"",LX83/(INDEX('Standards for Conversions'!$H$47:$H$73,MATCH(LW$3,'Standards for Conversions'!$A$47:$A$73,0))))</f>
        <v/>
      </c>
      <c r="MB83" s="31" t="str">
        <f>IF(MA83/(INDEX('Standards for Conversions'!$H$47:$H$73,MATCH(LZ$3,'Standards for Conversions'!$A$47:$A$73,0)))=0,"",MA83/(INDEX('Standards for Conversions'!$H$47:$H$73,MATCH(LZ$3,'Standards for Conversions'!$A$47:$A$73,0))))</f>
        <v/>
      </c>
      <c r="ME83" s="31" t="str">
        <f>IF(MD83/(INDEX('Standards for Conversions'!$H$47:$H$73,MATCH(MC$3,'Standards for Conversions'!$A$47:$A$73,0)))=0,"",MD83/(INDEX('Standards for Conversions'!$H$47:$H$73,MATCH(MC$3,'Standards for Conversions'!$A$47:$A$73,0))))</f>
        <v/>
      </c>
      <c r="MH83" s="31" t="str">
        <f>IF(MG83/(INDEX('Standards for Conversions'!$H$47:$H$73,MATCH(MF$3,'Standards for Conversions'!$A$47:$A$73,0)))=0,"",MG83/(INDEX('Standards for Conversions'!$H$47:$H$73,MATCH(MF$3,'Standards for Conversions'!$A$47:$A$73,0))))</f>
        <v/>
      </c>
      <c r="MK83" s="31" t="str">
        <f>IF(MJ83/(INDEX('Standards for Conversions'!$H$47:$H$73,MATCH(MI$3,'Standards for Conversions'!$A$47:$A$73,0)))=0,"",MJ83/(INDEX('Standards for Conversions'!$H$47:$H$73,MATCH(MI$3,'Standards for Conversions'!$A$47:$A$73,0))))</f>
        <v/>
      </c>
      <c r="MN83" s="31" t="str">
        <f>IF(MM83/(INDEX('Standards for Conversions'!$H$47:$H$73,MATCH(ML$3,'Standards for Conversions'!$A$47:$A$73,0)))=0,"",MM83/(INDEX('Standards for Conversions'!$H$47:$H$73,MATCH(ML$3,'Standards for Conversions'!$A$47:$A$73,0))))</f>
        <v/>
      </c>
      <c r="MQ83" s="33"/>
      <c r="MR83" s="31" t="str">
        <f>IF(MQ83/(INDEX('Standards for Conversions'!$H$47:$H$73,MATCH(MP$3,'Standards for Conversions'!$A$47:$A$73,0)))=0,"",MQ83/(INDEX('Standards for Conversions'!$H$47:$H$73,MATCH(MP$3,'Standards for Conversions'!$A$47:$A$73,0))))</f>
        <v/>
      </c>
      <c r="NE83" s="29" t="s">
        <v>98</v>
      </c>
      <c r="NH83" s="29">
        <v>21</v>
      </c>
      <c r="NI83" s="29">
        <v>10</v>
      </c>
    </row>
    <row r="84" spans="1:373" s="33" customFormat="1" x14ac:dyDescent="0.3">
      <c r="A84" s="102" t="s">
        <v>70</v>
      </c>
      <c r="B84" s="10" t="s">
        <v>399</v>
      </c>
      <c r="C84">
        <f>1.75*500</f>
        <v>875</v>
      </c>
      <c r="D84" s="7">
        <v>6000</v>
      </c>
      <c r="E84" s="31">
        <f>IF(D84/(INDEX('Standards for Conversions'!$H$34:$H$73,MATCH(C$3,'Standards for Conversions'!$A$34:$A$73,0)))=0,"",D84/(INDEX('Standards for Conversions'!$H$34:$H$73,MATCH(C$3,'Standards for Conversions'!$A$34:$A$73,0))))</f>
        <v>1185.2533783783783</v>
      </c>
      <c r="F84" s="6" t="s">
        <v>399</v>
      </c>
      <c r="G84" s="7"/>
      <c r="H84" s="7"/>
      <c r="I84" s="31" t="str">
        <f>IF(H84/(INDEX('Standards for Conversions'!$H$34:$H$73,MATCH(G$3,'Standards for Conversions'!$A$34:$A$73,0)))=0,"",H84/(INDEX('Standards for Conversions'!$H$34:$H$73,MATCH(G$3,'Standards for Conversions'!$A$34:$A$73,0))))</f>
        <v/>
      </c>
      <c r="J84" s="10" t="s">
        <v>399</v>
      </c>
      <c r="K84" s="9"/>
      <c r="L84" s="9"/>
      <c r="M84" s="31" t="str">
        <f>IF(L84/(INDEX('Standards for Conversions'!$H$34:$H$73,MATCH(K$3,'Standards for Conversions'!$A$34:$A$73,0)))=0,"",L84/(INDEX('Standards for Conversions'!$H$34:$H$73,MATCH(K$3,'Standards for Conversions'!$A$34:$A$73,0))))</f>
        <v/>
      </c>
      <c r="N84" s="10" t="s">
        <v>399</v>
      </c>
      <c r="O84" s="9">
        <f>1.75*5000</f>
        <v>8750</v>
      </c>
      <c r="P84" s="9">
        <v>50000</v>
      </c>
      <c r="Q84" s="31">
        <f>IF(P84/(INDEX('Standards for Conversions'!$H$34:$H$73,MATCH(O$3,'Standards for Conversions'!$A$34:$A$73,0)))=0,"",P84/(INDEX('Standards for Conversions'!$H$34:$H$73,MATCH(O$3,'Standards for Conversions'!$A$34:$A$73,0))))</f>
        <v>9877.1114864864849</v>
      </c>
      <c r="R84" s="10" t="s">
        <v>399</v>
      </c>
      <c r="S84">
        <f>1.75*700</f>
        <v>1225</v>
      </c>
      <c r="T84" s="7">
        <v>7000</v>
      </c>
      <c r="U84" s="31">
        <f>IF(T84/(INDEX('Standards for Conversions'!$H$34:$H$73,MATCH(S$3,'Standards for Conversions'!$A$34:$A$73,0)))=0,"",T84/(INDEX('Standards for Conversions'!$H$34:$H$73,MATCH(S$3,'Standards for Conversions'!$A$34:$A$73,0))))</f>
        <v>1348.7073991193765</v>
      </c>
      <c r="V84" s="6" t="s">
        <v>399</v>
      </c>
      <c r="W84" s="7"/>
      <c r="X84" s="7"/>
      <c r="Y84" s="31" t="str">
        <f>IF(X84/(INDEX('Standards for Conversions'!$H$34:$H$73,MATCH(W$3,'Standards for Conversions'!$A$34:$A$73,0)))=0,"",X84/(INDEX('Standards for Conversions'!$H$34:$H$73,MATCH(W$3,'Standards for Conversions'!$A$34:$A$73,0))))</f>
        <v/>
      </c>
      <c r="Z84" s="10" t="s">
        <v>399</v>
      </c>
      <c r="AA84" s="9"/>
      <c r="AB84" s="9"/>
      <c r="AC84" s="31" t="str">
        <f>IF(AB84/(INDEX('Standards for Conversions'!$H$34:$H$73,MATCH(AA$3,'Standards for Conversions'!$A$34:$A$73,0)))=0,"",AB84/(INDEX('Standards for Conversions'!$H$34:$H$73,MATCH(AA$3,'Standards for Conversions'!$A$34:$A$73,0))))</f>
        <v/>
      </c>
      <c r="AD84" s="10" t="s">
        <v>399</v>
      </c>
      <c r="AE84" s="9">
        <f>1.75*7000</f>
        <v>12250</v>
      </c>
      <c r="AF84" s="9">
        <v>70000</v>
      </c>
      <c r="AG84" s="31">
        <f>IF(AF84/(INDEX('Standards for Conversions'!$H$34:$H$73,MATCH(AE$3,'Standards for Conversions'!$A$34:$A$73,0)))=0,"",AF84/(INDEX('Standards for Conversions'!$H$34:$H$73,MATCH(AE$3,'Standards for Conversions'!$A$34:$A$73,0))))</f>
        <v>13487.073991193765</v>
      </c>
      <c r="AH84" s="10" t="s">
        <v>399</v>
      </c>
      <c r="AI84">
        <f>1.75*1300</f>
        <v>2275</v>
      </c>
      <c r="AJ84" s="7">
        <v>14000</v>
      </c>
      <c r="AK84" s="31">
        <f>IF(AJ84/(INDEX('Standards for Conversions'!$H$34:$H$73,MATCH(AI$3,'Standards for Conversions'!$A$34:$A$73,0)))=0,"",AJ84/(INDEX('Standards for Conversions'!$H$34:$H$73,MATCH(AI$3,'Standards for Conversions'!$A$34:$A$73,0))))</f>
        <v>2501.7781205642937</v>
      </c>
      <c r="AL84" s="6" t="s">
        <v>399</v>
      </c>
      <c r="AM84" s="7">
        <f>1.75*250</f>
        <v>437.5</v>
      </c>
      <c r="AN84" s="7">
        <v>1000</v>
      </c>
      <c r="AO84" s="31">
        <f>IF(AN84/(INDEX('Standards for Conversions'!$H$34:$H$73,MATCH(AM$3,'Standards for Conversions'!$A$34:$A$73,0)))=0,"",AN84/(INDEX('Standards for Conversions'!$H$34:$H$73,MATCH(AM$3,'Standards for Conversions'!$A$34:$A$73,0))))</f>
        <v>178.69843718316383</v>
      </c>
      <c r="AP84" s="10" t="s">
        <v>399</v>
      </c>
      <c r="AQ84" s="9"/>
      <c r="AR84" s="9"/>
      <c r="AS84" s="31" t="str">
        <f>IF(AR84/(INDEX('Standards for Conversions'!$H$34:$H$73,MATCH(AQ$3,'Standards for Conversions'!$A$34:$A$73,0)))=0,"",AR84/(INDEX('Standards for Conversions'!$H$34:$H$73,MATCH(AQ$3,'Standards for Conversions'!$A$34:$A$73,0))))</f>
        <v/>
      </c>
      <c r="AT84" s="10" t="s">
        <v>399</v>
      </c>
      <c r="AU84" s="9">
        <f>1.75*3100</f>
        <v>5425</v>
      </c>
      <c r="AV84" s="9">
        <v>37200</v>
      </c>
      <c r="AW84" s="31">
        <f>IF(AV84/(INDEX('Standards for Conversions'!$H$34:$H$73,MATCH(AU$3,'Standards for Conversions'!$A$34:$A$73,0)))=0,"",AV84/(INDEX('Standards for Conversions'!$H$34:$H$73,MATCH(AU$3,'Standards for Conversions'!$A$34:$A$73,0))))</f>
        <v>6647.5818632136952</v>
      </c>
      <c r="AX84" s="10" t="s">
        <v>399</v>
      </c>
      <c r="AY84"/>
      <c r="AZ84" s="7"/>
      <c r="BA84" s="31" t="str">
        <f>IF(AZ84/(INDEX('Standards for Conversions'!$H$34:$H$73,MATCH(AY$3,'Standards for Conversions'!$A$34:$A$73,0)))=0,"",AZ84/(INDEX('Standards for Conversions'!$H$34:$H$73,MATCH(AY$3,'Standards for Conversions'!$A$34:$A$73,0))))</f>
        <v/>
      </c>
      <c r="BB84" s="6" t="s">
        <v>399</v>
      </c>
      <c r="BC84" s="7"/>
      <c r="BD84" s="7"/>
      <c r="BE84" s="31" t="str">
        <f>IF(BD84/(INDEX('Standards for Conversions'!$H$34:$H$73,MATCH(BC$3,'Standards for Conversions'!$A$34:$A$73,0)))=0,"",BD84/(INDEX('Standards for Conversions'!$H$34:$H$73,MATCH(BC$3,'Standards for Conversions'!$A$34:$A$73,0))))</f>
        <v/>
      </c>
      <c r="BF84" s="10" t="s">
        <v>399</v>
      </c>
      <c r="BG84" s="9"/>
      <c r="BH84" s="9"/>
      <c r="BI84" s="31" t="str">
        <f>IF(BH84/(INDEX('Standards for Conversions'!$H$34:$H$73,MATCH(BG$3,'Standards for Conversions'!$A$34:$A$73,0)))=0,"",BH84/(INDEX('Standards for Conversions'!$H$34:$H$73,MATCH(BG$3,'Standards for Conversions'!$A$34:$A$73,0))))</f>
        <v/>
      </c>
      <c r="BJ84" s="10" t="s">
        <v>399</v>
      </c>
      <c r="BK84" s="9">
        <f>1.75*3000</f>
        <v>5250</v>
      </c>
      <c r="BL84" s="9">
        <v>33000</v>
      </c>
      <c r="BM84" s="31">
        <f>IF(BL84/(INDEX('Standards for Conversions'!$H$34:$H$73,MATCH(BK$3,'Standards for Conversions'!$A$34:$A$73,0)))=0,"",BL84/(INDEX('Standards for Conversions'!$H$34:$H$73,MATCH(BK$3,'Standards for Conversions'!$A$34:$A$73,0))))</f>
        <v>6127.6202257321629</v>
      </c>
      <c r="BN84" s="10" t="s">
        <v>399</v>
      </c>
      <c r="BO84">
        <f>1.75*500</f>
        <v>875</v>
      </c>
      <c r="BP84" s="7">
        <v>5000</v>
      </c>
      <c r="BQ84" s="31">
        <f>IF(BP84/(INDEX('Standards for Conversions'!$H$34:$H$73,MATCH(BO$3,'Standards for Conversions'!$A$34:$A$73,0)))=0,"",BP84/(INDEX('Standards for Conversions'!$H$34:$H$73,MATCH(BO$3,'Standards for Conversions'!$A$34:$A$73,0))))</f>
        <v>890.31626582370131</v>
      </c>
      <c r="BR84" s="6" t="s">
        <v>399</v>
      </c>
      <c r="BS84" s="7">
        <f>1.75*100</f>
        <v>175</v>
      </c>
      <c r="BT84" s="7">
        <v>1000</v>
      </c>
      <c r="BU84" s="31">
        <f>IF(BT84/(INDEX('Standards for Conversions'!$H$34:$H$73,MATCH(BS$3,'Standards for Conversions'!$A$34:$A$73,0)))=0,"",BT84/(INDEX('Standards for Conversions'!$H$34:$H$73,MATCH(BS$3,'Standards for Conversions'!$A$34:$A$73,0))))</f>
        <v>178.06325316474027</v>
      </c>
      <c r="BV84" s="10" t="s">
        <v>399</v>
      </c>
      <c r="BW84" s="9"/>
      <c r="BX84" s="9"/>
      <c r="BY84" s="31" t="str">
        <f>IF(BX84/(INDEX('Standards for Conversions'!$H$34:$H$73,MATCH(BW$3,'Standards for Conversions'!$A$34:$A$73,0)))=0,"",BX84/(INDEX('Standards for Conversions'!$H$34:$H$73,MATCH(BW$3,'Standards for Conversions'!$A$34:$A$73,0))))</f>
        <v/>
      </c>
      <c r="BZ84" s="10" t="s">
        <v>399</v>
      </c>
      <c r="CA84" s="9">
        <f>1.75*4000</f>
        <v>7000</v>
      </c>
      <c r="CB84" s="9">
        <v>40000</v>
      </c>
      <c r="CC84" s="31">
        <f>IF(CB84/(INDEX('Standards for Conversions'!$H$34:$H$73,MATCH(CA$3,'Standards for Conversions'!$A$34:$A$73,0)))=0,"",CB84/(INDEX('Standards for Conversions'!$H$34:$H$73,MATCH(CA$3,'Standards for Conversions'!$A$34:$A$73,0))))</f>
        <v>7122.5301265896105</v>
      </c>
      <c r="CD84" s="10" t="s">
        <v>399</v>
      </c>
      <c r="CE84">
        <f>1.75*500</f>
        <v>875</v>
      </c>
      <c r="CF84" s="7">
        <v>6500</v>
      </c>
      <c r="CG84" s="31">
        <f>IF(CF84/(INDEX('Standards for Conversions'!$H$34:$H$73,MATCH(CE$3,'Standards for Conversions'!$A$34:$A$73,0)))=0,"",CF84/(INDEX('Standards for Conversions'!$H$34:$H$73,MATCH(CE$3,'Standards for Conversions'!$A$34:$A$73,0))))</f>
        <v>1128.5102727325395</v>
      </c>
      <c r="CH84" s="6" t="s">
        <v>399</v>
      </c>
      <c r="CI84" s="7">
        <f>1.75*100</f>
        <v>175</v>
      </c>
      <c r="CJ84" s="7">
        <v>1000</v>
      </c>
      <c r="CK84" s="31">
        <f>IF(CJ84/(INDEX('Standards for Conversions'!$H$34:$H$73,MATCH(CI$3,'Standards for Conversions'!$A$34:$A$73,0)))=0,"",CJ84/(INDEX('Standards for Conversions'!$H$34:$H$73,MATCH(CI$3,'Standards for Conversions'!$A$34:$A$73,0))))</f>
        <v>173.61696503577531</v>
      </c>
      <c r="CL84" s="10" t="s">
        <v>399</v>
      </c>
      <c r="CM84" s="9"/>
      <c r="CN84" s="9"/>
      <c r="CO84" s="31" t="str">
        <f>IF(CN84/(INDEX('Standards for Conversions'!$H$34:$H$73,MATCH(CM$3,'Standards for Conversions'!$A$34:$A$73,0)))=0,"",CN84/(INDEX('Standards for Conversions'!$H$34:$H$73,MATCH(CM$3,'Standards for Conversions'!$A$34:$A$73,0))))</f>
        <v/>
      </c>
      <c r="CP84" s="10" t="s">
        <v>399</v>
      </c>
      <c r="CQ84" s="9">
        <f>1.75*4000</f>
        <v>7000</v>
      </c>
      <c r="CR84" s="9">
        <v>48000</v>
      </c>
      <c r="CS84" s="31">
        <f>IF(CR84/(INDEX('Standards for Conversions'!$H$34:$H$73,MATCH(CQ$3,'Standards for Conversions'!$A$34:$A$73,0)))=0,"",CR84/(INDEX('Standards for Conversions'!$H$34:$H$73,MATCH(CQ$3,'Standards for Conversions'!$A$34:$A$73,0))))</f>
        <v>8333.6143217172157</v>
      </c>
      <c r="CT84" s="10" t="s">
        <v>399</v>
      </c>
      <c r="CU84" s="7">
        <f>1.75*300</f>
        <v>525</v>
      </c>
      <c r="CV84" s="7">
        <v>4500</v>
      </c>
      <c r="CW84" s="31">
        <f>IF(CV84/(INDEX('Standards for Conversions'!$H$34:$H$73,MATCH(CU$3,'Standards for Conversions'!$A$34:$A$73,0)))=0,"",CV84/(INDEX('Standards for Conversions'!$H$34:$H$73,MATCH(CU$3,'Standards for Conversions'!$A$34:$A$73,0))))</f>
        <v>796.52075910315466</v>
      </c>
      <c r="CX84" s="6" t="s">
        <v>40</v>
      </c>
      <c r="CY84" s="7"/>
      <c r="CZ84" s="7"/>
      <c r="DA84" s="31" t="str">
        <f>IF(CZ84/(INDEX('Standards for Conversions'!$H$34:$H$73,MATCH(CY$3,'Standards for Conversions'!$A$34:$A$73,0)))=0,"",CZ84/(INDEX('Standards for Conversions'!$H$34:$H$73,MATCH(CY$3,'Standards for Conversions'!$A$34:$A$73,0))))</f>
        <v/>
      </c>
      <c r="DB84" s="10" t="s">
        <v>399</v>
      </c>
      <c r="DC84" s="9"/>
      <c r="DD84" s="9"/>
      <c r="DE84" s="31" t="str">
        <f>IF(DD84/(INDEX('Standards for Conversions'!$H$34:$H$73,MATCH(DC$3,'Standards for Conversions'!$A$34:$A$73,0)))=0,"",DD84/(INDEX('Standards for Conversions'!$H$34:$H$73,MATCH(DC$3,'Standards for Conversions'!$A$34:$A$73,0))))</f>
        <v/>
      </c>
      <c r="DF84" s="10" t="s">
        <v>399</v>
      </c>
      <c r="DG84" s="9">
        <f>1.75*5150</f>
        <v>9012.5</v>
      </c>
      <c r="DH84" s="9">
        <v>60000</v>
      </c>
      <c r="DI84" s="31">
        <f>IF(DH84/(INDEX('Standards for Conversions'!$H$34:$H$73,MATCH(DG$3,'Standards for Conversions'!$A$34:$A$73,0)))=0,"",DH84/(INDEX('Standards for Conversions'!$H$34:$H$73,MATCH(DG$3,'Standards for Conversions'!$A$34:$A$73,0))))</f>
        <v>10620.276788042062</v>
      </c>
      <c r="DJ84" s="10" t="s">
        <v>399</v>
      </c>
      <c r="DK84" s="7">
        <f>1.75*400</f>
        <v>700</v>
      </c>
      <c r="DL84" s="7">
        <v>6000</v>
      </c>
      <c r="DM84" s="31">
        <f>IF(DL84/(INDEX('Standards for Conversions'!$H$34:$H$73,MATCH(DK$3,'Standards for Conversions'!$A$34:$A$73,0)))=0,"",DL84/(INDEX('Standards for Conversions'!$H$34:$H$73,MATCH(DK$3,'Standards for Conversions'!$A$34:$A$73,0))))</f>
        <v>1050.5943664725819</v>
      </c>
      <c r="DN84" s="6" t="s">
        <v>40</v>
      </c>
      <c r="DO84" s="7"/>
      <c r="DP84" s="7"/>
      <c r="DQ84" s="31" t="str">
        <f>IF(DP84/(INDEX('Standards for Conversions'!$H$34:$H$73,MATCH(DO$3,'Standards for Conversions'!$A$34:$A$73,0)))=0,"",DP84/(INDEX('Standards for Conversions'!$H$34:$H$73,MATCH(DO$3,'Standards for Conversions'!$A$34:$A$73,0))))</f>
        <v/>
      </c>
      <c r="DR84" s="10" t="s">
        <v>399</v>
      </c>
      <c r="DS84" s="9"/>
      <c r="DT84" s="9"/>
      <c r="DU84" s="31" t="str">
        <f>IF(DT84/(INDEX('Standards for Conversions'!$H$34:$H$73,MATCH(DS$3,'Standards for Conversions'!$A$34:$A$73,0)))=0,"",DT84/(INDEX('Standards for Conversions'!$H$34:$H$73,MATCH(DS$3,'Standards for Conversions'!$A$34:$A$73,0))))</f>
        <v/>
      </c>
      <c r="DV84" s="10" t="s">
        <v>399</v>
      </c>
      <c r="DW84" s="9">
        <f>1.75*5000</f>
        <v>8750</v>
      </c>
      <c r="DX84" s="9">
        <v>60000</v>
      </c>
      <c r="DY84" s="31">
        <f>IF(DX84/(INDEX('Standards for Conversions'!$H$34:$H$73,MATCH(DW$3,'Standards for Conversions'!$A$34:$A$73,0)))=0,"",DX84/(INDEX('Standards for Conversions'!$H$34:$H$73,MATCH(DW$3,'Standards for Conversions'!$A$34:$A$73,0))))</f>
        <v>10505.943664725819</v>
      </c>
      <c r="DZ84" s="10" t="s">
        <v>399</v>
      </c>
      <c r="EA84" s="7"/>
      <c r="EB84" s="7"/>
      <c r="EC84" s="31" t="str">
        <f>IF(EB84/(INDEX('Standards for Conversions'!$H$34:$H$73,MATCH(EA$3,'Standards for Conversions'!$A$34:$A$73,0)))=0,"",EB84/(INDEX('Standards for Conversions'!$H$34:$H$73,MATCH(EA$3,'Standards for Conversions'!$A$34:$A$73,0))))</f>
        <v/>
      </c>
      <c r="ED84" s="6" t="s">
        <v>40</v>
      </c>
      <c r="EE84" s="7">
        <v>16</v>
      </c>
      <c r="EF84" s="7">
        <v>420</v>
      </c>
      <c r="EG84" s="31">
        <f>IF(EF84/(INDEX('Standards for Conversions'!$H$34:$H$73,MATCH(EE$3,'Standards for Conversions'!$A$34:$A$73,0)))=0,"",EF84/(INDEX('Standards for Conversions'!$H$34:$H$73,MATCH(EE$3,'Standards for Conversions'!$A$34:$A$73,0))))</f>
        <v>73.452679890501429</v>
      </c>
      <c r="EH84" s="10" t="s">
        <v>399</v>
      </c>
      <c r="EI84" s="9"/>
      <c r="EJ84" s="9"/>
      <c r="EK84" s="31" t="str">
        <f>IF(EJ84/(INDEX('Standards for Conversions'!$H$34:$H$73,MATCH(EI$3,'Standards for Conversions'!$A$34:$A$73,0)))=0,"",EJ84/(INDEX('Standards for Conversions'!$H$34:$H$73,MATCH(EI$3,'Standards for Conversions'!$A$34:$A$73,0))))</f>
        <v/>
      </c>
      <c r="EL84" s="10" t="s">
        <v>399</v>
      </c>
      <c r="EM84" s="9">
        <f>1.75*101</f>
        <v>176.75</v>
      </c>
      <c r="EN84" s="9">
        <v>1180</v>
      </c>
      <c r="EO84" s="31">
        <f>IF(EN84/(INDEX('Standards for Conversions'!$H$34:$H$73,MATCH(EM$3,'Standards for Conversions'!$A$34:$A$73,0)))=0,"",EN84/(INDEX('Standards for Conversions'!$H$34:$H$73,MATCH(EM$3,'Standards for Conversions'!$A$34:$A$73,0))))</f>
        <v>206.36705302569447</v>
      </c>
      <c r="EP84" s="10" t="s">
        <v>399</v>
      </c>
      <c r="EQ84" s="7"/>
      <c r="ER84" s="7"/>
      <c r="ES84" s="31" t="str">
        <f>IF(ER84/(INDEX('Standards for Conversions'!$H$34:$H$73,MATCH(EQ$3,'Standards for Conversions'!$A$34:$A$73,0)))=0,"",ER84/(INDEX('Standards for Conversions'!$H$34:$H$73,MATCH(EQ$3,'Standards for Conversions'!$A$34:$A$73,0))))</f>
        <v/>
      </c>
      <c r="ET84" s="6" t="s">
        <v>40</v>
      </c>
      <c r="EU84" s="7">
        <v>27</v>
      </c>
      <c r="EV84" s="7">
        <v>550</v>
      </c>
      <c r="EW84" s="31">
        <f>IF(EV84/(INDEX('Standards for Conversions'!$H$34:$H$73,MATCH(EU$3,'Standards for Conversions'!$A$34:$A$73,0)))=0,"",EV84/(INDEX('Standards for Conversions'!$H$34:$H$73,MATCH(EU$3,'Standards for Conversions'!$A$34:$A$73,0))))</f>
        <v>94.208376332522221</v>
      </c>
      <c r="EX84" s="10" t="s">
        <v>399</v>
      </c>
      <c r="EY84" s="9"/>
      <c r="EZ84" s="9"/>
      <c r="FA84" s="31" t="str">
        <f>IF(EZ84/(INDEX('Standards for Conversions'!$H$34:$H$73,MATCH(EY$3,'Standards for Conversions'!$A$34:$A$73,0)))=0,"",EZ84/(INDEX('Standards for Conversions'!$H$34:$H$73,MATCH(EY$3,'Standards for Conversions'!$A$34:$A$73,0))))</f>
        <v/>
      </c>
      <c r="FB84" s="10" t="s">
        <v>399</v>
      </c>
      <c r="FC84" s="9">
        <f>1.75*5654</f>
        <v>9894.5</v>
      </c>
      <c r="FD84" s="9">
        <v>66220</v>
      </c>
      <c r="FE84" s="31">
        <f>IF(FD84/(INDEX('Standards for Conversions'!$H$34:$H$73,MATCH(FC$3,'Standards for Conversions'!$A$34:$A$73,0)))=0,"",FD84/(INDEX('Standards for Conversions'!$H$34:$H$73,MATCH(FC$3,'Standards for Conversions'!$A$34:$A$73,0))))</f>
        <v>11342.688510435675</v>
      </c>
      <c r="FF84" s="10" t="s">
        <v>399</v>
      </c>
      <c r="FG84" s="7"/>
      <c r="FH84" s="7"/>
      <c r="FI84" s="31" t="str">
        <f>IF(FH84/(INDEX('Standards for Conversions'!$H$34:$H$73,MATCH(FG$3,'Standards for Conversions'!$A$34:$A$73,0)))=0,"",FH84/(INDEX('Standards for Conversions'!$H$34:$H$73,MATCH(FG$3,'Standards for Conversions'!$A$34:$A$73,0))))</f>
        <v/>
      </c>
      <c r="FJ84" s="10" t="s">
        <v>399</v>
      </c>
      <c r="FK84" s="7"/>
      <c r="FL84" s="7"/>
      <c r="FM84" s="31" t="str">
        <f>IF(FL84/(INDEX('Standards for Conversions'!$H$34:$H$73,MATCH(FK$3,'Standards for Conversions'!$A$34:$A$73,0)))=0,"",FL84/(INDEX('Standards for Conversions'!$H$34:$H$73,MATCH(FK$3,'Standards for Conversions'!$A$34:$A$73,0))))</f>
        <v/>
      </c>
      <c r="FN84" s="10" t="s">
        <v>399</v>
      </c>
      <c r="FO84" s="9"/>
      <c r="FP84" s="9"/>
      <c r="FQ84" s="31" t="str">
        <f>IF(FP84/(INDEX('Standards for Conversions'!$H$34:$H$73,MATCH(FO$3,'Standards for Conversions'!$A$34:$A$73,0)))=0,"",FP84/(INDEX('Standards for Conversions'!$H$34:$H$73,MATCH(FO$3,'Standards for Conversions'!$A$34:$A$73,0))))</f>
        <v/>
      </c>
      <c r="FR84" s="10" t="s">
        <v>399</v>
      </c>
      <c r="FS84" s="9">
        <f>1.75*6000</f>
        <v>10500</v>
      </c>
      <c r="FT84" s="9">
        <v>70000</v>
      </c>
      <c r="FU84" s="31">
        <f>IF(FT84/(INDEX('Standards for Conversions'!$H$34:$H$73,MATCH(FS$3,'Standards for Conversions'!$A$34:$A$73,0)))=0,"",FT84/(INDEX('Standards for Conversions'!$H$34:$H$73,MATCH(FS$3,'Standards for Conversions'!$A$34:$A$73,0))))</f>
        <v>12004.977948205438</v>
      </c>
      <c r="FV84" s="10" t="s">
        <v>399</v>
      </c>
      <c r="FW84" s="7"/>
      <c r="FX84" s="7"/>
      <c r="FY84" s="31" t="str">
        <f>IF(FX84/(INDEX('Standards for Conversions'!$H$34:$H$73,MATCH(FW$3,'Standards for Conversions'!$A$34:$A$73,0)))=0,"",FX84/(INDEX('Standards for Conversions'!$H$34:$H$73,MATCH(FW$3,'Standards for Conversions'!$A$34:$A$73,0))))</f>
        <v/>
      </c>
      <c r="FZ84" s="10" t="s">
        <v>399</v>
      </c>
      <c r="GA84" s="7"/>
      <c r="GB84" s="7"/>
      <c r="GC84" s="31" t="str">
        <f>IF(GB84/(INDEX('Standards for Conversions'!$H$34:$H$73,MATCH(GA$3,'Standards for Conversions'!$A$34:$A$73,0)))=0,"",GB84/(INDEX('Standards for Conversions'!$H$34:$H$73,MATCH(GA$3,'Standards for Conversions'!$A$34:$A$73,0))))</f>
        <v/>
      </c>
      <c r="GD84" s="10" t="s">
        <v>399</v>
      </c>
      <c r="GE84" s="9"/>
      <c r="GF84" s="9"/>
      <c r="GG84" s="31" t="str">
        <f>IF(GF84/(INDEX('Standards for Conversions'!$H$34:$H$73,MATCH(GE$3,'Standards for Conversions'!$A$34:$A$73,0)))=0,"",GF84/(INDEX('Standards for Conversions'!$H$34:$H$73,MATCH(GE$3,'Standards for Conversions'!$A$34:$A$73,0))))</f>
        <v/>
      </c>
      <c r="GH84" s="10" t="s">
        <v>399</v>
      </c>
      <c r="GI84" s="9">
        <f>1.75*5600</f>
        <v>9800</v>
      </c>
      <c r="GJ84" s="9">
        <v>45900</v>
      </c>
      <c r="GK84" s="31">
        <f>IF(GJ84/(INDEX('Standards for Conversions'!$H$34:$H$73,MATCH(GI$3,'Standards for Conversions'!$A$34:$A$73,0)))=0,"",GJ84/(INDEX('Standards for Conversions'!$H$34:$H$73,MATCH(GI$3,'Standards for Conversions'!$A$34:$A$73,0))))</f>
        <v>7551.1311294212219</v>
      </c>
      <c r="GL84" s="10" t="s">
        <v>399</v>
      </c>
      <c r="GM84" s="7"/>
      <c r="GN84" s="7"/>
      <c r="GO84" s="31" t="str">
        <f>IF(GN84/(INDEX('Standards for Conversions'!$H$34:$H$73,MATCH(GM$3,'Standards for Conversions'!$A$34:$A$73,0)))=0,"",GN84/(INDEX('Standards for Conversions'!$H$34:$H$73,MATCH(GM$3,'Standards for Conversions'!$A$34:$A$73,0))))</f>
        <v/>
      </c>
      <c r="GP84" s="10" t="s">
        <v>399</v>
      </c>
      <c r="GQ84" s="7"/>
      <c r="GR84" s="7"/>
      <c r="GS84" s="31" t="str">
        <f>IF(GR84/(INDEX('Standards for Conversions'!$H$34:$H$73,MATCH(GQ$3,'Standards for Conversions'!$A$34:$A$73,0)))=0,"",GR84/(INDEX('Standards for Conversions'!$H$34:$H$73,MATCH(GQ$3,'Standards for Conversions'!$A$34:$A$73,0))))</f>
        <v/>
      </c>
      <c r="GT84" s="10" t="s">
        <v>399</v>
      </c>
      <c r="GU84" s="9"/>
      <c r="GV84" s="9"/>
      <c r="GW84" s="31" t="str">
        <f>IF(GV84/(INDEX('Standards for Conversions'!$H$34:$H$73,MATCH(GU$3,'Standards for Conversions'!$A$34:$A$73,0)))=0,"",GV84/(INDEX('Standards for Conversions'!$H$34:$H$73,MATCH(GU$3,'Standards for Conversions'!$A$34:$A$73,0))))</f>
        <v/>
      </c>
      <c r="GX84" s="10" t="s">
        <v>399</v>
      </c>
      <c r="GY84" s="9">
        <f>1.75*5300</f>
        <v>9275</v>
      </c>
      <c r="GZ84" s="9">
        <v>45300</v>
      </c>
      <c r="HA84" s="31">
        <f>IF(GZ84/(INDEX('Standards for Conversions'!$H$34:$H$73,MATCH(GY$3,'Standards for Conversions'!$A$34:$A$73,0)))=0,"",GZ84/(INDEX('Standards for Conversions'!$H$34:$H$73,MATCH(GY$3,'Standards for Conversions'!$A$34:$A$73,0))))</f>
        <v>6963.2683203702099</v>
      </c>
      <c r="HB84" s="10" t="s">
        <v>399</v>
      </c>
      <c r="HC84" s="7"/>
      <c r="HD84" s="7"/>
      <c r="HE84" s="31" t="str">
        <f>IF(HD84/(INDEX('Standards for Conversions'!$H$34:$H$73,MATCH(HC$3,'Standards for Conversions'!$A$34:$A$73,0)))=0,"",HD84/(INDEX('Standards for Conversions'!$H$34:$H$73,MATCH(HC$3,'Standards for Conversions'!$A$34:$A$73,0))))</f>
        <v/>
      </c>
      <c r="HF84" s="10" t="s">
        <v>399</v>
      </c>
      <c r="HG84" s="7"/>
      <c r="HH84" s="7"/>
      <c r="HI84" s="31" t="str">
        <f>IF(HH84/(INDEX('Standards for Conversions'!$H$34:$H$73,MATCH(HG$3,'Standards for Conversions'!$A$34:$A$73,0)))=0,"",HH84/(INDEX('Standards for Conversions'!$H$34:$H$73,MATCH(HG$3,'Standards for Conversions'!$A$34:$A$73,0))))</f>
        <v/>
      </c>
      <c r="HJ84" s="10" t="s">
        <v>399</v>
      </c>
      <c r="HK84" s="9"/>
      <c r="HL84" s="9"/>
      <c r="HM84" s="31" t="str">
        <f>IF(HL84/(INDEX('Standards for Conversions'!$H$34:$H$73,MATCH(HK$3,'Standards for Conversions'!$A$34:$A$73,0)))=0,"",HL84/(INDEX('Standards for Conversions'!$H$34:$H$73,MATCH(HK$3,'Standards for Conversions'!$A$34:$A$73,0))))</f>
        <v/>
      </c>
      <c r="HN84" s="10" t="s">
        <v>399</v>
      </c>
      <c r="HO84" s="9">
        <f>1.75*6300</f>
        <v>11025</v>
      </c>
      <c r="HP84" s="9">
        <v>53000</v>
      </c>
      <c r="HQ84" s="31">
        <f>IF(HP84/(INDEX('Standards for Conversions'!$H$34:$H$73,MATCH(HO$3,'Standards for Conversions'!$A$34:$A$73,0)))=0,"",HP84/(INDEX('Standards for Conversions'!$H$34:$H$73,MATCH(HO$3,'Standards for Conversions'!$A$34:$A$73,0))))</f>
        <v>8023.4327927203713</v>
      </c>
      <c r="HR84" s="33" t="s">
        <v>98</v>
      </c>
      <c r="HU84" s="31" t="str">
        <f>IF(HT84/(INDEX('Standards for Conversions'!$H$47:$H$73,MATCH(HS$3,'Standards for Conversions'!$A$47:$A$73,0)))=0,"",HT84/(INDEX('Standards for Conversions'!$H$47:$H$73,MATCH(HS$3,'Standards for Conversions'!$A$47:$A$73,0))))</f>
        <v/>
      </c>
      <c r="HV84" s="33" t="s">
        <v>98</v>
      </c>
      <c r="HY84" s="31" t="str">
        <f>IF(HX84/(INDEX('Standards for Conversions'!$H$47:$H$73,MATCH(HW$3,'Standards for Conversions'!$A$47:$A$73,0)))=0,"",HX84/(INDEX('Standards for Conversions'!$H$47:$H$73,MATCH(HW$3,'Standards for Conversions'!$A$47:$A$73,0))))</f>
        <v/>
      </c>
      <c r="IB84" s="31" t="str">
        <f>IF(IA84/(INDEX('Standards for Conversions'!$H$47:$H$73,MATCH(HZ$3,'Standards for Conversions'!$A$47:$A$73,0)))=0,"",IA84/(INDEX('Standards for Conversions'!$H$47:$H$73,MATCH(HZ$3,'Standards for Conversions'!$A$47:$A$73,0))))</f>
        <v/>
      </c>
      <c r="IC84" s="33" t="s">
        <v>98</v>
      </c>
      <c r="ID84" s="33">
        <v>11375</v>
      </c>
      <c r="IE84" s="33">
        <v>55000</v>
      </c>
      <c r="IF84" s="31">
        <f>IF(IE84/(INDEX('Standards for Conversions'!$H$47:$H$73,MATCH(ID$3,'Standards for Conversions'!$A$47:$A$73,0)))=0,"",IE84/(INDEX('Standards for Conversions'!$H$47:$H$73,MATCH(ID$3,'Standards for Conversions'!$A$47:$A$73,0))))</f>
        <v>7988.4976717070776</v>
      </c>
      <c r="IG84" s="33" t="s">
        <v>98</v>
      </c>
      <c r="IH84" s="33">
        <v>4663.75</v>
      </c>
      <c r="II84" s="33">
        <v>21000</v>
      </c>
      <c r="IJ84" s="31">
        <f>IF(II84/(INDEX('Standards for Conversions'!$H$47:$H$73,MATCH(IH$3,'Standards for Conversions'!$A$47:$A$73,0)))=0,"",II84/(INDEX('Standards for Conversions'!$H$47:$H$73,MATCH(IH$3,'Standards for Conversions'!$A$47:$A$73,0))))</f>
        <v>3036.8147920830797</v>
      </c>
      <c r="IK84" s="33" t="s">
        <v>98</v>
      </c>
      <c r="IN84" s="31" t="str">
        <f>IF(IM84/(INDEX('Standards for Conversions'!$H$47:$H$73,MATCH(IL$3,'Standards for Conversions'!$A$47:$A$73,0)))=0,"",IM84/(INDEX('Standards for Conversions'!$H$47:$H$73,MATCH(IL$3,'Standards for Conversions'!$A$47:$A$73,0))))</f>
        <v/>
      </c>
      <c r="IO84" s="33" t="s">
        <v>98</v>
      </c>
      <c r="IR84" s="31" t="str">
        <f>IF(IQ84/(INDEX('Standards for Conversions'!$H$47:$H$73,MATCH(IP$3,'Standards for Conversions'!$A$47:$A$73,0)))=0,"",IQ84/(INDEX('Standards for Conversions'!$H$47:$H$73,MATCH(IP$3,'Standards for Conversions'!$A$47:$A$73,0))))</f>
        <v/>
      </c>
      <c r="IS84" s="33" t="s">
        <v>98</v>
      </c>
      <c r="IT84" s="33">
        <v>9019.5</v>
      </c>
      <c r="IU84" s="33">
        <v>46630</v>
      </c>
      <c r="IV84" s="31">
        <f>IF(IU84/(INDEX('Standards for Conversions'!$H$47:$H$73,MATCH(IT$3,'Standards for Conversions'!$A$47:$A$73,0)))=0,"",IU84/(INDEX('Standards for Conversions'!$H$47:$H$73,MATCH(IT$3,'Standards for Conversions'!$A$47:$A$73,0))))</f>
        <v>6743.1749407063808</v>
      </c>
      <c r="IW84" s="33" t="s">
        <v>98</v>
      </c>
      <c r="IZ84" s="31" t="str">
        <f>IF(IY84/(INDEX('Standards for Conversions'!$H$47:$H$73,MATCH(IX$3,'Standards for Conversions'!$A$47:$A$73,0)))=0,"",IY84/(INDEX('Standards for Conversions'!$H$47:$H$73,MATCH(IX$3,'Standards for Conversions'!$A$47:$A$73,0))))</f>
        <v/>
      </c>
      <c r="JA84" s="33" t="s">
        <v>98</v>
      </c>
      <c r="JD84" s="31" t="str">
        <f>IF(JC84/(INDEX('Standards for Conversions'!$H$47:$H$73,MATCH(JB$3,'Standards for Conversions'!$A$47:$A$73,0)))=0,"",JC84/(INDEX('Standards for Conversions'!$H$47:$H$73,MATCH(JB$3,'Standards for Conversions'!$A$47:$A$73,0))))</f>
        <v/>
      </c>
      <c r="JE84" s="33" t="s">
        <v>98</v>
      </c>
      <c r="JH84" s="31" t="str">
        <f>IF(JG84/(INDEX('Standards for Conversions'!$H$47:$H$73,MATCH(JF$3,'Standards for Conversions'!$A$47:$A$73,0)))=0,"",JG84/(INDEX('Standards for Conversions'!$H$47:$H$73,MATCH(JF$3,'Standards for Conversions'!$A$47:$A$73,0))))</f>
        <v/>
      </c>
      <c r="JI84" s="33" t="s">
        <v>98</v>
      </c>
      <c r="JJ84" s="33">
        <v>9572.5</v>
      </c>
      <c r="JK84" s="33">
        <v>59050</v>
      </c>
      <c r="JL84" s="31">
        <f>IF(JK84/(INDEX('Standards for Conversions'!$H$47:$H$73,MATCH(JJ$3,'Standards for Conversions'!$A$47:$A$73,0)))=0,"",JK84/(INDEX('Standards for Conversions'!$H$47:$H$73,MATCH(JJ$3,'Standards for Conversions'!$A$47:$A$73,0))))</f>
        <v>9551.9396146548461</v>
      </c>
      <c r="JM84" s="33" t="s">
        <v>98</v>
      </c>
      <c r="JN84" s="33">
        <v>2625</v>
      </c>
      <c r="JO84" s="33">
        <v>14000</v>
      </c>
      <c r="JP84" s="31">
        <f>IF(JO84/(INDEX('Standards for Conversions'!$H$47:$H$73,MATCH(JN$3,'Standards for Conversions'!$A$47:$A$73,0)))=0,"",JO84/(INDEX('Standards for Conversions'!$H$47:$H$73,MATCH(JN$3,'Standards for Conversions'!$A$47:$A$73,0))))</f>
        <v>2137.1824939891658</v>
      </c>
      <c r="JQ84" s="33" t="s">
        <v>98</v>
      </c>
      <c r="JT84" s="31" t="str">
        <f>IF(JS84/(INDEX('Standards for Conversions'!$H$47:$H$73,MATCH(JR$3,'Standards for Conversions'!$A$47:$A$73,0)))=0,"",JS84/(INDEX('Standards for Conversions'!$H$47:$H$73,MATCH(JR$3,'Standards for Conversions'!$A$47:$A$73,0))))</f>
        <v/>
      </c>
      <c r="JU84" s="33" t="s">
        <v>98</v>
      </c>
      <c r="JX84" s="31" t="str">
        <f>IF(JW84/(INDEX('Standards for Conversions'!$H$47:$H$73,MATCH(JV$3,'Standards for Conversions'!$A$47:$A$73,0)))=0,"",JW84/(INDEX('Standards for Conversions'!$H$47:$H$73,MATCH(JV$3,'Standards for Conversions'!$A$47:$A$73,0))))</f>
        <v/>
      </c>
      <c r="JY84" s="33" t="s">
        <v>98</v>
      </c>
      <c r="JZ84" s="33">
        <v>8750</v>
      </c>
      <c r="KA84" s="33">
        <v>45000</v>
      </c>
      <c r="KB84" s="31">
        <f>IF(KA84/(INDEX('Standards for Conversions'!$H$47:$H$73,MATCH(JZ$3,'Standards for Conversions'!$A$47:$A$73,0)))=0,"",KA84/(INDEX('Standards for Conversions'!$H$47:$H$73,MATCH(JZ$3,'Standards for Conversions'!$A$47:$A$73,0))))</f>
        <v>6869.5151592508901</v>
      </c>
      <c r="KC84" s="33" t="s">
        <v>98</v>
      </c>
      <c r="KF84" s="31" t="str">
        <f>IF(KE84/(INDEX('Standards for Conversions'!$H$47:$H$73,MATCH(KD$3,'Standards for Conversions'!$A$47:$A$73,0)))=0,"",KE84/(INDEX('Standards for Conversions'!$H$47:$H$73,MATCH(KD$3,'Standards for Conversions'!$A$47:$A$73,0))))</f>
        <v/>
      </c>
      <c r="KG84" s="33" t="s">
        <v>98</v>
      </c>
      <c r="KJ84" s="31" t="str">
        <f>IF(KI84/(INDEX('Standards for Conversions'!$H$47:$H$73,MATCH(KH$3,'Standards for Conversions'!$A$47:$A$73,0)))=0,"",KI84/(INDEX('Standards for Conversions'!$H$47:$H$73,MATCH(KH$3,'Standards for Conversions'!$A$47:$A$73,0))))</f>
        <v/>
      </c>
      <c r="KK84" s="33" t="s">
        <v>98</v>
      </c>
      <c r="KN84" s="31" t="str">
        <f>IF(KM84/(INDEX('Standards for Conversions'!$H$47:$H$73,MATCH(KL$3,'Standards for Conversions'!$A$47:$A$73,0)))=0,"",KM84/(INDEX('Standards for Conversions'!$H$47:$H$73,MATCH(KL$3,'Standards for Conversions'!$A$47:$A$73,0))))</f>
        <v/>
      </c>
      <c r="KO84" s="33" t="s">
        <v>98</v>
      </c>
      <c r="KP84" s="33">
        <v>9905</v>
      </c>
      <c r="KQ84" s="33">
        <v>63050</v>
      </c>
      <c r="KR84" s="31">
        <f>IF(KQ84/(INDEX('Standards for Conversions'!$H$47:$H$73,MATCH(KP$3,'Standards for Conversions'!$A$47:$A$73,0)))=0,"",KQ84/(INDEX('Standards for Conversions'!$H$47:$H$73,MATCH(KP$3,'Standards for Conversions'!$A$47:$A$73,0))))</f>
        <v>8490.2507006604665</v>
      </c>
      <c r="KS84" s="33" t="s">
        <v>98</v>
      </c>
      <c r="KT84" s="33">
        <v>700</v>
      </c>
      <c r="KU84" s="33">
        <v>5000</v>
      </c>
      <c r="KV84" s="31">
        <f>IF(KU84/(INDEX('Standards for Conversions'!$H$47:$H$73,MATCH(KT$3,'Standards for Conversions'!$A$47:$A$73,0)))=0,"",KU84/(INDEX('Standards for Conversions'!$H$47:$H$73,MATCH(KT$3,'Standards for Conversions'!$A$47:$A$73,0))))</f>
        <v>608.08283363749592</v>
      </c>
      <c r="KW84" s="33" t="s">
        <v>98</v>
      </c>
      <c r="KZ84" s="31" t="str">
        <f>IF(KY84/(INDEX('Standards for Conversions'!$H$47:$H$73,MATCH(KX$3,'Standards for Conversions'!$A$47:$A$73,0)))=0,"",KY84/(INDEX('Standards for Conversions'!$H$47:$H$73,MATCH(KX$3,'Standards for Conversions'!$A$47:$A$73,0))))</f>
        <v/>
      </c>
      <c r="LA84" s="33" t="s">
        <v>98</v>
      </c>
      <c r="LD84" s="31" t="str">
        <f>IF(LC84/(INDEX('Standards for Conversions'!$H$47:$H$73,MATCH(LB$3,'Standards for Conversions'!$A$47:$A$73,0)))=0,"",LC84/(INDEX('Standards for Conversions'!$H$47:$H$73,MATCH(LB$3,'Standards for Conversions'!$A$47:$A$73,0))))</f>
        <v/>
      </c>
      <c r="LE84" s="33" t="s">
        <v>98</v>
      </c>
      <c r="LF84" s="33">
        <v>12792.5</v>
      </c>
      <c r="LG84" s="33">
        <v>67760</v>
      </c>
      <c r="LH84" s="31">
        <f>IF(LG84/(INDEX('Standards for Conversions'!$H$47:$H$73,MATCH(LF$3,'Standards for Conversions'!$A$47:$A$73,0)))=0,"",LG84/(INDEX('Standards for Conversions'!$H$47:$H$73,MATCH(LF$3,'Standards for Conversions'!$A$47:$A$73,0))))</f>
        <v>8240.7385614553441</v>
      </c>
      <c r="LI84" s="33" t="s">
        <v>98</v>
      </c>
      <c r="LJ84" s="33">
        <v>9870</v>
      </c>
      <c r="LK84" s="33">
        <v>65000</v>
      </c>
      <c r="LL84" s="31">
        <f>IF(LK84/(INDEX('Standards for Conversions'!$H$47:$H$73,MATCH(LJ$3,'Standards for Conversions'!$A$47:$A$73,0)))=0,"",LK84/(INDEX('Standards for Conversions'!$H$47:$H$73,MATCH(LJ$3,'Standards for Conversions'!$A$47:$A$73,0))))</f>
        <v>6371.9543448190952</v>
      </c>
      <c r="LM84" s="33">
        <v>9135</v>
      </c>
      <c r="LN84" s="33">
        <v>60900</v>
      </c>
      <c r="LO84" s="31">
        <f>IF(LN84/(INDEX('Standards for Conversions'!$H$47:$H$73,MATCH(LM$3,'Standards for Conversions'!$A$47:$A$73,0)))=0,"",LN84/(INDEX('Standards for Conversions'!$H$47:$H$73,MATCH(LM$3,'Standards for Conversions'!$A$47:$A$73,0))))</f>
        <v>6150.5503687972523</v>
      </c>
      <c r="LP84" s="33">
        <v>9000</v>
      </c>
      <c r="LQ84" s="33">
        <v>60000</v>
      </c>
      <c r="LR84" s="31">
        <f>IF(LQ84/(INDEX('Standards for Conversions'!$H$47:$H$73,MATCH(LP$3,'Standards for Conversions'!$A$47:$A$73,0)))=0,"",LQ84/(INDEX('Standards for Conversions'!$H$47:$H$73,MATCH(LP$3,'Standards for Conversions'!$A$47:$A$73,0))))</f>
        <v>6262.9144216563818</v>
      </c>
      <c r="LS84" s="33" t="s">
        <v>98</v>
      </c>
      <c r="LT84" s="33">
        <v>10000</v>
      </c>
      <c r="LU84" s="33">
        <v>70000</v>
      </c>
      <c r="LV84" s="31">
        <f>IF(LU84/(INDEX('Standards for Conversions'!$H$47:$H$73,MATCH(LT$3,'Standards for Conversions'!$A$47:$A$73,0)))=0,"",LU84/(INDEX('Standards for Conversions'!$H$47:$H$73,MATCH(LT$3,'Standards for Conversions'!$A$47:$A$73,0))))</f>
        <v>6536.0435495785159</v>
      </c>
      <c r="LW84" s="33">
        <f>9000</f>
        <v>9000</v>
      </c>
      <c r="LX84" s="33">
        <v>60000</v>
      </c>
      <c r="LY84" s="31">
        <f>IF(LX84/(INDEX('Standards for Conversions'!$H$47:$H$73,MATCH(LW$3,'Standards for Conversions'!$A$47:$A$73,0)))=0,"",LX84/(INDEX('Standards for Conversions'!$H$47:$H$73,MATCH(LW$3,'Standards for Conversions'!$A$47:$A$73,0))))</f>
        <v>5475.2862388111571</v>
      </c>
      <c r="LZ84" s="33">
        <v>8000</v>
      </c>
      <c r="MA84" s="33">
        <v>53000</v>
      </c>
      <c r="MB84" s="31">
        <f>IF(MA84/(INDEX('Standards for Conversions'!$H$47:$H$73,MATCH(LZ$3,'Standards for Conversions'!$A$47:$A$73,0)))=0,"",MA84/(INDEX('Standards for Conversions'!$H$47:$H$73,MATCH(LZ$3,'Standards for Conversions'!$A$47:$A$73,0))))</f>
        <v>4926.2755188870533</v>
      </c>
      <c r="MC84" s="33">
        <v>10043</v>
      </c>
      <c r="MD84" s="33">
        <v>59423</v>
      </c>
      <c r="ME84" s="31">
        <f>IF(MD84/(INDEX('Standards for Conversions'!$H$47:$H$73,MATCH(MC$3,'Standards for Conversions'!$A$47:$A$73,0)))=0,"",MD84/(INDEX('Standards for Conversions'!$H$47:$H$73,MATCH(MC$3,'Standards for Conversions'!$A$47:$A$73,0))))</f>
        <v>5699.4255289443381</v>
      </c>
      <c r="MF84" s="33">
        <v>12326</v>
      </c>
      <c r="MG84" s="33">
        <v>68771</v>
      </c>
      <c r="MH84" s="31">
        <f>IF(MG84/(INDEX('Standards for Conversions'!$H$47:$H$73,MATCH(MF$3,'Standards for Conversions'!$A$47:$A$73,0)))=0,"",MG84/(INDEX('Standards for Conversions'!$H$47:$H$73,MATCH(MF$3,'Standards for Conversions'!$A$47:$A$73,0))))</f>
        <v>6333.9248189960445</v>
      </c>
      <c r="MI84" s="33">
        <v>24100</v>
      </c>
      <c r="MJ84" s="33">
        <v>136400</v>
      </c>
      <c r="MK84" s="31">
        <f>IF(MJ84/(INDEX('Standards for Conversions'!$H$47:$H$73,MATCH(MI$3,'Standards for Conversions'!$A$47:$A$73,0)))=0,"",MJ84/(INDEX('Standards for Conversions'!$H$47:$H$73,MATCH(MI$3,'Standards for Conversions'!$A$47:$A$73,0))))</f>
        <v>11118.684514498418</v>
      </c>
      <c r="ML84" s="33">
        <f>16500+11200+5100</f>
        <v>32800</v>
      </c>
      <c r="MM84" s="33">
        <f>105600+67200+25700</f>
        <v>198500</v>
      </c>
      <c r="MN84" s="31">
        <f>IF(MM84/(INDEX('Standards for Conversions'!$H$47:$H$73,MATCH(ML$3,'Standards for Conversions'!$A$47:$A$73,0)))=0,"",MM84/(INDEX('Standards for Conversions'!$H$47:$H$73,MATCH(ML$3,'Standards for Conversions'!$A$47:$A$73,0))))</f>
        <v>16643.091650734332</v>
      </c>
      <c r="MO84" s="33" t="s">
        <v>98</v>
      </c>
      <c r="MP84" s="33">
        <v>15200</v>
      </c>
      <c r="MQ84" s="29">
        <v>144400</v>
      </c>
      <c r="MR84" s="31">
        <f>IF(MQ84/(INDEX('Standards for Conversions'!$H$47:$H$73,MATCH(MP$3,'Standards for Conversions'!$A$47:$A$73,0)))=0,"",MQ84/(INDEX('Standards for Conversions'!$H$47:$H$73,MATCH(MP$3,'Standards for Conversions'!$A$47:$A$73,0))))</f>
        <v>12917.313926667824</v>
      </c>
      <c r="MS84" s="33" t="s">
        <v>98</v>
      </c>
      <c r="MT84" s="33">
        <v>10000</v>
      </c>
      <c r="MU84" s="33">
        <v>9000</v>
      </c>
      <c r="MV84" s="33">
        <v>21500</v>
      </c>
      <c r="MW84" s="33">
        <v>14333</v>
      </c>
      <c r="MX84" s="33">
        <v>20400</v>
      </c>
      <c r="MY84" s="33">
        <v>11147</v>
      </c>
      <c r="MZ84" s="33" t="s">
        <v>98</v>
      </c>
      <c r="NA84" s="33">
        <v>21080</v>
      </c>
      <c r="NB84" s="33">
        <v>12274</v>
      </c>
      <c r="NC84" s="33">
        <v>22287</v>
      </c>
      <c r="ND84" s="33">
        <v>14783</v>
      </c>
      <c r="NE84" s="33" t="s">
        <v>98</v>
      </c>
    </row>
    <row r="85" spans="1:373" s="33" customFormat="1" x14ac:dyDescent="0.3">
      <c r="A85" s="102" t="s">
        <v>160</v>
      </c>
      <c r="B85" s="10" t="s">
        <v>399</v>
      </c>
      <c r="C85" s="7">
        <f>1.75*200</f>
        <v>350</v>
      </c>
      <c r="D85" s="7">
        <v>600</v>
      </c>
      <c r="E85" s="31">
        <f>IF(D85/(INDEX('Standards for Conversions'!$H$34:$H$73,MATCH(C$3,'Standards for Conversions'!$A$34:$A$73,0)))=0,"",D85/(INDEX('Standards for Conversions'!$H$34:$H$73,MATCH(C$3,'Standards for Conversions'!$A$34:$A$73,0))))</f>
        <v>118.52533783783782</v>
      </c>
      <c r="F85" s="10" t="s">
        <v>399</v>
      </c>
      <c r="G85" s="7"/>
      <c r="H85" s="7"/>
      <c r="I85" s="31" t="str">
        <f>IF(H85/(INDEX('Standards for Conversions'!$H$34:$H$73,MATCH(G$3,'Standards for Conversions'!$A$34:$A$73,0)))=0,"",H85/(INDEX('Standards for Conversions'!$H$34:$H$73,MATCH(G$3,'Standards for Conversions'!$A$34:$A$73,0))))</f>
        <v/>
      </c>
      <c r="J85" s="10" t="s">
        <v>399</v>
      </c>
      <c r="K85" s="9"/>
      <c r="L85" s="9"/>
      <c r="M85" s="31" t="str">
        <f>IF(L85/(INDEX('Standards for Conversions'!$H$34:$H$73,MATCH(K$3,'Standards for Conversions'!$A$34:$A$73,0)))=0,"",L85/(INDEX('Standards for Conversions'!$H$34:$H$73,MATCH(K$3,'Standards for Conversions'!$A$34:$A$73,0))))</f>
        <v/>
      </c>
      <c r="N85" s="10" t="s">
        <v>399</v>
      </c>
      <c r="O85">
        <f>1.75*242</f>
        <v>423.5</v>
      </c>
      <c r="P85">
        <v>1700</v>
      </c>
      <c r="Q85" s="31">
        <f>IF(P85/(INDEX('Standards for Conversions'!$H$34:$H$73,MATCH(O$3,'Standards for Conversions'!$A$34:$A$73,0)))=0,"",P85/(INDEX('Standards for Conversions'!$H$34:$H$73,MATCH(O$3,'Standards for Conversions'!$A$34:$A$73,0))))</f>
        <v>335.82179054054052</v>
      </c>
      <c r="R85" s="10" t="s">
        <v>399</v>
      </c>
      <c r="S85" s="7"/>
      <c r="T85" s="7"/>
      <c r="U85" s="31" t="str">
        <f>IF(T85/(INDEX('Standards for Conversions'!$H$34:$H$73,MATCH(S$3,'Standards for Conversions'!$A$34:$A$73,0)))=0,"",T85/(INDEX('Standards for Conversions'!$H$34:$H$73,MATCH(S$3,'Standards for Conversions'!$A$34:$A$73,0))))</f>
        <v/>
      </c>
      <c r="V85" s="10" t="s">
        <v>399</v>
      </c>
      <c r="W85" s="7"/>
      <c r="X85" s="7"/>
      <c r="Y85" s="31" t="str">
        <f>IF(X85/(INDEX('Standards for Conversions'!$H$34:$H$73,MATCH(W$3,'Standards for Conversions'!$A$34:$A$73,0)))=0,"",X85/(INDEX('Standards for Conversions'!$H$34:$H$73,MATCH(W$3,'Standards for Conversions'!$A$34:$A$73,0))))</f>
        <v/>
      </c>
      <c r="Z85" s="10" t="s">
        <v>399</v>
      </c>
      <c r="AA85" s="9"/>
      <c r="AB85" s="9"/>
      <c r="AC85" s="31" t="str">
        <f>IF(AB85/(INDEX('Standards for Conversions'!$H$34:$H$73,MATCH(AA$3,'Standards for Conversions'!$A$34:$A$73,0)))=0,"",AB85/(INDEX('Standards for Conversions'!$H$34:$H$73,MATCH(AA$3,'Standards for Conversions'!$A$34:$A$73,0))))</f>
        <v/>
      </c>
      <c r="AD85" s="10" t="s">
        <v>399</v>
      </c>
      <c r="AE85">
        <f>1.75*250</f>
        <v>437.5</v>
      </c>
      <c r="AF85">
        <v>1700</v>
      </c>
      <c r="AG85" s="31">
        <f>IF(AF85/(INDEX('Standards for Conversions'!$H$34:$H$73,MATCH(AE$3,'Standards for Conversions'!$A$34:$A$73,0)))=0,"",AF85/(INDEX('Standards for Conversions'!$H$34:$H$73,MATCH(AE$3,'Standards for Conversions'!$A$34:$A$73,0))))</f>
        <v>327.54322550042002</v>
      </c>
      <c r="AH85" s="10" t="s">
        <v>399</v>
      </c>
      <c r="AI85" s="7"/>
      <c r="AJ85" s="7"/>
      <c r="AK85" s="31" t="str">
        <f>IF(AJ85/(INDEX('Standards for Conversions'!$H$34:$H$73,MATCH(AI$3,'Standards for Conversions'!$A$34:$A$73,0)))=0,"",AJ85/(INDEX('Standards for Conversions'!$H$34:$H$73,MATCH(AI$3,'Standards for Conversions'!$A$34:$A$73,0))))</f>
        <v/>
      </c>
      <c r="AL85" s="10" t="s">
        <v>399</v>
      </c>
      <c r="AM85" s="7"/>
      <c r="AN85" s="7"/>
      <c r="AO85" s="31" t="str">
        <f>IF(AN85/(INDEX('Standards for Conversions'!$H$34:$H$73,MATCH(AM$3,'Standards for Conversions'!$A$34:$A$73,0)))=0,"",AN85/(INDEX('Standards for Conversions'!$H$34:$H$73,MATCH(AM$3,'Standards for Conversions'!$A$34:$A$73,0))))</f>
        <v/>
      </c>
      <c r="AP85" s="10" t="s">
        <v>399</v>
      </c>
      <c r="AQ85" s="9"/>
      <c r="AR85" s="9"/>
      <c r="AS85" s="31" t="str">
        <f>IF(AR85/(INDEX('Standards for Conversions'!$H$34:$H$73,MATCH(AQ$3,'Standards for Conversions'!$A$34:$A$73,0)))=0,"",AR85/(INDEX('Standards for Conversions'!$H$34:$H$73,MATCH(AQ$3,'Standards for Conversions'!$A$34:$A$73,0))))</f>
        <v/>
      </c>
      <c r="AT85" s="10" t="s">
        <v>399</v>
      </c>
      <c r="AU85">
        <f>1.75*31</f>
        <v>54.25</v>
      </c>
      <c r="AV85">
        <v>550</v>
      </c>
      <c r="AW85" s="31">
        <f>IF(AV85/(INDEX('Standards for Conversions'!$H$34:$H$73,MATCH(AU$3,'Standards for Conversions'!$A$34:$A$73,0)))=0,"",AV85/(INDEX('Standards for Conversions'!$H$34:$H$73,MATCH(AU$3,'Standards for Conversions'!$A$34:$A$73,0))))</f>
        <v>98.284140450740111</v>
      </c>
      <c r="AX85" s="10" t="s">
        <v>399</v>
      </c>
      <c r="AY85" s="7"/>
      <c r="AZ85" s="7"/>
      <c r="BA85" s="31" t="str">
        <f>IF(AZ85/(INDEX('Standards for Conversions'!$H$34:$H$73,MATCH(AY$3,'Standards for Conversions'!$A$34:$A$73,0)))=0,"",AZ85/(INDEX('Standards for Conversions'!$H$34:$H$73,MATCH(AY$3,'Standards for Conversions'!$A$34:$A$73,0))))</f>
        <v/>
      </c>
      <c r="BB85" s="10" t="s">
        <v>399</v>
      </c>
      <c r="BC85" s="7"/>
      <c r="BD85" s="7"/>
      <c r="BE85" s="31" t="str">
        <f>IF(BD85/(INDEX('Standards for Conversions'!$H$34:$H$73,MATCH(BC$3,'Standards for Conversions'!$A$34:$A$73,0)))=0,"",BD85/(INDEX('Standards for Conversions'!$H$34:$H$73,MATCH(BC$3,'Standards for Conversions'!$A$34:$A$73,0))))</f>
        <v/>
      </c>
      <c r="BF85" s="10" t="s">
        <v>399</v>
      </c>
      <c r="BG85" s="9"/>
      <c r="BH85" s="9"/>
      <c r="BI85" s="31" t="str">
        <f>IF(BH85/(INDEX('Standards for Conversions'!$H$34:$H$73,MATCH(BG$3,'Standards for Conversions'!$A$34:$A$73,0)))=0,"",BH85/(INDEX('Standards for Conversions'!$H$34:$H$73,MATCH(BG$3,'Standards for Conversions'!$A$34:$A$73,0))))</f>
        <v/>
      </c>
      <c r="BJ85" s="10" t="s">
        <v>399</v>
      </c>
      <c r="BK85">
        <f>1.75*40</f>
        <v>70</v>
      </c>
      <c r="BL85">
        <v>600</v>
      </c>
      <c r="BM85" s="31">
        <f>IF(BL85/(INDEX('Standards for Conversions'!$H$34:$H$73,MATCH(BK$3,'Standards for Conversions'!$A$34:$A$73,0)))=0,"",BL85/(INDEX('Standards for Conversions'!$H$34:$H$73,MATCH(BK$3,'Standards for Conversions'!$A$34:$A$73,0))))</f>
        <v>111.41127683149388</v>
      </c>
      <c r="BN85" s="10" t="s">
        <v>399</v>
      </c>
      <c r="BO85" s="7"/>
      <c r="BP85" s="7"/>
      <c r="BQ85" s="31" t="str">
        <f>IF(BP85/(INDEX('Standards for Conversions'!$H$34:$H$73,MATCH(BO$3,'Standards for Conversions'!$A$34:$A$73,0)))=0,"",BP85/(INDEX('Standards for Conversions'!$H$34:$H$73,MATCH(BO$3,'Standards for Conversions'!$A$34:$A$73,0))))</f>
        <v/>
      </c>
      <c r="BR85" s="10" t="s">
        <v>399</v>
      </c>
      <c r="BS85" s="7"/>
      <c r="BT85" s="7"/>
      <c r="BU85" s="31" t="str">
        <f>IF(BT85/(INDEX('Standards for Conversions'!$H$34:$H$73,MATCH(BS$3,'Standards for Conversions'!$A$34:$A$73,0)))=0,"",BT85/(INDEX('Standards for Conversions'!$H$34:$H$73,MATCH(BS$3,'Standards for Conversions'!$A$34:$A$73,0))))</f>
        <v/>
      </c>
      <c r="BV85" s="10" t="s">
        <v>399</v>
      </c>
      <c r="BW85" s="9"/>
      <c r="BX85" s="9"/>
      <c r="BY85" s="31" t="str">
        <f>IF(BX85/(INDEX('Standards for Conversions'!$H$34:$H$73,MATCH(BW$3,'Standards for Conversions'!$A$34:$A$73,0)))=0,"",BX85/(INDEX('Standards for Conversions'!$H$34:$H$73,MATCH(BW$3,'Standards for Conversions'!$A$34:$A$73,0))))</f>
        <v/>
      </c>
      <c r="BZ85" s="10" t="s">
        <v>399</v>
      </c>
      <c r="CA85">
        <f>1.75*60</f>
        <v>105</v>
      </c>
      <c r="CB85">
        <v>800</v>
      </c>
      <c r="CC85" s="31">
        <f>IF(CB85/(INDEX('Standards for Conversions'!$H$34:$H$73,MATCH(CA$3,'Standards for Conversions'!$A$34:$A$73,0)))=0,"",CB85/(INDEX('Standards for Conversions'!$H$34:$H$73,MATCH(CA$3,'Standards for Conversions'!$A$34:$A$73,0))))</f>
        <v>142.45060253179221</v>
      </c>
      <c r="CD85" s="10" t="s">
        <v>399</v>
      </c>
      <c r="CE85" s="7"/>
      <c r="CF85" s="7"/>
      <c r="CG85" s="31" t="str">
        <f>IF(CF85/(INDEX('Standards for Conversions'!$H$34:$H$73,MATCH(CE$3,'Standards for Conversions'!$A$34:$A$73,0)))=0,"",CF85/(INDEX('Standards for Conversions'!$H$34:$H$73,MATCH(CE$3,'Standards for Conversions'!$A$34:$A$73,0))))</f>
        <v/>
      </c>
      <c r="CH85" s="10" t="s">
        <v>399</v>
      </c>
      <c r="CI85" s="7"/>
      <c r="CJ85" s="7"/>
      <c r="CK85" s="31" t="str">
        <f>IF(CJ85/(INDEX('Standards for Conversions'!$H$34:$H$73,MATCH(CI$3,'Standards for Conversions'!$A$34:$A$73,0)))=0,"",CJ85/(INDEX('Standards for Conversions'!$H$34:$H$73,MATCH(CI$3,'Standards for Conversions'!$A$34:$A$73,0))))</f>
        <v/>
      </c>
      <c r="CL85" s="10" t="s">
        <v>399</v>
      </c>
      <c r="CM85" s="9"/>
      <c r="CN85" s="9"/>
      <c r="CO85" s="31" t="str">
        <f>IF(CN85/(INDEX('Standards for Conversions'!$H$34:$H$73,MATCH(CM$3,'Standards for Conversions'!$A$34:$A$73,0)))=0,"",CN85/(INDEX('Standards for Conversions'!$H$34:$H$73,MATCH(CM$3,'Standards for Conversions'!$A$34:$A$73,0))))</f>
        <v/>
      </c>
      <c r="CP85" s="10" t="s">
        <v>399</v>
      </c>
      <c r="CQ85">
        <f>1.75*100</f>
        <v>175</v>
      </c>
      <c r="CR85">
        <v>800</v>
      </c>
      <c r="CS85" s="31">
        <f>IF(CR85/(INDEX('Standards for Conversions'!$H$34:$H$73,MATCH(CQ$3,'Standards for Conversions'!$A$34:$A$73,0)))=0,"",CR85/(INDEX('Standards for Conversions'!$H$34:$H$73,MATCH(CQ$3,'Standards for Conversions'!$A$34:$A$73,0))))</f>
        <v>138.89357202862027</v>
      </c>
      <c r="CT85" s="10" t="s">
        <v>399</v>
      </c>
      <c r="CU85" s="7"/>
      <c r="CV85" s="7"/>
      <c r="CW85" s="31" t="str">
        <f>IF(CV85/(INDEX('Standards for Conversions'!$H$34:$H$73,MATCH(CU$3,'Standards for Conversions'!$A$34:$A$73,0)))=0,"",CV85/(INDEX('Standards for Conversions'!$H$34:$H$73,MATCH(CU$3,'Standards for Conversions'!$A$34:$A$73,0))))</f>
        <v/>
      </c>
      <c r="CX85" s="10" t="s">
        <v>399</v>
      </c>
      <c r="CY85" s="7"/>
      <c r="CZ85" s="7"/>
      <c r="DA85" s="31" t="str">
        <f>IF(CZ85/(INDEX('Standards for Conversions'!$H$34:$H$73,MATCH(CY$3,'Standards for Conversions'!$A$34:$A$73,0)))=0,"",CZ85/(INDEX('Standards for Conversions'!$H$34:$H$73,MATCH(CY$3,'Standards for Conversions'!$A$34:$A$73,0))))</f>
        <v/>
      </c>
      <c r="DB85" s="10" t="s">
        <v>399</v>
      </c>
      <c r="DC85" s="9"/>
      <c r="DD85" s="9"/>
      <c r="DE85" s="31" t="str">
        <f>IF(DD85/(INDEX('Standards for Conversions'!$H$34:$H$73,MATCH(DC$3,'Standards for Conversions'!$A$34:$A$73,0)))=0,"",DD85/(INDEX('Standards for Conversions'!$H$34:$H$73,MATCH(DC$3,'Standards for Conversions'!$A$34:$A$73,0))))</f>
        <v/>
      </c>
      <c r="DF85" s="10" t="s">
        <v>399</v>
      </c>
      <c r="DG85">
        <f>1.75*115</f>
        <v>201.25</v>
      </c>
      <c r="DH85">
        <v>1300</v>
      </c>
      <c r="DI85" s="31">
        <f>IF(DH85/(INDEX('Standards for Conversions'!$H$34:$H$73,MATCH(DG$3,'Standards for Conversions'!$A$34:$A$73,0)))=0,"",DH85/(INDEX('Standards for Conversions'!$H$34:$H$73,MATCH(DG$3,'Standards for Conversions'!$A$34:$A$73,0))))</f>
        <v>230.10599707424467</v>
      </c>
      <c r="DJ85" s="10" t="s">
        <v>399</v>
      </c>
      <c r="DK85" s="7"/>
      <c r="DL85" s="7"/>
      <c r="DM85" s="31" t="str">
        <f>IF(DL85/(INDEX('Standards for Conversions'!$H$34:$H$73,MATCH(DK$3,'Standards for Conversions'!$A$34:$A$73,0)))=0,"",DL85/(INDEX('Standards for Conversions'!$H$34:$H$73,MATCH(DK$3,'Standards for Conversions'!$A$34:$A$73,0))))</f>
        <v/>
      </c>
      <c r="DN85" s="10" t="s">
        <v>399</v>
      </c>
      <c r="DO85" s="7"/>
      <c r="DP85" s="7"/>
      <c r="DQ85" s="31" t="str">
        <f>IF(DP85/(INDEX('Standards for Conversions'!$H$34:$H$73,MATCH(DO$3,'Standards for Conversions'!$A$34:$A$73,0)))=0,"",DP85/(INDEX('Standards for Conversions'!$H$34:$H$73,MATCH(DO$3,'Standards for Conversions'!$A$34:$A$73,0))))</f>
        <v/>
      </c>
      <c r="DR85" s="10" t="s">
        <v>399</v>
      </c>
      <c r="DS85" s="9"/>
      <c r="DT85" s="9"/>
      <c r="DU85" s="31" t="str">
        <f>IF(DT85/(INDEX('Standards for Conversions'!$H$34:$H$73,MATCH(DS$3,'Standards for Conversions'!$A$34:$A$73,0)))=0,"",DT85/(INDEX('Standards for Conversions'!$H$34:$H$73,MATCH(DS$3,'Standards for Conversions'!$A$34:$A$73,0))))</f>
        <v/>
      </c>
      <c r="DV85" s="10" t="s">
        <v>399</v>
      </c>
      <c r="DW85">
        <f>1.75*125</f>
        <v>218.75</v>
      </c>
      <c r="DX85">
        <v>1500</v>
      </c>
      <c r="DY85" s="31">
        <f>IF(DX85/(INDEX('Standards for Conversions'!$H$34:$H$73,MATCH(DW$3,'Standards for Conversions'!$A$34:$A$73,0)))=0,"",DX85/(INDEX('Standards for Conversions'!$H$34:$H$73,MATCH(DW$3,'Standards for Conversions'!$A$34:$A$73,0))))</f>
        <v>262.64859161814547</v>
      </c>
      <c r="DZ85" s="10" t="s">
        <v>399</v>
      </c>
      <c r="EA85" s="7"/>
      <c r="EB85" s="7"/>
      <c r="EC85" s="31" t="str">
        <f>IF(EB85/(INDEX('Standards for Conversions'!$H$34:$H$73,MATCH(EA$3,'Standards for Conversions'!$A$34:$A$73,0)))=0,"",EB85/(INDEX('Standards for Conversions'!$H$34:$H$73,MATCH(EA$3,'Standards for Conversions'!$A$34:$A$73,0))))</f>
        <v/>
      </c>
      <c r="ED85" s="10" t="s">
        <v>399</v>
      </c>
      <c r="EE85" s="7"/>
      <c r="EF85" s="7"/>
      <c r="EG85" s="31" t="str">
        <f>IF(EF85/(INDEX('Standards for Conversions'!$H$34:$H$73,MATCH(EE$3,'Standards for Conversions'!$A$34:$A$73,0)))=0,"",EF85/(INDEX('Standards for Conversions'!$H$34:$H$73,MATCH(EE$3,'Standards for Conversions'!$A$34:$A$73,0))))</f>
        <v/>
      </c>
      <c r="EH85" s="10" t="s">
        <v>399</v>
      </c>
      <c r="EI85" s="9"/>
      <c r="EJ85" s="9"/>
      <c r="EK85" s="31" t="str">
        <f>IF(EJ85/(INDEX('Standards for Conversions'!$H$34:$H$73,MATCH(EI$3,'Standards for Conversions'!$A$34:$A$73,0)))=0,"",EJ85/(INDEX('Standards for Conversions'!$H$34:$H$73,MATCH(EI$3,'Standards for Conversions'!$A$34:$A$73,0))))</f>
        <v/>
      </c>
      <c r="EL85" s="10" t="s">
        <v>399</v>
      </c>
      <c r="EM85">
        <f>1.75*5808</f>
        <v>10164</v>
      </c>
      <c r="EN85">
        <v>58385</v>
      </c>
      <c r="EO85" s="31">
        <f>IF(EN85/(INDEX('Standards for Conversions'!$H$34:$H$73,MATCH(EM$3,'Standards for Conversions'!$A$34:$A$73,0)))=0,"",EN85/(INDEX('Standards for Conversions'!$H$34:$H$73,MATCH(EM$3,'Standards for Conversions'!$A$34:$A$73,0))))</f>
        <v>10210.796941445062</v>
      </c>
      <c r="EP85" s="10" t="s">
        <v>399</v>
      </c>
      <c r="EQ85" s="7"/>
      <c r="ER85" s="7"/>
      <c r="ES85" s="31" t="str">
        <f>IF(ER85/(INDEX('Standards for Conversions'!$H$34:$H$73,MATCH(EQ$3,'Standards for Conversions'!$A$34:$A$73,0)))=0,"",ER85/(INDEX('Standards for Conversions'!$H$34:$H$73,MATCH(EQ$3,'Standards for Conversions'!$A$34:$A$73,0))))</f>
        <v/>
      </c>
      <c r="ET85" s="10" t="s">
        <v>399</v>
      </c>
      <c r="EU85" s="7"/>
      <c r="EV85" s="7"/>
      <c r="EW85" s="31" t="str">
        <f>IF(EV85/(INDEX('Standards for Conversions'!$H$34:$H$73,MATCH(EU$3,'Standards for Conversions'!$A$34:$A$73,0)))=0,"",EV85/(INDEX('Standards for Conversions'!$H$34:$H$73,MATCH(EU$3,'Standards for Conversions'!$A$34:$A$73,0))))</f>
        <v/>
      </c>
      <c r="EX85" s="10" t="s">
        <v>399</v>
      </c>
      <c r="EY85" s="9"/>
      <c r="EZ85" s="9"/>
      <c r="FA85" s="31" t="str">
        <f>IF(EZ85/(INDEX('Standards for Conversions'!$H$34:$H$73,MATCH(EY$3,'Standards for Conversions'!$A$34:$A$73,0)))=0,"",EZ85/(INDEX('Standards for Conversions'!$H$34:$H$73,MATCH(EY$3,'Standards for Conversions'!$A$34:$A$73,0))))</f>
        <v/>
      </c>
      <c r="FB85" s="10" t="s">
        <v>399</v>
      </c>
      <c r="FC85">
        <f>1.75*102</f>
        <v>178.5</v>
      </c>
      <c r="FD85">
        <v>950</v>
      </c>
      <c r="FE85" s="31">
        <f>IF(FD85/(INDEX('Standards for Conversions'!$H$34:$H$73,MATCH(FC$3,'Standards for Conversions'!$A$34:$A$73,0)))=0,"",FD85/(INDEX('Standards for Conversions'!$H$34:$H$73,MATCH(FC$3,'Standards for Conversions'!$A$34:$A$73,0))))</f>
        <v>162.72355911981111</v>
      </c>
      <c r="FF85" s="10" t="s">
        <v>399</v>
      </c>
      <c r="FG85" s="7"/>
      <c r="FH85" s="7"/>
      <c r="FI85" s="31" t="str">
        <f>IF(FH85/(INDEX('Standards for Conversions'!$H$34:$H$73,MATCH(FG$3,'Standards for Conversions'!$A$34:$A$73,0)))=0,"",FH85/(INDEX('Standards for Conversions'!$H$34:$H$73,MATCH(FG$3,'Standards for Conversions'!$A$34:$A$73,0))))</f>
        <v/>
      </c>
      <c r="FJ85" s="10" t="s">
        <v>399</v>
      </c>
      <c r="FK85" s="7"/>
      <c r="FL85" s="7"/>
      <c r="FM85" s="31" t="str">
        <f>IF(FL85/(INDEX('Standards for Conversions'!$H$34:$H$73,MATCH(FK$3,'Standards for Conversions'!$A$34:$A$73,0)))=0,"",FL85/(INDEX('Standards for Conversions'!$H$34:$H$73,MATCH(FK$3,'Standards for Conversions'!$A$34:$A$73,0))))</f>
        <v/>
      </c>
      <c r="FN85" s="10" t="s">
        <v>399</v>
      </c>
      <c r="FO85" s="9"/>
      <c r="FP85" s="9"/>
      <c r="FQ85" s="31" t="str">
        <f>IF(FP85/(INDEX('Standards for Conversions'!$H$34:$H$73,MATCH(FO$3,'Standards for Conversions'!$A$34:$A$73,0)))=0,"",FP85/(INDEX('Standards for Conversions'!$H$34:$H$73,MATCH(FO$3,'Standards for Conversions'!$A$34:$A$73,0))))</f>
        <v/>
      </c>
      <c r="FR85" s="10" t="s">
        <v>399</v>
      </c>
      <c r="FS85">
        <f>1.75*150</f>
        <v>262.5</v>
      </c>
      <c r="FT85">
        <v>1200</v>
      </c>
      <c r="FU85" s="31">
        <f>IF(FT85/(INDEX('Standards for Conversions'!$H$34:$H$73,MATCH(FS$3,'Standards for Conversions'!$A$34:$A$73,0)))=0,"",FT85/(INDEX('Standards for Conversions'!$H$34:$H$73,MATCH(FS$3,'Standards for Conversions'!$A$34:$A$73,0))))</f>
        <v>205.79962196923609</v>
      </c>
      <c r="FV85" s="10" t="s">
        <v>399</v>
      </c>
      <c r="FW85" s="7"/>
      <c r="FX85" s="7"/>
      <c r="FY85" s="31" t="str">
        <f>IF(FX85/(INDEX('Standards for Conversions'!$H$34:$H$73,MATCH(FW$3,'Standards for Conversions'!$A$34:$A$73,0)))=0,"",FX85/(INDEX('Standards for Conversions'!$H$34:$H$73,MATCH(FW$3,'Standards for Conversions'!$A$34:$A$73,0))))</f>
        <v/>
      </c>
      <c r="FZ85" s="10" t="s">
        <v>399</v>
      </c>
      <c r="GA85" s="7"/>
      <c r="GB85" s="7"/>
      <c r="GC85" s="31" t="str">
        <f>IF(GB85/(INDEX('Standards for Conversions'!$H$34:$H$73,MATCH(GA$3,'Standards for Conversions'!$A$34:$A$73,0)))=0,"",GB85/(INDEX('Standards for Conversions'!$H$34:$H$73,MATCH(GA$3,'Standards for Conversions'!$A$34:$A$73,0))))</f>
        <v/>
      </c>
      <c r="GD85" s="10" t="s">
        <v>399</v>
      </c>
      <c r="GE85" s="9"/>
      <c r="GF85" s="9"/>
      <c r="GG85" s="31" t="str">
        <f>IF(GF85/(INDEX('Standards for Conversions'!$H$34:$H$73,MATCH(GE$3,'Standards for Conversions'!$A$34:$A$73,0)))=0,"",GF85/(INDEX('Standards for Conversions'!$H$34:$H$73,MATCH(GE$3,'Standards for Conversions'!$A$34:$A$73,0))))</f>
        <v/>
      </c>
      <c r="GH85" s="10" t="s">
        <v>399</v>
      </c>
      <c r="GI85">
        <f>1.75*100</f>
        <v>175</v>
      </c>
      <c r="GJ85">
        <v>850</v>
      </c>
      <c r="GK85" s="31">
        <f>IF(GJ85/(INDEX('Standards for Conversions'!$H$34:$H$73,MATCH(GI$3,'Standards for Conversions'!$A$34:$A$73,0)))=0,"",GJ85/(INDEX('Standards for Conversions'!$H$34:$H$73,MATCH(GI$3,'Standards for Conversions'!$A$34:$A$73,0))))</f>
        <v>139.83576165594855</v>
      </c>
      <c r="GL85" s="10" t="s">
        <v>399</v>
      </c>
      <c r="GM85" s="7"/>
      <c r="GN85" s="7"/>
      <c r="GO85" s="31" t="str">
        <f>IF(GN85/(INDEX('Standards for Conversions'!$H$34:$H$73,MATCH(GM$3,'Standards for Conversions'!$A$34:$A$73,0)))=0,"",GN85/(INDEX('Standards for Conversions'!$H$34:$H$73,MATCH(GM$3,'Standards for Conversions'!$A$34:$A$73,0))))</f>
        <v/>
      </c>
      <c r="GP85" s="10" t="s">
        <v>399</v>
      </c>
      <c r="GQ85" s="7"/>
      <c r="GR85" s="7"/>
      <c r="GS85" s="31" t="str">
        <f>IF(GR85/(INDEX('Standards for Conversions'!$H$34:$H$73,MATCH(GQ$3,'Standards for Conversions'!$A$34:$A$73,0)))=0,"",GR85/(INDEX('Standards for Conversions'!$H$34:$H$73,MATCH(GQ$3,'Standards for Conversions'!$A$34:$A$73,0))))</f>
        <v/>
      </c>
      <c r="GT85" s="10" t="s">
        <v>399</v>
      </c>
      <c r="GU85" s="9"/>
      <c r="GV85" s="9"/>
      <c r="GW85" s="31" t="str">
        <f>IF(GV85/(INDEX('Standards for Conversions'!$H$34:$H$73,MATCH(GU$3,'Standards for Conversions'!$A$34:$A$73,0)))=0,"",GV85/(INDEX('Standards for Conversions'!$H$34:$H$73,MATCH(GU$3,'Standards for Conversions'!$A$34:$A$73,0))))</f>
        <v/>
      </c>
      <c r="GX85" s="10" t="s">
        <v>399</v>
      </c>
      <c r="GY85">
        <f>1.75*150</f>
        <v>262.5</v>
      </c>
      <c r="GZ85">
        <v>1350</v>
      </c>
      <c r="HA85" s="31">
        <f>IF(GZ85/(INDEX('Standards for Conversions'!$H$34:$H$73,MATCH(GY$3,'Standards for Conversions'!$A$34:$A$73,0)))=0,"",GZ85/(INDEX('Standards for Conversions'!$H$34:$H$73,MATCH(GY$3,'Standards for Conversions'!$A$34:$A$73,0))))</f>
        <v>207.51461881897976</v>
      </c>
      <c r="HB85" s="10" t="s">
        <v>399</v>
      </c>
      <c r="HC85" s="7"/>
      <c r="HD85" s="7"/>
      <c r="HE85" s="31" t="str">
        <f>IF(HD85/(INDEX('Standards for Conversions'!$H$34:$H$73,MATCH(HC$3,'Standards for Conversions'!$A$34:$A$73,0)))=0,"",HD85/(INDEX('Standards for Conversions'!$H$34:$H$73,MATCH(HC$3,'Standards for Conversions'!$A$34:$A$73,0))))</f>
        <v/>
      </c>
      <c r="HF85" s="10" t="s">
        <v>399</v>
      </c>
      <c r="HG85" s="7"/>
      <c r="HH85" s="7"/>
      <c r="HI85" s="31" t="str">
        <f>IF(HH85/(INDEX('Standards for Conversions'!$H$34:$H$73,MATCH(HG$3,'Standards for Conversions'!$A$34:$A$73,0)))=0,"",HH85/(INDEX('Standards for Conversions'!$H$34:$H$73,MATCH(HG$3,'Standards for Conversions'!$A$34:$A$73,0))))</f>
        <v/>
      </c>
      <c r="HJ85" s="10" t="s">
        <v>399</v>
      </c>
      <c r="HK85" s="9"/>
      <c r="HL85" s="9"/>
      <c r="HM85" s="31" t="str">
        <f>IF(HL85/(INDEX('Standards for Conversions'!$H$34:$H$73,MATCH(HK$3,'Standards for Conversions'!$A$34:$A$73,0)))=0,"",HL85/(INDEX('Standards for Conversions'!$H$34:$H$73,MATCH(HK$3,'Standards for Conversions'!$A$34:$A$73,0))))</f>
        <v/>
      </c>
      <c r="HN85" s="10" t="s">
        <v>399</v>
      </c>
      <c r="HO85">
        <f>1.75*140</f>
        <v>245</v>
      </c>
      <c r="HP85">
        <v>1300</v>
      </c>
      <c r="HQ85" s="31">
        <f>IF(HP85/(INDEX('Standards for Conversions'!$H$34:$H$73,MATCH(HO$3,'Standards for Conversions'!$A$34:$A$73,0)))=0,"",HP85/(INDEX('Standards for Conversions'!$H$34:$H$73,MATCH(HO$3,'Standards for Conversions'!$A$34:$A$73,0))))</f>
        <v>196.80118170823553</v>
      </c>
      <c r="HR85" s="33" t="s">
        <v>98</v>
      </c>
      <c r="HU85" s="31" t="str">
        <f>IF(HT85/(INDEX('Standards for Conversions'!$H$47:$H$73,MATCH(HS$3,'Standards for Conversions'!$A$47:$A$73,0)))=0,"",HT85/(INDEX('Standards for Conversions'!$H$47:$H$73,MATCH(HS$3,'Standards for Conversions'!$A$47:$A$73,0))))</f>
        <v/>
      </c>
      <c r="HV85" s="33" t="s">
        <v>98</v>
      </c>
      <c r="HY85" s="31" t="str">
        <f>IF(HX85/(INDEX('Standards for Conversions'!$H$47:$H$73,MATCH(HW$3,'Standards for Conversions'!$A$47:$A$73,0)))=0,"",HX85/(INDEX('Standards for Conversions'!$H$47:$H$73,MATCH(HW$3,'Standards for Conversions'!$A$47:$A$73,0))))</f>
        <v/>
      </c>
      <c r="IB85" s="31" t="str">
        <f>IF(IA85/(INDEX('Standards for Conversions'!$H$47:$H$73,MATCH(HZ$3,'Standards for Conversions'!$A$47:$A$73,0)))=0,"",IA85/(INDEX('Standards for Conversions'!$H$47:$H$73,MATCH(HZ$3,'Standards for Conversions'!$A$47:$A$73,0))))</f>
        <v/>
      </c>
      <c r="IC85" s="33" t="s">
        <v>98</v>
      </c>
      <c r="ID85" s="33">
        <v>175</v>
      </c>
      <c r="IE85" s="33">
        <v>1000</v>
      </c>
      <c r="IF85" s="31">
        <f>IF(IE85/(INDEX('Standards for Conversions'!$H$47:$H$73,MATCH(ID$3,'Standards for Conversions'!$A$47:$A$73,0)))=0,"",IE85/(INDEX('Standards for Conversions'!$H$47:$H$73,MATCH(ID$3,'Standards for Conversions'!$A$47:$A$73,0))))</f>
        <v>145.24541221285597</v>
      </c>
      <c r="IG85" s="33" t="s">
        <v>98</v>
      </c>
      <c r="IJ85" s="31" t="str">
        <f>IF(II85/(INDEX('Standards for Conversions'!$H$47:$H$73,MATCH(IH$3,'Standards for Conversions'!$A$47:$A$73,0)))=0,"",II85/(INDEX('Standards for Conversions'!$H$47:$H$73,MATCH(IH$3,'Standards for Conversions'!$A$47:$A$73,0))))</f>
        <v/>
      </c>
      <c r="IK85" s="33" t="s">
        <v>98</v>
      </c>
      <c r="IN85" s="31" t="str">
        <f>IF(IM85/(INDEX('Standards for Conversions'!$H$47:$H$73,MATCH(IL$3,'Standards for Conversions'!$A$47:$A$73,0)))=0,"",IM85/(INDEX('Standards for Conversions'!$H$47:$H$73,MATCH(IL$3,'Standards for Conversions'!$A$47:$A$73,0))))</f>
        <v/>
      </c>
      <c r="IO85" s="33" t="s">
        <v>98</v>
      </c>
      <c r="IR85" s="31" t="str">
        <f>IF(IQ85/(INDEX('Standards for Conversions'!$H$47:$H$73,MATCH(IP$3,'Standards for Conversions'!$A$47:$A$73,0)))=0,"",IQ85/(INDEX('Standards for Conversions'!$H$47:$H$73,MATCH(IP$3,'Standards for Conversions'!$A$47:$A$73,0))))</f>
        <v/>
      </c>
      <c r="IS85" s="33" t="s">
        <v>98</v>
      </c>
      <c r="IT85" s="33">
        <v>250.25</v>
      </c>
      <c r="IU85" s="33">
        <v>1235</v>
      </c>
      <c r="IV85" s="31">
        <f>IF(IU85/(INDEX('Standards for Conversions'!$H$47:$H$73,MATCH(IT$3,'Standards for Conversions'!$A$47:$A$73,0)))=0,"",IU85/(INDEX('Standards for Conversions'!$H$47:$H$73,MATCH(IT$3,'Standards for Conversions'!$A$47:$A$73,0))))</f>
        <v>178.59363182012396</v>
      </c>
      <c r="IW85" s="33" t="s">
        <v>98</v>
      </c>
      <c r="IX85" s="33">
        <v>2800</v>
      </c>
      <c r="IY85" s="33">
        <v>13600</v>
      </c>
      <c r="IZ85" s="31">
        <f>IF(IY85/(INDEX('Standards for Conversions'!$H$47:$H$73,MATCH(IX$3,'Standards for Conversions'!$A$47:$A$73,0)))=0,"",IY85/(INDEX('Standards for Conversions'!$H$47:$H$73,MATCH(IX$3,'Standards for Conversions'!$A$47:$A$73,0))))</f>
        <v>2199.9386750094141</v>
      </c>
      <c r="JA85" s="33" t="s">
        <v>98</v>
      </c>
      <c r="JD85" s="31" t="str">
        <f>IF(JC85/(INDEX('Standards for Conversions'!$H$47:$H$73,MATCH(JB$3,'Standards for Conversions'!$A$47:$A$73,0)))=0,"",JC85/(INDEX('Standards for Conversions'!$H$47:$H$73,MATCH(JB$3,'Standards for Conversions'!$A$47:$A$73,0))))</f>
        <v/>
      </c>
      <c r="JE85" s="33" t="s">
        <v>98</v>
      </c>
      <c r="JH85" s="31" t="str">
        <f>IF(JG85/(INDEX('Standards for Conversions'!$H$47:$H$73,MATCH(JF$3,'Standards for Conversions'!$A$47:$A$73,0)))=0,"",JG85/(INDEX('Standards for Conversions'!$H$47:$H$73,MATCH(JF$3,'Standards for Conversions'!$A$47:$A$73,0))))</f>
        <v/>
      </c>
      <c r="JI85" s="33" t="s">
        <v>98</v>
      </c>
      <c r="JJ85" s="33">
        <v>306.25</v>
      </c>
      <c r="JK85" s="33">
        <v>1300</v>
      </c>
      <c r="JL85" s="31">
        <f>IF(JK85/(INDEX('Standards for Conversions'!$H$47:$H$73,MATCH(JJ$3,'Standards for Conversions'!$A$47:$A$73,0)))=0,"",JK85/(INDEX('Standards for Conversions'!$H$47:$H$73,MATCH(JJ$3,'Standards for Conversions'!$A$47:$A$73,0))))</f>
        <v>210.2882556994293</v>
      </c>
      <c r="JM85" s="33" t="s">
        <v>98</v>
      </c>
      <c r="JP85" s="31" t="str">
        <f>IF(JO85/(INDEX('Standards for Conversions'!$H$47:$H$73,MATCH(JN$3,'Standards for Conversions'!$A$47:$A$73,0)))=0,"",JO85/(INDEX('Standards for Conversions'!$H$47:$H$73,MATCH(JN$3,'Standards for Conversions'!$A$47:$A$73,0))))</f>
        <v/>
      </c>
      <c r="JQ85" s="33" t="s">
        <v>98</v>
      </c>
      <c r="JT85" s="31" t="str">
        <f>IF(JS85/(INDEX('Standards for Conversions'!$H$47:$H$73,MATCH(JR$3,'Standards for Conversions'!$A$47:$A$73,0)))=0,"",JS85/(INDEX('Standards for Conversions'!$H$47:$H$73,MATCH(JR$3,'Standards for Conversions'!$A$47:$A$73,0))))</f>
        <v/>
      </c>
      <c r="JU85" s="33" t="s">
        <v>98</v>
      </c>
      <c r="JX85" s="31" t="str">
        <f>IF(JW85/(INDEX('Standards for Conversions'!$H$47:$H$73,MATCH(JV$3,'Standards for Conversions'!$A$47:$A$73,0)))=0,"",JW85/(INDEX('Standards for Conversions'!$H$47:$H$73,MATCH(JV$3,'Standards for Conversions'!$A$47:$A$73,0))))</f>
        <v/>
      </c>
      <c r="JY85" s="33" t="s">
        <v>98</v>
      </c>
      <c r="JZ85" s="33">
        <v>262.5</v>
      </c>
      <c r="KA85" s="33">
        <v>1000</v>
      </c>
      <c r="KB85" s="31">
        <f>IF(KA85/(INDEX('Standards for Conversions'!$H$47:$H$73,MATCH(JZ$3,'Standards for Conversions'!$A$47:$A$73,0)))=0,"",KA85/(INDEX('Standards for Conversions'!$H$47:$H$73,MATCH(JZ$3,'Standards for Conversions'!$A$47:$A$73,0))))</f>
        <v>152.65589242779757</v>
      </c>
      <c r="KC85" s="33" t="s">
        <v>98</v>
      </c>
      <c r="KF85" s="31" t="str">
        <f>IF(KE85/(INDEX('Standards for Conversions'!$H$47:$H$73,MATCH(KD$3,'Standards for Conversions'!$A$47:$A$73,0)))=0,"",KE85/(INDEX('Standards for Conversions'!$H$47:$H$73,MATCH(KD$3,'Standards for Conversions'!$A$47:$A$73,0))))</f>
        <v/>
      </c>
      <c r="KG85" s="33" t="s">
        <v>98</v>
      </c>
      <c r="KJ85" s="31" t="str">
        <f>IF(KI85/(INDEX('Standards for Conversions'!$H$47:$H$73,MATCH(KH$3,'Standards for Conversions'!$A$47:$A$73,0)))=0,"",KI85/(INDEX('Standards for Conversions'!$H$47:$H$73,MATCH(KH$3,'Standards for Conversions'!$A$47:$A$73,0))))</f>
        <v/>
      </c>
      <c r="KK85" s="33" t="s">
        <v>98</v>
      </c>
      <c r="KN85" s="31" t="str">
        <f>IF(KM85/(INDEX('Standards for Conversions'!$H$47:$H$73,MATCH(KL$3,'Standards for Conversions'!$A$47:$A$73,0)))=0,"",KM85/(INDEX('Standards for Conversions'!$H$47:$H$73,MATCH(KL$3,'Standards for Conversions'!$A$47:$A$73,0))))</f>
        <v/>
      </c>
      <c r="KO85" s="33" t="s">
        <v>98</v>
      </c>
      <c r="KP85" s="33">
        <v>245</v>
      </c>
      <c r="KQ85" s="33">
        <v>900</v>
      </c>
      <c r="KR85" s="31">
        <f>IF(KQ85/(INDEX('Standards for Conversions'!$H$47:$H$73,MATCH(KP$3,'Standards for Conversions'!$A$47:$A$73,0)))=0,"",KQ85/(INDEX('Standards for Conversions'!$H$47:$H$73,MATCH(KP$3,'Standards for Conversions'!$A$47:$A$73,0))))</f>
        <v>121.19311071521682</v>
      </c>
      <c r="KS85" s="33" t="s">
        <v>98</v>
      </c>
      <c r="KV85" s="31" t="str">
        <f>IF(KU85/(INDEX('Standards for Conversions'!$H$47:$H$73,MATCH(KT$3,'Standards for Conversions'!$A$47:$A$73,0)))=0,"",KU85/(INDEX('Standards for Conversions'!$H$47:$H$73,MATCH(KT$3,'Standards for Conversions'!$A$47:$A$73,0))))</f>
        <v/>
      </c>
      <c r="KW85" s="33" t="s">
        <v>98</v>
      </c>
      <c r="KZ85" s="31" t="str">
        <f>IF(KY85/(INDEX('Standards for Conversions'!$H$47:$H$73,MATCH(KX$3,'Standards for Conversions'!$A$47:$A$73,0)))=0,"",KY85/(INDEX('Standards for Conversions'!$H$47:$H$73,MATCH(KX$3,'Standards for Conversions'!$A$47:$A$73,0))))</f>
        <v/>
      </c>
      <c r="LA85" s="33" t="s">
        <v>98</v>
      </c>
      <c r="LD85" s="31" t="str">
        <f>IF(LC85/(INDEX('Standards for Conversions'!$H$47:$H$73,MATCH(LB$3,'Standards for Conversions'!$A$47:$A$73,0)))=0,"",LC85/(INDEX('Standards for Conversions'!$H$47:$H$73,MATCH(LB$3,'Standards for Conversions'!$A$47:$A$73,0))))</f>
        <v/>
      </c>
      <c r="LE85" s="33" t="s">
        <v>98</v>
      </c>
      <c r="LF85" s="33">
        <v>147</v>
      </c>
      <c r="LG85" s="33">
        <v>725</v>
      </c>
      <c r="LH85" s="31">
        <f>IF(LG85/(INDEX('Standards for Conversions'!$H$47:$H$73,MATCH(LF$3,'Standards for Conversions'!$A$47:$A$73,0)))=0,"",LG85/(INDEX('Standards for Conversions'!$H$47:$H$73,MATCH(LF$3,'Standards for Conversions'!$A$47:$A$73,0))))</f>
        <v>88.172010877436904</v>
      </c>
      <c r="LL85" s="31" t="str">
        <f>IF(LK85/(INDEX('Standards for Conversions'!$H$47:$H$73,MATCH(LJ$3,'Standards for Conversions'!$A$47:$A$73,0)))=0,"",LK85/(INDEX('Standards for Conversions'!$H$47:$H$73,MATCH(LJ$3,'Standards for Conversions'!$A$47:$A$73,0))))</f>
        <v/>
      </c>
      <c r="LO85" s="31" t="str">
        <f>IF(LN85/(INDEX('Standards for Conversions'!$H$47:$H$73,MATCH(LM$3,'Standards for Conversions'!$A$47:$A$73,0)))=0,"",LN85/(INDEX('Standards for Conversions'!$H$47:$H$73,MATCH(LM$3,'Standards for Conversions'!$A$47:$A$73,0))))</f>
        <v/>
      </c>
      <c r="LR85" s="31" t="str">
        <f>IF(LQ85/(INDEX('Standards for Conversions'!$H$47:$H$73,MATCH(LP$3,'Standards for Conversions'!$A$47:$A$73,0)))=0,"",LQ85/(INDEX('Standards for Conversions'!$H$47:$H$73,MATCH(LP$3,'Standards for Conversions'!$A$47:$A$73,0))))</f>
        <v/>
      </c>
      <c r="LV85" s="31" t="str">
        <f>IF(LU85/(INDEX('Standards for Conversions'!$H$47:$H$73,MATCH(LT$3,'Standards for Conversions'!$A$47:$A$73,0)))=0,"",LU85/(INDEX('Standards for Conversions'!$H$47:$H$73,MATCH(LT$3,'Standards for Conversions'!$A$47:$A$73,0))))</f>
        <v/>
      </c>
      <c r="LY85" s="31" t="str">
        <f>IF(LX85/(INDEX('Standards for Conversions'!$H$47:$H$73,MATCH(LW$3,'Standards for Conversions'!$A$47:$A$73,0)))=0,"",LX85/(INDEX('Standards for Conversions'!$H$47:$H$73,MATCH(LW$3,'Standards for Conversions'!$A$47:$A$73,0))))</f>
        <v/>
      </c>
      <c r="MB85" s="31" t="str">
        <f>IF(MA85/(INDEX('Standards for Conversions'!$H$47:$H$73,MATCH(LZ$3,'Standards for Conversions'!$A$47:$A$73,0)))=0,"",MA85/(INDEX('Standards for Conversions'!$H$47:$H$73,MATCH(LZ$3,'Standards for Conversions'!$A$47:$A$73,0))))</f>
        <v/>
      </c>
      <c r="ME85" s="31" t="str">
        <f>IF(MD85/(INDEX('Standards for Conversions'!$H$47:$H$73,MATCH(MC$3,'Standards for Conversions'!$A$47:$A$73,0)))=0,"",MD85/(INDEX('Standards for Conversions'!$H$47:$H$73,MATCH(MC$3,'Standards for Conversions'!$A$47:$A$73,0))))</f>
        <v/>
      </c>
      <c r="MH85" s="31" t="str">
        <f>IF(MG85/(INDEX('Standards for Conversions'!$H$47:$H$73,MATCH(MF$3,'Standards for Conversions'!$A$47:$A$73,0)))=0,"",MG85/(INDEX('Standards for Conversions'!$H$47:$H$73,MATCH(MF$3,'Standards for Conversions'!$A$47:$A$73,0))))</f>
        <v/>
      </c>
      <c r="MK85" s="31" t="str">
        <f>IF(MJ85/(INDEX('Standards for Conversions'!$H$47:$H$73,MATCH(MI$3,'Standards for Conversions'!$A$47:$A$73,0)))=0,"",MJ85/(INDEX('Standards for Conversions'!$H$47:$H$73,MATCH(MI$3,'Standards for Conversions'!$A$47:$A$73,0))))</f>
        <v/>
      </c>
      <c r="MN85" s="31" t="str">
        <f>IF(MM85/(INDEX('Standards for Conversions'!$H$47:$H$73,MATCH(ML$3,'Standards for Conversions'!$A$47:$A$73,0)))=0,"",MM85/(INDEX('Standards for Conversions'!$H$47:$H$73,MATCH(ML$3,'Standards for Conversions'!$A$47:$A$73,0))))</f>
        <v/>
      </c>
      <c r="MR85" s="31" t="str">
        <f>IF(MQ85/(INDEX('Standards for Conversions'!$H$47:$H$73,MATCH(MP$3,'Standards for Conversions'!$A$47:$A$73,0)))=0,"",MQ85/(INDEX('Standards for Conversions'!$H$47:$H$73,MATCH(MP$3,'Standards for Conversions'!$A$47:$A$73,0))))</f>
        <v/>
      </c>
      <c r="NE85" s="33" t="s">
        <v>98</v>
      </c>
      <c r="NF85" s="33">
        <v>80</v>
      </c>
      <c r="NG85" s="33">
        <v>70</v>
      </c>
      <c r="NH85" s="33">
        <v>38</v>
      </c>
      <c r="NI85" s="33">
        <v>39</v>
      </c>
    </row>
    <row r="86" spans="1:373" s="33" customFormat="1" x14ac:dyDescent="0.3">
      <c r="A86" s="102" t="s">
        <v>143</v>
      </c>
      <c r="B86" s="10" t="s">
        <v>399</v>
      </c>
      <c r="C86" s="7"/>
      <c r="D86" s="7"/>
      <c r="E86" s="31" t="str">
        <f>IF(D86/(INDEX('Standards for Conversions'!$H$34:$H$73,MATCH(C$3,'Standards for Conversions'!$A$34:$A$73,0)))=0,"",D86/(INDEX('Standards for Conversions'!$H$34:$H$73,MATCH(C$3,'Standards for Conversions'!$A$34:$A$73,0))))</f>
        <v/>
      </c>
      <c r="F86" s="10" t="s">
        <v>399</v>
      </c>
      <c r="G86" s="7">
        <f>1.75*2</f>
        <v>3.5</v>
      </c>
      <c r="H86" s="7">
        <v>50</v>
      </c>
      <c r="I86" s="31">
        <f>IF(H86/(INDEX('Standards for Conversions'!$H$34:$H$73,MATCH(G$3,'Standards for Conversions'!$A$34:$A$73,0)))=0,"",H86/(INDEX('Standards for Conversions'!$H$34:$H$73,MATCH(G$3,'Standards for Conversions'!$A$34:$A$73,0))))</f>
        <v>9.877111486486486</v>
      </c>
      <c r="J86" s="10" t="s">
        <v>399</v>
      </c>
      <c r="K86" s="9"/>
      <c r="L86" s="9"/>
      <c r="M86" s="31" t="str">
        <f>IF(L86/(INDEX('Standards for Conversions'!$H$34:$H$73,MATCH(K$3,'Standards for Conversions'!$A$34:$A$73,0)))=0,"",L86/(INDEX('Standards for Conversions'!$H$34:$H$73,MATCH(K$3,'Standards for Conversions'!$A$34:$A$73,0))))</f>
        <v/>
      </c>
      <c r="N86" s="10" t="s">
        <v>399</v>
      </c>
      <c r="O86" s="7"/>
      <c r="P86" s="7"/>
      <c r="Q86" s="31" t="str">
        <f>IF(P86/(INDEX('Standards for Conversions'!$H$34:$H$73,MATCH(O$3,'Standards for Conversions'!$A$34:$A$73,0)))=0,"",P86/(INDEX('Standards for Conversions'!$H$34:$H$73,MATCH(O$3,'Standards for Conversions'!$A$34:$A$73,0))))</f>
        <v/>
      </c>
      <c r="R86" s="10" t="s">
        <v>399</v>
      </c>
      <c r="S86" s="7"/>
      <c r="T86" s="7"/>
      <c r="U86" s="31" t="str">
        <f>IF(T86/(INDEX('Standards for Conversions'!$H$34:$H$73,MATCH(S$3,'Standards for Conversions'!$A$34:$A$73,0)))=0,"",T86/(INDEX('Standards for Conversions'!$H$34:$H$73,MATCH(S$3,'Standards for Conversions'!$A$34:$A$73,0))))</f>
        <v/>
      </c>
      <c r="V86" s="10" t="s">
        <v>399</v>
      </c>
      <c r="W86" s="7">
        <f>1.75*10</f>
        <v>17.5</v>
      </c>
      <c r="X86" s="7">
        <v>250</v>
      </c>
      <c r="Y86" s="31">
        <f>IF(X86/(INDEX('Standards for Conversions'!$H$34:$H$73,MATCH(W$3,'Standards for Conversions'!$A$34:$A$73,0)))=0,"",X86/(INDEX('Standards for Conversions'!$H$34:$H$73,MATCH(W$3,'Standards for Conversions'!$A$34:$A$73,0))))</f>
        <v>48.168121397120586</v>
      </c>
      <c r="Z86" s="10" t="s">
        <v>399</v>
      </c>
      <c r="AA86" s="9"/>
      <c r="AB86" s="9"/>
      <c r="AC86" s="31" t="str">
        <f>IF(AB86/(INDEX('Standards for Conversions'!$H$34:$H$73,MATCH(AA$3,'Standards for Conversions'!$A$34:$A$73,0)))=0,"",AB86/(INDEX('Standards for Conversions'!$H$34:$H$73,MATCH(AA$3,'Standards for Conversions'!$A$34:$A$73,0))))</f>
        <v/>
      </c>
      <c r="AD86" s="10" t="s">
        <v>399</v>
      </c>
      <c r="AE86" s="7"/>
      <c r="AF86" s="7"/>
      <c r="AG86" s="31" t="str">
        <f>IF(AF86/(INDEX('Standards for Conversions'!$H$34:$H$73,MATCH(AE$3,'Standards for Conversions'!$A$34:$A$73,0)))=0,"",AF86/(INDEX('Standards for Conversions'!$H$34:$H$73,MATCH(AE$3,'Standards for Conversions'!$A$34:$A$73,0))))</f>
        <v/>
      </c>
      <c r="AH86" s="10" t="s">
        <v>399</v>
      </c>
      <c r="AI86" s="7"/>
      <c r="AJ86" s="7"/>
      <c r="AK86" s="31" t="str">
        <f>IF(AJ86/(INDEX('Standards for Conversions'!$H$34:$H$73,MATCH(AI$3,'Standards for Conversions'!$A$34:$A$73,0)))=0,"",AJ86/(INDEX('Standards for Conversions'!$H$34:$H$73,MATCH(AI$3,'Standards for Conversions'!$A$34:$A$73,0))))</f>
        <v/>
      </c>
      <c r="AL86" s="10" t="s">
        <v>399</v>
      </c>
      <c r="AM86" s="7">
        <f>1.75*20</f>
        <v>35</v>
      </c>
      <c r="AN86" s="7">
        <v>500</v>
      </c>
      <c r="AO86" s="31">
        <f>IF(AN86/(INDEX('Standards for Conversions'!$H$34:$H$73,MATCH(AM$3,'Standards for Conversions'!$A$34:$A$73,0)))=0,"",AN86/(INDEX('Standards for Conversions'!$H$34:$H$73,MATCH(AM$3,'Standards for Conversions'!$A$34:$A$73,0))))</f>
        <v>89.349218591581916</v>
      </c>
      <c r="AP86" s="10" t="s">
        <v>399</v>
      </c>
      <c r="AQ86" s="9"/>
      <c r="AR86" s="9"/>
      <c r="AS86" s="31" t="str">
        <f>IF(AR86/(INDEX('Standards for Conversions'!$H$34:$H$73,MATCH(AQ$3,'Standards for Conversions'!$A$34:$A$73,0)))=0,"",AR86/(INDEX('Standards for Conversions'!$H$34:$H$73,MATCH(AQ$3,'Standards for Conversions'!$A$34:$A$73,0))))</f>
        <v/>
      </c>
      <c r="AT86" s="10" t="s">
        <v>399</v>
      </c>
      <c r="AU86" s="7"/>
      <c r="AV86" s="7"/>
      <c r="AW86" s="31" t="str">
        <f>IF(AV86/(INDEX('Standards for Conversions'!$H$34:$H$73,MATCH(AU$3,'Standards for Conversions'!$A$34:$A$73,0)))=0,"",AV86/(INDEX('Standards for Conversions'!$H$34:$H$73,MATCH(AU$3,'Standards for Conversions'!$A$34:$A$73,0))))</f>
        <v/>
      </c>
      <c r="AX86" s="10" t="s">
        <v>399</v>
      </c>
      <c r="AY86" s="7"/>
      <c r="AZ86" s="7"/>
      <c r="BA86" s="31" t="str">
        <f>IF(AZ86/(INDEX('Standards for Conversions'!$H$34:$H$73,MATCH(AY$3,'Standards for Conversions'!$A$34:$A$73,0)))=0,"",AZ86/(INDEX('Standards for Conversions'!$H$34:$H$73,MATCH(AY$3,'Standards for Conversions'!$A$34:$A$73,0))))</f>
        <v/>
      </c>
      <c r="BB86" s="10" t="s">
        <v>399</v>
      </c>
      <c r="BC86" s="7">
        <f>1.75*30</f>
        <v>52.5</v>
      </c>
      <c r="BD86" s="7">
        <v>600</v>
      </c>
      <c r="BE86" s="31">
        <f>IF(BD86/(INDEX('Standards for Conversions'!$H$34:$H$73,MATCH(BC$3,'Standards for Conversions'!$A$34:$A$73,0)))=0,"",BD86/(INDEX('Standards for Conversions'!$H$34:$H$73,MATCH(BC$3,'Standards for Conversions'!$A$34:$A$73,0))))</f>
        <v>111.41127683149388</v>
      </c>
      <c r="BF86" s="10" t="s">
        <v>399</v>
      </c>
      <c r="BG86" s="9"/>
      <c r="BH86" s="9"/>
      <c r="BI86" s="31" t="str">
        <f>IF(BH86/(INDEX('Standards for Conversions'!$H$34:$H$73,MATCH(BG$3,'Standards for Conversions'!$A$34:$A$73,0)))=0,"",BH86/(INDEX('Standards for Conversions'!$H$34:$H$73,MATCH(BG$3,'Standards for Conversions'!$A$34:$A$73,0))))</f>
        <v/>
      </c>
      <c r="BJ86" s="10" t="s">
        <v>399</v>
      </c>
      <c r="BK86" s="7"/>
      <c r="BL86" s="7"/>
      <c r="BM86" s="31" t="str">
        <f>IF(BL86/(INDEX('Standards for Conversions'!$H$34:$H$73,MATCH(BK$3,'Standards for Conversions'!$A$34:$A$73,0)))=0,"",BL86/(INDEX('Standards for Conversions'!$H$34:$H$73,MATCH(BK$3,'Standards for Conversions'!$A$34:$A$73,0))))</f>
        <v/>
      </c>
      <c r="BN86" s="10" t="s">
        <v>399</v>
      </c>
      <c r="BO86" s="7"/>
      <c r="BP86" s="7"/>
      <c r="BQ86" s="31" t="str">
        <f>IF(BP86/(INDEX('Standards for Conversions'!$H$34:$H$73,MATCH(BO$3,'Standards for Conversions'!$A$34:$A$73,0)))=0,"",BP86/(INDEX('Standards for Conversions'!$H$34:$H$73,MATCH(BO$3,'Standards for Conversions'!$A$34:$A$73,0))))</f>
        <v/>
      </c>
      <c r="BR86" s="10" t="s">
        <v>399</v>
      </c>
      <c r="BS86" s="7">
        <f>1.75*50</f>
        <v>87.5</v>
      </c>
      <c r="BT86" s="7">
        <v>1200</v>
      </c>
      <c r="BU86" s="31">
        <f>IF(BT86/(INDEX('Standards for Conversions'!$H$34:$H$73,MATCH(BS$3,'Standards for Conversions'!$A$34:$A$73,0)))=0,"",BT86/(INDEX('Standards for Conversions'!$H$34:$H$73,MATCH(BS$3,'Standards for Conversions'!$A$34:$A$73,0))))</f>
        <v>213.67590379768833</v>
      </c>
      <c r="BV86" s="10" t="s">
        <v>399</v>
      </c>
      <c r="BW86" s="9"/>
      <c r="BX86" s="9"/>
      <c r="BY86" s="31" t="str">
        <f>IF(BX86/(INDEX('Standards for Conversions'!$H$34:$H$73,MATCH(BW$3,'Standards for Conversions'!$A$34:$A$73,0)))=0,"",BX86/(INDEX('Standards for Conversions'!$H$34:$H$73,MATCH(BW$3,'Standards for Conversions'!$A$34:$A$73,0))))</f>
        <v/>
      </c>
      <c r="BZ86" s="10" t="s">
        <v>399</v>
      </c>
      <c r="CA86" s="7"/>
      <c r="CB86" s="7"/>
      <c r="CC86" s="31" t="str">
        <f>IF(CB86/(INDEX('Standards for Conversions'!$H$34:$H$73,MATCH(CA$3,'Standards for Conversions'!$A$34:$A$73,0)))=0,"",CB86/(INDEX('Standards for Conversions'!$H$34:$H$73,MATCH(CA$3,'Standards for Conversions'!$A$34:$A$73,0))))</f>
        <v/>
      </c>
      <c r="CD86" s="10" t="s">
        <v>399</v>
      </c>
      <c r="CE86" s="7"/>
      <c r="CF86" s="7"/>
      <c r="CG86" s="31" t="str">
        <f>IF(CF86/(INDEX('Standards for Conversions'!$H$34:$H$73,MATCH(CE$3,'Standards for Conversions'!$A$34:$A$73,0)))=0,"",CF86/(INDEX('Standards for Conversions'!$H$34:$H$73,MATCH(CE$3,'Standards for Conversions'!$A$34:$A$73,0))))</f>
        <v/>
      </c>
      <c r="CH86" s="10" t="s">
        <v>399</v>
      </c>
      <c r="CI86" s="7">
        <f>1.75*50</f>
        <v>87.5</v>
      </c>
      <c r="CJ86" s="7">
        <v>1000</v>
      </c>
      <c r="CK86" s="31">
        <f>IF(CJ86/(INDEX('Standards for Conversions'!$H$34:$H$73,MATCH(CI$3,'Standards for Conversions'!$A$34:$A$73,0)))=0,"",CJ86/(INDEX('Standards for Conversions'!$H$34:$H$73,MATCH(CI$3,'Standards for Conversions'!$A$34:$A$73,0))))</f>
        <v>173.61696503577531</v>
      </c>
      <c r="CL86" s="10" t="s">
        <v>399</v>
      </c>
      <c r="CM86" s="9"/>
      <c r="CN86" s="9"/>
      <c r="CO86" s="31" t="str">
        <f>IF(CN86/(INDEX('Standards for Conversions'!$H$34:$H$73,MATCH(CM$3,'Standards for Conversions'!$A$34:$A$73,0)))=0,"",CN86/(INDEX('Standards for Conversions'!$H$34:$H$73,MATCH(CM$3,'Standards for Conversions'!$A$34:$A$73,0))))</f>
        <v/>
      </c>
      <c r="CP86" s="10" t="s">
        <v>399</v>
      </c>
      <c r="CQ86" s="7"/>
      <c r="CR86" s="7"/>
      <c r="CS86" s="31" t="str">
        <f>IF(CR86/(INDEX('Standards for Conversions'!$H$34:$H$73,MATCH(CQ$3,'Standards for Conversions'!$A$34:$A$73,0)))=0,"",CR86/(INDEX('Standards for Conversions'!$H$34:$H$73,MATCH(CQ$3,'Standards for Conversions'!$A$34:$A$73,0))))</f>
        <v/>
      </c>
      <c r="CT86" s="10" t="s">
        <v>399</v>
      </c>
      <c r="CU86" s="7"/>
      <c r="CV86" s="7"/>
      <c r="CW86" s="31" t="str">
        <f>IF(CV86/(INDEX('Standards for Conversions'!$H$34:$H$73,MATCH(CU$3,'Standards for Conversions'!$A$34:$A$73,0)))=0,"",CV86/(INDEX('Standards for Conversions'!$H$34:$H$73,MATCH(CU$3,'Standards for Conversions'!$A$34:$A$73,0))))</f>
        <v/>
      </c>
      <c r="CX86" s="10" t="s">
        <v>399</v>
      </c>
      <c r="CY86" s="7">
        <f>1.75*25</f>
        <v>43.75</v>
      </c>
      <c r="CZ86" s="7">
        <v>500</v>
      </c>
      <c r="DA86" s="31">
        <f>IF(CZ86/(INDEX('Standards for Conversions'!$H$34:$H$73,MATCH(CY$3,'Standards for Conversions'!$A$34:$A$73,0)))=0,"",CZ86/(INDEX('Standards for Conversions'!$H$34:$H$73,MATCH(CY$3,'Standards for Conversions'!$A$34:$A$73,0))))</f>
        <v>88.502306567017186</v>
      </c>
      <c r="DB86" s="10" t="s">
        <v>399</v>
      </c>
      <c r="DC86" s="9"/>
      <c r="DD86" s="9"/>
      <c r="DE86" s="31" t="str">
        <f>IF(DD86/(INDEX('Standards for Conversions'!$H$34:$H$73,MATCH(DC$3,'Standards for Conversions'!$A$34:$A$73,0)))=0,"",DD86/(INDEX('Standards for Conversions'!$H$34:$H$73,MATCH(DC$3,'Standards for Conversions'!$A$34:$A$73,0))))</f>
        <v/>
      </c>
      <c r="DF86" s="10" t="s">
        <v>399</v>
      </c>
      <c r="DG86" s="7"/>
      <c r="DH86" s="7"/>
      <c r="DI86" s="31" t="str">
        <f>IF(DH86/(INDEX('Standards for Conversions'!$H$34:$H$73,MATCH(DG$3,'Standards for Conversions'!$A$34:$A$73,0)))=0,"",DH86/(INDEX('Standards for Conversions'!$H$34:$H$73,MATCH(DG$3,'Standards for Conversions'!$A$34:$A$73,0))))</f>
        <v/>
      </c>
      <c r="DJ86" s="10" t="s">
        <v>399</v>
      </c>
      <c r="DK86" s="7"/>
      <c r="DL86" s="7"/>
      <c r="DM86" s="31" t="str">
        <f>IF(DL86/(INDEX('Standards for Conversions'!$H$34:$H$73,MATCH(DK$3,'Standards for Conversions'!$A$34:$A$73,0)))=0,"",DL86/(INDEX('Standards for Conversions'!$H$34:$H$73,MATCH(DK$3,'Standards for Conversions'!$A$34:$A$73,0))))</f>
        <v/>
      </c>
      <c r="DN86" s="10" t="s">
        <v>399</v>
      </c>
      <c r="DO86" s="7">
        <f>1.75*20</f>
        <v>35</v>
      </c>
      <c r="DP86" s="7">
        <v>500</v>
      </c>
      <c r="DQ86" s="31">
        <f>IF(DP86/(INDEX('Standards for Conversions'!$H$34:$H$73,MATCH(DO$3,'Standards for Conversions'!$A$34:$A$73,0)))=0,"",DP86/(INDEX('Standards for Conversions'!$H$34:$H$73,MATCH(DO$3,'Standards for Conversions'!$A$34:$A$73,0))))</f>
        <v>87.54953053938182</v>
      </c>
      <c r="DR86" s="10" t="s">
        <v>399</v>
      </c>
      <c r="DS86" s="9"/>
      <c r="DT86" s="9"/>
      <c r="DU86" s="31" t="str">
        <f>IF(DT86/(INDEX('Standards for Conversions'!$H$34:$H$73,MATCH(DS$3,'Standards for Conversions'!$A$34:$A$73,0)))=0,"",DT86/(INDEX('Standards for Conversions'!$H$34:$H$73,MATCH(DS$3,'Standards for Conversions'!$A$34:$A$73,0))))</f>
        <v/>
      </c>
      <c r="DV86" s="10" t="s">
        <v>399</v>
      </c>
      <c r="DW86" s="7"/>
      <c r="DX86" s="7"/>
      <c r="DY86" s="31" t="str">
        <f>IF(DX86/(INDEX('Standards for Conversions'!$H$34:$H$73,MATCH(DW$3,'Standards for Conversions'!$A$34:$A$73,0)))=0,"",DX86/(INDEX('Standards for Conversions'!$H$34:$H$73,MATCH(DW$3,'Standards for Conversions'!$A$34:$A$73,0))))</f>
        <v/>
      </c>
      <c r="DZ86" s="10" t="s">
        <v>399</v>
      </c>
      <c r="EA86" s="7"/>
      <c r="EB86" s="7"/>
      <c r="EC86" s="31" t="str">
        <f>IF(EB86/(INDEX('Standards for Conversions'!$H$34:$H$73,MATCH(EA$3,'Standards for Conversions'!$A$34:$A$73,0)))=0,"",EB86/(INDEX('Standards for Conversions'!$H$34:$H$73,MATCH(EA$3,'Standards for Conversions'!$A$34:$A$73,0))))</f>
        <v/>
      </c>
      <c r="ED86" s="10" t="s">
        <v>399</v>
      </c>
      <c r="EE86" s="7">
        <f>1.75*5</f>
        <v>8.75</v>
      </c>
      <c r="EF86" s="7">
        <v>100</v>
      </c>
      <c r="EG86" s="31">
        <f>IF(EF86/(INDEX('Standards for Conversions'!$H$34:$H$73,MATCH(EE$3,'Standards for Conversions'!$A$34:$A$73,0)))=0,"",EF86/(INDEX('Standards for Conversions'!$H$34:$H$73,MATCH(EE$3,'Standards for Conversions'!$A$34:$A$73,0))))</f>
        <v>17.488733307262244</v>
      </c>
      <c r="EH86" s="10" t="s">
        <v>399</v>
      </c>
      <c r="EI86" s="9"/>
      <c r="EJ86" s="9"/>
      <c r="EK86" s="31" t="str">
        <f>IF(EJ86/(INDEX('Standards for Conversions'!$H$34:$H$73,MATCH(EI$3,'Standards for Conversions'!$A$34:$A$73,0)))=0,"",EJ86/(INDEX('Standards for Conversions'!$H$34:$H$73,MATCH(EI$3,'Standards for Conversions'!$A$34:$A$73,0))))</f>
        <v/>
      </c>
      <c r="EL86" s="10" t="s">
        <v>399</v>
      </c>
      <c r="EM86" s="7"/>
      <c r="EN86" s="7"/>
      <c r="EO86" s="31" t="str">
        <f>IF(EN86/(INDEX('Standards for Conversions'!$H$34:$H$73,MATCH(EM$3,'Standards for Conversions'!$A$34:$A$73,0)))=0,"",EN86/(INDEX('Standards for Conversions'!$H$34:$H$73,MATCH(EM$3,'Standards for Conversions'!$A$34:$A$73,0))))</f>
        <v/>
      </c>
      <c r="EP86" s="10" t="s">
        <v>399</v>
      </c>
      <c r="EQ86" s="7"/>
      <c r="ER86" s="7"/>
      <c r="ES86" s="31" t="str">
        <f>IF(ER86/(INDEX('Standards for Conversions'!$H$34:$H$73,MATCH(EQ$3,'Standards for Conversions'!$A$34:$A$73,0)))=0,"",ER86/(INDEX('Standards for Conversions'!$H$34:$H$73,MATCH(EQ$3,'Standards for Conversions'!$A$34:$A$73,0))))</f>
        <v/>
      </c>
      <c r="ET86" s="10" t="s">
        <v>399</v>
      </c>
      <c r="EU86" s="7">
        <f>1.75*50</f>
        <v>87.5</v>
      </c>
      <c r="EV86" s="7">
        <v>800</v>
      </c>
      <c r="EW86" s="31">
        <f>IF(EV86/(INDEX('Standards for Conversions'!$H$34:$H$73,MATCH(EU$3,'Standards for Conversions'!$A$34:$A$73,0)))=0,"",EV86/(INDEX('Standards for Conversions'!$H$34:$H$73,MATCH(EU$3,'Standards for Conversions'!$A$34:$A$73,0))))</f>
        <v>137.03036557457776</v>
      </c>
      <c r="EX86" s="10" t="s">
        <v>399</v>
      </c>
      <c r="EY86" s="9"/>
      <c r="EZ86" s="9"/>
      <c r="FA86" s="31" t="str">
        <f>IF(EZ86/(INDEX('Standards for Conversions'!$H$34:$H$73,MATCH(EY$3,'Standards for Conversions'!$A$34:$A$73,0)))=0,"",EZ86/(INDEX('Standards for Conversions'!$H$34:$H$73,MATCH(EY$3,'Standards for Conversions'!$A$34:$A$73,0))))</f>
        <v/>
      </c>
      <c r="FB86" s="10" t="s">
        <v>399</v>
      </c>
      <c r="FC86" s="7"/>
      <c r="FD86" s="7"/>
      <c r="FE86" s="31" t="str">
        <f>IF(FD86/(INDEX('Standards for Conversions'!$H$34:$H$73,MATCH(FC$3,'Standards for Conversions'!$A$34:$A$73,0)))=0,"",FD86/(INDEX('Standards for Conversions'!$H$34:$H$73,MATCH(FC$3,'Standards for Conversions'!$A$34:$A$73,0))))</f>
        <v/>
      </c>
      <c r="FF86" s="10" t="s">
        <v>399</v>
      </c>
      <c r="FG86" s="7"/>
      <c r="FH86" s="7"/>
      <c r="FI86" s="31" t="str">
        <f>IF(FH86/(INDEX('Standards for Conversions'!$H$34:$H$73,MATCH(FG$3,'Standards for Conversions'!$A$34:$A$73,0)))=0,"",FH86/(INDEX('Standards for Conversions'!$H$34:$H$73,MATCH(FG$3,'Standards for Conversions'!$A$34:$A$73,0))))</f>
        <v/>
      </c>
      <c r="FJ86" s="10" t="s">
        <v>399</v>
      </c>
      <c r="FK86" s="7">
        <f>1.75*50</f>
        <v>87.5</v>
      </c>
      <c r="FL86" s="7">
        <v>800</v>
      </c>
      <c r="FM86" s="31">
        <f>IF(FL86/(INDEX('Standards for Conversions'!$H$34:$H$73,MATCH(FK$3,'Standards for Conversions'!$A$34:$A$73,0)))=0,"",FL86/(INDEX('Standards for Conversions'!$H$34:$H$73,MATCH(FK$3,'Standards for Conversions'!$A$34:$A$73,0))))</f>
        <v>137.19974797949072</v>
      </c>
      <c r="FN86" s="10" t="s">
        <v>399</v>
      </c>
      <c r="FO86" s="9"/>
      <c r="FP86" s="9"/>
      <c r="FQ86" s="31" t="str">
        <f>IF(FP86/(INDEX('Standards for Conversions'!$H$34:$H$73,MATCH(FO$3,'Standards for Conversions'!$A$34:$A$73,0)))=0,"",FP86/(INDEX('Standards for Conversions'!$H$34:$H$73,MATCH(FO$3,'Standards for Conversions'!$A$34:$A$73,0))))</f>
        <v/>
      </c>
      <c r="FR86" s="10" t="s">
        <v>399</v>
      </c>
      <c r="FS86" s="7"/>
      <c r="FT86" s="7"/>
      <c r="FU86" s="31" t="str">
        <f>IF(FT86/(INDEX('Standards for Conversions'!$H$34:$H$73,MATCH(FS$3,'Standards for Conversions'!$A$34:$A$73,0)))=0,"",FT86/(INDEX('Standards for Conversions'!$H$34:$H$73,MATCH(FS$3,'Standards for Conversions'!$A$34:$A$73,0))))</f>
        <v/>
      </c>
      <c r="FV86" s="10" t="s">
        <v>399</v>
      </c>
      <c r="FW86" s="7"/>
      <c r="FX86" s="7"/>
      <c r="FY86" s="31" t="str">
        <f>IF(FX86/(INDEX('Standards for Conversions'!$H$34:$H$73,MATCH(FW$3,'Standards for Conversions'!$A$34:$A$73,0)))=0,"",FX86/(INDEX('Standards for Conversions'!$H$34:$H$73,MATCH(FW$3,'Standards for Conversions'!$A$34:$A$73,0))))</f>
        <v/>
      </c>
      <c r="FZ86" s="10" t="s">
        <v>399</v>
      </c>
      <c r="GA86" s="7">
        <f>1.75*50</f>
        <v>87.5</v>
      </c>
      <c r="GB86" s="7">
        <v>800</v>
      </c>
      <c r="GC86" s="31">
        <f>IF(GB86/(INDEX('Standards for Conversions'!$H$34:$H$73,MATCH(GA$3,'Standards for Conversions'!$A$34:$A$73,0)))=0,"",GB86/(INDEX('Standards for Conversions'!$H$34:$H$73,MATCH(GA$3,'Standards for Conversions'!$A$34:$A$73,0))))</f>
        <v>131.61012861736333</v>
      </c>
      <c r="GD86" s="10" t="s">
        <v>399</v>
      </c>
      <c r="GE86" s="9"/>
      <c r="GF86" s="9"/>
      <c r="GG86" s="31" t="str">
        <f>IF(GF86/(INDEX('Standards for Conversions'!$H$34:$H$73,MATCH(GE$3,'Standards for Conversions'!$A$34:$A$73,0)))=0,"",GF86/(INDEX('Standards for Conversions'!$H$34:$H$73,MATCH(GE$3,'Standards for Conversions'!$A$34:$A$73,0))))</f>
        <v/>
      </c>
      <c r="GH86" s="10" t="s">
        <v>399</v>
      </c>
      <c r="GI86" s="7"/>
      <c r="GJ86" s="7"/>
      <c r="GK86" s="31" t="str">
        <f>IF(GJ86/(INDEX('Standards for Conversions'!$H$34:$H$73,MATCH(GI$3,'Standards for Conversions'!$A$34:$A$73,0)))=0,"",GJ86/(INDEX('Standards for Conversions'!$H$34:$H$73,MATCH(GI$3,'Standards for Conversions'!$A$34:$A$73,0))))</f>
        <v/>
      </c>
      <c r="GL86" s="10" t="s">
        <v>399</v>
      </c>
      <c r="GM86" s="7"/>
      <c r="GN86" s="7"/>
      <c r="GO86" s="31" t="str">
        <f>IF(GN86/(INDEX('Standards for Conversions'!$H$34:$H$73,MATCH(GM$3,'Standards for Conversions'!$A$34:$A$73,0)))=0,"",GN86/(INDEX('Standards for Conversions'!$H$34:$H$73,MATCH(GM$3,'Standards for Conversions'!$A$34:$A$73,0))))</f>
        <v/>
      </c>
      <c r="GP86" s="10" t="s">
        <v>399</v>
      </c>
      <c r="GQ86" s="7">
        <f>1.75*75</f>
        <v>131.25</v>
      </c>
      <c r="GR86" s="7">
        <v>850</v>
      </c>
      <c r="GS86" s="31">
        <f>IF(GR86/(INDEX('Standards for Conversions'!$H$34:$H$73,MATCH(GQ$3,'Standards for Conversions'!$A$34:$A$73,0)))=0,"",GR86/(INDEX('Standards for Conversions'!$H$34:$H$73,MATCH(GQ$3,'Standards for Conversions'!$A$34:$A$73,0))))</f>
        <v>130.65735258972799</v>
      </c>
      <c r="GT86" s="10" t="s">
        <v>399</v>
      </c>
      <c r="GU86" s="9"/>
      <c r="GV86" s="9"/>
      <c r="GW86" s="31" t="str">
        <f>IF(GV86/(INDEX('Standards for Conversions'!$H$34:$H$73,MATCH(GU$3,'Standards for Conversions'!$A$34:$A$73,0)))=0,"",GV86/(INDEX('Standards for Conversions'!$H$34:$H$73,MATCH(GU$3,'Standards for Conversions'!$A$34:$A$73,0))))</f>
        <v/>
      </c>
      <c r="GX86" s="10" t="s">
        <v>399</v>
      </c>
      <c r="GY86" s="7"/>
      <c r="GZ86" s="7"/>
      <c r="HA86" s="31" t="str">
        <f>IF(GZ86/(INDEX('Standards for Conversions'!$H$34:$H$73,MATCH(GY$3,'Standards for Conversions'!$A$34:$A$73,0)))=0,"",GZ86/(INDEX('Standards for Conversions'!$H$34:$H$73,MATCH(GY$3,'Standards for Conversions'!$A$34:$A$73,0))))</f>
        <v/>
      </c>
      <c r="HB86" s="10" t="s">
        <v>399</v>
      </c>
      <c r="HC86" s="7"/>
      <c r="HD86" s="7"/>
      <c r="HE86" s="31" t="str">
        <f>IF(HD86/(INDEX('Standards for Conversions'!$H$34:$H$73,MATCH(HC$3,'Standards for Conversions'!$A$34:$A$73,0)))=0,"",HD86/(INDEX('Standards for Conversions'!$H$34:$H$73,MATCH(HC$3,'Standards for Conversions'!$A$34:$A$73,0))))</f>
        <v/>
      </c>
      <c r="HF86" s="10" t="s">
        <v>399</v>
      </c>
      <c r="HG86" s="7">
        <f>1.75*75</f>
        <v>131.25</v>
      </c>
      <c r="HH86" s="7">
        <v>850</v>
      </c>
      <c r="HI86" s="31">
        <f>IF(HH86/(INDEX('Standards for Conversions'!$H$34:$H$73,MATCH(HG$3,'Standards for Conversions'!$A$34:$A$73,0)))=0,"",HH86/(INDEX('Standards for Conversions'!$H$34:$H$73,MATCH(HG$3,'Standards for Conversions'!$A$34:$A$73,0))))</f>
        <v>128.67769573230785</v>
      </c>
      <c r="HJ86" s="10" t="s">
        <v>399</v>
      </c>
      <c r="HK86" s="9"/>
      <c r="HL86" s="9"/>
      <c r="HM86" s="31" t="str">
        <f>IF(HL86/(INDEX('Standards for Conversions'!$H$34:$H$73,MATCH(HK$3,'Standards for Conversions'!$A$34:$A$73,0)))=0,"",HL86/(INDEX('Standards for Conversions'!$H$34:$H$73,MATCH(HK$3,'Standards for Conversions'!$A$34:$A$73,0))))</f>
        <v/>
      </c>
      <c r="HN86" s="10" t="s">
        <v>399</v>
      </c>
      <c r="HO86" s="7"/>
      <c r="HP86" s="7"/>
      <c r="HQ86" s="31" t="str">
        <f>IF(HP86/(INDEX('Standards for Conversions'!$H$34:$H$73,MATCH(HO$3,'Standards for Conversions'!$A$34:$A$73,0)))=0,"",HP86/(INDEX('Standards for Conversions'!$H$34:$H$73,MATCH(HO$3,'Standards for Conversions'!$A$34:$A$73,0))))</f>
        <v/>
      </c>
      <c r="HR86" s="33" t="s">
        <v>98</v>
      </c>
      <c r="HU86" s="31" t="str">
        <f>IF(HT86/(INDEX('Standards for Conversions'!$H$47:$H$73,MATCH(HS$3,'Standards for Conversions'!$A$47:$A$73,0)))=0,"",HT86/(INDEX('Standards for Conversions'!$H$47:$H$73,MATCH(HS$3,'Standards for Conversions'!$A$47:$A$73,0))))</f>
        <v/>
      </c>
      <c r="HV86" s="33" t="s">
        <v>98</v>
      </c>
      <c r="HW86" s="33">
        <v>43.75</v>
      </c>
      <c r="HX86" s="33">
        <v>400</v>
      </c>
      <c r="HY86" s="31">
        <f>IF(HX86/(INDEX('Standards for Conversions'!$H$47:$H$73,MATCH(HW$3,'Standards for Conversions'!$A$47:$A$73,0)))=0,"",HX86/(INDEX('Standards for Conversions'!$H$47:$H$73,MATCH(HW$3,'Standards for Conversions'!$A$47:$A$73,0))))</f>
        <v>58.098164885142381</v>
      </c>
      <c r="IB86" s="31" t="str">
        <f>IF(IA86/(INDEX('Standards for Conversions'!$H$47:$H$73,MATCH(HZ$3,'Standards for Conversions'!$A$47:$A$73,0)))=0,"",IA86/(INDEX('Standards for Conversions'!$H$47:$H$73,MATCH(HZ$3,'Standards for Conversions'!$A$47:$A$73,0))))</f>
        <v/>
      </c>
      <c r="IC86" s="33" t="s">
        <v>98</v>
      </c>
      <c r="IF86" s="31" t="str">
        <f>IF(IE86/(INDEX('Standards for Conversions'!$H$47:$H$73,MATCH(ID$3,'Standards for Conversions'!$A$47:$A$73,0)))=0,"",IE86/(INDEX('Standards for Conversions'!$H$47:$H$73,MATCH(ID$3,'Standards for Conversions'!$A$47:$A$73,0))))</f>
        <v/>
      </c>
      <c r="IG86" s="33" t="s">
        <v>98</v>
      </c>
      <c r="IJ86" s="31" t="str">
        <f>IF(II86/(INDEX('Standards for Conversions'!$H$47:$H$73,MATCH(IH$3,'Standards for Conversions'!$A$47:$A$73,0)))=0,"",II86/(INDEX('Standards for Conversions'!$H$47:$H$73,MATCH(IH$3,'Standards for Conversions'!$A$47:$A$73,0))))</f>
        <v/>
      </c>
      <c r="IK86" s="33" t="s">
        <v>98</v>
      </c>
      <c r="IL86" s="33">
        <v>136.5</v>
      </c>
      <c r="IM86" s="33">
        <v>1020</v>
      </c>
      <c r="IN86" s="31">
        <f>IF(IM86/(INDEX('Standards for Conversions'!$H$47:$H$73,MATCH(IL$3,'Standards for Conversions'!$A$47:$A$73,0)))=0,"",IM86/(INDEX('Standards for Conversions'!$H$47:$H$73,MATCH(IL$3,'Standards for Conversions'!$A$47:$A$73,0))))</f>
        <v>147.50243275832102</v>
      </c>
      <c r="IO86" s="33" t="s">
        <v>98</v>
      </c>
      <c r="IR86" s="31" t="str">
        <f>IF(IQ86/(INDEX('Standards for Conversions'!$H$47:$H$73,MATCH(IP$3,'Standards for Conversions'!$A$47:$A$73,0)))=0,"",IQ86/(INDEX('Standards for Conversions'!$H$47:$H$73,MATCH(IP$3,'Standards for Conversions'!$A$47:$A$73,0))))</f>
        <v/>
      </c>
      <c r="IS86" s="33" t="s">
        <v>98</v>
      </c>
      <c r="IV86" s="31" t="str">
        <f>IF(IU86/(INDEX('Standards for Conversions'!$H$47:$H$73,MATCH(IT$3,'Standards for Conversions'!$A$47:$A$73,0)))=0,"",IU86/(INDEX('Standards for Conversions'!$H$47:$H$73,MATCH(IT$3,'Standards for Conversions'!$A$47:$A$73,0))))</f>
        <v/>
      </c>
      <c r="IW86" s="33" t="s">
        <v>98</v>
      </c>
      <c r="IZ86" s="31" t="str">
        <f>IF(IY86/(INDEX('Standards for Conversions'!$H$47:$H$73,MATCH(IX$3,'Standards for Conversions'!$A$47:$A$73,0)))=0,"",IY86/(INDEX('Standards for Conversions'!$H$47:$H$73,MATCH(IX$3,'Standards for Conversions'!$A$47:$A$73,0))))</f>
        <v/>
      </c>
      <c r="JA86" s="33" t="s">
        <v>98</v>
      </c>
      <c r="JB86" s="33">
        <v>218.75</v>
      </c>
      <c r="JC86" s="33">
        <v>1600</v>
      </c>
      <c r="JD86" s="31">
        <f>IF(JC86/(INDEX('Standards for Conversions'!$H$47:$H$73,MATCH(JB$3,'Standards for Conversions'!$A$47:$A$73,0)))=0,"",JC86/(INDEX('Standards for Conversions'!$H$47:$H$73,MATCH(JB$3,'Standards for Conversions'!$A$47:$A$73,0))))</f>
        <v>258.81631470698989</v>
      </c>
      <c r="JH86" s="31" t="str">
        <f>IF(JG86/(INDEX('Standards for Conversions'!$H$47:$H$73,MATCH(JF$3,'Standards for Conversions'!$A$47:$A$73,0)))=0,"",JG86/(INDEX('Standards for Conversions'!$H$47:$H$73,MATCH(JF$3,'Standards for Conversions'!$A$47:$A$73,0))))</f>
        <v/>
      </c>
      <c r="JL86" s="31" t="str">
        <f>IF(JK86/(INDEX('Standards for Conversions'!$H$47:$H$73,MATCH(JJ$3,'Standards for Conversions'!$A$47:$A$73,0)))=0,"",JK86/(INDEX('Standards for Conversions'!$H$47:$H$73,MATCH(JJ$3,'Standards for Conversions'!$A$47:$A$73,0))))</f>
        <v/>
      </c>
      <c r="JM86" s="33" t="s">
        <v>98</v>
      </c>
      <c r="JP86" s="31" t="str">
        <f>IF(JO86/(INDEX('Standards for Conversions'!$H$47:$H$73,MATCH(JN$3,'Standards for Conversions'!$A$47:$A$73,0)))=0,"",JO86/(INDEX('Standards for Conversions'!$H$47:$H$73,MATCH(JN$3,'Standards for Conversions'!$A$47:$A$73,0))))</f>
        <v/>
      </c>
      <c r="JQ86" s="33" t="s">
        <v>98</v>
      </c>
      <c r="JR86" s="33">
        <v>175</v>
      </c>
      <c r="JS86" s="33">
        <v>1200</v>
      </c>
      <c r="JT86" s="31">
        <f>IF(JS86/(INDEX('Standards for Conversions'!$H$47:$H$73,MATCH(JR$3,'Standards for Conversions'!$A$47:$A$73,0)))=0,"",JS86/(INDEX('Standards for Conversions'!$H$47:$H$73,MATCH(JR$3,'Standards for Conversions'!$A$47:$A$73,0))))</f>
        <v>183.18707091335708</v>
      </c>
      <c r="JU86" s="33" t="s">
        <v>98</v>
      </c>
      <c r="JX86" s="31" t="str">
        <f>IF(JW86/(INDEX('Standards for Conversions'!$H$47:$H$73,MATCH(JV$3,'Standards for Conversions'!$A$47:$A$73,0)))=0,"",JW86/(INDEX('Standards for Conversions'!$H$47:$H$73,MATCH(JV$3,'Standards for Conversions'!$A$47:$A$73,0))))</f>
        <v/>
      </c>
      <c r="JY86" s="33" t="s">
        <v>98</v>
      </c>
      <c r="KB86" s="31" t="str">
        <f>IF(KA86/(INDEX('Standards for Conversions'!$H$47:$H$73,MATCH(JZ$3,'Standards for Conversions'!$A$47:$A$73,0)))=0,"",KA86/(INDEX('Standards for Conversions'!$H$47:$H$73,MATCH(JZ$3,'Standards for Conversions'!$A$47:$A$73,0))))</f>
        <v/>
      </c>
      <c r="KC86" s="33" t="s">
        <v>98</v>
      </c>
      <c r="KF86" s="31" t="str">
        <f>IF(KE86/(INDEX('Standards for Conversions'!$H$47:$H$73,MATCH(KD$3,'Standards for Conversions'!$A$47:$A$73,0)))=0,"",KE86/(INDEX('Standards for Conversions'!$H$47:$H$73,MATCH(KD$3,'Standards for Conversions'!$A$47:$A$73,0))))</f>
        <v/>
      </c>
      <c r="KG86" s="33" t="s">
        <v>98</v>
      </c>
      <c r="KH86" s="33">
        <v>227.5</v>
      </c>
      <c r="KI86" s="33">
        <v>1600</v>
      </c>
      <c r="KJ86" s="31">
        <f>IF(KI86/(INDEX('Standards for Conversions'!$H$47:$H$73,MATCH(KH$3,'Standards for Conversions'!$A$47:$A$73,0)))=0,"",KI86/(INDEX('Standards for Conversions'!$H$47:$H$73,MATCH(KH$3,'Standards for Conversions'!$A$47:$A$73,0))))</f>
        <v>215.45441904927435</v>
      </c>
      <c r="KK86" s="33" t="s">
        <v>98</v>
      </c>
      <c r="KN86" s="31" t="str">
        <f>IF(KM86/(INDEX('Standards for Conversions'!$H$47:$H$73,MATCH(KL$3,'Standards for Conversions'!$A$47:$A$73,0)))=0,"",KM86/(INDEX('Standards for Conversions'!$H$47:$H$73,MATCH(KL$3,'Standards for Conversions'!$A$47:$A$73,0))))</f>
        <v/>
      </c>
      <c r="KO86" s="33" t="s">
        <v>98</v>
      </c>
      <c r="KR86" s="31" t="str">
        <f>IF(KQ86/(INDEX('Standards for Conversions'!$H$47:$H$73,MATCH(KP$3,'Standards for Conversions'!$A$47:$A$73,0)))=0,"",KQ86/(INDEX('Standards for Conversions'!$H$47:$H$73,MATCH(KP$3,'Standards for Conversions'!$A$47:$A$73,0))))</f>
        <v/>
      </c>
      <c r="KS86" s="33" t="s">
        <v>98</v>
      </c>
      <c r="KV86" s="31" t="str">
        <f>IF(KU86/(INDEX('Standards for Conversions'!$H$47:$H$73,MATCH(KT$3,'Standards for Conversions'!$A$47:$A$73,0)))=0,"",KU86/(INDEX('Standards for Conversions'!$H$47:$H$73,MATCH(KT$3,'Standards for Conversions'!$A$47:$A$73,0))))</f>
        <v/>
      </c>
      <c r="KW86" s="33" t="s">
        <v>98</v>
      </c>
      <c r="KX86" s="33">
        <v>122.5</v>
      </c>
      <c r="KY86" s="33">
        <v>1400</v>
      </c>
      <c r="KZ86" s="31">
        <f>IF(KY86/(INDEX('Standards for Conversions'!$H$47:$H$73,MATCH(KX$3,'Standards for Conversions'!$A$47:$A$73,0)))=0,"",KY86/(INDEX('Standards for Conversions'!$H$47:$H$73,MATCH(KX$3,'Standards for Conversions'!$A$47:$A$73,0))))</f>
        <v>170.26319341849884</v>
      </c>
      <c r="LD86" s="31" t="str">
        <f>IF(LC86/(INDEX('Standards for Conversions'!$H$47:$H$73,MATCH(LB$3,'Standards for Conversions'!$A$47:$A$73,0)))=0,"",LC86/(INDEX('Standards for Conversions'!$H$47:$H$73,MATCH(LB$3,'Standards for Conversions'!$A$47:$A$73,0))))</f>
        <v/>
      </c>
      <c r="LH86" s="31" t="str">
        <f>IF(LG86/(INDEX('Standards for Conversions'!$H$47:$H$73,MATCH(LF$3,'Standards for Conversions'!$A$47:$A$73,0)))=0,"",LG86/(INDEX('Standards for Conversions'!$H$47:$H$73,MATCH(LF$3,'Standards for Conversions'!$A$47:$A$73,0))))</f>
        <v/>
      </c>
      <c r="LL86" s="31" t="str">
        <f>IF(LK86/(INDEX('Standards for Conversions'!$H$47:$H$73,MATCH(LJ$3,'Standards for Conversions'!$A$47:$A$73,0)))=0,"",LK86/(INDEX('Standards for Conversions'!$H$47:$H$73,MATCH(LJ$3,'Standards for Conversions'!$A$47:$A$73,0))))</f>
        <v/>
      </c>
      <c r="LO86" s="31" t="str">
        <f>IF(LN86/(INDEX('Standards for Conversions'!$H$47:$H$73,MATCH(LM$3,'Standards for Conversions'!$A$47:$A$73,0)))=0,"",LN86/(INDEX('Standards for Conversions'!$H$47:$H$73,MATCH(LM$3,'Standards for Conversions'!$A$47:$A$73,0))))</f>
        <v/>
      </c>
      <c r="LR86" s="31" t="str">
        <f>IF(LQ86/(INDEX('Standards for Conversions'!$H$47:$H$73,MATCH(LP$3,'Standards for Conversions'!$A$47:$A$73,0)))=0,"",LQ86/(INDEX('Standards for Conversions'!$H$47:$H$73,MATCH(LP$3,'Standards for Conversions'!$A$47:$A$73,0))))</f>
        <v/>
      </c>
      <c r="LV86" s="31" t="str">
        <f>IF(LU86/(INDEX('Standards for Conversions'!$H$47:$H$73,MATCH(LT$3,'Standards for Conversions'!$A$47:$A$73,0)))=0,"",LU86/(INDEX('Standards for Conversions'!$H$47:$H$73,MATCH(LT$3,'Standards for Conversions'!$A$47:$A$73,0))))</f>
        <v/>
      </c>
      <c r="LY86" s="31" t="str">
        <f>IF(LX86/(INDEX('Standards for Conversions'!$H$47:$H$73,MATCH(LW$3,'Standards for Conversions'!$A$47:$A$73,0)))=0,"",LX86/(INDEX('Standards for Conversions'!$H$47:$H$73,MATCH(LW$3,'Standards for Conversions'!$A$47:$A$73,0))))</f>
        <v/>
      </c>
      <c r="MB86" s="31" t="str">
        <f>IF(MA86/(INDEX('Standards for Conversions'!$H$47:$H$73,MATCH(LZ$3,'Standards for Conversions'!$A$47:$A$73,0)))=0,"",MA86/(INDEX('Standards for Conversions'!$H$47:$H$73,MATCH(LZ$3,'Standards for Conversions'!$A$47:$A$73,0))))</f>
        <v/>
      </c>
      <c r="ME86" s="31" t="str">
        <f>IF(MD86/(INDEX('Standards for Conversions'!$H$47:$H$73,MATCH(MC$3,'Standards for Conversions'!$A$47:$A$73,0)))=0,"",MD86/(INDEX('Standards for Conversions'!$H$47:$H$73,MATCH(MC$3,'Standards for Conversions'!$A$47:$A$73,0))))</f>
        <v/>
      </c>
      <c r="MH86" s="31" t="str">
        <f>IF(MG86/(INDEX('Standards for Conversions'!$H$47:$H$73,MATCH(MF$3,'Standards for Conversions'!$A$47:$A$73,0)))=0,"",MG86/(INDEX('Standards for Conversions'!$H$47:$H$73,MATCH(MF$3,'Standards for Conversions'!$A$47:$A$73,0))))</f>
        <v/>
      </c>
      <c r="MK86" s="31" t="str">
        <f>IF(MJ86/(INDEX('Standards for Conversions'!$H$47:$H$73,MATCH(MI$3,'Standards for Conversions'!$A$47:$A$73,0)))=0,"",MJ86/(INDEX('Standards for Conversions'!$H$47:$H$73,MATCH(MI$3,'Standards for Conversions'!$A$47:$A$73,0))))</f>
        <v/>
      </c>
      <c r="MN86" s="31" t="str">
        <f>IF(MM86/(INDEX('Standards for Conversions'!$H$47:$H$73,MATCH(ML$3,'Standards for Conversions'!$A$47:$A$73,0)))=0,"",MM86/(INDEX('Standards for Conversions'!$H$47:$H$73,MATCH(ML$3,'Standards for Conversions'!$A$47:$A$73,0))))</f>
        <v/>
      </c>
      <c r="MR86" s="31" t="str">
        <f>IF(MQ86/(INDEX('Standards for Conversions'!$H$47:$H$73,MATCH(MP$3,'Standards for Conversions'!$A$47:$A$73,0)))=0,"",MQ86/(INDEX('Standards for Conversions'!$H$47:$H$73,MATCH(MP$3,'Standards for Conversions'!$A$47:$A$73,0))))</f>
        <v/>
      </c>
      <c r="NE86" s="33" t="s">
        <v>98</v>
      </c>
      <c r="NF86" s="33">
        <v>736</v>
      </c>
      <c r="NG86" s="33">
        <v>474</v>
      </c>
      <c r="NH86" s="33">
        <v>732</v>
      </c>
      <c r="NI86" s="33">
        <v>832</v>
      </c>
    </row>
    <row r="87" spans="1:373" x14ac:dyDescent="0.3">
      <c r="A87" s="102" t="s">
        <v>161</v>
      </c>
      <c r="D87" s="7"/>
      <c r="E87" s="31" t="str">
        <f>IF(D87/(INDEX('Standards for Conversions'!$H$34:$H$73,MATCH(C$3,'Standards for Conversions'!$A$34:$A$73,0)))=0,"",D87/(INDEX('Standards for Conversions'!$H$34:$H$73,MATCH(C$3,'Standards for Conversions'!$A$34:$A$73,0))))</f>
        <v/>
      </c>
      <c r="G87" s="7"/>
      <c r="H87" s="7"/>
      <c r="I87" s="31" t="str">
        <f>IF(H87/(INDEX('Standards for Conversions'!$H$34:$H$73,MATCH(G$3,'Standards for Conversions'!$A$34:$A$73,0)))=0,"",H87/(INDEX('Standards for Conversions'!$H$34:$H$73,MATCH(G$3,'Standards for Conversions'!$A$34:$A$73,0))))</f>
        <v/>
      </c>
      <c r="K87" s="10"/>
      <c r="L87" s="9"/>
      <c r="M87" s="31" t="str">
        <f>IF(L87/(INDEX('Standards for Conversions'!$H$34:$H$73,MATCH(K$3,'Standards for Conversions'!$A$34:$A$73,0)))=0,"",L87/(INDEX('Standards for Conversions'!$H$34:$H$73,MATCH(K$3,'Standards for Conversions'!$A$34:$A$73,0))))</f>
        <v/>
      </c>
      <c r="P87" s="7"/>
      <c r="Q87" s="31" t="str">
        <f>IF(P87/(INDEX('Standards for Conversions'!$H$34:$H$73,MATCH(O$3,'Standards for Conversions'!$A$34:$A$73,0)))=0,"",P87/(INDEX('Standards for Conversions'!$H$34:$H$73,MATCH(O$3,'Standards for Conversions'!$A$34:$A$73,0))))</f>
        <v/>
      </c>
      <c r="T87" s="7"/>
      <c r="U87" s="31" t="str">
        <f>IF(T87/(INDEX('Standards for Conversions'!$H$34:$H$73,MATCH(S$3,'Standards for Conversions'!$A$34:$A$73,0)))=0,"",T87/(INDEX('Standards for Conversions'!$H$34:$H$73,MATCH(S$3,'Standards for Conversions'!$A$34:$A$73,0))))</f>
        <v/>
      </c>
      <c r="W87" s="7"/>
      <c r="X87" s="7"/>
      <c r="Y87" s="31" t="str">
        <f>IF(X87/(INDEX('Standards for Conversions'!$H$34:$H$73,MATCH(W$3,'Standards for Conversions'!$A$34:$A$73,0)))=0,"",X87/(INDEX('Standards for Conversions'!$H$34:$H$73,MATCH(W$3,'Standards for Conversions'!$A$34:$A$73,0))))</f>
        <v/>
      </c>
      <c r="AA87" s="10"/>
      <c r="AB87" s="9"/>
      <c r="AC87" s="31" t="str">
        <f>IF(AB87/(INDEX('Standards for Conversions'!$H$34:$H$73,MATCH(AA$3,'Standards for Conversions'!$A$34:$A$73,0)))=0,"",AB87/(INDEX('Standards for Conversions'!$H$34:$H$73,MATCH(AA$3,'Standards for Conversions'!$A$34:$A$73,0))))</f>
        <v/>
      </c>
      <c r="AF87" s="7"/>
      <c r="AG87" s="31" t="str">
        <f>IF(AF87/(INDEX('Standards for Conversions'!$H$34:$H$73,MATCH(AE$3,'Standards for Conversions'!$A$34:$A$73,0)))=0,"",AF87/(INDEX('Standards for Conversions'!$H$34:$H$73,MATCH(AE$3,'Standards for Conversions'!$A$34:$A$73,0))))</f>
        <v/>
      </c>
      <c r="AJ87" s="7"/>
      <c r="AK87" s="31" t="str">
        <f>IF(AJ87/(INDEX('Standards for Conversions'!$H$34:$H$73,MATCH(AI$3,'Standards for Conversions'!$A$34:$A$73,0)))=0,"",AJ87/(INDEX('Standards for Conversions'!$H$34:$H$73,MATCH(AI$3,'Standards for Conversions'!$A$34:$A$73,0))))</f>
        <v/>
      </c>
      <c r="AM87" s="7"/>
      <c r="AN87" s="7"/>
      <c r="AO87" s="31" t="str">
        <f>IF(AN87/(INDEX('Standards for Conversions'!$H$34:$H$73,MATCH(AM$3,'Standards for Conversions'!$A$34:$A$73,0)))=0,"",AN87/(INDEX('Standards for Conversions'!$H$34:$H$73,MATCH(AM$3,'Standards for Conversions'!$A$34:$A$73,0))))</f>
        <v/>
      </c>
      <c r="AQ87" s="10"/>
      <c r="AR87" s="9"/>
      <c r="AS87" s="31" t="str">
        <f>IF(AR87/(INDEX('Standards for Conversions'!$H$34:$H$73,MATCH(AQ$3,'Standards for Conversions'!$A$34:$A$73,0)))=0,"",AR87/(INDEX('Standards for Conversions'!$H$34:$H$73,MATCH(AQ$3,'Standards for Conversions'!$A$34:$A$73,0))))</f>
        <v/>
      </c>
      <c r="AV87" s="7"/>
      <c r="AW87" s="31" t="str">
        <f>IF(AV87/(INDEX('Standards for Conversions'!$H$34:$H$73,MATCH(AU$3,'Standards for Conversions'!$A$34:$A$73,0)))=0,"",AV87/(INDEX('Standards for Conversions'!$H$34:$H$73,MATCH(AU$3,'Standards for Conversions'!$A$34:$A$73,0))))</f>
        <v/>
      </c>
      <c r="AZ87" s="7"/>
      <c r="BA87" s="31" t="str">
        <f>IF(AZ87/(INDEX('Standards for Conversions'!$H$34:$H$73,MATCH(AY$3,'Standards for Conversions'!$A$34:$A$73,0)))=0,"",AZ87/(INDEX('Standards for Conversions'!$H$34:$H$73,MATCH(AY$3,'Standards for Conversions'!$A$34:$A$73,0))))</f>
        <v/>
      </c>
      <c r="BC87" s="7"/>
      <c r="BD87" s="7"/>
      <c r="BE87" s="31" t="str">
        <f>IF(BD87/(INDEX('Standards for Conversions'!$H$34:$H$73,MATCH(BC$3,'Standards for Conversions'!$A$34:$A$73,0)))=0,"",BD87/(INDEX('Standards for Conversions'!$H$34:$H$73,MATCH(BC$3,'Standards for Conversions'!$A$34:$A$73,0))))</f>
        <v/>
      </c>
      <c r="BG87" s="10"/>
      <c r="BH87" s="9"/>
      <c r="BI87" s="31" t="str">
        <f>IF(BH87/(INDEX('Standards for Conversions'!$H$34:$H$73,MATCH(BG$3,'Standards for Conversions'!$A$34:$A$73,0)))=0,"",BH87/(INDEX('Standards for Conversions'!$H$34:$H$73,MATCH(BG$3,'Standards for Conversions'!$A$34:$A$73,0))))</f>
        <v/>
      </c>
      <c r="BL87" s="7"/>
      <c r="BM87" s="31" t="str">
        <f>IF(BL87/(INDEX('Standards for Conversions'!$H$34:$H$73,MATCH(BK$3,'Standards for Conversions'!$A$34:$A$73,0)))=0,"",BL87/(INDEX('Standards for Conversions'!$H$34:$H$73,MATCH(BK$3,'Standards for Conversions'!$A$34:$A$73,0))))</f>
        <v/>
      </c>
      <c r="BP87" s="7"/>
      <c r="BQ87" s="31" t="str">
        <f>IF(BP87/(INDEX('Standards for Conversions'!$H$34:$H$73,MATCH(BO$3,'Standards for Conversions'!$A$34:$A$73,0)))=0,"",BP87/(INDEX('Standards for Conversions'!$H$34:$H$73,MATCH(BO$3,'Standards for Conversions'!$A$34:$A$73,0))))</f>
        <v/>
      </c>
      <c r="BS87" s="7"/>
      <c r="BT87" s="7"/>
      <c r="BU87" s="31" t="str">
        <f>IF(BT87/(INDEX('Standards for Conversions'!$H$34:$H$73,MATCH(BS$3,'Standards for Conversions'!$A$34:$A$73,0)))=0,"",BT87/(INDEX('Standards for Conversions'!$H$34:$H$73,MATCH(BS$3,'Standards for Conversions'!$A$34:$A$73,0))))</f>
        <v/>
      </c>
      <c r="BW87" s="10"/>
      <c r="BX87" s="9"/>
      <c r="BY87" s="31" t="str">
        <f>IF(BX87/(INDEX('Standards for Conversions'!$H$34:$H$73,MATCH(BW$3,'Standards for Conversions'!$A$34:$A$73,0)))=0,"",BX87/(INDEX('Standards for Conversions'!$H$34:$H$73,MATCH(BW$3,'Standards for Conversions'!$A$34:$A$73,0))))</f>
        <v/>
      </c>
      <c r="CB87" s="7"/>
      <c r="CC87" s="31" t="str">
        <f>IF(CB87/(INDEX('Standards for Conversions'!$H$34:$H$73,MATCH(CA$3,'Standards for Conversions'!$A$34:$A$73,0)))=0,"",CB87/(INDEX('Standards for Conversions'!$H$34:$H$73,MATCH(CA$3,'Standards for Conversions'!$A$34:$A$73,0))))</f>
        <v/>
      </c>
      <c r="CF87" s="7"/>
      <c r="CG87" s="31" t="str">
        <f>IF(CF87/(INDEX('Standards for Conversions'!$H$34:$H$73,MATCH(CE$3,'Standards for Conversions'!$A$34:$A$73,0)))=0,"",CF87/(INDEX('Standards for Conversions'!$H$34:$H$73,MATCH(CE$3,'Standards for Conversions'!$A$34:$A$73,0))))</f>
        <v/>
      </c>
      <c r="CI87" s="7"/>
      <c r="CJ87" s="7"/>
      <c r="CK87" s="31" t="str">
        <f>IF(CJ87/(INDEX('Standards for Conversions'!$H$34:$H$73,MATCH(CI$3,'Standards for Conversions'!$A$34:$A$73,0)))=0,"",CJ87/(INDEX('Standards for Conversions'!$H$34:$H$73,MATCH(CI$3,'Standards for Conversions'!$A$34:$A$73,0))))</f>
        <v/>
      </c>
      <c r="CM87" s="10"/>
      <c r="CN87" s="9"/>
      <c r="CO87" s="31" t="str">
        <f>IF(CN87/(INDEX('Standards for Conversions'!$H$34:$H$73,MATCH(CM$3,'Standards for Conversions'!$A$34:$A$73,0)))=0,"",CN87/(INDEX('Standards for Conversions'!$H$34:$H$73,MATCH(CM$3,'Standards for Conversions'!$A$34:$A$73,0))))</f>
        <v/>
      </c>
      <c r="CR87" s="7"/>
      <c r="CS87" s="31" t="str">
        <f>IF(CR87/(INDEX('Standards for Conversions'!$H$34:$H$73,MATCH(CQ$3,'Standards for Conversions'!$A$34:$A$73,0)))=0,"",CR87/(INDEX('Standards for Conversions'!$H$34:$H$73,MATCH(CQ$3,'Standards for Conversions'!$A$34:$A$73,0))))</f>
        <v/>
      </c>
      <c r="CV87" s="7"/>
      <c r="CW87" s="31" t="str">
        <f>IF(CV87/(INDEX('Standards for Conversions'!$H$34:$H$73,MATCH(CU$3,'Standards for Conversions'!$A$34:$A$73,0)))=0,"",CV87/(INDEX('Standards for Conversions'!$H$34:$H$73,MATCH(CU$3,'Standards for Conversions'!$A$34:$A$73,0))))</f>
        <v/>
      </c>
      <c r="CY87" s="7"/>
      <c r="CZ87" s="7"/>
      <c r="DA87" s="31" t="str">
        <f>IF(CZ87/(INDEX('Standards for Conversions'!$H$34:$H$73,MATCH(CY$3,'Standards for Conversions'!$A$34:$A$73,0)))=0,"",CZ87/(INDEX('Standards for Conversions'!$H$34:$H$73,MATCH(CY$3,'Standards for Conversions'!$A$34:$A$73,0))))</f>
        <v/>
      </c>
      <c r="DC87" s="10"/>
      <c r="DD87" s="9"/>
      <c r="DE87" s="31" t="str">
        <f>IF(DD87/(INDEX('Standards for Conversions'!$H$34:$H$73,MATCH(DC$3,'Standards for Conversions'!$A$34:$A$73,0)))=0,"",DD87/(INDEX('Standards for Conversions'!$H$34:$H$73,MATCH(DC$3,'Standards for Conversions'!$A$34:$A$73,0))))</f>
        <v/>
      </c>
      <c r="DH87" s="7"/>
      <c r="DI87" s="31" t="str">
        <f>IF(DH87/(INDEX('Standards for Conversions'!$H$34:$H$73,MATCH(DG$3,'Standards for Conversions'!$A$34:$A$73,0)))=0,"",DH87/(INDEX('Standards for Conversions'!$H$34:$H$73,MATCH(DG$3,'Standards for Conversions'!$A$34:$A$73,0))))</f>
        <v/>
      </c>
      <c r="DL87" s="7"/>
      <c r="DM87" s="31" t="str">
        <f>IF(DL87/(INDEX('Standards for Conversions'!$H$34:$H$73,MATCH(DK$3,'Standards for Conversions'!$A$34:$A$73,0)))=0,"",DL87/(INDEX('Standards for Conversions'!$H$34:$H$73,MATCH(DK$3,'Standards for Conversions'!$A$34:$A$73,0))))</f>
        <v/>
      </c>
      <c r="DO87" s="7"/>
      <c r="DP87" s="7"/>
      <c r="DQ87" s="31" t="str">
        <f>IF(DP87/(INDEX('Standards for Conversions'!$H$34:$H$73,MATCH(DO$3,'Standards for Conversions'!$A$34:$A$73,0)))=0,"",DP87/(INDEX('Standards for Conversions'!$H$34:$H$73,MATCH(DO$3,'Standards for Conversions'!$A$34:$A$73,0))))</f>
        <v/>
      </c>
      <c r="DS87" s="10"/>
      <c r="DT87" s="9"/>
      <c r="DU87" s="31" t="str">
        <f>IF(DT87/(INDEX('Standards for Conversions'!$H$34:$H$73,MATCH(DS$3,'Standards for Conversions'!$A$34:$A$73,0)))=0,"",DT87/(INDEX('Standards for Conversions'!$H$34:$H$73,MATCH(DS$3,'Standards for Conversions'!$A$34:$A$73,0))))</f>
        <v/>
      </c>
      <c r="DX87" s="7"/>
      <c r="DY87" s="31" t="str">
        <f>IF(DX87/(INDEX('Standards for Conversions'!$H$34:$H$73,MATCH(DW$3,'Standards for Conversions'!$A$34:$A$73,0)))=0,"",DX87/(INDEX('Standards for Conversions'!$H$34:$H$73,MATCH(DW$3,'Standards for Conversions'!$A$34:$A$73,0))))</f>
        <v/>
      </c>
      <c r="EB87" s="7"/>
      <c r="EC87" s="31" t="str">
        <f>IF(EB87/(INDEX('Standards for Conversions'!$H$34:$H$73,MATCH(EA$3,'Standards for Conversions'!$A$34:$A$73,0)))=0,"",EB87/(INDEX('Standards for Conversions'!$H$34:$H$73,MATCH(EA$3,'Standards for Conversions'!$A$34:$A$73,0))))</f>
        <v/>
      </c>
      <c r="EE87" s="7"/>
      <c r="EF87" s="7"/>
      <c r="EG87" s="31" t="str">
        <f>IF(EF87/(INDEX('Standards for Conversions'!$H$34:$H$73,MATCH(EE$3,'Standards for Conversions'!$A$34:$A$73,0)))=0,"",EF87/(INDEX('Standards for Conversions'!$H$34:$H$73,MATCH(EE$3,'Standards for Conversions'!$A$34:$A$73,0))))</f>
        <v/>
      </c>
      <c r="EI87" s="10"/>
      <c r="EJ87" s="9"/>
      <c r="EK87" s="31" t="str">
        <f>IF(EJ87/(INDEX('Standards for Conversions'!$H$34:$H$73,MATCH(EI$3,'Standards for Conversions'!$A$34:$A$73,0)))=0,"",EJ87/(INDEX('Standards for Conversions'!$H$34:$H$73,MATCH(EI$3,'Standards for Conversions'!$A$34:$A$73,0))))</f>
        <v/>
      </c>
      <c r="EN87" s="7"/>
      <c r="EO87" s="31" t="str">
        <f>IF(EN87/(INDEX('Standards for Conversions'!$H$34:$H$73,MATCH(EM$3,'Standards for Conversions'!$A$34:$A$73,0)))=0,"",EN87/(INDEX('Standards for Conversions'!$H$34:$H$73,MATCH(EM$3,'Standards for Conversions'!$A$34:$A$73,0))))</f>
        <v/>
      </c>
      <c r="ER87" s="7"/>
      <c r="ES87" s="31" t="str">
        <f>IF(ER87/(INDEX('Standards for Conversions'!$H$34:$H$73,MATCH(EQ$3,'Standards for Conversions'!$A$34:$A$73,0)))=0,"",ER87/(INDEX('Standards for Conversions'!$H$34:$H$73,MATCH(EQ$3,'Standards for Conversions'!$A$34:$A$73,0))))</f>
        <v/>
      </c>
      <c r="EU87" s="7"/>
      <c r="EV87" s="7"/>
      <c r="EW87" s="31" t="str">
        <f>IF(EV87/(INDEX('Standards for Conversions'!$H$34:$H$73,MATCH(EU$3,'Standards for Conversions'!$A$34:$A$73,0)))=0,"",EV87/(INDEX('Standards for Conversions'!$H$34:$H$73,MATCH(EU$3,'Standards for Conversions'!$A$34:$A$73,0))))</f>
        <v/>
      </c>
      <c r="EY87" s="10"/>
      <c r="EZ87" s="9"/>
      <c r="FA87" s="31" t="str">
        <f>IF(EZ87/(INDEX('Standards for Conversions'!$H$34:$H$73,MATCH(EY$3,'Standards for Conversions'!$A$34:$A$73,0)))=0,"",EZ87/(INDEX('Standards for Conversions'!$H$34:$H$73,MATCH(EY$3,'Standards for Conversions'!$A$34:$A$73,0))))</f>
        <v/>
      </c>
      <c r="FD87" s="7"/>
      <c r="FE87" s="31" t="str">
        <f>IF(FD87/(INDEX('Standards for Conversions'!$H$34:$H$73,MATCH(FC$3,'Standards for Conversions'!$A$34:$A$73,0)))=0,"",FD87/(INDEX('Standards for Conversions'!$H$34:$H$73,MATCH(FC$3,'Standards for Conversions'!$A$34:$A$73,0))))</f>
        <v/>
      </c>
      <c r="FH87" s="7"/>
      <c r="FI87" s="31" t="str">
        <f>IF(FH87/(INDEX('Standards for Conversions'!$H$34:$H$73,MATCH(FG$3,'Standards for Conversions'!$A$34:$A$73,0)))=0,"",FH87/(INDEX('Standards for Conversions'!$H$34:$H$73,MATCH(FG$3,'Standards for Conversions'!$A$34:$A$73,0))))</f>
        <v/>
      </c>
      <c r="FK87" s="7"/>
      <c r="FL87" s="7"/>
      <c r="FM87" s="31" t="str">
        <f>IF(FL87/(INDEX('Standards for Conversions'!$H$34:$H$73,MATCH(FK$3,'Standards for Conversions'!$A$34:$A$73,0)))=0,"",FL87/(INDEX('Standards for Conversions'!$H$34:$H$73,MATCH(FK$3,'Standards for Conversions'!$A$34:$A$73,0))))</f>
        <v/>
      </c>
      <c r="FO87" s="10"/>
      <c r="FP87" s="9"/>
      <c r="FQ87" s="31" t="str">
        <f>IF(FP87/(INDEX('Standards for Conversions'!$H$34:$H$73,MATCH(FO$3,'Standards for Conversions'!$A$34:$A$73,0)))=0,"",FP87/(INDEX('Standards for Conversions'!$H$34:$H$73,MATCH(FO$3,'Standards for Conversions'!$A$34:$A$73,0))))</f>
        <v/>
      </c>
      <c r="FT87" s="7"/>
      <c r="FU87" s="31" t="str">
        <f>IF(FT87/(INDEX('Standards for Conversions'!$H$34:$H$73,MATCH(FS$3,'Standards for Conversions'!$A$34:$A$73,0)))=0,"",FT87/(INDEX('Standards for Conversions'!$H$34:$H$73,MATCH(FS$3,'Standards for Conversions'!$A$34:$A$73,0))))</f>
        <v/>
      </c>
      <c r="FX87" s="7"/>
      <c r="FY87" s="31" t="str">
        <f>IF(FX87/(INDEX('Standards for Conversions'!$H$34:$H$73,MATCH(FW$3,'Standards for Conversions'!$A$34:$A$73,0)))=0,"",FX87/(INDEX('Standards for Conversions'!$H$34:$H$73,MATCH(FW$3,'Standards for Conversions'!$A$34:$A$73,0))))</f>
        <v/>
      </c>
      <c r="GA87" s="7"/>
      <c r="GB87" s="7"/>
      <c r="GC87" s="31" t="str">
        <f>IF(GB87/(INDEX('Standards for Conversions'!$H$34:$H$73,MATCH(GA$3,'Standards for Conversions'!$A$34:$A$73,0)))=0,"",GB87/(INDEX('Standards for Conversions'!$H$34:$H$73,MATCH(GA$3,'Standards for Conversions'!$A$34:$A$73,0))))</f>
        <v/>
      </c>
      <c r="GE87" s="10"/>
      <c r="GF87" s="9"/>
      <c r="GG87" s="31" t="str">
        <f>IF(GF87/(INDEX('Standards for Conversions'!$H$34:$H$73,MATCH(GE$3,'Standards for Conversions'!$A$34:$A$73,0)))=0,"",GF87/(INDEX('Standards for Conversions'!$H$34:$H$73,MATCH(GE$3,'Standards for Conversions'!$A$34:$A$73,0))))</f>
        <v/>
      </c>
      <c r="GJ87" s="7"/>
      <c r="GK87" s="31" t="str">
        <f>IF(GJ87/(INDEX('Standards for Conversions'!$H$34:$H$73,MATCH(GI$3,'Standards for Conversions'!$A$34:$A$73,0)))=0,"",GJ87/(INDEX('Standards for Conversions'!$H$34:$H$73,MATCH(GI$3,'Standards for Conversions'!$A$34:$A$73,0))))</f>
        <v/>
      </c>
      <c r="GN87" s="7"/>
      <c r="GO87" s="31" t="str">
        <f>IF(GN87/(INDEX('Standards for Conversions'!$H$34:$H$73,MATCH(GM$3,'Standards for Conversions'!$A$34:$A$73,0)))=0,"",GN87/(INDEX('Standards for Conversions'!$H$34:$H$73,MATCH(GM$3,'Standards for Conversions'!$A$34:$A$73,0))))</f>
        <v/>
      </c>
      <c r="GQ87" s="7"/>
      <c r="GR87" s="7"/>
      <c r="GS87" s="31" t="str">
        <f>IF(GR87/(INDEX('Standards for Conversions'!$H$34:$H$73,MATCH(GQ$3,'Standards for Conversions'!$A$34:$A$73,0)))=0,"",GR87/(INDEX('Standards for Conversions'!$H$34:$H$73,MATCH(GQ$3,'Standards for Conversions'!$A$34:$A$73,0))))</f>
        <v/>
      </c>
      <c r="GU87" s="10"/>
      <c r="GV87" s="9"/>
      <c r="GW87" s="31" t="str">
        <f>IF(GV87/(INDEX('Standards for Conversions'!$H$34:$H$73,MATCH(GU$3,'Standards for Conversions'!$A$34:$A$73,0)))=0,"",GV87/(INDEX('Standards for Conversions'!$H$34:$H$73,MATCH(GU$3,'Standards for Conversions'!$A$34:$A$73,0))))</f>
        <v/>
      </c>
      <c r="GZ87" s="7"/>
      <c r="HA87" s="31" t="str">
        <f>IF(GZ87/(INDEX('Standards for Conversions'!$H$34:$H$73,MATCH(GY$3,'Standards for Conversions'!$A$34:$A$73,0)))=0,"",GZ87/(INDEX('Standards for Conversions'!$H$34:$H$73,MATCH(GY$3,'Standards for Conversions'!$A$34:$A$73,0))))</f>
        <v/>
      </c>
      <c r="HD87" s="7"/>
      <c r="HE87" s="31" t="str">
        <f>IF(HD87/(INDEX('Standards for Conversions'!$H$34:$H$73,MATCH(HC$3,'Standards for Conversions'!$A$34:$A$73,0)))=0,"",HD87/(INDEX('Standards for Conversions'!$H$34:$H$73,MATCH(HC$3,'Standards for Conversions'!$A$34:$A$73,0))))</f>
        <v/>
      </c>
      <c r="HG87" s="7"/>
      <c r="HH87" s="7"/>
      <c r="HI87" s="31" t="str">
        <f>IF(HH87/(INDEX('Standards for Conversions'!$H$34:$H$73,MATCH(HG$3,'Standards for Conversions'!$A$34:$A$73,0)))=0,"",HH87/(INDEX('Standards for Conversions'!$H$34:$H$73,MATCH(HG$3,'Standards for Conversions'!$A$34:$A$73,0))))</f>
        <v/>
      </c>
      <c r="HK87" s="10"/>
      <c r="HL87" s="9"/>
      <c r="HM87" s="31" t="str">
        <f>IF(HL87/(INDEX('Standards for Conversions'!$H$34:$H$73,MATCH(HK$3,'Standards for Conversions'!$A$34:$A$73,0)))=0,"",HL87/(INDEX('Standards for Conversions'!$H$34:$H$73,MATCH(HK$3,'Standards for Conversions'!$A$34:$A$73,0))))</f>
        <v/>
      </c>
      <c r="HP87" s="7"/>
      <c r="HQ87" s="31" t="str">
        <f>IF(HP87/(INDEX('Standards for Conversions'!$H$34:$H$73,MATCH(HO$3,'Standards for Conversions'!$A$34:$A$73,0)))=0,"",HP87/(INDEX('Standards for Conversions'!$H$34:$H$73,MATCH(HO$3,'Standards for Conversions'!$A$34:$A$73,0))))</f>
        <v/>
      </c>
      <c r="HR87" s="33" t="s">
        <v>98</v>
      </c>
      <c r="HU87" s="31" t="str">
        <f>IF(HT87/(INDEX('Standards for Conversions'!$H$47:$H$73,MATCH(HS$3,'Standards for Conversions'!$A$47:$A$73,0)))=0,"",HT87/(INDEX('Standards for Conversions'!$H$47:$H$73,MATCH(HS$3,'Standards for Conversions'!$A$47:$A$73,0))))</f>
        <v/>
      </c>
      <c r="HY87" s="31" t="str">
        <f>IF(HX87/(INDEX('Standards for Conversions'!$H$47:$H$73,MATCH(HW$3,'Standards for Conversions'!$A$47:$A$73,0)))=0,"",HX87/(INDEX('Standards for Conversions'!$H$47:$H$73,MATCH(HW$3,'Standards for Conversions'!$A$47:$A$73,0))))</f>
        <v/>
      </c>
      <c r="HZ87" s="33"/>
      <c r="IA87" s="33"/>
      <c r="IB87" s="31" t="str">
        <f>IF(IA87/(INDEX('Standards for Conversions'!$H$47:$H$73,MATCH(HZ$3,'Standards for Conversions'!$A$47:$A$73,0)))=0,"",IA87/(INDEX('Standards for Conversions'!$H$47:$H$73,MATCH(HZ$3,'Standards for Conversions'!$A$47:$A$73,0))))</f>
        <v/>
      </c>
      <c r="IF87" s="31" t="str">
        <f>IF(IE87/(INDEX('Standards for Conversions'!$H$47:$H$73,MATCH(ID$3,'Standards for Conversions'!$A$47:$A$73,0)))=0,"",IE87/(INDEX('Standards for Conversions'!$H$47:$H$73,MATCH(ID$3,'Standards for Conversions'!$A$47:$A$73,0))))</f>
        <v/>
      </c>
      <c r="IJ87" s="31" t="str">
        <f>IF(II87/(INDEX('Standards for Conversions'!$H$47:$H$73,MATCH(IH$3,'Standards for Conversions'!$A$47:$A$73,0)))=0,"",II87/(INDEX('Standards for Conversions'!$H$47:$H$73,MATCH(IH$3,'Standards for Conversions'!$A$47:$A$73,0))))</f>
        <v/>
      </c>
      <c r="IN87" s="31" t="str">
        <f>IF(IM87/(INDEX('Standards for Conversions'!$H$47:$H$73,MATCH(IL$3,'Standards for Conversions'!$A$47:$A$73,0)))=0,"",IM87/(INDEX('Standards for Conversions'!$H$47:$H$73,MATCH(IL$3,'Standards for Conversions'!$A$47:$A$73,0))))</f>
        <v/>
      </c>
      <c r="IR87" s="31" t="str">
        <f>IF(IQ87/(INDEX('Standards for Conversions'!$H$47:$H$73,MATCH(IP$3,'Standards for Conversions'!$A$47:$A$73,0)))=0,"",IQ87/(INDEX('Standards for Conversions'!$H$47:$H$73,MATCH(IP$3,'Standards for Conversions'!$A$47:$A$73,0))))</f>
        <v/>
      </c>
      <c r="IV87" s="31" t="str">
        <f>IF(IU87/(INDEX('Standards for Conversions'!$H$47:$H$73,MATCH(IT$3,'Standards for Conversions'!$A$47:$A$73,0)))=0,"",IU87/(INDEX('Standards for Conversions'!$H$47:$H$73,MATCH(IT$3,'Standards for Conversions'!$A$47:$A$73,0))))</f>
        <v/>
      </c>
      <c r="IZ87" s="31" t="str">
        <f>IF(IY87/(INDEX('Standards for Conversions'!$H$47:$H$73,MATCH(IX$3,'Standards for Conversions'!$A$47:$A$73,0)))=0,"",IY87/(INDEX('Standards for Conversions'!$H$47:$H$73,MATCH(IX$3,'Standards for Conversions'!$A$47:$A$73,0))))</f>
        <v/>
      </c>
      <c r="JA87" s="33"/>
      <c r="JD87" s="31" t="str">
        <f>IF(JC87/(INDEX('Standards for Conversions'!$H$47:$H$73,MATCH(JB$3,'Standards for Conversions'!$A$47:$A$73,0)))=0,"",JC87/(INDEX('Standards for Conversions'!$H$47:$H$73,MATCH(JB$3,'Standards for Conversions'!$A$47:$A$73,0))))</f>
        <v/>
      </c>
      <c r="JE87" s="33"/>
      <c r="JH87" s="31" t="str">
        <f>IF(JG87/(INDEX('Standards for Conversions'!$H$47:$H$73,MATCH(JF$3,'Standards for Conversions'!$A$47:$A$73,0)))=0,"",JG87/(INDEX('Standards for Conversions'!$H$47:$H$73,MATCH(JF$3,'Standards for Conversions'!$A$47:$A$73,0))))</f>
        <v/>
      </c>
      <c r="JL87" s="31" t="str">
        <f>IF(JK87/(INDEX('Standards for Conversions'!$H$47:$H$73,MATCH(JJ$3,'Standards for Conversions'!$A$47:$A$73,0)))=0,"",JK87/(INDEX('Standards for Conversions'!$H$47:$H$73,MATCH(JJ$3,'Standards for Conversions'!$A$47:$A$73,0))))</f>
        <v/>
      </c>
      <c r="JP87" s="31" t="str">
        <f>IF(JO87/(INDEX('Standards for Conversions'!$H$47:$H$73,MATCH(JN$3,'Standards for Conversions'!$A$47:$A$73,0)))=0,"",JO87/(INDEX('Standards for Conversions'!$H$47:$H$73,MATCH(JN$3,'Standards for Conversions'!$A$47:$A$73,0))))</f>
        <v/>
      </c>
      <c r="JT87" s="31" t="str">
        <f>IF(JS87/(INDEX('Standards for Conversions'!$H$47:$H$73,MATCH(JR$3,'Standards for Conversions'!$A$47:$A$73,0)))=0,"",JS87/(INDEX('Standards for Conversions'!$H$47:$H$73,MATCH(JR$3,'Standards for Conversions'!$A$47:$A$73,0))))</f>
        <v/>
      </c>
      <c r="JX87" s="31" t="str">
        <f>IF(JW87/(INDEX('Standards for Conversions'!$H$47:$H$73,MATCH(JV$3,'Standards for Conversions'!$A$47:$A$73,0)))=0,"",JW87/(INDEX('Standards for Conversions'!$H$47:$H$73,MATCH(JV$3,'Standards for Conversions'!$A$47:$A$73,0))))</f>
        <v/>
      </c>
      <c r="KB87" s="31" t="str">
        <f>IF(KA87/(INDEX('Standards for Conversions'!$H$47:$H$73,MATCH(JZ$3,'Standards for Conversions'!$A$47:$A$73,0)))=0,"",KA87/(INDEX('Standards for Conversions'!$H$47:$H$73,MATCH(JZ$3,'Standards for Conversions'!$A$47:$A$73,0))))</f>
        <v/>
      </c>
      <c r="KF87" s="31" t="str">
        <f>IF(KE87/(INDEX('Standards for Conversions'!$H$47:$H$73,MATCH(KD$3,'Standards for Conversions'!$A$47:$A$73,0)))=0,"",KE87/(INDEX('Standards for Conversions'!$H$47:$H$73,MATCH(KD$3,'Standards for Conversions'!$A$47:$A$73,0))))</f>
        <v/>
      </c>
      <c r="KJ87" s="31" t="str">
        <f>IF(KI87/(INDEX('Standards for Conversions'!$H$47:$H$73,MATCH(KH$3,'Standards for Conversions'!$A$47:$A$73,0)))=0,"",KI87/(INDEX('Standards for Conversions'!$H$47:$H$73,MATCH(KH$3,'Standards for Conversions'!$A$47:$A$73,0))))</f>
        <v/>
      </c>
      <c r="KN87" s="31" t="str">
        <f>IF(KM87/(INDEX('Standards for Conversions'!$H$47:$H$73,MATCH(KL$3,'Standards for Conversions'!$A$47:$A$73,0)))=0,"",KM87/(INDEX('Standards for Conversions'!$H$47:$H$73,MATCH(KL$3,'Standards for Conversions'!$A$47:$A$73,0))))</f>
        <v/>
      </c>
      <c r="KR87" s="31" t="str">
        <f>IF(KQ87/(INDEX('Standards for Conversions'!$H$47:$H$73,MATCH(KP$3,'Standards for Conversions'!$A$47:$A$73,0)))=0,"",KQ87/(INDEX('Standards for Conversions'!$H$47:$H$73,MATCH(KP$3,'Standards for Conversions'!$A$47:$A$73,0))))</f>
        <v/>
      </c>
      <c r="KV87" s="31" t="str">
        <f>IF(KU87/(INDEX('Standards for Conversions'!$H$47:$H$73,MATCH(KT$3,'Standards for Conversions'!$A$47:$A$73,0)))=0,"",KU87/(INDEX('Standards for Conversions'!$H$47:$H$73,MATCH(KT$3,'Standards for Conversions'!$A$47:$A$73,0))))</f>
        <v/>
      </c>
      <c r="KW87" s="33"/>
      <c r="KZ87" s="31" t="str">
        <f>IF(KY87/(INDEX('Standards for Conversions'!$H$47:$H$73,MATCH(KX$3,'Standards for Conversions'!$A$47:$A$73,0)))=0,"",KY87/(INDEX('Standards for Conversions'!$H$47:$H$73,MATCH(KX$3,'Standards for Conversions'!$A$47:$A$73,0))))</f>
        <v/>
      </c>
      <c r="LD87" s="31" t="str">
        <f>IF(LC87/(INDEX('Standards for Conversions'!$H$47:$H$73,MATCH(LB$3,'Standards for Conversions'!$A$47:$A$73,0)))=0,"",LC87/(INDEX('Standards for Conversions'!$H$47:$H$73,MATCH(LB$3,'Standards for Conversions'!$A$47:$A$73,0))))</f>
        <v/>
      </c>
      <c r="LH87" s="31" t="str">
        <f>IF(LG87/(INDEX('Standards for Conversions'!$H$47:$H$73,MATCH(LF$3,'Standards for Conversions'!$A$47:$A$73,0)))=0,"",LG87/(INDEX('Standards for Conversions'!$H$47:$H$73,MATCH(LF$3,'Standards for Conversions'!$A$47:$A$73,0))))</f>
        <v/>
      </c>
      <c r="LL87" s="31" t="str">
        <f>IF(LK87/(INDEX('Standards for Conversions'!$H$47:$H$73,MATCH(LJ$3,'Standards for Conversions'!$A$47:$A$73,0)))=0,"",LK87/(INDEX('Standards for Conversions'!$H$47:$H$73,MATCH(LJ$3,'Standards for Conversions'!$A$47:$A$73,0))))</f>
        <v/>
      </c>
      <c r="LO87" s="31" t="str">
        <f>IF(LN87/(INDEX('Standards for Conversions'!$H$47:$H$73,MATCH(LM$3,'Standards for Conversions'!$A$47:$A$73,0)))=0,"",LN87/(INDEX('Standards for Conversions'!$H$47:$H$73,MATCH(LM$3,'Standards for Conversions'!$A$47:$A$73,0))))</f>
        <v/>
      </c>
      <c r="LR87" s="31" t="str">
        <f>IF(LQ87/(INDEX('Standards for Conversions'!$H$47:$H$73,MATCH(LP$3,'Standards for Conversions'!$A$47:$A$73,0)))=0,"",LQ87/(INDEX('Standards for Conversions'!$H$47:$H$73,MATCH(LP$3,'Standards for Conversions'!$A$47:$A$73,0))))</f>
        <v/>
      </c>
      <c r="LV87" s="31" t="str">
        <f>IF(LU87/(INDEX('Standards for Conversions'!$H$47:$H$73,MATCH(LT$3,'Standards for Conversions'!$A$47:$A$73,0)))=0,"",LU87/(INDEX('Standards for Conversions'!$H$47:$H$73,MATCH(LT$3,'Standards for Conversions'!$A$47:$A$73,0))))</f>
        <v/>
      </c>
      <c r="LY87" s="31" t="str">
        <f>IF(LX87/(INDEX('Standards for Conversions'!$H$47:$H$73,MATCH(LW$3,'Standards for Conversions'!$A$47:$A$73,0)))=0,"",LX87/(INDEX('Standards for Conversions'!$H$47:$H$73,MATCH(LW$3,'Standards for Conversions'!$A$47:$A$73,0))))</f>
        <v/>
      </c>
      <c r="MB87" s="31" t="str">
        <f>IF(MA87/(INDEX('Standards for Conversions'!$H$47:$H$73,MATCH(LZ$3,'Standards for Conversions'!$A$47:$A$73,0)))=0,"",MA87/(INDEX('Standards for Conversions'!$H$47:$H$73,MATCH(LZ$3,'Standards for Conversions'!$A$47:$A$73,0))))</f>
        <v/>
      </c>
      <c r="ME87" s="31" t="str">
        <f>IF(MD87/(INDEX('Standards for Conversions'!$H$47:$H$73,MATCH(MC$3,'Standards for Conversions'!$A$47:$A$73,0)))=0,"",MD87/(INDEX('Standards for Conversions'!$H$47:$H$73,MATCH(MC$3,'Standards for Conversions'!$A$47:$A$73,0))))</f>
        <v/>
      </c>
      <c r="MH87" s="31" t="str">
        <f>IF(MG87/(INDEX('Standards for Conversions'!$H$47:$H$73,MATCH(MF$3,'Standards for Conversions'!$A$47:$A$73,0)))=0,"",MG87/(INDEX('Standards for Conversions'!$H$47:$H$73,MATCH(MF$3,'Standards for Conversions'!$A$47:$A$73,0))))</f>
        <v/>
      </c>
      <c r="MK87" s="31" t="str">
        <f>IF(MJ87/(INDEX('Standards for Conversions'!$H$47:$H$73,MATCH(MI$3,'Standards for Conversions'!$A$47:$A$73,0)))=0,"",MJ87/(INDEX('Standards for Conversions'!$H$47:$H$73,MATCH(MI$3,'Standards for Conversions'!$A$47:$A$73,0))))</f>
        <v/>
      </c>
      <c r="MN87" s="31" t="str">
        <f>IF(MM87/(INDEX('Standards for Conversions'!$H$47:$H$73,MATCH(ML$3,'Standards for Conversions'!$A$47:$A$73,0)))=0,"",MM87/(INDEX('Standards for Conversions'!$H$47:$H$73,MATCH(ML$3,'Standards for Conversions'!$A$47:$A$73,0))))</f>
        <v/>
      </c>
      <c r="MR87" s="31" t="str">
        <f>IF(MQ87/(INDEX('Standards for Conversions'!$H$47:$H$73,MATCH(MP$3,'Standards for Conversions'!$A$47:$A$73,0)))=0,"",MQ87/(INDEX('Standards for Conversions'!$H$47:$H$73,MATCH(MP$3,'Standards for Conversions'!$A$47:$A$73,0))))</f>
        <v/>
      </c>
      <c r="NE87" s="29" t="s">
        <v>98</v>
      </c>
      <c r="NF87" s="29">
        <v>12978</v>
      </c>
      <c r="NG87" s="29">
        <v>9577</v>
      </c>
      <c r="NH87" s="29">
        <v>11258</v>
      </c>
      <c r="NI87" s="29">
        <v>9565</v>
      </c>
    </row>
    <row r="88" spans="1:373" hidden="1" x14ac:dyDescent="0.3">
      <c r="A88" s="103" t="s">
        <v>258</v>
      </c>
      <c r="B88" s="10" t="s">
        <v>48</v>
      </c>
      <c r="D88" s="7"/>
      <c r="E88" s="31" t="str">
        <f>IF(D88/(INDEX('Standards for Conversions'!$H$34:$H$73,MATCH(C$3,'Standards for Conversions'!$A$34:$A$73,0)))=0,"",D88/(INDEX('Standards for Conversions'!$H$34:$H$73,MATCH(C$3,'Standards for Conversions'!$A$34:$A$73,0))))</f>
        <v/>
      </c>
      <c r="F88" s="10" t="s">
        <v>48</v>
      </c>
      <c r="G88" s="7"/>
      <c r="H88" s="7"/>
      <c r="I88" s="31" t="str">
        <f>IF(H88/(INDEX('Standards for Conversions'!$H$34:$H$73,MATCH(G$3,'Standards for Conversions'!$A$34:$A$73,0)))=0,"",H88/(INDEX('Standards for Conversions'!$H$34:$H$73,MATCH(G$3,'Standards for Conversions'!$A$34:$A$73,0))))</f>
        <v/>
      </c>
      <c r="J88" s="10" t="s">
        <v>48</v>
      </c>
      <c r="K88" s="9"/>
      <c r="L88" s="9"/>
      <c r="M88" s="31" t="str">
        <f>IF(L88/(INDEX('Standards for Conversions'!$H$34:$H$73,MATCH(K$3,'Standards for Conversions'!$A$34:$A$73,0)))=0,"",L88/(INDEX('Standards for Conversions'!$H$34:$H$73,MATCH(K$3,'Standards for Conversions'!$A$34:$A$73,0))))</f>
        <v/>
      </c>
      <c r="N88" s="10" t="s">
        <v>48</v>
      </c>
      <c r="O88" s="7"/>
      <c r="P88" s="7"/>
      <c r="Q88" s="31" t="str">
        <f>IF(P88/(INDEX('Standards for Conversions'!$H$34:$H$73,MATCH(O$3,'Standards for Conversions'!$A$34:$A$73,0)))=0,"",P88/(INDEX('Standards for Conversions'!$H$34:$H$73,MATCH(O$3,'Standards for Conversions'!$A$34:$A$73,0))))</f>
        <v/>
      </c>
      <c r="R88" s="10" t="s">
        <v>48</v>
      </c>
      <c r="T88" s="7"/>
      <c r="U88" s="31" t="str">
        <f>IF(T88/(INDEX('Standards for Conversions'!$H$34:$H$73,MATCH(S$3,'Standards for Conversions'!$A$34:$A$73,0)))=0,"",T88/(INDEX('Standards for Conversions'!$H$34:$H$73,MATCH(S$3,'Standards for Conversions'!$A$34:$A$73,0))))</f>
        <v/>
      </c>
      <c r="V88" s="10" t="s">
        <v>48</v>
      </c>
      <c r="W88" s="7"/>
      <c r="X88" s="7"/>
      <c r="Y88" s="31" t="str">
        <f>IF(X88/(INDEX('Standards for Conversions'!$H$34:$H$73,MATCH(W$3,'Standards for Conversions'!$A$34:$A$73,0)))=0,"",X88/(INDEX('Standards for Conversions'!$H$34:$H$73,MATCH(W$3,'Standards for Conversions'!$A$34:$A$73,0))))</f>
        <v/>
      </c>
      <c r="Z88" s="10" t="s">
        <v>48</v>
      </c>
      <c r="AA88" s="9"/>
      <c r="AB88" s="9"/>
      <c r="AC88" s="31" t="str">
        <f>IF(AB88/(INDEX('Standards for Conversions'!$H$34:$H$73,MATCH(AA$3,'Standards for Conversions'!$A$34:$A$73,0)))=0,"",AB88/(INDEX('Standards for Conversions'!$H$34:$H$73,MATCH(AA$3,'Standards for Conversions'!$A$34:$A$73,0))))</f>
        <v/>
      </c>
      <c r="AD88" s="10" t="s">
        <v>48</v>
      </c>
      <c r="AE88" s="7"/>
      <c r="AF88" s="7"/>
      <c r="AG88" s="31" t="str">
        <f>IF(AF88/(INDEX('Standards for Conversions'!$H$34:$H$73,MATCH(AE$3,'Standards for Conversions'!$A$34:$A$73,0)))=0,"",AF88/(INDEX('Standards for Conversions'!$H$34:$H$73,MATCH(AE$3,'Standards for Conversions'!$A$34:$A$73,0))))</f>
        <v/>
      </c>
      <c r="AH88" s="10" t="s">
        <v>48</v>
      </c>
      <c r="AJ88" s="7"/>
      <c r="AK88" s="31" t="str">
        <f>IF(AJ88/(INDEX('Standards for Conversions'!$H$34:$H$73,MATCH(AI$3,'Standards for Conversions'!$A$34:$A$73,0)))=0,"",AJ88/(INDEX('Standards for Conversions'!$H$34:$H$73,MATCH(AI$3,'Standards for Conversions'!$A$34:$A$73,0))))</f>
        <v/>
      </c>
      <c r="AL88" s="10" t="s">
        <v>48</v>
      </c>
      <c r="AM88" s="7"/>
      <c r="AN88" s="7"/>
      <c r="AO88" s="31" t="str">
        <f>IF(AN88/(INDEX('Standards for Conversions'!$H$34:$H$73,MATCH(AM$3,'Standards for Conversions'!$A$34:$A$73,0)))=0,"",AN88/(INDEX('Standards for Conversions'!$H$34:$H$73,MATCH(AM$3,'Standards for Conversions'!$A$34:$A$73,0))))</f>
        <v/>
      </c>
      <c r="AP88" s="10" t="s">
        <v>48</v>
      </c>
      <c r="AQ88" s="9"/>
      <c r="AR88" s="9"/>
      <c r="AS88" s="31" t="str">
        <f>IF(AR88/(INDEX('Standards for Conversions'!$H$34:$H$73,MATCH(AQ$3,'Standards for Conversions'!$A$34:$A$73,0)))=0,"",AR88/(INDEX('Standards for Conversions'!$H$34:$H$73,MATCH(AQ$3,'Standards for Conversions'!$A$34:$A$73,0))))</f>
        <v/>
      </c>
      <c r="AT88" s="10" t="s">
        <v>48</v>
      </c>
      <c r="AU88" s="7"/>
      <c r="AV88" s="7"/>
      <c r="AW88" s="31" t="str">
        <f>IF(AV88/(INDEX('Standards for Conversions'!$H$34:$H$73,MATCH(AU$3,'Standards for Conversions'!$A$34:$A$73,0)))=0,"",AV88/(INDEX('Standards for Conversions'!$H$34:$H$73,MATCH(AU$3,'Standards for Conversions'!$A$34:$A$73,0))))</f>
        <v/>
      </c>
      <c r="AX88" s="10" t="s">
        <v>48</v>
      </c>
      <c r="AZ88" s="7"/>
      <c r="BA88" s="31" t="str">
        <f>IF(AZ88/(INDEX('Standards for Conversions'!$H$34:$H$73,MATCH(AY$3,'Standards for Conversions'!$A$34:$A$73,0)))=0,"",AZ88/(INDEX('Standards for Conversions'!$H$34:$H$73,MATCH(AY$3,'Standards for Conversions'!$A$34:$A$73,0))))</f>
        <v/>
      </c>
      <c r="BB88" s="10" t="s">
        <v>48</v>
      </c>
      <c r="BC88" s="7"/>
      <c r="BD88" s="7"/>
      <c r="BE88" s="31" t="str">
        <f>IF(BD88/(INDEX('Standards for Conversions'!$H$34:$H$73,MATCH(BC$3,'Standards for Conversions'!$A$34:$A$73,0)))=0,"",BD88/(INDEX('Standards for Conversions'!$H$34:$H$73,MATCH(BC$3,'Standards for Conversions'!$A$34:$A$73,0))))</f>
        <v/>
      </c>
      <c r="BF88" s="10" t="s">
        <v>48</v>
      </c>
      <c r="BG88" s="9"/>
      <c r="BH88" s="9"/>
      <c r="BI88" s="31" t="str">
        <f>IF(BH88/(INDEX('Standards for Conversions'!$H$34:$H$73,MATCH(BG$3,'Standards for Conversions'!$A$34:$A$73,0)))=0,"",BH88/(INDEX('Standards for Conversions'!$H$34:$H$73,MATCH(BG$3,'Standards for Conversions'!$A$34:$A$73,0))))</f>
        <v/>
      </c>
      <c r="BJ88" s="10" t="s">
        <v>48</v>
      </c>
      <c r="BK88" s="7"/>
      <c r="BL88" s="7"/>
      <c r="BM88" s="31" t="str">
        <f>IF(BL88/(INDEX('Standards for Conversions'!$H$34:$H$73,MATCH(BK$3,'Standards for Conversions'!$A$34:$A$73,0)))=0,"",BL88/(INDEX('Standards for Conversions'!$H$34:$H$73,MATCH(BK$3,'Standards for Conversions'!$A$34:$A$73,0))))</f>
        <v/>
      </c>
      <c r="BN88" s="10" t="s">
        <v>48</v>
      </c>
      <c r="BP88" s="7"/>
      <c r="BQ88" s="31" t="str">
        <f>IF(BP88/(INDEX('Standards for Conversions'!$H$34:$H$73,MATCH(BO$3,'Standards for Conversions'!$A$34:$A$73,0)))=0,"",BP88/(INDEX('Standards for Conversions'!$H$34:$H$73,MATCH(BO$3,'Standards for Conversions'!$A$34:$A$73,0))))</f>
        <v/>
      </c>
      <c r="BR88" s="10" t="s">
        <v>48</v>
      </c>
      <c r="BS88" s="7"/>
      <c r="BT88" s="7"/>
      <c r="BU88" s="31" t="str">
        <f>IF(BT88/(INDEX('Standards for Conversions'!$H$34:$H$73,MATCH(BS$3,'Standards for Conversions'!$A$34:$A$73,0)))=0,"",BT88/(INDEX('Standards for Conversions'!$H$34:$H$73,MATCH(BS$3,'Standards for Conversions'!$A$34:$A$73,0))))</f>
        <v/>
      </c>
      <c r="BV88" s="10" t="s">
        <v>48</v>
      </c>
      <c r="BW88" s="9"/>
      <c r="BX88" s="9"/>
      <c r="BY88" s="31" t="str">
        <f>IF(BX88/(INDEX('Standards for Conversions'!$H$34:$H$73,MATCH(BW$3,'Standards for Conversions'!$A$34:$A$73,0)))=0,"",BX88/(INDEX('Standards for Conversions'!$H$34:$H$73,MATCH(BW$3,'Standards for Conversions'!$A$34:$A$73,0))))</f>
        <v/>
      </c>
      <c r="BZ88" s="10" t="s">
        <v>48</v>
      </c>
      <c r="CA88" s="7"/>
      <c r="CB88" s="7"/>
      <c r="CC88" s="31" t="str">
        <f>IF(CB88/(INDEX('Standards for Conversions'!$H$34:$H$73,MATCH(CA$3,'Standards for Conversions'!$A$34:$A$73,0)))=0,"",CB88/(INDEX('Standards for Conversions'!$H$34:$H$73,MATCH(CA$3,'Standards for Conversions'!$A$34:$A$73,0))))</f>
        <v/>
      </c>
      <c r="CD88" s="10" t="s">
        <v>48</v>
      </c>
      <c r="CF88" s="7"/>
      <c r="CG88" s="31" t="str">
        <f>IF(CF88/(INDEX('Standards for Conversions'!$H$34:$H$73,MATCH(CE$3,'Standards for Conversions'!$A$34:$A$73,0)))=0,"",CF88/(INDEX('Standards for Conversions'!$H$34:$H$73,MATCH(CE$3,'Standards for Conversions'!$A$34:$A$73,0))))</f>
        <v/>
      </c>
      <c r="CH88" s="10" t="s">
        <v>48</v>
      </c>
      <c r="CI88" s="7"/>
      <c r="CJ88" s="7"/>
      <c r="CK88" s="31" t="str">
        <f>IF(CJ88/(INDEX('Standards for Conversions'!$H$34:$H$73,MATCH(CI$3,'Standards for Conversions'!$A$34:$A$73,0)))=0,"",CJ88/(INDEX('Standards for Conversions'!$H$34:$H$73,MATCH(CI$3,'Standards for Conversions'!$A$34:$A$73,0))))</f>
        <v/>
      </c>
      <c r="CL88" s="10" t="s">
        <v>48</v>
      </c>
      <c r="CM88" s="9"/>
      <c r="CN88" s="9"/>
      <c r="CO88" s="31" t="str">
        <f>IF(CN88/(INDEX('Standards for Conversions'!$H$34:$H$73,MATCH(CM$3,'Standards for Conversions'!$A$34:$A$73,0)))=0,"",CN88/(INDEX('Standards for Conversions'!$H$34:$H$73,MATCH(CM$3,'Standards for Conversions'!$A$34:$A$73,0))))</f>
        <v/>
      </c>
      <c r="CP88" s="10" t="s">
        <v>48</v>
      </c>
      <c r="CQ88" s="7"/>
      <c r="CR88" s="7"/>
      <c r="CS88" s="31" t="str">
        <f>IF(CR88/(INDEX('Standards for Conversions'!$H$34:$H$73,MATCH(CQ$3,'Standards for Conversions'!$A$34:$A$73,0)))=0,"",CR88/(INDEX('Standards for Conversions'!$H$34:$H$73,MATCH(CQ$3,'Standards for Conversions'!$A$34:$A$73,0))))</f>
        <v/>
      </c>
      <c r="CT88" s="10" t="s">
        <v>48</v>
      </c>
      <c r="CV88" s="7"/>
      <c r="CW88" s="31" t="str">
        <f>IF(CV88/(INDEX('Standards for Conversions'!$H$34:$H$73,MATCH(CU$3,'Standards for Conversions'!$A$34:$A$73,0)))=0,"",CV88/(INDEX('Standards for Conversions'!$H$34:$H$73,MATCH(CU$3,'Standards for Conversions'!$A$34:$A$73,0))))</f>
        <v/>
      </c>
      <c r="CX88" s="10" t="s">
        <v>48</v>
      </c>
      <c r="CY88" s="7"/>
      <c r="CZ88" s="7"/>
      <c r="DA88" s="31" t="str">
        <f>IF(CZ88/(INDEX('Standards for Conversions'!$H$34:$H$73,MATCH(CY$3,'Standards for Conversions'!$A$34:$A$73,0)))=0,"",CZ88/(INDEX('Standards for Conversions'!$H$34:$H$73,MATCH(CY$3,'Standards for Conversions'!$A$34:$A$73,0))))</f>
        <v/>
      </c>
      <c r="DB88" s="10" t="s">
        <v>48</v>
      </c>
      <c r="DC88" s="9"/>
      <c r="DD88" s="9"/>
      <c r="DE88" s="31" t="str">
        <f>IF(DD88/(INDEX('Standards for Conversions'!$H$34:$H$73,MATCH(DC$3,'Standards for Conversions'!$A$34:$A$73,0)))=0,"",DD88/(INDEX('Standards for Conversions'!$H$34:$H$73,MATCH(DC$3,'Standards for Conversions'!$A$34:$A$73,0))))</f>
        <v/>
      </c>
      <c r="DF88" s="10" t="s">
        <v>48</v>
      </c>
      <c r="DG88" s="7"/>
      <c r="DH88" s="7"/>
      <c r="DI88" s="31" t="str">
        <f>IF(DH88/(INDEX('Standards for Conversions'!$H$34:$H$73,MATCH(DG$3,'Standards for Conversions'!$A$34:$A$73,0)))=0,"",DH88/(INDEX('Standards for Conversions'!$H$34:$H$73,MATCH(DG$3,'Standards for Conversions'!$A$34:$A$73,0))))</f>
        <v/>
      </c>
      <c r="DJ88" s="10" t="s">
        <v>48</v>
      </c>
      <c r="DL88" s="7"/>
      <c r="DM88" s="31" t="str">
        <f>IF(DL88/(INDEX('Standards for Conversions'!$H$34:$H$73,MATCH(DK$3,'Standards for Conversions'!$A$34:$A$73,0)))=0,"",DL88/(INDEX('Standards for Conversions'!$H$34:$H$73,MATCH(DK$3,'Standards for Conversions'!$A$34:$A$73,0))))</f>
        <v/>
      </c>
      <c r="DN88" s="10" t="s">
        <v>48</v>
      </c>
      <c r="DO88" s="7"/>
      <c r="DP88" s="7"/>
      <c r="DQ88" s="31" t="str">
        <f>IF(DP88/(INDEX('Standards for Conversions'!$H$34:$H$73,MATCH(DO$3,'Standards for Conversions'!$A$34:$A$73,0)))=0,"",DP88/(INDEX('Standards for Conversions'!$H$34:$H$73,MATCH(DO$3,'Standards for Conversions'!$A$34:$A$73,0))))</f>
        <v/>
      </c>
      <c r="DR88" s="10" t="s">
        <v>48</v>
      </c>
      <c r="DS88" s="9"/>
      <c r="DT88" s="9"/>
      <c r="DU88" s="31" t="str">
        <f>IF(DT88/(INDEX('Standards for Conversions'!$H$34:$H$73,MATCH(DS$3,'Standards for Conversions'!$A$34:$A$73,0)))=0,"",DT88/(INDEX('Standards for Conversions'!$H$34:$H$73,MATCH(DS$3,'Standards for Conversions'!$A$34:$A$73,0))))</f>
        <v/>
      </c>
      <c r="DV88" s="10" t="s">
        <v>48</v>
      </c>
      <c r="DW88" s="7"/>
      <c r="DX88" s="7"/>
      <c r="DY88" s="31" t="str">
        <f>IF(DX88/(INDEX('Standards for Conversions'!$H$34:$H$73,MATCH(DW$3,'Standards for Conversions'!$A$34:$A$73,0)))=0,"",DX88/(INDEX('Standards for Conversions'!$H$34:$H$73,MATCH(DW$3,'Standards for Conversions'!$A$34:$A$73,0))))</f>
        <v/>
      </c>
      <c r="DZ88" s="10" t="s">
        <v>48</v>
      </c>
      <c r="EB88" s="7"/>
      <c r="EC88" s="31" t="str">
        <f>IF(EB88/(INDEX('Standards for Conversions'!$H$34:$H$73,MATCH(EA$3,'Standards for Conversions'!$A$34:$A$73,0)))=0,"",EB88/(INDEX('Standards for Conversions'!$H$34:$H$73,MATCH(EA$3,'Standards for Conversions'!$A$34:$A$73,0))))</f>
        <v/>
      </c>
      <c r="ED88" s="10" t="s">
        <v>48</v>
      </c>
      <c r="EE88" s="7"/>
      <c r="EF88" s="7"/>
      <c r="EG88" s="31" t="str">
        <f>IF(EF88/(INDEX('Standards for Conversions'!$H$34:$H$73,MATCH(EE$3,'Standards for Conversions'!$A$34:$A$73,0)))=0,"",EF88/(INDEX('Standards for Conversions'!$H$34:$H$73,MATCH(EE$3,'Standards for Conversions'!$A$34:$A$73,0))))</f>
        <v/>
      </c>
      <c r="EH88" s="10" t="s">
        <v>48</v>
      </c>
      <c r="EI88" s="9"/>
      <c r="EJ88" s="9"/>
      <c r="EK88" s="31" t="str">
        <f>IF(EJ88/(INDEX('Standards for Conversions'!$H$34:$H$73,MATCH(EI$3,'Standards for Conversions'!$A$34:$A$73,0)))=0,"",EJ88/(INDEX('Standards for Conversions'!$H$34:$H$73,MATCH(EI$3,'Standards for Conversions'!$A$34:$A$73,0))))</f>
        <v/>
      </c>
      <c r="EL88" s="10" t="s">
        <v>48</v>
      </c>
      <c r="EM88" s="7"/>
      <c r="EN88" s="7"/>
      <c r="EO88" s="31" t="str">
        <f>IF(EN88/(INDEX('Standards for Conversions'!$H$34:$H$73,MATCH(EM$3,'Standards for Conversions'!$A$34:$A$73,0)))=0,"",EN88/(INDEX('Standards for Conversions'!$H$34:$H$73,MATCH(EM$3,'Standards for Conversions'!$A$34:$A$73,0))))</f>
        <v/>
      </c>
      <c r="EP88" s="10" t="s">
        <v>48</v>
      </c>
      <c r="ER88" s="7"/>
      <c r="ES88" s="31" t="str">
        <f>IF(ER88/(INDEX('Standards for Conversions'!$H$34:$H$73,MATCH(EQ$3,'Standards for Conversions'!$A$34:$A$73,0)))=0,"",ER88/(INDEX('Standards for Conversions'!$H$34:$H$73,MATCH(EQ$3,'Standards for Conversions'!$A$34:$A$73,0))))</f>
        <v/>
      </c>
      <c r="ET88" s="10" t="s">
        <v>48</v>
      </c>
      <c r="EU88" s="7"/>
      <c r="EV88" s="7"/>
      <c r="EW88" s="31" t="str">
        <f>IF(EV88/(INDEX('Standards for Conversions'!$H$34:$H$73,MATCH(EU$3,'Standards for Conversions'!$A$34:$A$73,0)))=0,"",EV88/(INDEX('Standards for Conversions'!$H$34:$H$73,MATCH(EU$3,'Standards for Conversions'!$A$34:$A$73,0))))</f>
        <v/>
      </c>
      <c r="EX88" s="10" t="s">
        <v>48</v>
      </c>
      <c r="EY88" s="9"/>
      <c r="EZ88" s="9"/>
      <c r="FA88" s="31" t="str">
        <f>IF(EZ88/(INDEX('Standards for Conversions'!$H$34:$H$73,MATCH(EY$3,'Standards for Conversions'!$A$34:$A$73,0)))=0,"",EZ88/(INDEX('Standards for Conversions'!$H$34:$H$73,MATCH(EY$3,'Standards for Conversions'!$A$34:$A$73,0))))</f>
        <v/>
      </c>
      <c r="FB88" s="10" t="s">
        <v>48</v>
      </c>
      <c r="FC88" s="7"/>
      <c r="FD88" s="7"/>
      <c r="FE88" s="31" t="str">
        <f>IF(FD88/(INDEX('Standards for Conversions'!$H$34:$H$73,MATCH(FC$3,'Standards for Conversions'!$A$34:$A$73,0)))=0,"",FD88/(INDEX('Standards for Conversions'!$H$34:$H$73,MATCH(FC$3,'Standards for Conversions'!$A$34:$A$73,0))))</f>
        <v/>
      </c>
      <c r="FF88" s="10" t="s">
        <v>48</v>
      </c>
      <c r="FH88" s="7"/>
      <c r="FI88" s="31" t="str">
        <f>IF(FH88/(INDEX('Standards for Conversions'!$H$34:$H$73,MATCH(FG$3,'Standards for Conversions'!$A$34:$A$73,0)))=0,"",FH88/(INDEX('Standards for Conversions'!$H$34:$H$73,MATCH(FG$3,'Standards for Conversions'!$A$34:$A$73,0))))</f>
        <v/>
      </c>
      <c r="FJ88" s="10" t="s">
        <v>48</v>
      </c>
      <c r="FK88" s="7"/>
      <c r="FL88" s="7"/>
      <c r="FM88" s="31" t="str">
        <f>IF(FL88/(INDEX('Standards for Conversions'!$H$34:$H$73,MATCH(FK$3,'Standards for Conversions'!$A$34:$A$73,0)))=0,"",FL88/(INDEX('Standards for Conversions'!$H$34:$H$73,MATCH(FK$3,'Standards for Conversions'!$A$34:$A$73,0))))</f>
        <v/>
      </c>
      <c r="FN88" s="10" t="s">
        <v>48</v>
      </c>
      <c r="FO88" s="9"/>
      <c r="FP88" s="9"/>
      <c r="FQ88" s="31" t="str">
        <f>IF(FP88/(INDEX('Standards for Conversions'!$H$34:$H$73,MATCH(FO$3,'Standards for Conversions'!$A$34:$A$73,0)))=0,"",FP88/(INDEX('Standards for Conversions'!$H$34:$H$73,MATCH(FO$3,'Standards for Conversions'!$A$34:$A$73,0))))</f>
        <v/>
      </c>
      <c r="FR88" s="10" t="s">
        <v>48</v>
      </c>
      <c r="FS88" s="7"/>
      <c r="FT88" s="7"/>
      <c r="FU88" s="31" t="str">
        <f>IF(FT88/(INDEX('Standards for Conversions'!$H$34:$H$73,MATCH(FS$3,'Standards for Conversions'!$A$34:$A$73,0)))=0,"",FT88/(INDEX('Standards for Conversions'!$H$34:$H$73,MATCH(FS$3,'Standards for Conversions'!$A$34:$A$73,0))))</f>
        <v/>
      </c>
      <c r="FV88" s="10" t="s">
        <v>48</v>
      </c>
      <c r="FX88" s="7"/>
      <c r="FY88" s="31" t="str">
        <f>IF(FX88/(INDEX('Standards for Conversions'!$H$34:$H$73,MATCH(FW$3,'Standards for Conversions'!$A$34:$A$73,0)))=0,"",FX88/(INDEX('Standards for Conversions'!$H$34:$H$73,MATCH(FW$3,'Standards for Conversions'!$A$34:$A$73,0))))</f>
        <v/>
      </c>
      <c r="FZ88" s="10" t="s">
        <v>48</v>
      </c>
      <c r="GA88" s="7"/>
      <c r="GB88" s="7"/>
      <c r="GC88" s="31" t="str">
        <f>IF(GB88/(INDEX('Standards for Conversions'!$H$34:$H$73,MATCH(GA$3,'Standards for Conversions'!$A$34:$A$73,0)))=0,"",GB88/(INDEX('Standards for Conversions'!$H$34:$H$73,MATCH(GA$3,'Standards for Conversions'!$A$34:$A$73,0))))</f>
        <v/>
      </c>
      <c r="GD88" s="10" t="s">
        <v>48</v>
      </c>
      <c r="GE88" s="9"/>
      <c r="GF88" s="9"/>
      <c r="GG88" s="31" t="str">
        <f>IF(GF88/(INDEX('Standards for Conversions'!$H$34:$H$73,MATCH(GE$3,'Standards for Conversions'!$A$34:$A$73,0)))=0,"",GF88/(INDEX('Standards for Conversions'!$H$34:$H$73,MATCH(GE$3,'Standards for Conversions'!$A$34:$A$73,0))))</f>
        <v/>
      </c>
      <c r="GH88" s="10" t="s">
        <v>48</v>
      </c>
      <c r="GI88" s="7"/>
      <c r="GJ88" s="7"/>
      <c r="GK88" s="31" t="str">
        <f>IF(GJ88/(INDEX('Standards for Conversions'!$H$34:$H$73,MATCH(GI$3,'Standards for Conversions'!$A$34:$A$73,0)))=0,"",GJ88/(INDEX('Standards for Conversions'!$H$34:$H$73,MATCH(GI$3,'Standards for Conversions'!$A$34:$A$73,0))))</f>
        <v/>
      </c>
      <c r="GL88" s="10" t="s">
        <v>48</v>
      </c>
      <c r="GN88" s="7"/>
      <c r="GO88" s="31" t="str">
        <f>IF(GN88/(INDEX('Standards for Conversions'!$H$34:$H$73,MATCH(GM$3,'Standards for Conversions'!$A$34:$A$73,0)))=0,"",GN88/(INDEX('Standards for Conversions'!$H$34:$H$73,MATCH(GM$3,'Standards for Conversions'!$A$34:$A$73,0))))</f>
        <v/>
      </c>
      <c r="GP88" s="10" t="s">
        <v>48</v>
      </c>
      <c r="GQ88" s="7"/>
      <c r="GR88" s="7"/>
      <c r="GS88" s="31" t="str">
        <f>IF(GR88/(INDEX('Standards for Conversions'!$H$34:$H$73,MATCH(GQ$3,'Standards for Conversions'!$A$34:$A$73,0)))=0,"",GR88/(INDEX('Standards for Conversions'!$H$34:$H$73,MATCH(GQ$3,'Standards for Conversions'!$A$34:$A$73,0))))</f>
        <v/>
      </c>
      <c r="GT88" s="10" t="s">
        <v>48</v>
      </c>
      <c r="GU88" s="9"/>
      <c r="GV88" s="9"/>
      <c r="GW88" s="31" t="str">
        <f>IF(GV88/(INDEX('Standards for Conversions'!$H$34:$H$73,MATCH(GU$3,'Standards for Conversions'!$A$34:$A$73,0)))=0,"",GV88/(INDEX('Standards for Conversions'!$H$34:$H$73,MATCH(GU$3,'Standards for Conversions'!$A$34:$A$73,0))))</f>
        <v/>
      </c>
      <c r="GX88" s="10" t="s">
        <v>48</v>
      </c>
      <c r="GY88" s="7"/>
      <c r="GZ88" s="7"/>
      <c r="HA88" s="31" t="str">
        <f>IF(GZ88/(INDEX('Standards for Conversions'!$H$34:$H$73,MATCH(GY$3,'Standards for Conversions'!$A$34:$A$73,0)))=0,"",GZ88/(INDEX('Standards for Conversions'!$H$34:$H$73,MATCH(GY$3,'Standards for Conversions'!$A$34:$A$73,0))))</f>
        <v/>
      </c>
      <c r="HB88" s="10" t="s">
        <v>48</v>
      </c>
      <c r="HD88" s="7"/>
      <c r="HE88" s="31" t="str">
        <f>IF(HD88/(INDEX('Standards for Conversions'!$H$34:$H$73,MATCH(HC$3,'Standards for Conversions'!$A$34:$A$73,0)))=0,"",HD88/(INDEX('Standards for Conversions'!$H$34:$H$73,MATCH(HC$3,'Standards for Conversions'!$A$34:$A$73,0))))</f>
        <v/>
      </c>
      <c r="HF88" s="10" t="s">
        <v>48</v>
      </c>
      <c r="HG88" s="7"/>
      <c r="HH88" s="7"/>
      <c r="HI88" s="31" t="str">
        <f>IF(HH88/(INDEX('Standards for Conversions'!$H$34:$H$73,MATCH(HG$3,'Standards for Conversions'!$A$34:$A$73,0)))=0,"",HH88/(INDEX('Standards for Conversions'!$H$34:$H$73,MATCH(HG$3,'Standards for Conversions'!$A$34:$A$73,0))))</f>
        <v/>
      </c>
      <c r="HJ88" s="10" t="s">
        <v>48</v>
      </c>
      <c r="HK88" s="9"/>
      <c r="HL88" s="9"/>
      <c r="HM88" s="31" t="str">
        <f>IF(HL88/(INDEX('Standards for Conversions'!$H$34:$H$73,MATCH(HK$3,'Standards for Conversions'!$A$34:$A$73,0)))=0,"",HL88/(INDEX('Standards for Conversions'!$H$34:$H$73,MATCH(HK$3,'Standards for Conversions'!$A$34:$A$73,0))))</f>
        <v/>
      </c>
      <c r="HN88" s="10" t="s">
        <v>48</v>
      </c>
      <c r="HO88" s="7"/>
      <c r="HP88" s="7"/>
      <c r="HQ88" s="31" t="str">
        <f>IF(HP88/(INDEX('Standards for Conversions'!$H$34:$H$73,MATCH(HO$3,'Standards for Conversions'!$A$34:$A$73,0)))=0,"",HP88/(INDEX('Standards for Conversions'!$H$34:$H$73,MATCH(HO$3,'Standards for Conversions'!$A$34:$A$73,0))))</f>
        <v/>
      </c>
      <c r="HR88" s="33" t="s">
        <v>48</v>
      </c>
      <c r="HU88" s="31" t="str">
        <f>IF(HT88/(INDEX('Standards for Conversions'!$H$47:$H$73,MATCH(HS$3,'Standards for Conversions'!$A$47:$A$73,0)))=0,"",HT88/(INDEX('Standards for Conversions'!$H$47:$H$73,MATCH(HS$3,'Standards for Conversions'!$A$47:$A$73,0))))</f>
        <v/>
      </c>
      <c r="HV88" s="33" t="s">
        <v>48</v>
      </c>
      <c r="HY88" s="31" t="str">
        <f>IF(HX88/(INDEX('Standards for Conversions'!$H$47:$H$73,MATCH(HW$3,'Standards for Conversions'!$A$47:$A$73,0)))=0,"",HX88/(INDEX('Standards for Conversions'!$H$47:$H$73,MATCH(HW$3,'Standards for Conversions'!$A$47:$A$73,0))))</f>
        <v/>
      </c>
      <c r="HZ88" s="33"/>
      <c r="IA88" s="33"/>
      <c r="IB88" s="31" t="str">
        <f>IF(IA88/(INDEX('Standards for Conversions'!$H$47:$H$73,MATCH(HZ$3,'Standards for Conversions'!$A$47:$A$73,0)))=0,"",IA88/(INDEX('Standards for Conversions'!$H$47:$H$73,MATCH(HZ$3,'Standards for Conversions'!$A$47:$A$73,0))))</f>
        <v/>
      </c>
      <c r="IC88" s="33" t="s">
        <v>48</v>
      </c>
      <c r="IF88" s="31" t="str">
        <f>IF(IE88/(INDEX('Standards for Conversions'!$H$47:$H$73,MATCH(ID$3,'Standards for Conversions'!$A$47:$A$73,0)))=0,"",IE88/(INDEX('Standards for Conversions'!$H$47:$H$73,MATCH(ID$3,'Standards for Conversions'!$A$47:$A$73,0))))</f>
        <v/>
      </c>
      <c r="IG88" s="48" t="s">
        <v>48</v>
      </c>
      <c r="IH88" s="29">
        <v>118</v>
      </c>
      <c r="II88" s="29">
        <v>75</v>
      </c>
      <c r="IJ88" s="31">
        <f>IF(II88/(INDEX('Standards for Conversions'!$H$47:$H$73,MATCH(IH$3,'Standards for Conversions'!$A$47:$A$73,0)))=0,"",II88/(INDEX('Standards for Conversions'!$H$47:$H$73,MATCH(IH$3,'Standards for Conversions'!$A$47:$A$73,0))))</f>
        <v>10.845767114582427</v>
      </c>
      <c r="IN88" s="31" t="str">
        <f>IF(IM88/(INDEX('Standards for Conversions'!$H$47:$H$73,MATCH(IL$3,'Standards for Conversions'!$A$47:$A$73,0)))=0,"",IM88/(INDEX('Standards for Conversions'!$H$47:$H$73,MATCH(IL$3,'Standards for Conversions'!$A$47:$A$73,0))))</f>
        <v/>
      </c>
      <c r="IR88" s="31" t="str">
        <f>IF(IQ88/(INDEX('Standards for Conversions'!$H$47:$H$73,MATCH(IP$3,'Standards for Conversions'!$A$47:$A$73,0)))=0,"",IQ88/(INDEX('Standards for Conversions'!$H$47:$H$73,MATCH(IP$3,'Standards for Conversions'!$A$47:$A$73,0))))</f>
        <v/>
      </c>
      <c r="IV88" s="31" t="str">
        <f>IF(IU88/(INDEX('Standards for Conversions'!$H$47:$H$73,MATCH(IT$3,'Standards for Conversions'!$A$47:$A$73,0)))=0,"",IU88/(INDEX('Standards for Conversions'!$H$47:$H$73,MATCH(IT$3,'Standards for Conversions'!$A$47:$A$73,0))))</f>
        <v/>
      </c>
      <c r="IZ88" s="31" t="str">
        <f>IF(IY88/(INDEX('Standards for Conversions'!$H$47:$H$73,MATCH(IX$3,'Standards for Conversions'!$A$47:$A$73,0)))=0,"",IY88/(INDEX('Standards for Conversions'!$H$47:$H$73,MATCH(IX$3,'Standards for Conversions'!$A$47:$A$73,0))))</f>
        <v/>
      </c>
      <c r="JA88" s="33"/>
      <c r="JD88" s="31" t="str">
        <f>IF(JC88/(INDEX('Standards for Conversions'!$H$47:$H$73,MATCH(JB$3,'Standards for Conversions'!$A$47:$A$73,0)))=0,"",JC88/(INDEX('Standards for Conversions'!$H$47:$H$73,MATCH(JB$3,'Standards for Conversions'!$A$47:$A$73,0))))</f>
        <v/>
      </c>
      <c r="JE88" s="33"/>
      <c r="JH88" s="31" t="str">
        <f>IF(JG88/(INDEX('Standards for Conversions'!$H$47:$H$73,MATCH(JF$3,'Standards for Conversions'!$A$47:$A$73,0)))=0,"",JG88/(INDEX('Standards for Conversions'!$H$47:$H$73,MATCH(JF$3,'Standards for Conversions'!$A$47:$A$73,0))))</f>
        <v/>
      </c>
      <c r="JL88" s="31" t="str">
        <f>IF(JK88/(INDEX('Standards for Conversions'!$H$47:$H$73,MATCH(JJ$3,'Standards for Conversions'!$A$47:$A$73,0)))=0,"",JK88/(INDEX('Standards for Conversions'!$H$47:$H$73,MATCH(JJ$3,'Standards for Conversions'!$A$47:$A$73,0))))</f>
        <v/>
      </c>
      <c r="JP88" s="31" t="str">
        <f>IF(JO88/(INDEX('Standards for Conversions'!$H$47:$H$73,MATCH(JN$3,'Standards for Conversions'!$A$47:$A$73,0)))=0,"",JO88/(INDEX('Standards for Conversions'!$H$47:$H$73,MATCH(JN$3,'Standards for Conversions'!$A$47:$A$73,0))))</f>
        <v/>
      </c>
      <c r="JT88" s="31" t="str">
        <f>IF(JS88/(INDEX('Standards for Conversions'!$H$47:$H$73,MATCH(JR$3,'Standards for Conversions'!$A$47:$A$73,0)))=0,"",JS88/(INDEX('Standards for Conversions'!$H$47:$H$73,MATCH(JR$3,'Standards for Conversions'!$A$47:$A$73,0))))</f>
        <v/>
      </c>
      <c r="JX88" s="31" t="str">
        <f>IF(JW88/(INDEX('Standards for Conversions'!$H$47:$H$73,MATCH(JV$3,'Standards for Conversions'!$A$47:$A$73,0)))=0,"",JW88/(INDEX('Standards for Conversions'!$H$47:$H$73,MATCH(JV$3,'Standards for Conversions'!$A$47:$A$73,0))))</f>
        <v/>
      </c>
      <c r="KB88" s="31" t="str">
        <f>IF(KA88/(INDEX('Standards for Conversions'!$H$47:$H$73,MATCH(JZ$3,'Standards for Conversions'!$A$47:$A$73,0)))=0,"",KA88/(INDEX('Standards for Conversions'!$H$47:$H$73,MATCH(JZ$3,'Standards for Conversions'!$A$47:$A$73,0))))</f>
        <v/>
      </c>
      <c r="KF88" s="31" t="str">
        <f>IF(KE88/(INDEX('Standards for Conversions'!$H$47:$H$73,MATCH(KD$3,'Standards for Conversions'!$A$47:$A$73,0)))=0,"",KE88/(INDEX('Standards for Conversions'!$H$47:$H$73,MATCH(KD$3,'Standards for Conversions'!$A$47:$A$73,0))))</f>
        <v/>
      </c>
      <c r="KJ88" s="31" t="str">
        <f>IF(KI88/(INDEX('Standards for Conversions'!$H$47:$H$73,MATCH(KH$3,'Standards for Conversions'!$A$47:$A$73,0)))=0,"",KI88/(INDEX('Standards for Conversions'!$H$47:$H$73,MATCH(KH$3,'Standards for Conversions'!$A$47:$A$73,0))))</f>
        <v/>
      </c>
      <c r="KN88" s="31" t="str">
        <f>IF(KM88/(INDEX('Standards for Conversions'!$H$47:$H$73,MATCH(KL$3,'Standards for Conversions'!$A$47:$A$73,0)))=0,"",KM88/(INDEX('Standards for Conversions'!$H$47:$H$73,MATCH(KL$3,'Standards for Conversions'!$A$47:$A$73,0))))</f>
        <v/>
      </c>
      <c r="KR88" s="31" t="str">
        <f>IF(KQ88/(INDEX('Standards for Conversions'!$H$47:$H$73,MATCH(KP$3,'Standards for Conversions'!$A$47:$A$73,0)))=0,"",KQ88/(INDEX('Standards for Conversions'!$H$47:$H$73,MATCH(KP$3,'Standards for Conversions'!$A$47:$A$73,0))))</f>
        <v/>
      </c>
      <c r="KV88" s="31" t="str">
        <f>IF(KU88/(INDEX('Standards for Conversions'!$H$47:$H$73,MATCH(KT$3,'Standards for Conversions'!$A$47:$A$73,0)))=0,"",KU88/(INDEX('Standards for Conversions'!$H$47:$H$73,MATCH(KT$3,'Standards for Conversions'!$A$47:$A$73,0))))</f>
        <v/>
      </c>
      <c r="KW88" s="33"/>
      <c r="KZ88" s="31" t="str">
        <f>IF(KY88/(INDEX('Standards for Conversions'!$H$47:$H$73,MATCH(KX$3,'Standards for Conversions'!$A$47:$A$73,0)))=0,"",KY88/(INDEX('Standards for Conversions'!$H$47:$H$73,MATCH(KX$3,'Standards for Conversions'!$A$47:$A$73,0))))</f>
        <v/>
      </c>
      <c r="LD88" s="31" t="str">
        <f>IF(LC88/(INDEX('Standards for Conversions'!$H$47:$H$73,MATCH(LB$3,'Standards for Conversions'!$A$47:$A$73,0)))=0,"",LC88/(INDEX('Standards for Conversions'!$H$47:$H$73,MATCH(LB$3,'Standards for Conversions'!$A$47:$A$73,0))))</f>
        <v/>
      </c>
      <c r="LH88" s="31" t="str">
        <f>IF(LG88/(INDEX('Standards for Conversions'!$H$47:$H$73,MATCH(LF$3,'Standards for Conversions'!$A$47:$A$73,0)))=0,"",LG88/(INDEX('Standards for Conversions'!$H$47:$H$73,MATCH(LF$3,'Standards for Conversions'!$A$47:$A$73,0))))</f>
        <v/>
      </c>
      <c r="LL88" s="31" t="str">
        <f>IF(LK88/(INDEX('Standards for Conversions'!$H$47:$H$73,MATCH(LJ$3,'Standards for Conversions'!$A$47:$A$73,0)))=0,"",LK88/(INDEX('Standards for Conversions'!$H$47:$H$73,MATCH(LJ$3,'Standards for Conversions'!$A$47:$A$73,0))))</f>
        <v/>
      </c>
      <c r="LO88" s="31" t="str">
        <f>IF(LN88/(INDEX('Standards for Conversions'!$H$47:$H$73,MATCH(LM$3,'Standards for Conversions'!$A$47:$A$73,0)))=0,"",LN88/(INDEX('Standards for Conversions'!$H$47:$H$73,MATCH(LM$3,'Standards for Conversions'!$A$47:$A$73,0))))</f>
        <v/>
      </c>
      <c r="LR88" s="31" t="str">
        <f>IF(LQ88/(INDEX('Standards for Conversions'!$H$47:$H$73,MATCH(LP$3,'Standards for Conversions'!$A$47:$A$73,0)))=0,"",LQ88/(INDEX('Standards for Conversions'!$H$47:$H$73,MATCH(LP$3,'Standards for Conversions'!$A$47:$A$73,0))))</f>
        <v/>
      </c>
      <c r="LV88" s="31" t="str">
        <f>IF(LU88/(INDEX('Standards for Conversions'!$H$47:$H$73,MATCH(LT$3,'Standards for Conversions'!$A$47:$A$73,0)))=0,"",LU88/(INDEX('Standards for Conversions'!$H$47:$H$73,MATCH(LT$3,'Standards for Conversions'!$A$47:$A$73,0))))</f>
        <v/>
      </c>
      <c r="LY88" s="31" t="str">
        <f>IF(LX88/(INDEX('Standards for Conversions'!$H$47:$H$73,MATCH(LW$3,'Standards for Conversions'!$A$47:$A$73,0)))=0,"",LX88/(INDEX('Standards for Conversions'!$H$47:$H$73,MATCH(LW$3,'Standards for Conversions'!$A$47:$A$73,0))))</f>
        <v/>
      </c>
      <c r="MB88" s="31" t="str">
        <f>IF(MA88/(INDEX('Standards for Conversions'!$H$47:$H$73,MATCH(LZ$3,'Standards for Conversions'!$A$47:$A$73,0)))=0,"",MA88/(INDEX('Standards for Conversions'!$H$47:$H$73,MATCH(LZ$3,'Standards for Conversions'!$A$47:$A$73,0))))</f>
        <v/>
      </c>
      <c r="ME88" s="31" t="str">
        <f>IF(MD88/(INDEX('Standards for Conversions'!$H$47:$H$73,MATCH(MC$3,'Standards for Conversions'!$A$47:$A$73,0)))=0,"",MD88/(INDEX('Standards for Conversions'!$H$47:$H$73,MATCH(MC$3,'Standards for Conversions'!$A$47:$A$73,0))))</f>
        <v/>
      </c>
      <c r="MH88" s="31" t="str">
        <f>IF(MG88/(INDEX('Standards for Conversions'!$H$47:$H$73,MATCH(MF$3,'Standards for Conversions'!$A$47:$A$73,0)))=0,"",MG88/(INDEX('Standards for Conversions'!$H$47:$H$73,MATCH(MF$3,'Standards for Conversions'!$A$47:$A$73,0))))</f>
        <v/>
      </c>
      <c r="MK88" s="31" t="str">
        <f>IF(MJ88/(INDEX('Standards for Conversions'!$H$47:$H$73,MATCH(MI$3,'Standards for Conversions'!$A$47:$A$73,0)))=0,"",MJ88/(INDEX('Standards for Conversions'!$H$47:$H$73,MATCH(MI$3,'Standards for Conversions'!$A$47:$A$73,0))))</f>
        <v/>
      </c>
      <c r="MN88" s="31" t="str">
        <f>IF(MM88/(INDEX('Standards for Conversions'!$H$47:$H$73,MATCH(ML$3,'Standards for Conversions'!$A$47:$A$73,0)))=0,"",MM88/(INDEX('Standards for Conversions'!$H$47:$H$73,MATCH(ML$3,'Standards for Conversions'!$A$47:$A$73,0))))</f>
        <v/>
      </c>
      <c r="MR88" s="31" t="str">
        <f>IF(MQ88/(INDEX('Standards for Conversions'!$H$47:$H$73,MATCH(MP$3,'Standards for Conversions'!$A$47:$A$73,0)))=0,"",MQ88/(INDEX('Standards for Conversions'!$H$47:$H$73,MATCH(MP$3,'Standards for Conversions'!$A$47:$A$73,0))))</f>
        <v/>
      </c>
    </row>
    <row r="89" spans="1:373" hidden="1" x14ac:dyDescent="0.3">
      <c r="A89" s="103" t="s">
        <v>259</v>
      </c>
      <c r="B89" s="10" t="s">
        <v>18</v>
      </c>
      <c r="C89" s="7"/>
      <c r="D89" s="7"/>
      <c r="E89" s="31" t="str">
        <f>IF(D89/(INDEX('Standards for Conversions'!$H$34:$H$73,MATCH(C$3,'Standards for Conversions'!$A$34:$A$73,0)))=0,"",D89/(INDEX('Standards for Conversions'!$H$34:$H$73,MATCH(C$3,'Standards for Conversions'!$A$34:$A$73,0))))</f>
        <v/>
      </c>
      <c r="F89" s="10" t="s">
        <v>18</v>
      </c>
      <c r="G89" s="7"/>
      <c r="H89" s="7"/>
      <c r="I89" s="31" t="str">
        <f>IF(H89/(INDEX('Standards for Conversions'!$H$34:$H$73,MATCH(G$3,'Standards for Conversions'!$A$34:$A$73,0)))=0,"",H89/(INDEX('Standards for Conversions'!$H$34:$H$73,MATCH(G$3,'Standards for Conversions'!$A$34:$A$73,0))))</f>
        <v/>
      </c>
      <c r="J89" s="10" t="s">
        <v>18</v>
      </c>
      <c r="K89" s="9"/>
      <c r="L89" s="9"/>
      <c r="M89" s="31" t="str">
        <f>IF(L89/(INDEX('Standards for Conversions'!$H$34:$H$73,MATCH(K$3,'Standards for Conversions'!$A$34:$A$73,0)))=0,"",L89/(INDEX('Standards for Conversions'!$H$34:$H$73,MATCH(K$3,'Standards for Conversions'!$A$34:$A$73,0))))</f>
        <v/>
      </c>
      <c r="N89" s="10" t="s">
        <v>18</v>
      </c>
      <c r="O89" s="7"/>
      <c r="P89" s="7"/>
      <c r="Q89" s="31" t="str">
        <f>IF(P89/(INDEX('Standards for Conversions'!$H$34:$H$73,MATCH(O$3,'Standards for Conversions'!$A$34:$A$73,0)))=0,"",P89/(INDEX('Standards for Conversions'!$H$34:$H$73,MATCH(O$3,'Standards for Conversions'!$A$34:$A$73,0))))</f>
        <v/>
      </c>
      <c r="R89" s="10" t="s">
        <v>18</v>
      </c>
      <c r="S89" s="7"/>
      <c r="T89" s="7"/>
      <c r="U89" s="31" t="str">
        <f>IF(T89/(INDEX('Standards for Conversions'!$H$34:$H$73,MATCH(S$3,'Standards for Conversions'!$A$34:$A$73,0)))=0,"",T89/(INDEX('Standards for Conversions'!$H$34:$H$73,MATCH(S$3,'Standards for Conversions'!$A$34:$A$73,0))))</f>
        <v/>
      </c>
      <c r="V89" s="10" t="s">
        <v>18</v>
      </c>
      <c r="W89" s="7"/>
      <c r="X89" s="7"/>
      <c r="Y89" s="31" t="str">
        <f>IF(X89/(INDEX('Standards for Conversions'!$H$34:$H$73,MATCH(W$3,'Standards for Conversions'!$A$34:$A$73,0)))=0,"",X89/(INDEX('Standards for Conversions'!$H$34:$H$73,MATCH(W$3,'Standards for Conversions'!$A$34:$A$73,0))))</f>
        <v/>
      </c>
      <c r="Z89" s="10" t="s">
        <v>18</v>
      </c>
      <c r="AA89" s="9"/>
      <c r="AB89" s="9"/>
      <c r="AC89" s="31" t="str">
        <f>IF(AB89/(INDEX('Standards for Conversions'!$H$34:$H$73,MATCH(AA$3,'Standards for Conversions'!$A$34:$A$73,0)))=0,"",AB89/(INDEX('Standards for Conversions'!$H$34:$H$73,MATCH(AA$3,'Standards for Conversions'!$A$34:$A$73,0))))</f>
        <v/>
      </c>
      <c r="AD89" s="10" t="s">
        <v>18</v>
      </c>
      <c r="AE89" s="7"/>
      <c r="AF89" s="7"/>
      <c r="AG89" s="31" t="str">
        <f>IF(AF89/(INDEX('Standards for Conversions'!$H$34:$H$73,MATCH(AE$3,'Standards for Conversions'!$A$34:$A$73,0)))=0,"",AF89/(INDEX('Standards for Conversions'!$H$34:$H$73,MATCH(AE$3,'Standards for Conversions'!$A$34:$A$73,0))))</f>
        <v/>
      </c>
      <c r="AH89" s="10" t="s">
        <v>18</v>
      </c>
      <c r="AI89" s="7"/>
      <c r="AJ89" s="7"/>
      <c r="AK89" s="31" t="str">
        <f>IF(AJ89/(INDEX('Standards for Conversions'!$H$34:$H$73,MATCH(AI$3,'Standards for Conversions'!$A$34:$A$73,0)))=0,"",AJ89/(INDEX('Standards for Conversions'!$H$34:$H$73,MATCH(AI$3,'Standards for Conversions'!$A$34:$A$73,0))))</f>
        <v/>
      </c>
      <c r="AL89" s="10" t="s">
        <v>18</v>
      </c>
      <c r="AM89" s="7"/>
      <c r="AN89" s="7"/>
      <c r="AO89" s="31" t="str">
        <f>IF(AN89/(INDEX('Standards for Conversions'!$H$34:$H$73,MATCH(AM$3,'Standards for Conversions'!$A$34:$A$73,0)))=0,"",AN89/(INDEX('Standards for Conversions'!$H$34:$H$73,MATCH(AM$3,'Standards for Conversions'!$A$34:$A$73,0))))</f>
        <v/>
      </c>
      <c r="AP89" s="10" t="s">
        <v>18</v>
      </c>
      <c r="AQ89" s="9"/>
      <c r="AR89" s="9"/>
      <c r="AS89" s="31" t="str">
        <f>IF(AR89/(INDEX('Standards for Conversions'!$H$34:$H$73,MATCH(AQ$3,'Standards for Conversions'!$A$34:$A$73,0)))=0,"",AR89/(INDEX('Standards for Conversions'!$H$34:$H$73,MATCH(AQ$3,'Standards for Conversions'!$A$34:$A$73,0))))</f>
        <v/>
      </c>
      <c r="AT89" s="10" t="s">
        <v>18</v>
      </c>
      <c r="AU89" s="7"/>
      <c r="AV89" s="7"/>
      <c r="AW89" s="31" t="str">
        <f>IF(AV89/(INDEX('Standards for Conversions'!$H$34:$H$73,MATCH(AU$3,'Standards for Conversions'!$A$34:$A$73,0)))=0,"",AV89/(INDEX('Standards for Conversions'!$H$34:$H$73,MATCH(AU$3,'Standards for Conversions'!$A$34:$A$73,0))))</f>
        <v/>
      </c>
      <c r="AX89" s="10" t="s">
        <v>18</v>
      </c>
      <c r="AY89" s="7"/>
      <c r="AZ89" s="7"/>
      <c r="BA89" s="31" t="str">
        <f>IF(AZ89/(INDEX('Standards for Conversions'!$H$34:$H$73,MATCH(AY$3,'Standards for Conversions'!$A$34:$A$73,0)))=0,"",AZ89/(INDEX('Standards for Conversions'!$H$34:$H$73,MATCH(AY$3,'Standards for Conversions'!$A$34:$A$73,0))))</f>
        <v/>
      </c>
      <c r="BB89" s="10" t="s">
        <v>18</v>
      </c>
      <c r="BC89" s="7"/>
      <c r="BD89" s="7"/>
      <c r="BE89" s="31" t="str">
        <f>IF(BD89/(INDEX('Standards for Conversions'!$H$34:$H$73,MATCH(BC$3,'Standards for Conversions'!$A$34:$A$73,0)))=0,"",BD89/(INDEX('Standards for Conversions'!$H$34:$H$73,MATCH(BC$3,'Standards for Conversions'!$A$34:$A$73,0))))</f>
        <v/>
      </c>
      <c r="BF89" s="10" t="s">
        <v>18</v>
      </c>
      <c r="BG89" s="9"/>
      <c r="BH89" s="9"/>
      <c r="BI89" s="31" t="str">
        <f>IF(BH89/(INDEX('Standards for Conversions'!$H$34:$H$73,MATCH(BG$3,'Standards for Conversions'!$A$34:$A$73,0)))=0,"",BH89/(INDEX('Standards for Conversions'!$H$34:$H$73,MATCH(BG$3,'Standards for Conversions'!$A$34:$A$73,0))))</f>
        <v/>
      </c>
      <c r="BJ89" s="10" t="s">
        <v>18</v>
      </c>
      <c r="BK89" s="7"/>
      <c r="BL89" s="7"/>
      <c r="BM89" s="31" t="str">
        <f>IF(BL89/(INDEX('Standards for Conversions'!$H$34:$H$73,MATCH(BK$3,'Standards for Conversions'!$A$34:$A$73,0)))=0,"",BL89/(INDEX('Standards for Conversions'!$H$34:$H$73,MATCH(BK$3,'Standards for Conversions'!$A$34:$A$73,0))))</f>
        <v/>
      </c>
      <c r="BN89" s="10" t="s">
        <v>18</v>
      </c>
      <c r="BO89" s="7"/>
      <c r="BP89" s="7"/>
      <c r="BQ89" s="31" t="str">
        <f>IF(BP89/(INDEX('Standards for Conversions'!$H$34:$H$73,MATCH(BO$3,'Standards for Conversions'!$A$34:$A$73,0)))=0,"",BP89/(INDEX('Standards for Conversions'!$H$34:$H$73,MATCH(BO$3,'Standards for Conversions'!$A$34:$A$73,0))))</f>
        <v/>
      </c>
      <c r="BR89" s="10" t="s">
        <v>18</v>
      </c>
      <c r="BS89" s="7"/>
      <c r="BT89" s="7"/>
      <c r="BU89" s="31" t="str">
        <f>IF(BT89/(INDEX('Standards for Conversions'!$H$34:$H$73,MATCH(BS$3,'Standards for Conversions'!$A$34:$A$73,0)))=0,"",BT89/(INDEX('Standards for Conversions'!$H$34:$H$73,MATCH(BS$3,'Standards for Conversions'!$A$34:$A$73,0))))</f>
        <v/>
      </c>
      <c r="BV89" s="10" t="s">
        <v>18</v>
      </c>
      <c r="BW89" s="9"/>
      <c r="BX89" s="9"/>
      <c r="BY89" s="31" t="str">
        <f>IF(BX89/(INDEX('Standards for Conversions'!$H$34:$H$73,MATCH(BW$3,'Standards for Conversions'!$A$34:$A$73,0)))=0,"",BX89/(INDEX('Standards for Conversions'!$H$34:$H$73,MATCH(BW$3,'Standards for Conversions'!$A$34:$A$73,0))))</f>
        <v/>
      </c>
      <c r="BZ89" s="10" t="s">
        <v>18</v>
      </c>
      <c r="CA89" s="7"/>
      <c r="CB89" s="7"/>
      <c r="CC89" s="31" t="str">
        <f>IF(CB89/(INDEX('Standards for Conversions'!$H$34:$H$73,MATCH(CA$3,'Standards for Conversions'!$A$34:$A$73,0)))=0,"",CB89/(INDEX('Standards for Conversions'!$H$34:$H$73,MATCH(CA$3,'Standards for Conversions'!$A$34:$A$73,0))))</f>
        <v/>
      </c>
      <c r="CD89" s="10" t="s">
        <v>18</v>
      </c>
      <c r="CE89" s="7"/>
      <c r="CF89" s="7"/>
      <c r="CG89" s="31" t="str">
        <f>IF(CF89/(INDEX('Standards for Conversions'!$H$34:$H$73,MATCH(CE$3,'Standards for Conversions'!$A$34:$A$73,0)))=0,"",CF89/(INDEX('Standards for Conversions'!$H$34:$H$73,MATCH(CE$3,'Standards for Conversions'!$A$34:$A$73,0))))</f>
        <v/>
      </c>
      <c r="CH89" s="10" t="s">
        <v>18</v>
      </c>
      <c r="CI89" s="7"/>
      <c r="CJ89" s="7"/>
      <c r="CK89" s="31" t="str">
        <f>IF(CJ89/(INDEX('Standards for Conversions'!$H$34:$H$73,MATCH(CI$3,'Standards for Conversions'!$A$34:$A$73,0)))=0,"",CJ89/(INDEX('Standards for Conversions'!$H$34:$H$73,MATCH(CI$3,'Standards for Conversions'!$A$34:$A$73,0))))</f>
        <v/>
      </c>
      <c r="CL89" s="10" t="s">
        <v>18</v>
      </c>
      <c r="CM89" s="9"/>
      <c r="CN89" s="9"/>
      <c r="CO89" s="31" t="str">
        <f>IF(CN89/(INDEX('Standards for Conversions'!$H$34:$H$73,MATCH(CM$3,'Standards for Conversions'!$A$34:$A$73,0)))=0,"",CN89/(INDEX('Standards for Conversions'!$H$34:$H$73,MATCH(CM$3,'Standards for Conversions'!$A$34:$A$73,0))))</f>
        <v/>
      </c>
      <c r="CP89" s="10" t="s">
        <v>18</v>
      </c>
      <c r="CQ89" s="7"/>
      <c r="CR89" s="7"/>
      <c r="CS89" s="31" t="str">
        <f>IF(CR89/(INDEX('Standards for Conversions'!$H$34:$H$73,MATCH(CQ$3,'Standards for Conversions'!$A$34:$A$73,0)))=0,"",CR89/(INDEX('Standards for Conversions'!$H$34:$H$73,MATCH(CQ$3,'Standards for Conversions'!$A$34:$A$73,0))))</f>
        <v/>
      </c>
      <c r="CT89" s="10" t="s">
        <v>18</v>
      </c>
      <c r="CU89" s="7"/>
      <c r="CV89" s="7"/>
      <c r="CW89" s="31" t="str">
        <f>IF(CV89/(INDEX('Standards for Conversions'!$H$34:$H$73,MATCH(CU$3,'Standards for Conversions'!$A$34:$A$73,0)))=0,"",CV89/(INDEX('Standards for Conversions'!$H$34:$H$73,MATCH(CU$3,'Standards for Conversions'!$A$34:$A$73,0))))</f>
        <v/>
      </c>
      <c r="CX89" s="10" t="s">
        <v>18</v>
      </c>
      <c r="CY89" s="7"/>
      <c r="CZ89" s="7"/>
      <c r="DA89" s="31" t="str">
        <f>IF(CZ89/(INDEX('Standards for Conversions'!$H$34:$H$73,MATCH(CY$3,'Standards for Conversions'!$A$34:$A$73,0)))=0,"",CZ89/(INDEX('Standards for Conversions'!$H$34:$H$73,MATCH(CY$3,'Standards for Conversions'!$A$34:$A$73,0))))</f>
        <v/>
      </c>
      <c r="DB89" s="10" t="s">
        <v>18</v>
      </c>
      <c r="DC89" s="9"/>
      <c r="DD89" s="9"/>
      <c r="DE89" s="31" t="str">
        <f>IF(DD89/(INDEX('Standards for Conversions'!$H$34:$H$73,MATCH(DC$3,'Standards for Conversions'!$A$34:$A$73,0)))=0,"",DD89/(INDEX('Standards for Conversions'!$H$34:$H$73,MATCH(DC$3,'Standards for Conversions'!$A$34:$A$73,0))))</f>
        <v/>
      </c>
      <c r="DF89" s="10" t="s">
        <v>18</v>
      </c>
      <c r="DG89" s="7"/>
      <c r="DH89" s="7"/>
      <c r="DI89" s="31" t="str">
        <f>IF(DH89/(INDEX('Standards for Conversions'!$H$34:$H$73,MATCH(DG$3,'Standards for Conversions'!$A$34:$A$73,0)))=0,"",DH89/(INDEX('Standards for Conversions'!$H$34:$H$73,MATCH(DG$3,'Standards for Conversions'!$A$34:$A$73,0))))</f>
        <v/>
      </c>
      <c r="DJ89" s="10" t="s">
        <v>18</v>
      </c>
      <c r="DK89" s="7"/>
      <c r="DL89" s="7"/>
      <c r="DM89" s="31" t="str">
        <f>IF(DL89/(INDEX('Standards for Conversions'!$H$34:$H$73,MATCH(DK$3,'Standards for Conversions'!$A$34:$A$73,0)))=0,"",DL89/(INDEX('Standards for Conversions'!$H$34:$H$73,MATCH(DK$3,'Standards for Conversions'!$A$34:$A$73,0))))</f>
        <v/>
      </c>
      <c r="DN89" s="10" t="s">
        <v>18</v>
      </c>
      <c r="DO89" s="7"/>
      <c r="DP89" s="7"/>
      <c r="DQ89" s="31" t="str">
        <f>IF(DP89/(INDEX('Standards for Conversions'!$H$34:$H$73,MATCH(DO$3,'Standards for Conversions'!$A$34:$A$73,0)))=0,"",DP89/(INDEX('Standards for Conversions'!$H$34:$H$73,MATCH(DO$3,'Standards for Conversions'!$A$34:$A$73,0))))</f>
        <v/>
      </c>
      <c r="DR89" s="10" t="s">
        <v>18</v>
      </c>
      <c r="DS89" s="9"/>
      <c r="DT89" s="9"/>
      <c r="DU89" s="31" t="str">
        <f>IF(DT89/(INDEX('Standards for Conversions'!$H$34:$H$73,MATCH(DS$3,'Standards for Conversions'!$A$34:$A$73,0)))=0,"",DT89/(INDEX('Standards for Conversions'!$H$34:$H$73,MATCH(DS$3,'Standards for Conversions'!$A$34:$A$73,0))))</f>
        <v/>
      </c>
      <c r="DV89" s="10" t="s">
        <v>18</v>
      </c>
      <c r="DW89" s="7"/>
      <c r="DX89" s="7"/>
      <c r="DY89" s="31" t="str">
        <f>IF(DX89/(INDEX('Standards for Conversions'!$H$34:$H$73,MATCH(DW$3,'Standards for Conversions'!$A$34:$A$73,0)))=0,"",DX89/(INDEX('Standards for Conversions'!$H$34:$H$73,MATCH(DW$3,'Standards for Conversions'!$A$34:$A$73,0))))</f>
        <v/>
      </c>
      <c r="DZ89" s="10" t="s">
        <v>18</v>
      </c>
      <c r="EA89" s="7"/>
      <c r="EB89" s="7"/>
      <c r="EC89" s="31" t="str">
        <f>IF(EB89/(INDEX('Standards for Conversions'!$H$34:$H$73,MATCH(EA$3,'Standards for Conversions'!$A$34:$A$73,0)))=0,"",EB89/(INDEX('Standards for Conversions'!$H$34:$H$73,MATCH(EA$3,'Standards for Conversions'!$A$34:$A$73,0))))</f>
        <v/>
      </c>
      <c r="ED89" s="10" t="s">
        <v>18</v>
      </c>
      <c r="EE89" s="7"/>
      <c r="EF89" s="7"/>
      <c r="EG89" s="31" t="str">
        <f>IF(EF89/(INDEX('Standards for Conversions'!$H$34:$H$73,MATCH(EE$3,'Standards for Conversions'!$A$34:$A$73,0)))=0,"",EF89/(INDEX('Standards for Conversions'!$H$34:$H$73,MATCH(EE$3,'Standards for Conversions'!$A$34:$A$73,0))))</f>
        <v/>
      </c>
      <c r="EH89" s="10" t="s">
        <v>18</v>
      </c>
      <c r="EI89" s="9"/>
      <c r="EJ89" s="9"/>
      <c r="EK89" s="31" t="str">
        <f>IF(EJ89/(INDEX('Standards for Conversions'!$H$34:$H$73,MATCH(EI$3,'Standards for Conversions'!$A$34:$A$73,0)))=0,"",EJ89/(INDEX('Standards for Conversions'!$H$34:$H$73,MATCH(EI$3,'Standards for Conversions'!$A$34:$A$73,0))))</f>
        <v/>
      </c>
      <c r="EL89" s="10" t="s">
        <v>18</v>
      </c>
      <c r="EM89" s="7"/>
      <c r="EN89" s="7"/>
      <c r="EO89" s="31" t="str">
        <f>IF(EN89/(INDEX('Standards for Conversions'!$H$34:$H$73,MATCH(EM$3,'Standards for Conversions'!$A$34:$A$73,0)))=0,"",EN89/(INDEX('Standards for Conversions'!$H$34:$H$73,MATCH(EM$3,'Standards for Conversions'!$A$34:$A$73,0))))</f>
        <v/>
      </c>
      <c r="EP89" s="10" t="s">
        <v>18</v>
      </c>
      <c r="EQ89" s="7"/>
      <c r="ER89" s="7"/>
      <c r="ES89" s="31" t="str">
        <f>IF(ER89/(INDEX('Standards for Conversions'!$H$34:$H$73,MATCH(EQ$3,'Standards for Conversions'!$A$34:$A$73,0)))=0,"",ER89/(INDEX('Standards for Conversions'!$H$34:$H$73,MATCH(EQ$3,'Standards for Conversions'!$A$34:$A$73,0))))</f>
        <v/>
      </c>
      <c r="ET89" s="10" t="s">
        <v>18</v>
      </c>
      <c r="EU89" s="7"/>
      <c r="EV89" s="7"/>
      <c r="EW89" s="31" t="str">
        <f>IF(EV89/(INDEX('Standards for Conversions'!$H$34:$H$73,MATCH(EU$3,'Standards for Conversions'!$A$34:$A$73,0)))=0,"",EV89/(INDEX('Standards for Conversions'!$H$34:$H$73,MATCH(EU$3,'Standards for Conversions'!$A$34:$A$73,0))))</f>
        <v/>
      </c>
      <c r="EX89" s="10" t="s">
        <v>18</v>
      </c>
      <c r="EY89" s="9"/>
      <c r="EZ89" s="9"/>
      <c r="FA89" s="31" t="str">
        <f>IF(EZ89/(INDEX('Standards for Conversions'!$H$34:$H$73,MATCH(EY$3,'Standards for Conversions'!$A$34:$A$73,0)))=0,"",EZ89/(INDEX('Standards for Conversions'!$H$34:$H$73,MATCH(EY$3,'Standards for Conversions'!$A$34:$A$73,0))))</f>
        <v/>
      </c>
      <c r="FB89" s="10" t="s">
        <v>18</v>
      </c>
      <c r="FC89" s="7"/>
      <c r="FD89" s="7"/>
      <c r="FE89" s="31" t="str">
        <f>IF(FD89/(INDEX('Standards for Conversions'!$H$34:$H$73,MATCH(FC$3,'Standards for Conversions'!$A$34:$A$73,0)))=0,"",FD89/(INDEX('Standards for Conversions'!$H$34:$H$73,MATCH(FC$3,'Standards for Conversions'!$A$34:$A$73,0))))</f>
        <v/>
      </c>
      <c r="FF89" s="10" t="s">
        <v>18</v>
      </c>
      <c r="FG89" s="7"/>
      <c r="FH89" s="7"/>
      <c r="FI89" s="31" t="str">
        <f>IF(FH89/(INDEX('Standards for Conversions'!$H$34:$H$73,MATCH(FG$3,'Standards for Conversions'!$A$34:$A$73,0)))=0,"",FH89/(INDEX('Standards for Conversions'!$H$34:$H$73,MATCH(FG$3,'Standards for Conversions'!$A$34:$A$73,0))))</f>
        <v/>
      </c>
      <c r="FJ89" s="10" t="s">
        <v>18</v>
      </c>
      <c r="FK89" s="7"/>
      <c r="FL89" s="7"/>
      <c r="FM89" s="31" t="str">
        <f>IF(FL89/(INDEX('Standards for Conversions'!$H$34:$H$73,MATCH(FK$3,'Standards for Conversions'!$A$34:$A$73,0)))=0,"",FL89/(INDEX('Standards for Conversions'!$H$34:$H$73,MATCH(FK$3,'Standards for Conversions'!$A$34:$A$73,0))))</f>
        <v/>
      </c>
      <c r="FN89" s="10" t="s">
        <v>18</v>
      </c>
      <c r="FO89" s="9"/>
      <c r="FP89" s="9"/>
      <c r="FQ89" s="31" t="str">
        <f>IF(FP89/(INDEX('Standards for Conversions'!$H$34:$H$73,MATCH(FO$3,'Standards for Conversions'!$A$34:$A$73,0)))=0,"",FP89/(INDEX('Standards for Conversions'!$H$34:$H$73,MATCH(FO$3,'Standards for Conversions'!$A$34:$A$73,0))))</f>
        <v/>
      </c>
      <c r="FR89" s="10" t="s">
        <v>18</v>
      </c>
      <c r="FS89" s="7"/>
      <c r="FT89" s="7"/>
      <c r="FU89" s="31" t="str">
        <f>IF(FT89/(INDEX('Standards for Conversions'!$H$34:$H$73,MATCH(FS$3,'Standards for Conversions'!$A$34:$A$73,0)))=0,"",FT89/(INDEX('Standards for Conversions'!$H$34:$H$73,MATCH(FS$3,'Standards for Conversions'!$A$34:$A$73,0))))</f>
        <v/>
      </c>
      <c r="FV89" s="10" t="s">
        <v>18</v>
      </c>
      <c r="FW89" s="7"/>
      <c r="FX89" s="7"/>
      <c r="FY89" s="31" t="str">
        <f>IF(FX89/(INDEX('Standards for Conversions'!$H$34:$H$73,MATCH(FW$3,'Standards for Conversions'!$A$34:$A$73,0)))=0,"",FX89/(INDEX('Standards for Conversions'!$H$34:$H$73,MATCH(FW$3,'Standards for Conversions'!$A$34:$A$73,0))))</f>
        <v/>
      </c>
      <c r="FZ89" s="10" t="s">
        <v>18</v>
      </c>
      <c r="GA89" s="7"/>
      <c r="GB89" s="7"/>
      <c r="GC89" s="31" t="str">
        <f>IF(GB89/(INDEX('Standards for Conversions'!$H$34:$H$73,MATCH(GA$3,'Standards for Conversions'!$A$34:$A$73,0)))=0,"",GB89/(INDEX('Standards for Conversions'!$H$34:$H$73,MATCH(GA$3,'Standards for Conversions'!$A$34:$A$73,0))))</f>
        <v/>
      </c>
      <c r="GD89" s="10" t="s">
        <v>18</v>
      </c>
      <c r="GE89" s="9"/>
      <c r="GF89" s="9"/>
      <c r="GG89" s="31" t="str">
        <f>IF(GF89/(INDEX('Standards for Conversions'!$H$34:$H$73,MATCH(GE$3,'Standards for Conversions'!$A$34:$A$73,0)))=0,"",GF89/(INDEX('Standards for Conversions'!$H$34:$H$73,MATCH(GE$3,'Standards for Conversions'!$A$34:$A$73,0))))</f>
        <v/>
      </c>
      <c r="GH89" s="10" t="s">
        <v>18</v>
      </c>
      <c r="GI89" s="7"/>
      <c r="GJ89" s="7"/>
      <c r="GK89" s="31" t="str">
        <f>IF(GJ89/(INDEX('Standards for Conversions'!$H$34:$H$73,MATCH(GI$3,'Standards for Conversions'!$A$34:$A$73,0)))=0,"",GJ89/(INDEX('Standards for Conversions'!$H$34:$H$73,MATCH(GI$3,'Standards for Conversions'!$A$34:$A$73,0))))</f>
        <v/>
      </c>
      <c r="GL89" s="10" t="s">
        <v>18</v>
      </c>
      <c r="GM89" s="7"/>
      <c r="GN89" s="7"/>
      <c r="GO89" s="31" t="str">
        <f>IF(GN89/(INDEX('Standards for Conversions'!$H$34:$H$73,MATCH(GM$3,'Standards for Conversions'!$A$34:$A$73,0)))=0,"",GN89/(INDEX('Standards for Conversions'!$H$34:$H$73,MATCH(GM$3,'Standards for Conversions'!$A$34:$A$73,0))))</f>
        <v/>
      </c>
      <c r="GP89" s="10" t="s">
        <v>18</v>
      </c>
      <c r="GQ89" s="7"/>
      <c r="GR89" s="7"/>
      <c r="GS89" s="31" t="str">
        <f>IF(GR89/(INDEX('Standards for Conversions'!$H$34:$H$73,MATCH(GQ$3,'Standards for Conversions'!$A$34:$A$73,0)))=0,"",GR89/(INDEX('Standards for Conversions'!$H$34:$H$73,MATCH(GQ$3,'Standards for Conversions'!$A$34:$A$73,0))))</f>
        <v/>
      </c>
      <c r="GT89" s="10" t="s">
        <v>18</v>
      </c>
      <c r="GU89" s="9"/>
      <c r="GV89" s="9"/>
      <c r="GW89" s="31" t="str">
        <f>IF(GV89/(INDEX('Standards for Conversions'!$H$34:$H$73,MATCH(GU$3,'Standards for Conversions'!$A$34:$A$73,0)))=0,"",GV89/(INDEX('Standards for Conversions'!$H$34:$H$73,MATCH(GU$3,'Standards for Conversions'!$A$34:$A$73,0))))</f>
        <v/>
      </c>
      <c r="GX89" s="10" t="s">
        <v>18</v>
      </c>
      <c r="GY89" s="7"/>
      <c r="GZ89" s="7"/>
      <c r="HA89" s="31" t="str">
        <f>IF(GZ89/(INDEX('Standards for Conversions'!$H$34:$H$73,MATCH(GY$3,'Standards for Conversions'!$A$34:$A$73,0)))=0,"",GZ89/(INDEX('Standards for Conversions'!$H$34:$H$73,MATCH(GY$3,'Standards for Conversions'!$A$34:$A$73,0))))</f>
        <v/>
      </c>
      <c r="HB89" s="10" t="s">
        <v>18</v>
      </c>
      <c r="HC89" s="7"/>
      <c r="HD89" s="7"/>
      <c r="HE89" s="31" t="str">
        <f>IF(HD89/(INDEX('Standards for Conversions'!$H$34:$H$73,MATCH(HC$3,'Standards for Conversions'!$A$34:$A$73,0)))=0,"",HD89/(INDEX('Standards for Conversions'!$H$34:$H$73,MATCH(HC$3,'Standards for Conversions'!$A$34:$A$73,0))))</f>
        <v/>
      </c>
      <c r="HF89" s="10" t="s">
        <v>18</v>
      </c>
      <c r="HG89" s="7"/>
      <c r="HH89" s="7"/>
      <c r="HI89" s="31" t="str">
        <f>IF(HH89/(INDEX('Standards for Conversions'!$H$34:$H$73,MATCH(HG$3,'Standards for Conversions'!$A$34:$A$73,0)))=0,"",HH89/(INDEX('Standards for Conversions'!$H$34:$H$73,MATCH(HG$3,'Standards for Conversions'!$A$34:$A$73,0))))</f>
        <v/>
      </c>
      <c r="HJ89" s="10" t="s">
        <v>18</v>
      </c>
      <c r="HK89" s="9"/>
      <c r="HL89" s="9"/>
      <c r="HM89" s="31" t="str">
        <f>IF(HL89/(INDEX('Standards for Conversions'!$H$34:$H$73,MATCH(HK$3,'Standards for Conversions'!$A$34:$A$73,0)))=0,"",HL89/(INDEX('Standards for Conversions'!$H$34:$H$73,MATCH(HK$3,'Standards for Conversions'!$A$34:$A$73,0))))</f>
        <v/>
      </c>
      <c r="HN89" s="10" t="s">
        <v>18</v>
      </c>
      <c r="HO89" s="7"/>
      <c r="HP89" s="7"/>
      <c r="HQ89" s="31" t="str">
        <f>IF(HP89/(INDEX('Standards for Conversions'!$H$34:$H$73,MATCH(HO$3,'Standards for Conversions'!$A$34:$A$73,0)))=0,"",HP89/(INDEX('Standards for Conversions'!$H$34:$H$73,MATCH(HO$3,'Standards for Conversions'!$A$34:$A$73,0))))</f>
        <v/>
      </c>
      <c r="HR89" s="33" t="s">
        <v>18</v>
      </c>
      <c r="HU89" s="31" t="str">
        <f>IF(HT89/(INDEX('Standards for Conversions'!$H$47:$H$73,MATCH(HS$3,'Standards for Conversions'!$A$47:$A$73,0)))=0,"",HT89/(INDEX('Standards for Conversions'!$H$47:$H$73,MATCH(HS$3,'Standards for Conversions'!$A$47:$A$73,0))))</f>
        <v/>
      </c>
      <c r="HV89" s="33" t="s">
        <v>18</v>
      </c>
      <c r="HW89" s="29">
        <v>80000</v>
      </c>
      <c r="HX89" s="29">
        <v>1500</v>
      </c>
      <c r="HY89" s="31">
        <f>IF(HX89/(INDEX('Standards for Conversions'!$H$47:$H$73,MATCH(HW$3,'Standards for Conversions'!$A$47:$A$73,0)))=0,"",HX89/(INDEX('Standards for Conversions'!$H$47:$H$73,MATCH(HW$3,'Standards for Conversions'!$A$47:$A$73,0))))</f>
        <v>217.86811831928395</v>
      </c>
      <c r="HZ89" s="33"/>
      <c r="IA89" s="33"/>
      <c r="IB89" s="31" t="str">
        <f>IF(IA89/(INDEX('Standards for Conversions'!$H$47:$H$73,MATCH(HZ$3,'Standards for Conversions'!$A$47:$A$73,0)))=0,"",IA89/(INDEX('Standards for Conversions'!$H$47:$H$73,MATCH(HZ$3,'Standards for Conversions'!$A$47:$A$73,0))))</f>
        <v/>
      </c>
      <c r="IC89" s="33" t="s">
        <v>18</v>
      </c>
      <c r="IF89" s="31" t="str">
        <f>IF(IE89/(INDEX('Standards for Conversions'!$H$47:$H$73,MATCH(ID$3,'Standards for Conversions'!$A$47:$A$73,0)))=0,"",IE89/(INDEX('Standards for Conversions'!$H$47:$H$73,MATCH(ID$3,'Standards for Conversions'!$A$47:$A$73,0))))</f>
        <v/>
      </c>
      <c r="IG89" s="33" t="s">
        <v>18</v>
      </c>
      <c r="IH89" s="29">
        <v>20000</v>
      </c>
      <c r="II89" s="29">
        <v>300</v>
      </c>
      <c r="IJ89" s="31">
        <f>IF(II89/(INDEX('Standards for Conversions'!$H$47:$H$73,MATCH(IH$3,'Standards for Conversions'!$A$47:$A$73,0)))=0,"",II89/(INDEX('Standards for Conversions'!$H$47:$H$73,MATCH(IH$3,'Standards for Conversions'!$A$47:$A$73,0))))</f>
        <v>43.38306845832971</v>
      </c>
      <c r="IK89" s="33" t="s">
        <v>18</v>
      </c>
      <c r="IL89" s="29">
        <v>19000</v>
      </c>
      <c r="IM89" s="29">
        <v>400</v>
      </c>
      <c r="IN89" s="31">
        <f>IF(IM89/(INDEX('Standards for Conversions'!$H$47:$H$73,MATCH(IL$3,'Standards for Conversions'!$A$47:$A$73,0)))=0,"",IM89/(INDEX('Standards for Conversions'!$H$47:$H$73,MATCH(IL$3,'Standards for Conversions'!$A$47:$A$73,0))))</f>
        <v>57.844091277772947</v>
      </c>
      <c r="IO89" s="33" t="s">
        <v>18</v>
      </c>
      <c r="IR89" s="31" t="str">
        <f>IF(IQ89/(INDEX('Standards for Conversions'!$H$47:$H$73,MATCH(IP$3,'Standards for Conversions'!$A$47:$A$73,0)))=0,"",IQ89/(INDEX('Standards for Conversions'!$H$47:$H$73,MATCH(IP$3,'Standards for Conversions'!$A$47:$A$73,0))))</f>
        <v/>
      </c>
      <c r="IS89" s="33" t="s">
        <v>18</v>
      </c>
      <c r="IV89" s="31" t="str">
        <f>IF(IU89/(INDEX('Standards for Conversions'!$H$47:$H$73,MATCH(IT$3,'Standards for Conversions'!$A$47:$A$73,0)))=0,"",IU89/(INDEX('Standards for Conversions'!$H$47:$H$73,MATCH(IT$3,'Standards for Conversions'!$A$47:$A$73,0))))</f>
        <v/>
      </c>
      <c r="IW89" s="33" t="s">
        <v>18</v>
      </c>
      <c r="IZ89" s="31" t="str">
        <f>IF(IY89/(INDEX('Standards for Conversions'!$H$47:$H$73,MATCH(IX$3,'Standards for Conversions'!$A$47:$A$73,0)))=0,"",IY89/(INDEX('Standards for Conversions'!$H$47:$H$73,MATCH(IX$3,'Standards for Conversions'!$A$47:$A$73,0))))</f>
        <v/>
      </c>
      <c r="JA89" s="48" t="s">
        <v>18</v>
      </c>
      <c r="JB89" s="29">
        <v>80000</v>
      </c>
      <c r="JC89" s="29">
        <v>1500</v>
      </c>
      <c r="JD89" s="31">
        <f>IF(JC89/(INDEX('Standards for Conversions'!$H$47:$H$73,MATCH(JB$3,'Standards for Conversions'!$A$47:$A$73,0)))=0,"",JC89/(INDEX('Standards for Conversions'!$H$47:$H$73,MATCH(JB$3,'Standards for Conversions'!$A$47:$A$73,0))))</f>
        <v>242.64029503780304</v>
      </c>
      <c r="JE89" s="33"/>
      <c r="JH89" s="31" t="str">
        <f>IF(JG89/(INDEX('Standards for Conversions'!$H$47:$H$73,MATCH(JF$3,'Standards for Conversions'!$A$47:$A$73,0)))=0,"",JG89/(INDEX('Standards for Conversions'!$H$47:$H$73,MATCH(JF$3,'Standards for Conversions'!$A$47:$A$73,0))))</f>
        <v/>
      </c>
      <c r="JL89" s="31" t="str">
        <f>IF(JK89/(INDEX('Standards for Conversions'!$H$47:$H$73,MATCH(JJ$3,'Standards for Conversions'!$A$47:$A$73,0)))=0,"",JK89/(INDEX('Standards for Conversions'!$H$47:$H$73,MATCH(JJ$3,'Standards for Conversions'!$A$47:$A$73,0))))</f>
        <v/>
      </c>
      <c r="JM89" s="33" t="s">
        <v>18</v>
      </c>
      <c r="JP89" s="31" t="str">
        <f>IF(JO89/(INDEX('Standards for Conversions'!$H$47:$H$73,MATCH(JN$3,'Standards for Conversions'!$A$47:$A$73,0)))=0,"",JO89/(INDEX('Standards for Conversions'!$H$47:$H$73,MATCH(JN$3,'Standards for Conversions'!$A$47:$A$73,0))))</f>
        <v/>
      </c>
      <c r="JQ89" s="33" t="s">
        <v>18</v>
      </c>
      <c r="JR89" s="29">
        <v>70000</v>
      </c>
      <c r="JS89" s="29">
        <v>1300</v>
      </c>
      <c r="JT89" s="31">
        <f>IF(JS89/(INDEX('Standards for Conversions'!$H$47:$H$73,MATCH(JR$3,'Standards for Conversions'!$A$47:$A$73,0)))=0,"",JS89/(INDEX('Standards for Conversions'!$H$47:$H$73,MATCH(JR$3,'Standards for Conversions'!$A$47:$A$73,0))))</f>
        <v>198.45266015613683</v>
      </c>
      <c r="JU89" s="33" t="s">
        <v>18</v>
      </c>
      <c r="JX89" s="31" t="str">
        <f>IF(JW89/(INDEX('Standards for Conversions'!$H$47:$H$73,MATCH(JV$3,'Standards for Conversions'!$A$47:$A$73,0)))=0,"",JW89/(INDEX('Standards for Conversions'!$H$47:$H$73,MATCH(JV$3,'Standards for Conversions'!$A$47:$A$73,0))))</f>
        <v/>
      </c>
      <c r="JY89" s="33" t="s">
        <v>18</v>
      </c>
      <c r="KB89" s="31" t="str">
        <f>IF(KA89/(INDEX('Standards for Conversions'!$H$47:$H$73,MATCH(JZ$3,'Standards for Conversions'!$A$47:$A$73,0)))=0,"",KA89/(INDEX('Standards for Conversions'!$H$47:$H$73,MATCH(JZ$3,'Standards for Conversions'!$A$47:$A$73,0))))</f>
        <v/>
      </c>
      <c r="KC89" s="33" t="s">
        <v>18</v>
      </c>
      <c r="KF89" s="31" t="str">
        <f>IF(KE89/(INDEX('Standards for Conversions'!$H$47:$H$73,MATCH(KD$3,'Standards for Conversions'!$A$47:$A$73,0)))=0,"",KE89/(INDEX('Standards for Conversions'!$H$47:$H$73,MATCH(KD$3,'Standards for Conversions'!$A$47:$A$73,0))))</f>
        <v/>
      </c>
      <c r="KG89" s="33" t="s">
        <v>18</v>
      </c>
      <c r="KH89" s="29">
        <v>8000</v>
      </c>
      <c r="KI89" s="29">
        <v>1400</v>
      </c>
      <c r="KJ89" s="31">
        <f>IF(KI89/(INDEX('Standards for Conversions'!$H$47:$H$73,MATCH(KH$3,'Standards for Conversions'!$A$47:$A$73,0)))=0,"",KI89/(INDEX('Standards for Conversions'!$H$47:$H$73,MATCH(KH$3,'Standards for Conversions'!$A$47:$A$73,0))))</f>
        <v>188.52261666811503</v>
      </c>
      <c r="KK89" s="33" t="s">
        <v>18</v>
      </c>
      <c r="KN89" s="31" t="str">
        <f>IF(KM89/(INDEX('Standards for Conversions'!$H$47:$H$73,MATCH(KL$3,'Standards for Conversions'!$A$47:$A$73,0)))=0,"",KM89/(INDEX('Standards for Conversions'!$H$47:$H$73,MATCH(KL$3,'Standards for Conversions'!$A$47:$A$73,0))))</f>
        <v/>
      </c>
      <c r="KO89" s="33" t="s">
        <v>18</v>
      </c>
      <c r="KR89" s="31" t="str">
        <f>IF(KQ89/(INDEX('Standards for Conversions'!$H$47:$H$73,MATCH(KP$3,'Standards for Conversions'!$A$47:$A$73,0)))=0,"",KQ89/(INDEX('Standards for Conversions'!$H$47:$H$73,MATCH(KP$3,'Standards for Conversions'!$A$47:$A$73,0))))</f>
        <v/>
      </c>
      <c r="KS89" s="33" t="s">
        <v>18</v>
      </c>
      <c r="KV89" s="31" t="str">
        <f>IF(KU89/(INDEX('Standards for Conversions'!$H$47:$H$73,MATCH(KT$3,'Standards for Conversions'!$A$47:$A$73,0)))=0,"",KU89/(INDEX('Standards for Conversions'!$H$47:$H$73,MATCH(KT$3,'Standards for Conversions'!$A$47:$A$73,0))))</f>
        <v/>
      </c>
      <c r="KW89" s="48" t="s">
        <v>18</v>
      </c>
      <c r="KX89" s="29">
        <v>9000</v>
      </c>
      <c r="KY89" s="29">
        <v>1500</v>
      </c>
      <c r="KZ89" s="31">
        <f>IF(KY89/(INDEX('Standards for Conversions'!$H$47:$H$73,MATCH(KX$3,'Standards for Conversions'!$A$47:$A$73,0)))=0,"",KY89/(INDEX('Standards for Conversions'!$H$47:$H$73,MATCH(KX$3,'Standards for Conversions'!$A$47:$A$73,0))))</f>
        <v>182.42485009124877</v>
      </c>
      <c r="LD89" s="31" t="str">
        <f>IF(LC89/(INDEX('Standards for Conversions'!$H$47:$H$73,MATCH(LB$3,'Standards for Conversions'!$A$47:$A$73,0)))=0,"",LC89/(INDEX('Standards for Conversions'!$H$47:$H$73,MATCH(LB$3,'Standards for Conversions'!$A$47:$A$73,0))))</f>
        <v/>
      </c>
      <c r="LH89" s="31" t="str">
        <f>IF(LG89/(INDEX('Standards for Conversions'!$H$47:$H$73,MATCH(LF$3,'Standards for Conversions'!$A$47:$A$73,0)))=0,"",LG89/(INDEX('Standards for Conversions'!$H$47:$H$73,MATCH(LF$3,'Standards for Conversions'!$A$47:$A$73,0))))</f>
        <v/>
      </c>
      <c r="LL89" s="31" t="str">
        <f>IF(LK89/(INDEX('Standards for Conversions'!$H$47:$H$73,MATCH(LJ$3,'Standards for Conversions'!$A$47:$A$73,0)))=0,"",LK89/(INDEX('Standards for Conversions'!$H$47:$H$73,MATCH(LJ$3,'Standards for Conversions'!$A$47:$A$73,0))))</f>
        <v/>
      </c>
      <c r="LO89" s="31" t="str">
        <f>IF(LN89/(INDEX('Standards for Conversions'!$H$47:$H$73,MATCH(LM$3,'Standards for Conversions'!$A$47:$A$73,0)))=0,"",LN89/(INDEX('Standards for Conversions'!$H$47:$H$73,MATCH(LM$3,'Standards for Conversions'!$A$47:$A$73,0))))</f>
        <v/>
      </c>
      <c r="LR89" s="31" t="str">
        <f>IF(LQ89/(INDEX('Standards for Conversions'!$H$47:$H$73,MATCH(LP$3,'Standards for Conversions'!$A$47:$A$73,0)))=0,"",LQ89/(INDEX('Standards for Conversions'!$H$47:$H$73,MATCH(LP$3,'Standards for Conversions'!$A$47:$A$73,0))))</f>
        <v/>
      </c>
      <c r="LV89" s="31" t="str">
        <f>IF(LU89/(INDEX('Standards for Conversions'!$H$47:$H$73,MATCH(LT$3,'Standards for Conversions'!$A$47:$A$73,0)))=0,"",LU89/(INDEX('Standards for Conversions'!$H$47:$H$73,MATCH(LT$3,'Standards for Conversions'!$A$47:$A$73,0))))</f>
        <v/>
      </c>
      <c r="LY89" s="31" t="str">
        <f>IF(LX89/(INDEX('Standards for Conversions'!$H$47:$H$73,MATCH(LW$3,'Standards for Conversions'!$A$47:$A$73,0)))=0,"",LX89/(INDEX('Standards for Conversions'!$H$47:$H$73,MATCH(LW$3,'Standards for Conversions'!$A$47:$A$73,0))))</f>
        <v/>
      </c>
      <c r="MB89" s="31" t="str">
        <f>IF(MA89/(INDEX('Standards for Conversions'!$H$47:$H$73,MATCH(LZ$3,'Standards for Conversions'!$A$47:$A$73,0)))=0,"",MA89/(INDEX('Standards for Conversions'!$H$47:$H$73,MATCH(LZ$3,'Standards for Conversions'!$A$47:$A$73,0))))</f>
        <v/>
      </c>
      <c r="ME89" s="31" t="str">
        <f>IF(MD89/(INDEX('Standards for Conversions'!$H$47:$H$73,MATCH(MC$3,'Standards for Conversions'!$A$47:$A$73,0)))=0,"",MD89/(INDEX('Standards for Conversions'!$H$47:$H$73,MATCH(MC$3,'Standards for Conversions'!$A$47:$A$73,0))))</f>
        <v/>
      </c>
      <c r="MH89" s="31" t="str">
        <f>IF(MG89/(INDEX('Standards for Conversions'!$H$47:$H$73,MATCH(MF$3,'Standards for Conversions'!$A$47:$A$73,0)))=0,"",MG89/(INDEX('Standards for Conversions'!$H$47:$H$73,MATCH(MF$3,'Standards for Conversions'!$A$47:$A$73,0))))</f>
        <v/>
      </c>
      <c r="MK89" s="31" t="str">
        <f>IF(MJ89/(INDEX('Standards for Conversions'!$H$47:$H$73,MATCH(MI$3,'Standards for Conversions'!$A$47:$A$73,0)))=0,"",MJ89/(INDEX('Standards for Conversions'!$H$47:$H$73,MATCH(MI$3,'Standards for Conversions'!$A$47:$A$73,0))))</f>
        <v/>
      </c>
      <c r="MN89" s="31" t="str">
        <f>IF(MM89/(INDEX('Standards for Conversions'!$H$47:$H$73,MATCH(ML$3,'Standards for Conversions'!$A$47:$A$73,0)))=0,"",MM89/(INDEX('Standards for Conversions'!$H$47:$H$73,MATCH(ML$3,'Standards for Conversions'!$A$47:$A$73,0))))</f>
        <v/>
      </c>
      <c r="MR89" s="31" t="str">
        <f>IF(MQ89/(INDEX('Standards for Conversions'!$H$47:$H$73,MATCH(MP$3,'Standards for Conversions'!$A$47:$A$73,0)))=0,"",MQ89/(INDEX('Standards for Conversions'!$H$47:$H$73,MATCH(MP$3,'Standards for Conversions'!$A$47:$A$73,0))))</f>
        <v/>
      </c>
    </row>
    <row r="90" spans="1:373" ht="15.6" hidden="1" x14ac:dyDescent="0.3">
      <c r="A90" s="103" t="s">
        <v>260</v>
      </c>
      <c r="B90" s="10" t="s">
        <v>18</v>
      </c>
      <c r="C90" s="3"/>
      <c r="D90" s="8"/>
      <c r="E90" s="31" t="str">
        <f>IF(D90/(INDEX('Standards for Conversions'!$H$34:$H$73,MATCH(C$3,'Standards for Conversions'!$A$34:$A$73,0)))=0,"",D90/(INDEX('Standards for Conversions'!$H$34:$H$73,MATCH(C$3,'Standards for Conversions'!$A$34:$A$73,0))))</f>
        <v/>
      </c>
      <c r="F90" s="10" t="s">
        <v>18</v>
      </c>
      <c r="G90" s="3"/>
      <c r="H90" s="8"/>
      <c r="I90" s="31" t="str">
        <f>IF(H90/(INDEX('Standards for Conversions'!$H$34:$H$73,MATCH(G$3,'Standards for Conversions'!$A$34:$A$73,0)))=0,"",H90/(INDEX('Standards for Conversions'!$H$34:$H$73,MATCH(G$3,'Standards for Conversions'!$A$34:$A$73,0))))</f>
        <v/>
      </c>
      <c r="J90" s="10" t="s">
        <v>18</v>
      </c>
      <c r="K90" s="9"/>
      <c r="L90" s="9"/>
      <c r="M90" s="31" t="str">
        <f>IF(L90/(INDEX('Standards for Conversions'!$H$34:$H$73,MATCH(K$3,'Standards for Conversions'!$A$34:$A$73,0)))=0,"",L90/(INDEX('Standards for Conversions'!$H$34:$H$73,MATCH(K$3,'Standards for Conversions'!$A$34:$A$73,0))))</f>
        <v/>
      </c>
      <c r="N90" s="10" t="s">
        <v>18</v>
      </c>
      <c r="O90" s="7"/>
      <c r="P90" s="7"/>
      <c r="Q90" s="31" t="str">
        <f>IF(P90/(INDEX('Standards for Conversions'!$H$34:$H$73,MATCH(O$3,'Standards for Conversions'!$A$34:$A$73,0)))=0,"",P90/(INDEX('Standards for Conversions'!$H$34:$H$73,MATCH(O$3,'Standards for Conversions'!$A$34:$A$73,0))))</f>
        <v/>
      </c>
      <c r="R90" s="10" t="s">
        <v>18</v>
      </c>
      <c r="S90" s="3"/>
      <c r="T90" s="8"/>
      <c r="U90" s="31" t="str">
        <f>IF(T90/(INDEX('Standards for Conversions'!$H$34:$H$73,MATCH(S$3,'Standards for Conversions'!$A$34:$A$73,0)))=0,"",T90/(INDEX('Standards for Conversions'!$H$34:$H$73,MATCH(S$3,'Standards for Conversions'!$A$34:$A$73,0))))</f>
        <v/>
      </c>
      <c r="V90" s="10" t="s">
        <v>18</v>
      </c>
      <c r="W90" s="3"/>
      <c r="X90" s="8"/>
      <c r="Y90" s="31" t="str">
        <f>IF(X90/(INDEX('Standards for Conversions'!$H$34:$H$73,MATCH(W$3,'Standards for Conversions'!$A$34:$A$73,0)))=0,"",X90/(INDEX('Standards for Conversions'!$H$34:$H$73,MATCH(W$3,'Standards for Conversions'!$A$34:$A$73,0))))</f>
        <v/>
      </c>
      <c r="Z90" s="10" t="s">
        <v>18</v>
      </c>
      <c r="AA90" s="9"/>
      <c r="AB90" s="9"/>
      <c r="AC90" s="31" t="str">
        <f>IF(AB90/(INDEX('Standards for Conversions'!$H$34:$H$73,MATCH(AA$3,'Standards for Conversions'!$A$34:$A$73,0)))=0,"",AB90/(INDEX('Standards for Conversions'!$H$34:$H$73,MATCH(AA$3,'Standards for Conversions'!$A$34:$A$73,0))))</f>
        <v/>
      </c>
      <c r="AD90" s="10" t="s">
        <v>18</v>
      </c>
      <c r="AE90" s="7"/>
      <c r="AF90" s="7"/>
      <c r="AG90" s="31" t="str">
        <f>IF(AF90/(INDEX('Standards for Conversions'!$H$34:$H$73,MATCH(AE$3,'Standards for Conversions'!$A$34:$A$73,0)))=0,"",AF90/(INDEX('Standards for Conversions'!$H$34:$H$73,MATCH(AE$3,'Standards for Conversions'!$A$34:$A$73,0))))</f>
        <v/>
      </c>
      <c r="AH90" s="10" t="s">
        <v>18</v>
      </c>
      <c r="AI90" s="3"/>
      <c r="AJ90" s="8"/>
      <c r="AK90" s="31" t="str">
        <f>IF(AJ90/(INDEX('Standards for Conversions'!$H$34:$H$73,MATCH(AI$3,'Standards for Conversions'!$A$34:$A$73,0)))=0,"",AJ90/(INDEX('Standards for Conversions'!$H$34:$H$73,MATCH(AI$3,'Standards for Conversions'!$A$34:$A$73,0))))</f>
        <v/>
      </c>
      <c r="AL90" s="10" t="s">
        <v>18</v>
      </c>
      <c r="AM90" s="3"/>
      <c r="AN90" s="8"/>
      <c r="AO90" s="31" t="str">
        <f>IF(AN90/(INDEX('Standards for Conversions'!$H$34:$H$73,MATCH(AM$3,'Standards for Conversions'!$A$34:$A$73,0)))=0,"",AN90/(INDEX('Standards for Conversions'!$H$34:$H$73,MATCH(AM$3,'Standards for Conversions'!$A$34:$A$73,0))))</f>
        <v/>
      </c>
      <c r="AP90" s="10" t="s">
        <v>18</v>
      </c>
      <c r="AQ90" s="9"/>
      <c r="AR90" s="9"/>
      <c r="AS90" s="31" t="str">
        <f>IF(AR90/(INDEX('Standards for Conversions'!$H$34:$H$73,MATCH(AQ$3,'Standards for Conversions'!$A$34:$A$73,0)))=0,"",AR90/(INDEX('Standards for Conversions'!$H$34:$H$73,MATCH(AQ$3,'Standards for Conversions'!$A$34:$A$73,0))))</f>
        <v/>
      </c>
      <c r="AT90" s="10" t="s">
        <v>18</v>
      </c>
      <c r="AU90" s="7"/>
      <c r="AV90" s="7"/>
      <c r="AW90" s="31" t="str">
        <f>IF(AV90/(INDEX('Standards for Conversions'!$H$34:$H$73,MATCH(AU$3,'Standards for Conversions'!$A$34:$A$73,0)))=0,"",AV90/(INDEX('Standards for Conversions'!$H$34:$H$73,MATCH(AU$3,'Standards for Conversions'!$A$34:$A$73,0))))</f>
        <v/>
      </c>
      <c r="AX90" s="10" t="s">
        <v>18</v>
      </c>
      <c r="AY90" s="3"/>
      <c r="AZ90" s="8"/>
      <c r="BA90" s="31" t="str">
        <f>IF(AZ90/(INDEX('Standards for Conversions'!$H$34:$H$73,MATCH(AY$3,'Standards for Conversions'!$A$34:$A$73,0)))=0,"",AZ90/(INDEX('Standards for Conversions'!$H$34:$H$73,MATCH(AY$3,'Standards for Conversions'!$A$34:$A$73,0))))</f>
        <v/>
      </c>
      <c r="BB90" s="10" t="s">
        <v>18</v>
      </c>
      <c r="BC90" s="3"/>
      <c r="BD90" s="8"/>
      <c r="BE90" s="31" t="str">
        <f>IF(BD90/(INDEX('Standards for Conversions'!$H$34:$H$73,MATCH(BC$3,'Standards for Conversions'!$A$34:$A$73,0)))=0,"",BD90/(INDEX('Standards for Conversions'!$H$34:$H$73,MATCH(BC$3,'Standards for Conversions'!$A$34:$A$73,0))))</f>
        <v/>
      </c>
      <c r="BF90" s="10" t="s">
        <v>18</v>
      </c>
      <c r="BG90" s="9"/>
      <c r="BH90" s="9"/>
      <c r="BI90" s="31" t="str">
        <f>IF(BH90/(INDEX('Standards for Conversions'!$H$34:$H$73,MATCH(BG$3,'Standards for Conversions'!$A$34:$A$73,0)))=0,"",BH90/(INDEX('Standards for Conversions'!$H$34:$H$73,MATCH(BG$3,'Standards for Conversions'!$A$34:$A$73,0))))</f>
        <v/>
      </c>
      <c r="BJ90" s="10" t="s">
        <v>18</v>
      </c>
      <c r="BK90" s="7"/>
      <c r="BL90" s="7"/>
      <c r="BM90" s="31" t="str">
        <f>IF(BL90/(INDEX('Standards for Conversions'!$H$34:$H$73,MATCH(BK$3,'Standards for Conversions'!$A$34:$A$73,0)))=0,"",BL90/(INDEX('Standards for Conversions'!$H$34:$H$73,MATCH(BK$3,'Standards for Conversions'!$A$34:$A$73,0))))</f>
        <v/>
      </c>
      <c r="BN90" s="10" t="s">
        <v>18</v>
      </c>
      <c r="BO90" s="3"/>
      <c r="BP90" s="8"/>
      <c r="BQ90" s="31" t="str">
        <f>IF(BP90/(INDEX('Standards for Conversions'!$H$34:$H$73,MATCH(BO$3,'Standards for Conversions'!$A$34:$A$73,0)))=0,"",BP90/(INDEX('Standards for Conversions'!$H$34:$H$73,MATCH(BO$3,'Standards for Conversions'!$A$34:$A$73,0))))</f>
        <v/>
      </c>
      <c r="BR90" s="10" t="s">
        <v>18</v>
      </c>
      <c r="BS90" s="3"/>
      <c r="BT90" s="8"/>
      <c r="BU90" s="31" t="str">
        <f>IF(BT90/(INDEX('Standards for Conversions'!$H$34:$H$73,MATCH(BS$3,'Standards for Conversions'!$A$34:$A$73,0)))=0,"",BT90/(INDEX('Standards for Conversions'!$H$34:$H$73,MATCH(BS$3,'Standards for Conversions'!$A$34:$A$73,0))))</f>
        <v/>
      </c>
      <c r="BV90" s="10" t="s">
        <v>18</v>
      </c>
      <c r="BW90" s="9"/>
      <c r="BX90" s="9"/>
      <c r="BY90" s="31" t="str">
        <f>IF(BX90/(INDEX('Standards for Conversions'!$H$34:$H$73,MATCH(BW$3,'Standards for Conversions'!$A$34:$A$73,0)))=0,"",BX90/(INDEX('Standards for Conversions'!$H$34:$H$73,MATCH(BW$3,'Standards for Conversions'!$A$34:$A$73,0))))</f>
        <v/>
      </c>
      <c r="BZ90" s="10" t="s">
        <v>18</v>
      </c>
      <c r="CA90" s="7"/>
      <c r="CB90" s="7"/>
      <c r="CC90" s="31" t="str">
        <f>IF(CB90/(INDEX('Standards for Conversions'!$H$34:$H$73,MATCH(CA$3,'Standards for Conversions'!$A$34:$A$73,0)))=0,"",CB90/(INDEX('Standards for Conversions'!$H$34:$H$73,MATCH(CA$3,'Standards for Conversions'!$A$34:$A$73,0))))</f>
        <v/>
      </c>
      <c r="CD90" s="10" t="s">
        <v>18</v>
      </c>
      <c r="CE90" s="3"/>
      <c r="CF90" s="8"/>
      <c r="CG90" s="31" t="str">
        <f>IF(CF90/(INDEX('Standards for Conversions'!$H$34:$H$73,MATCH(CE$3,'Standards for Conversions'!$A$34:$A$73,0)))=0,"",CF90/(INDEX('Standards for Conversions'!$H$34:$H$73,MATCH(CE$3,'Standards for Conversions'!$A$34:$A$73,0))))</f>
        <v/>
      </c>
      <c r="CH90" s="10" t="s">
        <v>18</v>
      </c>
      <c r="CI90" s="3"/>
      <c r="CJ90" s="8"/>
      <c r="CK90" s="31" t="str">
        <f>IF(CJ90/(INDEX('Standards for Conversions'!$H$34:$H$73,MATCH(CI$3,'Standards for Conversions'!$A$34:$A$73,0)))=0,"",CJ90/(INDEX('Standards for Conversions'!$H$34:$H$73,MATCH(CI$3,'Standards for Conversions'!$A$34:$A$73,0))))</f>
        <v/>
      </c>
      <c r="CL90" s="10" t="s">
        <v>18</v>
      </c>
      <c r="CM90" s="9"/>
      <c r="CN90" s="9"/>
      <c r="CO90" s="31" t="str">
        <f>IF(CN90/(INDEX('Standards for Conversions'!$H$34:$H$73,MATCH(CM$3,'Standards for Conversions'!$A$34:$A$73,0)))=0,"",CN90/(INDEX('Standards for Conversions'!$H$34:$H$73,MATCH(CM$3,'Standards for Conversions'!$A$34:$A$73,0))))</f>
        <v/>
      </c>
      <c r="CP90" s="10" t="s">
        <v>18</v>
      </c>
      <c r="CQ90" s="7"/>
      <c r="CR90" s="7"/>
      <c r="CS90" s="31" t="str">
        <f>IF(CR90/(INDEX('Standards for Conversions'!$H$34:$H$73,MATCH(CQ$3,'Standards for Conversions'!$A$34:$A$73,0)))=0,"",CR90/(INDEX('Standards for Conversions'!$H$34:$H$73,MATCH(CQ$3,'Standards for Conversions'!$A$34:$A$73,0))))</f>
        <v/>
      </c>
      <c r="CT90" s="10" t="s">
        <v>18</v>
      </c>
      <c r="CU90" s="3"/>
      <c r="CV90" s="8"/>
      <c r="CW90" s="31" t="str">
        <f>IF(CV90/(INDEX('Standards for Conversions'!$H$34:$H$73,MATCH(CU$3,'Standards for Conversions'!$A$34:$A$73,0)))=0,"",CV90/(INDEX('Standards for Conversions'!$H$34:$H$73,MATCH(CU$3,'Standards for Conversions'!$A$34:$A$73,0))))</f>
        <v/>
      </c>
      <c r="CX90" s="10" t="s">
        <v>18</v>
      </c>
      <c r="CY90" s="3"/>
      <c r="CZ90" s="8"/>
      <c r="DA90" s="31" t="str">
        <f>IF(CZ90/(INDEX('Standards for Conversions'!$H$34:$H$73,MATCH(CY$3,'Standards for Conversions'!$A$34:$A$73,0)))=0,"",CZ90/(INDEX('Standards for Conversions'!$H$34:$H$73,MATCH(CY$3,'Standards for Conversions'!$A$34:$A$73,0))))</f>
        <v/>
      </c>
      <c r="DB90" s="10" t="s">
        <v>18</v>
      </c>
      <c r="DC90" s="9"/>
      <c r="DD90" s="9"/>
      <c r="DE90" s="31" t="str">
        <f>IF(DD90/(INDEX('Standards for Conversions'!$H$34:$H$73,MATCH(DC$3,'Standards for Conversions'!$A$34:$A$73,0)))=0,"",DD90/(INDEX('Standards for Conversions'!$H$34:$H$73,MATCH(DC$3,'Standards for Conversions'!$A$34:$A$73,0))))</f>
        <v/>
      </c>
      <c r="DF90" s="10" t="s">
        <v>18</v>
      </c>
      <c r="DG90" s="7"/>
      <c r="DH90" s="7"/>
      <c r="DI90" s="31" t="str">
        <f>IF(DH90/(INDEX('Standards for Conversions'!$H$34:$H$73,MATCH(DG$3,'Standards for Conversions'!$A$34:$A$73,0)))=0,"",DH90/(INDEX('Standards for Conversions'!$H$34:$H$73,MATCH(DG$3,'Standards for Conversions'!$A$34:$A$73,0))))</f>
        <v/>
      </c>
      <c r="DJ90" s="10" t="s">
        <v>18</v>
      </c>
      <c r="DK90" s="3"/>
      <c r="DL90" s="8"/>
      <c r="DM90" s="31" t="str">
        <f>IF(DL90/(INDEX('Standards for Conversions'!$H$34:$H$73,MATCH(DK$3,'Standards for Conversions'!$A$34:$A$73,0)))=0,"",DL90/(INDEX('Standards for Conversions'!$H$34:$H$73,MATCH(DK$3,'Standards for Conversions'!$A$34:$A$73,0))))</f>
        <v/>
      </c>
      <c r="DN90" s="10" t="s">
        <v>18</v>
      </c>
      <c r="DO90" s="3"/>
      <c r="DP90" s="8"/>
      <c r="DQ90" s="31" t="str">
        <f>IF(DP90/(INDEX('Standards for Conversions'!$H$34:$H$73,MATCH(DO$3,'Standards for Conversions'!$A$34:$A$73,0)))=0,"",DP90/(INDEX('Standards for Conversions'!$H$34:$H$73,MATCH(DO$3,'Standards for Conversions'!$A$34:$A$73,0))))</f>
        <v/>
      </c>
      <c r="DR90" s="10" t="s">
        <v>18</v>
      </c>
      <c r="DS90" s="9"/>
      <c r="DT90" s="9"/>
      <c r="DU90" s="31" t="str">
        <f>IF(DT90/(INDEX('Standards for Conversions'!$H$34:$H$73,MATCH(DS$3,'Standards for Conversions'!$A$34:$A$73,0)))=0,"",DT90/(INDEX('Standards for Conversions'!$H$34:$H$73,MATCH(DS$3,'Standards for Conversions'!$A$34:$A$73,0))))</f>
        <v/>
      </c>
      <c r="DV90" s="10" t="s">
        <v>18</v>
      </c>
      <c r="DW90" s="7"/>
      <c r="DX90" s="7"/>
      <c r="DY90" s="31" t="str">
        <f>IF(DX90/(INDEX('Standards for Conversions'!$H$34:$H$73,MATCH(DW$3,'Standards for Conversions'!$A$34:$A$73,0)))=0,"",DX90/(INDEX('Standards for Conversions'!$H$34:$H$73,MATCH(DW$3,'Standards for Conversions'!$A$34:$A$73,0))))</f>
        <v/>
      </c>
      <c r="DZ90" s="10" t="s">
        <v>18</v>
      </c>
      <c r="EA90" s="3"/>
      <c r="EB90" s="8"/>
      <c r="EC90" s="31" t="str">
        <f>IF(EB90/(INDEX('Standards for Conversions'!$H$34:$H$73,MATCH(EA$3,'Standards for Conversions'!$A$34:$A$73,0)))=0,"",EB90/(INDEX('Standards for Conversions'!$H$34:$H$73,MATCH(EA$3,'Standards for Conversions'!$A$34:$A$73,0))))</f>
        <v/>
      </c>
      <c r="ED90" s="10" t="s">
        <v>18</v>
      </c>
      <c r="EE90" s="3"/>
      <c r="EF90" s="8"/>
      <c r="EG90" s="31" t="str">
        <f>IF(EF90/(INDEX('Standards for Conversions'!$H$34:$H$73,MATCH(EE$3,'Standards for Conversions'!$A$34:$A$73,0)))=0,"",EF90/(INDEX('Standards for Conversions'!$H$34:$H$73,MATCH(EE$3,'Standards for Conversions'!$A$34:$A$73,0))))</f>
        <v/>
      </c>
      <c r="EH90" s="10" t="s">
        <v>18</v>
      </c>
      <c r="EI90" s="9"/>
      <c r="EJ90" s="9"/>
      <c r="EK90" s="31" t="str">
        <f>IF(EJ90/(INDEX('Standards for Conversions'!$H$34:$H$73,MATCH(EI$3,'Standards for Conversions'!$A$34:$A$73,0)))=0,"",EJ90/(INDEX('Standards for Conversions'!$H$34:$H$73,MATCH(EI$3,'Standards for Conversions'!$A$34:$A$73,0))))</f>
        <v/>
      </c>
      <c r="EL90" s="10" t="s">
        <v>18</v>
      </c>
      <c r="EM90" s="7"/>
      <c r="EN90" s="7"/>
      <c r="EO90" s="31" t="str">
        <f>IF(EN90/(INDEX('Standards for Conversions'!$H$34:$H$73,MATCH(EM$3,'Standards for Conversions'!$A$34:$A$73,0)))=0,"",EN90/(INDEX('Standards for Conversions'!$H$34:$H$73,MATCH(EM$3,'Standards for Conversions'!$A$34:$A$73,0))))</f>
        <v/>
      </c>
      <c r="EP90" s="10" t="s">
        <v>18</v>
      </c>
      <c r="EQ90" s="3"/>
      <c r="ER90" s="8"/>
      <c r="ES90" s="31" t="str">
        <f>IF(ER90/(INDEX('Standards for Conversions'!$H$34:$H$73,MATCH(EQ$3,'Standards for Conversions'!$A$34:$A$73,0)))=0,"",ER90/(INDEX('Standards for Conversions'!$H$34:$H$73,MATCH(EQ$3,'Standards for Conversions'!$A$34:$A$73,0))))</f>
        <v/>
      </c>
      <c r="ET90" s="10" t="s">
        <v>18</v>
      </c>
      <c r="EU90" s="3"/>
      <c r="EV90" s="8"/>
      <c r="EW90" s="31" t="str">
        <f>IF(EV90/(INDEX('Standards for Conversions'!$H$34:$H$73,MATCH(EU$3,'Standards for Conversions'!$A$34:$A$73,0)))=0,"",EV90/(INDEX('Standards for Conversions'!$H$34:$H$73,MATCH(EU$3,'Standards for Conversions'!$A$34:$A$73,0))))</f>
        <v/>
      </c>
      <c r="EX90" s="10" t="s">
        <v>18</v>
      </c>
      <c r="EY90" s="9"/>
      <c r="EZ90" s="9"/>
      <c r="FA90" s="31" t="str">
        <f>IF(EZ90/(INDEX('Standards for Conversions'!$H$34:$H$73,MATCH(EY$3,'Standards for Conversions'!$A$34:$A$73,0)))=0,"",EZ90/(INDEX('Standards for Conversions'!$H$34:$H$73,MATCH(EY$3,'Standards for Conversions'!$A$34:$A$73,0))))</f>
        <v/>
      </c>
      <c r="FB90" s="10" t="s">
        <v>18</v>
      </c>
      <c r="FC90" s="7"/>
      <c r="FD90" s="7"/>
      <c r="FE90" s="31" t="str">
        <f>IF(FD90/(INDEX('Standards for Conversions'!$H$34:$H$73,MATCH(FC$3,'Standards for Conversions'!$A$34:$A$73,0)))=0,"",FD90/(INDEX('Standards for Conversions'!$H$34:$H$73,MATCH(FC$3,'Standards for Conversions'!$A$34:$A$73,0))))</f>
        <v/>
      </c>
      <c r="FF90" s="10" t="s">
        <v>18</v>
      </c>
      <c r="FG90" s="3"/>
      <c r="FH90" s="8"/>
      <c r="FI90" s="31" t="str">
        <f>IF(FH90/(INDEX('Standards for Conversions'!$H$34:$H$73,MATCH(FG$3,'Standards for Conversions'!$A$34:$A$73,0)))=0,"",FH90/(INDEX('Standards for Conversions'!$H$34:$H$73,MATCH(FG$3,'Standards for Conversions'!$A$34:$A$73,0))))</f>
        <v/>
      </c>
      <c r="FJ90" s="10" t="s">
        <v>18</v>
      </c>
      <c r="FK90" s="3"/>
      <c r="FL90" s="8"/>
      <c r="FM90" s="31" t="str">
        <f>IF(FL90/(INDEX('Standards for Conversions'!$H$34:$H$73,MATCH(FK$3,'Standards for Conversions'!$A$34:$A$73,0)))=0,"",FL90/(INDEX('Standards for Conversions'!$H$34:$H$73,MATCH(FK$3,'Standards for Conversions'!$A$34:$A$73,0))))</f>
        <v/>
      </c>
      <c r="FN90" s="10" t="s">
        <v>18</v>
      </c>
      <c r="FO90" s="9"/>
      <c r="FP90" s="9"/>
      <c r="FQ90" s="31" t="str">
        <f>IF(FP90/(INDEX('Standards for Conversions'!$H$34:$H$73,MATCH(FO$3,'Standards for Conversions'!$A$34:$A$73,0)))=0,"",FP90/(INDEX('Standards for Conversions'!$H$34:$H$73,MATCH(FO$3,'Standards for Conversions'!$A$34:$A$73,0))))</f>
        <v/>
      </c>
      <c r="FR90" s="10" t="s">
        <v>18</v>
      </c>
      <c r="FS90" s="7"/>
      <c r="FT90" s="7"/>
      <c r="FU90" s="31" t="str">
        <f>IF(FT90/(INDEX('Standards for Conversions'!$H$34:$H$73,MATCH(FS$3,'Standards for Conversions'!$A$34:$A$73,0)))=0,"",FT90/(INDEX('Standards for Conversions'!$H$34:$H$73,MATCH(FS$3,'Standards for Conversions'!$A$34:$A$73,0))))</f>
        <v/>
      </c>
      <c r="FV90" s="10" t="s">
        <v>18</v>
      </c>
      <c r="FW90" s="3"/>
      <c r="FX90" s="8"/>
      <c r="FY90" s="31" t="str">
        <f>IF(FX90/(INDEX('Standards for Conversions'!$H$34:$H$73,MATCH(FW$3,'Standards for Conversions'!$A$34:$A$73,0)))=0,"",FX90/(INDEX('Standards for Conversions'!$H$34:$H$73,MATCH(FW$3,'Standards for Conversions'!$A$34:$A$73,0))))</f>
        <v/>
      </c>
      <c r="FZ90" s="10" t="s">
        <v>18</v>
      </c>
      <c r="GA90" s="3"/>
      <c r="GB90" s="8"/>
      <c r="GC90" s="31" t="str">
        <f>IF(GB90/(INDEX('Standards for Conversions'!$H$34:$H$73,MATCH(GA$3,'Standards for Conversions'!$A$34:$A$73,0)))=0,"",GB90/(INDEX('Standards for Conversions'!$H$34:$H$73,MATCH(GA$3,'Standards for Conversions'!$A$34:$A$73,0))))</f>
        <v/>
      </c>
      <c r="GD90" s="10" t="s">
        <v>18</v>
      </c>
      <c r="GE90" s="9"/>
      <c r="GF90" s="9"/>
      <c r="GG90" s="31" t="str">
        <f>IF(GF90/(INDEX('Standards for Conversions'!$H$34:$H$73,MATCH(GE$3,'Standards for Conversions'!$A$34:$A$73,0)))=0,"",GF90/(INDEX('Standards for Conversions'!$H$34:$H$73,MATCH(GE$3,'Standards for Conversions'!$A$34:$A$73,0))))</f>
        <v/>
      </c>
      <c r="GH90" s="10" t="s">
        <v>18</v>
      </c>
      <c r="GI90" s="7"/>
      <c r="GJ90" s="7"/>
      <c r="GK90" s="31" t="str">
        <f>IF(GJ90/(INDEX('Standards for Conversions'!$H$34:$H$73,MATCH(GI$3,'Standards for Conversions'!$A$34:$A$73,0)))=0,"",GJ90/(INDEX('Standards for Conversions'!$H$34:$H$73,MATCH(GI$3,'Standards for Conversions'!$A$34:$A$73,0))))</f>
        <v/>
      </c>
      <c r="GL90" s="10" t="s">
        <v>18</v>
      </c>
      <c r="GM90" s="3"/>
      <c r="GN90" s="8"/>
      <c r="GO90" s="31" t="str">
        <f>IF(GN90/(INDEX('Standards for Conversions'!$H$34:$H$73,MATCH(GM$3,'Standards for Conversions'!$A$34:$A$73,0)))=0,"",GN90/(INDEX('Standards for Conversions'!$H$34:$H$73,MATCH(GM$3,'Standards for Conversions'!$A$34:$A$73,0))))</f>
        <v/>
      </c>
      <c r="GP90" s="10" t="s">
        <v>18</v>
      </c>
      <c r="GQ90" s="3"/>
      <c r="GR90" s="8"/>
      <c r="GS90" s="31" t="str">
        <f>IF(GR90/(INDEX('Standards for Conversions'!$H$34:$H$73,MATCH(GQ$3,'Standards for Conversions'!$A$34:$A$73,0)))=0,"",GR90/(INDEX('Standards for Conversions'!$H$34:$H$73,MATCH(GQ$3,'Standards for Conversions'!$A$34:$A$73,0))))</f>
        <v/>
      </c>
      <c r="GT90" s="10" t="s">
        <v>18</v>
      </c>
      <c r="GU90" s="9"/>
      <c r="GV90" s="9"/>
      <c r="GW90" s="31" t="str">
        <f>IF(GV90/(INDEX('Standards for Conversions'!$H$34:$H$73,MATCH(GU$3,'Standards for Conversions'!$A$34:$A$73,0)))=0,"",GV90/(INDEX('Standards for Conversions'!$H$34:$H$73,MATCH(GU$3,'Standards for Conversions'!$A$34:$A$73,0))))</f>
        <v/>
      </c>
      <c r="GX90" s="10" t="s">
        <v>18</v>
      </c>
      <c r="GY90" s="7"/>
      <c r="GZ90" s="7"/>
      <c r="HA90" s="31" t="str">
        <f>IF(GZ90/(INDEX('Standards for Conversions'!$H$34:$H$73,MATCH(GY$3,'Standards for Conversions'!$A$34:$A$73,0)))=0,"",GZ90/(INDEX('Standards for Conversions'!$H$34:$H$73,MATCH(GY$3,'Standards for Conversions'!$A$34:$A$73,0))))</f>
        <v/>
      </c>
      <c r="HB90" s="10" t="s">
        <v>18</v>
      </c>
      <c r="HC90" s="3"/>
      <c r="HD90" s="8"/>
      <c r="HE90" s="31" t="str">
        <f>IF(HD90/(INDEX('Standards for Conversions'!$H$34:$H$73,MATCH(HC$3,'Standards for Conversions'!$A$34:$A$73,0)))=0,"",HD90/(INDEX('Standards for Conversions'!$H$34:$H$73,MATCH(HC$3,'Standards for Conversions'!$A$34:$A$73,0))))</f>
        <v/>
      </c>
      <c r="HF90" s="10" t="s">
        <v>18</v>
      </c>
      <c r="HG90" s="3"/>
      <c r="HH90" s="8"/>
      <c r="HI90" s="31" t="str">
        <f>IF(HH90/(INDEX('Standards for Conversions'!$H$34:$H$73,MATCH(HG$3,'Standards for Conversions'!$A$34:$A$73,0)))=0,"",HH90/(INDEX('Standards for Conversions'!$H$34:$H$73,MATCH(HG$3,'Standards for Conversions'!$A$34:$A$73,0))))</f>
        <v/>
      </c>
      <c r="HJ90" s="10" t="s">
        <v>18</v>
      </c>
      <c r="HK90" s="9"/>
      <c r="HL90" s="9"/>
      <c r="HM90" s="31" t="str">
        <f>IF(HL90/(INDEX('Standards for Conversions'!$H$34:$H$73,MATCH(HK$3,'Standards for Conversions'!$A$34:$A$73,0)))=0,"",HL90/(INDEX('Standards for Conversions'!$H$34:$H$73,MATCH(HK$3,'Standards for Conversions'!$A$34:$A$73,0))))</f>
        <v/>
      </c>
      <c r="HN90" s="10" t="s">
        <v>18</v>
      </c>
      <c r="HO90" s="7"/>
      <c r="HP90" s="7"/>
      <c r="HQ90" s="31" t="str">
        <f>IF(HP90/(INDEX('Standards for Conversions'!$H$34:$H$73,MATCH(HO$3,'Standards for Conversions'!$A$34:$A$73,0)))=0,"",HP90/(INDEX('Standards for Conversions'!$H$34:$H$73,MATCH(HO$3,'Standards for Conversions'!$A$34:$A$73,0))))</f>
        <v/>
      </c>
      <c r="HR90" s="33" t="s">
        <v>18</v>
      </c>
      <c r="HS90" s="43"/>
      <c r="HT90" s="44"/>
      <c r="HU90" s="31" t="str">
        <f>IF(HT90/(INDEX('Standards for Conversions'!$H$47:$H$73,MATCH(HS$3,'Standards for Conversions'!$A$47:$A$73,0)))=0,"",HT90/(INDEX('Standards for Conversions'!$H$47:$H$73,MATCH(HS$3,'Standards for Conversions'!$A$47:$A$73,0))))</f>
        <v/>
      </c>
      <c r="HV90" s="33" t="s">
        <v>18</v>
      </c>
      <c r="HW90" s="43"/>
      <c r="HX90" s="44"/>
      <c r="HY90" s="31" t="str">
        <f>IF(HX90/(INDEX('Standards for Conversions'!$H$47:$H$73,MATCH(HW$3,'Standards for Conversions'!$A$47:$A$73,0)))=0,"",HX90/(INDEX('Standards for Conversions'!$H$47:$H$73,MATCH(HW$3,'Standards for Conversions'!$A$47:$A$73,0))))</f>
        <v/>
      </c>
      <c r="HZ90" s="33"/>
      <c r="IA90" s="33"/>
      <c r="IB90" s="31" t="str">
        <f>IF(IA90/(INDEX('Standards for Conversions'!$H$47:$H$73,MATCH(HZ$3,'Standards for Conversions'!$A$47:$A$73,0)))=0,"",IA90/(INDEX('Standards for Conversions'!$H$47:$H$73,MATCH(HZ$3,'Standards for Conversions'!$A$47:$A$73,0))))</f>
        <v/>
      </c>
      <c r="IC90" s="33" t="s">
        <v>18</v>
      </c>
      <c r="ID90" s="29">
        <v>20000</v>
      </c>
      <c r="IE90" s="29">
        <v>400</v>
      </c>
      <c r="IF90" s="31">
        <f>IF(IE90/(INDEX('Standards for Conversions'!$H$47:$H$73,MATCH(ID$3,'Standards for Conversions'!$A$47:$A$73,0)))=0,"",IE90/(INDEX('Standards for Conversions'!$H$47:$H$73,MATCH(ID$3,'Standards for Conversions'!$A$47:$A$73,0))))</f>
        <v>58.098164885142381</v>
      </c>
      <c r="IG90" s="33" t="s">
        <v>18</v>
      </c>
      <c r="IH90" s="43"/>
      <c r="II90" s="44"/>
      <c r="IJ90" s="31" t="str">
        <f>IF(II90/(INDEX('Standards for Conversions'!$H$47:$H$73,MATCH(IH$3,'Standards for Conversions'!$A$47:$A$73,0)))=0,"",II90/(INDEX('Standards for Conversions'!$H$47:$H$73,MATCH(IH$3,'Standards for Conversions'!$A$47:$A$73,0))))</f>
        <v/>
      </c>
      <c r="IK90" s="33" t="s">
        <v>18</v>
      </c>
      <c r="IL90" s="43"/>
      <c r="IM90" s="44"/>
      <c r="IN90" s="31" t="str">
        <f>IF(IM90/(INDEX('Standards for Conversions'!$H$47:$H$73,MATCH(IL$3,'Standards for Conversions'!$A$47:$A$73,0)))=0,"",IM90/(INDEX('Standards for Conversions'!$H$47:$H$73,MATCH(IL$3,'Standards for Conversions'!$A$47:$A$73,0))))</f>
        <v/>
      </c>
      <c r="IO90" s="33" t="s">
        <v>18</v>
      </c>
      <c r="IP90" s="43"/>
      <c r="IQ90" s="44"/>
      <c r="IR90" s="31" t="str">
        <f>IF(IQ90/(INDEX('Standards for Conversions'!$H$47:$H$73,MATCH(IP$3,'Standards for Conversions'!$A$47:$A$73,0)))=0,"",IQ90/(INDEX('Standards for Conversions'!$H$47:$H$73,MATCH(IP$3,'Standards for Conversions'!$A$47:$A$73,0))))</f>
        <v/>
      </c>
      <c r="IS90" s="33" t="s">
        <v>18</v>
      </c>
      <c r="IT90" s="43">
        <v>30000</v>
      </c>
      <c r="IU90" s="44">
        <v>600</v>
      </c>
      <c r="IV90" s="31">
        <f>IF(IU90/(INDEX('Standards for Conversions'!$H$47:$H$73,MATCH(IT$3,'Standards for Conversions'!$A$47:$A$73,0)))=0,"",IU90/(INDEX('Standards for Conversions'!$H$47:$H$73,MATCH(IT$3,'Standards for Conversions'!$A$47:$A$73,0))))</f>
        <v>86.76613691665942</v>
      </c>
      <c r="IW90" s="33" t="s">
        <v>18</v>
      </c>
      <c r="IZ90" s="31" t="str">
        <f>IF(IY90/(INDEX('Standards for Conversions'!$H$47:$H$73,MATCH(IX$3,'Standards for Conversions'!$A$47:$A$73,0)))=0,"",IY90/(INDEX('Standards for Conversions'!$H$47:$H$73,MATCH(IX$3,'Standards for Conversions'!$A$47:$A$73,0))))</f>
        <v/>
      </c>
      <c r="JA90" s="33" t="s">
        <v>18</v>
      </c>
      <c r="JD90" s="31" t="str">
        <f>IF(JC90/(INDEX('Standards for Conversions'!$H$47:$H$73,MATCH(JB$3,'Standards for Conversions'!$A$47:$A$73,0)))=0,"",JC90/(INDEX('Standards for Conversions'!$H$47:$H$73,MATCH(JB$3,'Standards for Conversions'!$A$47:$A$73,0))))</f>
        <v/>
      </c>
      <c r="JE90" s="33" t="s">
        <v>18</v>
      </c>
      <c r="JH90" s="31" t="str">
        <f>IF(JG90/(INDEX('Standards for Conversions'!$H$47:$H$73,MATCH(JF$3,'Standards for Conversions'!$A$47:$A$73,0)))=0,"",JG90/(INDEX('Standards for Conversions'!$H$47:$H$73,MATCH(JF$3,'Standards for Conversions'!$A$47:$A$73,0))))</f>
        <v/>
      </c>
      <c r="JI90" s="48" t="s">
        <v>18</v>
      </c>
      <c r="JJ90" s="43">
        <v>10100</v>
      </c>
      <c r="JK90" s="44">
        <v>1820</v>
      </c>
      <c r="JL90" s="31">
        <f>IF(JK90/(INDEX('Standards for Conversions'!$H$47:$H$73,MATCH(JJ$3,'Standards for Conversions'!$A$47:$A$73,0)))=0,"",JK90/(INDEX('Standards for Conversions'!$H$47:$H$73,MATCH(JJ$3,'Standards for Conversions'!$A$47:$A$73,0))))</f>
        <v>294.40355797920103</v>
      </c>
      <c r="JM90" s="33" t="s">
        <v>18</v>
      </c>
      <c r="JP90" s="31" t="str">
        <f>IF(JO90/(INDEX('Standards for Conversions'!$H$47:$H$73,MATCH(JN$3,'Standards for Conversions'!$A$47:$A$73,0)))=0,"",JO90/(INDEX('Standards for Conversions'!$H$47:$H$73,MATCH(JN$3,'Standards for Conversions'!$A$47:$A$73,0))))</f>
        <v/>
      </c>
      <c r="JQ90" s="33" t="s">
        <v>18</v>
      </c>
      <c r="JT90" s="31" t="str">
        <f>IF(JS90/(INDEX('Standards for Conversions'!$H$47:$H$73,MATCH(JR$3,'Standards for Conversions'!$A$47:$A$73,0)))=0,"",JS90/(INDEX('Standards for Conversions'!$H$47:$H$73,MATCH(JR$3,'Standards for Conversions'!$A$47:$A$73,0))))</f>
        <v/>
      </c>
      <c r="JU90" s="33" t="s">
        <v>18</v>
      </c>
      <c r="JV90" s="43"/>
      <c r="JW90" s="44"/>
      <c r="JX90" s="31" t="str">
        <f>IF(JW90/(INDEX('Standards for Conversions'!$H$47:$H$73,MATCH(JV$3,'Standards for Conversions'!$A$47:$A$73,0)))=0,"",JW90/(INDEX('Standards for Conversions'!$H$47:$H$73,MATCH(JV$3,'Standards for Conversions'!$A$47:$A$73,0))))</f>
        <v/>
      </c>
      <c r="JY90" s="33" t="s">
        <v>18</v>
      </c>
      <c r="JZ90" s="43">
        <v>8000</v>
      </c>
      <c r="KA90" s="44">
        <v>1500</v>
      </c>
      <c r="KB90" s="31">
        <f>IF(KA90/(INDEX('Standards for Conversions'!$H$47:$H$73,MATCH(JZ$3,'Standards for Conversions'!$A$47:$A$73,0)))=0,"",KA90/(INDEX('Standards for Conversions'!$H$47:$H$73,MATCH(JZ$3,'Standards for Conversions'!$A$47:$A$73,0))))</f>
        <v>228.98383864169634</v>
      </c>
      <c r="KC90" s="33" t="s">
        <v>18</v>
      </c>
      <c r="KF90" s="31" t="str">
        <f>IF(KE90/(INDEX('Standards for Conversions'!$H$47:$H$73,MATCH(KD$3,'Standards for Conversions'!$A$47:$A$73,0)))=0,"",KE90/(INDEX('Standards for Conversions'!$H$47:$H$73,MATCH(KD$3,'Standards for Conversions'!$A$47:$A$73,0))))</f>
        <v/>
      </c>
      <c r="KG90" s="33" t="s">
        <v>18</v>
      </c>
      <c r="KJ90" s="31" t="str">
        <f>IF(KI90/(INDEX('Standards for Conversions'!$H$47:$H$73,MATCH(KH$3,'Standards for Conversions'!$A$47:$A$73,0)))=0,"",KI90/(INDEX('Standards for Conversions'!$H$47:$H$73,MATCH(KH$3,'Standards for Conversions'!$A$47:$A$73,0))))</f>
        <v/>
      </c>
      <c r="KK90" s="33" t="s">
        <v>18</v>
      </c>
      <c r="KL90" s="43"/>
      <c r="KM90" s="44"/>
      <c r="KN90" s="31" t="str">
        <f>IF(KM90/(INDEX('Standards for Conversions'!$H$47:$H$73,MATCH(KL$3,'Standards for Conversions'!$A$47:$A$73,0)))=0,"",KM90/(INDEX('Standards for Conversions'!$H$47:$H$73,MATCH(KL$3,'Standards for Conversions'!$A$47:$A$73,0))))</f>
        <v/>
      </c>
      <c r="KO90" s="33" t="s">
        <v>18</v>
      </c>
      <c r="KP90" s="43">
        <v>8200</v>
      </c>
      <c r="KQ90" s="44">
        <v>1500</v>
      </c>
      <c r="KR90" s="31">
        <f>IF(KQ90/(INDEX('Standards for Conversions'!$H$47:$H$73,MATCH(KP$3,'Standards for Conversions'!$A$47:$A$73,0)))=0,"",KQ90/(INDEX('Standards for Conversions'!$H$47:$H$73,MATCH(KP$3,'Standards for Conversions'!$A$47:$A$73,0))))</f>
        <v>201.98851785869471</v>
      </c>
      <c r="KS90" s="33" t="s">
        <v>18</v>
      </c>
      <c r="KV90" s="31" t="str">
        <f>IF(KU90/(INDEX('Standards for Conversions'!$H$47:$H$73,MATCH(KT$3,'Standards for Conversions'!$A$47:$A$73,0)))=0,"",KU90/(INDEX('Standards for Conversions'!$H$47:$H$73,MATCH(KT$3,'Standards for Conversions'!$A$47:$A$73,0))))</f>
        <v/>
      </c>
      <c r="KW90" s="33" t="s">
        <v>18</v>
      </c>
      <c r="KZ90" s="31" t="str">
        <f>IF(KY90/(INDEX('Standards for Conversions'!$H$47:$H$73,MATCH(KX$3,'Standards for Conversions'!$A$47:$A$73,0)))=0,"",KY90/(INDEX('Standards for Conversions'!$H$47:$H$73,MATCH(KX$3,'Standards for Conversions'!$A$47:$A$73,0))))</f>
        <v/>
      </c>
      <c r="LA90" s="33" t="s">
        <v>18</v>
      </c>
      <c r="LB90" s="43"/>
      <c r="LC90" s="44"/>
      <c r="LD90" s="31" t="str">
        <f>IF(LC90/(INDEX('Standards for Conversions'!$H$47:$H$73,MATCH(LB$3,'Standards for Conversions'!$A$47:$A$73,0)))=0,"",LC90/(INDEX('Standards for Conversions'!$H$47:$H$73,MATCH(LB$3,'Standards for Conversions'!$A$47:$A$73,0))))</f>
        <v/>
      </c>
      <c r="LE90" s="48" t="s">
        <v>18</v>
      </c>
      <c r="LF90" s="43">
        <v>7500</v>
      </c>
      <c r="LG90" s="44">
        <v>1060</v>
      </c>
      <c r="LH90" s="31">
        <f>IF(LG90/(INDEX('Standards for Conversions'!$H$47:$H$73,MATCH(LF$3,'Standards for Conversions'!$A$47:$A$73,0)))=0,"",LG90/(INDEX('Standards for Conversions'!$H$47:$H$73,MATCH(LF$3,'Standards for Conversions'!$A$47:$A$73,0))))</f>
        <v>128.91356073114912</v>
      </c>
      <c r="LI90" s="33"/>
      <c r="LJ90" s="43"/>
      <c r="LK90" s="44"/>
      <c r="LL90" s="31" t="str">
        <f>IF(LK90/(INDEX('Standards for Conversions'!$H$47:$H$73,MATCH(LJ$3,'Standards for Conversions'!$A$47:$A$73,0)))=0,"",LK90/(INDEX('Standards for Conversions'!$H$47:$H$73,MATCH(LJ$3,'Standards for Conversions'!$A$47:$A$73,0))))</f>
        <v/>
      </c>
      <c r="LM90" s="43"/>
      <c r="LN90" s="44"/>
      <c r="LO90" s="31" t="str">
        <f>IF(LN90/(INDEX('Standards for Conversions'!$H$47:$H$73,MATCH(LM$3,'Standards for Conversions'!$A$47:$A$73,0)))=0,"",LN90/(INDEX('Standards for Conversions'!$H$47:$H$73,MATCH(LM$3,'Standards for Conversions'!$A$47:$A$73,0))))</f>
        <v/>
      </c>
      <c r="LP90" s="43"/>
      <c r="LQ90" s="44"/>
      <c r="LR90" s="31" t="str">
        <f>IF(LQ90/(INDEX('Standards for Conversions'!$H$47:$H$73,MATCH(LP$3,'Standards for Conversions'!$A$47:$A$73,0)))=0,"",LQ90/(INDEX('Standards for Conversions'!$H$47:$H$73,MATCH(LP$3,'Standards for Conversions'!$A$47:$A$73,0))))</f>
        <v/>
      </c>
      <c r="LS90" s="33"/>
      <c r="LT90" s="43"/>
      <c r="LU90" s="44"/>
      <c r="LV90" s="31" t="str">
        <f>IF(LU90/(INDEX('Standards for Conversions'!$H$47:$H$73,MATCH(LT$3,'Standards for Conversions'!$A$47:$A$73,0)))=0,"",LU90/(INDEX('Standards for Conversions'!$H$47:$H$73,MATCH(LT$3,'Standards for Conversions'!$A$47:$A$73,0))))</f>
        <v/>
      </c>
      <c r="LW90" s="43"/>
      <c r="LX90" s="44"/>
      <c r="LY90" s="31" t="str">
        <f>IF(LX90/(INDEX('Standards for Conversions'!$H$47:$H$73,MATCH(LW$3,'Standards for Conversions'!$A$47:$A$73,0)))=0,"",LX90/(INDEX('Standards for Conversions'!$H$47:$H$73,MATCH(LW$3,'Standards for Conversions'!$A$47:$A$73,0))))</f>
        <v/>
      </c>
      <c r="LZ90" s="43"/>
      <c r="MA90" s="44"/>
      <c r="MB90" s="31" t="str">
        <f>IF(MA90/(INDEX('Standards for Conversions'!$H$47:$H$73,MATCH(LZ$3,'Standards for Conversions'!$A$47:$A$73,0)))=0,"",MA90/(INDEX('Standards for Conversions'!$H$47:$H$73,MATCH(LZ$3,'Standards for Conversions'!$A$47:$A$73,0))))</f>
        <v/>
      </c>
      <c r="MC90" s="43"/>
      <c r="MD90" s="44"/>
      <c r="ME90" s="31" t="str">
        <f>IF(MD90/(INDEX('Standards for Conversions'!$H$47:$H$73,MATCH(MC$3,'Standards for Conversions'!$A$47:$A$73,0)))=0,"",MD90/(INDEX('Standards for Conversions'!$H$47:$H$73,MATCH(MC$3,'Standards for Conversions'!$A$47:$A$73,0))))</f>
        <v/>
      </c>
      <c r="MF90" s="43"/>
      <c r="MG90" s="44"/>
      <c r="MH90" s="31" t="str">
        <f>IF(MG90/(INDEX('Standards for Conversions'!$H$47:$H$73,MATCH(MF$3,'Standards for Conversions'!$A$47:$A$73,0)))=0,"",MG90/(INDEX('Standards for Conversions'!$H$47:$H$73,MATCH(MF$3,'Standards for Conversions'!$A$47:$A$73,0))))</f>
        <v/>
      </c>
      <c r="MI90" s="43"/>
      <c r="MJ90" s="44"/>
      <c r="MK90" s="31" t="str">
        <f>IF(MJ90/(INDEX('Standards for Conversions'!$H$47:$H$73,MATCH(MI$3,'Standards for Conversions'!$A$47:$A$73,0)))=0,"",MJ90/(INDEX('Standards for Conversions'!$H$47:$H$73,MATCH(MI$3,'Standards for Conversions'!$A$47:$A$73,0))))</f>
        <v/>
      </c>
      <c r="ML90" s="43"/>
      <c r="MM90" s="44"/>
      <c r="MN90" s="31" t="str">
        <f>IF(MM90/(INDEX('Standards for Conversions'!$H$47:$H$73,MATCH(ML$3,'Standards for Conversions'!$A$47:$A$73,0)))=0,"",MM90/(INDEX('Standards for Conversions'!$H$47:$H$73,MATCH(ML$3,'Standards for Conversions'!$A$47:$A$73,0))))</f>
        <v/>
      </c>
      <c r="MO90" s="42"/>
      <c r="MP90" s="45"/>
      <c r="MQ90" s="44"/>
      <c r="MR90" s="31" t="str">
        <f>IF(MQ90/(INDEX('Standards for Conversions'!$H$47:$H$73,MATCH(MP$3,'Standards for Conversions'!$A$47:$A$73,0)))=0,"",MQ90/(INDEX('Standards for Conversions'!$H$47:$H$73,MATCH(MP$3,'Standards for Conversions'!$A$47:$A$73,0))))</f>
        <v/>
      </c>
      <c r="MS90" s="42"/>
      <c r="MT90" s="45"/>
      <c r="MU90" s="44"/>
      <c r="MV90" s="43"/>
      <c r="MW90" s="44"/>
      <c r="MX90" s="43"/>
      <c r="MY90" s="44"/>
      <c r="MZ90" s="33"/>
      <c r="NE90" s="33"/>
    </row>
    <row r="91" spans="1:373" ht="15.6" hidden="1" x14ac:dyDescent="0.3">
      <c r="A91" s="103" t="s">
        <v>261</v>
      </c>
      <c r="B91" s="10" t="s">
        <v>39</v>
      </c>
      <c r="C91" s="3"/>
      <c r="D91" s="8"/>
      <c r="E91" s="31" t="str">
        <f>IF(D91/(INDEX('Standards for Conversions'!$H$34:$H$73,MATCH(C$3,'Standards for Conversions'!$A$34:$A$73,0)))=0,"",D91/(INDEX('Standards for Conversions'!$H$34:$H$73,MATCH(C$3,'Standards for Conversions'!$A$34:$A$73,0))))</f>
        <v/>
      </c>
      <c r="F91" s="10" t="s">
        <v>39</v>
      </c>
      <c r="G91" s="3"/>
      <c r="H91" s="8"/>
      <c r="I91" s="31" t="str">
        <f>IF(H91/(INDEX('Standards for Conversions'!$H$34:$H$73,MATCH(G$3,'Standards for Conversions'!$A$34:$A$73,0)))=0,"",H91/(INDEX('Standards for Conversions'!$H$34:$H$73,MATCH(G$3,'Standards for Conversions'!$A$34:$A$73,0))))</f>
        <v/>
      </c>
      <c r="J91" s="10" t="s">
        <v>39</v>
      </c>
      <c r="K91" s="9"/>
      <c r="L91" s="9"/>
      <c r="M91" s="31" t="str">
        <f>IF(L91/(INDEX('Standards for Conversions'!$H$34:$H$73,MATCH(K$3,'Standards for Conversions'!$A$34:$A$73,0)))=0,"",L91/(INDEX('Standards for Conversions'!$H$34:$H$73,MATCH(K$3,'Standards for Conversions'!$A$34:$A$73,0))))</f>
        <v/>
      </c>
      <c r="N91" s="10" t="s">
        <v>39</v>
      </c>
      <c r="O91" s="7"/>
      <c r="P91" s="7"/>
      <c r="Q91" s="31" t="str">
        <f>IF(P91/(INDEX('Standards for Conversions'!$H$34:$H$73,MATCH(O$3,'Standards for Conversions'!$A$34:$A$73,0)))=0,"",P91/(INDEX('Standards for Conversions'!$H$34:$H$73,MATCH(O$3,'Standards for Conversions'!$A$34:$A$73,0))))</f>
        <v/>
      </c>
      <c r="R91" s="10" t="s">
        <v>39</v>
      </c>
      <c r="S91" s="3"/>
      <c r="T91" s="8"/>
      <c r="U91" s="31" t="str">
        <f>IF(T91/(INDEX('Standards for Conversions'!$H$34:$H$73,MATCH(S$3,'Standards for Conversions'!$A$34:$A$73,0)))=0,"",T91/(INDEX('Standards for Conversions'!$H$34:$H$73,MATCH(S$3,'Standards for Conversions'!$A$34:$A$73,0))))</f>
        <v/>
      </c>
      <c r="V91" s="10" t="s">
        <v>39</v>
      </c>
      <c r="W91" s="3"/>
      <c r="X91" s="8"/>
      <c r="Y91" s="31" t="str">
        <f>IF(X91/(INDEX('Standards for Conversions'!$H$34:$H$73,MATCH(W$3,'Standards for Conversions'!$A$34:$A$73,0)))=0,"",X91/(INDEX('Standards for Conversions'!$H$34:$H$73,MATCH(W$3,'Standards for Conversions'!$A$34:$A$73,0))))</f>
        <v/>
      </c>
      <c r="Z91" s="10" t="s">
        <v>39</v>
      </c>
      <c r="AA91" s="9"/>
      <c r="AB91" s="9"/>
      <c r="AC91" s="31" t="str">
        <f>IF(AB91/(INDEX('Standards for Conversions'!$H$34:$H$73,MATCH(AA$3,'Standards for Conversions'!$A$34:$A$73,0)))=0,"",AB91/(INDEX('Standards for Conversions'!$H$34:$H$73,MATCH(AA$3,'Standards for Conversions'!$A$34:$A$73,0))))</f>
        <v/>
      </c>
      <c r="AD91" s="10" t="s">
        <v>39</v>
      </c>
      <c r="AE91" s="7"/>
      <c r="AF91" s="7"/>
      <c r="AG91" s="31" t="str">
        <f>IF(AF91/(INDEX('Standards for Conversions'!$H$34:$H$73,MATCH(AE$3,'Standards for Conversions'!$A$34:$A$73,0)))=0,"",AF91/(INDEX('Standards for Conversions'!$H$34:$H$73,MATCH(AE$3,'Standards for Conversions'!$A$34:$A$73,0))))</f>
        <v/>
      </c>
      <c r="AH91" s="10" t="s">
        <v>39</v>
      </c>
      <c r="AI91" s="3"/>
      <c r="AJ91" s="8"/>
      <c r="AK91" s="31" t="str">
        <f>IF(AJ91/(INDEX('Standards for Conversions'!$H$34:$H$73,MATCH(AI$3,'Standards for Conversions'!$A$34:$A$73,0)))=0,"",AJ91/(INDEX('Standards for Conversions'!$H$34:$H$73,MATCH(AI$3,'Standards for Conversions'!$A$34:$A$73,0))))</f>
        <v/>
      </c>
      <c r="AL91" s="10" t="s">
        <v>39</v>
      </c>
      <c r="AM91" s="3"/>
      <c r="AN91" s="8"/>
      <c r="AO91" s="31" t="str">
        <f>IF(AN91/(INDEX('Standards for Conversions'!$H$34:$H$73,MATCH(AM$3,'Standards for Conversions'!$A$34:$A$73,0)))=0,"",AN91/(INDEX('Standards for Conversions'!$H$34:$H$73,MATCH(AM$3,'Standards for Conversions'!$A$34:$A$73,0))))</f>
        <v/>
      </c>
      <c r="AP91" s="10" t="s">
        <v>39</v>
      </c>
      <c r="AQ91" s="9"/>
      <c r="AR91" s="9"/>
      <c r="AS91" s="31" t="str">
        <f>IF(AR91/(INDEX('Standards for Conversions'!$H$34:$H$73,MATCH(AQ$3,'Standards for Conversions'!$A$34:$A$73,0)))=0,"",AR91/(INDEX('Standards for Conversions'!$H$34:$H$73,MATCH(AQ$3,'Standards for Conversions'!$A$34:$A$73,0))))</f>
        <v/>
      </c>
      <c r="AT91" s="10" t="s">
        <v>39</v>
      </c>
      <c r="AU91" s="7"/>
      <c r="AV91" s="7"/>
      <c r="AW91" s="31" t="str">
        <f>IF(AV91/(INDEX('Standards for Conversions'!$H$34:$H$73,MATCH(AU$3,'Standards for Conversions'!$A$34:$A$73,0)))=0,"",AV91/(INDEX('Standards for Conversions'!$H$34:$H$73,MATCH(AU$3,'Standards for Conversions'!$A$34:$A$73,0))))</f>
        <v/>
      </c>
      <c r="AX91" s="10" t="s">
        <v>39</v>
      </c>
      <c r="AY91" s="3"/>
      <c r="AZ91" s="8"/>
      <c r="BA91" s="31" t="str">
        <f>IF(AZ91/(INDEX('Standards for Conversions'!$H$34:$H$73,MATCH(AY$3,'Standards for Conversions'!$A$34:$A$73,0)))=0,"",AZ91/(INDEX('Standards for Conversions'!$H$34:$H$73,MATCH(AY$3,'Standards for Conversions'!$A$34:$A$73,0))))</f>
        <v/>
      </c>
      <c r="BB91" s="10" t="s">
        <v>39</v>
      </c>
      <c r="BC91" s="3"/>
      <c r="BD91" s="8"/>
      <c r="BE91" s="31" t="str">
        <f>IF(BD91/(INDEX('Standards for Conversions'!$H$34:$H$73,MATCH(BC$3,'Standards for Conversions'!$A$34:$A$73,0)))=0,"",BD91/(INDEX('Standards for Conversions'!$H$34:$H$73,MATCH(BC$3,'Standards for Conversions'!$A$34:$A$73,0))))</f>
        <v/>
      </c>
      <c r="BF91" s="10" t="s">
        <v>39</v>
      </c>
      <c r="BG91" s="9"/>
      <c r="BH91" s="9"/>
      <c r="BI91" s="31" t="str">
        <f>IF(BH91/(INDEX('Standards for Conversions'!$H$34:$H$73,MATCH(BG$3,'Standards for Conversions'!$A$34:$A$73,0)))=0,"",BH91/(INDEX('Standards for Conversions'!$H$34:$H$73,MATCH(BG$3,'Standards for Conversions'!$A$34:$A$73,0))))</f>
        <v/>
      </c>
      <c r="BJ91" s="10" t="s">
        <v>39</v>
      </c>
      <c r="BK91" s="7"/>
      <c r="BL91" s="7"/>
      <c r="BM91" s="31" t="str">
        <f>IF(BL91/(INDEX('Standards for Conversions'!$H$34:$H$73,MATCH(BK$3,'Standards for Conversions'!$A$34:$A$73,0)))=0,"",BL91/(INDEX('Standards for Conversions'!$H$34:$H$73,MATCH(BK$3,'Standards for Conversions'!$A$34:$A$73,0))))</f>
        <v/>
      </c>
      <c r="BN91" s="10" t="s">
        <v>39</v>
      </c>
      <c r="BO91" s="3"/>
      <c r="BP91" s="8"/>
      <c r="BQ91" s="31" t="str">
        <f>IF(BP91/(INDEX('Standards for Conversions'!$H$34:$H$73,MATCH(BO$3,'Standards for Conversions'!$A$34:$A$73,0)))=0,"",BP91/(INDEX('Standards for Conversions'!$H$34:$H$73,MATCH(BO$3,'Standards for Conversions'!$A$34:$A$73,0))))</f>
        <v/>
      </c>
      <c r="BR91" s="10" t="s">
        <v>39</v>
      </c>
      <c r="BS91" s="3"/>
      <c r="BT91" s="8"/>
      <c r="BU91" s="31" t="str">
        <f>IF(BT91/(INDEX('Standards for Conversions'!$H$34:$H$73,MATCH(BS$3,'Standards for Conversions'!$A$34:$A$73,0)))=0,"",BT91/(INDEX('Standards for Conversions'!$H$34:$H$73,MATCH(BS$3,'Standards for Conversions'!$A$34:$A$73,0))))</f>
        <v/>
      </c>
      <c r="BV91" s="10" t="s">
        <v>39</v>
      </c>
      <c r="BW91" s="9"/>
      <c r="BX91" s="9"/>
      <c r="BY91" s="31" t="str">
        <f>IF(BX91/(INDEX('Standards for Conversions'!$H$34:$H$73,MATCH(BW$3,'Standards for Conversions'!$A$34:$A$73,0)))=0,"",BX91/(INDEX('Standards for Conversions'!$H$34:$H$73,MATCH(BW$3,'Standards for Conversions'!$A$34:$A$73,0))))</f>
        <v/>
      </c>
      <c r="BZ91" s="10" t="s">
        <v>39</v>
      </c>
      <c r="CA91" s="7"/>
      <c r="CB91" s="7"/>
      <c r="CC91" s="31" t="str">
        <f>IF(CB91/(INDEX('Standards for Conversions'!$H$34:$H$73,MATCH(CA$3,'Standards for Conversions'!$A$34:$A$73,0)))=0,"",CB91/(INDEX('Standards for Conversions'!$H$34:$H$73,MATCH(CA$3,'Standards for Conversions'!$A$34:$A$73,0))))</f>
        <v/>
      </c>
      <c r="CD91" s="10" t="s">
        <v>39</v>
      </c>
      <c r="CE91" s="3"/>
      <c r="CF91" s="8"/>
      <c r="CG91" s="31" t="str">
        <f>IF(CF91/(INDEX('Standards for Conversions'!$H$34:$H$73,MATCH(CE$3,'Standards for Conversions'!$A$34:$A$73,0)))=0,"",CF91/(INDEX('Standards for Conversions'!$H$34:$H$73,MATCH(CE$3,'Standards for Conversions'!$A$34:$A$73,0))))</f>
        <v/>
      </c>
      <c r="CH91" s="10" t="s">
        <v>39</v>
      </c>
      <c r="CI91" s="3"/>
      <c r="CJ91" s="8"/>
      <c r="CK91" s="31" t="str">
        <f>IF(CJ91/(INDEX('Standards for Conversions'!$H$34:$H$73,MATCH(CI$3,'Standards for Conversions'!$A$34:$A$73,0)))=0,"",CJ91/(INDEX('Standards for Conversions'!$H$34:$H$73,MATCH(CI$3,'Standards for Conversions'!$A$34:$A$73,0))))</f>
        <v/>
      </c>
      <c r="CL91" s="10" t="s">
        <v>39</v>
      </c>
      <c r="CM91" s="9"/>
      <c r="CN91" s="9"/>
      <c r="CO91" s="31" t="str">
        <f>IF(CN91/(INDEX('Standards for Conversions'!$H$34:$H$73,MATCH(CM$3,'Standards for Conversions'!$A$34:$A$73,0)))=0,"",CN91/(INDEX('Standards for Conversions'!$H$34:$H$73,MATCH(CM$3,'Standards for Conversions'!$A$34:$A$73,0))))</f>
        <v/>
      </c>
      <c r="CP91" s="10" t="s">
        <v>39</v>
      </c>
      <c r="CQ91" s="7"/>
      <c r="CR91" s="7"/>
      <c r="CS91" s="31" t="str">
        <f>IF(CR91/(INDEX('Standards for Conversions'!$H$34:$H$73,MATCH(CQ$3,'Standards for Conversions'!$A$34:$A$73,0)))=0,"",CR91/(INDEX('Standards for Conversions'!$H$34:$H$73,MATCH(CQ$3,'Standards for Conversions'!$A$34:$A$73,0))))</f>
        <v/>
      </c>
      <c r="CT91" s="10" t="s">
        <v>39</v>
      </c>
      <c r="CU91" s="3"/>
      <c r="CV91" s="8"/>
      <c r="CW91" s="31" t="str">
        <f>IF(CV91/(INDEX('Standards for Conversions'!$H$34:$H$73,MATCH(CU$3,'Standards for Conversions'!$A$34:$A$73,0)))=0,"",CV91/(INDEX('Standards for Conversions'!$H$34:$H$73,MATCH(CU$3,'Standards for Conversions'!$A$34:$A$73,0))))</f>
        <v/>
      </c>
      <c r="CX91" s="10" t="s">
        <v>39</v>
      </c>
      <c r="CY91" s="3"/>
      <c r="CZ91" s="8"/>
      <c r="DA91" s="31" t="str">
        <f>IF(CZ91/(INDEX('Standards for Conversions'!$H$34:$H$73,MATCH(CY$3,'Standards for Conversions'!$A$34:$A$73,0)))=0,"",CZ91/(INDEX('Standards for Conversions'!$H$34:$H$73,MATCH(CY$3,'Standards for Conversions'!$A$34:$A$73,0))))</f>
        <v/>
      </c>
      <c r="DB91" s="10" t="s">
        <v>39</v>
      </c>
      <c r="DC91" s="9"/>
      <c r="DD91" s="9"/>
      <c r="DE91" s="31" t="str">
        <f>IF(DD91/(INDEX('Standards for Conversions'!$H$34:$H$73,MATCH(DC$3,'Standards for Conversions'!$A$34:$A$73,0)))=0,"",DD91/(INDEX('Standards for Conversions'!$H$34:$H$73,MATCH(DC$3,'Standards for Conversions'!$A$34:$A$73,0))))</f>
        <v/>
      </c>
      <c r="DF91" s="10" t="s">
        <v>39</v>
      </c>
      <c r="DG91" s="7"/>
      <c r="DH91" s="7"/>
      <c r="DI91" s="31" t="str">
        <f>IF(DH91/(INDEX('Standards for Conversions'!$H$34:$H$73,MATCH(DG$3,'Standards for Conversions'!$A$34:$A$73,0)))=0,"",DH91/(INDEX('Standards for Conversions'!$H$34:$H$73,MATCH(DG$3,'Standards for Conversions'!$A$34:$A$73,0))))</f>
        <v/>
      </c>
      <c r="DJ91" s="10" t="s">
        <v>39</v>
      </c>
      <c r="DK91" s="3"/>
      <c r="DL91" s="8"/>
      <c r="DM91" s="31" t="str">
        <f>IF(DL91/(INDEX('Standards for Conversions'!$H$34:$H$73,MATCH(DK$3,'Standards for Conversions'!$A$34:$A$73,0)))=0,"",DL91/(INDEX('Standards for Conversions'!$H$34:$H$73,MATCH(DK$3,'Standards for Conversions'!$A$34:$A$73,0))))</f>
        <v/>
      </c>
      <c r="DN91" s="10" t="s">
        <v>39</v>
      </c>
      <c r="DO91" s="3"/>
      <c r="DP91" s="8"/>
      <c r="DQ91" s="31" t="str">
        <f>IF(DP91/(INDEX('Standards for Conversions'!$H$34:$H$73,MATCH(DO$3,'Standards for Conversions'!$A$34:$A$73,0)))=0,"",DP91/(INDEX('Standards for Conversions'!$H$34:$H$73,MATCH(DO$3,'Standards for Conversions'!$A$34:$A$73,0))))</f>
        <v/>
      </c>
      <c r="DR91" s="10" t="s">
        <v>39</v>
      </c>
      <c r="DS91" s="9"/>
      <c r="DT91" s="9"/>
      <c r="DU91" s="31" t="str">
        <f>IF(DT91/(INDEX('Standards for Conversions'!$H$34:$H$73,MATCH(DS$3,'Standards for Conversions'!$A$34:$A$73,0)))=0,"",DT91/(INDEX('Standards for Conversions'!$H$34:$H$73,MATCH(DS$3,'Standards for Conversions'!$A$34:$A$73,0))))</f>
        <v/>
      </c>
      <c r="DV91" s="10" t="s">
        <v>39</v>
      </c>
      <c r="DW91" s="7"/>
      <c r="DX91" s="7"/>
      <c r="DY91" s="31" t="str">
        <f>IF(DX91/(INDEX('Standards for Conversions'!$H$34:$H$73,MATCH(DW$3,'Standards for Conversions'!$A$34:$A$73,0)))=0,"",DX91/(INDEX('Standards for Conversions'!$H$34:$H$73,MATCH(DW$3,'Standards for Conversions'!$A$34:$A$73,0))))</f>
        <v/>
      </c>
      <c r="DZ91" s="10" t="s">
        <v>39</v>
      </c>
      <c r="EA91" s="3"/>
      <c r="EB91" s="8"/>
      <c r="EC91" s="31" t="str">
        <f>IF(EB91/(INDEX('Standards for Conversions'!$H$34:$H$73,MATCH(EA$3,'Standards for Conversions'!$A$34:$A$73,0)))=0,"",EB91/(INDEX('Standards for Conversions'!$H$34:$H$73,MATCH(EA$3,'Standards for Conversions'!$A$34:$A$73,0))))</f>
        <v/>
      </c>
      <c r="ED91" s="10" t="s">
        <v>39</v>
      </c>
      <c r="EE91" s="3"/>
      <c r="EF91" s="8"/>
      <c r="EG91" s="31" t="str">
        <f>IF(EF91/(INDEX('Standards for Conversions'!$H$34:$H$73,MATCH(EE$3,'Standards for Conversions'!$A$34:$A$73,0)))=0,"",EF91/(INDEX('Standards for Conversions'!$H$34:$H$73,MATCH(EE$3,'Standards for Conversions'!$A$34:$A$73,0))))</f>
        <v/>
      </c>
      <c r="EH91" s="10" t="s">
        <v>39</v>
      </c>
      <c r="EI91" s="9"/>
      <c r="EJ91" s="9"/>
      <c r="EK91" s="31" t="str">
        <f>IF(EJ91/(INDEX('Standards for Conversions'!$H$34:$H$73,MATCH(EI$3,'Standards for Conversions'!$A$34:$A$73,0)))=0,"",EJ91/(INDEX('Standards for Conversions'!$H$34:$H$73,MATCH(EI$3,'Standards for Conversions'!$A$34:$A$73,0))))</f>
        <v/>
      </c>
      <c r="EL91" s="10" t="s">
        <v>39</v>
      </c>
      <c r="EM91" s="7"/>
      <c r="EN91" s="7"/>
      <c r="EO91" s="31" t="str">
        <f>IF(EN91/(INDEX('Standards for Conversions'!$H$34:$H$73,MATCH(EM$3,'Standards for Conversions'!$A$34:$A$73,0)))=0,"",EN91/(INDEX('Standards for Conversions'!$H$34:$H$73,MATCH(EM$3,'Standards for Conversions'!$A$34:$A$73,0))))</f>
        <v/>
      </c>
      <c r="EP91" s="10" t="s">
        <v>39</v>
      </c>
      <c r="EQ91" s="3"/>
      <c r="ER91" s="8"/>
      <c r="ES91" s="31" t="str">
        <f>IF(ER91/(INDEX('Standards for Conversions'!$H$34:$H$73,MATCH(EQ$3,'Standards for Conversions'!$A$34:$A$73,0)))=0,"",ER91/(INDEX('Standards for Conversions'!$H$34:$H$73,MATCH(EQ$3,'Standards for Conversions'!$A$34:$A$73,0))))</f>
        <v/>
      </c>
      <c r="ET91" s="10" t="s">
        <v>39</v>
      </c>
      <c r="EU91" s="3"/>
      <c r="EV91" s="8"/>
      <c r="EW91" s="31" t="str">
        <f>IF(EV91/(INDEX('Standards for Conversions'!$H$34:$H$73,MATCH(EU$3,'Standards for Conversions'!$A$34:$A$73,0)))=0,"",EV91/(INDEX('Standards for Conversions'!$H$34:$H$73,MATCH(EU$3,'Standards for Conversions'!$A$34:$A$73,0))))</f>
        <v/>
      </c>
      <c r="EX91" s="10" t="s">
        <v>39</v>
      </c>
      <c r="EY91" s="9"/>
      <c r="EZ91" s="9"/>
      <c r="FA91" s="31" t="str">
        <f>IF(EZ91/(INDEX('Standards for Conversions'!$H$34:$H$73,MATCH(EY$3,'Standards for Conversions'!$A$34:$A$73,0)))=0,"",EZ91/(INDEX('Standards for Conversions'!$H$34:$H$73,MATCH(EY$3,'Standards for Conversions'!$A$34:$A$73,0))))</f>
        <v/>
      </c>
      <c r="FB91" s="10" t="s">
        <v>39</v>
      </c>
      <c r="FC91" s="7"/>
      <c r="FD91" s="7"/>
      <c r="FE91" s="31" t="str">
        <f>IF(FD91/(INDEX('Standards for Conversions'!$H$34:$H$73,MATCH(FC$3,'Standards for Conversions'!$A$34:$A$73,0)))=0,"",FD91/(INDEX('Standards for Conversions'!$H$34:$H$73,MATCH(FC$3,'Standards for Conversions'!$A$34:$A$73,0))))</f>
        <v/>
      </c>
      <c r="FF91" s="10" t="s">
        <v>39</v>
      </c>
      <c r="FG91" s="3"/>
      <c r="FH91" s="8"/>
      <c r="FI91" s="31" t="str">
        <f>IF(FH91/(INDEX('Standards for Conversions'!$H$34:$H$73,MATCH(FG$3,'Standards for Conversions'!$A$34:$A$73,0)))=0,"",FH91/(INDEX('Standards for Conversions'!$H$34:$H$73,MATCH(FG$3,'Standards for Conversions'!$A$34:$A$73,0))))</f>
        <v/>
      </c>
      <c r="FJ91" s="10" t="s">
        <v>39</v>
      </c>
      <c r="FK91" s="3"/>
      <c r="FL91" s="8"/>
      <c r="FM91" s="31" t="str">
        <f>IF(FL91/(INDEX('Standards for Conversions'!$H$34:$H$73,MATCH(FK$3,'Standards for Conversions'!$A$34:$A$73,0)))=0,"",FL91/(INDEX('Standards for Conversions'!$H$34:$H$73,MATCH(FK$3,'Standards for Conversions'!$A$34:$A$73,0))))</f>
        <v/>
      </c>
      <c r="FN91" s="10" t="s">
        <v>39</v>
      </c>
      <c r="FO91" s="9"/>
      <c r="FP91" s="9"/>
      <c r="FQ91" s="31" t="str">
        <f>IF(FP91/(INDEX('Standards for Conversions'!$H$34:$H$73,MATCH(FO$3,'Standards for Conversions'!$A$34:$A$73,0)))=0,"",FP91/(INDEX('Standards for Conversions'!$H$34:$H$73,MATCH(FO$3,'Standards for Conversions'!$A$34:$A$73,0))))</f>
        <v/>
      </c>
      <c r="FR91" s="10" t="s">
        <v>39</v>
      </c>
      <c r="FS91" s="7"/>
      <c r="FT91" s="7"/>
      <c r="FU91" s="31" t="str">
        <f>IF(FT91/(INDEX('Standards for Conversions'!$H$34:$H$73,MATCH(FS$3,'Standards for Conversions'!$A$34:$A$73,0)))=0,"",FT91/(INDEX('Standards for Conversions'!$H$34:$H$73,MATCH(FS$3,'Standards for Conversions'!$A$34:$A$73,0))))</f>
        <v/>
      </c>
      <c r="FV91" s="10" t="s">
        <v>39</v>
      </c>
      <c r="FW91" s="3"/>
      <c r="FX91" s="8"/>
      <c r="FY91" s="31" t="str">
        <f>IF(FX91/(INDEX('Standards for Conversions'!$H$34:$H$73,MATCH(FW$3,'Standards for Conversions'!$A$34:$A$73,0)))=0,"",FX91/(INDEX('Standards for Conversions'!$H$34:$H$73,MATCH(FW$3,'Standards for Conversions'!$A$34:$A$73,0))))</f>
        <v/>
      </c>
      <c r="FZ91" s="10" t="s">
        <v>39</v>
      </c>
      <c r="GA91" s="3"/>
      <c r="GB91" s="8"/>
      <c r="GC91" s="31" t="str">
        <f>IF(GB91/(INDEX('Standards for Conversions'!$H$34:$H$73,MATCH(GA$3,'Standards for Conversions'!$A$34:$A$73,0)))=0,"",GB91/(INDEX('Standards for Conversions'!$H$34:$H$73,MATCH(GA$3,'Standards for Conversions'!$A$34:$A$73,0))))</f>
        <v/>
      </c>
      <c r="GD91" s="10" t="s">
        <v>39</v>
      </c>
      <c r="GE91" s="9"/>
      <c r="GF91" s="9"/>
      <c r="GG91" s="31" t="str">
        <f>IF(GF91/(INDEX('Standards for Conversions'!$H$34:$H$73,MATCH(GE$3,'Standards for Conversions'!$A$34:$A$73,0)))=0,"",GF91/(INDEX('Standards for Conversions'!$H$34:$H$73,MATCH(GE$3,'Standards for Conversions'!$A$34:$A$73,0))))</f>
        <v/>
      </c>
      <c r="GH91" s="10" t="s">
        <v>39</v>
      </c>
      <c r="GI91" s="7"/>
      <c r="GJ91" s="7"/>
      <c r="GK91" s="31" t="str">
        <f>IF(GJ91/(INDEX('Standards for Conversions'!$H$34:$H$73,MATCH(GI$3,'Standards for Conversions'!$A$34:$A$73,0)))=0,"",GJ91/(INDEX('Standards for Conversions'!$H$34:$H$73,MATCH(GI$3,'Standards for Conversions'!$A$34:$A$73,0))))</f>
        <v/>
      </c>
      <c r="GL91" s="10" t="s">
        <v>39</v>
      </c>
      <c r="GM91" s="3"/>
      <c r="GN91" s="8"/>
      <c r="GO91" s="31" t="str">
        <f>IF(GN91/(INDEX('Standards for Conversions'!$H$34:$H$73,MATCH(GM$3,'Standards for Conversions'!$A$34:$A$73,0)))=0,"",GN91/(INDEX('Standards for Conversions'!$H$34:$H$73,MATCH(GM$3,'Standards for Conversions'!$A$34:$A$73,0))))</f>
        <v/>
      </c>
      <c r="GP91" s="10" t="s">
        <v>39</v>
      </c>
      <c r="GQ91" s="3"/>
      <c r="GR91" s="8"/>
      <c r="GS91" s="31" t="str">
        <f>IF(GR91/(INDEX('Standards for Conversions'!$H$34:$H$73,MATCH(GQ$3,'Standards for Conversions'!$A$34:$A$73,0)))=0,"",GR91/(INDEX('Standards for Conversions'!$H$34:$H$73,MATCH(GQ$3,'Standards for Conversions'!$A$34:$A$73,0))))</f>
        <v/>
      </c>
      <c r="GT91" s="10" t="s">
        <v>39</v>
      </c>
      <c r="GU91" s="9"/>
      <c r="GV91" s="9"/>
      <c r="GW91" s="31" t="str">
        <f>IF(GV91/(INDEX('Standards for Conversions'!$H$34:$H$73,MATCH(GU$3,'Standards for Conversions'!$A$34:$A$73,0)))=0,"",GV91/(INDEX('Standards for Conversions'!$H$34:$H$73,MATCH(GU$3,'Standards for Conversions'!$A$34:$A$73,0))))</f>
        <v/>
      </c>
      <c r="GX91" s="10" t="s">
        <v>39</v>
      </c>
      <c r="GY91" s="7"/>
      <c r="GZ91" s="7"/>
      <c r="HA91" s="31" t="str">
        <f>IF(GZ91/(INDEX('Standards for Conversions'!$H$34:$H$73,MATCH(GY$3,'Standards for Conversions'!$A$34:$A$73,0)))=0,"",GZ91/(INDEX('Standards for Conversions'!$H$34:$H$73,MATCH(GY$3,'Standards for Conversions'!$A$34:$A$73,0))))</f>
        <v/>
      </c>
      <c r="HB91" s="10" t="s">
        <v>39</v>
      </c>
      <c r="HC91" s="3"/>
      <c r="HD91" s="8"/>
      <c r="HE91" s="31" t="str">
        <f>IF(HD91/(INDEX('Standards for Conversions'!$H$34:$H$73,MATCH(HC$3,'Standards for Conversions'!$A$34:$A$73,0)))=0,"",HD91/(INDEX('Standards for Conversions'!$H$34:$H$73,MATCH(HC$3,'Standards for Conversions'!$A$34:$A$73,0))))</f>
        <v/>
      </c>
      <c r="HF91" s="10" t="s">
        <v>39</v>
      </c>
      <c r="HG91" s="3"/>
      <c r="HH91" s="8"/>
      <c r="HI91" s="31" t="str">
        <f>IF(HH91/(INDEX('Standards for Conversions'!$H$34:$H$73,MATCH(HG$3,'Standards for Conversions'!$A$34:$A$73,0)))=0,"",HH91/(INDEX('Standards for Conversions'!$H$34:$H$73,MATCH(HG$3,'Standards for Conversions'!$A$34:$A$73,0))))</f>
        <v/>
      </c>
      <c r="HJ91" s="10" t="s">
        <v>39</v>
      </c>
      <c r="HK91" s="9"/>
      <c r="HL91" s="9"/>
      <c r="HM91" s="31" t="str">
        <f>IF(HL91/(INDEX('Standards for Conversions'!$H$34:$H$73,MATCH(HK$3,'Standards for Conversions'!$A$34:$A$73,0)))=0,"",HL91/(INDEX('Standards for Conversions'!$H$34:$H$73,MATCH(HK$3,'Standards for Conversions'!$A$34:$A$73,0))))</f>
        <v/>
      </c>
      <c r="HN91" s="10" t="s">
        <v>39</v>
      </c>
      <c r="HO91" s="7"/>
      <c r="HP91" s="7"/>
      <c r="HQ91" s="31" t="str">
        <f>IF(HP91/(INDEX('Standards for Conversions'!$H$34:$H$73,MATCH(HO$3,'Standards for Conversions'!$A$34:$A$73,0)))=0,"",HP91/(INDEX('Standards for Conversions'!$H$34:$H$73,MATCH(HO$3,'Standards for Conversions'!$A$34:$A$73,0))))</f>
        <v/>
      </c>
      <c r="HR91" s="33" t="s">
        <v>39</v>
      </c>
      <c r="HS91" s="43"/>
      <c r="HT91" s="44"/>
      <c r="HU91" s="31" t="str">
        <f>IF(HT91/(INDEX('Standards for Conversions'!$H$47:$H$73,MATCH(HS$3,'Standards for Conversions'!$A$47:$A$73,0)))=0,"",HT91/(INDEX('Standards for Conversions'!$H$47:$H$73,MATCH(HS$3,'Standards for Conversions'!$A$47:$A$73,0))))</f>
        <v/>
      </c>
      <c r="HV91" s="33" t="s">
        <v>39</v>
      </c>
      <c r="HW91" s="43"/>
      <c r="HX91" s="44"/>
      <c r="HY91" s="31" t="str">
        <f>IF(HX91/(INDEX('Standards for Conversions'!$H$47:$H$73,MATCH(HW$3,'Standards for Conversions'!$A$47:$A$73,0)))=0,"",HX91/(INDEX('Standards for Conversions'!$H$47:$H$73,MATCH(HW$3,'Standards for Conversions'!$A$47:$A$73,0))))</f>
        <v/>
      </c>
      <c r="HZ91" s="33"/>
      <c r="IA91" s="33"/>
      <c r="IB91" s="31" t="str">
        <f>IF(IA91/(INDEX('Standards for Conversions'!$H$47:$H$73,MATCH(HZ$3,'Standards for Conversions'!$A$47:$A$73,0)))=0,"",IA91/(INDEX('Standards for Conversions'!$H$47:$H$73,MATCH(HZ$3,'Standards for Conversions'!$A$47:$A$73,0))))</f>
        <v/>
      </c>
      <c r="IC91" s="33" t="s">
        <v>39</v>
      </c>
      <c r="ID91" s="29">
        <v>170</v>
      </c>
      <c r="IE91" s="29">
        <v>1000</v>
      </c>
      <c r="IF91" s="31">
        <f>IF(IE91/(INDEX('Standards for Conversions'!$H$47:$H$73,MATCH(ID$3,'Standards for Conversions'!$A$47:$A$73,0)))=0,"",IE91/(INDEX('Standards for Conversions'!$H$47:$H$73,MATCH(ID$3,'Standards for Conversions'!$A$47:$A$73,0))))</f>
        <v>145.24541221285597</v>
      </c>
      <c r="IG91" s="33" t="s">
        <v>39</v>
      </c>
      <c r="IH91" s="43"/>
      <c r="II91" s="44"/>
      <c r="IJ91" s="31" t="str">
        <f>IF(II91/(INDEX('Standards for Conversions'!$H$47:$H$73,MATCH(IH$3,'Standards for Conversions'!$A$47:$A$73,0)))=0,"",II91/(INDEX('Standards for Conversions'!$H$47:$H$73,MATCH(IH$3,'Standards for Conversions'!$A$47:$A$73,0))))</f>
        <v/>
      </c>
      <c r="IK91" s="33" t="s">
        <v>39</v>
      </c>
      <c r="IL91" s="43"/>
      <c r="IM91" s="44"/>
      <c r="IN91" s="31" t="str">
        <f>IF(IM91/(INDEX('Standards for Conversions'!$H$47:$H$73,MATCH(IL$3,'Standards for Conversions'!$A$47:$A$73,0)))=0,"",IM91/(INDEX('Standards for Conversions'!$H$47:$H$73,MATCH(IL$3,'Standards for Conversions'!$A$47:$A$73,0))))</f>
        <v/>
      </c>
      <c r="IO91" s="33" t="s">
        <v>39</v>
      </c>
      <c r="IP91" s="43"/>
      <c r="IQ91" s="44"/>
      <c r="IR91" s="31" t="str">
        <f>IF(IQ91/(INDEX('Standards for Conversions'!$H$47:$H$73,MATCH(IP$3,'Standards for Conversions'!$A$47:$A$73,0)))=0,"",IQ91/(INDEX('Standards for Conversions'!$H$47:$H$73,MATCH(IP$3,'Standards for Conversions'!$A$47:$A$73,0))))</f>
        <v/>
      </c>
      <c r="IS91" s="33" t="s">
        <v>39</v>
      </c>
      <c r="IT91" s="43">
        <v>164</v>
      </c>
      <c r="IU91" s="44">
        <v>1221</v>
      </c>
      <c r="IV91" s="31">
        <f>IF(IU91/(INDEX('Standards for Conversions'!$H$47:$H$73,MATCH(IT$3,'Standards for Conversions'!$A$47:$A$73,0)))=0,"",IU91/(INDEX('Standards for Conversions'!$H$47:$H$73,MATCH(IT$3,'Standards for Conversions'!$A$47:$A$73,0))))</f>
        <v>176.56908862540192</v>
      </c>
      <c r="IW91" s="33" t="s">
        <v>39</v>
      </c>
      <c r="IZ91" s="31" t="str">
        <f>IF(IY91/(INDEX('Standards for Conversions'!$H$47:$H$73,MATCH(IX$3,'Standards for Conversions'!$A$47:$A$73,0)))=0,"",IY91/(INDEX('Standards for Conversions'!$H$47:$H$73,MATCH(IX$3,'Standards for Conversions'!$A$47:$A$73,0))))</f>
        <v/>
      </c>
      <c r="JA91" s="33" t="s">
        <v>39</v>
      </c>
      <c r="JD91" s="31" t="str">
        <f>IF(JC91/(INDEX('Standards for Conversions'!$H$47:$H$73,MATCH(JB$3,'Standards for Conversions'!$A$47:$A$73,0)))=0,"",JC91/(INDEX('Standards for Conversions'!$H$47:$H$73,MATCH(JB$3,'Standards for Conversions'!$A$47:$A$73,0))))</f>
        <v/>
      </c>
      <c r="JE91" s="33" t="s">
        <v>39</v>
      </c>
      <c r="JH91" s="31" t="str">
        <f>IF(JG91/(INDEX('Standards for Conversions'!$H$47:$H$73,MATCH(JF$3,'Standards for Conversions'!$A$47:$A$73,0)))=0,"",JG91/(INDEX('Standards for Conversions'!$H$47:$H$73,MATCH(JF$3,'Standards for Conversions'!$A$47:$A$73,0))))</f>
        <v/>
      </c>
      <c r="JI91" s="48" t="s">
        <v>39</v>
      </c>
      <c r="JJ91" s="43">
        <v>307</v>
      </c>
      <c r="JK91" s="44">
        <v>650</v>
      </c>
      <c r="JL91" s="31">
        <f>IF(JK91/(INDEX('Standards for Conversions'!$H$47:$H$73,MATCH(JJ$3,'Standards for Conversions'!$A$47:$A$73,0)))=0,"",JK91/(INDEX('Standards for Conversions'!$H$47:$H$73,MATCH(JJ$3,'Standards for Conversions'!$A$47:$A$73,0))))</f>
        <v>105.14412784971465</v>
      </c>
      <c r="JM91" s="33" t="s">
        <v>39</v>
      </c>
      <c r="JP91" s="31" t="str">
        <f>IF(JO91/(INDEX('Standards for Conversions'!$H$47:$H$73,MATCH(JN$3,'Standards for Conversions'!$A$47:$A$73,0)))=0,"",JO91/(INDEX('Standards for Conversions'!$H$47:$H$73,MATCH(JN$3,'Standards for Conversions'!$A$47:$A$73,0))))</f>
        <v/>
      </c>
      <c r="JQ91" s="33" t="s">
        <v>39</v>
      </c>
      <c r="JT91" s="31" t="str">
        <f>IF(JS91/(INDEX('Standards for Conversions'!$H$47:$H$73,MATCH(JR$3,'Standards for Conversions'!$A$47:$A$73,0)))=0,"",JS91/(INDEX('Standards for Conversions'!$H$47:$H$73,MATCH(JR$3,'Standards for Conversions'!$A$47:$A$73,0))))</f>
        <v/>
      </c>
      <c r="JU91" s="33" t="s">
        <v>39</v>
      </c>
      <c r="JV91" s="43"/>
      <c r="JW91" s="44"/>
      <c r="JX91" s="31" t="str">
        <f>IF(JW91/(INDEX('Standards for Conversions'!$H$47:$H$73,MATCH(JV$3,'Standards for Conversions'!$A$47:$A$73,0)))=0,"",JW91/(INDEX('Standards for Conversions'!$H$47:$H$73,MATCH(JV$3,'Standards for Conversions'!$A$47:$A$73,0))))</f>
        <v/>
      </c>
      <c r="JY91" s="48" t="s">
        <v>39</v>
      </c>
      <c r="JZ91" s="43">
        <v>300</v>
      </c>
      <c r="KA91" s="44">
        <v>600</v>
      </c>
      <c r="KB91" s="31">
        <f>IF(KA91/(INDEX('Standards for Conversions'!$H$47:$H$73,MATCH(JZ$3,'Standards for Conversions'!$A$47:$A$73,0)))=0,"",KA91/(INDEX('Standards for Conversions'!$H$47:$H$73,MATCH(JZ$3,'Standards for Conversions'!$A$47:$A$73,0))))</f>
        <v>91.593535456678538</v>
      </c>
      <c r="KC91" s="33" t="s">
        <v>38</v>
      </c>
      <c r="KF91" s="31" t="str">
        <f>IF(KE91/(INDEX('Standards for Conversions'!$H$47:$H$73,MATCH(KD$3,'Standards for Conversions'!$A$47:$A$73,0)))=0,"",KE91/(INDEX('Standards for Conversions'!$H$47:$H$73,MATCH(KD$3,'Standards for Conversions'!$A$47:$A$73,0))))</f>
        <v/>
      </c>
      <c r="KG91" s="33" t="s">
        <v>38</v>
      </c>
      <c r="KJ91" s="31" t="str">
        <f>IF(KI91/(INDEX('Standards for Conversions'!$H$47:$H$73,MATCH(KH$3,'Standards for Conversions'!$A$47:$A$73,0)))=0,"",KI91/(INDEX('Standards for Conversions'!$H$47:$H$73,MATCH(KH$3,'Standards for Conversions'!$A$47:$A$73,0))))</f>
        <v/>
      </c>
      <c r="KK91" s="33" t="s">
        <v>38</v>
      </c>
      <c r="KL91" s="43"/>
      <c r="KM91" s="44"/>
      <c r="KN91" s="31" t="str">
        <f>IF(KM91/(INDEX('Standards for Conversions'!$H$47:$H$73,MATCH(KL$3,'Standards for Conversions'!$A$47:$A$73,0)))=0,"",KM91/(INDEX('Standards for Conversions'!$H$47:$H$73,MATCH(KL$3,'Standards for Conversions'!$A$47:$A$73,0))))</f>
        <v/>
      </c>
      <c r="KO91" s="48" t="s">
        <v>38</v>
      </c>
      <c r="KP91" s="43">
        <v>13</v>
      </c>
      <c r="KQ91" s="44">
        <v>80</v>
      </c>
      <c r="KR91" s="31">
        <f>IF(KQ91/(INDEX('Standards for Conversions'!$H$47:$H$73,MATCH(KP$3,'Standards for Conversions'!$A$47:$A$73,0)))=0,"",KQ91/(INDEX('Standards for Conversions'!$H$47:$H$73,MATCH(KP$3,'Standards for Conversions'!$A$47:$A$73,0))))</f>
        <v>10.772720952463716</v>
      </c>
      <c r="KS91" s="33" t="s">
        <v>39</v>
      </c>
      <c r="KV91" s="31" t="str">
        <f>IF(KU91/(INDEX('Standards for Conversions'!$H$47:$H$73,MATCH(KT$3,'Standards for Conversions'!$A$47:$A$73,0)))=0,"",KU91/(INDEX('Standards for Conversions'!$H$47:$H$73,MATCH(KT$3,'Standards for Conversions'!$A$47:$A$73,0))))</f>
        <v/>
      </c>
      <c r="KW91" s="33" t="s">
        <v>39</v>
      </c>
      <c r="KZ91" s="31" t="str">
        <f>IF(KY91/(INDEX('Standards for Conversions'!$H$47:$H$73,MATCH(KX$3,'Standards for Conversions'!$A$47:$A$73,0)))=0,"",KY91/(INDEX('Standards for Conversions'!$H$47:$H$73,MATCH(KX$3,'Standards for Conversions'!$A$47:$A$73,0))))</f>
        <v/>
      </c>
      <c r="LA91" s="33" t="s">
        <v>38</v>
      </c>
      <c r="LB91" s="43"/>
      <c r="LC91" s="44"/>
      <c r="LD91" s="31" t="str">
        <f>IF(LC91/(INDEX('Standards for Conversions'!$H$47:$H$73,MATCH(LB$3,'Standards for Conversions'!$A$47:$A$73,0)))=0,"",LC91/(INDEX('Standards for Conversions'!$H$47:$H$73,MATCH(LB$3,'Standards for Conversions'!$A$47:$A$73,0))))</f>
        <v/>
      </c>
      <c r="LE91" s="48" t="s">
        <v>38</v>
      </c>
      <c r="LF91" s="43">
        <v>112</v>
      </c>
      <c r="LG91" s="44">
        <v>780</v>
      </c>
      <c r="LH91" s="31">
        <f>IF(LG91/(INDEX('Standards for Conversions'!$H$47:$H$73,MATCH(LF$3,'Standards for Conversions'!$A$47:$A$73,0)))=0,"",LG91/(INDEX('Standards for Conversions'!$H$47:$H$73,MATCH(LF$3,'Standards for Conversions'!$A$47:$A$73,0))))</f>
        <v>94.860922047449364</v>
      </c>
      <c r="LI91" s="33"/>
      <c r="LJ91" s="43"/>
      <c r="LK91" s="44"/>
      <c r="LL91" s="31" t="str">
        <f>IF(LK91/(INDEX('Standards for Conversions'!$H$47:$H$73,MATCH(LJ$3,'Standards for Conversions'!$A$47:$A$73,0)))=0,"",LK91/(INDEX('Standards for Conversions'!$H$47:$H$73,MATCH(LJ$3,'Standards for Conversions'!$A$47:$A$73,0))))</f>
        <v/>
      </c>
      <c r="LM91" s="43"/>
      <c r="LN91" s="44"/>
      <c r="LO91" s="31" t="str">
        <f>IF(LN91/(INDEX('Standards for Conversions'!$H$47:$H$73,MATCH(LM$3,'Standards for Conversions'!$A$47:$A$73,0)))=0,"",LN91/(INDEX('Standards for Conversions'!$H$47:$H$73,MATCH(LM$3,'Standards for Conversions'!$A$47:$A$73,0))))</f>
        <v/>
      </c>
      <c r="LP91" s="43"/>
      <c r="LQ91" s="44"/>
      <c r="LR91" s="31" t="str">
        <f>IF(LQ91/(INDEX('Standards for Conversions'!$H$47:$H$73,MATCH(LP$3,'Standards for Conversions'!$A$47:$A$73,0)))=0,"",LQ91/(INDEX('Standards for Conversions'!$H$47:$H$73,MATCH(LP$3,'Standards for Conversions'!$A$47:$A$73,0))))</f>
        <v/>
      </c>
      <c r="LS91" s="33"/>
      <c r="LT91" s="43"/>
      <c r="LU91" s="44"/>
      <c r="LV91" s="31" t="str">
        <f>IF(LU91/(INDEX('Standards for Conversions'!$H$47:$H$73,MATCH(LT$3,'Standards for Conversions'!$A$47:$A$73,0)))=0,"",LU91/(INDEX('Standards for Conversions'!$H$47:$H$73,MATCH(LT$3,'Standards for Conversions'!$A$47:$A$73,0))))</f>
        <v/>
      </c>
      <c r="LW91" s="43"/>
      <c r="LX91" s="44"/>
      <c r="LY91" s="31" t="str">
        <f>IF(LX91/(INDEX('Standards for Conversions'!$H$47:$H$73,MATCH(LW$3,'Standards for Conversions'!$A$47:$A$73,0)))=0,"",LX91/(INDEX('Standards for Conversions'!$H$47:$H$73,MATCH(LW$3,'Standards for Conversions'!$A$47:$A$73,0))))</f>
        <v/>
      </c>
      <c r="LZ91" s="43"/>
      <c r="MA91" s="44"/>
      <c r="MB91" s="31" t="str">
        <f>IF(MA91/(INDEX('Standards for Conversions'!$H$47:$H$73,MATCH(LZ$3,'Standards for Conversions'!$A$47:$A$73,0)))=0,"",MA91/(INDEX('Standards for Conversions'!$H$47:$H$73,MATCH(LZ$3,'Standards for Conversions'!$A$47:$A$73,0))))</f>
        <v/>
      </c>
      <c r="MC91" s="43"/>
      <c r="MD91" s="44"/>
      <c r="ME91" s="31" t="str">
        <f>IF(MD91/(INDEX('Standards for Conversions'!$H$47:$H$73,MATCH(MC$3,'Standards for Conversions'!$A$47:$A$73,0)))=0,"",MD91/(INDEX('Standards for Conversions'!$H$47:$H$73,MATCH(MC$3,'Standards for Conversions'!$A$47:$A$73,0))))</f>
        <v/>
      </c>
      <c r="MF91" s="43"/>
      <c r="MG91" s="44"/>
      <c r="MH91" s="31" t="str">
        <f>IF(MG91/(INDEX('Standards for Conversions'!$H$47:$H$73,MATCH(MF$3,'Standards for Conversions'!$A$47:$A$73,0)))=0,"",MG91/(INDEX('Standards for Conversions'!$H$47:$H$73,MATCH(MF$3,'Standards for Conversions'!$A$47:$A$73,0))))</f>
        <v/>
      </c>
      <c r="MI91" s="43"/>
      <c r="MJ91" s="44"/>
      <c r="MK91" s="31" t="str">
        <f>IF(MJ91/(INDEX('Standards for Conversions'!$H$47:$H$73,MATCH(MI$3,'Standards for Conversions'!$A$47:$A$73,0)))=0,"",MJ91/(INDEX('Standards for Conversions'!$H$47:$H$73,MATCH(MI$3,'Standards for Conversions'!$A$47:$A$73,0))))</f>
        <v/>
      </c>
      <c r="ML91" s="43"/>
      <c r="MM91" s="44"/>
      <c r="MN91" s="31" t="str">
        <f>IF(MM91/(INDEX('Standards for Conversions'!$H$47:$H$73,MATCH(ML$3,'Standards for Conversions'!$A$47:$A$73,0)))=0,"",MM91/(INDEX('Standards for Conversions'!$H$47:$H$73,MATCH(ML$3,'Standards for Conversions'!$A$47:$A$73,0))))</f>
        <v/>
      </c>
      <c r="MO91" s="42"/>
      <c r="MP91" s="45"/>
      <c r="MQ91" s="44"/>
      <c r="MR91" s="31" t="str">
        <f>IF(MQ91/(INDEX('Standards for Conversions'!$H$47:$H$73,MATCH(MP$3,'Standards for Conversions'!$A$47:$A$73,0)))=0,"",MQ91/(INDEX('Standards for Conversions'!$H$47:$H$73,MATCH(MP$3,'Standards for Conversions'!$A$47:$A$73,0))))</f>
        <v/>
      </c>
      <c r="MS91" s="42"/>
      <c r="MT91" s="45"/>
      <c r="MU91" s="44"/>
      <c r="MV91" s="43"/>
      <c r="MW91" s="44"/>
      <c r="MX91" s="43"/>
      <c r="MY91" s="44"/>
      <c r="MZ91" s="33"/>
      <c r="NE91" s="33"/>
    </row>
    <row r="92" spans="1:373" hidden="1" x14ac:dyDescent="0.3">
      <c r="A92" s="103" t="s">
        <v>262</v>
      </c>
      <c r="B92" s="10" t="s">
        <v>39</v>
      </c>
      <c r="C92" s="7"/>
      <c r="D92" s="7"/>
      <c r="E92" s="31" t="str">
        <f>IF(D92/(INDEX('Standards for Conversions'!$H$34:$H$73,MATCH(C$3,'Standards for Conversions'!$A$34:$A$73,0)))=0,"",D92/(INDEX('Standards for Conversions'!$H$34:$H$73,MATCH(C$3,'Standards for Conversions'!$A$34:$A$73,0))))</f>
        <v/>
      </c>
      <c r="F92" s="10" t="s">
        <v>39</v>
      </c>
      <c r="G92" s="7"/>
      <c r="H92" s="7"/>
      <c r="I92" s="31" t="str">
        <f>IF(H92/(INDEX('Standards for Conversions'!$H$34:$H$73,MATCH(G$3,'Standards for Conversions'!$A$34:$A$73,0)))=0,"",H92/(INDEX('Standards for Conversions'!$H$34:$H$73,MATCH(G$3,'Standards for Conversions'!$A$34:$A$73,0))))</f>
        <v/>
      </c>
      <c r="J92" s="10" t="s">
        <v>39</v>
      </c>
      <c r="K92" s="9"/>
      <c r="L92" s="9"/>
      <c r="M92" s="31" t="str">
        <f>IF(L92/(INDEX('Standards for Conversions'!$H$34:$H$73,MATCH(K$3,'Standards for Conversions'!$A$34:$A$73,0)))=0,"",L92/(INDEX('Standards for Conversions'!$H$34:$H$73,MATCH(K$3,'Standards for Conversions'!$A$34:$A$73,0))))</f>
        <v/>
      </c>
      <c r="N92" s="10" t="s">
        <v>39</v>
      </c>
      <c r="O92" s="7"/>
      <c r="P92" s="7"/>
      <c r="Q92" s="31" t="str">
        <f>IF(P92/(INDEX('Standards for Conversions'!$H$34:$H$73,MATCH(O$3,'Standards for Conversions'!$A$34:$A$73,0)))=0,"",P92/(INDEX('Standards for Conversions'!$H$34:$H$73,MATCH(O$3,'Standards for Conversions'!$A$34:$A$73,0))))</f>
        <v/>
      </c>
      <c r="R92" s="10" t="s">
        <v>39</v>
      </c>
      <c r="S92" s="7"/>
      <c r="T92" s="7"/>
      <c r="U92" s="31" t="str">
        <f>IF(T92/(INDEX('Standards for Conversions'!$H$34:$H$73,MATCH(S$3,'Standards for Conversions'!$A$34:$A$73,0)))=0,"",T92/(INDEX('Standards for Conversions'!$H$34:$H$73,MATCH(S$3,'Standards for Conversions'!$A$34:$A$73,0))))</f>
        <v/>
      </c>
      <c r="V92" s="10" t="s">
        <v>39</v>
      </c>
      <c r="W92" s="7"/>
      <c r="X92" s="7"/>
      <c r="Y92" s="31" t="str">
        <f>IF(X92/(INDEX('Standards for Conversions'!$H$34:$H$73,MATCH(W$3,'Standards for Conversions'!$A$34:$A$73,0)))=0,"",X92/(INDEX('Standards for Conversions'!$H$34:$H$73,MATCH(W$3,'Standards for Conversions'!$A$34:$A$73,0))))</f>
        <v/>
      </c>
      <c r="Z92" s="10" t="s">
        <v>39</v>
      </c>
      <c r="AA92" s="9"/>
      <c r="AB92" s="9"/>
      <c r="AC92" s="31" t="str">
        <f>IF(AB92/(INDEX('Standards for Conversions'!$H$34:$H$73,MATCH(AA$3,'Standards for Conversions'!$A$34:$A$73,0)))=0,"",AB92/(INDEX('Standards for Conversions'!$H$34:$H$73,MATCH(AA$3,'Standards for Conversions'!$A$34:$A$73,0))))</f>
        <v/>
      </c>
      <c r="AD92" s="10" t="s">
        <v>39</v>
      </c>
      <c r="AE92" s="7"/>
      <c r="AF92" s="7"/>
      <c r="AG92" s="31" t="str">
        <f>IF(AF92/(INDEX('Standards for Conversions'!$H$34:$H$73,MATCH(AE$3,'Standards for Conversions'!$A$34:$A$73,0)))=0,"",AF92/(INDEX('Standards for Conversions'!$H$34:$H$73,MATCH(AE$3,'Standards for Conversions'!$A$34:$A$73,0))))</f>
        <v/>
      </c>
      <c r="AH92" s="10" t="s">
        <v>39</v>
      </c>
      <c r="AI92" s="7"/>
      <c r="AJ92" s="7"/>
      <c r="AK92" s="31" t="str">
        <f>IF(AJ92/(INDEX('Standards for Conversions'!$H$34:$H$73,MATCH(AI$3,'Standards for Conversions'!$A$34:$A$73,0)))=0,"",AJ92/(INDEX('Standards for Conversions'!$H$34:$H$73,MATCH(AI$3,'Standards for Conversions'!$A$34:$A$73,0))))</f>
        <v/>
      </c>
      <c r="AL92" s="10" t="s">
        <v>39</v>
      </c>
      <c r="AM92" s="7"/>
      <c r="AN92" s="7"/>
      <c r="AO92" s="31" t="str">
        <f>IF(AN92/(INDEX('Standards for Conversions'!$H$34:$H$73,MATCH(AM$3,'Standards for Conversions'!$A$34:$A$73,0)))=0,"",AN92/(INDEX('Standards for Conversions'!$H$34:$H$73,MATCH(AM$3,'Standards for Conversions'!$A$34:$A$73,0))))</f>
        <v/>
      </c>
      <c r="AP92" s="10" t="s">
        <v>39</v>
      </c>
      <c r="AQ92" s="9"/>
      <c r="AR92" s="9"/>
      <c r="AS92" s="31" t="str">
        <f>IF(AR92/(INDEX('Standards for Conversions'!$H$34:$H$73,MATCH(AQ$3,'Standards for Conversions'!$A$34:$A$73,0)))=0,"",AR92/(INDEX('Standards for Conversions'!$H$34:$H$73,MATCH(AQ$3,'Standards for Conversions'!$A$34:$A$73,0))))</f>
        <v/>
      </c>
      <c r="AT92" s="10" t="s">
        <v>39</v>
      </c>
      <c r="AU92" s="7"/>
      <c r="AV92" s="7"/>
      <c r="AW92" s="31" t="str">
        <f>IF(AV92/(INDEX('Standards for Conversions'!$H$34:$H$73,MATCH(AU$3,'Standards for Conversions'!$A$34:$A$73,0)))=0,"",AV92/(INDEX('Standards for Conversions'!$H$34:$H$73,MATCH(AU$3,'Standards for Conversions'!$A$34:$A$73,0))))</f>
        <v/>
      </c>
      <c r="AX92" s="10" t="s">
        <v>39</v>
      </c>
      <c r="AY92" s="7"/>
      <c r="AZ92" s="7"/>
      <c r="BA92" s="31" t="str">
        <f>IF(AZ92/(INDEX('Standards for Conversions'!$H$34:$H$73,MATCH(AY$3,'Standards for Conversions'!$A$34:$A$73,0)))=0,"",AZ92/(INDEX('Standards for Conversions'!$H$34:$H$73,MATCH(AY$3,'Standards for Conversions'!$A$34:$A$73,0))))</f>
        <v/>
      </c>
      <c r="BB92" s="10" t="s">
        <v>39</v>
      </c>
      <c r="BC92" s="7"/>
      <c r="BD92" s="7"/>
      <c r="BE92" s="31" t="str">
        <f>IF(BD92/(INDEX('Standards for Conversions'!$H$34:$H$73,MATCH(BC$3,'Standards for Conversions'!$A$34:$A$73,0)))=0,"",BD92/(INDEX('Standards for Conversions'!$H$34:$H$73,MATCH(BC$3,'Standards for Conversions'!$A$34:$A$73,0))))</f>
        <v/>
      </c>
      <c r="BF92" s="10" t="s">
        <v>39</v>
      </c>
      <c r="BG92" s="9"/>
      <c r="BH92" s="9"/>
      <c r="BI92" s="31" t="str">
        <f>IF(BH92/(INDEX('Standards for Conversions'!$H$34:$H$73,MATCH(BG$3,'Standards for Conversions'!$A$34:$A$73,0)))=0,"",BH92/(INDEX('Standards for Conversions'!$H$34:$H$73,MATCH(BG$3,'Standards for Conversions'!$A$34:$A$73,0))))</f>
        <v/>
      </c>
      <c r="BJ92" s="10" t="s">
        <v>39</v>
      </c>
      <c r="BK92" s="7"/>
      <c r="BL92" s="7"/>
      <c r="BM92" s="31" t="str">
        <f>IF(BL92/(INDEX('Standards for Conversions'!$H$34:$H$73,MATCH(BK$3,'Standards for Conversions'!$A$34:$A$73,0)))=0,"",BL92/(INDEX('Standards for Conversions'!$H$34:$H$73,MATCH(BK$3,'Standards for Conversions'!$A$34:$A$73,0))))</f>
        <v/>
      </c>
      <c r="BN92" s="10" t="s">
        <v>39</v>
      </c>
      <c r="BO92" s="7"/>
      <c r="BP92" s="7"/>
      <c r="BQ92" s="31" t="str">
        <f>IF(BP92/(INDEX('Standards for Conversions'!$H$34:$H$73,MATCH(BO$3,'Standards for Conversions'!$A$34:$A$73,0)))=0,"",BP92/(INDEX('Standards for Conversions'!$H$34:$H$73,MATCH(BO$3,'Standards for Conversions'!$A$34:$A$73,0))))</f>
        <v/>
      </c>
      <c r="BR92" s="10" t="s">
        <v>39</v>
      </c>
      <c r="BS92" s="7"/>
      <c r="BT92" s="7"/>
      <c r="BU92" s="31" t="str">
        <f>IF(BT92/(INDEX('Standards for Conversions'!$H$34:$H$73,MATCH(BS$3,'Standards for Conversions'!$A$34:$A$73,0)))=0,"",BT92/(INDEX('Standards for Conversions'!$H$34:$H$73,MATCH(BS$3,'Standards for Conversions'!$A$34:$A$73,0))))</f>
        <v/>
      </c>
      <c r="BV92" s="10" t="s">
        <v>39</v>
      </c>
      <c r="BW92" s="9"/>
      <c r="BX92" s="9"/>
      <c r="BY92" s="31" t="str">
        <f>IF(BX92/(INDEX('Standards for Conversions'!$H$34:$H$73,MATCH(BW$3,'Standards for Conversions'!$A$34:$A$73,0)))=0,"",BX92/(INDEX('Standards for Conversions'!$H$34:$H$73,MATCH(BW$3,'Standards for Conversions'!$A$34:$A$73,0))))</f>
        <v/>
      </c>
      <c r="BZ92" s="10" t="s">
        <v>39</v>
      </c>
      <c r="CA92" s="7"/>
      <c r="CB92" s="7"/>
      <c r="CC92" s="31" t="str">
        <f>IF(CB92/(INDEX('Standards for Conversions'!$H$34:$H$73,MATCH(CA$3,'Standards for Conversions'!$A$34:$A$73,0)))=0,"",CB92/(INDEX('Standards for Conversions'!$H$34:$H$73,MATCH(CA$3,'Standards for Conversions'!$A$34:$A$73,0))))</f>
        <v/>
      </c>
      <c r="CD92" s="10" t="s">
        <v>39</v>
      </c>
      <c r="CE92" s="7"/>
      <c r="CF92" s="7"/>
      <c r="CG92" s="31" t="str">
        <f>IF(CF92/(INDEX('Standards for Conversions'!$H$34:$H$73,MATCH(CE$3,'Standards for Conversions'!$A$34:$A$73,0)))=0,"",CF92/(INDEX('Standards for Conversions'!$H$34:$H$73,MATCH(CE$3,'Standards for Conversions'!$A$34:$A$73,0))))</f>
        <v/>
      </c>
      <c r="CH92" s="10" t="s">
        <v>39</v>
      </c>
      <c r="CI92" s="7"/>
      <c r="CJ92" s="7"/>
      <c r="CK92" s="31" t="str">
        <f>IF(CJ92/(INDEX('Standards for Conversions'!$H$34:$H$73,MATCH(CI$3,'Standards for Conversions'!$A$34:$A$73,0)))=0,"",CJ92/(INDEX('Standards for Conversions'!$H$34:$H$73,MATCH(CI$3,'Standards for Conversions'!$A$34:$A$73,0))))</f>
        <v/>
      </c>
      <c r="CL92" s="10" t="s">
        <v>39</v>
      </c>
      <c r="CM92" s="9"/>
      <c r="CN92" s="9"/>
      <c r="CO92" s="31" t="str">
        <f>IF(CN92/(INDEX('Standards for Conversions'!$H$34:$H$73,MATCH(CM$3,'Standards for Conversions'!$A$34:$A$73,0)))=0,"",CN92/(INDEX('Standards for Conversions'!$H$34:$H$73,MATCH(CM$3,'Standards for Conversions'!$A$34:$A$73,0))))</f>
        <v/>
      </c>
      <c r="CP92" s="10" t="s">
        <v>39</v>
      </c>
      <c r="CQ92" s="7"/>
      <c r="CR92" s="7"/>
      <c r="CS92" s="31" t="str">
        <f>IF(CR92/(INDEX('Standards for Conversions'!$H$34:$H$73,MATCH(CQ$3,'Standards for Conversions'!$A$34:$A$73,0)))=0,"",CR92/(INDEX('Standards for Conversions'!$H$34:$H$73,MATCH(CQ$3,'Standards for Conversions'!$A$34:$A$73,0))))</f>
        <v/>
      </c>
      <c r="CT92" s="10" t="s">
        <v>39</v>
      </c>
      <c r="CU92" s="7"/>
      <c r="CV92" s="7"/>
      <c r="CW92" s="31" t="str">
        <f>IF(CV92/(INDEX('Standards for Conversions'!$H$34:$H$73,MATCH(CU$3,'Standards for Conversions'!$A$34:$A$73,0)))=0,"",CV92/(INDEX('Standards for Conversions'!$H$34:$H$73,MATCH(CU$3,'Standards for Conversions'!$A$34:$A$73,0))))</f>
        <v/>
      </c>
      <c r="CX92" s="10" t="s">
        <v>39</v>
      </c>
      <c r="CY92" s="7"/>
      <c r="CZ92" s="7"/>
      <c r="DA92" s="31" t="str">
        <f>IF(CZ92/(INDEX('Standards for Conversions'!$H$34:$H$73,MATCH(CY$3,'Standards for Conversions'!$A$34:$A$73,0)))=0,"",CZ92/(INDEX('Standards for Conversions'!$H$34:$H$73,MATCH(CY$3,'Standards for Conversions'!$A$34:$A$73,0))))</f>
        <v/>
      </c>
      <c r="DB92" s="10" t="s">
        <v>39</v>
      </c>
      <c r="DC92" s="9"/>
      <c r="DD92" s="9"/>
      <c r="DE92" s="31" t="str">
        <f>IF(DD92/(INDEX('Standards for Conversions'!$H$34:$H$73,MATCH(DC$3,'Standards for Conversions'!$A$34:$A$73,0)))=0,"",DD92/(INDEX('Standards for Conversions'!$H$34:$H$73,MATCH(DC$3,'Standards for Conversions'!$A$34:$A$73,0))))</f>
        <v/>
      </c>
      <c r="DF92" s="10" t="s">
        <v>39</v>
      </c>
      <c r="DG92" s="7"/>
      <c r="DH92" s="7"/>
      <c r="DI92" s="31" t="str">
        <f>IF(DH92/(INDEX('Standards for Conversions'!$H$34:$H$73,MATCH(DG$3,'Standards for Conversions'!$A$34:$A$73,0)))=0,"",DH92/(INDEX('Standards for Conversions'!$H$34:$H$73,MATCH(DG$3,'Standards for Conversions'!$A$34:$A$73,0))))</f>
        <v/>
      </c>
      <c r="DJ92" s="10" t="s">
        <v>39</v>
      </c>
      <c r="DK92" s="7"/>
      <c r="DL92" s="7"/>
      <c r="DM92" s="31" t="str">
        <f>IF(DL92/(INDEX('Standards for Conversions'!$H$34:$H$73,MATCH(DK$3,'Standards for Conversions'!$A$34:$A$73,0)))=0,"",DL92/(INDEX('Standards for Conversions'!$H$34:$H$73,MATCH(DK$3,'Standards for Conversions'!$A$34:$A$73,0))))</f>
        <v/>
      </c>
      <c r="DN92" s="10" t="s">
        <v>39</v>
      </c>
      <c r="DO92" s="7"/>
      <c r="DP92" s="7"/>
      <c r="DQ92" s="31" t="str">
        <f>IF(DP92/(INDEX('Standards for Conversions'!$H$34:$H$73,MATCH(DO$3,'Standards for Conversions'!$A$34:$A$73,0)))=0,"",DP92/(INDEX('Standards for Conversions'!$H$34:$H$73,MATCH(DO$3,'Standards for Conversions'!$A$34:$A$73,0))))</f>
        <v/>
      </c>
      <c r="DR92" s="10" t="s">
        <v>39</v>
      </c>
      <c r="DS92" s="9"/>
      <c r="DT92" s="9"/>
      <c r="DU92" s="31" t="str">
        <f>IF(DT92/(INDEX('Standards for Conversions'!$H$34:$H$73,MATCH(DS$3,'Standards for Conversions'!$A$34:$A$73,0)))=0,"",DT92/(INDEX('Standards for Conversions'!$H$34:$H$73,MATCH(DS$3,'Standards for Conversions'!$A$34:$A$73,0))))</f>
        <v/>
      </c>
      <c r="DV92" s="10" t="s">
        <v>39</v>
      </c>
      <c r="DW92" s="7"/>
      <c r="DX92" s="7"/>
      <c r="DY92" s="31" t="str">
        <f>IF(DX92/(INDEX('Standards for Conversions'!$H$34:$H$73,MATCH(DW$3,'Standards for Conversions'!$A$34:$A$73,0)))=0,"",DX92/(INDEX('Standards for Conversions'!$H$34:$H$73,MATCH(DW$3,'Standards for Conversions'!$A$34:$A$73,0))))</f>
        <v/>
      </c>
      <c r="DZ92" s="10" t="s">
        <v>39</v>
      </c>
      <c r="EA92" s="7"/>
      <c r="EB92" s="7"/>
      <c r="EC92" s="31" t="str">
        <f>IF(EB92/(INDEX('Standards for Conversions'!$H$34:$H$73,MATCH(EA$3,'Standards for Conversions'!$A$34:$A$73,0)))=0,"",EB92/(INDEX('Standards for Conversions'!$H$34:$H$73,MATCH(EA$3,'Standards for Conversions'!$A$34:$A$73,0))))</f>
        <v/>
      </c>
      <c r="ED92" s="10" t="s">
        <v>39</v>
      </c>
      <c r="EE92" s="7"/>
      <c r="EF92" s="7"/>
      <c r="EG92" s="31" t="str">
        <f>IF(EF92/(INDEX('Standards for Conversions'!$H$34:$H$73,MATCH(EE$3,'Standards for Conversions'!$A$34:$A$73,0)))=0,"",EF92/(INDEX('Standards for Conversions'!$H$34:$H$73,MATCH(EE$3,'Standards for Conversions'!$A$34:$A$73,0))))</f>
        <v/>
      </c>
      <c r="EH92" s="10" t="s">
        <v>39</v>
      </c>
      <c r="EI92" s="9"/>
      <c r="EJ92" s="9"/>
      <c r="EK92" s="31" t="str">
        <f>IF(EJ92/(INDEX('Standards for Conversions'!$H$34:$H$73,MATCH(EI$3,'Standards for Conversions'!$A$34:$A$73,0)))=0,"",EJ92/(INDEX('Standards for Conversions'!$H$34:$H$73,MATCH(EI$3,'Standards for Conversions'!$A$34:$A$73,0))))</f>
        <v/>
      </c>
      <c r="EL92" s="10" t="s">
        <v>39</v>
      </c>
      <c r="EM92" s="7"/>
      <c r="EN92" s="7"/>
      <c r="EO92" s="31" t="str">
        <f>IF(EN92/(INDEX('Standards for Conversions'!$H$34:$H$73,MATCH(EM$3,'Standards for Conversions'!$A$34:$A$73,0)))=0,"",EN92/(INDEX('Standards for Conversions'!$H$34:$H$73,MATCH(EM$3,'Standards for Conversions'!$A$34:$A$73,0))))</f>
        <v/>
      </c>
      <c r="EP92" s="10" t="s">
        <v>39</v>
      </c>
      <c r="EQ92" s="7"/>
      <c r="ER92" s="7"/>
      <c r="ES92" s="31" t="str">
        <f>IF(ER92/(INDEX('Standards for Conversions'!$H$34:$H$73,MATCH(EQ$3,'Standards for Conversions'!$A$34:$A$73,0)))=0,"",ER92/(INDEX('Standards for Conversions'!$H$34:$H$73,MATCH(EQ$3,'Standards for Conversions'!$A$34:$A$73,0))))</f>
        <v/>
      </c>
      <c r="ET92" s="10" t="s">
        <v>39</v>
      </c>
      <c r="EU92" s="7"/>
      <c r="EV92" s="7"/>
      <c r="EW92" s="31" t="str">
        <f>IF(EV92/(INDEX('Standards for Conversions'!$H$34:$H$73,MATCH(EU$3,'Standards for Conversions'!$A$34:$A$73,0)))=0,"",EV92/(INDEX('Standards for Conversions'!$H$34:$H$73,MATCH(EU$3,'Standards for Conversions'!$A$34:$A$73,0))))</f>
        <v/>
      </c>
      <c r="EX92" s="10" t="s">
        <v>39</v>
      </c>
      <c r="EY92" s="9"/>
      <c r="EZ92" s="9"/>
      <c r="FA92" s="31" t="str">
        <f>IF(EZ92/(INDEX('Standards for Conversions'!$H$34:$H$73,MATCH(EY$3,'Standards for Conversions'!$A$34:$A$73,0)))=0,"",EZ92/(INDEX('Standards for Conversions'!$H$34:$H$73,MATCH(EY$3,'Standards for Conversions'!$A$34:$A$73,0))))</f>
        <v/>
      </c>
      <c r="FB92" s="10" t="s">
        <v>39</v>
      </c>
      <c r="FC92" s="7"/>
      <c r="FD92" s="7"/>
      <c r="FE92" s="31" t="str">
        <f>IF(FD92/(INDEX('Standards for Conversions'!$H$34:$H$73,MATCH(FC$3,'Standards for Conversions'!$A$34:$A$73,0)))=0,"",FD92/(INDEX('Standards for Conversions'!$H$34:$H$73,MATCH(FC$3,'Standards for Conversions'!$A$34:$A$73,0))))</f>
        <v/>
      </c>
      <c r="FF92" s="10" t="s">
        <v>39</v>
      </c>
      <c r="FG92" s="7"/>
      <c r="FH92" s="7"/>
      <c r="FI92" s="31" t="str">
        <f>IF(FH92/(INDEX('Standards for Conversions'!$H$34:$H$73,MATCH(FG$3,'Standards for Conversions'!$A$34:$A$73,0)))=0,"",FH92/(INDEX('Standards for Conversions'!$H$34:$H$73,MATCH(FG$3,'Standards for Conversions'!$A$34:$A$73,0))))</f>
        <v/>
      </c>
      <c r="FJ92" s="10" t="s">
        <v>39</v>
      </c>
      <c r="FK92" s="7"/>
      <c r="FL92" s="7"/>
      <c r="FM92" s="31" t="str">
        <f>IF(FL92/(INDEX('Standards for Conversions'!$H$34:$H$73,MATCH(FK$3,'Standards for Conversions'!$A$34:$A$73,0)))=0,"",FL92/(INDEX('Standards for Conversions'!$H$34:$H$73,MATCH(FK$3,'Standards for Conversions'!$A$34:$A$73,0))))</f>
        <v/>
      </c>
      <c r="FN92" s="10" t="s">
        <v>39</v>
      </c>
      <c r="FO92" s="9"/>
      <c r="FP92" s="9"/>
      <c r="FQ92" s="31" t="str">
        <f>IF(FP92/(INDEX('Standards for Conversions'!$H$34:$H$73,MATCH(FO$3,'Standards for Conversions'!$A$34:$A$73,0)))=0,"",FP92/(INDEX('Standards for Conversions'!$H$34:$H$73,MATCH(FO$3,'Standards for Conversions'!$A$34:$A$73,0))))</f>
        <v/>
      </c>
      <c r="FR92" s="10" t="s">
        <v>39</v>
      </c>
      <c r="FS92" s="7"/>
      <c r="FT92" s="7"/>
      <c r="FU92" s="31" t="str">
        <f>IF(FT92/(INDEX('Standards for Conversions'!$H$34:$H$73,MATCH(FS$3,'Standards for Conversions'!$A$34:$A$73,0)))=0,"",FT92/(INDEX('Standards for Conversions'!$H$34:$H$73,MATCH(FS$3,'Standards for Conversions'!$A$34:$A$73,0))))</f>
        <v/>
      </c>
      <c r="FV92" s="10" t="s">
        <v>39</v>
      </c>
      <c r="FW92" s="7"/>
      <c r="FX92" s="7"/>
      <c r="FY92" s="31" t="str">
        <f>IF(FX92/(INDEX('Standards for Conversions'!$H$34:$H$73,MATCH(FW$3,'Standards for Conversions'!$A$34:$A$73,0)))=0,"",FX92/(INDEX('Standards for Conversions'!$H$34:$H$73,MATCH(FW$3,'Standards for Conversions'!$A$34:$A$73,0))))</f>
        <v/>
      </c>
      <c r="FZ92" s="10" t="s">
        <v>39</v>
      </c>
      <c r="GA92" s="7"/>
      <c r="GB92" s="7"/>
      <c r="GC92" s="31" t="str">
        <f>IF(GB92/(INDEX('Standards for Conversions'!$H$34:$H$73,MATCH(GA$3,'Standards for Conversions'!$A$34:$A$73,0)))=0,"",GB92/(INDEX('Standards for Conversions'!$H$34:$H$73,MATCH(GA$3,'Standards for Conversions'!$A$34:$A$73,0))))</f>
        <v/>
      </c>
      <c r="GD92" s="10" t="s">
        <v>39</v>
      </c>
      <c r="GE92" s="9"/>
      <c r="GF92" s="9"/>
      <c r="GG92" s="31" t="str">
        <f>IF(GF92/(INDEX('Standards for Conversions'!$H$34:$H$73,MATCH(GE$3,'Standards for Conversions'!$A$34:$A$73,0)))=0,"",GF92/(INDEX('Standards for Conversions'!$H$34:$H$73,MATCH(GE$3,'Standards for Conversions'!$A$34:$A$73,0))))</f>
        <v/>
      </c>
      <c r="GH92" s="10" t="s">
        <v>39</v>
      </c>
      <c r="GI92" s="7"/>
      <c r="GJ92" s="7"/>
      <c r="GK92" s="31" t="str">
        <f>IF(GJ92/(INDEX('Standards for Conversions'!$H$34:$H$73,MATCH(GI$3,'Standards for Conversions'!$A$34:$A$73,0)))=0,"",GJ92/(INDEX('Standards for Conversions'!$H$34:$H$73,MATCH(GI$3,'Standards for Conversions'!$A$34:$A$73,0))))</f>
        <v/>
      </c>
      <c r="GL92" s="10" t="s">
        <v>39</v>
      </c>
      <c r="GM92" s="7"/>
      <c r="GN92" s="7"/>
      <c r="GO92" s="31" t="str">
        <f>IF(GN92/(INDEX('Standards for Conversions'!$H$34:$H$73,MATCH(GM$3,'Standards for Conversions'!$A$34:$A$73,0)))=0,"",GN92/(INDEX('Standards for Conversions'!$H$34:$H$73,MATCH(GM$3,'Standards for Conversions'!$A$34:$A$73,0))))</f>
        <v/>
      </c>
      <c r="GP92" s="10" t="s">
        <v>39</v>
      </c>
      <c r="GQ92" s="7"/>
      <c r="GR92" s="7"/>
      <c r="GS92" s="31" t="str">
        <f>IF(GR92/(INDEX('Standards for Conversions'!$H$34:$H$73,MATCH(GQ$3,'Standards for Conversions'!$A$34:$A$73,0)))=0,"",GR92/(INDEX('Standards for Conversions'!$H$34:$H$73,MATCH(GQ$3,'Standards for Conversions'!$A$34:$A$73,0))))</f>
        <v/>
      </c>
      <c r="GT92" s="10" t="s">
        <v>39</v>
      </c>
      <c r="GU92" s="9"/>
      <c r="GV92" s="9"/>
      <c r="GW92" s="31" t="str">
        <f>IF(GV92/(INDEX('Standards for Conversions'!$H$34:$H$73,MATCH(GU$3,'Standards for Conversions'!$A$34:$A$73,0)))=0,"",GV92/(INDEX('Standards for Conversions'!$H$34:$H$73,MATCH(GU$3,'Standards for Conversions'!$A$34:$A$73,0))))</f>
        <v/>
      </c>
      <c r="GX92" s="10" t="s">
        <v>39</v>
      </c>
      <c r="GY92" s="7"/>
      <c r="GZ92" s="7"/>
      <c r="HA92" s="31" t="str">
        <f>IF(GZ92/(INDEX('Standards for Conversions'!$H$34:$H$73,MATCH(GY$3,'Standards for Conversions'!$A$34:$A$73,0)))=0,"",GZ92/(INDEX('Standards for Conversions'!$H$34:$H$73,MATCH(GY$3,'Standards for Conversions'!$A$34:$A$73,0))))</f>
        <v/>
      </c>
      <c r="HB92" s="10" t="s">
        <v>39</v>
      </c>
      <c r="HC92" s="7"/>
      <c r="HD92" s="7"/>
      <c r="HE92" s="31" t="str">
        <f>IF(HD92/(INDEX('Standards for Conversions'!$H$34:$H$73,MATCH(HC$3,'Standards for Conversions'!$A$34:$A$73,0)))=0,"",HD92/(INDEX('Standards for Conversions'!$H$34:$H$73,MATCH(HC$3,'Standards for Conversions'!$A$34:$A$73,0))))</f>
        <v/>
      </c>
      <c r="HF92" s="10" t="s">
        <v>39</v>
      </c>
      <c r="HG92" s="7"/>
      <c r="HH92" s="7"/>
      <c r="HI92" s="31" t="str">
        <f>IF(HH92/(INDEX('Standards for Conversions'!$H$34:$H$73,MATCH(HG$3,'Standards for Conversions'!$A$34:$A$73,0)))=0,"",HH92/(INDEX('Standards for Conversions'!$H$34:$H$73,MATCH(HG$3,'Standards for Conversions'!$A$34:$A$73,0))))</f>
        <v/>
      </c>
      <c r="HJ92" s="10" t="s">
        <v>39</v>
      </c>
      <c r="HK92" s="9"/>
      <c r="HL92" s="9"/>
      <c r="HM92" s="31" t="str">
        <f>IF(HL92/(INDEX('Standards for Conversions'!$H$34:$H$73,MATCH(HK$3,'Standards for Conversions'!$A$34:$A$73,0)))=0,"",HL92/(INDEX('Standards for Conversions'!$H$34:$H$73,MATCH(HK$3,'Standards for Conversions'!$A$34:$A$73,0))))</f>
        <v/>
      </c>
      <c r="HN92" s="10" t="s">
        <v>39</v>
      </c>
      <c r="HO92" s="7"/>
      <c r="HP92" s="7"/>
      <c r="HQ92" s="31" t="str">
        <f>IF(HP92/(INDEX('Standards for Conversions'!$H$34:$H$73,MATCH(HO$3,'Standards for Conversions'!$A$34:$A$73,0)))=0,"",HP92/(INDEX('Standards for Conversions'!$H$34:$H$73,MATCH(HO$3,'Standards for Conversions'!$A$34:$A$73,0))))</f>
        <v/>
      </c>
      <c r="HR92" s="33" t="s">
        <v>39</v>
      </c>
      <c r="HU92" s="31" t="str">
        <f>IF(HT92/(INDEX('Standards for Conversions'!$H$47:$H$73,MATCH(HS$3,'Standards for Conversions'!$A$47:$A$73,0)))=0,"",HT92/(INDEX('Standards for Conversions'!$H$47:$H$73,MATCH(HS$3,'Standards for Conversions'!$A$47:$A$73,0))))</f>
        <v/>
      </c>
      <c r="HV92" s="33" t="s">
        <v>39</v>
      </c>
      <c r="HY92" s="31" t="str">
        <f>IF(HX92/(INDEX('Standards for Conversions'!$H$47:$H$73,MATCH(HW$3,'Standards for Conversions'!$A$47:$A$73,0)))=0,"",HX92/(INDEX('Standards for Conversions'!$H$47:$H$73,MATCH(HW$3,'Standards for Conversions'!$A$47:$A$73,0))))</f>
        <v/>
      </c>
      <c r="HZ92" s="33"/>
      <c r="IA92" s="33"/>
      <c r="IB92" s="31" t="str">
        <f>IF(IA92/(INDEX('Standards for Conversions'!$H$47:$H$73,MATCH(HZ$3,'Standards for Conversions'!$A$47:$A$73,0)))=0,"",IA92/(INDEX('Standards for Conversions'!$H$47:$H$73,MATCH(HZ$3,'Standards for Conversions'!$A$47:$A$73,0))))</f>
        <v/>
      </c>
      <c r="IC92" s="33" t="s">
        <v>39</v>
      </c>
      <c r="ID92" s="29">
        <v>400</v>
      </c>
      <c r="IE92" s="29">
        <v>1000</v>
      </c>
      <c r="IF92" s="31">
        <f>IF(IE92/(INDEX('Standards for Conversions'!$H$47:$H$73,MATCH(ID$3,'Standards for Conversions'!$A$47:$A$73,0)))=0,"",IE92/(INDEX('Standards for Conversions'!$H$47:$H$73,MATCH(ID$3,'Standards for Conversions'!$A$47:$A$73,0))))</f>
        <v>145.24541221285597</v>
      </c>
      <c r="IG92" s="33" t="s">
        <v>39</v>
      </c>
      <c r="IJ92" s="31" t="str">
        <f>IF(II92/(INDEX('Standards for Conversions'!$H$47:$H$73,MATCH(IH$3,'Standards for Conversions'!$A$47:$A$73,0)))=0,"",II92/(INDEX('Standards for Conversions'!$H$47:$H$73,MATCH(IH$3,'Standards for Conversions'!$A$47:$A$73,0))))</f>
        <v/>
      </c>
      <c r="IK92" s="33" t="s">
        <v>39</v>
      </c>
      <c r="IN92" s="31" t="str">
        <f>IF(IM92/(INDEX('Standards for Conversions'!$H$47:$H$73,MATCH(IL$3,'Standards for Conversions'!$A$47:$A$73,0)))=0,"",IM92/(INDEX('Standards for Conversions'!$H$47:$H$73,MATCH(IL$3,'Standards for Conversions'!$A$47:$A$73,0))))</f>
        <v/>
      </c>
      <c r="IO92" s="33" t="s">
        <v>39</v>
      </c>
      <c r="IR92" s="31" t="str">
        <f>IF(IQ92/(INDEX('Standards for Conversions'!$H$47:$H$73,MATCH(IP$3,'Standards for Conversions'!$A$47:$A$73,0)))=0,"",IQ92/(INDEX('Standards for Conversions'!$H$47:$H$73,MATCH(IP$3,'Standards for Conversions'!$A$47:$A$73,0))))</f>
        <v/>
      </c>
      <c r="IS92" s="33" t="s">
        <v>39</v>
      </c>
      <c r="IT92" s="29">
        <v>107</v>
      </c>
      <c r="IU92" s="29">
        <v>190</v>
      </c>
      <c r="IV92" s="31">
        <f>IF(IU92/(INDEX('Standards for Conversions'!$H$47:$H$73,MATCH(IT$3,'Standards for Conversions'!$A$47:$A$73,0)))=0,"",IU92/(INDEX('Standards for Conversions'!$H$47:$H$73,MATCH(IT$3,'Standards for Conversions'!$A$47:$A$73,0))))</f>
        <v>27.47594335694215</v>
      </c>
      <c r="IW92" s="33" t="s">
        <v>39</v>
      </c>
      <c r="IZ92" s="31" t="str">
        <f>IF(IY92/(INDEX('Standards for Conversions'!$H$47:$H$73,MATCH(IX$3,'Standards for Conversions'!$A$47:$A$73,0)))=0,"",IY92/(INDEX('Standards for Conversions'!$H$47:$H$73,MATCH(IX$3,'Standards for Conversions'!$A$47:$A$73,0))))</f>
        <v/>
      </c>
      <c r="JA92" s="33" t="s">
        <v>39</v>
      </c>
      <c r="JD92" s="31" t="str">
        <f>IF(JC92/(INDEX('Standards for Conversions'!$H$47:$H$73,MATCH(JB$3,'Standards for Conversions'!$A$47:$A$73,0)))=0,"",JC92/(INDEX('Standards for Conversions'!$H$47:$H$73,MATCH(JB$3,'Standards for Conversions'!$A$47:$A$73,0))))</f>
        <v/>
      </c>
      <c r="JE92" s="33" t="s">
        <v>39</v>
      </c>
      <c r="JH92" s="31" t="str">
        <f>IF(JG92/(INDEX('Standards for Conversions'!$H$47:$H$73,MATCH(JF$3,'Standards for Conversions'!$A$47:$A$73,0)))=0,"",JG92/(INDEX('Standards for Conversions'!$H$47:$H$73,MATCH(JF$3,'Standards for Conversions'!$A$47:$A$73,0))))</f>
        <v/>
      </c>
      <c r="JI92" s="48" t="s">
        <v>39</v>
      </c>
      <c r="JJ92" s="29">
        <v>104</v>
      </c>
      <c r="JK92" s="29">
        <v>300</v>
      </c>
      <c r="JL92" s="31">
        <f>IF(JK92/(INDEX('Standards for Conversions'!$H$47:$H$73,MATCH(JJ$3,'Standards for Conversions'!$A$47:$A$73,0)))=0,"",JK92/(INDEX('Standards for Conversions'!$H$47:$H$73,MATCH(JJ$3,'Standards for Conversions'!$A$47:$A$73,0))))</f>
        <v>48.528059007560607</v>
      </c>
      <c r="JM92" s="33" t="s">
        <v>39</v>
      </c>
      <c r="JP92" s="31" t="str">
        <f>IF(JO92/(INDEX('Standards for Conversions'!$H$47:$H$73,MATCH(JN$3,'Standards for Conversions'!$A$47:$A$73,0)))=0,"",JO92/(INDEX('Standards for Conversions'!$H$47:$H$73,MATCH(JN$3,'Standards for Conversions'!$A$47:$A$73,0))))</f>
        <v/>
      </c>
      <c r="JQ92" s="33" t="s">
        <v>39</v>
      </c>
      <c r="JT92" s="31" t="str">
        <f>IF(JS92/(INDEX('Standards for Conversions'!$H$47:$H$73,MATCH(JR$3,'Standards for Conversions'!$A$47:$A$73,0)))=0,"",JS92/(INDEX('Standards for Conversions'!$H$47:$H$73,MATCH(JR$3,'Standards for Conversions'!$A$47:$A$73,0))))</f>
        <v/>
      </c>
      <c r="JU92" s="33" t="s">
        <v>39</v>
      </c>
      <c r="JX92" s="31" t="str">
        <f>IF(JW92/(INDEX('Standards for Conversions'!$H$47:$H$73,MATCH(JV$3,'Standards for Conversions'!$A$47:$A$73,0)))=0,"",JW92/(INDEX('Standards for Conversions'!$H$47:$H$73,MATCH(JV$3,'Standards for Conversions'!$A$47:$A$73,0))))</f>
        <v/>
      </c>
      <c r="JY92" s="33" t="s">
        <v>39</v>
      </c>
      <c r="JZ92" s="29">
        <v>500</v>
      </c>
      <c r="KA92" s="29">
        <v>1500</v>
      </c>
      <c r="KB92" s="31">
        <f>IF(KA92/(INDEX('Standards for Conversions'!$H$47:$H$73,MATCH(JZ$3,'Standards for Conversions'!$A$47:$A$73,0)))=0,"",KA92/(INDEX('Standards for Conversions'!$H$47:$H$73,MATCH(JZ$3,'Standards for Conversions'!$A$47:$A$73,0))))</f>
        <v>228.98383864169634</v>
      </c>
      <c r="KC92" s="33" t="s">
        <v>39</v>
      </c>
      <c r="KF92" s="31" t="str">
        <f>IF(KE92/(INDEX('Standards for Conversions'!$H$47:$H$73,MATCH(KD$3,'Standards for Conversions'!$A$47:$A$73,0)))=0,"",KE92/(INDEX('Standards for Conversions'!$H$47:$H$73,MATCH(KD$3,'Standards for Conversions'!$A$47:$A$73,0))))</f>
        <v/>
      </c>
      <c r="KG92" s="33" t="s">
        <v>39</v>
      </c>
      <c r="KJ92" s="31" t="str">
        <f>IF(KI92/(INDEX('Standards for Conversions'!$H$47:$H$73,MATCH(KH$3,'Standards for Conversions'!$A$47:$A$73,0)))=0,"",KI92/(INDEX('Standards for Conversions'!$H$47:$H$73,MATCH(KH$3,'Standards for Conversions'!$A$47:$A$73,0))))</f>
        <v/>
      </c>
      <c r="KK92" s="33" t="s">
        <v>39</v>
      </c>
      <c r="KN92" s="31" t="str">
        <f>IF(KM92/(INDEX('Standards for Conversions'!$H$47:$H$73,MATCH(KL$3,'Standards for Conversions'!$A$47:$A$73,0)))=0,"",KM92/(INDEX('Standards for Conversions'!$H$47:$H$73,MATCH(KL$3,'Standards for Conversions'!$A$47:$A$73,0))))</f>
        <v/>
      </c>
      <c r="KO92" s="33" t="s">
        <v>39</v>
      </c>
      <c r="KP92" s="29">
        <v>400</v>
      </c>
      <c r="KQ92" s="29">
        <v>1400</v>
      </c>
      <c r="KR92" s="31">
        <f>IF(KQ92/(INDEX('Standards for Conversions'!$H$47:$H$73,MATCH(KP$3,'Standards for Conversions'!$A$47:$A$73,0)))=0,"",KQ92/(INDEX('Standards for Conversions'!$H$47:$H$73,MATCH(KP$3,'Standards for Conversions'!$A$47:$A$73,0))))</f>
        <v>188.52261666811503</v>
      </c>
      <c r="KS92" s="33" t="s">
        <v>39</v>
      </c>
      <c r="KV92" s="31" t="str">
        <f>IF(KU92/(INDEX('Standards for Conversions'!$H$47:$H$73,MATCH(KT$3,'Standards for Conversions'!$A$47:$A$73,0)))=0,"",KU92/(INDEX('Standards for Conversions'!$H$47:$H$73,MATCH(KT$3,'Standards for Conversions'!$A$47:$A$73,0))))</f>
        <v/>
      </c>
      <c r="KW92" s="33" t="s">
        <v>39</v>
      </c>
      <c r="KZ92" s="31" t="str">
        <f>IF(KY92/(INDEX('Standards for Conversions'!$H$47:$H$73,MATCH(KX$3,'Standards for Conversions'!$A$47:$A$73,0)))=0,"",KY92/(INDEX('Standards for Conversions'!$H$47:$H$73,MATCH(KX$3,'Standards for Conversions'!$A$47:$A$73,0))))</f>
        <v/>
      </c>
      <c r="LA92" s="33" t="s">
        <v>39</v>
      </c>
      <c r="LD92" s="31" t="str">
        <f>IF(LC92/(INDEX('Standards for Conversions'!$H$47:$H$73,MATCH(LB$3,'Standards for Conversions'!$A$47:$A$73,0)))=0,"",LC92/(INDEX('Standards for Conversions'!$H$47:$H$73,MATCH(LB$3,'Standards for Conversions'!$A$47:$A$73,0))))</f>
        <v/>
      </c>
      <c r="LE92" s="48" t="s">
        <v>39</v>
      </c>
      <c r="LF92" s="29">
        <v>537</v>
      </c>
      <c r="LG92" s="29">
        <v>900</v>
      </c>
      <c r="LH92" s="31">
        <f>IF(LG92/(INDEX('Standards for Conversions'!$H$47:$H$73,MATCH(LF$3,'Standards for Conversions'!$A$47:$A$73,0)))=0,"",LG92/(INDEX('Standards for Conversions'!$H$47:$H$73,MATCH(LF$3,'Standards for Conversions'!$A$47:$A$73,0))))</f>
        <v>109.45491005474926</v>
      </c>
      <c r="LL92" s="31" t="str">
        <f>IF(LK92/(INDEX('Standards for Conversions'!$H$47:$H$73,MATCH(LJ$3,'Standards for Conversions'!$A$47:$A$73,0)))=0,"",LK92/(INDEX('Standards for Conversions'!$H$47:$H$73,MATCH(LJ$3,'Standards for Conversions'!$A$47:$A$73,0))))</f>
        <v/>
      </c>
      <c r="LO92" s="31" t="str">
        <f>IF(LN92/(INDEX('Standards for Conversions'!$H$47:$H$73,MATCH(LM$3,'Standards for Conversions'!$A$47:$A$73,0)))=0,"",LN92/(INDEX('Standards for Conversions'!$H$47:$H$73,MATCH(LM$3,'Standards for Conversions'!$A$47:$A$73,0))))</f>
        <v/>
      </c>
      <c r="LR92" s="31" t="str">
        <f>IF(LQ92/(INDEX('Standards for Conversions'!$H$47:$H$73,MATCH(LP$3,'Standards for Conversions'!$A$47:$A$73,0)))=0,"",LQ92/(INDEX('Standards for Conversions'!$H$47:$H$73,MATCH(LP$3,'Standards for Conversions'!$A$47:$A$73,0))))</f>
        <v/>
      </c>
      <c r="LV92" s="31" t="str">
        <f>IF(LU92/(INDEX('Standards for Conversions'!$H$47:$H$73,MATCH(LT$3,'Standards for Conversions'!$A$47:$A$73,0)))=0,"",LU92/(INDEX('Standards for Conversions'!$H$47:$H$73,MATCH(LT$3,'Standards for Conversions'!$A$47:$A$73,0))))</f>
        <v/>
      </c>
      <c r="LY92" s="31" t="str">
        <f>IF(LX92/(INDEX('Standards for Conversions'!$H$47:$H$73,MATCH(LW$3,'Standards for Conversions'!$A$47:$A$73,0)))=0,"",LX92/(INDEX('Standards for Conversions'!$H$47:$H$73,MATCH(LW$3,'Standards for Conversions'!$A$47:$A$73,0))))</f>
        <v/>
      </c>
      <c r="MB92" s="31" t="str">
        <f>IF(MA92/(INDEX('Standards for Conversions'!$H$47:$H$73,MATCH(LZ$3,'Standards for Conversions'!$A$47:$A$73,0)))=0,"",MA92/(INDEX('Standards for Conversions'!$H$47:$H$73,MATCH(LZ$3,'Standards for Conversions'!$A$47:$A$73,0))))</f>
        <v/>
      </c>
      <c r="ME92" s="31" t="str">
        <f>IF(MD92/(INDEX('Standards for Conversions'!$H$47:$H$73,MATCH(MC$3,'Standards for Conversions'!$A$47:$A$73,0)))=0,"",MD92/(INDEX('Standards for Conversions'!$H$47:$H$73,MATCH(MC$3,'Standards for Conversions'!$A$47:$A$73,0))))</f>
        <v/>
      </c>
      <c r="MH92" s="31" t="str">
        <f>IF(MG92/(INDEX('Standards for Conversions'!$H$47:$H$73,MATCH(MF$3,'Standards for Conversions'!$A$47:$A$73,0)))=0,"",MG92/(INDEX('Standards for Conversions'!$H$47:$H$73,MATCH(MF$3,'Standards for Conversions'!$A$47:$A$73,0))))</f>
        <v/>
      </c>
      <c r="MK92" s="31" t="str">
        <f>IF(MJ92/(INDEX('Standards for Conversions'!$H$47:$H$73,MATCH(MI$3,'Standards for Conversions'!$A$47:$A$73,0)))=0,"",MJ92/(INDEX('Standards for Conversions'!$H$47:$H$73,MATCH(MI$3,'Standards for Conversions'!$A$47:$A$73,0))))</f>
        <v/>
      </c>
      <c r="MN92" s="31" t="str">
        <f>IF(MM92/(INDEX('Standards for Conversions'!$H$47:$H$73,MATCH(ML$3,'Standards for Conversions'!$A$47:$A$73,0)))=0,"",MM92/(INDEX('Standards for Conversions'!$H$47:$H$73,MATCH(ML$3,'Standards for Conversions'!$A$47:$A$73,0))))</f>
        <v/>
      </c>
      <c r="MR92" s="31" t="str">
        <f>IF(MQ92/(INDEX('Standards for Conversions'!$H$47:$H$73,MATCH(MP$3,'Standards for Conversions'!$A$47:$A$73,0)))=0,"",MQ92/(INDEX('Standards for Conversions'!$H$47:$H$73,MATCH(MP$3,'Standards for Conversions'!$A$47:$A$73,0))))</f>
        <v/>
      </c>
    </row>
    <row r="93" spans="1:373" hidden="1" x14ac:dyDescent="0.3">
      <c r="A93" s="103" t="s">
        <v>162</v>
      </c>
      <c r="E93" s="31" t="str">
        <f>IF(D93/(INDEX('Standards for Conversions'!$H$34:$H$73,MATCH(C$3,'Standards for Conversions'!$A$34:$A$73,0)))=0,"",D93/(INDEX('Standards for Conversions'!$H$34:$H$73,MATCH(C$3,'Standards for Conversions'!$A$34:$A$73,0))))</f>
        <v/>
      </c>
      <c r="I93" s="31" t="str">
        <f>IF(H93/(INDEX('Standards for Conversions'!$H$34:$H$73,MATCH(G$3,'Standards for Conversions'!$A$34:$A$73,0)))=0,"",H93/(INDEX('Standards for Conversions'!$H$34:$H$73,MATCH(G$3,'Standards for Conversions'!$A$34:$A$73,0))))</f>
        <v/>
      </c>
      <c r="K93" s="10"/>
      <c r="L93" s="10"/>
      <c r="M93" s="31" t="str">
        <f>IF(L93/(INDEX('Standards for Conversions'!$H$34:$H$73,MATCH(K$3,'Standards for Conversions'!$A$34:$A$73,0)))=0,"",L93/(INDEX('Standards for Conversions'!$H$34:$H$73,MATCH(K$3,'Standards for Conversions'!$A$34:$A$73,0))))</f>
        <v/>
      </c>
      <c r="Q93" s="31" t="str">
        <f>IF(P93/(INDEX('Standards for Conversions'!$H$34:$H$73,MATCH(O$3,'Standards for Conversions'!$A$34:$A$73,0)))=0,"",P93/(INDEX('Standards for Conversions'!$H$34:$H$73,MATCH(O$3,'Standards for Conversions'!$A$34:$A$73,0))))</f>
        <v/>
      </c>
      <c r="U93" s="31" t="str">
        <f>IF(T93/(INDEX('Standards for Conversions'!$H$34:$H$73,MATCH(S$3,'Standards for Conversions'!$A$34:$A$73,0)))=0,"",T93/(INDEX('Standards for Conversions'!$H$34:$H$73,MATCH(S$3,'Standards for Conversions'!$A$34:$A$73,0))))</f>
        <v/>
      </c>
      <c r="Y93" s="31" t="str">
        <f>IF(X93/(INDEX('Standards for Conversions'!$H$34:$H$73,MATCH(W$3,'Standards for Conversions'!$A$34:$A$73,0)))=0,"",X93/(INDEX('Standards for Conversions'!$H$34:$H$73,MATCH(W$3,'Standards for Conversions'!$A$34:$A$73,0))))</f>
        <v/>
      </c>
      <c r="AA93" s="10"/>
      <c r="AB93" s="10"/>
      <c r="AC93" s="31" t="str">
        <f>IF(AB93/(INDEX('Standards for Conversions'!$H$34:$H$73,MATCH(AA$3,'Standards for Conversions'!$A$34:$A$73,0)))=0,"",AB93/(INDEX('Standards for Conversions'!$H$34:$H$73,MATCH(AA$3,'Standards for Conversions'!$A$34:$A$73,0))))</f>
        <v/>
      </c>
      <c r="AG93" s="31" t="str">
        <f>IF(AF93/(INDEX('Standards for Conversions'!$H$34:$H$73,MATCH(AE$3,'Standards for Conversions'!$A$34:$A$73,0)))=0,"",AF93/(INDEX('Standards for Conversions'!$H$34:$H$73,MATCH(AE$3,'Standards for Conversions'!$A$34:$A$73,0))))</f>
        <v/>
      </c>
      <c r="AK93" s="31" t="str">
        <f>IF(AJ93/(INDEX('Standards for Conversions'!$H$34:$H$73,MATCH(AI$3,'Standards for Conversions'!$A$34:$A$73,0)))=0,"",AJ93/(INDEX('Standards for Conversions'!$H$34:$H$73,MATCH(AI$3,'Standards for Conversions'!$A$34:$A$73,0))))</f>
        <v/>
      </c>
      <c r="AO93" s="31" t="str">
        <f>IF(AN93/(INDEX('Standards for Conversions'!$H$34:$H$73,MATCH(AM$3,'Standards for Conversions'!$A$34:$A$73,0)))=0,"",AN93/(INDEX('Standards for Conversions'!$H$34:$H$73,MATCH(AM$3,'Standards for Conversions'!$A$34:$A$73,0))))</f>
        <v/>
      </c>
      <c r="AQ93" s="10"/>
      <c r="AR93" s="10"/>
      <c r="AS93" s="31" t="str">
        <f>IF(AR93/(INDEX('Standards for Conversions'!$H$34:$H$73,MATCH(AQ$3,'Standards for Conversions'!$A$34:$A$73,0)))=0,"",AR93/(INDEX('Standards for Conversions'!$H$34:$H$73,MATCH(AQ$3,'Standards for Conversions'!$A$34:$A$73,0))))</f>
        <v/>
      </c>
      <c r="AW93" s="31" t="str">
        <f>IF(AV93/(INDEX('Standards for Conversions'!$H$34:$H$73,MATCH(AU$3,'Standards for Conversions'!$A$34:$A$73,0)))=0,"",AV93/(INDEX('Standards for Conversions'!$H$34:$H$73,MATCH(AU$3,'Standards for Conversions'!$A$34:$A$73,0))))</f>
        <v/>
      </c>
      <c r="BA93" s="31" t="str">
        <f>IF(AZ93/(INDEX('Standards for Conversions'!$H$34:$H$73,MATCH(AY$3,'Standards for Conversions'!$A$34:$A$73,0)))=0,"",AZ93/(INDEX('Standards for Conversions'!$H$34:$H$73,MATCH(AY$3,'Standards for Conversions'!$A$34:$A$73,0))))</f>
        <v/>
      </c>
      <c r="BE93" s="31" t="str">
        <f>IF(BD93/(INDEX('Standards for Conversions'!$H$34:$H$73,MATCH(BC$3,'Standards for Conversions'!$A$34:$A$73,0)))=0,"",BD93/(INDEX('Standards for Conversions'!$H$34:$H$73,MATCH(BC$3,'Standards for Conversions'!$A$34:$A$73,0))))</f>
        <v/>
      </c>
      <c r="BG93" s="10"/>
      <c r="BH93" s="10"/>
      <c r="BI93" s="31" t="str">
        <f>IF(BH93/(INDEX('Standards for Conversions'!$H$34:$H$73,MATCH(BG$3,'Standards for Conversions'!$A$34:$A$73,0)))=0,"",BH93/(INDEX('Standards for Conversions'!$H$34:$H$73,MATCH(BG$3,'Standards for Conversions'!$A$34:$A$73,0))))</f>
        <v/>
      </c>
      <c r="BM93" s="31" t="str">
        <f>IF(BL93/(INDEX('Standards for Conversions'!$H$34:$H$73,MATCH(BK$3,'Standards for Conversions'!$A$34:$A$73,0)))=0,"",BL93/(INDEX('Standards for Conversions'!$H$34:$H$73,MATCH(BK$3,'Standards for Conversions'!$A$34:$A$73,0))))</f>
        <v/>
      </c>
      <c r="BQ93" s="31" t="str">
        <f>IF(BP93/(INDEX('Standards for Conversions'!$H$34:$H$73,MATCH(BO$3,'Standards for Conversions'!$A$34:$A$73,0)))=0,"",BP93/(INDEX('Standards for Conversions'!$H$34:$H$73,MATCH(BO$3,'Standards for Conversions'!$A$34:$A$73,0))))</f>
        <v/>
      </c>
      <c r="BU93" s="31" t="str">
        <f>IF(BT93/(INDEX('Standards for Conversions'!$H$34:$H$73,MATCH(BS$3,'Standards for Conversions'!$A$34:$A$73,0)))=0,"",BT93/(INDEX('Standards for Conversions'!$H$34:$H$73,MATCH(BS$3,'Standards for Conversions'!$A$34:$A$73,0))))</f>
        <v/>
      </c>
      <c r="BW93" s="10"/>
      <c r="BX93" s="10"/>
      <c r="BY93" s="31" t="str">
        <f>IF(BX93/(INDEX('Standards for Conversions'!$H$34:$H$73,MATCH(BW$3,'Standards for Conversions'!$A$34:$A$73,0)))=0,"",BX93/(INDEX('Standards for Conversions'!$H$34:$H$73,MATCH(BW$3,'Standards for Conversions'!$A$34:$A$73,0))))</f>
        <v/>
      </c>
      <c r="CC93" s="31" t="str">
        <f>IF(CB93/(INDEX('Standards for Conversions'!$H$34:$H$73,MATCH(CA$3,'Standards for Conversions'!$A$34:$A$73,0)))=0,"",CB93/(INDEX('Standards for Conversions'!$H$34:$H$73,MATCH(CA$3,'Standards for Conversions'!$A$34:$A$73,0))))</f>
        <v/>
      </c>
      <c r="CG93" s="31" t="str">
        <f>IF(CF93/(INDEX('Standards for Conversions'!$H$34:$H$73,MATCH(CE$3,'Standards for Conversions'!$A$34:$A$73,0)))=0,"",CF93/(INDEX('Standards for Conversions'!$H$34:$H$73,MATCH(CE$3,'Standards for Conversions'!$A$34:$A$73,0))))</f>
        <v/>
      </c>
      <c r="CK93" s="31" t="str">
        <f>IF(CJ93/(INDEX('Standards for Conversions'!$H$34:$H$73,MATCH(CI$3,'Standards for Conversions'!$A$34:$A$73,0)))=0,"",CJ93/(INDEX('Standards for Conversions'!$H$34:$H$73,MATCH(CI$3,'Standards for Conversions'!$A$34:$A$73,0))))</f>
        <v/>
      </c>
      <c r="CM93" s="10"/>
      <c r="CN93" s="10"/>
      <c r="CO93" s="31" t="str">
        <f>IF(CN93/(INDEX('Standards for Conversions'!$H$34:$H$73,MATCH(CM$3,'Standards for Conversions'!$A$34:$A$73,0)))=0,"",CN93/(INDEX('Standards for Conversions'!$H$34:$H$73,MATCH(CM$3,'Standards for Conversions'!$A$34:$A$73,0))))</f>
        <v/>
      </c>
      <c r="CS93" s="31" t="str">
        <f>IF(CR93/(INDEX('Standards for Conversions'!$H$34:$H$73,MATCH(CQ$3,'Standards for Conversions'!$A$34:$A$73,0)))=0,"",CR93/(INDEX('Standards for Conversions'!$H$34:$H$73,MATCH(CQ$3,'Standards for Conversions'!$A$34:$A$73,0))))</f>
        <v/>
      </c>
      <c r="CW93" s="31" t="str">
        <f>IF(CV93/(INDEX('Standards for Conversions'!$H$34:$H$73,MATCH(CU$3,'Standards for Conversions'!$A$34:$A$73,0)))=0,"",CV93/(INDEX('Standards for Conversions'!$H$34:$H$73,MATCH(CU$3,'Standards for Conversions'!$A$34:$A$73,0))))</f>
        <v/>
      </c>
      <c r="DA93" s="31" t="str">
        <f>IF(CZ93/(INDEX('Standards for Conversions'!$H$34:$H$73,MATCH(CY$3,'Standards for Conversions'!$A$34:$A$73,0)))=0,"",CZ93/(INDEX('Standards for Conversions'!$H$34:$H$73,MATCH(CY$3,'Standards for Conversions'!$A$34:$A$73,0))))</f>
        <v/>
      </c>
      <c r="DC93" s="10"/>
      <c r="DD93" s="10"/>
      <c r="DE93" s="31" t="str">
        <f>IF(DD93/(INDEX('Standards for Conversions'!$H$34:$H$73,MATCH(DC$3,'Standards for Conversions'!$A$34:$A$73,0)))=0,"",DD93/(INDEX('Standards for Conversions'!$H$34:$H$73,MATCH(DC$3,'Standards for Conversions'!$A$34:$A$73,0))))</f>
        <v/>
      </c>
      <c r="DI93" s="31" t="str">
        <f>IF(DH93/(INDEX('Standards for Conversions'!$H$34:$H$73,MATCH(DG$3,'Standards for Conversions'!$A$34:$A$73,0)))=0,"",DH93/(INDEX('Standards for Conversions'!$H$34:$H$73,MATCH(DG$3,'Standards for Conversions'!$A$34:$A$73,0))))</f>
        <v/>
      </c>
      <c r="DM93" s="31" t="str">
        <f>IF(DL93/(INDEX('Standards for Conversions'!$H$34:$H$73,MATCH(DK$3,'Standards for Conversions'!$A$34:$A$73,0)))=0,"",DL93/(INDEX('Standards for Conversions'!$H$34:$H$73,MATCH(DK$3,'Standards for Conversions'!$A$34:$A$73,0))))</f>
        <v/>
      </c>
      <c r="DQ93" s="31" t="str">
        <f>IF(DP93/(INDEX('Standards for Conversions'!$H$34:$H$73,MATCH(DO$3,'Standards for Conversions'!$A$34:$A$73,0)))=0,"",DP93/(INDEX('Standards for Conversions'!$H$34:$H$73,MATCH(DO$3,'Standards for Conversions'!$A$34:$A$73,0))))</f>
        <v/>
      </c>
      <c r="DS93" s="10"/>
      <c r="DT93" s="10"/>
      <c r="DU93" s="31" t="str">
        <f>IF(DT93/(INDEX('Standards for Conversions'!$H$34:$H$73,MATCH(DS$3,'Standards for Conversions'!$A$34:$A$73,0)))=0,"",DT93/(INDEX('Standards for Conversions'!$H$34:$H$73,MATCH(DS$3,'Standards for Conversions'!$A$34:$A$73,0))))</f>
        <v/>
      </c>
      <c r="DY93" s="31" t="str">
        <f>IF(DX93/(INDEX('Standards for Conversions'!$H$34:$H$73,MATCH(DW$3,'Standards for Conversions'!$A$34:$A$73,0)))=0,"",DX93/(INDEX('Standards for Conversions'!$H$34:$H$73,MATCH(DW$3,'Standards for Conversions'!$A$34:$A$73,0))))</f>
        <v/>
      </c>
      <c r="EC93" s="31" t="str">
        <f>IF(EB93/(INDEX('Standards for Conversions'!$H$34:$H$73,MATCH(EA$3,'Standards for Conversions'!$A$34:$A$73,0)))=0,"",EB93/(INDEX('Standards for Conversions'!$H$34:$H$73,MATCH(EA$3,'Standards for Conversions'!$A$34:$A$73,0))))</f>
        <v/>
      </c>
      <c r="EG93" s="31" t="str">
        <f>IF(EF93/(INDEX('Standards for Conversions'!$H$34:$H$73,MATCH(EE$3,'Standards for Conversions'!$A$34:$A$73,0)))=0,"",EF93/(INDEX('Standards for Conversions'!$H$34:$H$73,MATCH(EE$3,'Standards for Conversions'!$A$34:$A$73,0))))</f>
        <v/>
      </c>
      <c r="EI93" s="10"/>
      <c r="EJ93" s="10"/>
      <c r="EK93" s="31" t="str">
        <f>IF(EJ93/(INDEX('Standards for Conversions'!$H$34:$H$73,MATCH(EI$3,'Standards for Conversions'!$A$34:$A$73,0)))=0,"",EJ93/(INDEX('Standards for Conversions'!$H$34:$H$73,MATCH(EI$3,'Standards for Conversions'!$A$34:$A$73,0))))</f>
        <v/>
      </c>
      <c r="EO93" s="31" t="str">
        <f>IF(EN93/(INDEX('Standards for Conversions'!$H$34:$H$73,MATCH(EM$3,'Standards for Conversions'!$A$34:$A$73,0)))=0,"",EN93/(INDEX('Standards for Conversions'!$H$34:$H$73,MATCH(EM$3,'Standards for Conversions'!$A$34:$A$73,0))))</f>
        <v/>
      </c>
      <c r="ES93" s="31" t="str">
        <f>IF(ER93/(INDEX('Standards for Conversions'!$H$34:$H$73,MATCH(EQ$3,'Standards for Conversions'!$A$34:$A$73,0)))=0,"",ER93/(INDEX('Standards for Conversions'!$H$34:$H$73,MATCH(EQ$3,'Standards for Conversions'!$A$34:$A$73,0))))</f>
        <v/>
      </c>
      <c r="EW93" s="31" t="str">
        <f>IF(EV93/(INDEX('Standards for Conversions'!$H$34:$H$73,MATCH(EU$3,'Standards for Conversions'!$A$34:$A$73,0)))=0,"",EV93/(INDEX('Standards for Conversions'!$H$34:$H$73,MATCH(EU$3,'Standards for Conversions'!$A$34:$A$73,0))))</f>
        <v/>
      </c>
      <c r="EY93" s="10"/>
      <c r="EZ93" s="10"/>
      <c r="FA93" s="31" t="str">
        <f>IF(EZ93/(INDEX('Standards for Conversions'!$H$34:$H$73,MATCH(EY$3,'Standards for Conversions'!$A$34:$A$73,0)))=0,"",EZ93/(INDEX('Standards for Conversions'!$H$34:$H$73,MATCH(EY$3,'Standards for Conversions'!$A$34:$A$73,0))))</f>
        <v/>
      </c>
      <c r="FE93" s="31" t="str">
        <f>IF(FD93/(INDEX('Standards for Conversions'!$H$34:$H$73,MATCH(FC$3,'Standards for Conversions'!$A$34:$A$73,0)))=0,"",FD93/(INDEX('Standards for Conversions'!$H$34:$H$73,MATCH(FC$3,'Standards for Conversions'!$A$34:$A$73,0))))</f>
        <v/>
      </c>
      <c r="FI93" s="31" t="str">
        <f>IF(FH93/(INDEX('Standards for Conversions'!$H$34:$H$73,MATCH(FG$3,'Standards for Conversions'!$A$34:$A$73,0)))=0,"",FH93/(INDEX('Standards for Conversions'!$H$34:$H$73,MATCH(FG$3,'Standards for Conversions'!$A$34:$A$73,0))))</f>
        <v/>
      </c>
      <c r="FM93" s="31" t="str">
        <f>IF(FL93/(INDEX('Standards for Conversions'!$H$34:$H$73,MATCH(FK$3,'Standards for Conversions'!$A$34:$A$73,0)))=0,"",FL93/(INDEX('Standards for Conversions'!$H$34:$H$73,MATCH(FK$3,'Standards for Conversions'!$A$34:$A$73,0))))</f>
        <v/>
      </c>
      <c r="FO93" s="10"/>
      <c r="FP93" s="10"/>
      <c r="FQ93" s="31" t="str">
        <f>IF(FP93/(INDEX('Standards for Conversions'!$H$34:$H$73,MATCH(FO$3,'Standards for Conversions'!$A$34:$A$73,0)))=0,"",FP93/(INDEX('Standards for Conversions'!$H$34:$H$73,MATCH(FO$3,'Standards for Conversions'!$A$34:$A$73,0))))</f>
        <v/>
      </c>
      <c r="FU93" s="31" t="str">
        <f>IF(FT93/(INDEX('Standards for Conversions'!$H$34:$H$73,MATCH(FS$3,'Standards for Conversions'!$A$34:$A$73,0)))=0,"",FT93/(INDEX('Standards for Conversions'!$H$34:$H$73,MATCH(FS$3,'Standards for Conversions'!$A$34:$A$73,0))))</f>
        <v/>
      </c>
      <c r="FY93" s="31" t="str">
        <f>IF(FX93/(INDEX('Standards for Conversions'!$H$34:$H$73,MATCH(FW$3,'Standards for Conversions'!$A$34:$A$73,0)))=0,"",FX93/(INDEX('Standards for Conversions'!$H$34:$H$73,MATCH(FW$3,'Standards for Conversions'!$A$34:$A$73,0))))</f>
        <v/>
      </c>
      <c r="GC93" s="31" t="str">
        <f>IF(GB93/(INDEX('Standards for Conversions'!$H$34:$H$73,MATCH(GA$3,'Standards for Conversions'!$A$34:$A$73,0)))=0,"",GB93/(INDEX('Standards for Conversions'!$H$34:$H$73,MATCH(GA$3,'Standards for Conversions'!$A$34:$A$73,0))))</f>
        <v/>
      </c>
      <c r="GE93" s="10"/>
      <c r="GF93" s="10"/>
      <c r="GG93" s="31" t="str">
        <f>IF(GF93/(INDEX('Standards for Conversions'!$H$34:$H$73,MATCH(GE$3,'Standards for Conversions'!$A$34:$A$73,0)))=0,"",GF93/(INDEX('Standards for Conversions'!$H$34:$H$73,MATCH(GE$3,'Standards for Conversions'!$A$34:$A$73,0))))</f>
        <v/>
      </c>
      <c r="GK93" s="31" t="str">
        <f>IF(GJ93/(INDEX('Standards for Conversions'!$H$34:$H$73,MATCH(GI$3,'Standards for Conversions'!$A$34:$A$73,0)))=0,"",GJ93/(INDEX('Standards for Conversions'!$H$34:$H$73,MATCH(GI$3,'Standards for Conversions'!$A$34:$A$73,0))))</f>
        <v/>
      </c>
      <c r="GO93" s="31" t="str">
        <f>IF(GN93/(INDEX('Standards for Conversions'!$H$34:$H$73,MATCH(GM$3,'Standards for Conversions'!$A$34:$A$73,0)))=0,"",GN93/(INDEX('Standards for Conversions'!$H$34:$H$73,MATCH(GM$3,'Standards for Conversions'!$A$34:$A$73,0))))</f>
        <v/>
      </c>
      <c r="GS93" s="31" t="str">
        <f>IF(GR93/(INDEX('Standards for Conversions'!$H$34:$H$73,MATCH(GQ$3,'Standards for Conversions'!$A$34:$A$73,0)))=0,"",GR93/(INDEX('Standards for Conversions'!$H$34:$H$73,MATCH(GQ$3,'Standards for Conversions'!$A$34:$A$73,0))))</f>
        <v/>
      </c>
      <c r="GU93" s="10"/>
      <c r="GV93" s="10"/>
      <c r="GW93" s="31" t="str">
        <f>IF(GV93/(INDEX('Standards for Conversions'!$H$34:$H$73,MATCH(GU$3,'Standards for Conversions'!$A$34:$A$73,0)))=0,"",GV93/(INDEX('Standards for Conversions'!$H$34:$H$73,MATCH(GU$3,'Standards for Conversions'!$A$34:$A$73,0))))</f>
        <v/>
      </c>
      <c r="HA93" s="31" t="str">
        <f>IF(GZ93/(INDEX('Standards for Conversions'!$H$34:$H$73,MATCH(GY$3,'Standards for Conversions'!$A$34:$A$73,0)))=0,"",GZ93/(INDEX('Standards for Conversions'!$H$34:$H$73,MATCH(GY$3,'Standards for Conversions'!$A$34:$A$73,0))))</f>
        <v/>
      </c>
      <c r="HE93" s="31" t="str">
        <f>IF(HD93/(INDEX('Standards for Conversions'!$H$34:$H$73,MATCH(HC$3,'Standards for Conversions'!$A$34:$A$73,0)))=0,"",HD93/(INDEX('Standards for Conversions'!$H$34:$H$73,MATCH(HC$3,'Standards for Conversions'!$A$34:$A$73,0))))</f>
        <v/>
      </c>
      <c r="HI93" s="31" t="str">
        <f>IF(HH93/(INDEX('Standards for Conversions'!$H$34:$H$73,MATCH(HG$3,'Standards for Conversions'!$A$34:$A$73,0)))=0,"",HH93/(INDEX('Standards for Conversions'!$H$34:$H$73,MATCH(HG$3,'Standards for Conversions'!$A$34:$A$73,0))))</f>
        <v/>
      </c>
      <c r="HK93" s="10"/>
      <c r="HL93" s="10"/>
      <c r="HM93" s="31" t="str">
        <f>IF(HL93/(INDEX('Standards for Conversions'!$H$34:$H$73,MATCH(HK$3,'Standards for Conversions'!$A$34:$A$73,0)))=0,"",HL93/(INDEX('Standards for Conversions'!$H$34:$H$73,MATCH(HK$3,'Standards for Conversions'!$A$34:$A$73,0))))</f>
        <v/>
      </c>
      <c r="HQ93" s="31" t="str">
        <f>IF(HP93/(INDEX('Standards for Conversions'!$H$34:$H$73,MATCH(HO$3,'Standards for Conversions'!$A$34:$A$73,0)))=0,"",HP93/(INDEX('Standards for Conversions'!$H$34:$H$73,MATCH(HO$3,'Standards for Conversions'!$A$34:$A$73,0))))</f>
        <v/>
      </c>
      <c r="HU93" s="31" t="str">
        <f>IF(HT93/(INDEX('Standards for Conversions'!$H$47:$H$73,MATCH(HS$3,'Standards for Conversions'!$A$47:$A$73,0)))=0,"",HT93/(INDEX('Standards for Conversions'!$H$47:$H$73,MATCH(HS$3,'Standards for Conversions'!$A$47:$A$73,0))))</f>
        <v/>
      </c>
      <c r="HY93" s="31" t="str">
        <f>IF(HX93/(INDEX('Standards for Conversions'!$H$47:$H$73,MATCH(HW$3,'Standards for Conversions'!$A$47:$A$73,0)))=0,"",HX93/(INDEX('Standards for Conversions'!$H$47:$H$73,MATCH(HW$3,'Standards for Conversions'!$A$47:$A$73,0))))</f>
        <v/>
      </c>
      <c r="HZ93" s="33"/>
      <c r="IA93" s="33"/>
      <c r="IB93" s="31" t="str">
        <f>IF(IA93/(INDEX('Standards for Conversions'!$H$47:$H$73,MATCH(HZ$3,'Standards for Conversions'!$A$47:$A$73,0)))=0,"",IA93/(INDEX('Standards for Conversions'!$H$47:$H$73,MATCH(HZ$3,'Standards for Conversions'!$A$47:$A$73,0))))</f>
        <v/>
      </c>
      <c r="IF93" s="31" t="str">
        <f>IF(IE93/(INDEX('Standards for Conversions'!$H$47:$H$73,MATCH(ID$3,'Standards for Conversions'!$A$47:$A$73,0)))=0,"",IE93/(INDEX('Standards for Conversions'!$H$47:$H$73,MATCH(ID$3,'Standards for Conversions'!$A$47:$A$73,0))))</f>
        <v/>
      </c>
      <c r="IJ93" s="31" t="str">
        <f>IF(II93/(INDEX('Standards for Conversions'!$H$47:$H$73,MATCH(IH$3,'Standards for Conversions'!$A$47:$A$73,0)))=0,"",II93/(INDEX('Standards for Conversions'!$H$47:$H$73,MATCH(IH$3,'Standards for Conversions'!$A$47:$A$73,0))))</f>
        <v/>
      </c>
      <c r="IN93" s="31" t="str">
        <f>IF(IM93/(INDEX('Standards for Conversions'!$H$47:$H$73,MATCH(IL$3,'Standards for Conversions'!$A$47:$A$73,0)))=0,"",IM93/(INDEX('Standards for Conversions'!$H$47:$H$73,MATCH(IL$3,'Standards for Conversions'!$A$47:$A$73,0))))</f>
        <v/>
      </c>
      <c r="IR93" s="31" t="str">
        <f>IF(IQ93/(INDEX('Standards for Conversions'!$H$47:$H$73,MATCH(IP$3,'Standards for Conversions'!$A$47:$A$73,0)))=0,"",IQ93/(INDEX('Standards for Conversions'!$H$47:$H$73,MATCH(IP$3,'Standards for Conversions'!$A$47:$A$73,0))))</f>
        <v/>
      </c>
      <c r="IV93" s="31" t="str">
        <f>IF(IU93/(INDEX('Standards for Conversions'!$H$47:$H$73,MATCH(IT$3,'Standards for Conversions'!$A$47:$A$73,0)))=0,"",IU93/(INDEX('Standards for Conversions'!$H$47:$H$73,MATCH(IT$3,'Standards for Conversions'!$A$47:$A$73,0))))</f>
        <v/>
      </c>
      <c r="IZ93" s="31" t="str">
        <f>IF(IY93/(INDEX('Standards for Conversions'!$H$47:$H$73,MATCH(IX$3,'Standards for Conversions'!$A$47:$A$73,0)))=0,"",IY93/(INDEX('Standards for Conversions'!$H$47:$H$73,MATCH(IX$3,'Standards for Conversions'!$A$47:$A$73,0))))</f>
        <v/>
      </c>
      <c r="JA93" s="33"/>
      <c r="JD93" s="31" t="str">
        <f>IF(JC93/(INDEX('Standards for Conversions'!$H$47:$H$73,MATCH(JB$3,'Standards for Conversions'!$A$47:$A$73,0)))=0,"",JC93/(INDEX('Standards for Conversions'!$H$47:$H$73,MATCH(JB$3,'Standards for Conversions'!$A$47:$A$73,0))))</f>
        <v/>
      </c>
      <c r="JE93" s="33"/>
      <c r="JH93" s="31" t="str">
        <f>IF(JG93/(INDEX('Standards for Conversions'!$H$47:$H$73,MATCH(JF$3,'Standards for Conversions'!$A$47:$A$73,0)))=0,"",JG93/(INDEX('Standards for Conversions'!$H$47:$H$73,MATCH(JF$3,'Standards for Conversions'!$A$47:$A$73,0))))</f>
        <v/>
      </c>
      <c r="JL93" s="31" t="str">
        <f>IF(JK93/(INDEX('Standards for Conversions'!$H$47:$H$73,MATCH(JJ$3,'Standards for Conversions'!$A$47:$A$73,0)))=0,"",JK93/(INDEX('Standards for Conversions'!$H$47:$H$73,MATCH(JJ$3,'Standards for Conversions'!$A$47:$A$73,0))))</f>
        <v/>
      </c>
      <c r="JP93" s="31" t="str">
        <f>IF(JO93/(INDEX('Standards for Conversions'!$H$47:$H$73,MATCH(JN$3,'Standards for Conversions'!$A$47:$A$73,0)))=0,"",JO93/(INDEX('Standards for Conversions'!$H$47:$H$73,MATCH(JN$3,'Standards for Conversions'!$A$47:$A$73,0))))</f>
        <v/>
      </c>
      <c r="JT93" s="31" t="str">
        <f>IF(JS93/(INDEX('Standards for Conversions'!$H$47:$H$73,MATCH(JR$3,'Standards for Conversions'!$A$47:$A$73,0)))=0,"",JS93/(INDEX('Standards for Conversions'!$H$47:$H$73,MATCH(JR$3,'Standards for Conversions'!$A$47:$A$73,0))))</f>
        <v/>
      </c>
      <c r="JX93" s="31" t="str">
        <f>IF(JW93/(INDEX('Standards for Conversions'!$H$47:$H$73,MATCH(JV$3,'Standards for Conversions'!$A$47:$A$73,0)))=0,"",JW93/(INDEX('Standards for Conversions'!$H$47:$H$73,MATCH(JV$3,'Standards for Conversions'!$A$47:$A$73,0))))</f>
        <v/>
      </c>
      <c r="KB93" s="31" t="str">
        <f>IF(KA93/(INDEX('Standards for Conversions'!$H$47:$H$73,MATCH(JZ$3,'Standards for Conversions'!$A$47:$A$73,0)))=0,"",KA93/(INDEX('Standards for Conversions'!$H$47:$H$73,MATCH(JZ$3,'Standards for Conversions'!$A$47:$A$73,0))))</f>
        <v/>
      </c>
      <c r="KF93" s="31" t="str">
        <f>IF(KE93/(INDEX('Standards for Conversions'!$H$47:$H$73,MATCH(KD$3,'Standards for Conversions'!$A$47:$A$73,0)))=0,"",KE93/(INDEX('Standards for Conversions'!$H$47:$H$73,MATCH(KD$3,'Standards for Conversions'!$A$47:$A$73,0))))</f>
        <v/>
      </c>
      <c r="KJ93" s="31" t="str">
        <f>IF(KI93/(INDEX('Standards for Conversions'!$H$47:$H$73,MATCH(KH$3,'Standards for Conversions'!$A$47:$A$73,0)))=0,"",KI93/(INDEX('Standards for Conversions'!$H$47:$H$73,MATCH(KH$3,'Standards for Conversions'!$A$47:$A$73,0))))</f>
        <v/>
      </c>
      <c r="KN93" s="31" t="str">
        <f>IF(KM93/(INDEX('Standards for Conversions'!$H$47:$H$73,MATCH(KL$3,'Standards for Conversions'!$A$47:$A$73,0)))=0,"",KM93/(INDEX('Standards for Conversions'!$H$47:$H$73,MATCH(KL$3,'Standards for Conversions'!$A$47:$A$73,0))))</f>
        <v/>
      </c>
      <c r="KR93" s="31" t="str">
        <f>IF(KQ93/(INDEX('Standards for Conversions'!$H$47:$H$73,MATCH(KP$3,'Standards for Conversions'!$A$47:$A$73,0)))=0,"",KQ93/(INDEX('Standards for Conversions'!$H$47:$H$73,MATCH(KP$3,'Standards for Conversions'!$A$47:$A$73,0))))</f>
        <v/>
      </c>
      <c r="KV93" s="31" t="str">
        <f>IF(KU93/(INDEX('Standards for Conversions'!$H$47:$H$73,MATCH(KT$3,'Standards for Conversions'!$A$47:$A$73,0)))=0,"",KU93/(INDEX('Standards for Conversions'!$H$47:$H$73,MATCH(KT$3,'Standards for Conversions'!$A$47:$A$73,0))))</f>
        <v/>
      </c>
      <c r="KW93" s="33"/>
      <c r="KZ93" s="31" t="str">
        <f>IF(KY93/(INDEX('Standards for Conversions'!$H$47:$H$73,MATCH(KX$3,'Standards for Conversions'!$A$47:$A$73,0)))=0,"",KY93/(INDEX('Standards for Conversions'!$H$47:$H$73,MATCH(KX$3,'Standards for Conversions'!$A$47:$A$73,0))))</f>
        <v/>
      </c>
      <c r="LD93" s="31" t="str">
        <f>IF(LC93/(INDEX('Standards for Conversions'!$H$47:$H$73,MATCH(LB$3,'Standards for Conversions'!$A$47:$A$73,0)))=0,"",LC93/(INDEX('Standards for Conversions'!$H$47:$H$73,MATCH(LB$3,'Standards for Conversions'!$A$47:$A$73,0))))</f>
        <v/>
      </c>
      <c r="LH93" s="31" t="str">
        <f>IF(LG93/(INDEX('Standards for Conversions'!$H$47:$H$73,MATCH(LF$3,'Standards for Conversions'!$A$47:$A$73,0)))=0,"",LG93/(INDEX('Standards for Conversions'!$H$47:$H$73,MATCH(LF$3,'Standards for Conversions'!$A$47:$A$73,0))))</f>
        <v/>
      </c>
      <c r="LL93" s="31" t="str">
        <f>IF(LK93/(INDEX('Standards for Conversions'!$H$47:$H$73,MATCH(LJ$3,'Standards for Conversions'!$A$47:$A$73,0)))=0,"",LK93/(INDEX('Standards for Conversions'!$H$47:$H$73,MATCH(LJ$3,'Standards for Conversions'!$A$47:$A$73,0))))</f>
        <v/>
      </c>
      <c r="LO93" s="31" t="str">
        <f>IF(LN93/(INDEX('Standards for Conversions'!$H$47:$H$73,MATCH(LM$3,'Standards for Conversions'!$A$47:$A$73,0)))=0,"",LN93/(INDEX('Standards for Conversions'!$H$47:$H$73,MATCH(LM$3,'Standards for Conversions'!$A$47:$A$73,0))))</f>
        <v/>
      </c>
      <c r="LR93" s="31" t="str">
        <f>IF(LQ93/(INDEX('Standards for Conversions'!$H$47:$H$73,MATCH(LP$3,'Standards for Conversions'!$A$47:$A$73,0)))=0,"",LQ93/(INDEX('Standards for Conversions'!$H$47:$H$73,MATCH(LP$3,'Standards for Conversions'!$A$47:$A$73,0))))</f>
        <v/>
      </c>
      <c r="LV93" s="31" t="str">
        <f>IF(LU93/(INDEX('Standards for Conversions'!$H$47:$H$73,MATCH(LT$3,'Standards for Conversions'!$A$47:$A$73,0)))=0,"",LU93/(INDEX('Standards for Conversions'!$H$47:$H$73,MATCH(LT$3,'Standards for Conversions'!$A$47:$A$73,0))))</f>
        <v/>
      </c>
      <c r="LY93" s="31" t="str">
        <f>IF(LX93/(INDEX('Standards for Conversions'!$H$47:$H$73,MATCH(LW$3,'Standards for Conversions'!$A$47:$A$73,0)))=0,"",LX93/(INDEX('Standards for Conversions'!$H$47:$H$73,MATCH(LW$3,'Standards for Conversions'!$A$47:$A$73,0))))</f>
        <v/>
      </c>
      <c r="MB93" s="31" t="str">
        <f>IF(MA93/(INDEX('Standards for Conversions'!$H$47:$H$73,MATCH(LZ$3,'Standards for Conversions'!$A$47:$A$73,0)))=0,"",MA93/(INDEX('Standards for Conversions'!$H$47:$H$73,MATCH(LZ$3,'Standards for Conversions'!$A$47:$A$73,0))))</f>
        <v/>
      </c>
      <c r="ME93" s="31" t="str">
        <f>IF(MD93/(INDEX('Standards for Conversions'!$H$47:$H$73,MATCH(MC$3,'Standards for Conversions'!$A$47:$A$73,0)))=0,"",MD93/(INDEX('Standards for Conversions'!$H$47:$H$73,MATCH(MC$3,'Standards for Conversions'!$A$47:$A$73,0))))</f>
        <v/>
      </c>
      <c r="MH93" s="31" t="str">
        <f>IF(MG93/(INDEX('Standards for Conversions'!$H$47:$H$73,MATCH(MF$3,'Standards for Conversions'!$A$47:$A$73,0)))=0,"",MG93/(INDEX('Standards for Conversions'!$H$47:$H$73,MATCH(MF$3,'Standards for Conversions'!$A$47:$A$73,0))))</f>
        <v/>
      </c>
      <c r="MK93" s="31" t="str">
        <f>IF(MJ93/(INDEX('Standards for Conversions'!$H$47:$H$73,MATCH(MI$3,'Standards for Conversions'!$A$47:$A$73,0)))=0,"",MJ93/(INDEX('Standards for Conversions'!$H$47:$H$73,MATCH(MI$3,'Standards for Conversions'!$A$47:$A$73,0))))</f>
        <v/>
      </c>
      <c r="MN93" s="31" t="str">
        <f>IF(MM93/(INDEX('Standards for Conversions'!$H$47:$H$73,MATCH(ML$3,'Standards for Conversions'!$A$47:$A$73,0)))=0,"",MM93/(INDEX('Standards for Conversions'!$H$47:$H$73,MATCH(ML$3,'Standards for Conversions'!$A$47:$A$73,0))))</f>
        <v/>
      </c>
      <c r="MR93" s="31" t="str">
        <f>IF(MQ93/(INDEX('Standards for Conversions'!$H$47:$H$73,MATCH(MP$3,'Standards for Conversions'!$A$47:$A$73,0)))=0,"",MQ93/(INDEX('Standards for Conversions'!$H$47:$H$73,MATCH(MP$3,'Standards for Conversions'!$A$47:$A$73,0))))</f>
        <v/>
      </c>
    </row>
    <row r="94" spans="1:373" hidden="1" x14ac:dyDescent="0.3">
      <c r="A94" s="103" t="s">
        <v>327</v>
      </c>
      <c r="B94" s="10" t="s">
        <v>38</v>
      </c>
      <c r="E94" s="31" t="str">
        <f>IF(D94/(INDEX('Standards for Conversions'!$H$34:$H$73,MATCH(C$3,'Standards for Conversions'!$A$34:$A$73,0)))=0,"",D94/(INDEX('Standards for Conversions'!$H$34:$H$73,MATCH(C$3,'Standards for Conversions'!$A$34:$A$73,0))))</f>
        <v/>
      </c>
      <c r="F94" s="10" t="s">
        <v>38</v>
      </c>
      <c r="I94" s="31" t="str">
        <f>IF(H94/(INDEX('Standards for Conversions'!$H$34:$H$73,MATCH(G$3,'Standards for Conversions'!$A$34:$A$73,0)))=0,"",H94/(INDEX('Standards for Conversions'!$H$34:$H$73,MATCH(G$3,'Standards for Conversions'!$A$34:$A$73,0))))</f>
        <v/>
      </c>
      <c r="J94" s="10" t="s">
        <v>38</v>
      </c>
      <c r="K94" s="10"/>
      <c r="L94" s="10"/>
      <c r="M94" s="31" t="str">
        <f>IF(L94/(INDEX('Standards for Conversions'!$H$34:$H$73,MATCH(K$3,'Standards for Conversions'!$A$34:$A$73,0)))=0,"",L94/(INDEX('Standards for Conversions'!$H$34:$H$73,MATCH(K$3,'Standards for Conversions'!$A$34:$A$73,0))))</f>
        <v/>
      </c>
      <c r="N94" s="10" t="s">
        <v>38</v>
      </c>
      <c r="Q94" s="31" t="str">
        <f>IF(P94/(INDEX('Standards for Conversions'!$H$34:$H$73,MATCH(O$3,'Standards for Conversions'!$A$34:$A$73,0)))=0,"",P94/(INDEX('Standards for Conversions'!$H$34:$H$73,MATCH(O$3,'Standards for Conversions'!$A$34:$A$73,0))))</f>
        <v/>
      </c>
      <c r="R94" s="10" t="s">
        <v>38</v>
      </c>
      <c r="U94" s="31" t="str">
        <f>IF(T94/(INDEX('Standards for Conversions'!$H$34:$H$73,MATCH(S$3,'Standards for Conversions'!$A$34:$A$73,0)))=0,"",T94/(INDEX('Standards for Conversions'!$H$34:$H$73,MATCH(S$3,'Standards for Conversions'!$A$34:$A$73,0))))</f>
        <v/>
      </c>
      <c r="V94" s="10" t="s">
        <v>38</v>
      </c>
      <c r="Y94" s="31" t="str">
        <f>IF(X94/(INDEX('Standards for Conversions'!$H$34:$H$73,MATCH(W$3,'Standards for Conversions'!$A$34:$A$73,0)))=0,"",X94/(INDEX('Standards for Conversions'!$H$34:$H$73,MATCH(W$3,'Standards for Conversions'!$A$34:$A$73,0))))</f>
        <v/>
      </c>
      <c r="Z94" s="10" t="s">
        <v>38</v>
      </c>
      <c r="AA94" s="10"/>
      <c r="AB94" s="10"/>
      <c r="AC94" s="31" t="str">
        <f>IF(AB94/(INDEX('Standards for Conversions'!$H$34:$H$73,MATCH(AA$3,'Standards for Conversions'!$A$34:$A$73,0)))=0,"",AB94/(INDEX('Standards for Conversions'!$H$34:$H$73,MATCH(AA$3,'Standards for Conversions'!$A$34:$A$73,0))))</f>
        <v/>
      </c>
      <c r="AD94" s="10" t="s">
        <v>38</v>
      </c>
      <c r="AG94" s="31" t="str">
        <f>IF(AF94/(INDEX('Standards for Conversions'!$H$34:$H$73,MATCH(AE$3,'Standards for Conversions'!$A$34:$A$73,0)))=0,"",AF94/(INDEX('Standards for Conversions'!$H$34:$H$73,MATCH(AE$3,'Standards for Conversions'!$A$34:$A$73,0))))</f>
        <v/>
      </c>
      <c r="AH94" s="10" t="s">
        <v>38</v>
      </c>
      <c r="AK94" s="31" t="str">
        <f>IF(AJ94/(INDEX('Standards for Conversions'!$H$34:$H$73,MATCH(AI$3,'Standards for Conversions'!$A$34:$A$73,0)))=0,"",AJ94/(INDEX('Standards for Conversions'!$H$34:$H$73,MATCH(AI$3,'Standards for Conversions'!$A$34:$A$73,0))))</f>
        <v/>
      </c>
      <c r="AL94" s="10" t="s">
        <v>38</v>
      </c>
      <c r="AO94" s="31" t="str">
        <f>IF(AN94/(INDEX('Standards for Conversions'!$H$34:$H$73,MATCH(AM$3,'Standards for Conversions'!$A$34:$A$73,0)))=0,"",AN94/(INDEX('Standards for Conversions'!$H$34:$H$73,MATCH(AM$3,'Standards for Conversions'!$A$34:$A$73,0))))</f>
        <v/>
      </c>
      <c r="AP94" s="10" t="s">
        <v>38</v>
      </c>
      <c r="AQ94" s="10"/>
      <c r="AR94" s="10"/>
      <c r="AS94" s="31" t="str">
        <f>IF(AR94/(INDEX('Standards for Conversions'!$H$34:$H$73,MATCH(AQ$3,'Standards for Conversions'!$A$34:$A$73,0)))=0,"",AR94/(INDEX('Standards for Conversions'!$H$34:$H$73,MATCH(AQ$3,'Standards for Conversions'!$A$34:$A$73,0))))</f>
        <v/>
      </c>
      <c r="AT94" s="10" t="s">
        <v>38</v>
      </c>
      <c r="AW94" s="31" t="str">
        <f>IF(AV94/(INDEX('Standards for Conversions'!$H$34:$H$73,MATCH(AU$3,'Standards for Conversions'!$A$34:$A$73,0)))=0,"",AV94/(INDEX('Standards for Conversions'!$H$34:$H$73,MATCH(AU$3,'Standards for Conversions'!$A$34:$A$73,0))))</f>
        <v/>
      </c>
      <c r="AX94" s="10" t="s">
        <v>38</v>
      </c>
      <c r="BA94" s="31" t="str">
        <f>IF(AZ94/(INDEX('Standards for Conversions'!$H$34:$H$73,MATCH(AY$3,'Standards for Conversions'!$A$34:$A$73,0)))=0,"",AZ94/(INDEX('Standards for Conversions'!$H$34:$H$73,MATCH(AY$3,'Standards for Conversions'!$A$34:$A$73,0))))</f>
        <v/>
      </c>
      <c r="BB94" s="10" t="s">
        <v>38</v>
      </c>
      <c r="BE94" s="31" t="str">
        <f>IF(BD94/(INDEX('Standards for Conversions'!$H$34:$H$73,MATCH(BC$3,'Standards for Conversions'!$A$34:$A$73,0)))=0,"",BD94/(INDEX('Standards for Conversions'!$H$34:$H$73,MATCH(BC$3,'Standards for Conversions'!$A$34:$A$73,0))))</f>
        <v/>
      </c>
      <c r="BF94" s="10" t="s">
        <v>38</v>
      </c>
      <c r="BG94" s="10"/>
      <c r="BH94" s="10"/>
      <c r="BI94" s="31" t="str">
        <f>IF(BH94/(INDEX('Standards for Conversions'!$H$34:$H$73,MATCH(BG$3,'Standards for Conversions'!$A$34:$A$73,0)))=0,"",BH94/(INDEX('Standards for Conversions'!$H$34:$H$73,MATCH(BG$3,'Standards for Conversions'!$A$34:$A$73,0))))</f>
        <v/>
      </c>
      <c r="BJ94" s="10" t="s">
        <v>38</v>
      </c>
      <c r="BM94" s="31" t="str">
        <f>IF(BL94/(INDEX('Standards for Conversions'!$H$34:$H$73,MATCH(BK$3,'Standards for Conversions'!$A$34:$A$73,0)))=0,"",BL94/(INDEX('Standards for Conversions'!$H$34:$H$73,MATCH(BK$3,'Standards for Conversions'!$A$34:$A$73,0))))</f>
        <v/>
      </c>
      <c r="BN94" s="10" t="s">
        <v>38</v>
      </c>
      <c r="BQ94" s="31" t="str">
        <f>IF(BP94/(INDEX('Standards for Conversions'!$H$34:$H$73,MATCH(BO$3,'Standards for Conversions'!$A$34:$A$73,0)))=0,"",BP94/(INDEX('Standards for Conversions'!$H$34:$H$73,MATCH(BO$3,'Standards for Conversions'!$A$34:$A$73,0))))</f>
        <v/>
      </c>
      <c r="BR94" s="10" t="s">
        <v>38</v>
      </c>
      <c r="BU94" s="31" t="str">
        <f>IF(BT94/(INDEX('Standards for Conversions'!$H$34:$H$73,MATCH(BS$3,'Standards for Conversions'!$A$34:$A$73,0)))=0,"",BT94/(INDEX('Standards for Conversions'!$H$34:$H$73,MATCH(BS$3,'Standards for Conversions'!$A$34:$A$73,0))))</f>
        <v/>
      </c>
      <c r="BV94" s="10" t="s">
        <v>38</v>
      </c>
      <c r="BW94" s="10"/>
      <c r="BX94" s="10"/>
      <c r="BY94" s="31" t="str">
        <f>IF(BX94/(INDEX('Standards for Conversions'!$H$34:$H$73,MATCH(BW$3,'Standards for Conversions'!$A$34:$A$73,0)))=0,"",BX94/(INDEX('Standards for Conversions'!$H$34:$H$73,MATCH(BW$3,'Standards for Conversions'!$A$34:$A$73,0))))</f>
        <v/>
      </c>
      <c r="BZ94" s="10" t="s">
        <v>38</v>
      </c>
      <c r="CC94" s="31" t="str">
        <f>IF(CB94/(INDEX('Standards for Conversions'!$H$34:$H$73,MATCH(CA$3,'Standards for Conversions'!$A$34:$A$73,0)))=0,"",CB94/(INDEX('Standards for Conversions'!$H$34:$H$73,MATCH(CA$3,'Standards for Conversions'!$A$34:$A$73,0))))</f>
        <v/>
      </c>
      <c r="CD94" s="10" t="s">
        <v>38</v>
      </c>
      <c r="CG94" s="31" t="str">
        <f>IF(CF94/(INDEX('Standards for Conversions'!$H$34:$H$73,MATCH(CE$3,'Standards for Conversions'!$A$34:$A$73,0)))=0,"",CF94/(INDEX('Standards for Conversions'!$H$34:$H$73,MATCH(CE$3,'Standards for Conversions'!$A$34:$A$73,0))))</f>
        <v/>
      </c>
      <c r="CH94" s="10" t="s">
        <v>38</v>
      </c>
      <c r="CK94" s="31" t="str">
        <f>IF(CJ94/(INDEX('Standards for Conversions'!$H$34:$H$73,MATCH(CI$3,'Standards for Conversions'!$A$34:$A$73,0)))=0,"",CJ94/(INDEX('Standards for Conversions'!$H$34:$H$73,MATCH(CI$3,'Standards for Conversions'!$A$34:$A$73,0))))</f>
        <v/>
      </c>
      <c r="CL94" s="10" t="s">
        <v>38</v>
      </c>
      <c r="CM94" s="10"/>
      <c r="CN94" s="10"/>
      <c r="CO94" s="31" t="str">
        <f>IF(CN94/(INDEX('Standards for Conversions'!$H$34:$H$73,MATCH(CM$3,'Standards for Conversions'!$A$34:$A$73,0)))=0,"",CN94/(INDEX('Standards for Conversions'!$H$34:$H$73,MATCH(CM$3,'Standards for Conversions'!$A$34:$A$73,0))))</f>
        <v/>
      </c>
      <c r="CP94" s="10" t="s">
        <v>38</v>
      </c>
      <c r="CS94" s="31" t="str">
        <f>IF(CR94/(INDEX('Standards for Conversions'!$H$34:$H$73,MATCH(CQ$3,'Standards for Conversions'!$A$34:$A$73,0)))=0,"",CR94/(INDEX('Standards for Conversions'!$H$34:$H$73,MATCH(CQ$3,'Standards for Conversions'!$A$34:$A$73,0))))</f>
        <v/>
      </c>
      <c r="CT94" s="10" t="s">
        <v>38</v>
      </c>
      <c r="CW94" s="31" t="str">
        <f>IF(CV94/(INDEX('Standards for Conversions'!$H$34:$H$73,MATCH(CU$3,'Standards for Conversions'!$A$34:$A$73,0)))=0,"",CV94/(INDEX('Standards for Conversions'!$H$34:$H$73,MATCH(CU$3,'Standards for Conversions'!$A$34:$A$73,0))))</f>
        <v/>
      </c>
      <c r="CX94" s="10" t="s">
        <v>38</v>
      </c>
      <c r="DA94" s="31" t="str">
        <f>IF(CZ94/(INDEX('Standards for Conversions'!$H$34:$H$73,MATCH(CY$3,'Standards for Conversions'!$A$34:$A$73,0)))=0,"",CZ94/(INDEX('Standards for Conversions'!$H$34:$H$73,MATCH(CY$3,'Standards for Conversions'!$A$34:$A$73,0))))</f>
        <v/>
      </c>
      <c r="DB94" s="10" t="s">
        <v>38</v>
      </c>
      <c r="DC94" s="10"/>
      <c r="DD94" s="10"/>
      <c r="DE94" s="31" t="str">
        <f>IF(DD94/(INDEX('Standards for Conversions'!$H$34:$H$73,MATCH(DC$3,'Standards for Conversions'!$A$34:$A$73,0)))=0,"",DD94/(INDEX('Standards for Conversions'!$H$34:$H$73,MATCH(DC$3,'Standards for Conversions'!$A$34:$A$73,0))))</f>
        <v/>
      </c>
      <c r="DF94" s="10" t="s">
        <v>38</v>
      </c>
      <c r="DI94" s="31" t="str">
        <f>IF(DH94/(INDEX('Standards for Conversions'!$H$34:$H$73,MATCH(DG$3,'Standards for Conversions'!$A$34:$A$73,0)))=0,"",DH94/(INDEX('Standards for Conversions'!$H$34:$H$73,MATCH(DG$3,'Standards for Conversions'!$A$34:$A$73,0))))</f>
        <v/>
      </c>
      <c r="DJ94" s="10" t="s">
        <v>38</v>
      </c>
      <c r="DM94" s="31" t="str">
        <f>IF(DL94/(INDEX('Standards for Conversions'!$H$34:$H$73,MATCH(DK$3,'Standards for Conversions'!$A$34:$A$73,0)))=0,"",DL94/(INDEX('Standards for Conversions'!$H$34:$H$73,MATCH(DK$3,'Standards for Conversions'!$A$34:$A$73,0))))</f>
        <v/>
      </c>
      <c r="DN94" s="10" t="s">
        <v>38</v>
      </c>
      <c r="DQ94" s="31" t="str">
        <f>IF(DP94/(INDEX('Standards for Conversions'!$H$34:$H$73,MATCH(DO$3,'Standards for Conversions'!$A$34:$A$73,0)))=0,"",DP94/(INDEX('Standards for Conversions'!$H$34:$H$73,MATCH(DO$3,'Standards for Conversions'!$A$34:$A$73,0))))</f>
        <v/>
      </c>
      <c r="DR94" s="10" t="s">
        <v>38</v>
      </c>
      <c r="DS94" s="10"/>
      <c r="DT94" s="10"/>
      <c r="DU94" s="31" t="str">
        <f>IF(DT94/(INDEX('Standards for Conversions'!$H$34:$H$73,MATCH(DS$3,'Standards for Conversions'!$A$34:$A$73,0)))=0,"",DT94/(INDEX('Standards for Conversions'!$H$34:$H$73,MATCH(DS$3,'Standards for Conversions'!$A$34:$A$73,0))))</f>
        <v/>
      </c>
      <c r="DV94" s="10" t="s">
        <v>38</v>
      </c>
      <c r="DY94" s="31" t="str">
        <f>IF(DX94/(INDEX('Standards for Conversions'!$H$34:$H$73,MATCH(DW$3,'Standards for Conversions'!$A$34:$A$73,0)))=0,"",DX94/(INDEX('Standards for Conversions'!$H$34:$H$73,MATCH(DW$3,'Standards for Conversions'!$A$34:$A$73,0))))</f>
        <v/>
      </c>
      <c r="DZ94" s="10" t="s">
        <v>38</v>
      </c>
      <c r="EC94" s="31" t="str">
        <f>IF(EB94/(INDEX('Standards for Conversions'!$H$34:$H$73,MATCH(EA$3,'Standards for Conversions'!$A$34:$A$73,0)))=0,"",EB94/(INDEX('Standards for Conversions'!$H$34:$H$73,MATCH(EA$3,'Standards for Conversions'!$A$34:$A$73,0))))</f>
        <v/>
      </c>
      <c r="ED94" s="10" t="s">
        <v>38</v>
      </c>
      <c r="EG94" s="31" t="str">
        <f>IF(EF94/(INDEX('Standards for Conversions'!$H$34:$H$73,MATCH(EE$3,'Standards for Conversions'!$A$34:$A$73,0)))=0,"",EF94/(INDEX('Standards for Conversions'!$H$34:$H$73,MATCH(EE$3,'Standards for Conversions'!$A$34:$A$73,0))))</f>
        <v/>
      </c>
      <c r="EH94" s="10" t="s">
        <v>38</v>
      </c>
      <c r="EI94" s="10"/>
      <c r="EJ94" s="10"/>
      <c r="EK94" s="31" t="str">
        <f>IF(EJ94/(INDEX('Standards for Conversions'!$H$34:$H$73,MATCH(EI$3,'Standards for Conversions'!$A$34:$A$73,0)))=0,"",EJ94/(INDEX('Standards for Conversions'!$H$34:$H$73,MATCH(EI$3,'Standards for Conversions'!$A$34:$A$73,0))))</f>
        <v/>
      </c>
      <c r="EL94" s="10" t="s">
        <v>38</v>
      </c>
      <c r="EO94" s="31" t="str">
        <f>IF(EN94/(INDEX('Standards for Conversions'!$H$34:$H$73,MATCH(EM$3,'Standards for Conversions'!$A$34:$A$73,0)))=0,"",EN94/(INDEX('Standards for Conversions'!$H$34:$H$73,MATCH(EM$3,'Standards for Conversions'!$A$34:$A$73,0))))</f>
        <v/>
      </c>
      <c r="EP94" s="10" t="s">
        <v>38</v>
      </c>
      <c r="ES94" s="31" t="str">
        <f>IF(ER94/(INDEX('Standards for Conversions'!$H$34:$H$73,MATCH(EQ$3,'Standards for Conversions'!$A$34:$A$73,0)))=0,"",ER94/(INDEX('Standards for Conversions'!$H$34:$H$73,MATCH(EQ$3,'Standards for Conversions'!$A$34:$A$73,0))))</f>
        <v/>
      </c>
      <c r="ET94" s="10" t="s">
        <v>38</v>
      </c>
      <c r="EW94" s="31" t="str">
        <f>IF(EV94/(INDEX('Standards for Conversions'!$H$34:$H$73,MATCH(EU$3,'Standards for Conversions'!$A$34:$A$73,0)))=0,"",EV94/(INDEX('Standards for Conversions'!$H$34:$H$73,MATCH(EU$3,'Standards for Conversions'!$A$34:$A$73,0))))</f>
        <v/>
      </c>
      <c r="EX94" s="10" t="s">
        <v>38</v>
      </c>
      <c r="EY94" s="10"/>
      <c r="EZ94" s="10"/>
      <c r="FA94" s="31" t="str">
        <f>IF(EZ94/(INDEX('Standards for Conversions'!$H$34:$H$73,MATCH(EY$3,'Standards for Conversions'!$A$34:$A$73,0)))=0,"",EZ94/(INDEX('Standards for Conversions'!$H$34:$H$73,MATCH(EY$3,'Standards for Conversions'!$A$34:$A$73,0))))</f>
        <v/>
      </c>
      <c r="FB94" s="10" t="s">
        <v>38</v>
      </c>
      <c r="FE94" s="31" t="str">
        <f>IF(FD94/(INDEX('Standards for Conversions'!$H$34:$H$73,MATCH(FC$3,'Standards for Conversions'!$A$34:$A$73,0)))=0,"",FD94/(INDEX('Standards for Conversions'!$H$34:$H$73,MATCH(FC$3,'Standards for Conversions'!$A$34:$A$73,0))))</f>
        <v/>
      </c>
      <c r="FF94" s="10" t="s">
        <v>38</v>
      </c>
      <c r="FI94" s="31" t="str">
        <f>IF(FH94/(INDEX('Standards for Conversions'!$H$34:$H$73,MATCH(FG$3,'Standards for Conversions'!$A$34:$A$73,0)))=0,"",FH94/(INDEX('Standards for Conversions'!$H$34:$H$73,MATCH(FG$3,'Standards for Conversions'!$A$34:$A$73,0))))</f>
        <v/>
      </c>
      <c r="FJ94" s="10" t="s">
        <v>38</v>
      </c>
      <c r="FM94" s="31" t="str">
        <f>IF(FL94/(INDEX('Standards for Conversions'!$H$34:$H$73,MATCH(FK$3,'Standards for Conversions'!$A$34:$A$73,0)))=0,"",FL94/(INDEX('Standards for Conversions'!$H$34:$H$73,MATCH(FK$3,'Standards for Conversions'!$A$34:$A$73,0))))</f>
        <v/>
      </c>
      <c r="FN94" s="10" t="s">
        <v>38</v>
      </c>
      <c r="FO94" s="10"/>
      <c r="FP94" s="10"/>
      <c r="FQ94" s="31" t="str">
        <f>IF(FP94/(INDEX('Standards for Conversions'!$H$34:$H$73,MATCH(FO$3,'Standards for Conversions'!$A$34:$A$73,0)))=0,"",FP94/(INDEX('Standards for Conversions'!$H$34:$H$73,MATCH(FO$3,'Standards for Conversions'!$A$34:$A$73,0))))</f>
        <v/>
      </c>
      <c r="FR94" s="10" t="s">
        <v>38</v>
      </c>
      <c r="FU94" s="31" t="str">
        <f>IF(FT94/(INDEX('Standards for Conversions'!$H$34:$H$73,MATCH(FS$3,'Standards for Conversions'!$A$34:$A$73,0)))=0,"",FT94/(INDEX('Standards for Conversions'!$H$34:$H$73,MATCH(FS$3,'Standards for Conversions'!$A$34:$A$73,0))))</f>
        <v/>
      </c>
      <c r="FV94" s="10" t="s">
        <v>38</v>
      </c>
      <c r="FY94" s="31" t="str">
        <f>IF(FX94/(INDEX('Standards for Conversions'!$H$34:$H$73,MATCH(FW$3,'Standards for Conversions'!$A$34:$A$73,0)))=0,"",FX94/(INDEX('Standards for Conversions'!$H$34:$H$73,MATCH(FW$3,'Standards for Conversions'!$A$34:$A$73,0))))</f>
        <v/>
      </c>
      <c r="FZ94" s="10" t="s">
        <v>38</v>
      </c>
      <c r="GC94" s="31" t="str">
        <f>IF(GB94/(INDEX('Standards for Conversions'!$H$34:$H$73,MATCH(GA$3,'Standards for Conversions'!$A$34:$A$73,0)))=0,"",GB94/(INDEX('Standards for Conversions'!$H$34:$H$73,MATCH(GA$3,'Standards for Conversions'!$A$34:$A$73,0))))</f>
        <v/>
      </c>
      <c r="GD94" s="10" t="s">
        <v>38</v>
      </c>
      <c r="GE94" s="10"/>
      <c r="GF94" s="10"/>
      <c r="GG94" s="31" t="str">
        <f>IF(GF94/(INDEX('Standards for Conversions'!$H$34:$H$73,MATCH(GE$3,'Standards for Conversions'!$A$34:$A$73,0)))=0,"",GF94/(INDEX('Standards for Conversions'!$H$34:$H$73,MATCH(GE$3,'Standards for Conversions'!$A$34:$A$73,0))))</f>
        <v/>
      </c>
      <c r="GH94" s="10" t="s">
        <v>38</v>
      </c>
      <c r="GK94" s="31" t="str">
        <f>IF(GJ94/(INDEX('Standards for Conversions'!$H$34:$H$73,MATCH(GI$3,'Standards for Conversions'!$A$34:$A$73,0)))=0,"",GJ94/(INDEX('Standards for Conversions'!$H$34:$H$73,MATCH(GI$3,'Standards for Conversions'!$A$34:$A$73,0))))</f>
        <v/>
      </c>
      <c r="GL94" s="10" t="s">
        <v>38</v>
      </c>
      <c r="GO94" s="31" t="str">
        <f>IF(GN94/(INDEX('Standards for Conversions'!$H$34:$H$73,MATCH(GM$3,'Standards for Conversions'!$A$34:$A$73,0)))=0,"",GN94/(INDEX('Standards for Conversions'!$H$34:$H$73,MATCH(GM$3,'Standards for Conversions'!$A$34:$A$73,0))))</f>
        <v/>
      </c>
      <c r="GP94" s="10" t="s">
        <v>38</v>
      </c>
      <c r="GS94" s="31" t="str">
        <f>IF(GR94/(INDEX('Standards for Conversions'!$H$34:$H$73,MATCH(GQ$3,'Standards for Conversions'!$A$34:$A$73,0)))=0,"",GR94/(INDEX('Standards for Conversions'!$H$34:$H$73,MATCH(GQ$3,'Standards for Conversions'!$A$34:$A$73,0))))</f>
        <v/>
      </c>
      <c r="GT94" s="10" t="s">
        <v>38</v>
      </c>
      <c r="GU94" s="10"/>
      <c r="GV94" s="10"/>
      <c r="GW94" s="31" t="str">
        <f>IF(GV94/(INDEX('Standards for Conversions'!$H$34:$H$73,MATCH(GU$3,'Standards for Conversions'!$A$34:$A$73,0)))=0,"",GV94/(INDEX('Standards for Conversions'!$H$34:$H$73,MATCH(GU$3,'Standards for Conversions'!$A$34:$A$73,0))))</f>
        <v/>
      </c>
      <c r="GX94" s="10" t="s">
        <v>38</v>
      </c>
      <c r="HA94" s="31" t="str">
        <f>IF(GZ94/(INDEX('Standards for Conversions'!$H$34:$H$73,MATCH(GY$3,'Standards for Conversions'!$A$34:$A$73,0)))=0,"",GZ94/(INDEX('Standards for Conversions'!$H$34:$H$73,MATCH(GY$3,'Standards for Conversions'!$A$34:$A$73,0))))</f>
        <v/>
      </c>
      <c r="HB94" s="10" t="s">
        <v>38</v>
      </c>
      <c r="HE94" s="31" t="str">
        <f>IF(HD94/(INDEX('Standards for Conversions'!$H$34:$H$73,MATCH(HC$3,'Standards for Conversions'!$A$34:$A$73,0)))=0,"",HD94/(INDEX('Standards for Conversions'!$H$34:$H$73,MATCH(HC$3,'Standards for Conversions'!$A$34:$A$73,0))))</f>
        <v/>
      </c>
      <c r="HF94" s="10" t="s">
        <v>38</v>
      </c>
      <c r="HI94" s="31" t="str">
        <f>IF(HH94/(INDEX('Standards for Conversions'!$H$34:$H$73,MATCH(HG$3,'Standards for Conversions'!$A$34:$A$73,0)))=0,"",HH94/(INDEX('Standards for Conversions'!$H$34:$H$73,MATCH(HG$3,'Standards for Conversions'!$A$34:$A$73,0))))</f>
        <v/>
      </c>
      <c r="HJ94" s="10" t="s">
        <v>38</v>
      </c>
      <c r="HK94" s="10"/>
      <c r="HL94" s="10"/>
      <c r="HM94" s="31" t="str">
        <f>IF(HL94/(INDEX('Standards for Conversions'!$H$34:$H$73,MATCH(HK$3,'Standards for Conversions'!$A$34:$A$73,0)))=0,"",HL94/(INDEX('Standards for Conversions'!$H$34:$H$73,MATCH(HK$3,'Standards for Conversions'!$A$34:$A$73,0))))</f>
        <v/>
      </c>
      <c r="HN94" s="10" t="s">
        <v>38</v>
      </c>
      <c r="HQ94" s="31" t="str">
        <f>IF(HP94/(INDEX('Standards for Conversions'!$H$34:$H$73,MATCH(HO$3,'Standards for Conversions'!$A$34:$A$73,0)))=0,"",HP94/(INDEX('Standards for Conversions'!$H$34:$H$73,MATCH(HO$3,'Standards for Conversions'!$A$34:$A$73,0))))</f>
        <v/>
      </c>
      <c r="HR94" s="33" t="s">
        <v>38</v>
      </c>
      <c r="HU94" s="31" t="str">
        <f>IF(HT94/(INDEX('Standards for Conversions'!$H$47:$H$73,MATCH(HS$3,'Standards for Conversions'!$A$47:$A$73,0)))=0,"",HT94/(INDEX('Standards for Conversions'!$H$47:$H$73,MATCH(HS$3,'Standards for Conversions'!$A$47:$A$73,0))))</f>
        <v/>
      </c>
      <c r="HV94" s="33" t="s">
        <v>38</v>
      </c>
      <c r="HY94" s="31" t="str">
        <f>IF(HX94/(INDEX('Standards for Conversions'!$H$47:$H$73,MATCH(HW$3,'Standards for Conversions'!$A$47:$A$73,0)))=0,"",HX94/(INDEX('Standards for Conversions'!$H$47:$H$73,MATCH(HW$3,'Standards for Conversions'!$A$47:$A$73,0))))</f>
        <v/>
      </c>
      <c r="HZ94" s="33">
        <v>7000</v>
      </c>
      <c r="IA94" s="33">
        <v>14000</v>
      </c>
      <c r="IB94" s="31">
        <f>IF(IA94/(INDEX('Standards for Conversions'!$H$47:$H$73,MATCH(HZ$3,'Standards for Conversions'!$A$47:$A$73,0)))=0,"",IA94/(INDEX('Standards for Conversions'!$H$47:$H$73,MATCH(HZ$3,'Standards for Conversions'!$A$47:$A$73,0))))</f>
        <v>2033.4357709799833</v>
      </c>
      <c r="IC94" s="33" t="s">
        <v>38</v>
      </c>
      <c r="IF94" s="31" t="str">
        <f>IF(IE94/(INDEX('Standards for Conversions'!$H$47:$H$73,MATCH(ID$3,'Standards for Conversions'!$A$47:$A$73,0)))=0,"",IE94/(INDEX('Standards for Conversions'!$H$47:$H$73,MATCH(ID$3,'Standards for Conversions'!$A$47:$A$73,0))))</f>
        <v/>
      </c>
      <c r="IG94" s="33" t="s">
        <v>38</v>
      </c>
      <c r="IJ94" s="31" t="str">
        <f>IF(II94/(INDEX('Standards for Conversions'!$H$47:$H$73,MATCH(IH$3,'Standards for Conversions'!$A$47:$A$73,0)))=0,"",II94/(INDEX('Standards for Conversions'!$H$47:$H$73,MATCH(IH$3,'Standards for Conversions'!$A$47:$A$73,0))))</f>
        <v/>
      </c>
      <c r="IK94" s="33" t="s">
        <v>38</v>
      </c>
      <c r="IN94" s="31" t="str">
        <f>IF(IM94/(INDEX('Standards for Conversions'!$H$47:$H$73,MATCH(IL$3,'Standards for Conversions'!$A$47:$A$73,0)))=0,"",IM94/(INDEX('Standards for Conversions'!$H$47:$H$73,MATCH(IL$3,'Standards for Conversions'!$A$47:$A$73,0))))</f>
        <v/>
      </c>
      <c r="IO94" s="33" t="s">
        <v>38</v>
      </c>
      <c r="IP94" s="29">
        <v>1000</v>
      </c>
      <c r="IQ94" s="29">
        <v>2000</v>
      </c>
      <c r="IR94" s="31">
        <f>IF(IQ94/(INDEX('Standards for Conversions'!$H$47:$H$73,MATCH(IP$3,'Standards for Conversions'!$A$47:$A$73,0)))=0,"",IQ94/(INDEX('Standards for Conversions'!$H$47:$H$73,MATCH(IP$3,'Standards for Conversions'!$A$47:$A$73,0))))</f>
        <v>289.2204563888647</v>
      </c>
      <c r="IS94" s="33" t="s">
        <v>38</v>
      </c>
      <c r="IV94" s="31" t="str">
        <f>IF(IU94/(INDEX('Standards for Conversions'!$H$47:$H$73,MATCH(IT$3,'Standards for Conversions'!$A$47:$A$73,0)))=0,"",IU94/(INDEX('Standards for Conversions'!$H$47:$H$73,MATCH(IT$3,'Standards for Conversions'!$A$47:$A$73,0))))</f>
        <v/>
      </c>
      <c r="IW94" s="33" t="s">
        <v>38</v>
      </c>
      <c r="IZ94" s="31" t="str">
        <f>IF(IY94/(INDEX('Standards for Conversions'!$H$47:$H$73,MATCH(IX$3,'Standards for Conversions'!$A$47:$A$73,0)))=0,"",IY94/(INDEX('Standards for Conversions'!$H$47:$H$73,MATCH(IX$3,'Standards for Conversions'!$A$47:$A$73,0))))</f>
        <v/>
      </c>
      <c r="JA94" s="48" t="s">
        <v>38</v>
      </c>
      <c r="JD94" s="31" t="str">
        <f>IF(JC94/(INDEX('Standards for Conversions'!$H$47:$H$73,MATCH(JB$3,'Standards for Conversions'!$A$47:$A$73,0)))=0,"",JC94/(INDEX('Standards for Conversions'!$H$47:$H$73,MATCH(JB$3,'Standards for Conversions'!$A$47:$A$73,0))))</f>
        <v/>
      </c>
      <c r="JE94" s="48" t="s">
        <v>38</v>
      </c>
      <c r="JF94" s="29">
        <v>3485</v>
      </c>
      <c r="JG94" s="29">
        <v>6100</v>
      </c>
      <c r="JH94" s="31">
        <f>IF(JG94/(INDEX('Standards for Conversions'!$H$47:$H$73,MATCH(JF$3,'Standards for Conversions'!$A$47:$A$73,0)))=0,"",JG94/(INDEX('Standards for Conversions'!$H$47:$H$73,MATCH(JF$3,'Standards for Conversions'!$A$47:$A$73,0))))</f>
        <v>986.73719982039904</v>
      </c>
      <c r="JL94" s="31" t="str">
        <f>IF(JK94/(INDEX('Standards for Conversions'!$H$47:$H$73,MATCH(JJ$3,'Standards for Conversions'!$A$47:$A$73,0)))=0,"",JK94/(INDEX('Standards for Conversions'!$H$47:$H$73,MATCH(JJ$3,'Standards for Conversions'!$A$47:$A$73,0))))</f>
        <v/>
      </c>
      <c r="JM94" s="33" t="s">
        <v>38</v>
      </c>
      <c r="JP94" s="31" t="str">
        <f>IF(JO94/(INDEX('Standards for Conversions'!$H$47:$H$73,MATCH(JN$3,'Standards for Conversions'!$A$47:$A$73,0)))=0,"",JO94/(INDEX('Standards for Conversions'!$H$47:$H$73,MATCH(JN$3,'Standards for Conversions'!$A$47:$A$73,0))))</f>
        <v/>
      </c>
      <c r="JQ94" s="33" t="s">
        <v>38</v>
      </c>
      <c r="JT94" s="31" t="str">
        <f>IF(JS94/(INDEX('Standards for Conversions'!$H$47:$H$73,MATCH(JR$3,'Standards for Conversions'!$A$47:$A$73,0)))=0,"",JS94/(INDEX('Standards for Conversions'!$H$47:$H$73,MATCH(JR$3,'Standards for Conversions'!$A$47:$A$73,0))))</f>
        <v/>
      </c>
      <c r="JU94" s="33" t="s">
        <v>38</v>
      </c>
      <c r="JV94" s="29">
        <v>3000</v>
      </c>
      <c r="JW94" s="29">
        <v>6000</v>
      </c>
      <c r="JX94" s="31">
        <f>IF(JW94/(INDEX('Standards for Conversions'!$H$47:$H$73,MATCH(JV$3,'Standards for Conversions'!$A$47:$A$73,0)))=0,"",JW94/(INDEX('Standards for Conversions'!$H$47:$H$73,MATCH(JV$3,'Standards for Conversions'!$A$47:$A$73,0))))</f>
        <v>915.93535456678535</v>
      </c>
      <c r="JY94" s="33" t="s">
        <v>38</v>
      </c>
      <c r="KB94" s="31" t="str">
        <f>IF(KA94/(INDEX('Standards for Conversions'!$H$47:$H$73,MATCH(JZ$3,'Standards for Conversions'!$A$47:$A$73,0)))=0,"",KA94/(INDEX('Standards for Conversions'!$H$47:$H$73,MATCH(JZ$3,'Standards for Conversions'!$A$47:$A$73,0))))</f>
        <v/>
      </c>
      <c r="KC94" s="33" t="s">
        <v>38</v>
      </c>
      <c r="KF94" s="31" t="str">
        <f>IF(KE94/(INDEX('Standards for Conversions'!$H$47:$H$73,MATCH(KD$3,'Standards for Conversions'!$A$47:$A$73,0)))=0,"",KE94/(INDEX('Standards for Conversions'!$H$47:$H$73,MATCH(KD$3,'Standards for Conversions'!$A$47:$A$73,0))))</f>
        <v/>
      </c>
      <c r="KG94" s="33" t="s">
        <v>38</v>
      </c>
      <c r="KJ94" s="31" t="str">
        <f>IF(KI94/(INDEX('Standards for Conversions'!$H$47:$H$73,MATCH(KH$3,'Standards for Conversions'!$A$47:$A$73,0)))=0,"",KI94/(INDEX('Standards for Conversions'!$H$47:$H$73,MATCH(KH$3,'Standards for Conversions'!$A$47:$A$73,0))))</f>
        <v/>
      </c>
      <c r="KK94" s="33" t="s">
        <v>38</v>
      </c>
      <c r="KL94" s="29">
        <v>2000</v>
      </c>
      <c r="KM94" s="29">
        <v>4000</v>
      </c>
      <c r="KN94" s="31">
        <f>IF(KM94/(INDEX('Standards for Conversions'!$H$47:$H$73,MATCH(KL$3,'Standards for Conversions'!$A$47:$A$73,0)))=0,"",KM94/(INDEX('Standards for Conversions'!$H$47:$H$73,MATCH(KL$3,'Standards for Conversions'!$A$47:$A$73,0))))</f>
        <v>538.63604762318585</v>
      </c>
      <c r="KO94" s="33" t="s">
        <v>38</v>
      </c>
      <c r="KR94" s="31" t="str">
        <f>IF(KQ94/(INDEX('Standards for Conversions'!$H$47:$H$73,MATCH(KP$3,'Standards for Conversions'!$A$47:$A$73,0)))=0,"",KQ94/(INDEX('Standards for Conversions'!$H$47:$H$73,MATCH(KP$3,'Standards for Conversions'!$A$47:$A$73,0))))</f>
        <v/>
      </c>
      <c r="KS94" s="33" t="s">
        <v>38</v>
      </c>
      <c r="KV94" s="31" t="str">
        <f>IF(KU94/(INDEX('Standards for Conversions'!$H$47:$H$73,MATCH(KT$3,'Standards for Conversions'!$A$47:$A$73,0)))=0,"",KU94/(INDEX('Standards for Conversions'!$H$47:$H$73,MATCH(KT$3,'Standards for Conversions'!$A$47:$A$73,0))))</f>
        <v/>
      </c>
      <c r="KW94" s="48" t="s">
        <v>38</v>
      </c>
      <c r="KZ94" s="31" t="str">
        <f>IF(KY94/(INDEX('Standards for Conversions'!$H$47:$H$73,MATCH(KX$3,'Standards for Conversions'!$A$47:$A$73,0)))=0,"",KY94/(INDEX('Standards for Conversions'!$H$47:$H$73,MATCH(KX$3,'Standards for Conversions'!$A$47:$A$73,0))))</f>
        <v/>
      </c>
      <c r="LA94" s="48" t="s">
        <v>38</v>
      </c>
      <c r="LD94" s="31" t="str">
        <f>IF(LC94/(INDEX('Standards for Conversions'!$H$47:$H$73,MATCH(LB$3,'Standards for Conversions'!$A$47:$A$73,0)))=0,"",LC94/(INDEX('Standards for Conversions'!$H$47:$H$73,MATCH(LB$3,'Standards for Conversions'!$A$47:$A$73,0))))</f>
        <v/>
      </c>
      <c r="LH94" s="31" t="str">
        <f>IF(LG94/(INDEX('Standards for Conversions'!$H$47:$H$73,MATCH(LF$3,'Standards for Conversions'!$A$47:$A$73,0)))=0,"",LG94/(INDEX('Standards for Conversions'!$H$47:$H$73,MATCH(LF$3,'Standards for Conversions'!$A$47:$A$73,0))))</f>
        <v/>
      </c>
      <c r="LL94" s="31" t="str">
        <f>IF(LK94/(INDEX('Standards for Conversions'!$H$47:$H$73,MATCH(LJ$3,'Standards for Conversions'!$A$47:$A$73,0)))=0,"",LK94/(INDEX('Standards for Conversions'!$H$47:$H$73,MATCH(LJ$3,'Standards for Conversions'!$A$47:$A$73,0))))</f>
        <v/>
      </c>
      <c r="LO94" s="31" t="str">
        <f>IF(LN94/(INDEX('Standards for Conversions'!$H$47:$H$73,MATCH(LM$3,'Standards for Conversions'!$A$47:$A$73,0)))=0,"",LN94/(INDEX('Standards for Conversions'!$H$47:$H$73,MATCH(LM$3,'Standards for Conversions'!$A$47:$A$73,0))))</f>
        <v/>
      </c>
      <c r="LR94" s="31" t="str">
        <f>IF(LQ94/(INDEX('Standards for Conversions'!$H$47:$H$73,MATCH(LP$3,'Standards for Conversions'!$A$47:$A$73,0)))=0,"",LQ94/(INDEX('Standards for Conversions'!$H$47:$H$73,MATCH(LP$3,'Standards for Conversions'!$A$47:$A$73,0))))</f>
        <v/>
      </c>
      <c r="LV94" s="31" t="str">
        <f>IF(LU94/(INDEX('Standards for Conversions'!$H$47:$H$73,MATCH(LT$3,'Standards for Conversions'!$A$47:$A$73,0)))=0,"",LU94/(INDEX('Standards for Conversions'!$H$47:$H$73,MATCH(LT$3,'Standards for Conversions'!$A$47:$A$73,0))))</f>
        <v/>
      </c>
      <c r="LY94" s="31" t="str">
        <f>IF(LX94/(INDEX('Standards for Conversions'!$H$47:$H$73,MATCH(LW$3,'Standards for Conversions'!$A$47:$A$73,0)))=0,"",LX94/(INDEX('Standards for Conversions'!$H$47:$H$73,MATCH(LW$3,'Standards for Conversions'!$A$47:$A$73,0))))</f>
        <v/>
      </c>
      <c r="MB94" s="31" t="str">
        <f>IF(MA94/(INDEX('Standards for Conversions'!$H$47:$H$73,MATCH(LZ$3,'Standards for Conversions'!$A$47:$A$73,0)))=0,"",MA94/(INDEX('Standards for Conversions'!$H$47:$H$73,MATCH(LZ$3,'Standards for Conversions'!$A$47:$A$73,0))))</f>
        <v/>
      </c>
      <c r="ME94" s="31" t="str">
        <f>IF(MD94/(INDEX('Standards for Conversions'!$H$47:$H$73,MATCH(MC$3,'Standards for Conversions'!$A$47:$A$73,0)))=0,"",MD94/(INDEX('Standards for Conversions'!$H$47:$H$73,MATCH(MC$3,'Standards for Conversions'!$A$47:$A$73,0))))</f>
        <v/>
      </c>
      <c r="MH94" s="31" t="str">
        <f>IF(MG94/(INDEX('Standards for Conversions'!$H$47:$H$73,MATCH(MF$3,'Standards for Conversions'!$A$47:$A$73,0)))=0,"",MG94/(INDEX('Standards for Conversions'!$H$47:$H$73,MATCH(MF$3,'Standards for Conversions'!$A$47:$A$73,0))))</f>
        <v/>
      </c>
      <c r="MK94" s="31" t="str">
        <f>IF(MJ94/(INDEX('Standards for Conversions'!$H$47:$H$73,MATCH(MI$3,'Standards for Conversions'!$A$47:$A$73,0)))=0,"",MJ94/(INDEX('Standards for Conversions'!$H$47:$H$73,MATCH(MI$3,'Standards for Conversions'!$A$47:$A$73,0))))</f>
        <v/>
      </c>
      <c r="MN94" s="31" t="str">
        <f>IF(MM94/(INDEX('Standards for Conversions'!$H$47:$H$73,MATCH(ML$3,'Standards for Conversions'!$A$47:$A$73,0)))=0,"",MM94/(INDEX('Standards for Conversions'!$H$47:$H$73,MATCH(ML$3,'Standards for Conversions'!$A$47:$A$73,0))))</f>
        <v/>
      </c>
      <c r="MR94" s="31" t="str">
        <f>IF(MQ94/(INDEX('Standards for Conversions'!$H$47:$H$73,MATCH(MP$3,'Standards for Conversions'!$A$47:$A$73,0)))=0,"",MQ94/(INDEX('Standards for Conversions'!$H$47:$H$73,MATCH(MP$3,'Standards for Conversions'!$A$47:$A$73,0))))</f>
        <v/>
      </c>
    </row>
    <row r="95" spans="1:373" hidden="1" x14ac:dyDescent="0.3">
      <c r="A95" s="103" t="s">
        <v>163</v>
      </c>
      <c r="B95" s="10" t="s">
        <v>38</v>
      </c>
      <c r="E95" s="31" t="str">
        <f>IF(D95/(INDEX('Standards for Conversions'!$H$34:$H$73,MATCH(C$3,'Standards for Conversions'!$A$34:$A$73,0)))=0,"",D95/(INDEX('Standards for Conversions'!$H$34:$H$73,MATCH(C$3,'Standards for Conversions'!$A$34:$A$73,0))))</f>
        <v/>
      </c>
      <c r="F95" s="10" t="s">
        <v>38</v>
      </c>
      <c r="I95" s="31" t="str">
        <f>IF(H95/(INDEX('Standards for Conversions'!$H$34:$H$73,MATCH(G$3,'Standards for Conversions'!$A$34:$A$73,0)))=0,"",H95/(INDEX('Standards for Conversions'!$H$34:$H$73,MATCH(G$3,'Standards for Conversions'!$A$34:$A$73,0))))</f>
        <v/>
      </c>
      <c r="J95" s="10" t="s">
        <v>38</v>
      </c>
      <c r="K95" s="10"/>
      <c r="L95" s="10"/>
      <c r="M95" s="31" t="str">
        <f>IF(L95/(INDEX('Standards for Conversions'!$H$34:$H$73,MATCH(K$3,'Standards for Conversions'!$A$34:$A$73,0)))=0,"",L95/(INDEX('Standards for Conversions'!$H$34:$H$73,MATCH(K$3,'Standards for Conversions'!$A$34:$A$73,0))))</f>
        <v/>
      </c>
      <c r="N95" s="10" t="s">
        <v>38</v>
      </c>
      <c r="Q95" s="31" t="str">
        <f>IF(P95/(INDEX('Standards for Conversions'!$H$34:$H$73,MATCH(O$3,'Standards for Conversions'!$A$34:$A$73,0)))=0,"",P95/(INDEX('Standards for Conversions'!$H$34:$H$73,MATCH(O$3,'Standards for Conversions'!$A$34:$A$73,0))))</f>
        <v/>
      </c>
      <c r="R95" s="10" t="s">
        <v>38</v>
      </c>
      <c r="U95" s="31" t="str">
        <f>IF(T95/(INDEX('Standards for Conversions'!$H$34:$H$73,MATCH(S$3,'Standards for Conversions'!$A$34:$A$73,0)))=0,"",T95/(INDEX('Standards for Conversions'!$H$34:$H$73,MATCH(S$3,'Standards for Conversions'!$A$34:$A$73,0))))</f>
        <v/>
      </c>
      <c r="V95" s="10" t="s">
        <v>38</v>
      </c>
      <c r="Y95" s="31" t="str">
        <f>IF(X95/(INDEX('Standards for Conversions'!$H$34:$H$73,MATCH(W$3,'Standards for Conversions'!$A$34:$A$73,0)))=0,"",X95/(INDEX('Standards for Conversions'!$H$34:$H$73,MATCH(W$3,'Standards for Conversions'!$A$34:$A$73,0))))</f>
        <v/>
      </c>
      <c r="Z95" s="10" t="s">
        <v>38</v>
      </c>
      <c r="AA95" s="10"/>
      <c r="AB95" s="10"/>
      <c r="AC95" s="31" t="str">
        <f>IF(AB95/(INDEX('Standards for Conversions'!$H$34:$H$73,MATCH(AA$3,'Standards for Conversions'!$A$34:$A$73,0)))=0,"",AB95/(INDEX('Standards for Conversions'!$H$34:$H$73,MATCH(AA$3,'Standards for Conversions'!$A$34:$A$73,0))))</f>
        <v/>
      </c>
      <c r="AD95" s="10" t="s">
        <v>38</v>
      </c>
      <c r="AG95" s="31" t="str">
        <f>IF(AF95/(INDEX('Standards for Conversions'!$H$34:$H$73,MATCH(AE$3,'Standards for Conversions'!$A$34:$A$73,0)))=0,"",AF95/(INDEX('Standards for Conversions'!$H$34:$H$73,MATCH(AE$3,'Standards for Conversions'!$A$34:$A$73,0))))</f>
        <v/>
      </c>
      <c r="AH95" s="10" t="s">
        <v>38</v>
      </c>
      <c r="AK95" s="31" t="str">
        <f>IF(AJ95/(INDEX('Standards for Conversions'!$H$34:$H$73,MATCH(AI$3,'Standards for Conversions'!$A$34:$A$73,0)))=0,"",AJ95/(INDEX('Standards for Conversions'!$H$34:$H$73,MATCH(AI$3,'Standards for Conversions'!$A$34:$A$73,0))))</f>
        <v/>
      </c>
      <c r="AL95" s="10" t="s">
        <v>38</v>
      </c>
      <c r="AO95" s="31" t="str">
        <f>IF(AN95/(INDEX('Standards for Conversions'!$H$34:$H$73,MATCH(AM$3,'Standards for Conversions'!$A$34:$A$73,0)))=0,"",AN95/(INDEX('Standards for Conversions'!$H$34:$H$73,MATCH(AM$3,'Standards for Conversions'!$A$34:$A$73,0))))</f>
        <v/>
      </c>
      <c r="AP95" s="10" t="s">
        <v>38</v>
      </c>
      <c r="AQ95" s="10"/>
      <c r="AR95" s="10"/>
      <c r="AS95" s="31" t="str">
        <f>IF(AR95/(INDEX('Standards for Conversions'!$H$34:$H$73,MATCH(AQ$3,'Standards for Conversions'!$A$34:$A$73,0)))=0,"",AR95/(INDEX('Standards for Conversions'!$H$34:$H$73,MATCH(AQ$3,'Standards for Conversions'!$A$34:$A$73,0))))</f>
        <v/>
      </c>
      <c r="AT95" s="10" t="s">
        <v>38</v>
      </c>
      <c r="AW95" s="31" t="str">
        <f>IF(AV95/(INDEX('Standards for Conversions'!$H$34:$H$73,MATCH(AU$3,'Standards for Conversions'!$A$34:$A$73,0)))=0,"",AV95/(INDEX('Standards for Conversions'!$H$34:$H$73,MATCH(AU$3,'Standards for Conversions'!$A$34:$A$73,0))))</f>
        <v/>
      </c>
      <c r="AX95" s="10" t="s">
        <v>38</v>
      </c>
      <c r="BA95" s="31" t="str">
        <f>IF(AZ95/(INDEX('Standards for Conversions'!$H$34:$H$73,MATCH(AY$3,'Standards for Conversions'!$A$34:$A$73,0)))=0,"",AZ95/(INDEX('Standards for Conversions'!$H$34:$H$73,MATCH(AY$3,'Standards for Conversions'!$A$34:$A$73,0))))</f>
        <v/>
      </c>
      <c r="BB95" s="10" t="s">
        <v>38</v>
      </c>
      <c r="BE95" s="31" t="str">
        <f>IF(BD95/(INDEX('Standards for Conversions'!$H$34:$H$73,MATCH(BC$3,'Standards for Conversions'!$A$34:$A$73,0)))=0,"",BD95/(INDEX('Standards for Conversions'!$H$34:$H$73,MATCH(BC$3,'Standards for Conversions'!$A$34:$A$73,0))))</f>
        <v/>
      </c>
      <c r="BF95" s="10" t="s">
        <v>38</v>
      </c>
      <c r="BG95" s="10"/>
      <c r="BH95" s="10"/>
      <c r="BI95" s="31" t="str">
        <f>IF(BH95/(INDEX('Standards for Conversions'!$H$34:$H$73,MATCH(BG$3,'Standards for Conversions'!$A$34:$A$73,0)))=0,"",BH95/(INDEX('Standards for Conversions'!$H$34:$H$73,MATCH(BG$3,'Standards for Conversions'!$A$34:$A$73,0))))</f>
        <v/>
      </c>
      <c r="BJ95" s="10" t="s">
        <v>38</v>
      </c>
      <c r="BM95" s="31" t="str">
        <f>IF(BL95/(INDEX('Standards for Conversions'!$H$34:$H$73,MATCH(BK$3,'Standards for Conversions'!$A$34:$A$73,0)))=0,"",BL95/(INDEX('Standards for Conversions'!$H$34:$H$73,MATCH(BK$3,'Standards for Conversions'!$A$34:$A$73,0))))</f>
        <v/>
      </c>
      <c r="BN95" s="10" t="s">
        <v>38</v>
      </c>
      <c r="BQ95" s="31" t="str">
        <f>IF(BP95/(INDEX('Standards for Conversions'!$H$34:$H$73,MATCH(BO$3,'Standards for Conversions'!$A$34:$A$73,0)))=0,"",BP95/(INDEX('Standards for Conversions'!$H$34:$H$73,MATCH(BO$3,'Standards for Conversions'!$A$34:$A$73,0))))</f>
        <v/>
      </c>
      <c r="BR95" s="10" t="s">
        <v>38</v>
      </c>
      <c r="BU95" s="31" t="str">
        <f>IF(BT95/(INDEX('Standards for Conversions'!$H$34:$H$73,MATCH(BS$3,'Standards for Conversions'!$A$34:$A$73,0)))=0,"",BT95/(INDEX('Standards for Conversions'!$H$34:$H$73,MATCH(BS$3,'Standards for Conversions'!$A$34:$A$73,0))))</f>
        <v/>
      </c>
      <c r="BV95" s="10" t="s">
        <v>38</v>
      </c>
      <c r="BW95" s="10"/>
      <c r="BX95" s="10"/>
      <c r="BY95" s="31" t="str">
        <f>IF(BX95/(INDEX('Standards for Conversions'!$H$34:$H$73,MATCH(BW$3,'Standards for Conversions'!$A$34:$A$73,0)))=0,"",BX95/(INDEX('Standards for Conversions'!$H$34:$H$73,MATCH(BW$3,'Standards for Conversions'!$A$34:$A$73,0))))</f>
        <v/>
      </c>
      <c r="BZ95" s="10" t="s">
        <v>38</v>
      </c>
      <c r="CC95" s="31" t="str">
        <f>IF(CB95/(INDEX('Standards for Conversions'!$H$34:$H$73,MATCH(CA$3,'Standards for Conversions'!$A$34:$A$73,0)))=0,"",CB95/(INDEX('Standards for Conversions'!$H$34:$H$73,MATCH(CA$3,'Standards for Conversions'!$A$34:$A$73,0))))</f>
        <v/>
      </c>
      <c r="CD95" s="10" t="s">
        <v>38</v>
      </c>
      <c r="CG95" s="31" t="str">
        <f>IF(CF95/(INDEX('Standards for Conversions'!$H$34:$H$73,MATCH(CE$3,'Standards for Conversions'!$A$34:$A$73,0)))=0,"",CF95/(INDEX('Standards for Conversions'!$H$34:$H$73,MATCH(CE$3,'Standards for Conversions'!$A$34:$A$73,0))))</f>
        <v/>
      </c>
      <c r="CH95" s="10" t="s">
        <v>38</v>
      </c>
      <c r="CK95" s="31" t="str">
        <f>IF(CJ95/(INDEX('Standards for Conversions'!$H$34:$H$73,MATCH(CI$3,'Standards for Conversions'!$A$34:$A$73,0)))=0,"",CJ95/(INDEX('Standards for Conversions'!$H$34:$H$73,MATCH(CI$3,'Standards for Conversions'!$A$34:$A$73,0))))</f>
        <v/>
      </c>
      <c r="CL95" s="10" t="s">
        <v>38</v>
      </c>
      <c r="CM95" s="10"/>
      <c r="CN95" s="10"/>
      <c r="CO95" s="31" t="str">
        <f>IF(CN95/(INDEX('Standards for Conversions'!$H$34:$H$73,MATCH(CM$3,'Standards for Conversions'!$A$34:$A$73,0)))=0,"",CN95/(INDEX('Standards for Conversions'!$H$34:$H$73,MATCH(CM$3,'Standards for Conversions'!$A$34:$A$73,0))))</f>
        <v/>
      </c>
      <c r="CP95" s="10" t="s">
        <v>38</v>
      </c>
      <c r="CS95" s="31" t="str">
        <f>IF(CR95/(INDEX('Standards for Conversions'!$H$34:$H$73,MATCH(CQ$3,'Standards for Conversions'!$A$34:$A$73,0)))=0,"",CR95/(INDEX('Standards for Conversions'!$H$34:$H$73,MATCH(CQ$3,'Standards for Conversions'!$A$34:$A$73,0))))</f>
        <v/>
      </c>
      <c r="CT95" s="10" t="s">
        <v>38</v>
      </c>
      <c r="CW95" s="31" t="str">
        <f>IF(CV95/(INDEX('Standards for Conversions'!$H$34:$H$73,MATCH(CU$3,'Standards for Conversions'!$A$34:$A$73,0)))=0,"",CV95/(INDEX('Standards for Conversions'!$H$34:$H$73,MATCH(CU$3,'Standards for Conversions'!$A$34:$A$73,0))))</f>
        <v/>
      </c>
      <c r="CX95" s="10" t="s">
        <v>38</v>
      </c>
      <c r="DA95" s="31" t="str">
        <f>IF(CZ95/(INDEX('Standards for Conversions'!$H$34:$H$73,MATCH(CY$3,'Standards for Conversions'!$A$34:$A$73,0)))=0,"",CZ95/(INDEX('Standards for Conversions'!$H$34:$H$73,MATCH(CY$3,'Standards for Conversions'!$A$34:$A$73,0))))</f>
        <v/>
      </c>
      <c r="DB95" s="10" t="s">
        <v>38</v>
      </c>
      <c r="DC95" s="10"/>
      <c r="DD95" s="10"/>
      <c r="DE95" s="31" t="str">
        <f>IF(DD95/(INDEX('Standards for Conversions'!$H$34:$H$73,MATCH(DC$3,'Standards for Conversions'!$A$34:$A$73,0)))=0,"",DD95/(INDEX('Standards for Conversions'!$H$34:$H$73,MATCH(DC$3,'Standards for Conversions'!$A$34:$A$73,0))))</f>
        <v/>
      </c>
      <c r="DF95" s="10" t="s">
        <v>38</v>
      </c>
      <c r="DI95" s="31" t="str">
        <f>IF(DH95/(INDEX('Standards for Conversions'!$H$34:$H$73,MATCH(DG$3,'Standards for Conversions'!$A$34:$A$73,0)))=0,"",DH95/(INDEX('Standards for Conversions'!$H$34:$H$73,MATCH(DG$3,'Standards for Conversions'!$A$34:$A$73,0))))</f>
        <v/>
      </c>
      <c r="DJ95" s="10" t="s">
        <v>38</v>
      </c>
      <c r="DM95" s="31" t="str">
        <f>IF(DL95/(INDEX('Standards for Conversions'!$H$34:$H$73,MATCH(DK$3,'Standards for Conversions'!$A$34:$A$73,0)))=0,"",DL95/(INDEX('Standards for Conversions'!$H$34:$H$73,MATCH(DK$3,'Standards for Conversions'!$A$34:$A$73,0))))</f>
        <v/>
      </c>
      <c r="DN95" s="10" t="s">
        <v>38</v>
      </c>
      <c r="DQ95" s="31" t="str">
        <f>IF(DP95/(INDEX('Standards for Conversions'!$H$34:$H$73,MATCH(DO$3,'Standards for Conversions'!$A$34:$A$73,0)))=0,"",DP95/(INDEX('Standards for Conversions'!$H$34:$H$73,MATCH(DO$3,'Standards for Conversions'!$A$34:$A$73,0))))</f>
        <v/>
      </c>
      <c r="DR95" s="10" t="s">
        <v>38</v>
      </c>
      <c r="DS95" s="10"/>
      <c r="DT95" s="10"/>
      <c r="DU95" s="31" t="str">
        <f>IF(DT95/(INDEX('Standards for Conversions'!$H$34:$H$73,MATCH(DS$3,'Standards for Conversions'!$A$34:$A$73,0)))=0,"",DT95/(INDEX('Standards for Conversions'!$H$34:$H$73,MATCH(DS$3,'Standards for Conversions'!$A$34:$A$73,0))))</f>
        <v/>
      </c>
      <c r="DV95" s="10" t="s">
        <v>38</v>
      </c>
      <c r="DY95" s="31" t="str">
        <f>IF(DX95/(INDEX('Standards for Conversions'!$H$34:$H$73,MATCH(DW$3,'Standards for Conversions'!$A$34:$A$73,0)))=0,"",DX95/(INDEX('Standards for Conversions'!$H$34:$H$73,MATCH(DW$3,'Standards for Conversions'!$A$34:$A$73,0))))</f>
        <v/>
      </c>
      <c r="DZ95" s="10" t="s">
        <v>38</v>
      </c>
      <c r="EC95" s="31" t="str">
        <f>IF(EB95/(INDEX('Standards for Conversions'!$H$34:$H$73,MATCH(EA$3,'Standards for Conversions'!$A$34:$A$73,0)))=0,"",EB95/(INDEX('Standards for Conversions'!$H$34:$H$73,MATCH(EA$3,'Standards for Conversions'!$A$34:$A$73,0))))</f>
        <v/>
      </c>
      <c r="ED95" s="10" t="s">
        <v>38</v>
      </c>
      <c r="EG95" s="31" t="str">
        <f>IF(EF95/(INDEX('Standards for Conversions'!$H$34:$H$73,MATCH(EE$3,'Standards for Conversions'!$A$34:$A$73,0)))=0,"",EF95/(INDEX('Standards for Conversions'!$H$34:$H$73,MATCH(EE$3,'Standards for Conversions'!$A$34:$A$73,0))))</f>
        <v/>
      </c>
      <c r="EH95" s="10" t="s">
        <v>38</v>
      </c>
      <c r="EI95" s="10"/>
      <c r="EJ95" s="10"/>
      <c r="EK95" s="31" t="str">
        <f>IF(EJ95/(INDEX('Standards for Conversions'!$H$34:$H$73,MATCH(EI$3,'Standards for Conversions'!$A$34:$A$73,0)))=0,"",EJ95/(INDEX('Standards for Conversions'!$H$34:$H$73,MATCH(EI$3,'Standards for Conversions'!$A$34:$A$73,0))))</f>
        <v/>
      </c>
      <c r="EL95" s="10" t="s">
        <v>38</v>
      </c>
      <c r="EO95" s="31" t="str">
        <f>IF(EN95/(INDEX('Standards for Conversions'!$H$34:$H$73,MATCH(EM$3,'Standards for Conversions'!$A$34:$A$73,0)))=0,"",EN95/(INDEX('Standards for Conversions'!$H$34:$H$73,MATCH(EM$3,'Standards for Conversions'!$A$34:$A$73,0))))</f>
        <v/>
      </c>
      <c r="EP95" s="10" t="s">
        <v>38</v>
      </c>
      <c r="ES95" s="31" t="str">
        <f>IF(ER95/(INDEX('Standards for Conversions'!$H$34:$H$73,MATCH(EQ$3,'Standards for Conversions'!$A$34:$A$73,0)))=0,"",ER95/(INDEX('Standards for Conversions'!$H$34:$H$73,MATCH(EQ$3,'Standards for Conversions'!$A$34:$A$73,0))))</f>
        <v/>
      </c>
      <c r="ET95" s="10" t="s">
        <v>38</v>
      </c>
      <c r="EW95" s="31" t="str">
        <f>IF(EV95/(INDEX('Standards for Conversions'!$H$34:$H$73,MATCH(EU$3,'Standards for Conversions'!$A$34:$A$73,0)))=0,"",EV95/(INDEX('Standards for Conversions'!$H$34:$H$73,MATCH(EU$3,'Standards for Conversions'!$A$34:$A$73,0))))</f>
        <v/>
      </c>
      <c r="EX95" s="10" t="s">
        <v>38</v>
      </c>
      <c r="EY95" s="10"/>
      <c r="EZ95" s="10"/>
      <c r="FA95" s="31" t="str">
        <f>IF(EZ95/(INDEX('Standards for Conversions'!$H$34:$H$73,MATCH(EY$3,'Standards for Conversions'!$A$34:$A$73,0)))=0,"",EZ95/(INDEX('Standards for Conversions'!$H$34:$H$73,MATCH(EY$3,'Standards for Conversions'!$A$34:$A$73,0))))</f>
        <v/>
      </c>
      <c r="FB95" s="10" t="s">
        <v>38</v>
      </c>
      <c r="FE95" s="31" t="str">
        <f>IF(FD95/(INDEX('Standards for Conversions'!$H$34:$H$73,MATCH(FC$3,'Standards for Conversions'!$A$34:$A$73,0)))=0,"",FD95/(INDEX('Standards for Conversions'!$H$34:$H$73,MATCH(FC$3,'Standards for Conversions'!$A$34:$A$73,0))))</f>
        <v/>
      </c>
      <c r="FF95" s="10" t="s">
        <v>38</v>
      </c>
      <c r="FI95" s="31" t="str">
        <f>IF(FH95/(INDEX('Standards for Conversions'!$H$34:$H$73,MATCH(FG$3,'Standards for Conversions'!$A$34:$A$73,0)))=0,"",FH95/(INDEX('Standards for Conversions'!$H$34:$H$73,MATCH(FG$3,'Standards for Conversions'!$A$34:$A$73,0))))</f>
        <v/>
      </c>
      <c r="FJ95" s="10" t="s">
        <v>38</v>
      </c>
      <c r="FM95" s="31" t="str">
        <f>IF(FL95/(INDEX('Standards for Conversions'!$H$34:$H$73,MATCH(FK$3,'Standards for Conversions'!$A$34:$A$73,0)))=0,"",FL95/(INDEX('Standards for Conversions'!$H$34:$H$73,MATCH(FK$3,'Standards for Conversions'!$A$34:$A$73,0))))</f>
        <v/>
      </c>
      <c r="FN95" s="10" t="s">
        <v>38</v>
      </c>
      <c r="FO95" s="10"/>
      <c r="FP95" s="10"/>
      <c r="FQ95" s="31" t="str">
        <f>IF(FP95/(INDEX('Standards for Conversions'!$H$34:$H$73,MATCH(FO$3,'Standards for Conversions'!$A$34:$A$73,0)))=0,"",FP95/(INDEX('Standards for Conversions'!$H$34:$H$73,MATCH(FO$3,'Standards for Conversions'!$A$34:$A$73,0))))</f>
        <v/>
      </c>
      <c r="FR95" s="10" t="s">
        <v>38</v>
      </c>
      <c r="FU95" s="31" t="str">
        <f>IF(FT95/(INDEX('Standards for Conversions'!$H$34:$H$73,MATCH(FS$3,'Standards for Conversions'!$A$34:$A$73,0)))=0,"",FT95/(INDEX('Standards for Conversions'!$H$34:$H$73,MATCH(FS$3,'Standards for Conversions'!$A$34:$A$73,0))))</f>
        <v/>
      </c>
      <c r="FV95" s="10" t="s">
        <v>38</v>
      </c>
      <c r="FY95" s="31" t="str">
        <f>IF(FX95/(INDEX('Standards for Conversions'!$H$34:$H$73,MATCH(FW$3,'Standards for Conversions'!$A$34:$A$73,0)))=0,"",FX95/(INDEX('Standards for Conversions'!$H$34:$H$73,MATCH(FW$3,'Standards for Conversions'!$A$34:$A$73,0))))</f>
        <v/>
      </c>
      <c r="FZ95" s="10" t="s">
        <v>38</v>
      </c>
      <c r="GC95" s="31" t="str">
        <f>IF(GB95/(INDEX('Standards for Conversions'!$H$34:$H$73,MATCH(GA$3,'Standards for Conversions'!$A$34:$A$73,0)))=0,"",GB95/(INDEX('Standards for Conversions'!$H$34:$H$73,MATCH(GA$3,'Standards for Conversions'!$A$34:$A$73,0))))</f>
        <v/>
      </c>
      <c r="GD95" s="10" t="s">
        <v>38</v>
      </c>
      <c r="GE95" s="10"/>
      <c r="GF95" s="10"/>
      <c r="GG95" s="31" t="str">
        <f>IF(GF95/(INDEX('Standards for Conversions'!$H$34:$H$73,MATCH(GE$3,'Standards for Conversions'!$A$34:$A$73,0)))=0,"",GF95/(INDEX('Standards for Conversions'!$H$34:$H$73,MATCH(GE$3,'Standards for Conversions'!$A$34:$A$73,0))))</f>
        <v/>
      </c>
      <c r="GH95" s="10" t="s">
        <v>38</v>
      </c>
      <c r="GK95" s="31" t="str">
        <f>IF(GJ95/(INDEX('Standards for Conversions'!$H$34:$H$73,MATCH(GI$3,'Standards for Conversions'!$A$34:$A$73,0)))=0,"",GJ95/(INDEX('Standards for Conversions'!$H$34:$H$73,MATCH(GI$3,'Standards for Conversions'!$A$34:$A$73,0))))</f>
        <v/>
      </c>
      <c r="GL95" s="10" t="s">
        <v>38</v>
      </c>
      <c r="GO95" s="31" t="str">
        <f>IF(GN95/(INDEX('Standards for Conversions'!$H$34:$H$73,MATCH(GM$3,'Standards for Conversions'!$A$34:$A$73,0)))=0,"",GN95/(INDEX('Standards for Conversions'!$H$34:$H$73,MATCH(GM$3,'Standards for Conversions'!$A$34:$A$73,0))))</f>
        <v/>
      </c>
      <c r="GP95" s="10" t="s">
        <v>38</v>
      </c>
      <c r="GS95" s="31" t="str">
        <f>IF(GR95/(INDEX('Standards for Conversions'!$H$34:$H$73,MATCH(GQ$3,'Standards for Conversions'!$A$34:$A$73,0)))=0,"",GR95/(INDEX('Standards for Conversions'!$H$34:$H$73,MATCH(GQ$3,'Standards for Conversions'!$A$34:$A$73,0))))</f>
        <v/>
      </c>
      <c r="GT95" s="10" t="s">
        <v>38</v>
      </c>
      <c r="GU95" s="10"/>
      <c r="GV95" s="10"/>
      <c r="GW95" s="31" t="str">
        <f>IF(GV95/(INDEX('Standards for Conversions'!$H$34:$H$73,MATCH(GU$3,'Standards for Conversions'!$A$34:$A$73,0)))=0,"",GV95/(INDEX('Standards for Conversions'!$H$34:$H$73,MATCH(GU$3,'Standards for Conversions'!$A$34:$A$73,0))))</f>
        <v/>
      </c>
      <c r="GX95" s="10" t="s">
        <v>38</v>
      </c>
      <c r="HA95" s="31" t="str">
        <f>IF(GZ95/(INDEX('Standards for Conversions'!$H$34:$H$73,MATCH(GY$3,'Standards for Conversions'!$A$34:$A$73,0)))=0,"",GZ95/(INDEX('Standards for Conversions'!$H$34:$H$73,MATCH(GY$3,'Standards for Conversions'!$A$34:$A$73,0))))</f>
        <v/>
      </c>
      <c r="HB95" s="10" t="s">
        <v>38</v>
      </c>
      <c r="HE95" s="31" t="str">
        <f>IF(HD95/(INDEX('Standards for Conversions'!$H$34:$H$73,MATCH(HC$3,'Standards for Conversions'!$A$34:$A$73,0)))=0,"",HD95/(INDEX('Standards for Conversions'!$H$34:$H$73,MATCH(HC$3,'Standards for Conversions'!$A$34:$A$73,0))))</f>
        <v/>
      </c>
      <c r="HF95" s="10" t="s">
        <v>38</v>
      </c>
      <c r="HI95" s="31" t="str">
        <f>IF(HH95/(INDEX('Standards for Conversions'!$H$34:$H$73,MATCH(HG$3,'Standards for Conversions'!$A$34:$A$73,0)))=0,"",HH95/(INDEX('Standards for Conversions'!$H$34:$H$73,MATCH(HG$3,'Standards for Conversions'!$A$34:$A$73,0))))</f>
        <v/>
      </c>
      <c r="HJ95" s="10" t="s">
        <v>38</v>
      </c>
      <c r="HK95" s="10"/>
      <c r="HL95" s="10"/>
      <c r="HM95" s="31" t="str">
        <f>IF(HL95/(INDEX('Standards for Conversions'!$H$34:$H$73,MATCH(HK$3,'Standards for Conversions'!$A$34:$A$73,0)))=0,"",HL95/(INDEX('Standards for Conversions'!$H$34:$H$73,MATCH(HK$3,'Standards for Conversions'!$A$34:$A$73,0))))</f>
        <v/>
      </c>
      <c r="HN95" s="10" t="s">
        <v>38</v>
      </c>
      <c r="HQ95" s="31" t="str">
        <f>IF(HP95/(INDEX('Standards for Conversions'!$H$34:$H$73,MATCH(HO$3,'Standards for Conversions'!$A$34:$A$73,0)))=0,"",HP95/(INDEX('Standards for Conversions'!$H$34:$H$73,MATCH(HO$3,'Standards for Conversions'!$A$34:$A$73,0))))</f>
        <v/>
      </c>
      <c r="HR95" s="33" t="s">
        <v>38</v>
      </c>
      <c r="HU95" s="31" t="str">
        <f>IF(HT95/(INDEX('Standards for Conversions'!$H$47:$H$73,MATCH(HS$3,'Standards for Conversions'!$A$47:$A$73,0)))=0,"",HT95/(INDEX('Standards for Conversions'!$H$47:$H$73,MATCH(HS$3,'Standards for Conversions'!$A$47:$A$73,0))))</f>
        <v/>
      </c>
      <c r="HV95" s="33" t="s">
        <v>38</v>
      </c>
      <c r="HY95" s="31" t="str">
        <f>IF(HX95/(INDEX('Standards for Conversions'!$H$47:$H$73,MATCH(HW$3,'Standards for Conversions'!$A$47:$A$73,0)))=0,"",HX95/(INDEX('Standards for Conversions'!$H$47:$H$73,MATCH(HW$3,'Standards for Conversions'!$A$47:$A$73,0))))</f>
        <v/>
      </c>
      <c r="HZ95" s="33">
        <v>1000</v>
      </c>
      <c r="IA95" s="33">
        <v>8000</v>
      </c>
      <c r="IB95" s="31">
        <f>IF(IA95/(INDEX('Standards for Conversions'!$H$47:$H$73,MATCH(HZ$3,'Standards for Conversions'!$A$47:$A$73,0)))=0,"",IA95/(INDEX('Standards for Conversions'!$H$47:$H$73,MATCH(HZ$3,'Standards for Conversions'!$A$47:$A$73,0))))</f>
        <v>1161.9632977028477</v>
      </c>
      <c r="IC95" s="33" t="s">
        <v>38</v>
      </c>
      <c r="IF95" s="31" t="str">
        <f>IF(IE95/(INDEX('Standards for Conversions'!$H$47:$H$73,MATCH(ID$3,'Standards for Conversions'!$A$47:$A$73,0)))=0,"",IE95/(INDEX('Standards for Conversions'!$H$47:$H$73,MATCH(ID$3,'Standards for Conversions'!$A$47:$A$73,0))))</f>
        <v/>
      </c>
      <c r="IG95" s="33" t="s">
        <v>38</v>
      </c>
      <c r="IJ95" s="31" t="str">
        <f>IF(II95/(INDEX('Standards for Conversions'!$H$47:$H$73,MATCH(IH$3,'Standards for Conversions'!$A$47:$A$73,0)))=0,"",II95/(INDEX('Standards for Conversions'!$H$47:$H$73,MATCH(IH$3,'Standards for Conversions'!$A$47:$A$73,0))))</f>
        <v/>
      </c>
      <c r="IK95" s="33" t="s">
        <v>38</v>
      </c>
      <c r="IN95" s="31" t="str">
        <f>IF(IM95/(INDEX('Standards for Conversions'!$H$47:$H$73,MATCH(IL$3,'Standards for Conversions'!$A$47:$A$73,0)))=0,"",IM95/(INDEX('Standards for Conversions'!$H$47:$H$73,MATCH(IL$3,'Standards for Conversions'!$A$47:$A$73,0))))</f>
        <v/>
      </c>
      <c r="IO95" s="33" t="s">
        <v>38</v>
      </c>
      <c r="IR95" s="31" t="str">
        <f>IF(IQ95/(INDEX('Standards for Conversions'!$H$47:$H$73,MATCH(IP$3,'Standards for Conversions'!$A$47:$A$73,0)))=0,"",IQ95/(INDEX('Standards for Conversions'!$H$47:$H$73,MATCH(IP$3,'Standards for Conversions'!$A$47:$A$73,0))))</f>
        <v/>
      </c>
      <c r="IS95" s="33" t="s">
        <v>38</v>
      </c>
      <c r="IV95" s="31" t="str">
        <f>IF(IU95/(INDEX('Standards for Conversions'!$H$47:$H$73,MATCH(IT$3,'Standards for Conversions'!$A$47:$A$73,0)))=0,"",IU95/(INDEX('Standards for Conversions'!$H$47:$H$73,MATCH(IT$3,'Standards for Conversions'!$A$47:$A$73,0))))</f>
        <v/>
      </c>
      <c r="IW95" s="33" t="s">
        <v>38</v>
      </c>
      <c r="IZ95" s="31" t="str">
        <f>IF(IY95/(INDEX('Standards for Conversions'!$H$47:$H$73,MATCH(IX$3,'Standards for Conversions'!$A$47:$A$73,0)))=0,"",IY95/(INDEX('Standards for Conversions'!$H$47:$H$73,MATCH(IX$3,'Standards for Conversions'!$A$47:$A$73,0))))</f>
        <v/>
      </c>
      <c r="JA95" s="48" t="s">
        <v>38</v>
      </c>
      <c r="JD95" s="31" t="str">
        <f>IF(JC95/(INDEX('Standards for Conversions'!$H$47:$H$73,MATCH(JB$3,'Standards for Conversions'!$A$47:$A$73,0)))=0,"",JC95/(INDEX('Standards for Conversions'!$H$47:$H$73,MATCH(JB$3,'Standards for Conversions'!$A$47:$A$73,0))))</f>
        <v/>
      </c>
      <c r="JE95" s="48" t="s">
        <v>38</v>
      </c>
      <c r="JF95" s="29">
        <v>200</v>
      </c>
      <c r="JG95" s="29">
        <v>1000</v>
      </c>
      <c r="JH95" s="31">
        <f>IF(JG95/(INDEX('Standards for Conversions'!$H$47:$H$73,MATCH(JF$3,'Standards for Conversions'!$A$47:$A$73,0)))=0,"",JG95/(INDEX('Standards for Conversions'!$H$47:$H$73,MATCH(JF$3,'Standards for Conversions'!$A$47:$A$73,0))))</f>
        <v>161.76019669186869</v>
      </c>
      <c r="JL95" s="31" t="str">
        <f>IF(JK95/(INDEX('Standards for Conversions'!$H$47:$H$73,MATCH(JJ$3,'Standards for Conversions'!$A$47:$A$73,0)))=0,"",JK95/(INDEX('Standards for Conversions'!$H$47:$H$73,MATCH(JJ$3,'Standards for Conversions'!$A$47:$A$73,0))))</f>
        <v/>
      </c>
      <c r="JM95" s="33" t="s">
        <v>38</v>
      </c>
      <c r="JP95" s="31" t="str">
        <f>IF(JO95/(INDEX('Standards for Conversions'!$H$47:$H$73,MATCH(JN$3,'Standards for Conversions'!$A$47:$A$73,0)))=0,"",JO95/(INDEX('Standards for Conversions'!$H$47:$H$73,MATCH(JN$3,'Standards for Conversions'!$A$47:$A$73,0))))</f>
        <v/>
      </c>
      <c r="JQ95" s="33" t="s">
        <v>38</v>
      </c>
      <c r="JT95" s="31" t="str">
        <f>IF(JS95/(INDEX('Standards for Conversions'!$H$47:$H$73,MATCH(JR$3,'Standards for Conversions'!$A$47:$A$73,0)))=0,"",JS95/(INDEX('Standards for Conversions'!$H$47:$H$73,MATCH(JR$3,'Standards for Conversions'!$A$47:$A$73,0))))</f>
        <v/>
      </c>
      <c r="JU95" s="33" t="s">
        <v>38</v>
      </c>
      <c r="JV95" s="29">
        <v>150</v>
      </c>
      <c r="JW95" s="29">
        <v>800</v>
      </c>
      <c r="JX95" s="31">
        <f>IF(JW95/(INDEX('Standards for Conversions'!$H$47:$H$73,MATCH(JV$3,'Standards for Conversions'!$A$47:$A$73,0)))=0,"",JW95/(INDEX('Standards for Conversions'!$H$47:$H$73,MATCH(JV$3,'Standards for Conversions'!$A$47:$A$73,0))))</f>
        <v>122.12471394223805</v>
      </c>
      <c r="JY95" s="33" t="s">
        <v>38</v>
      </c>
      <c r="KB95" s="31" t="str">
        <f>IF(KA95/(INDEX('Standards for Conversions'!$H$47:$H$73,MATCH(JZ$3,'Standards for Conversions'!$A$47:$A$73,0)))=0,"",KA95/(INDEX('Standards for Conversions'!$H$47:$H$73,MATCH(JZ$3,'Standards for Conversions'!$A$47:$A$73,0))))</f>
        <v/>
      </c>
      <c r="KC95" s="33" t="s">
        <v>38</v>
      </c>
      <c r="KF95" s="31" t="str">
        <f>IF(KE95/(INDEX('Standards for Conversions'!$H$47:$H$73,MATCH(KD$3,'Standards for Conversions'!$A$47:$A$73,0)))=0,"",KE95/(INDEX('Standards for Conversions'!$H$47:$H$73,MATCH(KD$3,'Standards for Conversions'!$A$47:$A$73,0))))</f>
        <v/>
      </c>
      <c r="KG95" s="33" t="s">
        <v>38</v>
      </c>
      <c r="KJ95" s="31" t="str">
        <f>IF(KI95/(INDEX('Standards for Conversions'!$H$47:$H$73,MATCH(KH$3,'Standards for Conversions'!$A$47:$A$73,0)))=0,"",KI95/(INDEX('Standards for Conversions'!$H$47:$H$73,MATCH(KH$3,'Standards for Conversions'!$A$47:$A$73,0))))</f>
        <v/>
      </c>
      <c r="KK95" s="33" t="s">
        <v>38</v>
      </c>
      <c r="KL95" s="29">
        <v>100</v>
      </c>
      <c r="KM95" s="29">
        <v>500</v>
      </c>
      <c r="KN95" s="31">
        <f>IF(KM95/(INDEX('Standards for Conversions'!$H$47:$H$73,MATCH(KL$3,'Standards for Conversions'!$A$47:$A$73,0)))=0,"",KM95/(INDEX('Standards for Conversions'!$H$47:$H$73,MATCH(KL$3,'Standards for Conversions'!$A$47:$A$73,0))))</f>
        <v>67.329505952898231</v>
      </c>
      <c r="KO95" s="33" t="s">
        <v>38</v>
      </c>
      <c r="KR95" s="31" t="str">
        <f>IF(KQ95/(INDEX('Standards for Conversions'!$H$47:$H$73,MATCH(KP$3,'Standards for Conversions'!$A$47:$A$73,0)))=0,"",KQ95/(INDEX('Standards for Conversions'!$H$47:$H$73,MATCH(KP$3,'Standards for Conversions'!$A$47:$A$73,0))))</f>
        <v/>
      </c>
      <c r="KS95" s="33" t="s">
        <v>38</v>
      </c>
      <c r="KV95" s="31" t="str">
        <f>IF(KU95/(INDEX('Standards for Conversions'!$H$47:$H$73,MATCH(KT$3,'Standards for Conversions'!$A$47:$A$73,0)))=0,"",KU95/(INDEX('Standards for Conversions'!$H$47:$H$73,MATCH(KT$3,'Standards for Conversions'!$A$47:$A$73,0))))</f>
        <v/>
      </c>
      <c r="KW95" s="48" t="s">
        <v>38</v>
      </c>
      <c r="KZ95" s="31" t="str">
        <f>IF(KY95/(INDEX('Standards for Conversions'!$H$47:$H$73,MATCH(KX$3,'Standards for Conversions'!$A$47:$A$73,0)))=0,"",KY95/(INDEX('Standards for Conversions'!$H$47:$H$73,MATCH(KX$3,'Standards for Conversions'!$A$47:$A$73,0))))</f>
        <v/>
      </c>
      <c r="LA95" s="48" t="s">
        <v>38</v>
      </c>
      <c r="LB95" s="29">
        <v>100</v>
      </c>
      <c r="LC95" s="29">
        <v>350</v>
      </c>
      <c r="LD95" s="31">
        <f>IF(LC95/(INDEX('Standards for Conversions'!$H$47:$H$73,MATCH(LB$3,'Standards for Conversions'!$A$47:$A$73,0)))=0,"",LC95/(INDEX('Standards for Conversions'!$H$47:$H$73,MATCH(LB$3,'Standards for Conversions'!$A$47:$A$73,0))))</f>
        <v>42.565798354624711</v>
      </c>
      <c r="LH95" s="31" t="str">
        <f>IF(LG95/(INDEX('Standards for Conversions'!$H$47:$H$73,MATCH(LF$3,'Standards for Conversions'!$A$47:$A$73,0)))=0,"",LG95/(INDEX('Standards for Conversions'!$H$47:$H$73,MATCH(LF$3,'Standards for Conversions'!$A$47:$A$73,0))))</f>
        <v/>
      </c>
      <c r="LL95" s="31" t="str">
        <f>IF(LK95/(INDEX('Standards for Conversions'!$H$47:$H$73,MATCH(LJ$3,'Standards for Conversions'!$A$47:$A$73,0)))=0,"",LK95/(INDEX('Standards for Conversions'!$H$47:$H$73,MATCH(LJ$3,'Standards for Conversions'!$A$47:$A$73,0))))</f>
        <v/>
      </c>
      <c r="LO95" s="31" t="str">
        <f>IF(LN95/(INDEX('Standards for Conversions'!$H$47:$H$73,MATCH(LM$3,'Standards for Conversions'!$A$47:$A$73,0)))=0,"",LN95/(INDEX('Standards for Conversions'!$H$47:$H$73,MATCH(LM$3,'Standards for Conversions'!$A$47:$A$73,0))))</f>
        <v/>
      </c>
      <c r="LR95" s="31" t="str">
        <f>IF(LQ95/(INDEX('Standards for Conversions'!$H$47:$H$73,MATCH(LP$3,'Standards for Conversions'!$A$47:$A$73,0)))=0,"",LQ95/(INDEX('Standards for Conversions'!$H$47:$H$73,MATCH(LP$3,'Standards for Conversions'!$A$47:$A$73,0))))</f>
        <v/>
      </c>
      <c r="LV95" s="31" t="str">
        <f>IF(LU95/(INDEX('Standards for Conversions'!$H$47:$H$73,MATCH(LT$3,'Standards for Conversions'!$A$47:$A$73,0)))=0,"",LU95/(INDEX('Standards for Conversions'!$H$47:$H$73,MATCH(LT$3,'Standards for Conversions'!$A$47:$A$73,0))))</f>
        <v/>
      </c>
      <c r="LY95" s="31" t="str">
        <f>IF(LX95/(INDEX('Standards for Conversions'!$H$47:$H$73,MATCH(LW$3,'Standards for Conversions'!$A$47:$A$73,0)))=0,"",LX95/(INDEX('Standards for Conversions'!$H$47:$H$73,MATCH(LW$3,'Standards for Conversions'!$A$47:$A$73,0))))</f>
        <v/>
      </c>
      <c r="MB95" s="31" t="str">
        <f>IF(MA95/(INDEX('Standards for Conversions'!$H$47:$H$73,MATCH(LZ$3,'Standards for Conversions'!$A$47:$A$73,0)))=0,"",MA95/(INDEX('Standards for Conversions'!$H$47:$H$73,MATCH(LZ$3,'Standards for Conversions'!$A$47:$A$73,0))))</f>
        <v/>
      </c>
      <c r="ME95" s="31" t="str">
        <f>IF(MD95/(INDEX('Standards for Conversions'!$H$47:$H$73,MATCH(MC$3,'Standards for Conversions'!$A$47:$A$73,0)))=0,"",MD95/(INDEX('Standards for Conversions'!$H$47:$H$73,MATCH(MC$3,'Standards for Conversions'!$A$47:$A$73,0))))</f>
        <v/>
      </c>
      <c r="MH95" s="31" t="str">
        <f>IF(MG95/(INDEX('Standards for Conversions'!$H$47:$H$73,MATCH(MF$3,'Standards for Conversions'!$A$47:$A$73,0)))=0,"",MG95/(INDEX('Standards for Conversions'!$H$47:$H$73,MATCH(MF$3,'Standards for Conversions'!$A$47:$A$73,0))))</f>
        <v/>
      </c>
      <c r="MK95" s="31" t="str">
        <f>IF(MJ95/(INDEX('Standards for Conversions'!$H$47:$H$73,MATCH(MI$3,'Standards for Conversions'!$A$47:$A$73,0)))=0,"",MJ95/(INDEX('Standards for Conversions'!$H$47:$H$73,MATCH(MI$3,'Standards for Conversions'!$A$47:$A$73,0))))</f>
        <v/>
      </c>
      <c r="MN95" s="31" t="str">
        <f>IF(MM95/(INDEX('Standards for Conversions'!$H$47:$H$73,MATCH(ML$3,'Standards for Conversions'!$A$47:$A$73,0)))=0,"",MM95/(INDEX('Standards for Conversions'!$H$47:$H$73,MATCH(ML$3,'Standards for Conversions'!$A$47:$A$73,0))))</f>
        <v/>
      </c>
      <c r="MR95" s="31" t="str">
        <f>IF(MQ95/(INDEX('Standards for Conversions'!$H$47:$H$73,MATCH(MP$3,'Standards for Conversions'!$A$47:$A$73,0)))=0,"",MQ95/(INDEX('Standards for Conversions'!$H$47:$H$73,MATCH(MP$3,'Standards for Conversions'!$A$47:$A$73,0))))</f>
        <v/>
      </c>
    </row>
    <row r="96" spans="1:373" hidden="1" x14ac:dyDescent="0.3">
      <c r="A96" s="103" t="s">
        <v>263</v>
      </c>
      <c r="C96" s="7"/>
      <c r="D96" s="7"/>
      <c r="E96" s="31" t="str">
        <f>IF(D96/(INDEX('Standards for Conversions'!$H$34:$H$73,MATCH(C$3,'Standards for Conversions'!$A$34:$A$73,0)))=0,"",D96/(INDEX('Standards for Conversions'!$H$34:$H$73,MATCH(C$3,'Standards for Conversions'!$A$34:$A$73,0))))</f>
        <v/>
      </c>
      <c r="G96" s="7"/>
      <c r="H96" s="7"/>
      <c r="I96" s="31" t="str">
        <f>IF(H96/(INDEX('Standards for Conversions'!$H$34:$H$73,MATCH(G$3,'Standards for Conversions'!$A$34:$A$73,0)))=0,"",H96/(INDEX('Standards for Conversions'!$H$34:$H$73,MATCH(G$3,'Standards for Conversions'!$A$34:$A$73,0))))</f>
        <v/>
      </c>
      <c r="K96" s="9"/>
      <c r="L96" s="9"/>
      <c r="M96" s="31" t="str">
        <f>IF(L96/(INDEX('Standards for Conversions'!$H$34:$H$73,MATCH(K$3,'Standards for Conversions'!$A$34:$A$73,0)))=0,"",L96/(INDEX('Standards for Conversions'!$H$34:$H$73,MATCH(K$3,'Standards for Conversions'!$A$34:$A$73,0))))</f>
        <v/>
      </c>
      <c r="O96" s="7"/>
      <c r="P96" s="7"/>
      <c r="Q96" s="31" t="str">
        <f>IF(P96/(INDEX('Standards for Conversions'!$H$34:$H$73,MATCH(O$3,'Standards for Conversions'!$A$34:$A$73,0)))=0,"",P96/(INDEX('Standards for Conversions'!$H$34:$H$73,MATCH(O$3,'Standards for Conversions'!$A$34:$A$73,0))))</f>
        <v/>
      </c>
      <c r="S96" s="7"/>
      <c r="T96" s="7"/>
      <c r="U96" s="31" t="str">
        <f>IF(T96/(INDEX('Standards for Conversions'!$H$34:$H$73,MATCH(S$3,'Standards for Conversions'!$A$34:$A$73,0)))=0,"",T96/(INDEX('Standards for Conversions'!$H$34:$H$73,MATCH(S$3,'Standards for Conversions'!$A$34:$A$73,0))))</f>
        <v/>
      </c>
      <c r="W96" s="7"/>
      <c r="X96" s="7"/>
      <c r="Y96" s="31" t="str">
        <f>IF(X96/(INDEX('Standards for Conversions'!$H$34:$H$73,MATCH(W$3,'Standards for Conversions'!$A$34:$A$73,0)))=0,"",X96/(INDEX('Standards for Conversions'!$H$34:$H$73,MATCH(W$3,'Standards for Conversions'!$A$34:$A$73,0))))</f>
        <v/>
      </c>
      <c r="AA96" s="9"/>
      <c r="AB96" s="9"/>
      <c r="AC96" s="31" t="str">
        <f>IF(AB96/(INDEX('Standards for Conversions'!$H$34:$H$73,MATCH(AA$3,'Standards for Conversions'!$A$34:$A$73,0)))=0,"",AB96/(INDEX('Standards for Conversions'!$H$34:$H$73,MATCH(AA$3,'Standards for Conversions'!$A$34:$A$73,0))))</f>
        <v/>
      </c>
      <c r="AE96" s="7"/>
      <c r="AF96" s="7"/>
      <c r="AG96" s="31" t="str">
        <f>IF(AF96/(INDEX('Standards for Conversions'!$H$34:$H$73,MATCH(AE$3,'Standards for Conversions'!$A$34:$A$73,0)))=0,"",AF96/(INDEX('Standards for Conversions'!$H$34:$H$73,MATCH(AE$3,'Standards for Conversions'!$A$34:$A$73,0))))</f>
        <v/>
      </c>
      <c r="AI96" s="7"/>
      <c r="AJ96" s="7"/>
      <c r="AK96" s="31" t="str">
        <f>IF(AJ96/(INDEX('Standards for Conversions'!$H$34:$H$73,MATCH(AI$3,'Standards for Conversions'!$A$34:$A$73,0)))=0,"",AJ96/(INDEX('Standards for Conversions'!$H$34:$H$73,MATCH(AI$3,'Standards for Conversions'!$A$34:$A$73,0))))</f>
        <v/>
      </c>
      <c r="AM96" s="7"/>
      <c r="AN96" s="7"/>
      <c r="AO96" s="31" t="str">
        <f>IF(AN96/(INDEX('Standards for Conversions'!$H$34:$H$73,MATCH(AM$3,'Standards for Conversions'!$A$34:$A$73,0)))=0,"",AN96/(INDEX('Standards for Conversions'!$H$34:$H$73,MATCH(AM$3,'Standards for Conversions'!$A$34:$A$73,0))))</f>
        <v/>
      </c>
      <c r="AQ96" s="9"/>
      <c r="AR96" s="9"/>
      <c r="AS96" s="31" t="str">
        <f>IF(AR96/(INDEX('Standards for Conversions'!$H$34:$H$73,MATCH(AQ$3,'Standards for Conversions'!$A$34:$A$73,0)))=0,"",AR96/(INDEX('Standards for Conversions'!$H$34:$H$73,MATCH(AQ$3,'Standards for Conversions'!$A$34:$A$73,0))))</f>
        <v/>
      </c>
      <c r="AU96" s="7"/>
      <c r="AV96" s="7"/>
      <c r="AW96" s="31" t="str">
        <f>IF(AV96/(INDEX('Standards for Conversions'!$H$34:$H$73,MATCH(AU$3,'Standards for Conversions'!$A$34:$A$73,0)))=0,"",AV96/(INDEX('Standards for Conversions'!$H$34:$H$73,MATCH(AU$3,'Standards for Conversions'!$A$34:$A$73,0))))</f>
        <v/>
      </c>
      <c r="AY96" s="7"/>
      <c r="AZ96" s="7"/>
      <c r="BA96" s="31" t="str">
        <f>IF(AZ96/(INDEX('Standards for Conversions'!$H$34:$H$73,MATCH(AY$3,'Standards for Conversions'!$A$34:$A$73,0)))=0,"",AZ96/(INDEX('Standards for Conversions'!$H$34:$H$73,MATCH(AY$3,'Standards for Conversions'!$A$34:$A$73,0))))</f>
        <v/>
      </c>
      <c r="BC96" s="7"/>
      <c r="BD96" s="7"/>
      <c r="BE96" s="31" t="str">
        <f>IF(BD96/(INDEX('Standards for Conversions'!$H$34:$H$73,MATCH(BC$3,'Standards for Conversions'!$A$34:$A$73,0)))=0,"",BD96/(INDEX('Standards for Conversions'!$H$34:$H$73,MATCH(BC$3,'Standards for Conversions'!$A$34:$A$73,0))))</f>
        <v/>
      </c>
      <c r="BG96" s="9"/>
      <c r="BH96" s="9"/>
      <c r="BI96" s="31" t="str">
        <f>IF(BH96/(INDEX('Standards for Conversions'!$H$34:$H$73,MATCH(BG$3,'Standards for Conversions'!$A$34:$A$73,0)))=0,"",BH96/(INDEX('Standards for Conversions'!$H$34:$H$73,MATCH(BG$3,'Standards for Conversions'!$A$34:$A$73,0))))</f>
        <v/>
      </c>
      <c r="BK96" s="7"/>
      <c r="BL96" s="7"/>
      <c r="BM96" s="31" t="str">
        <f>IF(BL96/(INDEX('Standards for Conversions'!$H$34:$H$73,MATCH(BK$3,'Standards for Conversions'!$A$34:$A$73,0)))=0,"",BL96/(INDEX('Standards for Conversions'!$H$34:$H$73,MATCH(BK$3,'Standards for Conversions'!$A$34:$A$73,0))))</f>
        <v/>
      </c>
      <c r="BO96" s="7"/>
      <c r="BP96" s="7"/>
      <c r="BQ96" s="31" t="str">
        <f>IF(BP96/(INDEX('Standards for Conversions'!$H$34:$H$73,MATCH(BO$3,'Standards for Conversions'!$A$34:$A$73,0)))=0,"",BP96/(INDEX('Standards for Conversions'!$H$34:$H$73,MATCH(BO$3,'Standards for Conversions'!$A$34:$A$73,0))))</f>
        <v/>
      </c>
      <c r="BS96" s="7"/>
      <c r="BT96" s="7"/>
      <c r="BU96" s="31" t="str">
        <f>IF(BT96/(INDEX('Standards for Conversions'!$H$34:$H$73,MATCH(BS$3,'Standards for Conversions'!$A$34:$A$73,0)))=0,"",BT96/(INDEX('Standards for Conversions'!$H$34:$H$73,MATCH(BS$3,'Standards for Conversions'!$A$34:$A$73,0))))</f>
        <v/>
      </c>
      <c r="BW96" s="9"/>
      <c r="BX96" s="9"/>
      <c r="BY96" s="31" t="str">
        <f>IF(BX96/(INDEX('Standards for Conversions'!$H$34:$H$73,MATCH(BW$3,'Standards for Conversions'!$A$34:$A$73,0)))=0,"",BX96/(INDEX('Standards for Conversions'!$H$34:$H$73,MATCH(BW$3,'Standards for Conversions'!$A$34:$A$73,0))))</f>
        <v/>
      </c>
      <c r="CA96" s="7"/>
      <c r="CB96" s="7"/>
      <c r="CC96" s="31" t="str">
        <f>IF(CB96/(INDEX('Standards for Conversions'!$H$34:$H$73,MATCH(CA$3,'Standards for Conversions'!$A$34:$A$73,0)))=0,"",CB96/(INDEX('Standards for Conversions'!$H$34:$H$73,MATCH(CA$3,'Standards for Conversions'!$A$34:$A$73,0))))</f>
        <v/>
      </c>
      <c r="CE96" s="7"/>
      <c r="CF96" s="7"/>
      <c r="CG96" s="31" t="str">
        <f>IF(CF96/(INDEX('Standards for Conversions'!$H$34:$H$73,MATCH(CE$3,'Standards for Conversions'!$A$34:$A$73,0)))=0,"",CF96/(INDEX('Standards for Conversions'!$H$34:$H$73,MATCH(CE$3,'Standards for Conversions'!$A$34:$A$73,0))))</f>
        <v/>
      </c>
      <c r="CI96" s="7"/>
      <c r="CJ96" s="7"/>
      <c r="CK96" s="31" t="str">
        <f>IF(CJ96/(INDEX('Standards for Conversions'!$H$34:$H$73,MATCH(CI$3,'Standards for Conversions'!$A$34:$A$73,0)))=0,"",CJ96/(INDEX('Standards for Conversions'!$H$34:$H$73,MATCH(CI$3,'Standards for Conversions'!$A$34:$A$73,0))))</f>
        <v/>
      </c>
      <c r="CM96" s="9"/>
      <c r="CN96" s="9"/>
      <c r="CO96" s="31" t="str">
        <f>IF(CN96/(INDEX('Standards for Conversions'!$H$34:$H$73,MATCH(CM$3,'Standards for Conversions'!$A$34:$A$73,0)))=0,"",CN96/(INDEX('Standards for Conversions'!$H$34:$H$73,MATCH(CM$3,'Standards for Conversions'!$A$34:$A$73,0))))</f>
        <v/>
      </c>
      <c r="CQ96" s="7"/>
      <c r="CR96" s="7"/>
      <c r="CS96" s="31" t="str">
        <f>IF(CR96/(INDEX('Standards for Conversions'!$H$34:$H$73,MATCH(CQ$3,'Standards for Conversions'!$A$34:$A$73,0)))=0,"",CR96/(INDEX('Standards for Conversions'!$H$34:$H$73,MATCH(CQ$3,'Standards for Conversions'!$A$34:$A$73,0))))</f>
        <v/>
      </c>
      <c r="CU96" s="7"/>
      <c r="CV96" s="7"/>
      <c r="CW96" s="31" t="str">
        <f>IF(CV96/(INDEX('Standards for Conversions'!$H$34:$H$73,MATCH(CU$3,'Standards for Conversions'!$A$34:$A$73,0)))=0,"",CV96/(INDEX('Standards for Conversions'!$H$34:$H$73,MATCH(CU$3,'Standards for Conversions'!$A$34:$A$73,0))))</f>
        <v/>
      </c>
      <c r="CY96" s="7"/>
      <c r="CZ96" s="7"/>
      <c r="DA96" s="31" t="str">
        <f>IF(CZ96/(INDEX('Standards for Conversions'!$H$34:$H$73,MATCH(CY$3,'Standards for Conversions'!$A$34:$A$73,0)))=0,"",CZ96/(INDEX('Standards for Conversions'!$H$34:$H$73,MATCH(CY$3,'Standards for Conversions'!$A$34:$A$73,0))))</f>
        <v/>
      </c>
      <c r="DC96" s="9"/>
      <c r="DD96" s="9"/>
      <c r="DE96" s="31" t="str">
        <f>IF(DD96/(INDEX('Standards for Conversions'!$H$34:$H$73,MATCH(DC$3,'Standards for Conversions'!$A$34:$A$73,0)))=0,"",DD96/(INDEX('Standards for Conversions'!$H$34:$H$73,MATCH(DC$3,'Standards for Conversions'!$A$34:$A$73,0))))</f>
        <v/>
      </c>
      <c r="DG96" s="7"/>
      <c r="DH96" s="7"/>
      <c r="DI96" s="31" t="str">
        <f>IF(DH96/(INDEX('Standards for Conversions'!$H$34:$H$73,MATCH(DG$3,'Standards for Conversions'!$A$34:$A$73,0)))=0,"",DH96/(INDEX('Standards for Conversions'!$H$34:$H$73,MATCH(DG$3,'Standards for Conversions'!$A$34:$A$73,0))))</f>
        <v/>
      </c>
      <c r="DK96" s="7"/>
      <c r="DL96" s="7"/>
      <c r="DM96" s="31" t="str">
        <f>IF(DL96/(INDEX('Standards for Conversions'!$H$34:$H$73,MATCH(DK$3,'Standards for Conversions'!$A$34:$A$73,0)))=0,"",DL96/(INDEX('Standards for Conversions'!$H$34:$H$73,MATCH(DK$3,'Standards for Conversions'!$A$34:$A$73,0))))</f>
        <v/>
      </c>
      <c r="DO96" s="7"/>
      <c r="DP96" s="7"/>
      <c r="DQ96" s="31" t="str">
        <f>IF(DP96/(INDEX('Standards for Conversions'!$H$34:$H$73,MATCH(DO$3,'Standards for Conversions'!$A$34:$A$73,0)))=0,"",DP96/(INDEX('Standards for Conversions'!$H$34:$H$73,MATCH(DO$3,'Standards for Conversions'!$A$34:$A$73,0))))</f>
        <v/>
      </c>
      <c r="DS96" s="9"/>
      <c r="DT96" s="9"/>
      <c r="DU96" s="31" t="str">
        <f>IF(DT96/(INDEX('Standards for Conversions'!$H$34:$H$73,MATCH(DS$3,'Standards for Conversions'!$A$34:$A$73,0)))=0,"",DT96/(INDEX('Standards for Conversions'!$H$34:$H$73,MATCH(DS$3,'Standards for Conversions'!$A$34:$A$73,0))))</f>
        <v/>
      </c>
      <c r="DW96" s="7"/>
      <c r="DX96" s="7"/>
      <c r="DY96" s="31" t="str">
        <f>IF(DX96/(INDEX('Standards for Conversions'!$H$34:$H$73,MATCH(DW$3,'Standards for Conversions'!$A$34:$A$73,0)))=0,"",DX96/(INDEX('Standards for Conversions'!$H$34:$H$73,MATCH(DW$3,'Standards for Conversions'!$A$34:$A$73,0))))</f>
        <v/>
      </c>
      <c r="EA96" s="7"/>
      <c r="EB96" s="7"/>
      <c r="EC96" s="31" t="str">
        <f>IF(EB96/(INDEX('Standards for Conversions'!$H$34:$H$73,MATCH(EA$3,'Standards for Conversions'!$A$34:$A$73,0)))=0,"",EB96/(INDEX('Standards for Conversions'!$H$34:$H$73,MATCH(EA$3,'Standards for Conversions'!$A$34:$A$73,0))))</f>
        <v/>
      </c>
      <c r="EE96" s="7"/>
      <c r="EF96" s="7"/>
      <c r="EG96" s="31" t="str">
        <f>IF(EF96/(INDEX('Standards for Conversions'!$H$34:$H$73,MATCH(EE$3,'Standards for Conversions'!$A$34:$A$73,0)))=0,"",EF96/(INDEX('Standards for Conversions'!$H$34:$H$73,MATCH(EE$3,'Standards for Conversions'!$A$34:$A$73,0))))</f>
        <v/>
      </c>
      <c r="EI96" s="9"/>
      <c r="EJ96" s="9"/>
      <c r="EK96" s="31" t="str">
        <f>IF(EJ96/(INDEX('Standards for Conversions'!$H$34:$H$73,MATCH(EI$3,'Standards for Conversions'!$A$34:$A$73,0)))=0,"",EJ96/(INDEX('Standards for Conversions'!$H$34:$H$73,MATCH(EI$3,'Standards for Conversions'!$A$34:$A$73,0))))</f>
        <v/>
      </c>
      <c r="EM96" s="7"/>
      <c r="EN96" s="7"/>
      <c r="EO96" s="31" t="str">
        <f>IF(EN96/(INDEX('Standards for Conversions'!$H$34:$H$73,MATCH(EM$3,'Standards for Conversions'!$A$34:$A$73,0)))=0,"",EN96/(INDEX('Standards for Conversions'!$H$34:$H$73,MATCH(EM$3,'Standards for Conversions'!$A$34:$A$73,0))))</f>
        <v/>
      </c>
      <c r="EQ96" s="7"/>
      <c r="ER96" s="7"/>
      <c r="ES96" s="31" t="str">
        <f>IF(ER96/(INDEX('Standards for Conversions'!$H$34:$H$73,MATCH(EQ$3,'Standards for Conversions'!$A$34:$A$73,0)))=0,"",ER96/(INDEX('Standards for Conversions'!$H$34:$H$73,MATCH(EQ$3,'Standards for Conversions'!$A$34:$A$73,0))))</f>
        <v/>
      </c>
      <c r="EU96" s="7"/>
      <c r="EV96" s="7"/>
      <c r="EW96" s="31" t="str">
        <f>IF(EV96/(INDEX('Standards for Conversions'!$H$34:$H$73,MATCH(EU$3,'Standards for Conversions'!$A$34:$A$73,0)))=0,"",EV96/(INDEX('Standards for Conversions'!$H$34:$H$73,MATCH(EU$3,'Standards for Conversions'!$A$34:$A$73,0))))</f>
        <v/>
      </c>
      <c r="EY96" s="9"/>
      <c r="EZ96" s="9"/>
      <c r="FA96" s="31" t="str">
        <f>IF(EZ96/(INDEX('Standards for Conversions'!$H$34:$H$73,MATCH(EY$3,'Standards for Conversions'!$A$34:$A$73,0)))=0,"",EZ96/(INDEX('Standards for Conversions'!$H$34:$H$73,MATCH(EY$3,'Standards for Conversions'!$A$34:$A$73,0))))</f>
        <v/>
      </c>
      <c r="FC96" s="7"/>
      <c r="FD96" s="7"/>
      <c r="FE96" s="31" t="str">
        <f>IF(FD96/(INDEX('Standards for Conversions'!$H$34:$H$73,MATCH(FC$3,'Standards for Conversions'!$A$34:$A$73,0)))=0,"",FD96/(INDEX('Standards for Conversions'!$H$34:$H$73,MATCH(FC$3,'Standards for Conversions'!$A$34:$A$73,0))))</f>
        <v/>
      </c>
      <c r="FG96" s="7"/>
      <c r="FH96" s="7"/>
      <c r="FI96" s="31" t="str">
        <f>IF(FH96/(INDEX('Standards for Conversions'!$H$34:$H$73,MATCH(FG$3,'Standards for Conversions'!$A$34:$A$73,0)))=0,"",FH96/(INDEX('Standards for Conversions'!$H$34:$H$73,MATCH(FG$3,'Standards for Conversions'!$A$34:$A$73,0))))</f>
        <v/>
      </c>
      <c r="FK96" s="7"/>
      <c r="FL96" s="7"/>
      <c r="FM96" s="31" t="str">
        <f>IF(FL96/(INDEX('Standards for Conversions'!$H$34:$H$73,MATCH(FK$3,'Standards for Conversions'!$A$34:$A$73,0)))=0,"",FL96/(INDEX('Standards for Conversions'!$H$34:$H$73,MATCH(FK$3,'Standards for Conversions'!$A$34:$A$73,0))))</f>
        <v/>
      </c>
      <c r="FO96" s="9"/>
      <c r="FP96" s="9"/>
      <c r="FQ96" s="31" t="str">
        <f>IF(FP96/(INDEX('Standards for Conversions'!$H$34:$H$73,MATCH(FO$3,'Standards for Conversions'!$A$34:$A$73,0)))=0,"",FP96/(INDEX('Standards for Conversions'!$H$34:$H$73,MATCH(FO$3,'Standards for Conversions'!$A$34:$A$73,0))))</f>
        <v/>
      </c>
      <c r="FS96" s="7"/>
      <c r="FT96" s="7"/>
      <c r="FU96" s="31" t="str">
        <f>IF(FT96/(INDEX('Standards for Conversions'!$H$34:$H$73,MATCH(FS$3,'Standards for Conversions'!$A$34:$A$73,0)))=0,"",FT96/(INDEX('Standards for Conversions'!$H$34:$H$73,MATCH(FS$3,'Standards for Conversions'!$A$34:$A$73,0))))</f>
        <v/>
      </c>
      <c r="FW96" s="7"/>
      <c r="FX96" s="7"/>
      <c r="FY96" s="31" t="str">
        <f>IF(FX96/(INDEX('Standards for Conversions'!$H$34:$H$73,MATCH(FW$3,'Standards for Conversions'!$A$34:$A$73,0)))=0,"",FX96/(INDEX('Standards for Conversions'!$H$34:$H$73,MATCH(FW$3,'Standards for Conversions'!$A$34:$A$73,0))))</f>
        <v/>
      </c>
      <c r="GA96" s="7"/>
      <c r="GB96" s="7"/>
      <c r="GC96" s="31" t="str">
        <f>IF(GB96/(INDEX('Standards for Conversions'!$H$34:$H$73,MATCH(GA$3,'Standards for Conversions'!$A$34:$A$73,0)))=0,"",GB96/(INDEX('Standards for Conversions'!$H$34:$H$73,MATCH(GA$3,'Standards for Conversions'!$A$34:$A$73,0))))</f>
        <v/>
      </c>
      <c r="GE96" s="9"/>
      <c r="GF96" s="9"/>
      <c r="GG96" s="31" t="str">
        <f>IF(GF96/(INDEX('Standards for Conversions'!$H$34:$H$73,MATCH(GE$3,'Standards for Conversions'!$A$34:$A$73,0)))=0,"",GF96/(INDEX('Standards for Conversions'!$H$34:$H$73,MATCH(GE$3,'Standards for Conversions'!$A$34:$A$73,0))))</f>
        <v/>
      </c>
      <c r="GI96" s="7"/>
      <c r="GJ96" s="7"/>
      <c r="GK96" s="31" t="str">
        <f>IF(GJ96/(INDEX('Standards for Conversions'!$H$34:$H$73,MATCH(GI$3,'Standards for Conversions'!$A$34:$A$73,0)))=0,"",GJ96/(INDEX('Standards for Conversions'!$H$34:$H$73,MATCH(GI$3,'Standards for Conversions'!$A$34:$A$73,0))))</f>
        <v/>
      </c>
      <c r="GM96" s="7"/>
      <c r="GN96" s="7"/>
      <c r="GO96" s="31" t="str">
        <f>IF(GN96/(INDEX('Standards for Conversions'!$H$34:$H$73,MATCH(GM$3,'Standards for Conversions'!$A$34:$A$73,0)))=0,"",GN96/(INDEX('Standards for Conversions'!$H$34:$H$73,MATCH(GM$3,'Standards for Conversions'!$A$34:$A$73,0))))</f>
        <v/>
      </c>
      <c r="GQ96" s="7"/>
      <c r="GR96" s="7"/>
      <c r="GS96" s="31" t="str">
        <f>IF(GR96/(INDEX('Standards for Conversions'!$H$34:$H$73,MATCH(GQ$3,'Standards for Conversions'!$A$34:$A$73,0)))=0,"",GR96/(INDEX('Standards for Conversions'!$H$34:$H$73,MATCH(GQ$3,'Standards for Conversions'!$A$34:$A$73,0))))</f>
        <v/>
      </c>
      <c r="GU96" s="9"/>
      <c r="GV96" s="9"/>
      <c r="GW96" s="31" t="str">
        <f>IF(GV96/(INDEX('Standards for Conversions'!$H$34:$H$73,MATCH(GU$3,'Standards for Conversions'!$A$34:$A$73,0)))=0,"",GV96/(INDEX('Standards for Conversions'!$H$34:$H$73,MATCH(GU$3,'Standards for Conversions'!$A$34:$A$73,0))))</f>
        <v/>
      </c>
      <c r="GY96" s="7"/>
      <c r="GZ96" s="7"/>
      <c r="HA96" s="31" t="str">
        <f>IF(GZ96/(INDEX('Standards for Conversions'!$H$34:$H$73,MATCH(GY$3,'Standards for Conversions'!$A$34:$A$73,0)))=0,"",GZ96/(INDEX('Standards for Conversions'!$H$34:$H$73,MATCH(GY$3,'Standards for Conversions'!$A$34:$A$73,0))))</f>
        <v/>
      </c>
      <c r="HC96" s="7"/>
      <c r="HD96" s="7"/>
      <c r="HE96" s="31" t="str">
        <f>IF(HD96/(INDEX('Standards for Conversions'!$H$34:$H$73,MATCH(HC$3,'Standards for Conversions'!$A$34:$A$73,0)))=0,"",HD96/(INDEX('Standards for Conversions'!$H$34:$H$73,MATCH(HC$3,'Standards for Conversions'!$A$34:$A$73,0))))</f>
        <v/>
      </c>
      <c r="HG96" s="7"/>
      <c r="HH96" s="7"/>
      <c r="HI96" s="31" t="str">
        <f>IF(HH96/(INDEX('Standards for Conversions'!$H$34:$H$73,MATCH(HG$3,'Standards for Conversions'!$A$34:$A$73,0)))=0,"",HH96/(INDEX('Standards for Conversions'!$H$34:$H$73,MATCH(HG$3,'Standards for Conversions'!$A$34:$A$73,0))))</f>
        <v/>
      </c>
      <c r="HK96" s="9"/>
      <c r="HL96" s="9"/>
      <c r="HM96" s="31" t="str">
        <f>IF(HL96/(INDEX('Standards for Conversions'!$H$34:$H$73,MATCH(HK$3,'Standards for Conversions'!$A$34:$A$73,0)))=0,"",HL96/(INDEX('Standards for Conversions'!$H$34:$H$73,MATCH(HK$3,'Standards for Conversions'!$A$34:$A$73,0))))</f>
        <v/>
      </c>
      <c r="HO96" s="7"/>
      <c r="HP96" s="7"/>
      <c r="HQ96" s="31" t="str">
        <f>IF(HP96/(INDEX('Standards for Conversions'!$H$34:$H$73,MATCH(HO$3,'Standards for Conversions'!$A$34:$A$73,0)))=0,"",HP96/(INDEX('Standards for Conversions'!$H$34:$H$73,MATCH(HO$3,'Standards for Conversions'!$A$34:$A$73,0))))</f>
        <v/>
      </c>
      <c r="HU96" s="31" t="str">
        <f>IF(HT96/(INDEX('Standards for Conversions'!$H$47:$H$73,MATCH(HS$3,'Standards for Conversions'!$A$47:$A$73,0)))=0,"",HT96/(INDEX('Standards for Conversions'!$H$47:$H$73,MATCH(HS$3,'Standards for Conversions'!$A$47:$A$73,0))))</f>
        <v/>
      </c>
      <c r="HY96" s="31" t="str">
        <f>IF(HX96/(INDEX('Standards for Conversions'!$H$47:$H$73,MATCH(HW$3,'Standards for Conversions'!$A$47:$A$73,0)))=0,"",HX96/(INDEX('Standards for Conversions'!$H$47:$H$73,MATCH(HW$3,'Standards for Conversions'!$A$47:$A$73,0))))</f>
        <v/>
      </c>
      <c r="HZ96" s="33"/>
      <c r="IA96" s="33"/>
      <c r="IB96" s="31" t="str">
        <f>IF(IA96/(INDEX('Standards for Conversions'!$H$47:$H$73,MATCH(HZ$3,'Standards for Conversions'!$A$47:$A$73,0)))=0,"",IA96/(INDEX('Standards for Conversions'!$H$47:$H$73,MATCH(HZ$3,'Standards for Conversions'!$A$47:$A$73,0))))</f>
        <v/>
      </c>
      <c r="IF96" s="31" t="str">
        <f>IF(IE96/(INDEX('Standards for Conversions'!$H$47:$H$73,MATCH(ID$3,'Standards for Conversions'!$A$47:$A$73,0)))=0,"",IE96/(INDEX('Standards for Conversions'!$H$47:$H$73,MATCH(ID$3,'Standards for Conversions'!$A$47:$A$73,0))))</f>
        <v/>
      </c>
      <c r="IJ96" s="31" t="str">
        <f>IF(II96/(INDEX('Standards for Conversions'!$H$47:$H$73,MATCH(IH$3,'Standards for Conversions'!$A$47:$A$73,0)))=0,"",II96/(INDEX('Standards for Conversions'!$H$47:$H$73,MATCH(IH$3,'Standards for Conversions'!$A$47:$A$73,0))))</f>
        <v/>
      </c>
      <c r="IN96" s="31" t="str">
        <f>IF(IM96/(INDEX('Standards for Conversions'!$H$47:$H$73,MATCH(IL$3,'Standards for Conversions'!$A$47:$A$73,0)))=0,"",IM96/(INDEX('Standards for Conversions'!$H$47:$H$73,MATCH(IL$3,'Standards for Conversions'!$A$47:$A$73,0))))</f>
        <v/>
      </c>
      <c r="IR96" s="31" t="str">
        <f>IF(IQ96/(INDEX('Standards for Conversions'!$H$47:$H$73,MATCH(IP$3,'Standards for Conversions'!$A$47:$A$73,0)))=0,"",IQ96/(INDEX('Standards for Conversions'!$H$47:$H$73,MATCH(IP$3,'Standards for Conversions'!$A$47:$A$73,0))))</f>
        <v/>
      </c>
      <c r="IV96" s="31" t="str">
        <f>IF(IU96/(INDEX('Standards for Conversions'!$H$47:$H$73,MATCH(IT$3,'Standards for Conversions'!$A$47:$A$73,0)))=0,"",IU96/(INDEX('Standards for Conversions'!$H$47:$H$73,MATCH(IT$3,'Standards for Conversions'!$A$47:$A$73,0))))</f>
        <v/>
      </c>
      <c r="IZ96" s="31" t="str">
        <f>IF(IY96/(INDEX('Standards for Conversions'!$H$47:$H$73,MATCH(IX$3,'Standards for Conversions'!$A$47:$A$73,0)))=0,"",IY96/(INDEX('Standards for Conversions'!$H$47:$H$73,MATCH(IX$3,'Standards for Conversions'!$A$47:$A$73,0))))</f>
        <v/>
      </c>
      <c r="JA96" s="33"/>
      <c r="JD96" s="31" t="str">
        <f>IF(JC96/(INDEX('Standards for Conversions'!$H$47:$H$73,MATCH(JB$3,'Standards for Conversions'!$A$47:$A$73,0)))=0,"",JC96/(INDEX('Standards for Conversions'!$H$47:$H$73,MATCH(JB$3,'Standards for Conversions'!$A$47:$A$73,0))))</f>
        <v/>
      </c>
      <c r="JE96" s="33"/>
      <c r="JH96" s="31" t="str">
        <f>IF(JG96/(INDEX('Standards for Conversions'!$H$47:$H$73,MATCH(JF$3,'Standards for Conversions'!$A$47:$A$73,0)))=0,"",JG96/(INDEX('Standards for Conversions'!$H$47:$H$73,MATCH(JF$3,'Standards for Conversions'!$A$47:$A$73,0))))</f>
        <v/>
      </c>
      <c r="JL96" s="31" t="str">
        <f>IF(JK96/(INDEX('Standards for Conversions'!$H$47:$H$73,MATCH(JJ$3,'Standards for Conversions'!$A$47:$A$73,0)))=0,"",JK96/(INDEX('Standards for Conversions'!$H$47:$H$73,MATCH(JJ$3,'Standards for Conversions'!$A$47:$A$73,0))))</f>
        <v/>
      </c>
      <c r="JP96" s="31" t="str">
        <f>IF(JO96/(INDEX('Standards for Conversions'!$H$47:$H$73,MATCH(JN$3,'Standards for Conversions'!$A$47:$A$73,0)))=0,"",JO96/(INDEX('Standards for Conversions'!$H$47:$H$73,MATCH(JN$3,'Standards for Conversions'!$A$47:$A$73,0))))</f>
        <v/>
      </c>
      <c r="JT96" s="31" t="str">
        <f>IF(JS96/(INDEX('Standards for Conversions'!$H$47:$H$73,MATCH(JR$3,'Standards for Conversions'!$A$47:$A$73,0)))=0,"",JS96/(INDEX('Standards for Conversions'!$H$47:$H$73,MATCH(JR$3,'Standards for Conversions'!$A$47:$A$73,0))))</f>
        <v/>
      </c>
      <c r="JX96" s="31" t="str">
        <f>IF(JW96/(INDEX('Standards for Conversions'!$H$47:$H$73,MATCH(JV$3,'Standards for Conversions'!$A$47:$A$73,0)))=0,"",JW96/(INDEX('Standards for Conversions'!$H$47:$H$73,MATCH(JV$3,'Standards for Conversions'!$A$47:$A$73,0))))</f>
        <v/>
      </c>
      <c r="KB96" s="31" t="str">
        <f>IF(KA96/(INDEX('Standards for Conversions'!$H$47:$H$73,MATCH(JZ$3,'Standards for Conversions'!$A$47:$A$73,0)))=0,"",KA96/(INDEX('Standards for Conversions'!$H$47:$H$73,MATCH(JZ$3,'Standards for Conversions'!$A$47:$A$73,0))))</f>
        <v/>
      </c>
      <c r="KF96" s="31" t="str">
        <f>IF(KE96/(INDEX('Standards for Conversions'!$H$47:$H$73,MATCH(KD$3,'Standards for Conversions'!$A$47:$A$73,0)))=0,"",KE96/(INDEX('Standards for Conversions'!$H$47:$H$73,MATCH(KD$3,'Standards for Conversions'!$A$47:$A$73,0))))</f>
        <v/>
      </c>
      <c r="KJ96" s="31" t="str">
        <f>IF(KI96/(INDEX('Standards for Conversions'!$H$47:$H$73,MATCH(KH$3,'Standards for Conversions'!$A$47:$A$73,0)))=0,"",KI96/(INDEX('Standards for Conversions'!$H$47:$H$73,MATCH(KH$3,'Standards for Conversions'!$A$47:$A$73,0))))</f>
        <v/>
      </c>
      <c r="KN96" s="31" t="str">
        <f>IF(KM96/(INDEX('Standards for Conversions'!$H$47:$H$73,MATCH(KL$3,'Standards for Conversions'!$A$47:$A$73,0)))=0,"",KM96/(INDEX('Standards for Conversions'!$H$47:$H$73,MATCH(KL$3,'Standards for Conversions'!$A$47:$A$73,0))))</f>
        <v/>
      </c>
      <c r="KR96" s="31" t="str">
        <f>IF(KQ96/(INDEX('Standards for Conversions'!$H$47:$H$73,MATCH(KP$3,'Standards for Conversions'!$A$47:$A$73,0)))=0,"",KQ96/(INDEX('Standards for Conversions'!$H$47:$H$73,MATCH(KP$3,'Standards for Conversions'!$A$47:$A$73,0))))</f>
        <v/>
      </c>
      <c r="KV96" s="31" t="str">
        <f>IF(KU96/(INDEX('Standards for Conversions'!$H$47:$H$73,MATCH(KT$3,'Standards for Conversions'!$A$47:$A$73,0)))=0,"",KU96/(INDEX('Standards for Conversions'!$H$47:$H$73,MATCH(KT$3,'Standards for Conversions'!$A$47:$A$73,0))))</f>
        <v/>
      </c>
      <c r="KW96" s="33"/>
      <c r="KZ96" s="31" t="str">
        <f>IF(KY96/(INDEX('Standards for Conversions'!$H$47:$H$73,MATCH(KX$3,'Standards for Conversions'!$A$47:$A$73,0)))=0,"",KY96/(INDEX('Standards for Conversions'!$H$47:$H$73,MATCH(KX$3,'Standards for Conversions'!$A$47:$A$73,0))))</f>
        <v/>
      </c>
      <c r="LD96" s="31" t="str">
        <f>IF(LC96/(INDEX('Standards for Conversions'!$H$47:$H$73,MATCH(LB$3,'Standards for Conversions'!$A$47:$A$73,0)))=0,"",LC96/(INDEX('Standards for Conversions'!$H$47:$H$73,MATCH(LB$3,'Standards for Conversions'!$A$47:$A$73,0))))</f>
        <v/>
      </c>
      <c r="LH96" s="31" t="str">
        <f>IF(LG96/(INDEX('Standards for Conversions'!$H$47:$H$73,MATCH(LF$3,'Standards for Conversions'!$A$47:$A$73,0)))=0,"",LG96/(INDEX('Standards for Conversions'!$H$47:$H$73,MATCH(LF$3,'Standards for Conversions'!$A$47:$A$73,0))))</f>
        <v/>
      </c>
      <c r="LL96" s="31" t="str">
        <f>IF(LK96/(INDEX('Standards for Conversions'!$H$47:$H$73,MATCH(LJ$3,'Standards for Conversions'!$A$47:$A$73,0)))=0,"",LK96/(INDEX('Standards for Conversions'!$H$47:$H$73,MATCH(LJ$3,'Standards for Conversions'!$A$47:$A$73,0))))</f>
        <v/>
      </c>
      <c r="LO96" s="31" t="str">
        <f>IF(LN96/(INDEX('Standards for Conversions'!$H$47:$H$73,MATCH(LM$3,'Standards for Conversions'!$A$47:$A$73,0)))=0,"",LN96/(INDEX('Standards for Conversions'!$H$47:$H$73,MATCH(LM$3,'Standards for Conversions'!$A$47:$A$73,0))))</f>
        <v/>
      </c>
      <c r="LR96" s="31" t="str">
        <f>IF(LQ96/(INDEX('Standards for Conversions'!$H$47:$H$73,MATCH(LP$3,'Standards for Conversions'!$A$47:$A$73,0)))=0,"",LQ96/(INDEX('Standards for Conversions'!$H$47:$H$73,MATCH(LP$3,'Standards for Conversions'!$A$47:$A$73,0))))</f>
        <v/>
      </c>
      <c r="LV96" s="31" t="str">
        <f>IF(LU96/(INDEX('Standards for Conversions'!$H$47:$H$73,MATCH(LT$3,'Standards for Conversions'!$A$47:$A$73,0)))=0,"",LU96/(INDEX('Standards for Conversions'!$H$47:$H$73,MATCH(LT$3,'Standards for Conversions'!$A$47:$A$73,0))))</f>
        <v/>
      </c>
      <c r="LY96" s="31" t="str">
        <f>IF(LX96/(INDEX('Standards for Conversions'!$H$47:$H$73,MATCH(LW$3,'Standards for Conversions'!$A$47:$A$73,0)))=0,"",LX96/(INDEX('Standards for Conversions'!$H$47:$H$73,MATCH(LW$3,'Standards for Conversions'!$A$47:$A$73,0))))</f>
        <v/>
      </c>
      <c r="MB96" s="31" t="str">
        <f>IF(MA96/(INDEX('Standards for Conversions'!$H$47:$H$73,MATCH(LZ$3,'Standards for Conversions'!$A$47:$A$73,0)))=0,"",MA96/(INDEX('Standards for Conversions'!$H$47:$H$73,MATCH(LZ$3,'Standards for Conversions'!$A$47:$A$73,0))))</f>
        <v/>
      </c>
      <c r="ME96" s="31" t="str">
        <f>IF(MD96/(INDEX('Standards for Conversions'!$H$47:$H$73,MATCH(MC$3,'Standards for Conversions'!$A$47:$A$73,0)))=0,"",MD96/(INDEX('Standards for Conversions'!$H$47:$H$73,MATCH(MC$3,'Standards for Conversions'!$A$47:$A$73,0))))</f>
        <v/>
      </c>
      <c r="MH96" s="31" t="str">
        <f>IF(MG96/(INDEX('Standards for Conversions'!$H$47:$H$73,MATCH(MF$3,'Standards for Conversions'!$A$47:$A$73,0)))=0,"",MG96/(INDEX('Standards for Conversions'!$H$47:$H$73,MATCH(MF$3,'Standards for Conversions'!$A$47:$A$73,0))))</f>
        <v/>
      </c>
      <c r="MK96" s="31" t="str">
        <f>IF(MJ96/(INDEX('Standards for Conversions'!$H$47:$H$73,MATCH(MI$3,'Standards for Conversions'!$A$47:$A$73,0)))=0,"",MJ96/(INDEX('Standards for Conversions'!$H$47:$H$73,MATCH(MI$3,'Standards for Conversions'!$A$47:$A$73,0))))</f>
        <v/>
      </c>
      <c r="MN96" s="31" t="str">
        <f>IF(MM96/(INDEX('Standards for Conversions'!$H$47:$H$73,MATCH(ML$3,'Standards for Conversions'!$A$47:$A$73,0)))=0,"",MM96/(INDEX('Standards for Conversions'!$H$47:$H$73,MATCH(ML$3,'Standards for Conversions'!$A$47:$A$73,0))))</f>
        <v/>
      </c>
      <c r="MR96" s="31" t="str">
        <f>IF(MQ96/(INDEX('Standards for Conversions'!$H$47:$H$73,MATCH(MP$3,'Standards for Conversions'!$A$47:$A$73,0)))=0,"",MQ96/(INDEX('Standards for Conversions'!$H$47:$H$73,MATCH(MP$3,'Standards for Conversions'!$A$47:$A$73,0))))</f>
        <v/>
      </c>
      <c r="NE96" s="29" t="s">
        <v>8</v>
      </c>
      <c r="NF96" s="29">
        <v>189</v>
      </c>
      <c r="NG96" s="29">
        <v>56</v>
      </c>
      <c r="NH96" s="29">
        <v>342</v>
      </c>
      <c r="NI96" s="29">
        <v>139</v>
      </c>
    </row>
    <row r="97" spans="1:373" hidden="1" x14ac:dyDescent="0.3">
      <c r="A97" s="103" t="s">
        <v>264</v>
      </c>
      <c r="B97" s="10" t="s">
        <v>54</v>
      </c>
      <c r="C97" s="7"/>
      <c r="D97" s="7"/>
      <c r="E97" s="31" t="str">
        <f>IF(D97/(INDEX('Standards for Conversions'!$H$34:$H$73,MATCH(C$3,'Standards for Conversions'!$A$34:$A$73,0)))=0,"",D97/(INDEX('Standards for Conversions'!$H$34:$H$73,MATCH(C$3,'Standards for Conversions'!$A$34:$A$73,0))))</f>
        <v/>
      </c>
      <c r="F97" s="10" t="s">
        <v>54</v>
      </c>
      <c r="G97" s="7"/>
      <c r="H97" s="7"/>
      <c r="I97" s="31" t="str">
        <f>IF(H97/(INDEX('Standards for Conversions'!$H$34:$H$73,MATCH(G$3,'Standards for Conversions'!$A$34:$A$73,0)))=0,"",H97/(INDEX('Standards for Conversions'!$H$34:$H$73,MATCH(G$3,'Standards for Conversions'!$A$34:$A$73,0))))</f>
        <v/>
      </c>
      <c r="J97" s="10" t="s">
        <v>54</v>
      </c>
      <c r="K97" s="9"/>
      <c r="L97" s="9"/>
      <c r="M97" s="31" t="str">
        <f>IF(L97/(INDEX('Standards for Conversions'!$H$34:$H$73,MATCH(K$3,'Standards for Conversions'!$A$34:$A$73,0)))=0,"",L97/(INDEX('Standards for Conversions'!$H$34:$H$73,MATCH(K$3,'Standards for Conversions'!$A$34:$A$73,0))))</f>
        <v/>
      </c>
      <c r="N97" s="10" t="s">
        <v>54</v>
      </c>
      <c r="O97" s="7"/>
      <c r="P97" s="7"/>
      <c r="Q97" s="31" t="str">
        <f>IF(P97/(INDEX('Standards for Conversions'!$H$34:$H$73,MATCH(O$3,'Standards for Conversions'!$A$34:$A$73,0)))=0,"",P97/(INDEX('Standards for Conversions'!$H$34:$H$73,MATCH(O$3,'Standards for Conversions'!$A$34:$A$73,0))))</f>
        <v/>
      </c>
      <c r="R97" s="10" t="s">
        <v>54</v>
      </c>
      <c r="S97" s="7"/>
      <c r="T97" s="7"/>
      <c r="U97" s="31" t="str">
        <f>IF(T97/(INDEX('Standards for Conversions'!$H$34:$H$73,MATCH(S$3,'Standards for Conversions'!$A$34:$A$73,0)))=0,"",T97/(INDEX('Standards for Conversions'!$H$34:$H$73,MATCH(S$3,'Standards for Conversions'!$A$34:$A$73,0))))</f>
        <v/>
      </c>
      <c r="V97" s="10" t="s">
        <v>54</v>
      </c>
      <c r="W97" s="7"/>
      <c r="X97" s="7"/>
      <c r="Y97" s="31" t="str">
        <f>IF(X97/(INDEX('Standards for Conversions'!$H$34:$H$73,MATCH(W$3,'Standards for Conversions'!$A$34:$A$73,0)))=0,"",X97/(INDEX('Standards for Conversions'!$H$34:$H$73,MATCH(W$3,'Standards for Conversions'!$A$34:$A$73,0))))</f>
        <v/>
      </c>
      <c r="Z97" s="10" t="s">
        <v>54</v>
      </c>
      <c r="AA97" s="9"/>
      <c r="AB97" s="9"/>
      <c r="AC97" s="31" t="str">
        <f>IF(AB97/(INDEX('Standards for Conversions'!$H$34:$H$73,MATCH(AA$3,'Standards for Conversions'!$A$34:$A$73,0)))=0,"",AB97/(INDEX('Standards for Conversions'!$H$34:$H$73,MATCH(AA$3,'Standards for Conversions'!$A$34:$A$73,0))))</f>
        <v/>
      </c>
      <c r="AD97" s="10" t="s">
        <v>54</v>
      </c>
      <c r="AE97" s="7"/>
      <c r="AF97" s="7"/>
      <c r="AG97" s="31" t="str">
        <f>IF(AF97/(INDEX('Standards for Conversions'!$H$34:$H$73,MATCH(AE$3,'Standards for Conversions'!$A$34:$A$73,0)))=0,"",AF97/(INDEX('Standards for Conversions'!$H$34:$H$73,MATCH(AE$3,'Standards for Conversions'!$A$34:$A$73,0))))</f>
        <v/>
      </c>
      <c r="AH97" s="10" t="s">
        <v>54</v>
      </c>
      <c r="AI97" s="7"/>
      <c r="AJ97" s="7"/>
      <c r="AK97" s="31" t="str">
        <f>IF(AJ97/(INDEX('Standards for Conversions'!$H$34:$H$73,MATCH(AI$3,'Standards for Conversions'!$A$34:$A$73,0)))=0,"",AJ97/(INDEX('Standards for Conversions'!$H$34:$H$73,MATCH(AI$3,'Standards for Conversions'!$A$34:$A$73,0))))</f>
        <v/>
      </c>
      <c r="AL97" s="10" t="s">
        <v>54</v>
      </c>
      <c r="AM97" s="7"/>
      <c r="AN97" s="7"/>
      <c r="AO97" s="31" t="str">
        <f>IF(AN97/(INDEX('Standards for Conversions'!$H$34:$H$73,MATCH(AM$3,'Standards for Conversions'!$A$34:$A$73,0)))=0,"",AN97/(INDEX('Standards for Conversions'!$H$34:$H$73,MATCH(AM$3,'Standards for Conversions'!$A$34:$A$73,0))))</f>
        <v/>
      </c>
      <c r="AP97" s="10" t="s">
        <v>54</v>
      </c>
      <c r="AQ97" s="9"/>
      <c r="AR97" s="9"/>
      <c r="AS97" s="31" t="str">
        <f>IF(AR97/(INDEX('Standards for Conversions'!$H$34:$H$73,MATCH(AQ$3,'Standards for Conversions'!$A$34:$A$73,0)))=0,"",AR97/(INDEX('Standards for Conversions'!$H$34:$H$73,MATCH(AQ$3,'Standards for Conversions'!$A$34:$A$73,0))))</f>
        <v/>
      </c>
      <c r="AT97" s="10" t="s">
        <v>54</v>
      </c>
      <c r="AU97" s="7"/>
      <c r="AV97" s="7"/>
      <c r="AW97" s="31" t="str">
        <f>IF(AV97/(INDEX('Standards for Conversions'!$H$34:$H$73,MATCH(AU$3,'Standards for Conversions'!$A$34:$A$73,0)))=0,"",AV97/(INDEX('Standards for Conversions'!$H$34:$H$73,MATCH(AU$3,'Standards for Conversions'!$A$34:$A$73,0))))</f>
        <v/>
      </c>
      <c r="AX97" s="10" t="s">
        <v>54</v>
      </c>
      <c r="AY97" s="7"/>
      <c r="AZ97" s="7"/>
      <c r="BA97" s="31" t="str">
        <f>IF(AZ97/(INDEX('Standards for Conversions'!$H$34:$H$73,MATCH(AY$3,'Standards for Conversions'!$A$34:$A$73,0)))=0,"",AZ97/(INDEX('Standards for Conversions'!$H$34:$H$73,MATCH(AY$3,'Standards for Conversions'!$A$34:$A$73,0))))</f>
        <v/>
      </c>
      <c r="BB97" s="10" t="s">
        <v>54</v>
      </c>
      <c r="BC97" s="7"/>
      <c r="BD97" s="7"/>
      <c r="BE97" s="31" t="str">
        <f>IF(BD97/(INDEX('Standards for Conversions'!$H$34:$H$73,MATCH(BC$3,'Standards for Conversions'!$A$34:$A$73,0)))=0,"",BD97/(INDEX('Standards for Conversions'!$H$34:$H$73,MATCH(BC$3,'Standards for Conversions'!$A$34:$A$73,0))))</f>
        <v/>
      </c>
      <c r="BF97" s="10" t="s">
        <v>54</v>
      </c>
      <c r="BG97" s="9"/>
      <c r="BH97" s="9"/>
      <c r="BI97" s="31" t="str">
        <f>IF(BH97/(INDEX('Standards for Conversions'!$H$34:$H$73,MATCH(BG$3,'Standards for Conversions'!$A$34:$A$73,0)))=0,"",BH97/(INDEX('Standards for Conversions'!$H$34:$H$73,MATCH(BG$3,'Standards for Conversions'!$A$34:$A$73,0))))</f>
        <v/>
      </c>
      <c r="BJ97" s="10" t="s">
        <v>54</v>
      </c>
      <c r="BK97" s="7"/>
      <c r="BL97" s="7"/>
      <c r="BM97" s="31" t="str">
        <f>IF(BL97/(INDEX('Standards for Conversions'!$H$34:$H$73,MATCH(BK$3,'Standards for Conversions'!$A$34:$A$73,0)))=0,"",BL97/(INDEX('Standards for Conversions'!$H$34:$H$73,MATCH(BK$3,'Standards for Conversions'!$A$34:$A$73,0))))</f>
        <v/>
      </c>
      <c r="BN97" s="10" t="s">
        <v>54</v>
      </c>
      <c r="BO97" s="7"/>
      <c r="BP97" s="7"/>
      <c r="BQ97" s="31" t="str">
        <f>IF(BP97/(INDEX('Standards for Conversions'!$H$34:$H$73,MATCH(BO$3,'Standards for Conversions'!$A$34:$A$73,0)))=0,"",BP97/(INDEX('Standards for Conversions'!$H$34:$H$73,MATCH(BO$3,'Standards for Conversions'!$A$34:$A$73,0))))</f>
        <v/>
      </c>
      <c r="BR97" s="10" t="s">
        <v>54</v>
      </c>
      <c r="BS97" s="7"/>
      <c r="BT97" s="7"/>
      <c r="BU97" s="31" t="str">
        <f>IF(BT97/(INDEX('Standards for Conversions'!$H$34:$H$73,MATCH(BS$3,'Standards for Conversions'!$A$34:$A$73,0)))=0,"",BT97/(INDEX('Standards for Conversions'!$H$34:$H$73,MATCH(BS$3,'Standards for Conversions'!$A$34:$A$73,0))))</f>
        <v/>
      </c>
      <c r="BV97" s="10" t="s">
        <v>54</v>
      </c>
      <c r="BW97" s="9"/>
      <c r="BX97" s="9"/>
      <c r="BY97" s="31" t="str">
        <f>IF(BX97/(INDEX('Standards for Conversions'!$H$34:$H$73,MATCH(BW$3,'Standards for Conversions'!$A$34:$A$73,0)))=0,"",BX97/(INDEX('Standards for Conversions'!$H$34:$H$73,MATCH(BW$3,'Standards for Conversions'!$A$34:$A$73,0))))</f>
        <v/>
      </c>
      <c r="BZ97" s="10" t="s">
        <v>54</v>
      </c>
      <c r="CA97" s="7"/>
      <c r="CB97" s="7"/>
      <c r="CC97" s="31" t="str">
        <f>IF(CB97/(INDEX('Standards for Conversions'!$H$34:$H$73,MATCH(CA$3,'Standards for Conversions'!$A$34:$A$73,0)))=0,"",CB97/(INDEX('Standards for Conversions'!$H$34:$H$73,MATCH(CA$3,'Standards for Conversions'!$A$34:$A$73,0))))</f>
        <v/>
      </c>
      <c r="CD97" s="10" t="s">
        <v>54</v>
      </c>
      <c r="CE97" s="7"/>
      <c r="CF97" s="7"/>
      <c r="CG97" s="31" t="str">
        <f>IF(CF97/(INDEX('Standards for Conversions'!$H$34:$H$73,MATCH(CE$3,'Standards for Conversions'!$A$34:$A$73,0)))=0,"",CF97/(INDEX('Standards for Conversions'!$H$34:$H$73,MATCH(CE$3,'Standards for Conversions'!$A$34:$A$73,0))))</f>
        <v/>
      </c>
      <c r="CH97" s="10" t="s">
        <v>54</v>
      </c>
      <c r="CI97" s="7"/>
      <c r="CJ97" s="7"/>
      <c r="CK97" s="31" t="str">
        <f>IF(CJ97/(INDEX('Standards for Conversions'!$H$34:$H$73,MATCH(CI$3,'Standards for Conversions'!$A$34:$A$73,0)))=0,"",CJ97/(INDEX('Standards for Conversions'!$H$34:$H$73,MATCH(CI$3,'Standards for Conversions'!$A$34:$A$73,0))))</f>
        <v/>
      </c>
      <c r="CL97" s="10" t="s">
        <v>54</v>
      </c>
      <c r="CM97" s="9"/>
      <c r="CN97" s="9"/>
      <c r="CO97" s="31" t="str">
        <f>IF(CN97/(INDEX('Standards for Conversions'!$H$34:$H$73,MATCH(CM$3,'Standards for Conversions'!$A$34:$A$73,0)))=0,"",CN97/(INDEX('Standards for Conversions'!$H$34:$H$73,MATCH(CM$3,'Standards for Conversions'!$A$34:$A$73,0))))</f>
        <v/>
      </c>
      <c r="CP97" s="10" t="s">
        <v>54</v>
      </c>
      <c r="CQ97" s="7"/>
      <c r="CR97" s="7"/>
      <c r="CS97" s="31" t="str">
        <f>IF(CR97/(INDEX('Standards for Conversions'!$H$34:$H$73,MATCH(CQ$3,'Standards for Conversions'!$A$34:$A$73,0)))=0,"",CR97/(INDEX('Standards for Conversions'!$H$34:$H$73,MATCH(CQ$3,'Standards for Conversions'!$A$34:$A$73,0))))</f>
        <v/>
      </c>
      <c r="CT97" s="10" t="s">
        <v>54</v>
      </c>
      <c r="CU97" s="7"/>
      <c r="CV97" s="7"/>
      <c r="CW97" s="31" t="str">
        <f>IF(CV97/(INDEX('Standards for Conversions'!$H$34:$H$73,MATCH(CU$3,'Standards for Conversions'!$A$34:$A$73,0)))=0,"",CV97/(INDEX('Standards for Conversions'!$H$34:$H$73,MATCH(CU$3,'Standards for Conversions'!$A$34:$A$73,0))))</f>
        <v/>
      </c>
      <c r="CX97" s="10" t="s">
        <v>54</v>
      </c>
      <c r="CY97" s="7"/>
      <c r="CZ97" s="7"/>
      <c r="DA97" s="31" t="str">
        <f>IF(CZ97/(INDEX('Standards for Conversions'!$H$34:$H$73,MATCH(CY$3,'Standards for Conversions'!$A$34:$A$73,0)))=0,"",CZ97/(INDEX('Standards for Conversions'!$H$34:$H$73,MATCH(CY$3,'Standards for Conversions'!$A$34:$A$73,0))))</f>
        <v/>
      </c>
      <c r="DB97" s="10" t="s">
        <v>54</v>
      </c>
      <c r="DC97" s="9"/>
      <c r="DD97" s="9"/>
      <c r="DE97" s="31" t="str">
        <f>IF(DD97/(INDEX('Standards for Conversions'!$H$34:$H$73,MATCH(DC$3,'Standards for Conversions'!$A$34:$A$73,0)))=0,"",DD97/(INDEX('Standards for Conversions'!$H$34:$H$73,MATCH(DC$3,'Standards for Conversions'!$A$34:$A$73,0))))</f>
        <v/>
      </c>
      <c r="DF97" s="10" t="s">
        <v>54</v>
      </c>
      <c r="DG97" s="7"/>
      <c r="DH97" s="7"/>
      <c r="DI97" s="31" t="str">
        <f>IF(DH97/(INDEX('Standards for Conversions'!$H$34:$H$73,MATCH(DG$3,'Standards for Conversions'!$A$34:$A$73,0)))=0,"",DH97/(INDEX('Standards for Conversions'!$H$34:$H$73,MATCH(DG$3,'Standards for Conversions'!$A$34:$A$73,0))))</f>
        <v/>
      </c>
      <c r="DJ97" s="10" t="s">
        <v>54</v>
      </c>
      <c r="DK97" s="7"/>
      <c r="DL97" s="7"/>
      <c r="DM97" s="31" t="str">
        <f>IF(DL97/(INDEX('Standards for Conversions'!$H$34:$H$73,MATCH(DK$3,'Standards for Conversions'!$A$34:$A$73,0)))=0,"",DL97/(INDEX('Standards for Conversions'!$H$34:$H$73,MATCH(DK$3,'Standards for Conversions'!$A$34:$A$73,0))))</f>
        <v/>
      </c>
      <c r="DN97" s="10" t="s">
        <v>54</v>
      </c>
      <c r="DO97" s="7"/>
      <c r="DP97" s="7"/>
      <c r="DQ97" s="31" t="str">
        <f>IF(DP97/(INDEX('Standards for Conversions'!$H$34:$H$73,MATCH(DO$3,'Standards for Conversions'!$A$34:$A$73,0)))=0,"",DP97/(INDEX('Standards for Conversions'!$H$34:$H$73,MATCH(DO$3,'Standards for Conversions'!$A$34:$A$73,0))))</f>
        <v/>
      </c>
      <c r="DR97" s="10" t="s">
        <v>54</v>
      </c>
      <c r="DS97" s="9"/>
      <c r="DT97" s="9"/>
      <c r="DU97" s="31" t="str">
        <f>IF(DT97/(INDEX('Standards for Conversions'!$H$34:$H$73,MATCH(DS$3,'Standards for Conversions'!$A$34:$A$73,0)))=0,"",DT97/(INDEX('Standards for Conversions'!$H$34:$H$73,MATCH(DS$3,'Standards for Conversions'!$A$34:$A$73,0))))</f>
        <v/>
      </c>
      <c r="DV97" s="10" t="s">
        <v>54</v>
      </c>
      <c r="DW97" s="7"/>
      <c r="DX97" s="7"/>
      <c r="DY97" s="31" t="str">
        <f>IF(DX97/(INDEX('Standards for Conversions'!$H$34:$H$73,MATCH(DW$3,'Standards for Conversions'!$A$34:$A$73,0)))=0,"",DX97/(INDEX('Standards for Conversions'!$H$34:$H$73,MATCH(DW$3,'Standards for Conversions'!$A$34:$A$73,0))))</f>
        <v/>
      </c>
      <c r="DZ97" s="10" t="s">
        <v>54</v>
      </c>
      <c r="EA97" s="7"/>
      <c r="EB97" s="7"/>
      <c r="EC97" s="31" t="str">
        <f>IF(EB97/(INDEX('Standards for Conversions'!$H$34:$H$73,MATCH(EA$3,'Standards for Conversions'!$A$34:$A$73,0)))=0,"",EB97/(INDEX('Standards for Conversions'!$H$34:$H$73,MATCH(EA$3,'Standards for Conversions'!$A$34:$A$73,0))))</f>
        <v/>
      </c>
      <c r="ED97" s="10" t="s">
        <v>54</v>
      </c>
      <c r="EE97" s="7"/>
      <c r="EF97" s="7"/>
      <c r="EG97" s="31" t="str">
        <f>IF(EF97/(INDEX('Standards for Conversions'!$H$34:$H$73,MATCH(EE$3,'Standards for Conversions'!$A$34:$A$73,0)))=0,"",EF97/(INDEX('Standards for Conversions'!$H$34:$H$73,MATCH(EE$3,'Standards for Conversions'!$A$34:$A$73,0))))</f>
        <v/>
      </c>
      <c r="EH97" s="10" t="s">
        <v>54</v>
      </c>
      <c r="EI97" s="9"/>
      <c r="EJ97" s="9"/>
      <c r="EK97" s="31" t="str">
        <f>IF(EJ97/(INDEX('Standards for Conversions'!$H$34:$H$73,MATCH(EI$3,'Standards for Conversions'!$A$34:$A$73,0)))=0,"",EJ97/(INDEX('Standards for Conversions'!$H$34:$H$73,MATCH(EI$3,'Standards for Conversions'!$A$34:$A$73,0))))</f>
        <v/>
      </c>
      <c r="EL97" s="10" t="s">
        <v>54</v>
      </c>
      <c r="EM97" s="7"/>
      <c r="EN97" s="7"/>
      <c r="EO97" s="31" t="str">
        <f>IF(EN97/(INDEX('Standards for Conversions'!$H$34:$H$73,MATCH(EM$3,'Standards for Conversions'!$A$34:$A$73,0)))=0,"",EN97/(INDEX('Standards for Conversions'!$H$34:$H$73,MATCH(EM$3,'Standards for Conversions'!$A$34:$A$73,0))))</f>
        <v/>
      </c>
      <c r="EP97" s="10" t="s">
        <v>54</v>
      </c>
      <c r="EQ97" s="7"/>
      <c r="ER97" s="7"/>
      <c r="ES97" s="31" t="str">
        <f>IF(ER97/(INDEX('Standards for Conversions'!$H$34:$H$73,MATCH(EQ$3,'Standards for Conversions'!$A$34:$A$73,0)))=0,"",ER97/(INDEX('Standards for Conversions'!$H$34:$H$73,MATCH(EQ$3,'Standards for Conversions'!$A$34:$A$73,0))))</f>
        <v/>
      </c>
      <c r="ET97" s="10" t="s">
        <v>54</v>
      </c>
      <c r="EU97" s="7"/>
      <c r="EV97" s="7"/>
      <c r="EW97" s="31" t="str">
        <f>IF(EV97/(INDEX('Standards for Conversions'!$H$34:$H$73,MATCH(EU$3,'Standards for Conversions'!$A$34:$A$73,0)))=0,"",EV97/(INDEX('Standards for Conversions'!$H$34:$H$73,MATCH(EU$3,'Standards for Conversions'!$A$34:$A$73,0))))</f>
        <v/>
      </c>
      <c r="EX97" s="10" t="s">
        <v>54</v>
      </c>
      <c r="EY97" s="9"/>
      <c r="EZ97" s="9"/>
      <c r="FA97" s="31" t="str">
        <f>IF(EZ97/(INDEX('Standards for Conversions'!$H$34:$H$73,MATCH(EY$3,'Standards for Conversions'!$A$34:$A$73,0)))=0,"",EZ97/(INDEX('Standards for Conversions'!$H$34:$H$73,MATCH(EY$3,'Standards for Conversions'!$A$34:$A$73,0))))</f>
        <v/>
      </c>
      <c r="FB97" s="10" t="s">
        <v>54</v>
      </c>
      <c r="FC97" s="7"/>
      <c r="FD97" s="7"/>
      <c r="FE97" s="31" t="str">
        <f>IF(FD97/(INDEX('Standards for Conversions'!$H$34:$H$73,MATCH(FC$3,'Standards for Conversions'!$A$34:$A$73,0)))=0,"",FD97/(INDEX('Standards for Conversions'!$H$34:$H$73,MATCH(FC$3,'Standards for Conversions'!$A$34:$A$73,0))))</f>
        <v/>
      </c>
      <c r="FF97" s="10" t="s">
        <v>54</v>
      </c>
      <c r="FG97" s="7"/>
      <c r="FH97" s="7"/>
      <c r="FI97" s="31" t="str">
        <f>IF(FH97/(INDEX('Standards for Conversions'!$H$34:$H$73,MATCH(FG$3,'Standards for Conversions'!$A$34:$A$73,0)))=0,"",FH97/(INDEX('Standards for Conversions'!$H$34:$H$73,MATCH(FG$3,'Standards for Conversions'!$A$34:$A$73,0))))</f>
        <v/>
      </c>
      <c r="FJ97" s="10" t="s">
        <v>54</v>
      </c>
      <c r="FK97" s="7"/>
      <c r="FL97" s="7"/>
      <c r="FM97" s="31" t="str">
        <f>IF(FL97/(INDEX('Standards for Conversions'!$H$34:$H$73,MATCH(FK$3,'Standards for Conversions'!$A$34:$A$73,0)))=0,"",FL97/(INDEX('Standards for Conversions'!$H$34:$H$73,MATCH(FK$3,'Standards for Conversions'!$A$34:$A$73,0))))</f>
        <v/>
      </c>
      <c r="FN97" s="10" t="s">
        <v>54</v>
      </c>
      <c r="FO97" s="9"/>
      <c r="FP97" s="9"/>
      <c r="FQ97" s="31" t="str">
        <f>IF(FP97/(INDEX('Standards for Conversions'!$H$34:$H$73,MATCH(FO$3,'Standards for Conversions'!$A$34:$A$73,0)))=0,"",FP97/(INDEX('Standards for Conversions'!$H$34:$H$73,MATCH(FO$3,'Standards for Conversions'!$A$34:$A$73,0))))</f>
        <v/>
      </c>
      <c r="FR97" s="10" t="s">
        <v>54</v>
      </c>
      <c r="FS97" s="7"/>
      <c r="FT97" s="7"/>
      <c r="FU97" s="31" t="str">
        <f>IF(FT97/(INDEX('Standards for Conversions'!$H$34:$H$73,MATCH(FS$3,'Standards for Conversions'!$A$34:$A$73,0)))=0,"",FT97/(INDEX('Standards for Conversions'!$H$34:$H$73,MATCH(FS$3,'Standards for Conversions'!$A$34:$A$73,0))))</f>
        <v/>
      </c>
      <c r="FV97" s="10" t="s">
        <v>54</v>
      </c>
      <c r="FW97" s="7"/>
      <c r="FX97" s="7"/>
      <c r="FY97" s="31" t="str">
        <f>IF(FX97/(INDEX('Standards for Conversions'!$H$34:$H$73,MATCH(FW$3,'Standards for Conversions'!$A$34:$A$73,0)))=0,"",FX97/(INDEX('Standards for Conversions'!$H$34:$H$73,MATCH(FW$3,'Standards for Conversions'!$A$34:$A$73,0))))</f>
        <v/>
      </c>
      <c r="FZ97" s="10" t="s">
        <v>54</v>
      </c>
      <c r="GA97" s="7"/>
      <c r="GB97" s="7"/>
      <c r="GC97" s="31" t="str">
        <f>IF(GB97/(INDEX('Standards for Conversions'!$H$34:$H$73,MATCH(GA$3,'Standards for Conversions'!$A$34:$A$73,0)))=0,"",GB97/(INDEX('Standards for Conversions'!$H$34:$H$73,MATCH(GA$3,'Standards for Conversions'!$A$34:$A$73,0))))</f>
        <v/>
      </c>
      <c r="GD97" s="10" t="s">
        <v>54</v>
      </c>
      <c r="GE97" s="9"/>
      <c r="GF97" s="9"/>
      <c r="GG97" s="31" t="str">
        <f>IF(GF97/(INDEX('Standards for Conversions'!$H$34:$H$73,MATCH(GE$3,'Standards for Conversions'!$A$34:$A$73,0)))=0,"",GF97/(INDEX('Standards for Conversions'!$H$34:$H$73,MATCH(GE$3,'Standards for Conversions'!$A$34:$A$73,0))))</f>
        <v/>
      </c>
      <c r="GH97" s="10" t="s">
        <v>54</v>
      </c>
      <c r="GI97" s="7"/>
      <c r="GJ97" s="7"/>
      <c r="GK97" s="31" t="str">
        <f>IF(GJ97/(INDEX('Standards for Conversions'!$H$34:$H$73,MATCH(GI$3,'Standards for Conversions'!$A$34:$A$73,0)))=0,"",GJ97/(INDEX('Standards for Conversions'!$H$34:$H$73,MATCH(GI$3,'Standards for Conversions'!$A$34:$A$73,0))))</f>
        <v/>
      </c>
      <c r="GL97" s="10" t="s">
        <v>54</v>
      </c>
      <c r="GM97" s="7"/>
      <c r="GN97" s="7"/>
      <c r="GO97" s="31" t="str">
        <f>IF(GN97/(INDEX('Standards for Conversions'!$H$34:$H$73,MATCH(GM$3,'Standards for Conversions'!$A$34:$A$73,0)))=0,"",GN97/(INDEX('Standards for Conversions'!$H$34:$H$73,MATCH(GM$3,'Standards for Conversions'!$A$34:$A$73,0))))</f>
        <v/>
      </c>
      <c r="GP97" s="10" t="s">
        <v>54</v>
      </c>
      <c r="GQ97" s="7"/>
      <c r="GR97" s="7"/>
      <c r="GS97" s="31" t="str">
        <f>IF(GR97/(INDEX('Standards for Conversions'!$H$34:$H$73,MATCH(GQ$3,'Standards for Conversions'!$A$34:$A$73,0)))=0,"",GR97/(INDEX('Standards for Conversions'!$H$34:$H$73,MATCH(GQ$3,'Standards for Conversions'!$A$34:$A$73,0))))</f>
        <v/>
      </c>
      <c r="GT97" s="10" t="s">
        <v>54</v>
      </c>
      <c r="GU97" s="9"/>
      <c r="GV97" s="9"/>
      <c r="GW97" s="31" t="str">
        <f>IF(GV97/(INDEX('Standards for Conversions'!$H$34:$H$73,MATCH(GU$3,'Standards for Conversions'!$A$34:$A$73,0)))=0,"",GV97/(INDEX('Standards for Conversions'!$H$34:$H$73,MATCH(GU$3,'Standards for Conversions'!$A$34:$A$73,0))))</f>
        <v/>
      </c>
      <c r="GX97" s="10" t="s">
        <v>54</v>
      </c>
      <c r="GY97" s="7"/>
      <c r="GZ97" s="7"/>
      <c r="HA97" s="31" t="str">
        <f>IF(GZ97/(INDEX('Standards for Conversions'!$H$34:$H$73,MATCH(GY$3,'Standards for Conversions'!$A$34:$A$73,0)))=0,"",GZ97/(INDEX('Standards for Conversions'!$H$34:$H$73,MATCH(GY$3,'Standards for Conversions'!$A$34:$A$73,0))))</f>
        <v/>
      </c>
      <c r="HB97" s="10" t="s">
        <v>54</v>
      </c>
      <c r="HC97" s="7"/>
      <c r="HD97" s="7"/>
      <c r="HE97" s="31" t="str">
        <f>IF(HD97/(INDEX('Standards for Conversions'!$H$34:$H$73,MATCH(HC$3,'Standards for Conversions'!$A$34:$A$73,0)))=0,"",HD97/(INDEX('Standards for Conversions'!$H$34:$H$73,MATCH(HC$3,'Standards for Conversions'!$A$34:$A$73,0))))</f>
        <v/>
      </c>
      <c r="HF97" s="10" t="s">
        <v>54</v>
      </c>
      <c r="HG97" s="7"/>
      <c r="HH97" s="7"/>
      <c r="HI97" s="31" t="str">
        <f>IF(HH97/(INDEX('Standards for Conversions'!$H$34:$H$73,MATCH(HG$3,'Standards for Conversions'!$A$34:$A$73,0)))=0,"",HH97/(INDEX('Standards for Conversions'!$H$34:$H$73,MATCH(HG$3,'Standards for Conversions'!$A$34:$A$73,0))))</f>
        <v/>
      </c>
      <c r="HJ97" s="10" t="s">
        <v>54</v>
      </c>
      <c r="HK97" s="9"/>
      <c r="HL97" s="9"/>
      <c r="HM97" s="31" t="str">
        <f>IF(HL97/(INDEX('Standards for Conversions'!$H$34:$H$73,MATCH(HK$3,'Standards for Conversions'!$A$34:$A$73,0)))=0,"",HL97/(INDEX('Standards for Conversions'!$H$34:$H$73,MATCH(HK$3,'Standards for Conversions'!$A$34:$A$73,0))))</f>
        <v/>
      </c>
      <c r="HN97" s="10" t="s">
        <v>54</v>
      </c>
      <c r="HO97" s="7"/>
      <c r="HP97" s="7"/>
      <c r="HQ97" s="31" t="str">
        <f>IF(HP97/(INDEX('Standards for Conversions'!$H$34:$H$73,MATCH(HO$3,'Standards for Conversions'!$A$34:$A$73,0)))=0,"",HP97/(INDEX('Standards for Conversions'!$H$34:$H$73,MATCH(HO$3,'Standards for Conversions'!$A$34:$A$73,0))))</f>
        <v/>
      </c>
      <c r="HR97" s="33" t="s">
        <v>54</v>
      </c>
      <c r="HU97" s="31" t="str">
        <f>IF(HT97/(INDEX('Standards for Conversions'!$H$47:$H$73,MATCH(HS$3,'Standards for Conversions'!$A$47:$A$73,0)))=0,"",HT97/(INDEX('Standards for Conversions'!$H$47:$H$73,MATCH(HS$3,'Standards for Conversions'!$A$47:$A$73,0))))</f>
        <v/>
      </c>
      <c r="HV97" s="33" t="s">
        <v>54</v>
      </c>
      <c r="HY97" s="31" t="str">
        <f>IF(HX97/(INDEX('Standards for Conversions'!$H$47:$H$73,MATCH(HW$3,'Standards for Conversions'!$A$47:$A$73,0)))=0,"",HX97/(INDEX('Standards for Conversions'!$H$47:$H$73,MATCH(HW$3,'Standards for Conversions'!$A$47:$A$73,0))))</f>
        <v/>
      </c>
      <c r="HZ97" s="33">
        <v>700</v>
      </c>
      <c r="IA97" s="33">
        <v>800</v>
      </c>
      <c r="IB97" s="31">
        <f>IF(IA97/(INDEX('Standards for Conversions'!$H$47:$H$73,MATCH(HZ$3,'Standards for Conversions'!$A$47:$A$73,0)))=0,"",IA97/(INDEX('Standards for Conversions'!$H$47:$H$73,MATCH(HZ$3,'Standards for Conversions'!$A$47:$A$73,0))))</f>
        <v>116.19632977028476</v>
      </c>
      <c r="IC97" s="33" t="s">
        <v>54</v>
      </c>
      <c r="IF97" s="31" t="str">
        <f>IF(IE97/(INDEX('Standards for Conversions'!$H$47:$H$73,MATCH(ID$3,'Standards for Conversions'!$A$47:$A$73,0)))=0,"",IE97/(INDEX('Standards for Conversions'!$H$47:$H$73,MATCH(ID$3,'Standards for Conversions'!$A$47:$A$73,0))))</f>
        <v/>
      </c>
      <c r="IG97" s="33" t="s">
        <v>54</v>
      </c>
      <c r="IJ97" s="31" t="str">
        <f>IF(II97/(INDEX('Standards for Conversions'!$H$47:$H$73,MATCH(IH$3,'Standards for Conversions'!$A$47:$A$73,0)))=0,"",II97/(INDEX('Standards for Conversions'!$H$47:$H$73,MATCH(IH$3,'Standards for Conversions'!$A$47:$A$73,0))))</f>
        <v/>
      </c>
      <c r="IK97" s="33" t="s">
        <v>54</v>
      </c>
      <c r="IN97" s="31" t="str">
        <f>IF(IM97/(INDEX('Standards for Conversions'!$H$47:$H$73,MATCH(IL$3,'Standards for Conversions'!$A$47:$A$73,0)))=0,"",IM97/(INDEX('Standards for Conversions'!$H$47:$H$73,MATCH(IL$3,'Standards for Conversions'!$A$47:$A$73,0))))</f>
        <v/>
      </c>
      <c r="IO97" s="33" t="s">
        <v>54</v>
      </c>
      <c r="IP97" s="29">
        <v>1066</v>
      </c>
      <c r="IQ97" s="29">
        <v>1142</v>
      </c>
      <c r="IR97" s="31">
        <f>IF(IQ97/(INDEX('Standards for Conversions'!$H$47:$H$73,MATCH(IP$3,'Standards for Conversions'!$A$47:$A$73,0)))=0,"",IQ97/(INDEX('Standards for Conversions'!$H$47:$H$73,MATCH(IP$3,'Standards for Conversions'!$A$47:$A$73,0))))</f>
        <v>165.14488059804177</v>
      </c>
      <c r="IS97" s="33" t="s">
        <v>54</v>
      </c>
      <c r="IV97" s="31" t="str">
        <f>IF(IU97/(INDEX('Standards for Conversions'!$H$47:$H$73,MATCH(IT$3,'Standards for Conversions'!$A$47:$A$73,0)))=0,"",IU97/(INDEX('Standards for Conversions'!$H$47:$H$73,MATCH(IT$3,'Standards for Conversions'!$A$47:$A$73,0))))</f>
        <v/>
      </c>
      <c r="IW97" s="33" t="s">
        <v>54</v>
      </c>
      <c r="IZ97" s="31" t="str">
        <f>IF(IY97/(INDEX('Standards for Conversions'!$H$47:$H$73,MATCH(IX$3,'Standards for Conversions'!$A$47:$A$73,0)))=0,"",IY97/(INDEX('Standards for Conversions'!$H$47:$H$73,MATCH(IX$3,'Standards for Conversions'!$A$47:$A$73,0))))</f>
        <v/>
      </c>
      <c r="JA97" s="48" t="s">
        <v>54</v>
      </c>
      <c r="JD97" s="31" t="str">
        <f>IF(JC97/(INDEX('Standards for Conversions'!$H$47:$H$73,MATCH(JB$3,'Standards for Conversions'!$A$47:$A$73,0)))=0,"",JC97/(INDEX('Standards for Conversions'!$H$47:$H$73,MATCH(JB$3,'Standards for Conversions'!$A$47:$A$73,0))))</f>
        <v/>
      </c>
      <c r="JE97" s="48" t="s">
        <v>54</v>
      </c>
      <c r="JF97" s="29">
        <v>1364</v>
      </c>
      <c r="JG97" s="29">
        <v>2280</v>
      </c>
      <c r="JH97" s="31">
        <f>IF(JG97/(INDEX('Standards for Conversions'!$H$47:$H$73,MATCH(JF$3,'Standards for Conversions'!$A$47:$A$73,0)))=0,"",JG97/(INDEX('Standards for Conversions'!$H$47:$H$73,MATCH(JF$3,'Standards for Conversions'!$A$47:$A$73,0))))</f>
        <v>368.81324845746065</v>
      </c>
      <c r="JL97" s="31" t="str">
        <f>IF(JK97/(INDEX('Standards for Conversions'!$H$47:$H$73,MATCH(JJ$3,'Standards for Conversions'!$A$47:$A$73,0)))=0,"",JK97/(INDEX('Standards for Conversions'!$H$47:$H$73,MATCH(JJ$3,'Standards for Conversions'!$A$47:$A$73,0))))</f>
        <v/>
      </c>
      <c r="JM97" s="33" t="s">
        <v>54</v>
      </c>
      <c r="JP97" s="31" t="str">
        <f>IF(JO97/(INDEX('Standards for Conversions'!$H$47:$H$73,MATCH(JN$3,'Standards for Conversions'!$A$47:$A$73,0)))=0,"",JO97/(INDEX('Standards for Conversions'!$H$47:$H$73,MATCH(JN$3,'Standards for Conversions'!$A$47:$A$73,0))))</f>
        <v/>
      </c>
      <c r="JQ97" s="33" t="s">
        <v>54</v>
      </c>
      <c r="JT97" s="31" t="str">
        <f>IF(JS97/(INDEX('Standards for Conversions'!$H$47:$H$73,MATCH(JR$3,'Standards for Conversions'!$A$47:$A$73,0)))=0,"",JS97/(INDEX('Standards for Conversions'!$H$47:$H$73,MATCH(JR$3,'Standards for Conversions'!$A$47:$A$73,0))))</f>
        <v/>
      </c>
      <c r="JU97" s="33" t="s">
        <v>54</v>
      </c>
      <c r="JV97" s="29">
        <v>1000</v>
      </c>
      <c r="JW97" s="29">
        <v>1100</v>
      </c>
      <c r="JX97" s="31">
        <f>IF(JW97/(INDEX('Standards for Conversions'!$H$47:$H$73,MATCH(JV$3,'Standards for Conversions'!$A$47:$A$73,0)))=0,"",JW97/(INDEX('Standards for Conversions'!$H$47:$H$73,MATCH(JV$3,'Standards for Conversions'!$A$47:$A$73,0))))</f>
        <v>167.92148167057732</v>
      </c>
      <c r="JY97" s="33" t="s">
        <v>54</v>
      </c>
      <c r="KB97" s="31" t="str">
        <f>IF(KA97/(INDEX('Standards for Conversions'!$H$47:$H$73,MATCH(JZ$3,'Standards for Conversions'!$A$47:$A$73,0)))=0,"",KA97/(INDEX('Standards for Conversions'!$H$47:$H$73,MATCH(JZ$3,'Standards for Conversions'!$A$47:$A$73,0))))</f>
        <v/>
      </c>
      <c r="KC97" s="33" t="s">
        <v>54</v>
      </c>
      <c r="KF97" s="31" t="str">
        <f>IF(KE97/(INDEX('Standards for Conversions'!$H$47:$H$73,MATCH(KD$3,'Standards for Conversions'!$A$47:$A$73,0)))=0,"",KE97/(INDEX('Standards for Conversions'!$H$47:$H$73,MATCH(KD$3,'Standards for Conversions'!$A$47:$A$73,0))))</f>
        <v/>
      </c>
      <c r="KG97" s="33" t="s">
        <v>54</v>
      </c>
      <c r="KJ97" s="31" t="str">
        <f>IF(KI97/(INDEX('Standards for Conversions'!$H$47:$H$73,MATCH(KH$3,'Standards for Conversions'!$A$47:$A$73,0)))=0,"",KI97/(INDEX('Standards for Conversions'!$H$47:$H$73,MATCH(KH$3,'Standards for Conversions'!$A$47:$A$73,0))))</f>
        <v/>
      </c>
      <c r="KK97" s="33" t="s">
        <v>54</v>
      </c>
      <c r="KL97" s="29">
        <v>800</v>
      </c>
      <c r="KM97" s="29">
        <v>1000</v>
      </c>
      <c r="KN97" s="31">
        <f>IF(KM97/(INDEX('Standards for Conversions'!$H$47:$H$73,MATCH(KL$3,'Standards for Conversions'!$A$47:$A$73,0)))=0,"",KM97/(INDEX('Standards for Conversions'!$H$47:$H$73,MATCH(KL$3,'Standards for Conversions'!$A$47:$A$73,0))))</f>
        <v>134.65901190579646</v>
      </c>
      <c r="KO97" s="33" t="s">
        <v>54</v>
      </c>
      <c r="KR97" s="31" t="str">
        <f>IF(KQ97/(INDEX('Standards for Conversions'!$H$47:$H$73,MATCH(KP$3,'Standards for Conversions'!$A$47:$A$73,0)))=0,"",KQ97/(INDEX('Standards for Conversions'!$H$47:$H$73,MATCH(KP$3,'Standards for Conversions'!$A$47:$A$73,0))))</f>
        <v/>
      </c>
      <c r="KS97" s="33" t="s">
        <v>54</v>
      </c>
      <c r="KV97" s="31" t="str">
        <f>IF(KU97/(INDEX('Standards for Conversions'!$H$47:$H$73,MATCH(KT$3,'Standards for Conversions'!$A$47:$A$73,0)))=0,"",KU97/(INDEX('Standards for Conversions'!$H$47:$H$73,MATCH(KT$3,'Standards for Conversions'!$A$47:$A$73,0))))</f>
        <v/>
      </c>
      <c r="KW97" s="48" t="s">
        <v>54</v>
      </c>
      <c r="KZ97" s="31" t="str">
        <f>IF(KY97/(INDEX('Standards for Conversions'!$H$47:$H$73,MATCH(KX$3,'Standards for Conversions'!$A$47:$A$73,0)))=0,"",KY97/(INDEX('Standards for Conversions'!$H$47:$H$73,MATCH(KX$3,'Standards for Conversions'!$A$47:$A$73,0))))</f>
        <v/>
      </c>
      <c r="LA97" s="48" t="s">
        <v>54</v>
      </c>
      <c r="LB97" s="29">
        <v>543</v>
      </c>
      <c r="LC97" s="29">
        <v>1020</v>
      </c>
      <c r="LD97" s="31">
        <f>IF(LC97/(INDEX('Standards for Conversions'!$H$47:$H$73,MATCH(LB$3,'Standards for Conversions'!$A$47:$A$73,0)))=0,"",LC97/(INDEX('Standards for Conversions'!$H$47:$H$73,MATCH(LB$3,'Standards for Conversions'!$A$47:$A$73,0))))</f>
        <v>124.04889806204916</v>
      </c>
      <c r="LH97" s="31" t="str">
        <f>IF(LG97/(INDEX('Standards for Conversions'!$H$47:$H$73,MATCH(LF$3,'Standards for Conversions'!$A$47:$A$73,0)))=0,"",LG97/(INDEX('Standards for Conversions'!$H$47:$H$73,MATCH(LF$3,'Standards for Conversions'!$A$47:$A$73,0))))</f>
        <v/>
      </c>
      <c r="LL97" s="31" t="str">
        <f>IF(LK97/(INDEX('Standards for Conversions'!$H$47:$H$73,MATCH(LJ$3,'Standards for Conversions'!$A$47:$A$73,0)))=0,"",LK97/(INDEX('Standards for Conversions'!$H$47:$H$73,MATCH(LJ$3,'Standards for Conversions'!$A$47:$A$73,0))))</f>
        <v/>
      </c>
      <c r="LO97" s="31" t="str">
        <f>IF(LN97/(INDEX('Standards for Conversions'!$H$47:$H$73,MATCH(LM$3,'Standards for Conversions'!$A$47:$A$73,0)))=0,"",LN97/(INDEX('Standards for Conversions'!$H$47:$H$73,MATCH(LM$3,'Standards for Conversions'!$A$47:$A$73,0))))</f>
        <v/>
      </c>
      <c r="LR97" s="31" t="str">
        <f>IF(LQ97/(INDEX('Standards for Conversions'!$H$47:$H$73,MATCH(LP$3,'Standards for Conversions'!$A$47:$A$73,0)))=0,"",LQ97/(INDEX('Standards for Conversions'!$H$47:$H$73,MATCH(LP$3,'Standards for Conversions'!$A$47:$A$73,0))))</f>
        <v/>
      </c>
      <c r="LV97" s="31" t="str">
        <f>IF(LU97/(INDEX('Standards for Conversions'!$H$47:$H$73,MATCH(LT$3,'Standards for Conversions'!$A$47:$A$73,0)))=0,"",LU97/(INDEX('Standards for Conversions'!$H$47:$H$73,MATCH(LT$3,'Standards for Conversions'!$A$47:$A$73,0))))</f>
        <v/>
      </c>
      <c r="LY97" s="31" t="str">
        <f>IF(LX97/(INDEX('Standards for Conversions'!$H$47:$H$73,MATCH(LW$3,'Standards for Conversions'!$A$47:$A$73,0)))=0,"",LX97/(INDEX('Standards for Conversions'!$H$47:$H$73,MATCH(LW$3,'Standards for Conversions'!$A$47:$A$73,0))))</f>
        <v/>
      </c>
      <c r="MB97" s="31" t="str">
        <f>IF(MA97/(INDEX('Standards for Conversions'!$H$47:$H$73,MATCH(LZ$3,'Standards for Conversions'!$A$47:$A$73,0)))=0,"",MA97/(INDEX('Standards for Conversions'!$H$47:$H$73,MATCH(LZ$3,'Standards for Conversions'!$A$47:$A$73,0))))</f>
        <v/>
      </c>
      <c r="ME97" s="31" t="str">
        <f>IF(MD97/(INDEX('Standards for Conversions'!$H$47:$H$73,MATCH(MC$3,'Standards for Conversions'!$A$47:$A$73,0)))=0,"",MD97/(INDEX('Standards for Conversions'!$H$47:$H$73,MATCH(MC$3,'Standards for Conversions'!$A$47:$A$73,0))))</f>
        <v/>
      </c>
      <c r="MH97" s="31" t="str">
        <f>IF(MG97/(INDEX('Standards for Conversions'!$H$47:$H$73,MATCH(MF$3,'Standards for Conversions'!$A$47:$A$73,0)))=0,"",MG97/(INDEX('Standards for Conversions'!$H$47:$H$73,MATCH(MF$3,'Standards for Conversions'!$A$47:$A$73,0))))</f>
        <v/>
      </c>
      <c r="MK97" s="31" t="str">
        <f>IF(MJ97/(INDEX('Standards for Conversions'!$H$47:$H$73,MATCH(MI$3,'Standards for Conversions'!$A$47:$A$73,0)))=0,"",MJ97/(INDEX('Standards for Conversions'!$H$47:$H$73,MATCH(MI$3,'Standards for Conversions'!$A$47:$A$73,0))))</f>
        <v/>
      </c>
      <c r="MN97" s="31" t="str">
        <f>IF(MM97/(INDEX('Standards for Conversions'!$H$47:$H$73,MATCH(ML$3,'Standards for Conversions'!$A$47:$A$73,0)))=0,"",MM97/(INDEX('Standards for Conversions'!$H$47:$H$73,MATCH(ML$3,'Standards for Conversions'!$A$47:$A$73,0))))</f>
        <v/>
      </c>
      <c r="MR97" s="31" t="str">
        <f>IF(MQ97/(INDEX('Standards for Conversions'!$H$47:$H$73,MATCH(MP$3,'Standards for Conversions'!$A$47:$A$73,0)))=0,"",MQ97/(INDEX('Standards for Conversions'!$H$47:$H$73,MATCH(MP$3,'Standards for Conversions'!$A$47:$A$73,0))))</f>
        <v/>
      </c>
    </row>
    <row r="98" spans="1:373" hidden="1" x14ac:dyDescent="0.3">
      <c r="A98" s="103" t="s">
        <v>265</v>
      </c>
      <c r="B98" s="10" t="s">
        <v>38</v>
      </c>
      <c r="C98" s="7"/>
      <c r="D98" s="7"/>
      <c r="E98" s="31" t="str">
        <f>IF(D98/(INDEX('Standards for Conversions'!$H$34:$H$73,MATCH(C$3,'Standards for Conversions'!$A$34:$A$73,0)))=0,"",D98/(INDEX('Standards for Conversions'!$H$34:$H$73,MATCH(C$3,'Standards for Conversions'!$A$34:$A$73,0))))</f>
        <v/>
      </c>
      <c r="F98" s="10" t="s">
        <v>38</v>
      </c>
      <c r="G98" s="7"/>
      <c r="H98" s="7"/>
      <c r="I98" s="31" t="str">
        <f>IF(H98/(INDEX('Standards for Conversions'!$H$34:$H$73,MATCH(G$3,'Standards for Conversions'!$A$34:$A$73,0)))=0,"",H98/(INDEX('Standards for Conversions'!$H$34:$H$73,MATCH(G$3,'Standards for Conversions'!$A$34:$A$73,0))))</f>
        <v/>
      </c>
      <c r="J98" s="10" t="s">
        <v>38</v>
      </c>
      <c r="K98" s="9"/>
      <c r="L98" s="9"/>
      <c r="M98" s="31" t="str">
        <f>IF(L98/(INDEX('Standards for Conversions'!$H$34:$H$73,MATCH(K$3,'Standards for Conversions'!$A$34:$A$73,0)))=0,"",L98/(INDEX('Standards for Conversions'!$H$34:$H$73,MATCH(K$3,'Standards for Conversions'!$A$34:$A$73,0))))</f>
        <v/>
      </c>
      <c r="N98" s="10" t="s">
        <v>38</v>
      </c>
      <c r="O98" s="7"/>
      <c r="P98" s="7"/>
      <c r="Q98" s="31" t="str">
        <f>IF(P98/(INDEX('Standards for Conversions'!$H$34:$H$73,MATCH(O$3,'Standards for Conversions'!$A$34:$A$73,0)))=0,"",P98/(INDEX('Standards for Conversions'!$H$34:$H$73,MATCH(O$3,'Standards for Conversions'!$A$34:$A$73,0))))</f>
        <v/>
      </c>
      <c r="R98" s="10" t="s">
        <v>38</v>
      </c>
      <c r="S98" s="7"/>
      <c r="T98" s="7"/>
      <c r="U98" s="31" t="str">
        <f>IF(T98/(INDEX('Standards for Conversions'!$H$34:$H$73,MATCH(S$3,'Standards for Conversions'!$A$34:$A$73,0)))=0,"",T98/(INDEX('Standards for Conversions'!$H$34:$H$73,MATCH(S$3,'Standards for Conversions'!$A$34:$A$73,0))))</f>
        <v/>
      </c>
      <c r="V98" s="10" t="s">
        <v>38</v>
      </c>
      <c r="W98" s="7"/>
      <c r="X98" s="7"/>
      <c r="Y98" s="31" t="str">
        <f>IF(X98/(INDEX('Standards for Conversions'!$H$34:$H$73,MATCH(W$3,'Standards for Conversions'!$A$34:$A$73,0)))=0,"",X98/(INDEX('Standards for Conversions'!$H$34:$H$73,MATCH(W$3,'Standards for Conversions'!$A$34:$A$73,0))))</f>
        <v/>
      </c>
      <c r="Z98" s="10" t="s">
        <v>38</v>
      </c>
      <c r="AA98" s="9"/>
      <c r="AB98" s="9"/>
      <c r="AC98" s="31" t="str">
        <f>IF(AB98/(INDEX('Standards for Conversions'!$H$34:$H$73,MATCH(AA$3,'Standards for Conversions'!$A$34:$A$73,0)))=0,"",AB98/(INDEX('Standards for Conversions'!$H$34:$H$73,MATCH(AA$3,'Standards for Conversions'!$A$34:$A$73,0))))</f>
        <v/>
      </c>
      <c r="AD98" s="10" t="s">
        <v>38</v>
      </c>
      <c r="AE98" s="7"/>
      <c r="AF98" s="7"/>
      <c r="AG98" s="31" t="str">
        <f>IF(AF98/(INDEX('Standards for Conversions'!$H$34:$H$73,MATCH(AE$3,'Standards for Conversions'!$A$34:$A$73,0)))=0,"",AF98/(INDEX('Standards for Conversions'!$H$34:$H$73,MATCH(AE$3,'Standards for Conversions'!$A$34:$A$73,0))))</f>
        <v/>
      </c>
      <c r="AH98" s="10" t="s">
        <v>38</v>
      </c>
      <c r="AI98" s="7"/>
      <c r="AJ98" s="7"/>
      <c r="AK98" s="31" t="str">
        <f>IF(AJ98/(INDEX('Standards for Conversions'!$H$34:$H$73,MATCH(AI$3,'Standards for Conversions'!$A$34:$A$73,0)))=0,"",AJ98/(INDEX('Standards for Conversions'!$H$34:$H$73,MATCH(AI$3,'Standards for Conversions'!$A$34:$A$73,0))))</f>
        <v/>
      </c>
      <c r="AL98" s="10" t="s">
        <v>38</v>
      </c>
      <c r="AM98" s="7"/>
      <c r="AN98" s="7"/>
      <c r="AO98" s="31" t="str">
        <f>IF(AN98/(INDEX('Standards for Conversions'!$H$34:$H$73,MATCH(AM$3,'Standards for Conversions'!$A$34:$A$73,0)))=0,"",AN98/(INDEX('Standards for Conversions'!$H$34:$H$73,MATCH(AM$3,'Standards for Conversions'!$A$34:$A$73,0))))</f>
        <v/>
      </c>
      <c r="AP98" s="10" t="s">
        <v>38</v>
      </c>
      <c r="AQ98" s="9"/>
      <c r="AR98" s="9"/>
      <c r="AS98" s="31" t="str">
        <f>IF(AR98/(INDEX('Standards for Conversions'!$H$34:$H$73,MATCH(AQ$3,'Standards for Conversions'!$A$34:$A$73,0)))=0,"",AR98/(INDEX('Standards for Conversions'!$H$34:$H$73,MATCH(AQ$3,'Standards for Conversions'!$A$34:$A$73,0))))</f>
        <v/>
      </c>
      <c r="AT98" s="10" t="s">
        <v>38</v>
      </c>
      <c r="AU98" s="7"/>
      <c r="AV98" s="7"/>
      <c r="AW98" s="31" t="str">
        <f>IF(AV98/(INDEX('Standards for Conversions'!$H$34:$H$73,MATCH(AU$3,'Standards for Conversions'!$A$34:$A$73,0)))=0,"",AV98/(INDEX('Standards for Conversions'!$H$34:$H$73,MATCH(AU$3,'Standards for Conversions'!$A$34:$A$73,0))))</f>
        <v/>
      </c>
      <c r="AX98" s="10" t="s">
        <v>38</v>
      </c>
      <c r="AY98" s="7"/>
      <c r="AZ98" s="7"/>
      <c r="BA98" s="31" t="str">
        <f>IF(AZ98/(INDEX('Standards for Conversions'!$H$34:$H$73,MATCH(AY$3,'Standards for Conversions'!$A$34:$A$73,0)))=0,"",AZ98/(INDEX('Standards for Conversions'!$H$34:$H$73,MATCH(AY$3,'Standards for Conversions'!$A$34:$A$73,0))))</f>
        <v/>
      </c>
      <c r="BB98" s="10" t="s">
        <v>38</v>
      </c>
      <c r="BC98" s="7"/>
      <c r="BD98" s="7"/>
      <c r="BE98" s="31" t="str">
        <f>IF(BD98/(INDEX('Standards for Conversions'!$H$34:$H$73,MATCH(BC$3,'Standards for Conversions'!$A$34:$A$73,0)))=0,"",BD98/(INDEX('Standards for Conversions'!$H$34:$H$73,MATCH(BC$3,'Standards for Conversions'!$A$34:$A$73,0))))</f>
        <v/>
      </c>
      <c r="BF98" s="10" t="s">
        <v>38</v>
      </c>
      <c r="BG98" s="9"/>
      <c r="BH98" s="9"/>
      <c r="BI98" s="31" t="str">
        <f>IF(BH98/(INDEX('Standards for Conversions'!$H$34:$H$73,MATCH(BG$3,'Standards for Conversions'!$A$34:$A$73,0)))=0,"",BH98/(INDEX('Standards for Conversions'!$H$34:$H$73,MATCH(BG$3,'Standards for Conversions'!$A$34:$A$73,0))))</f>
        <v/>
      </c>
      <c r="BJ98" s="10" t="s">
        <v>38</v>
      </c>
      <c r="BK98" s="7"/>
      <c r="BL98" s="7"/>
      <c r="BM98" s="31" t="str">
        <f>IF(BL98/(INDEX('Standards for Conversions'!$H$34:$H$73,MATCH(BK$3,'Standards for Conversions'!$A$34:$A$73,0)))=0,"",BL98/(INDEX('Standards for Conversions'!$H$34:$H$73,MATCH(BK$3,'Standards for Conversions'!$A$34:$A$73,0))))</f>
        <v/>
      </c>
      <c r="BN98" s="10" t="s">
        <v>38</v>
      </c>
      <c r="BO98" s="7"/>
      <c r="BP98" s="7"/>
      <c r="BQ98" s="31" t="str">
        <f>IF(BP98/(INDEX('Standards for Conversions'!$H$34:$H$73,MATCH(BO$3,'Standards for Conversions'!$A$34:$A$73,0)))=0,"",BP98/(INDEX('Standards for Conversions'!$H$34:$H$73,MATCH(BO$3,'Standards for Conversions'!$A$34:$A$73,0))))</f>
        <v/>
      </c>
      <c r="BR98" s="10" t="s">
        <v>38</v>
      </c>
      <c r="BS98" s="7"/>
      <c r="BT98" s="7"/>
      <c r="BU98" s="31" t="str">
        <f>IF(BT98/(INDEX('Standards for Conversions'!$H$34:$H$73,MATCH(BS$3,'Standards for Conversions'!$A$34:$A$73,0)))=0,"",BT98/(INDEX('Standards for Conversions'!$H$34:$H$73,MATCH(BS$3,'Standards for Conversions'!$A$34:$A$73,0))))</f>
        <v/>
      </c>
      <c r="BV98" s="10" t="s">
        <v>38</v>
      </c>
      <c r="BW98" s="9"/>
      <c r="BX98" s="9"/>
      <c r="BY98" s="31" t="str">
        <f>IF(BX98/(INDEX('Standards for Conversions'!$H$34:$H$73,MATCH(BW$3,'Standards for Conversions'!$A$34:$A$73,0)))=0,"",BX98/(INDEX('Standards for Conversions'!$H$34:$H$73,MATCH(BW$3,'Standards for Conversions'!$A$34:$A$73,0))))</f>
        <v/>
      </c>
      <c r="BZ98" s="10" t="s">
        <v>38</v>
      </c>
      <c r="CA98" s="7"/>
      <c r="CB98" s="7"/>
      <c r="CC98" s="31" t="str">
        <f>IF(CB98/(INDEX('Standards for Conversions'!$H$34:$H$73,MATCH(CA$3,'Standards for Conversions'!$A$34:$A$73,0)))=0,"",CB98/(INDEX('Standards for Conversions'!$H$34:$H$73,MATCH(CA$3,'Standards for Conversions'!$A$34:$A$73,0))))</f>
        <v/>
      </c>
      <c r="CD98" s="10" t="s">
        <v>38</v>
      </c>
      <c r="CE98" s="7"/>
      <c r="CF98" s="7"/>
      <c r="CG98" s="31" t="str">
        <f>IF(CF98/(INDEX('Standards for Conversions'!$H$34:$H$73,MATCH(CE$3,'Standards for Conversions'!$A$34:$A$73,0)))=0,"",CF98/(INDEX('Standards for Conversions'!$H$34:$H$73,MATCH(CE$3,'Standards for Conversions'!$A$34:$A$73,0))))</f>
        <v/>
      </c>
      <c r="CH98" s="10" t="s">
        <v>38</v>
      </c>
      <c r="CI98" s="7"/>
      <c r="CJ98" s="7"/>
      <c r="CK98" s="31" t="str">
        <f>IF(CJ98/(INDEX('Standards for Conversions'!$H$34:$H$73,MATCH(CI$3,'Standards for Conversions'!$A$34:$A$73,0)))=0,"",CJ98/(INDEX('Standards for Conversions'!$H$34:$H$73,MATCH(CI$3,'Standards for Conversions'!$A$34:$A$73,0))))</f>
        <v/>
      </c>
      <c r="CL98" s="10" t="s">
        <v>38</v>
      </c>
      <c r="CM98" s="9"/>
      <c r="CN98" s="9"/>
      <c r="CO98" s="31" t="str">
        <f>IF(CN98/(INDEX('Standards for Conversions'!$H$34:$H$73,MATCH(CM$3,'Standards for Conversions'!$A$34:$A$73,0)))=0,"",CN98/(INDEX('Standards for Conversions'!$H$34:$H$73,MATCH(CM$3,'Standards for Conversions'!$A$34:$A$73,0))))</f>
        <v/>
      </c>
      <c r="CP98" s="10" t="s">
        <v>38</v>
      </c>
      <c r="CQ98" s="7"/>
      <c r="CR98" s="7"/>
      <c r="CS98" s="31" t="str">
        <f>IF(CR98/(INDEX('Standards for Conversions'!$H$34:$H$73,MATCH(CQ$3,'Standards for Conversions'!$A$34:$A$73,0)))=0,"",CR98/(INDEX('Standards for Conversions'!$H$34:$H$73,MATCH(CQ$3,'Standards for Conversions'!$A$34:$A$73,0))))</f>
        <v/>
      </c>
      <c r="CT98" s="10" t="s">
        <v>38</v>
      </c>
      <c r="CU98" s="7"/>
      <c r="CV98" s="7"/>
      <c r="CW98" s="31" t="str">
        <f>IF(CV98/(INDEX('Standards for Conversions'!$H$34:$H$73,MATCH(CU$3,'Standards for Conversions'!$A$34:$A$73,0)))=0,"",CV98/(INDEX('Standards for Conversions'!$H$34:$H$73,MATCH(CU$3,'Standards for Conversions'!$A$34:$A$73,0))))</f>
        <v/>
      </c>
      <c r="CX98" s="10" t="s">
        <v>38</v>
      </c>
      <c r="CY98" s="7"/>
      <c r="CZ98" s="7"/>
      <c r="DA98" s="31" t="str">
        <f>IF(CZ98/(INDEX('Standards for Conversions'!$H$34:$H$73,MATCH(CY$3,'Standards for Conversions'!$A$34:$A$73,0)))=0,"",CZ98/(INDEX('Standards for Conversions'!$H$34:$H$73,MATCH(CY$3,'Standards for Conversions'!$A$34:$A$73,0))))</f>
        <v/>
      </c>
      <c r="DB98" s="10" t="s">
        <v>38</v>
      </c>
      <c r="DC98" s="9"/>
      <c r="DD98" s="9"/>
      <c r="DE98" s="31" t="str">
        <f>IF(DD98/(INDEX('Standards for Conversions'!$H$34:$H$73,MATCH(DC$3,'Standards for Conversions'!$A$34:$A$73,0)))=0,"",DD98/(INDEX('Standards for Conversions'!$H$34:$H$73,MATCH(DC$3,'Standards for Conversions'!$A$34:$A$73,0))))</f>
        <v/>
      </c>
      <c r="DF98" s="10" t="s">
        <v>38</v>
      </c>
      <c r="DG98" s="7"/>
      <c r="DH98" s="7"/>
      <c r="DI98" s="31" t="str">
        <f>IF(DH98/(INDEX('Standards for Conversions'!$H$34:$H$73,MATCH(DG$3,'Standards for Conversions'!$A$34:$A$73,0)))=0,"",DH98/(INDEX('Standards for Conversions'!$H$34:$H$73,MATCH(DG$3,'Standards for Conversions'!$A$34:$A$73,0))))</f>
        <v/>
      </c>
      <c r="DJ98" s="10" t="s">
        <v>38</v>
      </c>
      <c r="DK98" s="7"/>
      <c r="DL98" s="7"/>
      <c r="DM98" s="31" t="str">
        <f>IF(DL98/(INDEX('Standards for Conversions'!$H$34:$H$73,MATCH(DK$3,'Standards for Conversions'!$A$34:$A$73,0)))=0,"",DL98/(INDEX('Standards for Conversions'!$H$34:$H$73,MATCH(DK$3,'Standards for Conversions'!$A$34:$A$73,0))))</f>
        <v/>
      </c>
      <c r="DN98" s="10" t="s">
        <v>38</v>
      </c>
      <c r="DO98" s="7"/>
      <c r="DP98" s="7"/>
      <c r="DQ98" s="31" t="str">
        <f>IF(DP98/(INDEX('Standards for Conversions'!$H$34:$H$73,MATCH(DO$3,'Standards for Conversions'!$A$34:$A$73,0)))=0,"",DP98/(INDEX('Standards for Conversions'!$H$34:$H$73,MATCH(DO$3,'Standards for Conversions'!$A$34:$A$73,0))))</f>
        <v/>
      </c>
      <c r="DR98" s="10" t="s">
        <v>38</v>
      </c>
      <c r="DS98" s="9"/>
      <c r="DT98" s="9"/>
      <c r="DU98" s="31" t="str">
        <f>IF(DT98/(INDEX('Standards for Conversions'!$H$34:$H$73,MATCH(DS$3,'Standards for Conversions'!$A$34:$A$73,0)))=0,"",DT98/(INDEX('Standards for Conversions'!$H$34:$H$73,MATCH(DS$3,'Standards for Conversions'!$A$34:$A$73,0))))</f>
        <v/>
      </c>
      <c r="DV98" s="10" t="s">
        <v>38</v>
      </c>
      <c r="DW98" s="7"/>
      <c r="DX98" s="7"/>
      <c r="DY98" s="31" t="str">
        <f>IF(DX98/(INDEX('Standards for Conversions'!$H$34:$H$73,MATCH(DW$3,'Standards for Conversions'!$A$34:$A$73,0)))=0,"",DX98/(INDEX('Standards for Conversions'!$H$34:$H$73,MATCH(DW$3,'Standards for Conversions'!$A$34:$A$73,0))))</f>
        <v/>
      </c>
      <c r="DZ98" s="10" t="s">
        <v>38</v>
      </c>
      <c r="EA98" s="7"/>
      <c r="EB98" s="7"/>
      <c r="EC98" s="31" t="str">
        <f>IF(EB98/(INDEX('Standards for Conversions'!$H$34:$H$73,MATCH(EA$3,'Standards for Conversions'!$A$34:$A$73,0)))=0,"",EB98/(INDEX('Standards for Conversions'!$H$34:$H$73,MATCH(EA$3,'Standards for Conversions'!$A$34:$A$73,0))))</f>
        <v/>
      </c>
      <c r="ED98" s="10" t="s">
        <v>38</v>
      </c>
      <c r="EE98" s="7"/>
      <c r="EF98" s="7"/>
      <c r="EG98" s="31" t="str">
        <f>IF(EF98/(INDEX('Standards for Conversions'!$H$34:$H$73,MATCH(EE$3,'Standards for Conversions'!$A$34:$A$73,0)))=0,"",EF98/(INDEX('Standards for Conversions'!$H$34:$H$73,MATCH(EE$3,'Standards for Conversions'!$A$34:$A$73,0))))</f>
        <v/>
      </c>
      <c r="EH98" s="10" t="s">
        <v>38</v>
      </c>
      <c r="EI98" s="9"/>
      <c r="EJ98" s="9"/>
      <c r="EK98" s="31" t="str">
        <f>IF(EJ98/(INDEX('Standards for Conversions'!$H$34:$H$73,MATCH(EI$3,'Standards for Conversions'!$A$34:$A$73,0)))=0,"",EJ98/(INDEX('Standards for Conversions'!$H$34:$H$73,MATCH(EI$3,'Standards for Conversions'!$A$34:$A$73,0))))</f>
        <v/>
      </c>
      <c r="EL98" s="10" t="s">
        <v>38</v>
      </c>
      <c r="EM98" s="7"/>
      <c r="EN98" s="7"/>
      <c r="EO98" s="31" t="str">
        <f>IF(EN98/(INDEX('Standards for Conversions'!$H$34:$H$73,MATCH(EM$3,'Standards for Conversions'!$A$34:$A$73,0)))=0,"",EN98/(INDEX('Standards for Conversions'!$H$34:$H$73,MATCH(EM$3,'Standards for Conversions'!$A$34:$A$73,0))))</f>
        <v/>
      </c>
      <c r="EP98" s="10" t="s">
        <v>38</v>
      </c>
      <c r="EQ98" s="7"/>
      <c r="ER98" s="7"/>
      <c r="ES98" s="31" t="str">
        <f>IF(ER98/(INDEX('Standards for Conversions'!$H$34:$H$73,MATCH(EQ$3,'Standards for Conversions'!$A$34:$A$73,0)))=0,"",ER98/(INDEX('Standards for Conversions'!$H$34:$H$73,MATCH(EQ$3,'Standards for Conversions'!$A$34:$A$73,0))))</f>
        <v/>
      </c>
      <c r="ET98" s="10" t="s">
        <v>38</v>
      </c>
      <c r="EU98" s="7"/>
      <c r="EV98" s="7"/>
      <c r="EW98" s="31" t="str">
        <f>IF(EV98/(INDEX('Standards for Conversions'!$H$34:$H$73,MATCH(EU$3,'Standards for Conversions'!$A$34:$A$73,0)))=0,"",EV98/(INDEX('Standards for Conversions'!$H$34:$H$73,MATCH(EU$3,'Standards for Conversions'!$A$34:$A$73,0))))</f>
        <v/>
      </c>
      <c r="EX98" s="10" t="s">
        <v>38</v>
      </c>
      <c r="EY98" s="9"/>
      <c r="EZ98" s="9"/>
      <c r="FA98" s="31" t="str">
        <f>IF(EZ98/(INDEX('Standards for Conversions'!$H$34:$H$73,MATCH(EY$3,'Standards for Conversions'!$A$34:$A$73,0)))=0,"",EZ98/(INDEX('Standards for Conversions'!$H$34:$H$73,MATCH(EY$3,'Standards for Conversions'!$A$34:$A$73,0))))</f>
        <v/>
      </c>
      <c r="FB98" s="10" t="s">
        <v>38</v>
      </c>
      <c r="FC98" s="7"/>
      <c r="FD98" s="7"/>
      <c r="FE98" s="31" t="str">
        <f>IF(FD98/(INDEX('Standards for Conversions'!$H$34:$H$73,MATCH(FC$3,'Standards for Conversions'!$A$34:$A$73,0)))=0,"",FD98/(INDEX('Standards for Conversions'!$H$34:$H$73,MATCH(FC$3,'Standards for Conversions'!$A$34:$A$73,0))))</f>
        <v/>
      </c>
      <c r="FF98" s="10" t="s">
        <v>38</v>
      </c>
      <c r="FG98" s="7"/>
      <c r="FH98" s="7"/>
      <c r="FI98" s="31" t="str">
        <f>IF(FH98/(INDEX('Standards for Conversions'!$H$34:$H$73,MATCH(FG$3,'Standards for Conversions'!$A$34:$A$73,0)))=0,"",FH98/(INDEX('Standards for Conversions'!$H$34:$H$73,MATCH(FG$3,'Standards for Conversions'!$A$34:$A$73,0))))</f>
        <v/>
      </c>
      <c r="FJ98" s="10" t="s">
        <v>38</v>
      </c>
      <c r="FK98" s="7"/>
      <c r="FL98" s="7"/>
      <c r="FM98" s="31" t="str">
        <f>IF(FL98/(INDEX('Standards for Conversions'!$H$34:$H$73,MATCH(FK$3,'Standards for Conversions'!$A$34:$A$73,0)))=0,"",FL98/(INDEX('Standards for Conversions'!$H$34:$H$73,MATCH(FK$3,'Standards for Conversions'!$A$34:$A$73,0))))</f>
        <v/>
      </c>
      <c r="FN98" s="10" t="s">
        <v>38</v>
      </c>
      <c r="FO98" s="9"/>
      <c r="FP98" s="9"/>
      <c r="FQ98" s="31" t="str">
        <f>IF(FP98/(INDEX('Standards for Conversions'!$H$34:$H$73,MATCH(FO$3,'Standards for Conversions'!$A$34:$A$73,0)))=0,"",FP98/(INDEX('Standards for Conversions'!$H$34:$H$73,MATCH(FO$3,'Standards for Conversions'!$A$34:$A$73,0))))</f>
        <v/>
      </c>
      <c r="FR98" s="10" t="s">
        <v>38</v>
      </c>
      <c r="FS98" s="7"/>
      <c r="FT98" s="7"/>
      <c r="FU98" s="31" t="str">
        <f>IF(FT98/(INDEX('Standards for Conversions'!$H$34:$H$73,MATCH(FS$3,'Standards for Conversions'!$A$34:$A$73,0)))=0,"",FT98/(INDEX('Standards for Conversions'!$H$34:$H$73,MATCH(FS$3,'Standards for Conversions'!$A$34:$A$73,0))))</f>
        <v/>
      </c>
      <c r="FV98" s="10" t="s">
        <v>38</v>
      </c>
      <c r="FW98" s="7"/>
      <c r="FX98" s="7"/>
      <c r="FY98" s="31" t="str">
        <f>IF(FX98/(INDEX('Standards for Conversions'!$H$34:$H$73,MATCH(FW$3,'Standards for Conversions'!$A$34:$A$73,0)))=0,"",FX98/(INDEX('Standards for Conversions'!$H$34:$H$73,MATCH(FW$3,'Standards for Conversions'!$A$34:$A$73,0))))</f>
        <v/>
      </c>
      <c r="FZ98" s="10" t="s">
        <v>38</v>
      </c>
      <c r="GA98" s="7"/>
      <c r="GB98" s="7"/>
      <c r="GC98" s="31" t="str">
        <f>IF(GB98/(INDEX('Standards for Conversions'!$H$34:$H$73,MATCH(GA$3,'Standards for Conversions'!$A$34:$A$73,0)))=0,"",GB98/(INDEX('Standards for Conversions'!$H$34:$H$73,MATCH(GA$3,'Standards for Conversions'!$A$34:$A$73,0))))</f>
        <v/>
      </c>
      <c r="GD98" s="10" t="s">
        <v>38</v>
      </c>
      <c r="GE98" s="9"/>
      <c r="GF98" s="9"/>
      <c r="GG98" s="31" t="str">
        <f>IF(GF98/(INDEX('Standards for Conversions'!$H$34:$H$73,MATCH(GE$3,'Standards for Conversions'!$A$34:$A$73,0)))=0,"",GF98/(INDEX('Standards for Conversions'!$H$34:$H$73,MATCH(GE$3,'Standards for Conversions'!$A$34:$A$73,0))))</f>
        <v/>
      </c>
      <c r="GH98" s="10" t="s">
        <v>38</v>
      </c>
      <c r="GI98" s="7"/>
      <c r="GJ98" s="7"/>
      <c r="GK98" s="31" t="str">
        <f>IF(GJ98/(INDEX('Standards for Conversions'!$H$34:$H$73,MATCH(GI$3,'Standards for Conversions'!$A$34:$A$73,0)))=0,"",GJ98/(INDEX('Standards for Conversions'!$H$34:$H$73,MATCH(GI$3,'Standards for Conversions'!$A$34:$A$73,0))))</f>
        <v/>
      </c>
      <c r="GL98" s="10" t="s">
        <v>38</v>
      </c>
      <c r="GM98" s="7"/>
      <c r="GN98" s="7"/>
      <c r="GO98" s="31" t="str">
        <f>IF(GN98/(INDEX('Standards for Conversions'!$H$34:$H$73,MATCH(GM$3,'Standards for Conversions'!$A$34:$A$73,0)))=0,"",GN98/(INDEX('Standards for Conversions'!$H$34:$H$73,MATCH(GM$3,'Standards for Conversions'!$A$34:$A$73,0))))</f>
        <v/>
      </c>
      <c r="GP98" s="10" t="s">
        <v>38</v>
      </c>
      <c r="GQ98" s="7"/>
      <c r="GR98" s="7"/>
      <c r="GS98" s="31" t="str">
        <f>IF(GR98/(INDEX('Standards for Conversions'!$H$34:$H$73,MATCH(GQ$3,'Standards for Conversions'!$A$34:$A$73,0)))=0,"",GR98/(INDEX('Standards for Conversions'!$H$34:$H$73,MATCH(GQ$3,'Standards for Conversions'!$A$34:$A$73,0))))</f>
        <v/>
      </c>
      <c r="GT98" s="10" t="s">
        <v>38</v>
      </c>
      <c r="GU98" s="9"/>
      <c r="GV98" s="9"/>
      <c r="GW98" s="31" t="str">
        <f>IF(GV98/(INDEX('Standards for Conversions'!$H$34:$H$73,MATCH(GU$3,'Standards for Conversions'!$A$34:$A$73,0)))=0,"",GV98/(INDEX('Standards for Conversions'!$H$34:$H$73,MATCH(GU$3,'Standards for Conversions'!$A$34:$A$73,0))))</f>
        <v/>
      </c>
      <c r="GX98" s="10" t="s">
        <v>38</v>
      </c>
      <c r="GY98" s="7"/>
      <c r="GZ98" s="7"/>
      <c r="HA98" s="31" t="str">
        <f>IF(GZ98/(INDEX('Standards for Conversions'!$H$34:$H$73,MATCH(GY$3,'Standards for Conversions'!$A$34:$A$73,0)))=0,"",GZ98/(INDEX('Standards for Conversions'!$H$34:$H$73,MATCH(GY$3,'Standards for Conversions'!$A$34:$A$73,0))))</f>
        <v/>
      </c>
      <c r="HB98" s="10" t="s">
        <v>38</v>
      </c>
      <c r="HC98" s="7"/>
      <c r="HD98" s="7"/>
      <c r="HE98" s="31" t="str">
        <f>IF(HD98/(INDEX('Standards for Conversions'!$H$34:$H$73,MATCH(HC$3,'Standards for Conversions'!$A$34:$A$73,0)))=0,"",HD98/(INDEX('Standards for Conversions'!$H$34:$H$73,MATCH(HC$3,'Standards for Conversions'!$A$34:$A$73,0))))</f>
        <v/>
      </c>
      <c r="HF98" s="10" t="s">
        <v>38</v>
      </c>
      <c r="HG98" s="7"/>
      <c r="HH98" s="7"/>
      <c r="HI98" s="31" t="str">
        <f>IF(HH98/(INDEX('Standards for Conversions'!$H$34:$H$73,MATCH(HG$3,'Standards for Conversions'!$A$34:$A$73,0)))=0,"",HH98/(INDEX('Standards for Conversions'!$H$34:$H$73,MATCH(HG$3,'Standards for Conversions'!$A$34:$A$73,0))))</f>
        <v/>
      </c>
      <c r="HJ98" s="10" t="s">
        <v>38</v>
      </c>
      <c r="HK98" s="9"/>
      <c r="HL98" s="9"/>
      <c r="HM98" s="31" t="str">
        <f>IF(HL98/(INDEX('Standards for Conversions'!$H$34:$H$73,MATCH(HK$3,'Standards for Conversions'!$A$34:$A$73,0)))=0,"",HL98/(INDEX('Standards for Conversions'!$H$34:$H$73,MATCH(HK$3,'Standards for Conversions'!$A$34:$A$73,0))))</f>
        <v/>
      </c>
      <c r="HN98" s="10" t="s">
        <v>38</v>
      </c>
      <c r="HO98" s="7"/>
      <c r="HP98" s="7"/>
      <c r="HQ98" s="31" t="str">
        <f>IF(HP98/(INDEX('Standards for Conversions'!$H$34:$H$73,MATCH(HO$3,'Standards for Conversions'!$A$34:$A$73,0)))=0,"",HP98/(INDEX('Standards for Conversions'!$H$34:$H$73,MATCH(HO$3,'Standards for Conversions'!$A$34:$A$73,0))))</f>
        <v/>
      </c>
      <c r="HR98" s="33" t="s">
        <v>38</v>
      </c>
      <c r="HU98" s="31" t="str">
        <f>IF(HT98/(INDEX('Standards for Conversions'!$H$47:$H$73,MATCH(HS$3,'Standards for Conversions'!$A$47:$A$73,0)))=0,"",HT98/(INDEX('Standards for Conversions'!$H$47:$H$73,MATCH(HS$3,'Standards for Conversions'!$A$47:$A$73,0))))</f>
        <v/>
      </c>
      <c r="HV98" s="33" t="s">
        <v>38</v>
      </c>
      <c r="HY98" s="31" t="str">
        <f>IF(HX98/(INDEX('Standards for Conversions'!$H$47:$H$73,MATCH(HW$3,'Standards for Conversions'!$A$47:$A$73,0)))=0,"",HX98/(INDEX('Standards for Conversions'!$H$47:$H$73,MATCH(HW$3,'Standards for Conversions'!$A$47:$A$73,0))))</f>
        <v/>
      </c>
      <c r="HZ98" s="33">
        <v>15</v>
      </c>
      <c r="IA98" s="33">
        <v>100</v>
      </c>
      <c r="IB98" s="31">
        <f>IF(IA98/(INDEX('Standards for Conversions'!$H$47:$H$73,MATCH(HZ$3,'Standards for Conversions'!$A$47:$A$73,0)))=0,"",IA98/(INDEX('Standards for Conversions'!$H$47:$H$73,MATCH(HZ$3,'Standards for Conversions'!$A$47:$A$73,0))))</f>
        <v>14.524541221285595</v>
      </c>
      <c r="IC98" s="33" t="s">
        <v>38</v>
      </c>
      <c r="IF98" s="31" t="str">
        <f>IF(IE98/(INDEX('Standards for Conversions'!$H$47:$H$73,MATCH(ID$3,'Standards for Conversions'!$A$47:$A$73,0)))=0,"",IE98/(INDEX('Standards for Conversions'!$H$47:$H$73,MATCH(ID$3,'Standards for Conversions'!$A$47:$A$73,0))))</f>
        <v/>
      </c>
      <c r="IG98" s="33" t="s">
        <v>38</v>
      </c>
      <c r="IJ98" s="31" t="str">
        <f>IF(II98/(INDEX('Standards for Conversions'!$H$47:$H$73,MATCH(IH$3,'Standards for Conversions'!$A$47:$A$73,0)))=0,"",II98/(INDEX('Standards for Conversions'!$H$47:$H$73,MATCH(IH$3,'Standards for Conversions'!$A$47:$A$73,0))))</f>
        <v/>
      </c>
      <c r="IK98" s="33" t="s">
        <v>38</v>
      </c>
      <c r="IN98" s="31" t="str">
        <f>IF(IM98/(INDEX('Standards for Conversions'!$H$47:$H$73,MATCH(IL$3,'Standards for Conversions'!$A$47:$A$73,0)))=0,"",IM98/(INDEX('Standards for Conversions'!$H$47:$H$73,MATCH(IL$3,'Standards for Conversions'!$A$47:$A$73,0))))</f>
        <v/>
      </c>
      <c r="IO98" s="33" t="s">
        <v>38</v>
      </c>
      <c r="IP98" s="29">
        <v>25</v>
      </c>
      <c r="IQ98" s="29">
        <v>95</v>
      </c>
      <c r="IR98" s="31">
        <f>IF(IQ98/(INDEX('Standards for Conversions'!$H$47:$H$73,MATCH(IP$3,'Standards for Conversions'!$A$47:$A$73,0)))=0,"",IQ98/(INDEX('Standards for Conversions'!$H$47:$H$73,MATCH(IP$3,'Standards for Conversions'!$A$47:$A$73,0))))</f>
        <v>13.737971678471075</v>
      </c>
      <c r="IS98" s="33" t="s">
        <v>38</v>
      </c>
      <c r="IV98" s="31" t="str">
        <f>IF(IU98/(INDEX('Standards for Conversions'!$H$47:$H$73,MATCH(IT$3,'Standards for Conversions'!$A$47:$A$73,0)))=0,"",IU98/(INDEX('Standards for Conversions'!$H$47:$H$73,MATCH(IT$3,'Standards for Conversions'!$A$47:$A$73,0))))</f>
        <v/>
      </c>
      <c r="IW98" s="33" t="s">
        <v>38</v>
      </c>
      <c r="IZ98" s="31" t="str">
        <f>IF(IY98/(INDEX('Standards for Conversions'!$H$47:$H$73,MATCH(IX$3,'Standards for Conversions'!$A$47:$A$73,0)))=0,"",IY98/(INDEX('Standards for Conversions'!$H$47:$H$73,MATCH(IX$3,'Standards for Conversions'!$A$47:$A$73,0))))</f>
        <v/>
      </c>
      <c r="JA98" s="48" t="s">
        <v>38</v>
      </c>
      <c r="JD98" s="31" t="str">
        <f>IF(JC98/(INDEX('Standards for Conversions'!$H$47:$H$73,MATCH(JB$3,'Standards for Conversions'!$A$47:$A$73,0)))=0,"",JC98/(INDEX('Standards for Conversions'!$H$47:$H$73,MATCH(JB$3,'Standards for Conversions'!$A$47:$A$73,0))))</f>
        <v/>
      </c>
      <c r="JE98" s="48" t="s">
        <v>38</v>
      </c>
      <c r="JF98" s="29">
        <v>40</v>
      </c>
      <c r="JG98" s="29">
        <v>160</v>
      </c>
      <c r="JH98" s="31">
        <f>IF(JG98/(INDEX('Standards for Conversions'!$H$47:$H$73,MATCH(JF$3,'Standards for Conversions'!$A$47:$A$73,0)))=0,"",JG98/(INDEX('Standards for Conversions'!$H$47:$H$73,MATCH(JF$3,'Standards for Conversions'!$A$47:$A$73,0))))</f>
        <v>25.881631470698991</v>
      </c>
      <c r="JL98" s="31" t="str">
        <f>IF(JK98/(INDEX('Standards for Conversions'!$H$47:$H$73,MATCH(JJ$3,'Standards for Conversions'!$A$47:$A$73,0)))=0,"",JK98/(INDEX('Standards for Conversions'!$H$47:$H$73,MATCH(JJ$3,'Standards for Conversions'!$A$47:$A$73,0))))</f>
        <v/>
      </c>
      <c r="JM98" s="33" t="s">
        <v>38</v>
      </c>
      <c r="JP98" s="31" t="str">
        <f>IF(JO98/(INDEX('Standards for Conversions'!$H$47:$H$73,MATCH(JN$3,'Standards for Conversions'!$A$47:$A$73,0)))=0,"",JO98/(INDEX('Standards for Conversions'!$H$47:$H$73,MATCH(JN$3,'Standards for Conversions'!$A$47:$A$73,0))))</f>
        <v/>
      </c>
      <c r="JQ98" s="33" t="s">
        <v>38</v>
      </c>
      <c r="JT98" s="31" t="str">
        <f>IF(JS98/(INDEX('Standards for Conversions'!$H$47:$H$73,MATCH(JR$3,'Standards for Conversions'!$A$47:$A$73,0)))=0,"",JS98/(INDEX('Standards for Conversions'!$H$47:$H$73,MATCH(JR$3,'Standards for Conversions'!$A$47:$A$73,0))))</f>
        <v/>
      </c>
      <c r="JU98" s="33" t="s">
        <v>38</v>
      </c>
      <c r="JV98" s="29">
        <v>35</v>
      </c>
      <c r="JW98" s="29">
        <v>150</v>
      </c>
      <c r="JX98" s="31">
        <f>IF(JW98/(INDEX('Standards for Conversions'!$H$47:$H$73,MATCH(JV$3,'Standards for Conversions'!$A$47:$A$73,0)))=0,"",JW98/(INDEX('Standards for Conversions'!$H$47:$H$73,MATCH(JV$3,'Standards for Conversions'!$A$47:$A$73,0))))</f>
        <v>22.898383864169634</v>
      </c>
      <c r="JY98" s="33" t="s">
        <v>38</v>
      </c>
      <c r="KB98" s="31" t="str">
        <f>IF(KA98/(INDEX('Standards for Conversions'!$H$47:$H$73,MATCH(JZ$3,'Standards for Conversions'!$A$47:$A$73,0)))=0,"",KA98/(INDEX('Standards for Conversions'!$H$47:$H$73,MATCH(JZ$3,'Standards for Conversions'!$A$47:$A$73,0))))</f>
        <v/>
      </c>
      <c r="KC98" s="33" t="s">
        <v>38</v>
      </c>
      <c r="KF98" s="31" t="str">
        <f>IF(KE98/(INDEX('Standards for Conversions'!$H$47:$H$73,MATCH(KD$3,'Standards for Conversions'!$A$47:$A$73,0)))=0,"",KE98/(INDEX('Standards for Conversions'!$H$47:$H$73,MATCH(KD$3,'Standards for Conversions'!$A$47:$A$73,0))))</f>
        <v/>
      </c>
      <c r="KG98" s="33" t="s">
        <v>38</v>
      </c>
      <c r="KJ98" s="31" t="str">
        <f>IF(KI98/(INDEX('Standards for Conversions'!$H$47:$H$73,MATCH(KH$3,'Standards for Conversions'!$A$47:$A$73,0)))=0,"",KI98/(INDEX('Standards for Conversions'!$H$47:$H$73,MATCH(KH$3,'Standards for Conversions'!$A$47:$A$73,0))))</f>
        <v/>
      </c>
      <c r="KK98" s="33" t="s">
        <v>38</v>
      </c>
      <c r="KL98" s="29">
        <v>48</v>
      </c>
      <c r="KM98" s="29">
        <v>200</v>
      </c>
      <c r="KN98" s="31">
        <f>IF(KM98/(INDEX('Standards for Conversions'!$H$47:$H$73,MATCH(KL$3,'Standards for Conversions'!$A$47:$A$73,0)))=0,"",KM98/(INDEX('Standards for Conversions'!$H$47:$H$73,MATCH(KL$3,'Standards for Conversions'!$A$47:$A$73,0))))</f>
        <v>26.931802381159294</v>
      </c>
      <c r="KO98" s="33" t="s">
        <v>38</v>
      </c>
      <c r="KR98" s="31" t="str">
        <f>IF(KQ98/(INDEX('Standards for Conversions'!$H$47:$H$73,MATCH(KP$3,'Standards for Conversions'!$A$47:$A$73,0)))=0,"",KQ98/(INDEX('Standards for Conversions'!$H$47:$H$73,MATCH(KP$3,'Standards for Conversions'!$A$47:$A$73,0))))</f>
        <v/>
      </c>
      <c r="KS98" s="33" t="s">
        <v>38</v>
      </c>
      <c r="KV98" s="31" t="str">
        <f>IF(KU98/(INDEX('Standards for Conversions'!$H$47:$H$73,MATCH(KT$3,'Standards for Conversions'!$A$47:$A$73,0)))=0,"",KU98/(INDEX('Standards for Conversions'!$H$47:$H$73,MATCH(KT$3,'Standards for Conversions'!$A$47:$A$73,0))))</f>
        <v/>
      </c>
      <c r="KW98" s="48" t="s">
        <v>38</v>
      </c>
      <c r="KZ98" s="31" t="str">
        <f>IF(KY98/(INDEX('Standards for Conversions'!$H$47:$H$73,MATCH(KX$3,'Standards for Conversions'!$A$47:$A$73,0)))=0,"",KY98/(INDEX('Standards for Conversions'!$H$47:$H$73,MATCH(KX$3,'Standards for Conversions'!$A$47:$A$73,0))))</f>
        <v/>
      </c>
      <c r="LA98" s="48" t="s">
        <v>38</v>
      </c>
      <c r="LD98" s="31" t="str">
        <f>IF(LC98/(INDEX('Standards for Conversions'!$H$47:$H$73,MATCH(LB$3,'Standards for Conversions'!$A$47:$A$73,0)))=0,"",LC98/(INDEX('Standards for Conversions'!$H$47:$H$73,MATCH(LB$3,'Standards for Conversions'!$A$47:$A$73,0))))</f>
        <v/>
      </c>
      <c r="LH98" s="31" t="str">
        <f>IF(LG98/(INDEX('Standards for Conversions'!$H$47:$H$73,MATCH(LF$3,'Standards for Conversions'!$A$47:$A$73,0)))=0,"",LG98/(INDEX('Standards for Conversions'!$H$47:$H$73,MATCH(LF$3,'Standards for Conversions'!$A$47:$A$73,0))))</f>
        <v/>
      </c>
      <c r="LL98" s="31" t="str">
        <f>IF(LK98/(INDEX('Standards for Conversions'!$H$47:$H$73,MATCH(LJ$3,'Standards for Conversions'!$A$47:$A$73,0)))=0,"",LK98/(INDEX('Standards for Conversions'!$H$47:$H$73,MATCH(LJ$3,'Standards for Conversions'!$A$47:$A$73,0))))</f>
        <v/>
      </c>
      <c r="LO98" s="31" t="str">
        <f>IF(LN98/(INDEX('Standards for Conversions'!$H$47:$H$73,MATCH(LM$3,'Standards for Conversions'!$A$47:$A$73,0)))=0,"",LN98/(INDEX('Standards for Conversions'!$H$47:$H$73,MATCH(LM$3,'Standards for Conversions'!$A$47:$A$73,0))))</f>
        <v/>
      </c>
      <c r="LR98" s="31" t="str">
        <f>IF(LQ98/(INDEX('Standards for Conversions'!$H$47:$H$73,MATCH(LP$3,'Standards for Conversions'!$A$47:$A$73,0)))=0,"",LQ98/(INDEX('Standards for Conversions'!$H$47:$H$73,MATCH(LP$3,'Standards for Conversions'!$A$47:$A$73,0))))</f>
        <v/>
      </c>
      <c r="LV98" s="31" t="str">
        <f>IF(LU98/(INDEX('Standards for Conversions'!$H$47:$H$73,MATCH(LT$3,'Standards for Conversions'!$A$47:$A$73,0)))=0,"",LU98/(INDEX('Standards for Conversions'!$H$47:$H$73,MATCH(LT$3,'Standards for Conversions'!$A$47:$A$73,0))))</f>
        <v/>
      </c>
      <c r="LY98" s="31" t="str">
        <f>IF(LX98/(INDEX('Standards for Conversions'!$H$47:$H$73,MATCH(LW$3,'Standards for Conversions'!$A$47:$A$73,0)))=0,"",LX98/(INDEX('Standards for Conversions'!$H$47:$H$73,MATCH(LW$3,'Standards for Conversions'!$A$47:$A$73,0))))</f>
        <v/>
      </c>
      <c r="MB98" s="31" t="str">
        <f>IF(MA98/(INDEX('Standards for Conversions'!$H$47:$H$73,MATCH(LZ$3,'Standards for Conversions'!$A$47:$A$73,0)))=0,"",MA98/(INDEX('Standards for Conversions'!$H$47:$H$73,MATCH(LZ$3,'Standards for Conversions'!$A$47:$A$73,0))))</f>
        <v/>
      </c>
      <c r="ME98" s="31" t="str">
        <f>IF(MD98/(INDEX('Standards for Conversions'!$H$47:$H$73,MATCH(MC$3,'Standards for Conversions'!$A$47:$A$73,0)))=0,"",MD98/(INDEX('Standards for Conversions'!$H$47:$H$73,MATCH(MC$3,'Standards for Conversions'!$A$47:$A$73,0))))</f>
        <v/>
      </c>
      <c r="MH98" s="31" t="str">
        <f>IF(MG98/(INDEX('Standards for Conversions'!$H$47:$H$73,MATCH(MF$3,'Standards for Conversions'!$A$47:$A$73,0)))=0,"",MG98/(INDEX('Standards for Conversions'!$H$47:$H$73,MATCH(MF$3,'Standards for Conversions'!$A$47:$A$73,0))))</f>
        <v/>
      </c>
      <c r="MK98" s="31" t="str">
        <f>IF(MJ98/(INDEX('Standards for Conversions'!$H$47:$H$73,MATCH(MI$3,'Standards for Conversions'!$A$47:$A$73,0)))=0,"",MJ98/(INDEX('Standards for Conversions'!$H$47:$H$73,MATCH(MI$3,'Standards for Conversions'!$A$47:$A$73,0))))</f>
        <v/>
      </c>
      <c r="MN98" s="31" t="str">
        <f>IF(MM98/(INDEX('Standards for Conversions'!$H$47:$H$73,MATCH(ML$3,'Standards for Conversions'!$A$47:$A$73,0)))=0,"",MM98/(INDEX('Standards for Conversions'!$H$47:$H$73,MATCH(ML$3,'Standards for Conversions'!$A$47:$A$73,0))))</f>
        <v/>
      </c>
      <c r="MR98" s="31" t="str">
        <f>IF(MQ98/(INDEX('Standards for Conversions'!$H$47:$H$73,MATCH(MP$3,'Standards for Conversions'!$A$47:$A$73,0)))=0,"",MQ98/(INDEX('Standards for Conversions'!$H$47:$H$73,MATCH(MP$3,'Standards for Conversions'!$A$47:$A$73,0))))</f>
        <v/>
      </c>
    </row>
    <row r="99" spans="1:373" hidden="1" x14ac:dyDescent="0.3">
      <c r="A99" s="103" t="s">
        <v>79</v>
      </c>
      <c r="B99" s="10" t="s">
        <v>53</v>
      </c>
      <c r="C99" s="7"/>
      <c r="D99" s="7"/>
      <c r="E99" s="31" t="str">
        <f>IF(D99/(INDEX('Standards for Conversions'!$H$34:$H$73,MATCH(C$3,'Standards for Conversions'!$A$34:$A$73,0)))=0,"",D99/(INDEX('Standards for Conversions'!$H$34:$H$73,MATCH(C$3,'Standards for Conversions'!$A$34:$A$73,0))))</f>
        <v/>
      </c>
      <c r="F99" s="10" t="s">
        <v>53</v>
      </c>
      <c r="G99" s="7"/>
      <c r="H99" s="7"/>
      <c r="I99" s="31" t="str">
        <f>IF(H99/(INDEX('Standards for Conversions'!$H$34:$H$73,MATCH(G$3,'Standards for Conversions'!$A$34:$A$73,0)))=0,"",H99/(INDEX('Standards for Conversions'!$H$34:$H$73,MATCH(G$3,'Standards for Conversions'!$A$34:$A$73,0))))</f>
        <v/>
      </c>
      <c r="J99" s="10" t="s">
        <v>53</v>
      </c>
      <c r="K99" s="9"/>
      <c r="L99" s="9"/>
      <c r="M99" s="31" t="str">
        <f>IF(L99/(INDEX('Standards for Conversions'!$H$34:$H$73,MATCH(K$3,'Standards for Conversions'!$A$34:$A$73,0)))=0,"",L99/(INDEX('Standards for Conversions'!$H$34:$H$73,MATCH(K$3,'Standards for Conversions'!$A$34:$A$73,0))))</f>
        <v/>
      </c>
      <c r="N99" s="10" t="s">
        <v>53</v>
      </c>
      <c r="O99" s="7"/>
      <c r="P99" s="7"/>
      <c r="Q99" s="31" t="str">
        <f>IF(P99/(INDEX('Standards for Conversions'!$H$34:$H$73,MATCH(O$3,'Standards for Conversions'!$A$34:$A$73,0)))=0,"",P99/(INDEX('Standards for Conversions'!$H$34:$H$73,MATCH(O$3,'Standards for Conversions'!$A$34:$A$73,0))))</f>
        <v/>
      </c>
      <c r="R99" s="10" t="s">
        <v>53</v>
      </c>
      <c r="S99" s="7"/>
      <c r="T99" s="7"/>
      <c r="U99" s="31" t="str">
        <f>IF(T99/(INDEX('Standards for Conversions'!$H$34:$H$73,MATCH(S$3,'Standards for Conversions'!$A$34:$A$73,0)))=0,"",T99/(INDEX('Standards for Conversions'!$H$34:$H$73,MATCH(S$3,'Standards for Conversions'!$A$34:$A$73,0))))</f>
        <v/>
      </c>
      <c r="V99" s="10" t="s">
        <v>53</v>
      </c>
      <c r="W99" s="7"/>
      <c r="X99" s="7"/>
      <c r="Y99" s="31" t="str">
        <f>IF(X99/(INDEX('Standards for Conversions'!$H$34:$H$73,MATCH(W$3,'Standards for Conversions'!$A$34:$A$73,0)))=0,"",X99/(INDEX('Standards for Conversions'!$H$34:$H$73,MATCH(W$3,'Standards for Conversions'!$A$34:$A$73,0))))</f>
        <v/>
      </c>
      <c r="Z99" s="10" t="s">
        <v>53</v>
      </c>
      <c r="AA99" s="9"/>
      <c r="AB99" s="9"/>
      <c r="AC99" s="31" t="str">
        <f>IF(AB99/(INDEX('Standards for Conversions'!$H$34:$H$73,MATCH(AA$3,'Standards for Conversions'!$A$34:$A$73,0)))=0,"",AB99/(INDEX('Standards for Conversions'!$H$34:$H$73,MATCH(AA$3,'Standards for Conversions'!$A$34:$A$73,0))))</f>
        <v/>
      </c>
      <c r="AD99" s="10" t="s">
        <v>53</v>
      </c>
      <c r="AE99" s="7"/>
      <c r="AF99" s="7"/>
      <c r="AG99" s="31" t="str">
        <f>IF(AF99/(INDEX('Standards for Conversions'!$H$34:$H$73,MATCH(AE$3,'Standards for Conversions'!$A$34:$A$73,0)))=0,"",AF99/(INDEX('Standards for Conversions'!$H$34:$H$73,MATCH(AE$3,'Standards for Conversions'!$A$34:$A$73,0))))</f>
        <v/>
      </c>
      <c r="AH99" s="10" t="s">
        <v>53</v>
      </c>
      <c r="AI99" s="7"/>
      <c r="AJ99" s="7"/>
      <c r="AK99" s="31" t="str">
        <f>IF(AJ99/(INDEX('Standards for Conversions'!$H$34:$H$73,MATCH(AI$3,'Standards for Conversions'!$A$34:$A$73,0)))=0,"",AJ99/(INDEX('Standards for Conversions'!$H$34:$H$73,MATCH(AI$3,'Standards for Conversions'!$A$34:$A$73,0))))</f>
        <v/>
      </c>
      <c r="AL99" s="10" t="s">
        <v>53</v>
      </c>
      <c r="AM99" s="7"/>
      <c r="AN99" s="7"/>
      <c r="AO99" s="31" t="str">
        <f>IF(AN99/(INDEX('Standards for Conversions'!$H$34:$H$73,MATCH(AM$3,'Standards for Conversions'!$A$34:$A$73,0)))=0,"",AN99/(INDEX('Standards for Conversions'!$H$34:$H$73,MATCH(AM$3,'Standards for Conversions'!$A$34:$A$73,0))))</f>
        <v/>
      </c>
      <c r="AP99" s="10" t="s">
        <v>53</v>
      </c>
      <c r="AQ99" s="9"/>
      <c r="AR99" s="9"/>
      <c r="AS99" s="31" t="str">
        <f>IF(AR99/(INDEX('Standards for Conversions'!$H$34:$H$73,MATCH(AQ$3,'Standards for Conversions'!$A$34:$A$73,0)))=0,"",AR99/(INDEX('Standards for Conversions'!$H$34:$H$73,MATCH(AQ$3,'Standards for Conversions'!$A$34:$A$73,0))))</f>
        <v/>
      </c>
      <c r="AT99" s="10" t="s">
        <v>53</v>
      </c>
      <c r="AU99" s="7"/>
      <c r="AV99" s="7"/>
      <c r="AW99" s="31" t="str">
        <f>IF(AV99/(INDEX('Standards for Conversions'!$H$34:$H$73,MATCH(AU$3,'Standards for Conversions'!$A$34:$A$73,0)))=0,"",AV99/(INDEX('Standards for Conversions'!$H$34:$H$73,MATCH(AU$3,'Standards for Conversions'!$A$34:$A$73,0))))</f>
        <v/>
      </c>
      <c r="AX99" s="10" t="s">
        <v>53</v>
      </c>
      <c r="AY99" s="7"/>
      <c r="AZ99" s="7"/>
      <c r="BA99" s="31" t="str">
        <f>IF(AZ99/(INDEX('Standards for Conversions'!$H$34:$H$73,MATCH(AY$3,'Standards for Conversions'!$A$34:$A$73,0)))=0,"",AZ99/(INDEX('Standards for Conversions'!$H$34:$H$73,MATCH(AY$3,'Standards for Conversions'!$A$34:$A$73,0))))</f>
        <v/>
      </c>
      <c r="BB99" s="10" t="s">
        <v>53</v>
      </c>
      <c r="BC99" s="7"/>
      <c r="BD99" s="7"/>
      <c r="BE99" s="31" t="str">
        <f>IF(BD99/(INDEX('Standards for Conversions'!$H$34:$H$73,MATCH(BC$3,'Standards for Conversions'!$A$34:$A$73,0)))=0,"",BD99/(INDEX('Standards for Conversions'!$H$34:$H$73,MATCH(BC$3,'Standards for Conversions'!$A$34:$A$73,0))))</f>
        <v/>
      </c>
      <c r="BF99" s="10" t="s">
        <v>53</v>
      </c>
      <c r="BG99" s="9"/>
      <c r="BH99" s="9"/>
      <c r="BI99" s="31" t="str">
        <f>IF(BH99/(INDEX('Standards for Conversions'!$H$34:$H$73,MATCH(BG$3,'Standards for Conversions'!$A$34:$A$73,0)))=0,"",BH99/(INDEX('Standards for Conversions'!$H$34:$H$73,MATCH(BG$3,'Standards for Conversions'!$A$34:$A$73,0))))</f>
        <v/>
      </c>
      <c r="BJ99" s="10" t="s">
        <v>53</v>
      </c>
      <c r="BK99" s="7"/>
      <c r="BL99" s="7"/>
      <c r="BM99" s="31" t="str">
        <f>IF(BL99/(INDEX('Standards for Conversions'!$H$34:$H$73,MATCH(BK$3,'Standards for Conversions'!$A$34:$A$73,0)))=0,"",BL99/(INDEX('Standards for Conversions'!$H$34:$H$73,MATCH(BK$3,'Standards for Conversions'!$A$34:$A$73,0))))</f>
        <v/>
      </c>
      <c r="BN99" s="10" t="s">
        <v>53</v>
      </c>
      <c r="BO99" s="7"/>
      <c r="BP99" s="7"/>
      <c r="BQ99" s="31" t="str">
        <f>IF(BP99/(INDEX('Standards for Conversions'!$H$34:$H$73,MATCH(BO$3,'Standards for Conversions'!$A$34:$A$73,0)))=0,"",BP99/(INDEX('Standards for Conversions'!$H$34:$H$73,MATCH(BO$3,'Standards for Conversions'!$A$34:$A$73,0))))</f>
        <v/>
      </c>
      <c r="BR99" s="10" t="s">
        <v>53</v>
      </c>
      <c r="BS99" s="7"/>
      <c r="BT99" s="7"/>
      <c r="BU99" s="31" t="str">
        <f>IF(BT99/(INDEX('Standards for Conversions'!$H$34:$H$73,MATCH(BS$3,'Standards for Conversions'!$A$34:$A$73,0)))=0,"",BT99/(INDEX('Standards for Conversions'!$H$34:$H$73,MATCH(BS$3,'Standards for Conversions'!$A$34:$A$73,0))))</f>
        <v/>
      </c>
      <c r="BV99" s="10" t="s">
        <v>53</v>
      </c>
      <c r="BW99" s="9"/>
      <c r="BX99" s="9"/>
      <c r="BY99" s="31" t="str">
        <f>IF(BX99/(INDEX('Standards for Conversions'!$H$34:$H$73,MATCH(BW$3,'Standards for Conversions'!$A$34:$A$73,0)))=0,"",BX99/(INDEX('Standards for Conversions'!$H$34:$H$73,MATCH(BW$3,'Standards for Conversions'!$A$34:$A$73,0))))</f>
        <v/>
      </c>
      <c r="BZ99" s="10" t="s">
        <v>53</v>
      </c>
      <c r="CA99" s="7"/>
      <c r="CB99" s="7"/>
      <c r="CC99" s="31" t="str">
        <f>IF(CB99/(INDEX('Standards for Conversions'!$H$34:$H$73,MATCH(CA$3,'Standards for Conversions'!$A$34:$A$73,0)))=0,"",CB99/(INDEX('Standards for Conversions'!$H$34:$H$73,MATCH(CA$3,'Standards for Conversions'!$A$34:$A$73,0))))</f>
        <v/>
      </c>
      <c r="CD99" s="10" t="s">
        <v>53</v>
      </c>
      <c r="CE99" s="7"/>
      <c r="CF99" s="7"/>
      <c r="CG99" s="31" t="str">
        <f>IF(CF99/(INDEX('Standards for Conversions'!$H$34:$H$73,MATCH(CE$3,'Standards for Conversions'!$A$34:$A$73,0)))=0,"",CF99/(INDEX('Standards for Conversions'!$H$34:$H$73,MATCH(CE$3,'Standards for Conversions'!$A$34:$A$73,0))))</f>
        <v/>
      </c>
      <c r="CH99" s="10" t="s">
        <v>53</v>
      </c>
      <c r="CI99" s="7"/>
      <c r="CJ99" s="7"/>
      <c r="CK99" s="31" t="str">
        <f>IF(CJ99/(INDEX('Standards for Conversions'!$H$34:$H$73,MATCH(CI$3,'Standards for Conversions'!$A$34:$A$73,0)))=0,"",CJ99/(INDEX('Standards for Conversions'!$H$34:$H$73,MATCH(CI$3,'Standards for Conversions'!$A$34:$A$73,0))))</f>
        <v/>
      </c>
      <c r="CL99" s="10" t="s">
        <v>53</v>
      </c>
      <c r="CM99" s="9"/>
      <c r="CN99" s="9"/>
      <c r="CO99" s="31" t="str">
        <f>IF(CN99/(INDEX('Standards for Conversions'!$H$34:$H$73,MATCH(CM$3,'Standards for Conversions'!$A$34:$A$73,0)))=0,"",CN99/(INDEX('Standards for Conversions'!$H$34:$H$73,MATCH(CM$3,'Standards for Conversions'!$A$34:$A$73,0))))</f>
        <v/>
      </c>
      <c r="CP99" s="10" t="s">
        <v>53</v>
      </c>
      <c r="CQ99" s="7"/>
      <c r="CR99" s="7"/>
      <c r="CS99" s="31" t="str">
        <f>IF(CR99/(INDEX('Standards for Conversions'!$H$34:$H$73,MATCH(CQ$3,'Standards for Conversions'!$A$34:$A$73,0)))=0,"",CR99/(INDEX('Standards for Conversions'!$H$34:$H$73,MATCH(CQ$3,'Standards for Conversions'!$A$34:$A$73,0))))</f>
        <v/>
      </c>
      <c r="CT99" s="10" t="s">
        <v>53</v>
      </c>
      <c r="CU99" s="7"/>
      <c r="CV99" s="7"/>
      <c r="CW99" s="31" t="str">
        <f>IF(CV99/(INDEX('Standards for Conversions'!$H$34:$H$73,MATCH(CU$3,'Standards for Conversions'!$A$34:$A$73,0)))=0,"",CV99/(INDEX('Standards for Conversions'!$H$34:$H$73,MATCH(CU$3,'Standards for Conversions'!$A$34:$A$73,0))))</f>
        <v/>
      </c>
      <c r="CX99" s="10" t="s">
        <v>53</v>
      </c>
      <c r="CY99" s="7"/>
      <c r="CZ99" s="7"/>
      <c r="DA99" s="31" t="str">
        <f>IF(CZ99/(INDEX('Standards for Conversions'!$H$34:$H$73,MATCH(CY$3,'Standards for Conversions'!$A$34:$A$73,0)))=0,"",CZ99/(INDEX('Standards for Conversions'!$H$34:$H$73,MATCH(CY$3,'Standards for Conversions'!$A$34:$A$73,0))))</f>
        <v/>
      </c>
      <c r="DB99" s="10" t="s">
        <v>53</v>
      </c>
      <c r="DC99" s="9"/>
      <c r="DD99" s="9"/>
      <c r="DE99" s="31" t="str">
        <f>IF(DD99/(INDEX('Standards for Conversions'!$H$34:$H$73,MATCH(DC$3,'Standards for Conversions'!$A$34:$A$73,0)))=0,"",DD99/(INDEX('Standards for Conversions'!$H$34:$H$73,MATCH(DC$3,'Standards for Conversions'!$A$34:$A$73,0))))</f>
        <v/>
      </c>
      <c r="DF99" s="10" t="s">
        <v>53</v>
      </c>
      <c r="DG99" s="7"/>
      <c r="DH99" s="7"/>
      <c r="DI99" s="31" t="str">
        <f>IF(DH99/(INDEX('Standards for Conversions'!$H$34:$H$73,MATCH(DG$3,'Standards for Conversions'!$A$34:$A$73,0)))=0,"",DH99/(INDEX('Standards for Conversions'!$H$34:$H$73,MATCH(DG$3,'Standards for Conversions'!$A$34:$A$73,0))))</f>
        <v/>
      </c>
      <c r="DJ99" s="10" t="s">
        <v>53</v>
      </c>
      <c r="DK99" s="7"/>
      <c r="DL99" s="7"/>
      <c r="DM99" s="31" t="str">
        <f>IF(DL99/(INDEX('Standards for Conversions'!$H$34:$H$73,MATCH(DK$3,'Standards for Conversions'!$A$34:$A$73,0)))=0,"",DL99/(INDEX('Standards for Conversions'!$H$34:$H$73,MATCH(DK$3,'Standards for Conversions'!$A$34:$A$73,0))))</f>
        <v/>
      </c>
      <c r="DN99" s="10" t="s">
        <v>53</v>
      </c>
      <c r="DO99" s="7"/>
      <c r="DP99" s="7"/>
      <c r="DQ99" s="31" t="str">
        <f>IF(DP99/(INDEX('Standards for Conversions'!$H$34:$H$73,MATCH(DO$3,'Standards for Conversions'!$A$34:$A$73,0)))=0,"",DP99/(INDEX('Standards for Conversions'!$H$34:$H$73,MATCH(DO$3,'Standards for Conversions'!$A$34:$A$73,0))))</f>
        <v/>
      </c>
      <c r="DR99" s="10" t="s">
        <v>53</v>
      </c>
      <c r="DS99" s="9"/>
      <c r="DT99" s="9"/>
      <c r="DU99" s="31" t="str">
        <f>IF(DT99/(INDEX('Standards for Conversions'!$H$34:$H$73,MATCH(DS$3,'Standards for Conversions'!$A$34:$A$73,0)))=0,"",DT99/(INDEX('Standards for Conversions'!$H$34:$H$73,MATCH(DS$3,'Standards for Conversions'!$A$34:$A$73,0))))</f>
        <v/>
      </c>
      <c r="DV99" s="10" t="s">
        <v>53</v>
      </c>
      <c r="DW99" s="7"/>
      <c r="DX99" s="7"/>
      <c r="DY99" s="31" t="str">
        <f>IF(DX99/(INDEX('Standards for Conversions'!$H$34:$H$73,MATCH(DW$3,'Standards for Conversions'!$A$34:$A$73,0)))=0,"",DX99/(INDEX('Standards for Conversions'!$H$34:$H$73,MATCH(DW$3,'Standards for Conversions'!$A$34:$A$73,0))))</f>
        <v/>
      </c>
      <c r="DZ99" s="10" t="s">
        <v>53</v>
      </c>
      <c r="EA99" s="7"/>
      <c r="EB99" s="7"/>
      <c r="EC99" s="31" t="str">
        <f>IF(EB99/(INDEX('Standards for Conversions'!$H$34:$H$73,MATCH(EA$3,'Standards for Conversions'!$A$34:$A$73,0)))=0,"",EB99/(INDEX('Standards for Conversions'!$H$34:$H$73,MATCH(EA$3,'Standards for Conversions'!$A$34:$A$73,0))))</f>
        <v/>
      </c>
      <c r="ED99" s="10" t="s">
        <v>53</v>
      </c>
      <c r="EE99" s="7"/>
      <c r="EF99" s="7"/>
      <c r="EG99" s="31" t="str">
        <f>IF(EF99/(INDEX('Standards for Conversions'!$H$34:$H$73,MATCH(EE$3,'Standards for Conversions'!$A$34:$A$73,0)))=0,"",EF99/(INDEX('Standards for Conversions'!$H$34:$H$73,MATCH(EE$3,'Standards for Conversions'!$A$34:$A$73,0))))</f>
        <v/>
      </c>
      <c r="EH99" s="10" t="s">
        <v>53</v>
      </c>
      <c r="EI99" s="9"/>
      <c r="EJ99" s="9"/>
      <c r="EK99" s="31" t="str">
        <f>IF(EJ99/(INDEX('Standards for Conversions'!$H$34:$H$73,MATCH(EI$3,'Standards for Conversions'!$A$34:$A$73,0)))=0,"",EJ99/(INDEX('Standards for Conversions'!$H$34:$H$73,MATCH(EI$3,'Standards for Conversions'!$A$34:$A$73,0))))</f>
        <v/>
      </c>
      <c r="EL99" s="10" t="s">
        <v>53</v>
      </c>
      <c r="EM99" s="7"/>
      <c r="EN99" s="7"/>
      <c r="EO99" s="31" t="str">
        <f>IF(EN99/(INDEX('Standards for Conversions'!$H$34:$H$73,MATCH(EM$3,'Standards for Conversions'!$A$34:$A$73,0)))=0,"",EN99/(INDEX('Standards for Conversions'!$H$34:$H$73,MATCH(EM$3,'Standards for Conversions'!$A$34:$A$73,0))))</f>
        <v/>
      </c>
      <c r="EP99" s="10" t="s">
        <v>53</v>
      </c>
      <c r="EQ99" s="7"/>
      <c r="ER99" s="7"/>
      <c r="ES99" s="31" t="str">
        <f>IF(ER99/(INDEX('Standards for Conversions'!$H$34:$H$73,MATCH(EQ$3,'Standards for Conversions'!$A$34:$A$73,0)))=0,"",ER99/(INDEX('Standards for Conversions'!$H$34:$H$73,MATCH(EQ$3,'Standards for Conversions'!$A$34:$A$73,0))))</f>
        <v/>
      </c>
      <c r="ET99" s="10" t="s">
        <v>53</v>
      </c>
      <c r="EU99" s="7"/>
      <c r="EV99" s="7"/>
      <c r="EW99" s="31" t="str">
        <f>IF(EV99/(INDEX('Standards for Conversions'!$H$34:$H$73,MATCH(EU$3,'Standards for Conversions'!$A$34:$A$73,0)))=0,"",EV99/(INDEX('Standards for Conversions'!$H$34:$H$73,MATCH(EU$3,'Standards for Conversions'!$A$34:$A$73,0))))</f>
        <v/>
      </c>
      <c r="EX99" s="10" t="s">
        <v>53</v>
      </c>
      <c r="EY99" s="9"/>
      <c r="EZ99" s="9"/>
      <c r="FA99" s="31" t="str">
        <f>IF(EZ99/(INDEX('Standards for Conversions'!$H$34:$H$73,MATCH(EY$3,'Standards for Conversions'!$A$34:$A$73,0)))=0,"",EZ99/(INDEX('Standards for Conversions'!$H$34:$H$73,MATCH(EY$3,'Standards for Conversions'!$A$34:$A$73,0))))</f>
        <v/>
      </c>
      <c r="FB99" s="10" t="s">
        <v>53</v>
      </c>
      <c r="FC99" s="7"/>
      <c r="FD99" s="7"/>
      <c r="FE99" s="31" t="str">
        <f>IF(FD99/(INDEX('Standards for Conversions'!$H$34:$H$73,MATCH(FC$3,'Standards for Conversions'!$A$34:$A$73,0)))=0,"",FD99/(INDEX('Standards for Conversions'!$H$34:$H$73,MATCH(FC$3,'Standards for Conversions'!$A$34:$A$73,0))))</f>
        <v/>
      </c>
      <c r="FF99" s="10" t="s">
        <v>53</v>
      </c>
      <c r="FG99" s="7"/>
      <c r="FH99" s="7"/>
      <c r="FI99" s="31" t="str">
        <f>IF(FH99/(INDEX('Standards for Conversions'!$H$34:$H$73,MATCH(FG$3,'Standards for Conversions'!$A$34:$A$73,0)))=0,"",FH99/(INDEX('Standards for Conversions'!$H$34:$H$73,MATCH(FG$3,'Standards for Conversions'!$A$34:$A$73,0))))</f>
        <v/>
      </c>
      <c r="FJ99" s="10" t="s">
        <v>53</v>
      </c>
      <c r="FK99" s="7"/>
      <c r="FL99" s="7"/>
      <c r="FM99" s="31" t="str">
        <f>IF(FL99/(INDEX('Standards for Conversions'!$H$34:$H$73,MATCH(FK$3,'Standards for Conversions'!$A$34:$A$73,0)))=0,"",FL99/(INDEX('Standards for Conversions'!$H$34:$H$73,MATCH(FK$3,'Standards for Conversions'!$A$34:$A$73,0))))</f>
        <v/>
      </c>
      <c r="FN99" s="10" t="s">
        <v>53</v>
      </c>
      <c r="FO99" s="9"/>
      <c r="FP99" s="9"/>
      <c r="FQ99" s="31" t="str">
        <f>IF(FP99/(INDEX('Standards for Conversions'!$H$34:$H$73,MATCH(FO$3,'Standards for Conversions'!$A$34:$A$73,0)))=0,"",FP99/(INDEX('Standards for Conversions'!$H$34:$H$73,MATCH(FO$3,'Standards for Conversions'!$A$34:$A$73,0))))</f>
        <v/>
      </c>
      <c r="FR99" s="10" t="s">
        <v>53</v>
      </c>
      <c r="FS99" s="7"/>
      <c r="FT99" s="7"/>
      <c r="FU99" s="31" t="str">
        <f>IF(FT99/(INDEX('Standards for Conversions'!$H$34:$H$73,MATCH(FS$3,'Standards for Conversions'!$A$34:$A$73,0)))=0,"",FT99/(INDEX('Standards for Conversions'!$H$34:$H$73,MATCH(FS$3,'Standards for Conversions'!$A$34:$A$73,0))))</f>
        <v/>
      </c>
      <c r="FV99" s="10" t="s">
        <v>53</v>
      </c>
      <c r="FW99" s="7"/>
      <c r="FX99" s="7"/>
      <c r="FY99" s="31" t="str">
        <f>IF(FX99/(INDEX('Standards for Conversions'!$H$34:$H$73,MATCH(FW$3,'Standards for Conversions'!$A$34:$A$73,0)))=0,"",FX99/(INDEX('Standards for Conversions'!$H$34:$H$73,MATCH(FW$3,'Standards for Conversions'!$A$34:$A$73,0))))</f>
        <v/>
      </c>
      <c r="FZ99" s="10" t="s">
        <v>53</v>
      </c>
      <c r="GA99" s="7"/>
      <c r="GB99" s="7"/>
      <c r="GC99" s="31" t="str">
        <f>IF(GB99/(INDEX('Standards for Conversions'!$H$34:$H$73,MATCH(GA$3,'Standards for Conversions'!$A$34:$A$73,0)))=0,"",GB99/(INDEX('Standards for Conversions'!$H$34:$H$73,MATCH(GA$3,'Standards for Conversions'!$A$34:$A$73,0))))</f>
        <v/>
      </c>
      <c r="GD99" s="10" t="s">
        <v>53</v>
      </c>
      <c r="GE99" s="9"/>
      <c r="GF99" s="9"/>
      <c r="GG99" s="31" t="str">
        <f>IF(GF99/(INDEX('Standards for Conversions'!$H$34:$H$73,MATCH(GE$3,'Standards for Conversions'!$A$34:$A$73,0)))=0,"",GF99/(INDEX('Standards for Conversions'!$H$34:$H$73,MATCH(GE$3,'Standards for Conversions'!$A$34:$A$73,0))))</f>
        <v/>
      </c>
      <c r="GH99" s="10" t="s">
        <v>53</v>
      </c>
      <c r="GI99" s="7"/>
      <c r="GJ99" s="7"/>
      <c r="GK99" s="31" t="str">
        <f>IF(GJ99/(INDEX('Standards for Conversions'!$H$34:$H$73,MATCH(GI$3,'Standards for Conversions'!$A$34:$A$73,0)))=0,"",GJ99/(INDEX('Standards for Conversions'!$H$34:$H$73,MATCH(GI$3,'Standards for Conversions'!$A$34:$A$73,0))))</f>
        <v/>
      </c>
      <c r="GL99" s="10" t="s">
        <v>53</v>
      </c>
      <c r="GM99" s="7"/>
      <c r="GN99" s="7"/>
      <c r="GO99" s="31" t="str">
        <f>IF(GN99/(INDEX('Standards for Conversions'!$H$34:$H$73,MATCH(GM$3,'Standards for Conversions'!$A$34:$A$73,0)))=0,"",GN99/(INDEX('Standards for Conversions'!$H$34:$H$73,MATCH(GM$3,'Standards for Conversions'!$A$34:$A$73,0))))</f>
        <v/>
      </c>
      <c r="GP99" s="10" t="s">
        <v>53</v>
      </c>
      <c r="GQ99" s="7"/>
      <c r="GR99" s="7"/>
      <c r="GS99" s="31" t="str">
        <f>IF(GR99/(INDEX('Standards for Conversions'!$H$34:$H$73,MATCH(GQ$3,'Standards for Conversions'!$A$34:$A$73,0)))=0,"",GR99/(INDEX('Standards for Conversions'!$H$34:$H$73,MATCH(GQ$3,'Standards for Conversions'!$A$34:$A$73,0))))</f>
        <v/>
      </c>
      <c r="GT99" s="10" t="s">
        <v>53</v>
      </c>
      <c r="GU99" s="9"/>
      <c r="GV99" s="9"/>
      <c r="GW99" s="31" t="str">
        <f>IF(GV99/(INDEX('Standards for Conversions'!$H$34:$H$73,MATCH(GU$3,'Standards for Conversions'!$A$34:$A$73,0)))=0,"",GV99/(INDEX('Standards for Conversions'!$H$34:$H$73,MATCH(GU$3,'Standards for Conversions'!$A$34:$A$73,0))))</f>
        <v/>
      </c>
      <c r="GX99" s="10" t="s">
        <v>53</v>
      </c>
      <c r="GY99" s="7"/>
      <c r="GZ99" s="7"/>
      <c r="HA99" s="31" t="str">
        <f>IF(GZ99/(INDEX('Standards for Conversions'!$H$34:$H$73,MATCH(GY$3,'Standards for Conversions'!$A$34:$A$73,0)))=0,"",GZ99/(INDEX('Standards for Conversions'!$H$34:$H$73,MATCH(GY$3,'Standards for Conversions'!$A$34:$A$73,0))))</f>
        <v/>
      </c>
      <c r="HB99" s="10" t="s">
        <v>53</v>
      </c>
      <c r="HC99" s="7"/>
      <c r="HD99" s="7"/>
      <c r="HE99" s="31" t="str">
        <f>IF(HD99/(INDEX('Standards for Conversions'!$H$34:$H$73,MATCH(HC$3,'Standards for Conversions'!$A$34:$A$73,0)))=0,"",HD99/(INDEX('Standards for Conversions'!$H$34:$H$73,MATCH(HC$3,'Standards for Conversions'!$A$34:$A$73,0))))</f>
        <v/>
      </c>
      <c r="HF99" s="10" t="s">
        <v>53</v>
      </c>
      <c r="HG99" s="7"/>
      <c r="HH99" s="7"/>
      <c r="HI99" s="31" t="str">
        <f>IF(HH99/(INDEX('Standards for Conversions'!$H$34:$H$73,MATCH(HG$3,'Standards for Conversions'!$A$34:$A$73,0)))=0,"",HH99/(INDEX('Standards for Conversions'!$H$34:$H$73,MATCH(HG$3,'Standards for Conversions'!$A$34:$A$73,0))))</f>
        <v/>
      </c>
      <c r="HJ99" s="10" t="s">
        <v>53</v>
      </c>
      <c r="HK99" s="9"/>
      <c r="HL99" s="9"/>
      <c r="HM99" s="31" t="str">
        <f>IF(HL99/(INDEX('Standards for Conversions'!$H$34:$H$73,MATCH(HK$3,'Standards for Conversions'!$A$34:$A$73,0)))=0,"",HL99/(INDEX('Standards for Conversions'!$H$34:$H$73,MATCH(HK$3,'Standards for Conversions'!$A$34:$A$73,0))))</f>
        <v/>
      </c>
      <c r="HN99" s="10" t="s">
        <v>53</v>
      </c>
      <c r="HO99" s="7"/>
      <c r="HP99" s="7"/>
      <c r="HQ99" s="31" t="str">
        <f>IF(HP99/(INDEX('Standards for Conversions'!$H$34:$H$73,MATCH(HO$3,'Standards for Conversions'!$A$34:$A$73,0)))=0,"",HP99/(INDEX('Standards for Conversions'!$H$34:$H$73,MATCH(HO$3,'Standards for Conversions'!$A$34:$A$73,0))))</f>
        <v/>
      </c>
      <c r="HR99" s="33" t="s">
        <v>53</v>
      </c>
      <c r="HU99" s="31" t="str">
        <f>IF(HT99/(INDEX('Standards for Conversions'!$H$47:$H$73,MATCH(HS$3,'Standards for Conversions'!$A$47:$A$73,0)))=0,"",HT99/(INDEX('Standards for Conversions'!$H$47:$H$73,MATCH(HS$3,'Standards for Conversions'!$A$47:$A$73,0))))</f>
        <v/>
      </c>
      <c r="HV99" s="33" t="s">
        <v>53</v>
      </c>
      <c r="HY99" s="31" t="str">
        <f>IF(HX99/(INDEX('Standards for Conversions'!$H$47:$H$73,MATCH(HW$3,'Standards for Conversions'!$A$47:$A$73,0)))=0,"",HX99/(INDEX('Standards for Conversions'!$H$47:$H$73,MATCH(HW$3,'Standards for Conversions'!$A$47:$A$73,0))))</f>
        <v/>
      </c>
      <c r="HZ99" s="33">
        <v>40000</v>
      </c>
      <c r="IA99" s="33">
        <v>70000</v>
      </c>
      <c r="IB99" s="31">
        <f>IF(IA99/(INDEX('Standards for Conversions'!$H$47:$H$73,MATCH(HZ$3,'Standards for Conversions'!$A$47:$A$73,0)))=0,"",IA99/(INDEX('Standards for Conversions'!$H$47:$H$73,MATCH(HZ$3,'Standards for Conversions'!$A$47:$A$73,0))))</f>
        <v>10167.178854899917</v>
      </c>
      <c r="IC99" s="33" t="s">
        <v>53</v>
      </c>
      <c r="IF99" s="31" t="str">
        <f>IF(IE99/(INDEX('Standards for Conversions'!$H$47:$H$73,MATCH(ID$3,'Standards for Conversions'!$A$47:$A$73,0)))=0,"",IE99/(INDEX('Standards for Conversions'!$H$47:$H$73,MATCH(ID$3,'Standards for Conversions'!$A$47:$A$73,0))))</f>
        <v/>
      </c>
      <c r="IG99" s="33" t="s">
        <v>53</v>
      </c>
      <c r="IJ99" s="31" t="str">
        <f>IF(II99/(INDEX('Standards for Conversions'!$H$47:$H$73,MATCH(IH$3,'Standards for Conversions'!$A$47:$A$73,0)))=0,"",II99/(INDEX('Standards for Conversions'!$H$47:$H$73,MATCH(IH$3,'Standards for Conversions'!$A$47:$A$73,0))))</f>
        <v/>
      </c>
      <c r="IK99" s="33" t="s">
        <v>53</v>
      </c>
      <c r="IN99" s="31" t="str">
        <f>IF(IM99/(INDEX('Standards for Conversions'!$H$47:$H$73,MATCH(IL$3,'Standards for Conversions'!$A$47:$A$73,0)))=0,"",IM99/(INDEX('Standards for Conversions'!$H$47:$H$73,MATCH(IL$3,'Standards for Conversions'!$A$47:$A$73,0))))</f>
        <v/>
      </c>
      <c r="IO99" s="33" t="s">
        <v>53</v>
      </c>
      <c r="IP99" s="29">
        <v>35000</v>
      </c>
      <c r="IQ99" s="29">
        <v>70000</v>
      </c>
      <c r="IR99" s="31">
        <f>IF(IQ99/(INDEX('Standards for Conversions'!$H$47:$H$73,MATCH(IP$3,'Standards for Conversions'!$A$47:$A$73,0)))=0,"",IQ99/(INDEX('Standards for Conversions'!$H$47:$H$73,MATCH(IP$3,'Standards for Conversions'!$A$47:$A$73,0))))</f>
        <v>10122.715973610266</v>
      </c>
      <c r="IS99" s="33" t="s">
        <v>53</v>
      </c>
      <c r="IV99" s="31" t="str">
        <f>IF(IU99/(INDEX('Standards for Conversions'!$H$47:$H$73,MATCH(IT$3,'Standards for Conversions'!$A$47:$A$73,0)))=0,"",IU99/(INDEX('Standards for Conversions'!$H$47:$H$73,MATCH(IT$3,'Standards for Conversions'!$A$47:$A$73,0))))</f>
        <v/>
      </c>
      <c r="IW99" s="33" t="s">
        <v>53</v>
      </c>
      <c r="IZ99" s="31" t="str">
        <f>IF(IY99/(INDEX('Standards for Conversions'!$H$47:$H$73,MATCH(IX$3,'Standards for Conversions'!$A$47:$A$73,0)))=0,"",IY99/(INDEX('Standards for Conversions'!$H$47:$H$73,MATCH(IX$3,'Standards for Conversions'!$A$47:$A$73,0))))</f>
        <v/>
      </c>
      <c r="JA99" s="48" t="s">
        <v>53</v>
      </c>
      <c r="JD99" s="31" t="str">
        <f>IF(JC99/(INDEX('Standards for Conversions'!$H$47:$H$73,MATCH(JB$3,'Standards for Conversions'!$A$47:$A$73,0)))=0,"",JC99/(INDEX('Standards for Conversions'!$H$47:$H$73,MATCH(JB$3,'Standards for Conversions'!$A$47:$A$73,0))))</f>
        <v/>
      </c>
      <c r="JE99" s="48" t="s">
        <v>53</v>
      </c>
      <c r="JF99" s="29">
        <v>12400</v>
      </c>
      <c r="JG99" s="29">
        <v>37500</v>
      </c>
      <c r="JH99" s="31">
        <f>IF(JG99/(INDEX('Standards for Conversions'!$H$47:$H$73,MATCH(JF$3,'Standards for Conversions'!$A$47:$A$73,0)))=0,"",JG99/(INDEX('Standards for Conversions'!$H$47:$H$73,MATCH(JF$3,'Standards for Conversions'!$A$47:$A$73,0))))</f>
        <v>6066.0073759450761</v>
      </c>
      <c r="JL99" s="31" t="str">
        <f>IF(JK99/(INDEX('Standards for Conversions'!$H$47:$H$73,MATCH(JJ$3,'Standards for Conversions'!$A$47:$A$73,0)))=0,"",JK99/(INDEX('Standards for Conversions'!$H$47:$H$73,MATCH(JJ$3,'Standards for Conversions'!$A$47:$A$73,0))))</f>
        <v/>
      </c>
      <c r="JM99" s="33" t="s">
        <v>53</v>
      </c>
      <c r="JP99" s="31" t="str">
        <f>IF(JO99/(INDEX('Standards for Conversions'!$H$47:$H$73,MATCH(JN$3,'Standards for Conversions'!$A$47:$A$73,0)))=0,"",JO99/(INDEX('Standards for Conversions'!$H$47:$H$73,MATCH(JN$3,'Standards for Conversions'!$A$47:$A$73,0))))</f>
        <v/>
      </c>
      <c r="JQ99" s="33" t="s">
        <v>53</v>
      </c>
      <c r="JT99" s="31" t="str">
        <f>IF(JS99/(INDEX('Standards for Conversions'!$H$47:$H$73,MATCH(JR$3,'Standards for Conversions'!$A$47:$A$73,0)))=0,"",JS99/(INDEX('Standards for Conversions'!$H$47:$H$73,MATCH(JR$3,'Standards for Conversions'!$A$47:$A$73,0))))</f>
        <v/>
      </c>
      <c r="JU99" s="33" t="s">
        <v>53</v>
      </c>
      <c r="JV99" s="29">
        <v>13000</v>
      </c>
      <c r="JW99" s="29">
        <v>50000</v>
      </c>
      <c r="JX99" s="31">
        <f>IF(JW99/(INDEX('Standards for Conversions'!$H$47:$H$73,MATCH(JV$3,'Standards for Conversions'!$A$47:$A$73,0)))=0,"",JW99/(INDEX('Standards for Conversions'!$H$47:$H$73,MATCH(JV$3,'Standards for Conversions'!$A$47:$A$73,0))))</f>
        <v>7632.7946213898786</v>
      </c>
      <c r="JY99" s="33" t="s">
        <v>53</v>
      </c>
      <c r="KB99" s="31" t="str">
        <f>IF(KA99/(INDEX('Standards for Conversions'!$H$47:$H$73,MATCH(JZ$3,'Standards for Conversions'!$A$47:$A$73,0)))=0,"",KA99/(INDEX('Standards for Conversions'!$H$47:$H$73,MATCH(JZ$3,'Standards for Conversions'!$A$47:$A$73,0))))</f>
        <v/>
      </c>
      <c r="KC99" s="33" t="s">
        <v>53</v>
      </c>
      <c r="KF99" s="31" t="str">
        <f>IF(KE99/(INDEX('Standards for Conversions'!$H$47:$H$73,MATCH(KD$3,'Standards for Conversions'!$A$47:$A$73,0)))=0,"",KE99/(INDEX('Standards for Conversions'!$H$47:$H$73,MATCH(KD$3,'Standards for Conversions'!$A$47:$A$73,0))))</f>
        <v/>
      </c>
      <c r="KG99" s="33" t="s">
        <v>53</v>
      </c>
      <c r="KJ99" s="31" t="str">
        <f>IF(KI99/(INDEX('Standards for Conversions'!$H$47:$H$73,MATCH(KH$3,'Standards for Conversions'!$A$47:$A$73,0)))=0,"",KI99/(INDEX('Standards for Conversions'!$H$47:$H$73,MATCH(KH$3,'Standards for Conversions'!$A$47:$A$73,0))))</f>
        <v/>
      </c>
      <c r="KK99" s="33" t="s">
        <v>53</v>
      </c>
      <c r="KL99" s="29">
        <v>14000</v>
      </c>
      <c r="KM99" s="29">
        <v>40000</v>
      </c>
      <c r="KN99" s="31">
        <f>IF(KM99/(INDEX('Standards for Conversions'!$H$47:$H$73,MATCH(KL$3,'Standards for Conversions'!$A$47:$A$73,0)))=0,"",KM99/(INDEX('Standards for Conversions'!$H$47:$H$73,MATCH(KL$3,'Standards for Conversions'!$A$47:$A$73,0))))</f>
        <v>5386.3604762318582</v>
      </c>
      <c r="KO99" s="33" t="s">
        <v>53</v>
      </c>
      <c r="KR99" s="31" t="str">
        <f>IF(KQ99/(INDEX('Standards for Conversions'!$H$47:$H$73,MATCH(KP$3,'Standards for Conversions'!$A$47:$A$73,0)))=0,"",KQ99/(INDEX('Standards for Conversions'!$H$47:$H$73,MATCH(KP$3,'Standards for Conversions'!$A$47:$A$73,0))))</f>
        <v/>
      </c>
      <c r="KS99" s="33" t="s">
        <v>53</v>
      </c>
      <c r="KV99" s="31" t="str">
        <f>IF(KU99/(INDEX('Standards for Conversions'!$H$47:$H$73,MATCH(KT$3,'Standards for Conversions'!$A$47:$A$73,0)))=0,"",KU99/(INDEX('Standards for Conversions'!$H$47:$H$73,MATCH(KT$3,'Standards for Conversions'!$A$47:$A$73,0))))</f>
        <v/>
      </c>
      <c r="KW99" s="48" t="s">
        <v>53</v>
      </c>
      <c r="KZ99" s="31" t="str">
        <f>IF(KY99/(INDEX('Standards for Conversions'!$H$47:$H$73,MATCH(KX$3,'Standards for Conversions'!$A$47:$A$73,0)))=0,"",KY99/(INDEX('Standards for Conversions'!$H$47:$H$73,MATCH(KX$3,'Standards for Conversions'!$A$47:$A$73,0))))</f>
        <v/>
      </c>
      <c r="LA99" s="48" t="s">
        <v>53</v>
      </c>
      <c r="LB99" s="29">
        <v>14132</v>
      </c>
      <c r="LC99" s="29">
        <v>45140</v>
      </c>
      <c r="LD99" s="31">
        <f>IF(LC99/(INDEX('Standards for Conversions'!$H$47:$H$73,MATCH(LB$3,'Standards for Conversions'!$A$47:$A$73,0)))=0,"",LC99/(INDEX('Standards for Conversions'!$H$47:$H$73,MATCH(LB$3,'Standards for Conversions'!$A$47:$A$73,0))))</f>
        <v>5489.7718220793131</v>
      </c>
      <c r="LH99" s="31" t="str">
        <f>IF(LG99/(INDEX('Standards for Conversions'!$H$47:$H$73,MATCH(LF$3,'Standards for Conversions'!$A$47:$A$73,0)))=0,"",LG99/(INDEX('Standards for Conversions'!$H$47:$H$73,MATCH(LF$3,'Standards for Conversions'!$A$47:$A$73,0))))</f>
        <v/>
      </c>
      <c r="LL99" s="31" t="str">
        <f>IF(LK99/(INDEX('Standards for Conversions'!$H$47:$H$73,MATCH(LJ$3,'Standards for Conversions'!$A$47:$A$73,0)))=0,"",LK99/(INDEX('Standards for Conversions'!$H$47:$H$73,MATCH(LJ$3,'Standards for Conversions'!$A$47:$A$73,0))))</f>
        <v/>
      </c>
      <c r="LO99" s="31" t="str">
        <f>IF(LN99/(INDEX('Standards for Conversions'!$H$47:$H$73,MATCH(LM$3,'Standards for Conversions'!$A$47:$A$73,0)))=0,"",LN99/(INDEX('Standards for Conversions'!$H$47:$H$73,MATCH(LM$3,'Standards for Conversions'!$A$47:$A$73,0))))</f>
        <v/>
      </c>
      <c r="LR99" s="31" t="str">
        <f>IF(LQ99/(INDEX('Standards for Conversions'!$H$47:$H$73,MATCH(LP$3,'Standards for Conversions'!$A$47:$A$73,0)))=0,"",LQ99/(INDEX('Standards for Conversions'!$H$47:$H$73,MATCH(LP$3,'Standards for Conversions'!$A$47:$A$73,0))))</f>
        <v/>
      </c>
      <c r="LV99" s="31" t="str">
        <f>IF(LU99/(INDEX('Standards for Conversions'!$H$47:$H$73,MATCH(LT$3,'Standards for Conversions'!$A$47:$A$73,0)))=0,"",LU99/(INDEX('Standards for Conversions'!$H$47:$H$73,MATCH(LT$3,'Standards for Conversions'!$A$47:$A$73,0))))</f>
        <v/>
      </c>
      <c r="LY99" s="31" t="str">
        <f>IF(LX99/(INDEX('Standards for Conversions'!$H$47:$H$73,MATCH(LW$3,'Standards for Conversions'!$A$47:$A$73,0)))=0,"",LX99/(INDEX('Standards for Conversions'!$H$47:$H$73,MATCH(LW$3,'Standards for Conversions'!$A$47:$A$73,0))))</f>
        <v/>
      </c>
      <c r="MB99" s="31" t="str">
        <f>IF(MA99/(INDEX('Standards for Conversions'!$H$47:$H$73,MATCH(LZ$3,'Standards for Conversions'!$A$47:$A$73,0)))=0,"",MA99/(INDEX('Standards for Conversions'!$H$47:$H$73,MATCH(LZ$3,'Standards for Conversions'!$A$47:$A$73,0))))</f>
        <v/>
      </c>
      <c r="ME99" s="31" t="str">
        <f>IF(MD99/(INDEX('Standards for Conversions'!$H$47:$H$73,MATCH(MC$3,'Standards for Conversions'!$A$47:$A$73,0)))=0,"",MD99/(INDEX('Standards for Conversions'!$H$47:$H$73,MATCH(MC$3,'Standards for Conversions'!$A$47:$A$73,0))))</f>
        <v/>
      </c>
      <c r="MH99" s="31" t="str">
        <f>IF(MG99/(INDEX('Standards for Conversions'!$H$47:$H$73,MATCH(MF$3,'Standards for Conversions'!$A$47:$A$73,0)))=0,"",MG99/(INDEX('Standards for Conversions'!$H$47:$H$73,MATCH(MF$3,'Standards for Conversions'!$A$47:$A$73,0))))</f>
        <v/>
      </c>
      <c r="MK99" s="31" t="str">
        <f>IF(MJ99/(INDEX('Standards for Conversions'!$H$47:$H$73,MATCH(MI$3,'Standards for Conversions'!$A$47:$A$73,0)))=0,"",MJ99/(INDEX('Standards for Conversions'!$H$47:$H$73,MATCH(MI$3,'Standards for Conversions'!$A$47:$A$73,0))))</f>
        <v/>
      </c>
      <c r="MN99" s="31" t="str">
        <f>IF(MM99/(INDEX('Standards for Conversions'!$H$47:$H$73,MATCH(ML$3,'Standards for Conversions'!$A$47:$A$73,0)))=0,"",MM99/(INDEX('Standards for Conversions'!$H$47:$H$73,MATCH(ML$3,'Standards for Conversions'!$A$47:$A$73,0))))</f>
        <v/>
      </c>
      <c r="MR99" s="31" t="str">
        <f>IF(MQ99/(INDEX('Standards for Conversions'!$H$47:$H$73,MATCH(MP$3,'Standards for Conversions'!$A$47:$A$73,0)))=0,"",MQ99/(INDEX('Standards for Conversions'!$H$47:$H$73,MATCH(MP$3,'Standards for Conversions'!$A$47:$A$73,0))))</f>
        <v/>
      </c>
    </row>
    <row r="100" spans="1:373" hidden="1" x14ac:dyDescent="0.3">
      <c r="A100" s="103" t="s">
        <v>266</v>
      </c>
      <c r="C100" s="7"/>
      <c r="D100" s="7"/>
      <c r="E100" s="31" t="str">
        <f>IF(D100/(INDEX('Standards for Conversions'!$H$34:$H$73,MATCH(C$3,'Standards for Conversions'!$A$34:$A$73,0)))=0,"",D100/(INDEX('Standards for Conversions'!$H$34:$H$73,MATCH(C$3,'Standards for Conversions'!$A$34:$A$73,0))))</f>
        <v/>
      </c>
      <c r="G100" s="7"/>
      <c r="H100" s="7"/>
      <c r="I100" s="31" t="str">
        <f>IF(H100/(INDEX('Standards for Conversions'!$H$34:$H$73,MATCH(G$3,'Standards for Conversions'!$A$34:$A$73,0)))=0,"",H100/(INDEX('Standards for Conversions'!$H$34:$H$73,MATCH(G$3,'Standards for Conversions'!$A$34:$A$73,0))))</f>
        <v/>
      </c>
      <c r="K100" s="9"/>
      <c r="L100" s="9"/>
      <c r="M100" s="31" t="str">
        <f>IF(L100/(INDEX('Standards for Conversions'!$H$34:$H$73,MATCH(K$3,'Standards for Conversions'!$A$34:$A$73,0)))=0,"",L100/(INDEX('Standards for Conversions'!$H$34:$H$73,MATCH(K$3,'Standards for Conversions'!$A$34:$A$73,0))))</f>
        <v/>
      </c>
      <c r="O100" s="7"/>
      <c r="P100" s="7"/>
      <c r="Q100" s="31" t="str">
        <f>IF(P100/(INDEX('Standards for Conversions'!$H$34:$H$73,MATCH(O$3,'Standards for Conversions'!$A$34:$A$73,0)))=0,"",P100/(INDEX('Standards for Conversions'!$H$34:$H$73,MATCH(O$3,'Standards for Conversions'!$A$34:$A$73,0))))</f>
        <v/>
      </c>
      <c r="S100" s="7"/>
      <c r="T100" s="7"/>
      <c r="U100" s="31" t="str">
        <f>IF(T100/(INDEX('Standards for Conversions'!$H$34:$H$73,MATCH(S$3,'Standards for Conversions'!$A$34:$A$73,0)))=0,"",T100/(INDEX('Standards for Conversions'!$H$34:$H$73,MATCH(S$3,'Standards for Conversions'!$A$34:$A$73,0))))</f>
        <v/>
      </c>
      <c r="W100" s="7"/>
      <c r="X100" s="7"/>
      <c r="Y100" s="31" t="str">
        <f>IF(X100/(INDEX('Standards for Conversions'!$H$34:$H$73,MATCH(W$3,'Standards for Conversions'!$A$34:$A$73,0)))=0,"",X100/(INDEX('Standards for Conversions'!$H$34:$H$73,MATCH(W$3,'Standards for Conversions'!$A$34:$A$73,0))))</f>
        <v/>
      </c>
      <c r="AA100" s="9"/>
      <c r="AB100" s="9"/>
      <c r="AC100" s="31" t="str">
        <f>IF(AB100/(INDEX('Standards for Conversions'!$H$34:$H$73,MATCH(AA$3,'Standards for Conversions'!$A$34:$A$73,0)))=0,"",AB100/(INDEX('Standards for Conversions'!$H$34:$H$73,MATCH(AA$3,'Standards for Conversions'!$A$34:$A$73,0))))</f>
        <v/>
      </c>
      <c r="AE100" s="7"/>
      <c r="AF100" s="7"/>
      <c r="AG100" s="31" t="str">
        <f>IF(AF100/(INDEX('Standards for Conversions'!$H$34:$H$73,MATCH(AE$3,'Standards for Conversions'!$A$34:$A$73,0)))=0,"",AF100/(INDEX('Standards for Conversions'!$H$34:$H$73,MATCH(AE$3,'Standards for Conversions'!$A$34:$A$73,0))))</f>
        <v/>
      </c>
      <c r="AI100" s="7"/>
      <c r="AJ100" s="7"/>
      <c r="AK100" s="31" t="str">
        <f>IF(AJ100/(INDEX('Standards for Conversions'!$H$34:$H$73,MATCH(AI$3,'Standards for Conversions'!$A$34:$A$73,0)))=0,"",AJ100/(INDEX('Standards for Conversions'!$H$34:$H$73,MATCH(AI$3,'Standards for Conversions'!$A$34:$A$73,0))))</f>
        <v/>
      </c>
      <c r="AM100" s="7"/>
      <c r="AN100" s="7"/>
      <c r="AO100" s="31" t="str">
        <f>IF(AN100/(INDEX('Standards for Conversions'!$H$34:$H$73,MATCH(AM$3,'Standards for Conversions'!$A$34:$A$73,0)))=0,"",AN100/(INDEX('Standards for Conversions'!$H$34:$H$73,MATCH(AM$3,'Standards for Conversions'!$A$34:$A$73,0))))</f>
        <v/>
      </c>
      <c r="AQ100" s="9"/>
      <c r="AR100" s="9"/>
      <c r="AS100" s="31" t="str">
        <f>IF(AR100/(INDEX('Standards for Conversions'!$H$34:$H$73,MATCH(AQ$3,'Standards for Conversions'!$A$34:$A$73,0)))=0,"",AR100/(INDEX('Standards for Conversions'!$H$34:$H$73,MATCH(AQ$3,'Standards for Conversions'!$A$34:$A$73,0))))</f>
        <v/>
      </c>
      <c r="AU100" s="7"/>
      <c r="AV100" s="7"/>
      <c r="AW100" s="31" t="str">
        <f>IF(AV100/(INDEX('Standards for Conversions'!$H$34:$H$73,MATCH(AU$3,'Standards for Conversions'!$A$34:$A$73,0)))=0,"",AV100/(INDEX('Standards for Conversions'!$H$34:$H$73,MATCH(AU$3,'Standards for Conversions'!$A$34:$A$73,0))))</f>
        <v/>
      </c>
      <c r="AY100" s="7"/>
      <c r="AZ100" s="7"/>
      <c r="BA100" s="31" t="str">
        <f>IF(AZ100/(INDEX('Standards for Conversions'!$H$34:$H$73,MATCH(AY$3,'Standards for Conversions'!$A$34:$A$73,0)))=0,"",AZ100/(INDEX('Standards for Conversions'!$H$34:$H$73,MATCH(AY$3,'Standards for Conversions'!$A$34:$A$73,0))))</f>
        <v/>
      </c>
      <c r="BC100" s="7"/>
      <c r="BD100" s="7"/>
      <c r="BE100" s="31" t="str">
        <f>IF(BD100/(INDEX('Standards for Conversions'!$H$34:$H$73,MATCH(BC$3,'Standards for Conversions'!$A$34:$A$73,0)))=0,"",BD100/(INDEX('Standards for Conversions'!$H$34:$H$73,MATCH(BC$3,'Standards for Conversions'!$A$34:$A$73,0))))</f>
        <v/>
      </c>
      <c r="BG100" s="9"/>
      <c r="BH100" s="9"/>
      <c r="BI100" s="31" t="str">
        <f>IF(BH100/(INDEX('Standards for Conversions'!$H$34:$H$73,MATCH(BG$3,'Standards for Conversions'!$A$34:$A$73,0)))=0,"",BH100/(INDEX('Standards for Conversions'!$H$34:$H$73,MATCH(BG$3,'Standards for Conversions'!$A$34:$A$73,0))))</f>
        <v/>
      </c>
      <c r="BK100" s="7"/>
      <c r="BL100" s="7"/>
      <c r="BM100" s="31" t="str">
        <f>IF(BL100/(INDEX('Standards for Conversions'!$H$34:$H$73,MATCH(BK$3,'Standards for Conversions'!$A$34:$A$73,0)))=0,"",BL100/(INDEX('Standards for Conversions'!$H$34:$H$73,MATCH(BK$3,'Standards for Conversions'!$A$34:$A$73,0))))</f>
        <v/>
      </c>
      <c r="BO100" s="7"/>
      <c r="BP100" s="7"/>
      <c r="BQ100" s="31" t="str">
        <f>IF(BP100/(INDEX('Standards for Conversions'!$H$34:$H$73,MATCH(BO$3,'Standards for Conversions'!$A$34:$A$73,0)))=0,"",BP100/(INDEX('Standards for Conversions'!$H$34:$H$73,MATCH(BO$3,'Standards for Conversions'!$A$34:$A$73,0))))</f>
        <v/>
      </c>
      <c r="BS100" s="7"/>
      <c r="BT100" s="7"/>
      <c r="BU100" s="31" t="str">
        <f>IF(BT100/(INDEX('Standards for Conversions'!$H$34:$H$73,MATCH(BS$3,'Standards for Conversions'!$A$34:$A$73,0)))=0,"",BT100/(INDEX('Standards for Conversions'!$H$34:$H$73,MATCH(BS$3,'Standards for Conversions'!$A$34:$A$73,0))))</f>
        <v/>
      </c>
      <c r="BW100" s="9"/>
      <c r="BX100" s="9"/>
      <c r="BY100" s="31" t="str">
        <f>IF(BX100/(INDEX('Standards for Conversions'!$H$34:$H$73,MATCH(BW$3,'Standards for Conversions'!$A$34:$A$73,0)))=0,"",BX100/(INDEX('Standards for Conversions'!$H$34:$H$73,MATCH(BW$3,'Standards for Conversions'!$A$34:$A$73,0))))</f>
        <v/>
      </c>
      <c r="CA100" s="7"/>
      <c r="CB100" s="7"/>
      <c r="CC100" s="31" t="str">
        <f>IF(CB100/(INDEX('Standards for Conversions'!$H$34:$H$73,MATCH(CA$3,'Standards for Conversions'!$A$34:$A$73,0)))=0,"",CB100/(INDEX('Standards for Conversions'!$H$34:$H$73,MATCH(CA$3,'Standards for Conversions'!$A$34:$A$73,0))))</f>
        <v/>
      </c>
      <c r="CE100" s="7"/>
      <c r="CF100" s="7"/>
      <c r="CG100" s="31" t="str">
        <f>IF(CF100/(INDEX('Standards for Conversions'!$H$34:$H$73,MATCH(CE$3,'Standards for Conversions'!$A$34:$A$73,0)))=0,"",CF100/(INDEX('Standards for Conversions'!$H$34:$H$73,MATCH(CE$3,'Standards for Conversions'!$A$34:$A$73,0))))</f>
        <v/>
      </c>
      <c r="CI100" s="7"/>
      <c r="CJ100" s="7"/>
      <c r="CK100" s="31" t="str">
        <f>IF(CJ100/(INDEX('Standards for Conversions'!$H$34:$H$73,MATCH(CI$3,'Standards for Conversions'!$A$34:$A$73,0)))=0,"",CJ100/(INDEX('Standards for Conversions'!$H$34:$H$73,MATCH(CI$3,'Standards for Conversions'!$A$34:$A$73,0))))</f>
        <v/>
      </c>
      <c r="CM100" s="9"/>
      <c r="CN100" s="9"/>
      <c r="CO100" s="31" t="str">
        <f>IF(CN100/(INDEX('Standards for Conversions'!$H$34:$H$73,MATCH(CM$3,'Standards for Conversions'!$A$34:$A$73,0)))=0,"",CN100/(INDEX('Standards for Conversions'!$H$34:$H$73,MATCH(CM$3,'Standards for Conversions'!$A$34:$A$73,0))))</f>
        <v/>
      </c>
      <c r="CQ100" s="7"/>
      <c r="CR100" s="7"/>
      <c r="CS100" s="31" t="str">
        <f>IF(CR100/(INDEX('Standards for Conversions'!$H$34:$H$73,MATCH(CQ$3,'Standards for Conversions'!$A$34:$A$73,0)))=0,"",CR100/(INDEX('Standards for Conversions'!$H$34:$H$73,MATCH(CQ$3,'Standards for Conversions'!$A$34:$A$73,0))))</f>
        <v/>
      </c>
      <c r="CU100" s="7"/>
      <c r="CV100" s="7"/>
      <c r="CW100" s="31" t="str">
        <f>IF(CV100/(INDEX('Standards for Conversions'!$H$34:$H$73,MATCH(CU$3,'Standards for Conversions'!$A$34:$A$73,0)))=0,"",CV100/(INDEX('Standards for Conversions'!$H$34:$H$73,MATCH(CU$3,'Standards for Conversions'!$A$34:$A$73,0))))</f>
        <v/>
      </c>
      <c r="CY100" s="7"/>
      <c r="CZ100" s="7"/>
      <c r="DA100" s="31" t="str">
        <f>IF(CZ100/(INDEX('Standards for Conversions'!$H$34:$H$73,MATCH(CY$3,'Standards for Conversions'!$A$34:$A$73,0)))=0,"",CZ100/(INDEX('Standards for Conversions'!$H$34:$H$73,MATCH(CY$3,'Standards for Conversions'!$A$34:$A$73,0))))</f>
        <v/>
      </c>
      <c r="DC100" s="9"/>
      <c r="DD100" s="9"/>
      <c r="DE100" s="31" t="str">
        <f>IF(DD100/(INDEX('Standards for Conversions'!$H$34:$H$73,MATCH(DC$3,'Standards for Conversions'!$A$34:$A$73,0)))=0,"",DD100/(INDEX('Standards for Conversions'!$H$34:$H$73,MATCH(DC$3,'Standards for Conversions'!$A$34:$A$73,0))))</f>
        <v/>
      </c>
      <c r="DG100" s="7"/>
      <c r="DH100" s="7"/>
      <c r="DI100" s="31" t="str">
        <f>IF(DH100/(INDEX('Standards for Conversions'!$H$34:$H$73,MATCH(DG$3,'Standards for Conversions'!$A$34:$A$73,0)))=0,"",DH100/(INDEX('Standards for Conversions'!$H$34:$H$73,MATCH(DG$3,'Standards for Conversions'!$A$34:$A$73,0))))</f>
        <v/>
      </c>
      <c r="DK100" s="7"/>
      <c r="DL100" s="7"/>
      <c r="DM100" s="31" t="str">
        <f>IF(DL100/(INDEX('Standards for Conversions'!$H$34:$H$73,MATCH(DK$3,'Standards for Conversions'!$A$34:$A$73,0)))=0,"",DL100/(INDEX('Standards for Conversions'!$H$34:$H$73,MATCH(DK$3,'Standards for Conversions'!$A$34:$A$73,0))))</f>
        <v/>
      </c>
      <c r="DO100" s="7"/>
      <c r="DP100" s="7"/>
      <c r="DQ100" s="31" t="str">
        <f>IF(DP100/(INDEX('Standards for Conversions'!$H$34:$H$73,MATCH(DO$3,'Standards for Conversions'!$A$34:$A$73,0)))=0,"",DP100/(INDEX('Standards for Conversions'!$H$34:$H$73,MATCH(DO$3,'Standards for Conversions'!$A$34:$A$73,0))))</f>
        <v/>
      </c>
      <c r="DS100" s="9"/>
      <c r="DT100" s="9"/>
      <c r="DU100" s="31" t="str">
        <f>IF(DT100/(INDEX('Standards for Conversions'!$H$34:$H$73,MATCH(DS$3,'Standards for Conversions'!$A$34:$A$73,0)))=0,"",DT100/(INDEX('Standards for Conversions'!$H$34:$H$73,MATCH(DS$3,'Standards for Conversions'!$A$34:$A$73,0))))</f>
        <v/>
      </c>
      <c r="DW100" s="7"/>
      <c r="DX100" s="7"/>
      <c r="DY100" s="31" t="str">
        <f>IF(DX100/(INDEX('Standards for Conversions'!$H$34:$H$73,MATCH(DW$3,'Standards for Conversions'!$A$34:$A$73,0)))=0,"",DX100/(INDEX('Standards for Conversions'!$H$34:$H$73,MATCH(DW$3,'Standards for Conversions'!$A$34:$A$73,0))))</f>
        <v/>
      </c>
      <c r="EA100" s="7"/>
      <c r="EB100" s="7"/>
      <c r="EC100" s="31" t="str">
        <f>IF(EB100/(INDEX('Standards for Conversions'!$H$34:$H$73,MATCH(EA$3,'Standards for Conversions'!$A$34:$A$73,0)))=0,"",EB100/(INDEX('Standards for Conversions'!$H$34:$H$73,MATCH(EA$3,'Standards for Conversions'!$A$34:$A$73,0))))</f>
        <v/>
      </c>
      <c r="EE100" s="7"/>
      <c r="EF100" s="7"/>
      <c r="EG100" s="31" t="str">
        <f>IF(EF100/(INDEX('Standards for Conversions'!$H$34:$H$73,MATCH(EE$3,'Standards for Conversions'!$A$34:$A$73,0)))=0,"",EF100/(INDEX('Standards for Conversions'!$H$34:$H$73,MATCH(EE$3,'Standards for Conversions'!$A$34:$A$73,0))))</f>
        <v/>
      </c>
      <c r="EI100" s="9"/>
      <c r="EJ100" s="9"/>
      <c r="EK100" s="31" t="str">
        <f>IF(EJ100/(INDEX('Standards for Conversions'!$H$34:$H$73,MATCH(EI$3,'Standards for Conversions'!$A$34:$A$73,0)))=0,"",EJ100/(INDEX('Standards for Conversions'!$H$34:$H$73,MATCH(EI$3,'Standards for Conversions'!$A$34:$A$73,0))))</f>
        <v/>
      </c>
      <c r="EM100" s="7"/>
      <c r="EN100" s="7"/>
      <c r="EO100" s="31" t="str">
        <f>IF(EN100/(INDEX('Standards for Conversions'!$H$34:$H$73,MATCH(EM$3,'Standards for Conversions'!$A$34:$A$73,0)))=0,"",EN100/(INDEX('Standards for Conversions'!$H$34:$H$73,MATCH(EM$3,'Standards for Conversions'!$A$34:$A$73,0))))</f>
        <v/>
      </c>
      <c r="EQ100" s="7"/>
      <c r="ER100" s="7"/>
      <c r="ES100" s="31" t="str">
        <f>IF(ER100/(INDEX('Standards for Conversions'!$H$34:$H$73,MATCH(EQ$3,'Standards for Conversions'!$A$34:$A$73,0)))=0,"",ER100/(INDEX('Standards for Conversions'!$H$34:$H$73,MATCH(EQ$3,'Standards for Conversions'!$A$34:$A$73,0))))</f>
        <v/>
      </c>
      <c r="EU100" s="7"/>
      <c r="EV100" s="7"/>
      <c r="EW100" s="31" t="str">
        <f>IF(EV100/(INDEX('Standards for Conversions'!$H$34:$H$73,MATCH(EU$3,'Standards for Conversions'!$A$34:$A$73,0)))=0,"",EV100/(INDEX('Standards for Conversions'!$H$34:$H$73,MATCH(EU$3,'Standards for Conversions'!$A$34:$A$73,0))))</f>
        <v/>
      </c>
      <c r="EY100" s="9"/>
      <c r="EZ100" s="9"/>
      <c r="FA100" s="31" t="str">
        <f>IF(EZ100/(INDEX('Standards for Conversions'!$H$34:$H$73,MATCH(EY$3,'Standards for Conversions'!$A$34:$A$73,0)))=0,"",EZ100/(INDEX('Standards for Conversions'!$H$34:$H$73,MATCH(EY$3,'Standards for Conversions'!$A$34:$A$73,0))))</f>
        <v/>
      </c>
      <c r="FC100" s="7"/>
      <c r="FD100" s="7"/>
      <c r="FE100" s="31" t="str">
        <f>IF(FD100/(INDEX('Standards for Conversions'!$H$34:$H$73,MATCH(FC$3,'Standards for Conversions'!$A$34:$A$73,0)))=0,"",FD100/(INDEX('Standards for Conversions'!$H$34:$H$73,MATCH(FC$3,'Standards for Conversions'!$A$34:$A$73,0))))</f>
        <v/>
      </c>
      <c r="FG100" s="7"/>
      <c r="FH100" s="7"/>
      <c r="FI100" s="31" t="str">
        <f>IF(FH100/(INDEX('Standards for Conversions'!$H$34:$H$73,MATCH(FG$3,'Standards for Conversions'!$A$34:$A$73,0)))=0,"",FH100/(INDEX('Standards for Conversions'!$H$34:$H$73,MATCH(FG$3,'Standards for Conversions'!$A$34:$A$73,0))))</f>
        <v/>
      </c>
      <c r="FK100" s="7"/>
      <c r="FL100" s="7"/>
      <c r="FM100" s="31" t="str">
        <f>IF(FL100/(INDEX('Standards for Conversions'!$H$34:$H$73,MATCH(FK$3,'Standards for Conversions'!$A$34:$A$73,0)))=0,"",FL100/(INDEX('Standards for Conversions'!$H$34:$H$73,MATCH(FK$3,'Standards for Conversions'!$A$34:$A$73,0))))</f>
        <v/>
      </c>
      <c r="FO100" s="9"/>
      <c r="FP100" s="9"/>
      <c r="FQ100" s="31" t="str">
        <f>IF(FP100/(INDEX('Standards for Conversions'!$H$34:$H$73,MATCH(FO$3,'Standards for Conversions'!$A$34:$A$73,0)))=0,"",FP100/(INDEX('Standards for Conversions'!$H$34:$H$73,MATCH(FO$3,'Standards for Conversions'!$A$34:$A$73,0))))</f>
        <v/>
      </c>
      <c r="FS100" s="7"/>
      <c r="FT100" s="7"/>
      <c r="FU100" s="31" t="str">
        <f>IF(FT100/(INDEX('Standards for Conversions'!$H$34:$H$73,MATCH(FS$3,'Standards for Conversions'!$A$34:$A$73,0)))=0,"",FT100/(INDEX('Standards for Conversions'!$H$34:$H$73,MATCH(FS$3,'Standards for Conversions'!$A$34:$A$73,0))))</f>
        <v/>
      </c>
      <c r="FW100" s="7"/>
      <c r="FX100" s="7"/>
      <c r="FY100" s="31" t="str">
        <f>IF(FX100/(INDEX('Standards for Conversions'!$H$34:$H$73,MATCH(FW$3,'Standards for Conversions'!$A$34:$A$73,0)))=0,"",FX100/(INDEX('Standards for Conversions'!$H$34:$H$73,MATCH(FW$3,'Standards for Conversions'!$A$34:$A$73,0))))</f>
        <v/>
      </c>
      <c r="GA100" s="7"/>
      <c r="GB100" s="7"/>
      <c r="GC100" s="31" t="str">
        <f>IF(GB100/(INDEX('Standards for Conversions'!$H$34:$H$73,MATCH(GA$3,'Standards for Conversions'!$A$34:$A$73,0)))=0,"",GB100/(INDEX('Standards for Conversions'!$H$34:$H$73,MATCH(GA$3,'Standards for Conversions'!$A$34:$A$73,0))))</f>
        <v/>
      </c>
      <c r="GE100" s="9"/>
      <c r="GF100" s="9"/>
      <c r="GG100" s="31" t="str">
        <f>IF(GF100/(INDEX('Standards for Conversions'!$H$34:$H$73,MATCH(GE$3,'Standards for Conversions'!$A$34:$A$73,0)))=0,"",GF100/(INDEX('Standards for Conversions'!$H$34:$H$73,MATCH(GE$3,'Standards for Conversions'!$A$34:$A$73,0))))</f>
        <v/>
      </c>
      <c r="GI100" s="7"/>
      <c r="GJ100" s="7"/>
      <c r="GK100" s="31" t="str">
        <f>IF(GJ100/(INDEX('Standards for Conversions'!$H$34:$H$73,MATCH(GI$3,'Standards for Conversions'!$A$34:$A$73,0)))=0,"",GJ100/(INDEX('Standards for Conversions'!$H$34:$H$73,MATCH(GI$3,'Standards for Conversions'!$A$34:$A$73,0))))</f>
        <v/>
      </c>
      <c r="GM100" s="7"/>
      <c r="GN100" s="7"/>
      <c r="GO100" s="31" t="str">
        <f>IF(GN100/(INDEX('Standards for Conversions'!$H$34:$H$73,MATCH(GM$3,'Standards for Conversions'!$A$34:$A$73,0)))=0,"",GN100/(INDEX('Standards for Conversions'!$H$34:$H$73,MATCH(GM$3,'Standards for Conversions'!$A$34:$A$73,0))))</f>
        <v/>
      </c>
      <c r="GQ100" s="7"/>
      <c r="GR100" s="7"/>
      <c r="GS100" s="31" t="str">
        <f>IF(GR100/(INDEX('Standards for Conversions'!$H$34:$H$73,MATCH(GQ$3,'Standards for Conversions'!$A$34:$A$73,0)))=0,"",GR100/(INDEX('Standards for Conversions'!$H$34:$H$73,MATCH(GQ$3,'Standards for Conversions'!$A$34:$A$73,0))))</f>
        <v/>
      </c>
      <c r="GU100" s="9"/>
      <c r="GV100" s="9"/>
      <c r="GW100" s="31" t="str">
        <f>IF(GV100/(INDEX('Standards for Conversions'!$H$34:$H$73,MATCH(GU$3,'Standards for Conversions'!$A$34:$A$73,0)))=0,"",GV100/(INDEX('Standards for Conversions'!$H$34:$H$73,MATCH(GU$3,'Standards for Conversions'!$A$34:$A$73,0))))</f>
        <v/>
      </c>
      <c r="GY100" s="7"/>
      <c r="GZ100" s="7"/>
      <c r="HA100" s="31" t="str">
        <f>IF(GZ100/(INDEX('Standards for Conversions'!$H$34:$H$73,MATCH(GY$3,'Standards for Conversions'!$A$34:$A$73,0)))=0,"",GZ100/(INDEX('Standards for Conversions'!$H$34:$H$73,MATCH(GY$3,'Standards for Conversions'!$A$34:$A$73,0))))</f>
        <v/>
      </c>
      <c r="HC100" s="7"/>
      <c r="HD100" s="7"/>
      <c r="HE100" s="31" t="str">
        <f>IF(HD100/(INDEX('Standards for Conversions'!$H$34:$H$73,MATCH(HC$3,'Standards for Conversions'!$A$34:$A$73,0)))=0,"",HD100/(INDEX('Standards for Conversions'!$H$34:$H$73,MATCH(HC$3,'Standards for Conversions'!$A$34:$A$73,0))))</f>
        <v/>
      </c>
      <c r="HG100" s="7"/>
      <c r="HH100" s="7"/>
      <c r="HI100" s="31" t="str">
        <f>IF(HH100/(INDEX('Standards for Conversions'!$H$34:$H$73,MATCH(HG$3,'Standards for Conversions'!$A$34:$A$73,0)))=0,"",HH100/(INDEX('Standards for Conversions'!$H$34:$H$73,MATCH(HG$3,'Standards for Conversions'!$A$34:$A$73,0))))</f>
        <v/>
      </c>
      <c r="HK100" s="9"/>
      <c r="HL100" s="9"/>
      <c r="HM100" s="31" t="str">
        <f>IF(HL100/(INDEX('Standards for Conversions'!$H$34:$H$73,MATCH(HK$3,'Standards for Conversions'!$A$34:$A$73,0)))=0,"",HL100/(INDEX('Standards for Conversions'!$H$34:$H$73,MATCH(HK$3,'Standards for Conversions'!$A$34:$A$73,0))))</f>
        <v/>
      </c>
      <c r="HO100" s="7"/>
      <c r="HP100" s="7"/>
      <c r="HQ100" s="31" t="str">
        <f>IF(HP100/(INDEX('Standards for Conversions'!$H$34:$H$73,MATCH(HO$3,'Standards for Conversions'!$A$34:$A$73,0)))=0,"",HP100/(INDEX('Standards for Conversions'!$H$34:$H$73,MATCH(HO$3,'Standards for Conversions'!$A$34:$A$73,0))))</f>
        <v/>
      </c>
      <c r="HU100" s="31" t="str">
        <f>IF(HT100/(INDEX('Standards for Conversions'!$H$47:$H$73,MATCH(HS$3,'Standards for Conversions'!$A$47:$A$73,0)))=0,"",HT100/(INDEX('Standards for Conversions'!$H$47:$H$73,MATCH(HS$3,'Standards for Conversions'!$A$47:$A$73,0))))</f>
        <v/>
      </c>
      <c r="HY100" s="31" t="str">
        <f>IF(HX100/(INDEX('Standards for Conversions'!$H$47:$H$73,MATCH(HW$3,'Standards for Conversions'!$A$47:$A$73,0)))=0,"",HX100/(INDEX('Standards for Conversions'!$H$47:$H$73,MATCH(HW$3,'Standards for Conversions'!$A$47:$A$73,0))))</f>
        <v/>
      </c>
      <c r="HZ100" s="33"/>
      <c r="IA100" s="33"/>
      <c r="IB100" s="31" t="str">
        <f>IF(IA100/(INDEX('Standards for Conversions'!$H$47:$H$73,MATCH(HZ$3,'Standards for Conversions'!$A$47:$A$73,0)))=0,"",IA100/(INDEX('Standards for Conversions'!$H$47:$H$73,MATCH(HZ$3,'Standards for Conversions'!$A$47:$A$73,0))))</f>
        <v/>
      </c>
      <c r="IF100" s="31" t="str">
        <f>IF(IE100/(INDEX('Standards for Conversions'!$H$47:$H$73,MATCH(ID$3,'Standards for Conversions'!$A$47:$A$73,0)))=0,"",IE100/(INDEX('Standards for Conversions'!$H$47:$H$73,MATCH(ID$3,'Standards for Conversions'!$A$47:$A$73,0))))</f>
        <v/>
      </c>
      <c r="IJ100" s="31" t="str">
        <f>IF(II100/(INDEX('Standards for Conversions'!$H$47:$H$73,MATCH(IH$3,'Standards for Conversions'!$A$47:$A$73,0)))=0,"",II100/(INDEX('Standards for Conversions'!$H$47:$H$73,MATCH(IH$3,'Standards for Conversions'!$A$47:$A$73,0))))</f>
        <v/>
      </c>
      <c r="IN100" s="31" t="str">
        <f>IF(IM100/(INDEX('Standards for Conversions'!$H$47:$H$73,MATCH(IL$3,'Standards for Conversions'!$A$47:$A$73,0)))=0,"",IM100/(INDEX('Standards for Conversions'!$H$47:$H$73,MATCH(IL$3,'Standards for Conversions'!$A$47:$A$73,0))))</f>
        <v/>
      </c>
      <c r="IR100" s="31" t="str">
        <f>IF(IQ100/(INDEX('Standards for Conversions'!$H$47:$H$73,MATCH(IP$3,'Standards for Conversions'!$A$47:$A$73,0)))=0,"",IQ100/(INDEX('Standards for Conversions'!$H$47:$H$73,MATCH(IP$3,'Standards for Conversions'!$A$47:$A$73,0))))</f>
        <v/>
      </c>
      <c r="IV100" s="31" t="str">
        <f>IF(IU100/(INDEX('Standards for Conversions'!$H$47:$H$73,MATCH(IT$3,'Standards for Conversions'!$A$47:$A$73,0)))=0,"",IU100/(INDEX('Standards for Conversions'!$H$47:$H$73,MATCH(IT$3,'Standards for Conversions'!$A$47:$A$73,0))))</f>
        <v/>
      </c>
      <c r="IZ100" s="31" t="str">
        <f>IF(IY100/(INDEX('Standards for Conversions'!$H$47:$H$73,MATCH(IX$3,'Standards for Conversions'!$A$47:$A$73,0)))=0,"",IY100/(INDEX('Standards for Conversions'!$H$47:$H$73,MATCH(IX$3,'Standards for Conversions'!$A$47:$A$73,0))))</f>
        <v/>
      </c>
      <c r="JA100" s="33"/>
      <c r="JD100" s="31" t="str">
        <f>IF(JC100/(INDEX('Standards for Conversions'!$H$47:$H$73,MATCH(JB$3,'Standards for Conversions'!$A$47:$A$73,0)))=0,"",JC100/(INDEX('Standards for Conversions'!$H$47:$H$73,MATCH(JB$3,'Standards for Conversions'!$A$47:$A$73,0))))</f>
        <v/>
      </c>
      <c r="JE100" s="33"/>
      <c r="JH100" s="31" t="str">
        <f>IF(JG100/(INDEX('Standards for Conversions'!$H$47:$H$73,MATCH(JF$3,'Standards for Conversions'!$A$47:$A$73,0)))=0,"",JG100/(INDEX('Standards for Conversions'!$H$47:$H$73,MATCH(JF$3,'Standards for Conversions'!$A$47:$A$73,0))))</f>
        <v/>
      </c>
      <c r="JL100" s="31" t="str">
        <f>IF(JK100/(INDEX('Standards for Conversions'!$H$47:$H$73,MATCH(JJ$3,'Standards for Conversions'!$A$47:$A$73,0)))=0,"",JK100/(INDEX('Standards for Conversions'!$H$47:$H$73,MATCH(JJ$3,'Standards for Conversions'!$A$47:$A$73,0))))</f>
        <v/>
      </c>
      <c r="JP100" s="31" t="str">
        <f>IF(JO100/(INDEX('Standards for Conversions'!$H$47:$H$73,MATCH(JN$3,'Standards for Conversions'!$A$47:$A$73,0)))=0,"",JO100/(INDEX('Standards for Conversions'!$H$47:$H$73,MATCH(JN$3,'Standards for Conversions'!$A$47:$A$73,0))))</f>
        <v/>
      </c>
      <c r="JT100" s="31" t="str">
        <f>IF(JS100/(INDEX('Standards for Conversions'!$H$47:$H$73,MATCH(JR$3,'Standards for Conversions'!$A$47:$A$73,0)))=0,"",JS100/(INDEX('Standards for Conversions'!$H$47:$H$73,MATCH(JR$3,'Standards for Conversions'!$A$47:$A$73,0))))</f>
        <v/>
      </c>
      <c r="JX100" s="31" t="str">
        <f>IF(JW100/(INDEX('Standards for Conversions'!$H$47:$H$73,MATCH(JV$3,'Standards for Conversions'!$A$47:$A$73,0)))=0,"",JW100/(INDEX('Standards for Conversions'!$H$47:$H$73,MATCH(JV$3,'Standards for Conversions'!$A$47:$A$73,0))))</f>
        <v/>
      </c>
      <c r="KB100" s="31" t="str">
        <f>IF(KA100/(INDEX('Standards for Conversions'!$H$47:$H$73,MATCH(JZ$3,'Standards for Conversions'!$A$47:$A$73,0)))=0,"",KA100/(INDEX('Standards for Conversions'!$H$47:$H$73,MATCH(JZ$3,'Standards for Conversions'!$A$47:$A$73,0))))</f>
        <v/>
      </c>
      <c r="KF100" s="31" t="str">
        <f>IF(KE100/(INDEX('Standards for Conversions'!$H$47:$H$73,MATCH(KD$3,'Standards for Conversions'!$A$47:$A$73,0)))=0,"",KE100/(INDEX('Standards for Conversions'!$H$47:$H$73,MATCH(KD$3,'Standards for Conversions'!$A$47:$A$73,0))))</f>
        <v/>
      </c>
      <c r="KJ100" s="31" t="str">
        <f>IF(KI100/(INDEX('Standards for Conversions'!$H$47:$H$73,MATCH(KH$3,'Standards for Conversions'!$A$47:$A$73,0)))=0,"",KI100/(INDEX('Standards for Conversions'!$H$47:$H$73,MATCH(KH$3,'Standards for Conversions'!$A$47:$A$73,0))))</f>
        <v/>
      </c>
      <c r="KN100" s="31" t="str">
        <f>IF(KM100/(INDEX('Standards for Conversions'!$H$47:$H$73,MATCH(KL$3,'Standards for Conversions'!$A$47:$A$73,0)))=0,"",KM100/(INDEX('Standards for Conversions'!$H$47:$H$73,MATCH(KL$3,'Standards for Conversions'!$A$47:$A$73,0))))</f>
        <v/>
      </c>
      <c r="KR100" s="31" t="str">
        <f>IF(KQ100/(INDEX('Standards for Conversions'!$H$47:$H$73,MATCH(KP$3,'Standards for Conversions'!$A$47:$A$73,0)))=0,"",KQ100/(INDEX('Standards for Conversions'!$H$47:$H$73,MATCH(KP$3,'Standards for Conversions'!$A$47:$A$73,0))))</f>
        <v/>
      </c>
      <c r="KV100" s="31" t="str">
        <f>IF(KU100/(INDEX('Standards for Conversions'!$H$47:$H$73,MATCH(KT$3,'Standards for Conversions'!$A$47:$A$73,0)))=0,"",KU100/(INDEX('Standards for Conversions'!$H$47:$H$73,MATCH(KT$3,'Standards for Conversions'!$A$47:$A$73,0))))</f>
        <v/>
      </c>
      <c r="KW100" s="33"/>
      <c r="KZ100" s="31" t="str">
        <f>IF(KY100/(INDEX('Standards for Conversions'!$H$47:$H$73,MATCH(KX$3,'Standards for Conversions'!$A$47:$A$73,0)))=0,"",KY100/(INDEX('Standards for Conversions'!$H$47:$H$73,MATCH(KX$3,'Standards for Conversions'!$A$47:$A$73,0))))</f>
        <v/>
      </c>
      <c r="LD100" s="31" t="str">
        <f>IF(LC100/(INDEX('Standards for Conversions'!$H$47:$H$73,MATCH(LB$3,'Standards for Conversions'!$A$47:$A$73,0)))=0,"",LC100/(INDEX('Standards for Conversions'!$H$47:$H$73,MATCH(LB$3,'Standards for Conversions'!$A$47:$A$73,0))))</f>
        <v/>
      </c>
      <c r="LH100" s="31" t="str">
        <f>IF(LG100/(INDEX('Standards for Conversions'!$H$47:$H$73,MATCH(LF$3,'Standards for Conversions'!$A$47:$A$73,0)))=0,"",LG100/(INDEX('Standards for Conversions'!$H$47:$H$73,MATCH(LF$3,'Standards for Conversions'!$A$47:$A$73,0))))</f>
        <v/>
      </c>
      <c r="LL100" s="31" t="str">
        <f>IF(LK100/(INDEX('Standards for Conversions'!$H$47:$H$73,MATCH(LJ$3,'Standards for Conversions'!$A$47:$A$73,0)))=0,"",LK100/(INDEX('Standards for Conversions'!$H$47:$H$73,MATCH(LJ$3,'Standards for Conversions'!$A$47:$A$73,0))))</f>
        <v/>
      </c>
      <c r="LO100" s="31" t="str">
        <f>IF(LN100/(INDEX('Standards for Conversions'!$H$47:$H$73,MATCH(LM$3,'Standards for Conversions'!$A$47:$A$73,0)))=0,"",LN100/(INDEX('Standards for Conversions'!$H$47:$H$73,MATCH(LM$3,'Standards for Conversions'!$A$47:$A$73,0))))</f>
        <v/>
      </c>
      <c r="LR100" s="31" t="str">
        <f>IF(LQ100/(INDEX('Standards for Conversions'!$H$47:$H$73,MATCH(LP$3,'Standards for Conversions'!$A$47:$A$73,0)))=0,"",LQ100/(INDEX('Standards for Conversions'!$H$47:$H$73,MATCH(LP$3,'Standards for Conversions'!$A$47:$A$73,0))))</f>
        <v/>
      </c>
      <c r="LV100" s="31" t="str">
        <f>IF(LU100/(INDEX('Standards for Conversions'!$H$47:$H$73,MATCH(LT$3,'Standards for Conversions'!$A$47:$A$73,0)))=0,"",LU100/(INDEX('Standards for Conversions'!$H$47:$H$73,MATCH(LT$3,'Standards for Conversions'!$A$47:$A$73,0))))</f>
        <v/>
      </c>
      <c r="LY100" s="31" t="str">
        <f>IF(LX100/(INDEX('Standards for Conversions'!$H$47:$H$73,MATCH(LW$3,'Standards for Conversions'!$A$47:$A$73,0)))=0,"",LX100/(INDEX('Standards for Conversions'!$H$47:$H$73,MATCH(LW$3,'Standards for Conversions'!$A$47:$A$73,0))))</f>
        <v/>
      </c>
      <c r="MB100" s="31" t="str">
        <f>IF(MA100/(INDEX('Standards for Conversions'!$H$47:$H$73,MATCH(LZ$3,'Standards for Conversions'!$A$47:$A$73,0)))=0,"",MA100/(INDEX('Standards for Conversions'!$H$47:$H$73,MATCH(LZ$3,'Standards for Conversions'!$A$47:$A$73,0))))</f>
        <v/>
      </c>
      <c r="ME100" s="31" t="str">
        <f>IF(MD100/(INDEX('Standards for Conversions'!$H$47:$H$73,MATCH(MC$3,'Standards for Conversions'!$A$47:$A$73,0)))=0,"",MD100/(INDEX('Standards for Conversions'!$H$47:$H$73,MATCH(MC$3,'Standards for Conversions'!$A$47:$A$73,0))))</f>
        <v/>
      </c>
      <c r="MH100" s="31" t="str">
        <f>IF(MG100/(INDEX('Standards for Conversions'!$H$47:$H$73,MATCH(MF$3,'Standards for Conversions'!$A$47:$A$73,0)))=0,"",MG100/(INDEX('Standards for Conversions'!$H$47:$H$73,MATCH(MF$3,'Standards for Conversions'!$A$47:$A$73,0))))</f>
        <v/>
      </c>
      <c r="MK100" s="31" t="str">
        <f>IF(MJ100/(INDEX('Standards for Conversions'!$H$47:$H$73,MATCH(MI$3,'Standards for Conversions'!$A$47:$A$73,0)))=0,"",MJ100/(INDEX('Standards for Conversions'!$H$47:$H$73,MATCH(MI$3,'Standards for Conversions'!$A$47:$A$73,0))))</f>
        <v/>
      </c>
      <c r="MN100" s="31" t="str">
        <f>IF(MM100/(INDEX('Standards for Conversions'!$H$47:$H$73,MATCH(ML$3,'Standards for Conversions'!$A$47:$A$73,0)))=0,"",MM100/(INDEX('Standards for Conversions'!$H$47:$H$73,MATCH(ML$3,'Standards for Conversions'!$A$47:$A$73,0))))</f>
        <v/>
      </c>
      <c r="MR100" s="31" t="str">
        <f>IF(MQ100/(INDEX('Standards for Conversions'!$H$47:$H$73,MATCH(MP$3,'Standards for Conversions'!$A$47:$A$73,0)))=0,"",MQ100/(INDEX('Standards for Conversions'!$H$47:$H$73,MATCH(MP$3,'Standards for Conversions'!$A$47:$A$73,0))))</f>
        <v/>
      </c>
      <c r="NE100" s="29" t="s">
        <v>98</v>
      </c>
      <c r="NF100" s="29">
        <v>3287</v>
      </c>
      <c r="NG100" s="29">
        <v>1534</v>
      </c>
      <c r="NH100" s="29">
        <v>102</v>
      </c>
      <c r="NI100" s="29">
        <v>42</v>
      </c>
    </row>
    <row r="101" spans="1:373" hidden="1" x14ac:dyDescent="0.3">
      <c r="A101" s="103" t="s">
        <v>267</v>
      </c>
      <c r="B101" s="10" t="s">
        <v>38</v>
      </c>
      <c r="C101" s="7"/>
      <c r="D101" s="7"/>
      <c r="E101" s="31" t="str">
        <f>IF(D101/(INDEX('Standards for Conversions'!$H$34:$H$73,MATCH(C$3,'Standards for Conversions'!$A$34:$A$73,0)))=0,"",D101/(INDEX('Standards for Conversions'!$H$34:$H$73,MATCH(C$3,'Standards for Conversions'!$A$34:$A$73,0))))</f>
        <v/>
      </c>
      <c r="F101" s="10" t="s">
        <v>38</v>
      </c>
      <c r="G101" s="7"/>
      <c r="H101" s="7"/>
      <c r="I101" s="31" t="str">
        <f>IF(H101/(INDEX('Standards for Conversions'!$H$34:$H$73,MATCH(G$3,'Standards for Conversions'!$A$34:$A$73,0)))=0,"",H101/(INDEX('Standards for Conversions'!$H$34:$H$73,MATCH(G$3,'Standards for Conversions'!$A$34:$A$73,0))))</f>
        <v/>
      </c>
      <c r="J101" s="10" t="s">
        <v>38</v>
      </c>
      <c r="K101" s="9"/>
      <c r="L101" s="9"/>
      <c r="M101" s="31" t="str">
        <f>IF(L101/(INDEX('Standards for Conversions'!$H$34:$H$73,MATCH(K$3,'Standards for Conversions'!$A$34:$A$73,0)))=0,"",L101/(INDEX('Standards for Conversions'!$H$34:$H$73,MATCH(K$3,'Standards for Conversions'!$A$34:$A$73,0))))</f>
        <v/>
      </c>
      <c r="N101" s="10" t="s">
        <v>38</v>
      </c>
      <c r="O101" s="7"/>
      <c r="P101" s="7"/>
      <c r="Q101" s="31" t="str">
        <f>IF(P101/(INDEX('Standards for Conversions'!$H$34:$H$73,MATCH(O$3,'Standards for Conversions'!$A$34:$A$73,0)))=0,"",P101/(INDEX('Standards for Conversions'!$H$34:$H$73,MATCH(O$3,'Standards for Conversions'!$A$34:$A$73,0))))</f>
        <v/>
      </c>
      <c r="R101" s="10" t="s">
        <v>38</v>
      </c>
      <c r="S101" s="7"/>
      <c r="T101" s="7"/>
      <c r="U101" s="31" t="str">
        <f>IF(T101/(INDEX('Standards for Conversions'!$H$34:$H$73,MATCH(S$3,'Standards for Conversions'!$A$34:$A$73,0)))=0,"",T101/(INDEX('Standards for Conversions'!$H$34:$H$73,MATCH(S$3,'Standards for Conversions'!$A$34:$A$73,0))))</f>
        <v/>
      </c>
      <c r="V101" s="10" t="s">
        <v>38</v>
      </c>
      <c r="W101" s="7"/>
      <c r="X101" s="7"/>
      <c r="Y101" s="31" t="str">
        <f>IF(X101/(INDEX('Standards for Conversions'!$H$34:$H$73,MATCH(W$3,'Standards for Conversions'!$A$34:$A$73,0)))=0,"",X101/(INDEX('Standards for Conversions'!$H$34:$H$73,MATCH(W$3,'Standards for Conversions'!$A$34:$A$73,0))))</f>
        <v/>
      </c>
      <c r="Z101" s="10" t="s">
        <v>38</v>
      </c>
      <c r="AA101" s="9"/>
      <c r="AB101" s="9"/>
      <c r="AC101" s="31" t="str">
        <f>IF(AB101/(INDEX('Standards for Conversions'!$H$34:$H$73,MATCH(AA$3,'Standards for Conversions'!$A$34:$A$73,0)))=0,"",AB101/(INDEX('Standards for Conversions'!$H$34:$H$73,MATCH(AA$3,'Standards for Conversions'!$A$34:$A$73,0))))</f>
        <v/>
      </c>
      <c r="AD101" s="10" t="s">
        <v>38</v>
      </c>
      <c r="AE101" s="7"/>
      <c r="AF101" s="7"/>
      <c r="AG101" s="31" t="str">
        <f>IF(AF101/(INDEX('Standards for Conversions'!$H$34:$H$73,MATCH(AE$3,'Standards for Conversions'!$A$34:$A$73,0)))=0,"",AF101/(INDEX('Standards for Conversions'!$H$34:$H$73,MATCH(AE$3,'Standards for Conversions'!$A$34:$A$73,0))))</f>
        <v/>
      </c>
      <c r="AH101" s="10" t="s">
        <v>38</v>
      </c>
      <c r="AI101" s="7"/>
      <c r="AJ101" s="7"/>
      <c r="AK101" s="31" t="str">
        <f>IF(AJ101/(INDEX('Standards for Conversions'!$H$34:$H$73,MATCH(AI$3,'Standards for Conversions'!$A$34:$A$73,0)))=0,"",AJ101/(INDEX('Standards for Conversions'!$H$34:$H$73,MATCH(AI$3,'Standards for Conversions'!$A$34:$A$73,0))))</f>
        <v/>
      </c>
      <c r="AL101" s="10" t="s">
        <v>38</v>
      </c>
      <c r="AM101" s="7"/>
      <c r="AN101" s="7"/>
      <c r="AO101" s="31" t="str">
        <f>IF(AN101/(INDEX('Standards for Conversions'!$H$34:$H$73,MATCH(AM$3,'Standards for Conversions'!$A$34:$A$73,0)))=0,"",AN101/(INDEX('Standards for Conversions'!$H$34:$H$73,MATCH(AM$3,'Standards for Conversions'!$A$34:$A$73,0))))</f>
        <v/>
      </c>
      <c r="AP101" s="10" t="s">
        <v>38</v>
      </c>
      <c r="AQ101" s="9"/>
      <c r="AR101" s="9"/>
      <c r="AS101" s="31" t="str">
        <f>IF(AR101/(INDEX('Standards for Conversions'!$H$34:$H$73,MATCH(AQ$3,'Standards for Conversions'!$A$34:$A$73,0)))=0,"",AR101/(INDEX('Standards for Conversions'!$H$34:$H$73,MATCH(AQ$3,'Standards for Conversions'!$A$34:$A$73,0))))</f>
        <v/>
      </c>
      <c r="AT101" s="10" t="s">
        <v>38</v>
      </c>
      <c r="AU101" s="7"/>
      <c r="AV101" s="7"/>
      <c r="AW101" s="31" t="str">
        <f>IF(AV101/(INDEX('Standards for Conversions'!$H$34:$H$73,MATCH(AU$3,'Standards for Conversions'!$A$34:$A$73,0)))=0,"",AV101/(INDEX('Standards for Conversions'!$H$34:$H$73,MATCH(AU$3,'Standards for Conversions'!$A$34:$A$73,0))))</f>
        <v/>
      </c>
      <c r="AX101" s="10" t="s">
        <v>38</v>
      </c>
      <c r="AY101" s="7"/>
      <c r="AZ101" s="7"/>
      <c r="BA101" s="31" t="str">
        <f>IF(AZ101/(INDEX('Standards for Conversions'!$H$34:$H$73,MATCH(AY$3,'Standards for Conversions'!$A$34:$A$73,0)))=0,"",AZ101/(INDEX('Standards for Conversions'!$H$34:$H$73,MATCH(AY$3,'Standards for Conversions'!$A$34:$A$73,0))))</f>
        <v/>
      </c>
      <c r="BB101" s="10" t="s">
        <v>38</v>
      </c>
      <c r="BC101" s="7"/>
      <c r="BD101" s="7"/>
      <c r="BE101" s="31" t="str">
        <f>IF(BD101/(INDEX('Standards for Conversions'!$H$34:$H$73,MATCH(BC$3,'Standards for Conversions'!$A$34:$A$73,0)))=0,"",BD101/(INDEX('Standards for Conversions'!$H$34:$H$73,MATCH(BC$3,'Standards for Conversions'!$A$34:$A$73,0))))</f>
        <v/>
      </c>
      <c r="BF101" s="10" t="s">
        <v>38</v>
      </c>
      <c r="BG101" s="9"/>
      <c r="BH101" s="9"/>
      <c r="BI101" s="31" t="str">
        <f>IF(BH101/(INDEX('Standards for Conversions'!$H$34:$H$73,MATCH(BG$3,'Standards for Conversions'!$A$34:$A$73,0)))=0,"",BH101/(INDEX('Standards for Conversions'!$H$34:$H$73,MATCH(BG$3,'Standards for Conversions'!$A$34:$A$73,0))))</f>
        <v/>
      </c>
      <c r="BJ101" s="10" t="s">
        <v>38</v>
      </c>
      <c r="BK101" s="7"/>
      <c r="BL101" s="7"/>
      <c r="BM101" s="31" t="str">
        <f>IF(BL101/(INDEX('Standards for Conversions'!$H$34:$H$73,MATCH(BK$3,'Standards for Conversions'!$A$34:$A$73,0)))=0,"",BL101/(INDEX('Standards for Conversions'!$H$34:$H$73,MATCH(BK$3,'Standards for Conversions'!$A$34:$A$73,0))))</f>
        <v/>
      </c>
      <c r="BN101" s="10" t="s">
        <v>38</v>
      </c>
      <c r="BO101" s="7"/>
      <c r="BP101" s="7"/>
      <c r="BQ101" s="31" t="str">
        <f>IF(BP101/(INDEX('Standards for Conversions'!$H$34:$H$73,MATCH(BO$3,'Standards for Conversions'!$A$34:$A$73,0)))=0,"",BP101/(INDEX('Standards for Conversions'!$H$34:$H$73,MATCH(BO$3,'Standards for Conversions'!$A$34:$A$73,0))))</f>
        <v/>
      </c>
      <c r="BR101" s="10" t="s">
        <v>38</v>
      </c>
      <c r="BS101" s="7"/>
      <c r="BT101" s="7"/>
      <c r="BU101" s="31" t="str">
        <f>IF(BT101/(INDEX('Standards for Conversions'!$H$34:$H$73,MATCH(BS$3,'Standards for Conversions'!$A$34:$A$73,0)))=0,"",BT101/(INDEX('Standards for Conversions'!$H$34:$H$73,MATCH(BS$3,'Standards for Conversions'!$A$34:$A$73,0))))</f>
        <v/>
      </c>
      <c r="BV101" s="10" t="s">
        <v>38</v>
      </c>
      <c r="BW101" s="9"/>
      <c r="BX101" s="9"/>
      <c r="BY101" s="31" t="str">
        <f>IF(BX101/(INDEX('Standards for Conversions'!$H$34:$H$73,MATCH(BW$3,'Standards for Conversions'!$A$34:$A$73,0)))=0,"",BX101/(INDEX('Standards for Conversions'!$H$34:$H$73,MATCH(BW$3,'Standards for Conversions'!$A$34:$A$73,0))))</f>
        <v/>
      </c>
      <c r="BZ101" s="10" t="s">
        <v>38</v>
      </c>
      <c r="CA101" s="7"/>
      <c r="CB101" s="7"/>
      <c r="CC101" s="31" t="str">
        <f>IF(CB101/(INDEX('Standards for Conversions'!$H$34:$H$73,MATCH(CA$3,'Standards for Conversions'!$A$34:$A$73,0)))=0,"",CB101/(INDEX('Standards for Conversions'!$H$34:$H$73,MATCH(CA$3,'Standards for Conversions'!$A$34:$A$73,0))))</f>
        <v/>
      </c>
      <c r="CD101" s="10" t="s">
        <v>38</v>
      </c>
      <c r="CE101" s="7"/>
      <c r="CF101" s="7"/>
      <c r="CG101" s="31" t="str">
        <f>IF(CF101/(INDEX('Standards for Conversions'!$H$34:$H$73,MATCH(CE$3,'Standards for Conversions'!$A$34:$A$73,0)))=0,"",CF101/(INDEX('Standards for Conversions'!$H$34:$H$73,MATCH(CE$3,'Standards for Conversions'!$A$34:$A$73,0))))</f>
        <v/>
      </c>
      <c r="CH101" s="10" t="s">
        <v>38</v>
      </c>
      <c r="CI101" s="7"/>
      <c r="CJ101" s="7"/>
      <c r="CK101" s="31" t="str">
        <f>IF(CJ101/(INDEX('Standards for Conversions'!$H$34:$H$73,MATCH(CI$3,'Standards for Conversions'!$A$34:$A$73,0)))=0,"",CJ101/(INDEX('Standards for Conversions'!$H$34:$H$73,MATCH(CI$3,'Standards for Conversions'!$A$34:$A$73,0))))</f>
        <v/>
      </c>
      <c r="CL101" s="10" t="s">
        <v>38</v>
      </c>
      <c r="CM101" s="9"/>
      <c r="CN101" s="9"/>
      <c r="CO101" s="31" t="str">
        <f>IF(CN101/(INDEX('Standards for Conversions'!$H$34:$H$73,MATCH(CM$3,'Standards for Conversions'!$A$34:$A$73,0)))=0,"",CN101/(INDEX('Standards for Conversions'!$H$34:$H$73,MATCH(CM$3,'Standards for Conversions'!$A$34:$A$73,0))))</f>
        <v/>
      </c>
      <c r="CP101" s="10" t="s">
        <v>38</v>
      </c>
      <c r="CQ101" s="7"/>
      <c r="CR101" s="7"/>
      <c r="CS101" s="31" t="str">
        <f>IF(CR101/(INDEX('Standards for Conversions'!$H$34:$H$73,MATCH(CQ$3,'Standards for Conversions'!$A$34:$A$73,0)))=0,"",CR101/(INDEX('Standards for Conversions'!$H$34:$H$73,MATCH(CQ$3,'Standards for Conversions'!$A$34:$A$73,0))))</f>
        <v/>
      </c>
      <c r="CT101" s="10" t="s">
        <v>38</v>
      </c>
      <c r="CU101" s="7"/>
      <c r="CV101" s="7"/>
      <c r="CW101" s="31" t="str">
        <f>IF(CV101/(INDEX('Standards for Conversions'!$H$34:$H$73,MATCH(CU$3,'Standards for Conversions'!$A$34:$A$73,0)))=0,"",CV101/(INDEX('Standards for Conversions'!$H$34:$H$73,MATCH(CU$3,'Standards for Conversions'!$A$34:$A$73,0))))</f>
        <v/>
      </c>
      <c r="CX101" s="10" t="s">
        <v>38</v>
      </c>
      <c r="CY101" s="7"/>
      <c r="CZ101" s="7"/>
      <c r="DA101" s="31" t="str">
        <f>IF(CZ101/(INDEX('Standards for Conversions'!$H$34:$H$73,MATCH(CY$3,'Standards for Conversions'!$A$34:$A$73,0)))=0,"",CZ101/(INDEX('Standards for Conversions'!$H$34:$H$73,MATCH(CY$3,'Standards for Conversions'!$A$34:$A$73,0))))</f>
        <v/>
      </c>
      <c r="DB101" s="10" t="s">
        <v>38</v>
      </c>
      <c r="DC101" s="9"/>
      <c r="DD101" s="9"/>
      <c r="DE101" s="31" t="str">
        <f>IF(DD101/(INDEX('Standards for Conversions'!$H$34:$H$73,MATCH(DC$3,'Standards for Conversions'!$A$34:$A$73,0)))=0,"",DD101/(INDEX('Standards for Conversions'!$H$34:$H$73,MATCH(DC$3,'Standards for Conversions'!$A$34:$A$73,0))))</f>
        <v/>
      </c>
      <c r="DF101" s="10" t="s">
        <v>38</v>
      </c>
      <c r="DG101" s="7"/>
      <c r="DH101" s="7"/>
      <c r="DI101" s="31" t="str">
        <f>IF(DH101/(INDEX('Standards for Conversions'!$H$34:$H$73,MATCH(DG$3,'Standards for Conversions'!$A$34:$A$73,0)))=0,"",DH101/(INDEX('Standards for Conversions'!$H$34:$H$73,MATCH(DG$3,'Standards for Conversions'!$A$34:$A$73,0))))</f>
        <v/>
      </c>
      <c r="DJ101" s="10" t="s">
        <v>38</v>
      </c>
      <c r="DK101" s="7"/>
      <c r="DL101" s="7"/>
      <c r="DM101" s="31" t="str">
        <f>IF(DL101/(INDEX('Standards for Conversions'!$H$34:$H$73,MATCH(DK$3,'Standards for Conversions'!$A$34:$A$73,0)))=0,"",DL101/(INDEX('Standards for Conversions'!$H$34:$H$73,MATCH(DK$3,'Standards for Conversions'!$A$34:$A$73,0))))</f>
        <v/>
      </c>
      <c r="DN101" s="10" t="s">
        <v>38</v>
      </c>
      <c r="DO101" s="7"/>
      <c r="DP101" s="7"/>
      <c r="DQ101" s="31" t="str">
        <f>IF(DP101/(INDEX('Standards for Conversions'!$H$34:$H$73,MATCH(DO$3,'Standards for Conversions'!$A$34:$A$73,0)))=0,"",DP101/(INDEX('Standards for Conversions'!$H$34:$H$73,MATCH(DO$3,'Standards for Conversions'!$A$34:$A$73,0))))</f>
        <v/>
      </c>
      <c r="DR101" s="10" t="s">
        <v>38</v>
      </c>
      <c r="DS101" s="9"/>
      <c r="DT101" s="9"/>
      <c r="DU101" s="31" t="str">
        <f>IF(DT101/(INDEX('Standards for Conversions'!$H$34:$H$73,MATCH(DS$3,'Standards for Conversions'!$A$34:$A$73,0)))=0,"",DT101/(INDEX('Standards for Conversions'!$H$34:$H$73,MATCH(DS$3,'Standards for Conversions'!$A$34:$A$73,0))))</f>
        <v/>
      </c>
      <c r="DV101" s="10" t="s">
        <v>38</v>
      </c>
      <c r="DW101" s="7"/>
      <c r="DX101" s="7"/>
      <c r="DY101" s="31" t="str">
        <f>IF(DX101/(INDEX('Standards for Conversions'!$H$34:$H$73,MATCH(DW$3,'Standards for Conversions'!$A$34:$A$73,0)))=0,"",DX101/(INDEX('Standards for Conversions'!$H$34:$H$73,MATCH(DW$3,'Standards for Conversions'!$A$34:$A$73,0))))</f>
        <v/>
      </c>
      <c r="DZ101" s="10" t="s">
        <v>38</v>
      </c>
      <c r="EA101" s="7"/>
      <c r="EB101" s="7"/>
      <c r="EC101" s="31" t="str">
        <f>IF(EB101/(INDEX('Standards for Conversions'!$H$34:$H$73,MATCH(EA$3,'Standards for Conversions'!$A$34:$A$73,0)))=0,"",EB101/(INDEX('Standards for Conversions'!$H$34:$H$73,MATCH(EA$3,'Standards for Conversions'!$A$34:$A$73,0))))</f>
        <v/>
      </c>
      <c r="ED101" s="10" t="s">
        <v>38</v>
      </c>
      <c r="EE101" s="7"/>
      <c r="EF101" s="7"/>
      <c r="EG101" s="31" t="str">
        <f>IF(EF101/(INDEX('Standards for Conversions'!$H$34:$H$73,MATCH(EE$3,'Standards for Conversions'!$A$34:$A$73,0)))=0,"",EF101/(INDEX('Standards for Conversions'!$H$34:$H$73,MATCH(EE$3,'Standards for Conversions'!$A$34:$A$73,0))))</f>
        <v/>
      </c>
      <c r="EH101" s="10" t="s">
        <v>38</v>
      </c>
      <c r="EI101" s="9"/>
      <c r="EJ101" s="9"/>
      <c r="EK101" s="31" t="str">
        <f>IF(EJ101/(INDEX('Standards for Conversions'!$H$34:$H$73,MATCH(EI$3,'Standards for Conversions'!$A$34:$A$73,0)))=0,"",EJ101/(INDEX('Standards for Conversions'!$H$34:$H$73,MATCH(EI$3,'Standards for Conversions'!$A$34:$A$73,0))))</f>
        <v/>
      </c>
      <c r="EL101" s="10" t="s">
        <v>38</v>
      </c>
      <c r="EM101" s="7"/>
      <c r="EN101" s="7"/>
      <c r="EO101" s="31" t="str">
        <f>IF(EN101/(INDEX('Standards for Conversions'!$H$34:$H$73,MATCH(EM$3,'Standards for Conversions'!$A$34:$A$73,0)))=0,"",EN101/(INDEX('Standards for Conversions'!$H$34:$H$73,MATCH(EM$3,'Standards for Conversions'!$A$34:$A$73,0))))</f>
        <v/>
      </c>
      <c r="EP101" s="10" t="s">
        <v>38</v>
      </c>
      <c r="EQ101" s="7"/>
      <c r="ER101" s="7"/>
      <c r="ES101" s="31" t="str">
        <f>IF(ER101/(INDEX('Standards for Conversions'!$H$34:$H$73,MATCH(EQ$3,'Standards for Conversions'!$A$34:$A$73,0)))=0,"",ER101/(INDEX('Standards for Conversions'!$H$34:$H$73,MATCH(EQ$3,'Standards for Conversions'!$A$34:$A$73,0))))</f>
        <v/>
      </c>
      <c r="ET101" s="10" t="s">
        <v>38</v>
      </c>
      <c r="EU101" s="7"/>
      <c r="EV101" s="7"/>
      <c r="EW101" s="31" t="str">
        <f>IF(EV101/(INDEX('Standards for Conversions'!$H$34:$H$73,MATCH(EU$3,'Standards for Conversions'!$A$34:$A$73,0)))=0,"",EV101/(INDEX('Standards for Conversions'!$H$34:$H$73,MATCH(EU$3,'Standards for Conversions'!$A$34:$A$73,0))))</f>
        <v/>
      </c>
      <c r="EX101" s="10" t="s">
        <v>38</v>
      </c>
      <c r="EY101" s="9"/>
      <c r="EZ101" s="9"/>
      <c r="FA101" s="31" t="str">
        <f>IF(EZ101/(INDEX('Standards for Conversions'!$H$34:$H$73,MATCH(EY$3,'Standards for Conversions'!$A$34:$A$73,0)))=0,"",EZ101/(INDEX('Standards for Conversions'!$H$34:$H$73,MATCH(EY$3,'Standards for Conversions'!$A$34:$A$73,0))))</f>
        <v/>
      </c>
      <c r="FB101" s="10" t="s">
        <v>38</v>
      </c>
      <c r="FC101" s="7"/>
      <c r="FD101" s="7"/>
      <c r="FE101" s="31" t="str">
        <f>IF(FD101/(INDEX('Standards for Conversions'!$H$34:$H$73,MATCH(FC$3,'Standards for Conversions'!$A$34:$A$73,0)))=0,"",FD101/(INDEX('Standards for Conversions'!$H$34:$H$73,MATCH(FC$3,'Standards for Conversions'!$A$34:$A$73,0))))</f>
        <v/>
      </c>
      <c r="FF101" s="10" t="s">
        <v>38</v>
      </c>
      <c r="FG101" s="7"/>
      <c r="FH101" s="7"/>
      <c r="FI101" s="31" t="str">
        <f>IF(FH101/(INDEX('Standards for Conversions'!$H$34:$H$73,MATCH(FG$3,'Standards for Conversions'!$A$34:$A$73,0)))=0,"",FH101/(INDEX('Standards for Conversions'!$H$34:$H$73,MATCH(FG$3,'Standards for Conversions'!$A$34:$A$73,0))))</f>
        <v/>
      </c>
      <c r="FJ101" s="10" t="s">
        <v>38</v>
      </c>
      <c r="FK101" s="7"/>
      <c r="FL101" s="7"/>
      <c r="FM101" s="31" t="str">
        <f>IF(FL101/(INDEX('Standards for Conversions'!$H$34:$H$73,MATCH(FK$3,'Standards for Conversions'!$A$34:$A$73,0)))=0,"",FL101/(INDEX('Standards for Conversions'!$H$34:$H$73,MATCH(FK$3,'Standards for Conversions'!$A$34:$A$73,0))))</f>
        <v/>
      </c>
      <c r="FN101" s="10" t="s">
        <v>38</v>
      </c>
      <c r="FO101" s="9"/>
      <c r="FP101" s="9"/>
      <c r="FQ101" s="31" t="str">
        <f>IF(FP101/(INDEX('Standards for Conversions'!$H$34:$H$73,MATCH(FO$3,'Standards for Conversions'!$A$34:$A$73,0)))=0,"",FP101/(INDEX('Standards for Conversions'!$H$34:$H$73,MATCH(FO$3,'Standards for Conversions'!$A$34:$A$73,0))))</f>
        <v/>
      </c>
      <c r="FR101" s="10" t="s">
        <v>38</v>
      </c>
      <c r="FS101" s="7"/>
      <c r="FT101" s="7"/>
      <c r="FU101" s="31" t="str">
        <f>IF(FT101/(INDEX('Standards for Conversions'!$H$34:$H$73,MATCH(FS$3,'Standards for Conversions'!$A$34:$A$73,0)))=0,"",FT101/(INDEX('Standards for Conversions'!$H$34:$H$73,MATCH(FS$3,'Standards for Conversions'!$A$34:$A$73,0))))</f>
        <v/>
      </c>
      <c r="FV101" s="10" t="s">
        <v>38</v>
      </c>
      <c r="FW101" s="7"/>
      <c r="FX101" s="7"/>
      <c r="FY101" s="31" t="str">
        <f>IF(FX101/(INDEX('Standards for Conversions'!$H$34:$H$73,MATCH(FW$3,'Standards for Conversions'!$A$34:$A$73,0)))=0,"",FX101/(INDEX('Standards for Conversions'!$H$34:$H$73,MATCH(FW$3,'Standards for Conversions'!$A$34:$A$73,0))))</f>
        <v/>
      </c>
      <c r="FZ101" s="10" t="s">
        <v>38</v>
      </c>
      <c r="GA101" s="7"/>
      <c r="GB101" s="7"/>
      <c r="GC101" s="31" t="str">
        <f>IF(GB101/(INDEX('Standards for Conversions'!$H$34:$H$73,MATCH(GA$3,'Standards for Conversions'!$A$34:$A$73,0)))=0,"",GB101/(INDEX('Standards for Conversions'!$H$34:$H$73,MATCH(GA$3,'Standards for Conversions'!$A$34:$A$73,0))))</f>
        <v/>
      </c>
      <c r="GD101" s="10" t="s">
        <v>38</v>
      </c>
      <c r="GE101" s="9"/>
      <c r="GF101" s="9"/>
      <c r="GG101" s="31" t="str">
        <f>IF(GF101/(INDEX('Standards for Conversions'!$H$34:$H$73,MATCH(GE$3,'Standards for Conversions'!$A$34:$A$73,0)))=0,"",GF101/(INDEX('Standards for Conversions'!$H$34:$H$73,MATCH(GE$3,'Standards for Conversions'!$A$34:$A$73,0))))</f>
        <v/>
      </c>
      <c r="GH101" s="10" t="s">
        <v>38</v>
      </c>
      <c r="GI101" s="7"/>
      <c r="GJ101" s="7"/>
      <c r="GK101" s="31" t="str">
        <f>IF(GJ101/(INDEX('Standards for Conversions'!$H$34:$H$73,MATCH(GI$3,'Standards for Conversions'!$A$34:$A$73,0)))=0,"",GJ101/(INDEX('Standards for Conversions'!$H$34:$H$73,MATCH(GI$3,'Standards for Conversions'!$A$34:$A$73,0))))</f>
        <v/>
      </c>
      <c r="GL101" s="10" t="s">
        <v>38</v>
      </c>
      <c r="GM101" s="7"/>
      <c r="GN101" s="7"/>
      <c r="GO101" s="31" t="str">
        <f>IF(GN101/(INDEX('Standards for Conversions'!$H$34:$H$73,MATCH(GM$3,'Standards for Conversions'!$A$34:$A$73,0)))=0,"",GN101/(INDEX('Standards for Conversions'!$H$34:$H$73,MATCH(GM$3,'Standards for Conversions'!$A$34:$A$73,0))))</f>
        <v/>
      </c>
      <c r="GP101" s="10" t="s">
        <v>38</v>
      </c>
      <c r="GQ101" s="7"/>
      <c r="GR101" s="7"/>
      <c r="GS101" s="31" t="str">
        <f>IF(GR101/(INDEX('Standards for Conversions'!$H$34:$H$73,MATCH(GQ$3,'Standards for Conversions'!$A$34:$A$73,0)))=0,"",GR101/(INDEX('Standards for Conversions'!$H$34:$H$73,MATCH(GQ$3,'Standards for Conversions'!$A$34:$A$73,0))))</f>
        <v/>
      </c>
      <c r="GT101" s="10" t="s">
        <v>38</v>
      </c>
      <c r="GU101" s="9"/>
      <c r="GV101" s="9"/>
      <c r="GW101" s="31" t="str">
        <f>IF(GV101/(INDEX('Standards for Conversions'!$H$34:$H$73,MATCH(GU$3,'Standards for Conversions'!$A$34:$A$73,0)))=0,"",GV101/(INDEX('Standards for Conversions'!$H$34:$H$73,MATCH(GU$3,'Standards for Conversions'!$A$34:$A$73,0))))</f>
        <v/>
      </c>
      <c r="GX101" s="10" t="s">
        <v>38</v>
      </c>
      <c r="GY101" s="7"/>
      <c r="GZ101" s="7"/>
      <c r="HA101" s="31" t="str">
        <f>IF(GZ101/(INDEX('Standards for Conversions'!$H$34:$H$73,MATCH(GY$3,'Standards for Conversions'!$A$34:$A$73,0)))=0,"",GZ101/(INDEX('Standards for Conversions'!$H$34:$H$73,MATCH(GY$3,'Standards for Conversions'!$A$34:$A$73,0))))</f>
        <v/>
      </c>
      <c r="HB101" s="10" t="s">
        <v>38</v>
      </c>
      <c r="HC101" s="7"/>
      <c r="HD101" s="7"/>
      <c r="HE101" s="31" t="str">
        <f>IF(HD101/(INDEX('Standards for Conversions'!$H$34:$H$73,MATCH(HC$3,'Standards for Conversions'!$A$34:$A$73,0)))=0,"",HD101/(INDEX('Standards for Conversions'!$H$34:$H$73,MATCH(HC$3,'Standards for Conversions'!$A$34:$A$73,0))))</f>
        <v/>
      </c>
      <c r="HF101" s="10" t="s">
        <v>38</v>
      </c>
      <c r="HG101" s="7"/>
      <c r="HH101" s="7"/>
      <c r="HI101" s="31" t="str">
        <f>IF(HH101/(INDEX('Standards for Conversions'!$H$34:$H$73,MATCH(HG$3,'Standards for Conversions'!$A$34:$A$73,0)))=0,"",HH101/(INDEX('Standards for Conversions'!$H$34:$H$73,MATCH(HG$3,'Standards for Conversions'!$A$34:$A$73,0))))</f>
        <v/>
      </c>
      <c r="HJ101" s="10" t="s">
        <v>38</v>
      </c>
      <c r="HK101" s="9"/>
      <c r="HL101" s="9"/>
      <c r="HM101" s="31" t="str">
        <f>IF(HL101/(INDEX('Standards for Conversions'!$H$34:$H$73,MATCH(HK$3,'Standards for Conversions'!$A$34:$A$73,0)))=0,"",HL101/(INDEX('Standards for Conversions'!$H$34:$H$73,MATCH(HK$3,'Standards for Conversions'!$A$34:$A$73,0))))</f>
        <v/>
      </c>
      <c r="HN101" s="10" t="s">
        <v>38</v>
      </c>
      <c r="HO101" s="7"/>
      <c r="HP101" s="7"/>
      <c r="HQ101" s="31" t="str">
        <f>IF(HP101/(INDEX('Standards for Conversions'!$H$34:$H$73,MATCH(HO$3,'Standards for Conversions'!$A$34:$A$73,0)))=0,"",HP101/(INDEX('Standards for Conversions'!$H$34:$H$73,MATCH(HO$3,'Standards for Conversions'!$A$34:$A$73,0))))</f>
        <v/>
      </c>
      <c r="HR101" s="33" t="s">
        <v>38</v>
      </c>
      <c r="HU101" s="31" t="str">
        <f>IF(HT101/(INDEX('Standards for Conversions'!$H$47:$H$73,MATCH(HS$3,'Standards for Conversions'!$A$47:$A$73,0)))=0,"",HT101/(INDEX('Standards for Conversions'!$H$47:$H$73,MATCH(HS$3,'Standards for Conversions'!$A$47:$A$73,0))))</f>
        <v/>
      </c>
      <c r="HV101" s="33" t="s">
        <v>38</v>
      </c>
      <c r="HY101" s="31" t="str">
        <f>IF(HX101/(INDEX('Standards for Conversions'!$H$47:$H$73,MATCH(HW$3,'Standards for Conversions'!$A$47:$A$73,0)))=0,"",HX101/(INDEX('Standards for Conversions'!$H$47:$H$73,MATCH(HW$3,'Standards for Conversions'!$A$47:$A$73,0))))</f>
        <v/>
      </c>
      <c r="HZ101" s="33">
        <v>100</v>
      </c>
      <c r="IA101" s="33">
        <v>800</v>
      </c>
      <c r="IB101" s="31">
        <f>IF(IA101/(INDEX('Standards for Conversions'!$H$47:$H$73,MATCH(HZ$3,'Standards for Conversions'!$A$47:$A$73,0)))=0,"",IA101/(INDEX('Standards for Conversions'!$H$47:$H$73,MATCH(HZ$3,'Standards for Conversions'!$A$47:$A$73,0))))</f>
        <v>116.19632977028476</v>
      </c>
      <c r="IC101" s="33" t="s">
        <v>38</v>
      </c>
      <c r="IF101" s="31" t="str">
        <f>IF(IE101/(INDEX('Standards for Conversions'!$H$47:$H$73,MATCH(ID$3,'Standards for Conversions'!$A$47:$A$73,0)))=0,"",IE101/(INDEX('Standards for Conversions'!$H$47:$H$73,MATCH(ID$3,'Standards for Conversions'!$A$47:$A$73,0))))</f>
        <v/>
      </c>
      <c r="IG101" s="33" t="s">
        <v>38</v>
      </c>
      <c r="IJ101" s="31" t="str">
        <f>IF(II101/(INDEX('Standards for Conversions'!$H$47:$H$73,MATCH(IH$3,'Standards for Conversions'!$A$47:$A$73,0)))=0,"",II101/(INDEX('Standards for Conversions'!$H$47:$H$73,MATCH(IH$3,'Standards for Conversions'!$A$47:$A$73,0))))</f>
        <v/>
      </c>
      <c r="IK101" s="33" t="s">
        <v>38</v>
      </c>
      <c r="IN101" s="31" t="str">
        <f>IF(IM101/(INDEX('Standards for Conversions'!$H$47:$H$73,MATCH(IL$3,'Standards for Conversions'!$A$47:$A$73,0)))=0,"",IM101/(INDEX('Standards for Conversions'!$H$47:$H$73,MATCH(IL$3,'Standards for Conversions'!$A$47:$A$73,0))))</f>
        <v/>
      </c>
      <c r="IO101" s="33" t="s">
        <v>38</v>
      </c>
      <c r="IP101" s="29">
        <v>131</v>
      </c>
      <c r="IQ101" s="29">
        <v>997</v>
      </c>
      <c r="IR101" s="31">
        <f>IF(IQ101/(INDEX('Standards for Conversions'!$H$47:$H$73,MATCH(IP$3,'Standards for Conversions'!$A$47:$A$73,0)))=0,"",IQ101/(INDEX('Standards for Conversions'!$H$47:$H$73,MATCH(IP$3,'Standards for Conversions'!$A$47:$A$73,0))))</f>
        <v>144.17639750984907</v>
      </c>
      <c r="IS101" s="33" t="s">
        <v>38</v>
      </c>
      <c r="IV101" s="31" t="str">
        <f>IF(IU101/(INDEX('Standards for Conversions'!$H$47:$H$73,MATCH(IT$3,'Standards for Conversions'!$A$47:$A$73,0)))=0,"",IU101/(INDEX('Standards for Conversions'!$H$47:$H$73,MATCH(IT$3,'Standards for Conversions'!$A$47:$A$73,0))))</f>
        <v/>
      </c>
      <c r="IW101" s="33" t="s">
        <v>38</v>
      </c>
      <c r="IZ101" s="31" t="str">
        <f>IF(IY101/(INDEX('Standards for Conversions'!$H$47:$H$73,MATCH(IX$3,'Standards for Conversions'!$A$47:$A$73,0)))=0,"",IY101/(INDEX('Standards for Conversions'!$H$47:$H$73,MATCH(IX$3,'Standards for Conversions'!$A$47:$A$73,0))))</f>
        <v/>
      </c>
      <c r="JA101" s="48" t="s">
        <v>38</v>
      </c>
      <c r="JD101" s="31" t="str">
        <f>IF(JC101/(INDEX('Standards for Conversions'!$H$47:$H$73,MATCH(JB$3,'Standards for Conversions'!$A$47:$A$73,0)))=0,"",JC101/(INDEX('Standards for Conversions'!$H$47:$H$73,MATCH(JB$3,'Standards for Conversions'!$A$47:$A$73,0))))</f>
        <v/>
      </c>
      <c r="JE101" s="48" t="s">
        <v>38</v>
      </c>
      <c r="JF101" s="29">
        <v>50</v>
      </c>
      <c r="JG101" s="29">
        <v>450</v>
      </c>
      <c r="JH101" s="31">
        <f>IF(JG101/(INDEX('Standards for Conversions'!$H$47:$H$73,MATCH(JF$3,'Standards for Conversions'!$A$47:$A$73,0)))=0,"",JG101/(INDEX('Standards for Conversions'!$H$47:$H$73,MATCH(JF$3,'Standards for Conversions'!$A$47:$A$73,0))))</f>
        <v>72.792088511340907</v>
      </c>
      <c r="JL101" s="31" t="str">
        <f>IF(JK101/(INDEX('Standards for Conversions'!$H$47:$H$73,MATCH(JJ$3,'Standards for Conversions'!$A$47:$A$73,0)))=0,"",JK101/(INDEX('Standards for Conversions'!$H$47:$H$73,MATCH(JJ$3,'Standards for Conversions'!$A$47:$A$73,0))))</f>
        <v/>
      </c>
      <c r="JM101" s="33" t="s">
        <v>38</v>
      </c>
      <c r="JP101" s="31" t="str">
        <f>IF(JO101/(INDEX('Standards for Conversions'!$H$47:$H$73,MATCH(JN$3,'Standards for Conversions'!$A$47:$A$73,0)))=0,"",JO101/(INDEX('Standards for Conversions'!$H$47:$H$73,MATCH(JN$3,'Standards for Conversions'!$A$47:$A$73,0))))</f>
        <v/>
      </c>
      <c r="JQ101" s="33" t="s">
        <v>38</v>
      </c>
      <c r="JT101" s="31" t="str">
        <f>IF(JS101/(INDEX('Standards for Conversions'!$H$47:$H$73,MATCH(JR$3,'Standards for Conversions'!$A$47:$A$73,0)))=0,"",JS101/(INDEX('Standards for Conversions'!$H$47:$H$73,MATCH(JR$3,'Standards for Conversions'!$A$47:$A$73,0))))</f>
        <v/>
      </c>
      <c r="JU101" s="33" t="s">
        <v>38</v>
      </c>
      <c r="JV101" s="29">
        <v>70</v>
      </c>
      <c r="JW101" s="29">
        <v>550</v>
      </c>
      <c r="JX101" s="31">
        <f>IF(JW101/(INDEX('Standards for Conversions'!$H$47:$H$73,MATCH(JV$3,'Standards for Conversions'!$A$47:$A$73,0)))=0,"",JW101/(INDEX('Standards for Conversions'!$H$47:$H$73,MATCH(JV$3,'Standards for Conversions'!$A$47:$A$73,0))))</f>
        <v>83.960740835288661</v>
      </c>
      <c r="JY101" s="33" t="s">
        <v>38</v>
      </c>
      <c r="KB101" s="31" t="str">
        <f>IF(KA101/(INDEX('Standards for Conversions'!$H$47:$H$73,MATCH(JZ$3,'Standards for Conversions'!$A$47:$A$73,0)))=0,"",KA101/(INDEX('Standards for Conversions'!$H$47:$H$73,MATCH(JZ$3,'Standards for Conversions'!$A$47:$A$73,0))))</f>
        <v/>
      </c>
      <c r="KC101" s="33" t="s">
        <v>38</v>
      </c>
      <c r="KF101" s="31" t="str">
        <f>IF(KE101/(INDEX('Standards for Conversions'!$H$47:$H$73,MATCH(KD$3,'Standards for Conversions'!$A$47:$A$73,0)))=0,"",KE101/(INDEX('Standards for Conversions'!$H$47:$H$73,MATCH(KD$3,'Standards for Conversions'!$A$47:$A$73,0))))</f>
        <v/>
      </c>
      <c r="KG101" s="33" t="s">
        <v>38</v>
      </c>
      <c r="KJ101" s="31" t="str">
        <f>IF(KI101/(INDEX('Standards for Conversions'!$H$47:$H$73,MATCH(KH$3,'Standards for Conversions'!$A$47:$A$73,0)))=0,"",KI101/(INDEX('Standards for Conversions'!$H$47:$H$73,MATCH(KH$3,'Standards for Conversions'!$A$47:$A$73,0))))</f>
        <v/>
      </c>
      <c r="KK101" s="33" t="s">
        <v>38</v>
      </c>
      <c r="KL101" s="29">
        <v>55</v>
      </c>
      <c r="KM101" s="29">
        <v>450</v>
      </c>
      <c r="KN101" s="31">
        <f>IF(KM101/(INDEX('Standards for Conversions'!$H$47:$H$73,MATCH(KL$3,'Standards for Conversions'!$A$47:$A$73,0)))=0,"",KM101/(INDEX('Standards for Conversions'!$H$47:$H$73,MATCH(KL$3,'Standards for Conversions'!$A$47:$A$73,0))))</f>
        <v>60.596555357608409</v>
      </c>
      <c r="KO101" s="33" t="s">
        <v>38</v>
      </c>
      <c r="KR101" s="31" t="str">
        <f>IF(KQ101/(INDEX('Standards for Conversions'!$H$47:$H$73,MATCH(KP$3,'Standards for Conversions'!$A$47:$A$73,0)))=0,"",KQ101/(INDEX('Standards for Conversions'!$H$47:$H$73,MATCH(KP$3,'Standards for Conversions'!$A$47:$A$73,0))))</f>
        <v/>
      </c>
      <c r="KS101" s="33" t="s">
        <v>38</v>
      </c>
      <c r="KV101" s="31" t="str">
        <f>IF(KU101/(INDEX('Standards for Conversions'!$H$47:$H$73,MATCH(KT$3,'Standards for Conversions'!$A$47:$A$73,0)))=0,"",KU101/(INDEX('Standards for Conversions'!$H$47:$H$73,MATCH(KT$3,'Standards for Conversions'!$A$47:$A$73,0))))</f>
        <v/>
      </c>
      <c r="KW101" s="48" t="s">
        <v>38</v>
      </c>
      <c r="KZ101" s="31" t="str">
        <f>IF(KY101/(INDEX('Standards for Conversions'!$H$47:$H$73,MATCH(KX$3,'Standards for Conversions'!$A$47:$A$73,0)))=0,"",KY101/(INDEX('Standards for Conversions'!$H$47:$H$73,MATCH(KX$3,'Standards for Conversions'!$A$47:$A$73,0))))</f>
        <v/>
      </c>
      <c r="LA101" s="48" t="s">
        <v>38</v>
      </c>
      <c r="LB101" s="29">
        <v>65</v>
      </c>
      <c r="LC101" s="29">
        <v>716</v>
      </c>
      <c r="LD101" s="31">
        <f>IF(LC101/(INDEX('Standards for Conversions'!$H$47:$H$73,MATCH(LB$3,'Standards for Conversions'!$A$47:$A$73,0)))=0,"",LC101/(INDEX('Standards for Conversions'!$H$47:$H$73,MATCH(LB$3,'Standards for Conversions'!$A$47:$A$73,0))))</f>
        <v>87.077461776889407</v>
      </c>
      <c r="LH101" s="31" t="str">
        <f>IF(LG101/(INDEX('Standards for Conversions'!$H$47:$H$73,MATCH(LF$3,'Standards for Conversions'!$A$47:$A$73,0)))=0,"",LG101/(INDEX('Standards for Conversions'!$H$47:$H$73,MATCH(LF$3,'Standards for Conversions'!$A$47:$A$73,0))))</f>
        <v/>
      </c>
      <c r="LL101" s="31" t="str">
        <f>IF(LK101/(INDEX('Standards for Conversions'!$H$47:$H$73,MATCH(LJ$3,'Standards for Conversions'!$A$47:$A$73,0)))=0,"",LK101/(INDEX('Standards for Conversions'!$H$47:$H$73,MATCH(LJ$3,'Standards for Conversions'!$A$47:$A$73,0))))</f>
        <v/>
      </c>
      <c r="LO101" s="31" t="str">
        <f>IF(LN101/(INDEX('Standards for Conversions'!$H$47:$H$73,MATCH(LM$3,'Standards for Conversions'!$A$47:$A$73,0)))=0,"",LN101/(INDEX('Standards for Conversions'!$H$47:$H$73,MATCH(LM$3,'Standards for Conversions'!$A$47:$A$73,0))))</f>
        <v/>
      </c>
      <c r="LR101" s="31" t="str">
        <f>IF(LQ101/(INDEX('Standards for Conversions'!$H$47:$H$73,MATCH(LP$3,'Standards for Conversions'!$A$47:$A$73,0)))=0,"",LQ101/(INDEX('Standards for Conversions'!$H$47:$H$73,MATCH(LP$3,'Standards for Conversions'!$A$47:$A$73,0))))</f>
        <v/>
      </c>
      <c r="LV101" s="31" t="str">
        <f>IF(LU101/(INDEX('Standards for Conversions'!$H$47:$H$73,MATCH(LT$3,'Standards for Conversions'!$A$47:$A$73,0)))=0,"",LU101/(INDEX('Standards for Conversions'!$H$47:$H$73,MATCH(LT$3,'Standards for Conversions'!$A$47:$A$73,0))))</f>
        <v/>
      </c>
      <c r="LY101" s="31" t="str">
        <f>IF(LX101/(INDEX('Standards for Conversions'!$H$47:$H$73,MATCH(LW$3,'Standards for Conversions'!$A$47:$A$73,0)))=0,"",LX101/(INDEX('Standards for Conversions'!$H$47:$H$73,MATCH(LW$3,'Standards for Conversions'!$A$47:$A$73,0))))</f>
        <v/>
      </c>
      <c r="MB101" s="31" t="str">
        <f>IF(MA101/(INDEX('Standards for Conversions'!$H$47:$H$73,MATCH(LZ$3,'Standards for Conversions'!$A$47:$A$73,0)))=0,"",MA101/(INDEX('Standards for Conversions'!$H$47:$H$73,MATCH(LZ$3,'Standards for Conversions'!$A$47:$A$73,0))))</f>
        <v/>
      </c>
      <c r="ME101" s="31" t="str">
        <f>IF(MD101/(INDEX('Standards for Conversions'!$H$47:$H$73,MATCH(MC$3,'Standards for Conversions'!$A$47:$A$73,0)))=0,"",MD101/(INDEX('Standards for Conversions'!$H$47:$H$73,MATCH(MC$3,'Standards for Conversions'!$A$47:$A$73,0))))</f>
        <v/>
      </c>
      <c r="MH101" s="31" t="str">
        <f>IF(MG101/(INDEX('Standards for Conversions'!$H$47:$H$73,MATCH(MF$3,'Standards for Conversions'!$A$47:$A$73,0)))=0,"",MG101/(INDEX('Standards for Conversions'!$H$47:$H$73,MATCH(MF$3,'Standards for Conversions'!$A$47:$A$73,0))))</f>
        <v/>
      </c>
      <c r="MK101" s="31" t="str">
        <f>IF(MJ101/(INDEX('Standards for Conversions'!$H$47:$H$73,MATCH(MI$3,'Standards for Conversions'!$A$47:$A$73,0)))=0,"",MJ101/(INDEX('Standards for Conversions'!$H$47:$H$73,MATCH(MI$3,'Standards for Conversions'!$A$47:$A$73,0))))</f>
        <v/>
      </c>
      <c r="MN101" s="31" t="str">
        <f>IF(MM101/(INDEX('Standards for Conversions'!$H$47:$H$73,MATCH(ML$3,'Standards for Conversions'!$A$47:$A$73,0)))=0,"",MM101/(INDEX('Standards for Conversions'!$H$47:$H$73,MATCH(ML$3,'Standards for Conversions'!$A$47:$A$73,0))))</f>
        <v/>
      </c>
      <c r="MR101" s="31" t="str">
        <f>IF(MQ101/(INDEX('Standards for Conversions'!$H$47:$H$73,MATCH(MP$3,'Standards for Conversions'!$A$47:$A$73,0)))=0,"",MQ101/(INDEX('Standards for Conversions'!$H$47:$H$73,MATCH(MP$3,'Standards for Conversions'!$A$47:$A$73,0))))</f>
        <v/>
      </c>
    </row>
    <row r="102" spans="1:373" hidden="1" x14ac:dyDescent="0.3">
      <c r="A102" s="103" t="s">
        <v>268</v>
      </c>
      <c r="B102" s="10" t="s">
        <v>38</v>
      </c>
      <c r="C102" s="7"/>
      <c r="D102" s="7"/>
      <c r="E102" s="31" t="str">
        <f>IF(D102/(INDEX('Standards for Conversions'!$H$34:$H$73,MATCH(C$3,'Standards for Conversions'!$A$34:$A$73,0)))=0,"",D102/(INDEX('Standards for Conversions'!$H$34:$H$73,MATCH(C$3,'Standards for Conversions'!$A$34:$A$73,0))))</f>
        <v/>
      </c>
      <c r="F102" s="10" t="s">
        <v>38</v>
      </c>
      <c r="G102" s="7"/>
      <c r="H102" s="7"/>
      <c r="I102" s="31" t="str">
        <f>IF(H102/(INDEX('Standards for Conversions'!$H$34:$H$73,MATCH(G$3,'Standards for Conversions'!$A$34:$A$73,0)))=0,"",H102/(INDEX('Standards for Conversions'!$H$34:$H$73,MATCH(G$3,'Standards for Conversions'!$A$34:$A$73,0))))</f>
        <v/>
      </c>
      <c r="J102" s="10" t="s">
        <v>38</v>
      </c>
      <c r="K102" s="9"/>
      <c r="L102" s="9"/>
      <c r="M102" s="31" t="str">
        <f>IF(L102/(INDEX('Standards for Conversions'!$H$34:$H$73,MATCH(K$3,'Standards for Conversions'!$A$34:$A$73,0)))=0,"",L102/(INDEX('Standards for Conversions'!$H$34:$H$73,MATCH(K$3,'Standards for Conversions'!$A$34:$A$73,0))))</f>
        <v/>
      </c>
      <c r="N102" s="10" t="s">
        <v>38</v>
      </c>
      <c r="O102" s="7"/>
      <c r="P102" s="7"/>
      <c r="Q102" s="31" t="str">
        <f>IF(P102/(INDEX('Standards for Conversions'!$H$34:$H$73,MATCH(O$3,'Standards for Conversions'!$A$34:$A$73,0)))=0,"",P102/(INDEX('Standards for Conversions'!$H$34:$H$73,MATCH(O$3,'Standards for Conversions'!$A$34:$A$73,0))))</f>
        <v/>
      </c>
      <c r="R102" s="10" t="s">
        <v>38</v>
      </c>
      <c r="S102" s="7"/>
      <c r="T102" s="7"/>
      <c r="U102" s="31" t="str">
        <f>IF(T102/(INDEX('Standards for Conversions'!$H$34:$H$73,MATCH(S$3,'Standards for Conversions'!$A$34:$A$73,0)))=0,"",T102/(INDEX('Standards for Conversions'!$H$34:$H$73,MATCH(S$3,'Standards for Conversions'!$A$34:$A$73,0))))</f>
        <v/>
      </c>
      <c r="V102" s="10" t="s">
        <v>38</v>
      </c>
      <c r="W102" s="7"/>
      <c r="X102" s="7"/>
      <c r="Y102" s="31" t="str">
        <f>IF(X102/(INDEX('Standards for Conversions'!$H$34:$H$73,MATCH(W$3,'Standards for Conversions'!$A$34:$A$73,0)))=0,"",X102/(INDEX('Standards for Conversions'!$H$34:$H$73,MATCH(W$3,'Standards for Conversions'!$A$34:$A$73,0))))</f>
        <v/>
      </c>
      <c r="Z102" s="10" t="s">
        <v>38</v>
      </c>
      <c r="AA102" s="9"/>
      <c r="AB102" s="9"/>
      <c r="AC102" s="31" t="str">
        <f>IF(AB102/(INDEX('Standards for Conversions'!$H$34:$H$73,MATCH(AA$3,'Standards for Conversions'!$A$34:$A$73,0)))=0,"",AB102/(INDEX('Standards for Conversions'!$H$34:$H$73,MATCH(AA$3,'Standards for Conversions'!$A$34:$A$73,0))))</f>
        <v/>
      </c>
      <c r="AD102" s="10" t="s">
        <v>38</v>
      </c>
      <c r="AE102" s="7"/>
      <c r="AF102" s="7"/>
      <c r="AG102" s="31" t="str">
        <f>IF(AF102/(INDEX('Standards for Conversions'!$H$34:$H$73,MATCH(AE$3,'Standards for Conversions'!$A$34:$A$73,0)))=0,"",AF102/(INDEX('Standards for Conversions'!$H$34:$H$73,MATCH(AE$3,'Standards for Conversions'!$A$34:$A$73,0))))</f>
        <v/>
      </c>
      <c r="AH102" s="10" t="s">
        <v>38</v>
      </c>
      <c r="AI102" s="7"/>
      <c r="AJ102" s="7"/>
      <c r="AK102" s="31" t="str">
        <f>IF(AJ102/(INDEX('Standards for Conversions'!$H$34:$H$73,MATCH(AI$3,'Standards for Conversions'!$A$34:$A$73,0)))=0,"",AJ102/(INDEX('Standards for Conversions'!$H$34:$H$73,MATCH(AI$3,'Standards for Conversions'!$A$34:$A$73,0))))</f>
        <v/>
      </c>
      <c r="AL102" s="10" t="s">
        <v>38</v>
      </c>
      <c r="AM102" s="7"/>
      <c r="AN102" s="7"/>
      <c r="AO102" s="31" t="str">
        <f>IF(AN102/(INDEX('Standards for Conversions'!$H$34:$H$73,MATCH(AM$3,'Standards for Conversions'!$A$34:$A$73,0)))=0,"",AN102/(INDEX('Standards for Conversions'!$H$34:$H$73,MATCH(AM$3,'Standards for Conversions'!$A$34:$A$73,0))))</f>
        <v/>
      </c>
      <c r="AP102" s="10" t="s">
        <v>38</v>
      </c>
      <c r="AQ102" s="9"/>
      <c r="AR102" s="9"/>
      <c r="AS102" s="31" t="str">
        <f>IF(AR102/(INDEX('Standards for Conversions'!$H$34:$H$73,MATCH(AQ$3,'Standards for Conversions'!$A$34:$A$73,0)))=0,"",AR102/(INDEX('Standards for Conversions'!$H$34:$H$73,MATCH(AQ$3,'Standards for Conversions'!$A$34:$A$73,0))))</f>
        <v/>
      </c>
      <c r="AT102" s="10" t="s">
        <v>38</v>
      </c>
      <c r="AU102" s="7"/>
      <c r="AV102" s="7"/>
      <c r="AW102" s="31" t="str">
        <f>IF(AV102/(INDEX('Standards for Conversions'!$H$34:$H$73,MATCH(AU$3,'Standards for Conversions'!$A$34:$A$73,0)))=0,"",AV102/(INDEX('Standards for Conversions'!$H$34:$H$73,MATCH(AU$3,'Standards for Conversions'!$A$34:$A$73,0))))</f>
        <v/>
      </c>
      <c r="AX102" s="10" t="s">
        <v>38</v>
      </c>
      <c r="AY102" s="7"/>
      <c r="AZ102" s="7"/>
      <c r="BA102" s="31" t="str">
        <f>IF(AZ102/(INDEX('Standards for Conversions'!$H$34:$H$73,MATCH(AY$3,'Standards for Conversions'!$A$34:$A$73,0)))=0,"",AZ102/(INDEX('Standards for Conversions'!$H$34:$H$73,MATCH(AY$3,'Standards for Conversions'!$A$34:$A$73,0))))</f>
        <v/>
      </c>
      <c r="BB102" s="10" t="s">
        <v>38</v>
      </c>
      <c r="BC102" s="7"/>
      <c r="BD102" s="7"/>
      <c r="BE102" s="31" t="str">
        <f>IF(BD102/(INDEX('Standards for Conversions'!$H$34:$H$73,MATCH(BC$3,'Standards for Conversions'!$A$34:$A$73,0)))=0,"",BD102/(INDEX('Standards for Conversions'!$H$34:$H$73,MATCH(BC$3,'Standards for Conversions'!$A$34:$A$73,0))))</f>
        <v/>
      </c>
      <c r="BF102" s="10" t="s">
        <v>38</v>
      </c>
      <c r="BG102" s="9"/>
      <c r="BH102" s="9"/>
      <c r="BI102" s="31" t="str">
        <f>IF(BH102/(INDEX('Standards for Conversions'!$H$34:$H$73,MATCH(BG$3,'Standards for Conversions'!$A$34:$A$73,0)))=0,"",BH102/(INDEX('Standards for Conversions'!$H$34:$H$73,MATCH(BG$3,'Standards for Conversions'!$A$34:$A$73,0))))</f>
        <v/>
      </c>
      <c r="BJ102" s="10" t="s">
        <v>38</v>
      </c>
      <c r="BK102" s="7"/>
      <c r="BL102" s="7"/>
      <c r="BM102" s="31" t="str">
        <f>IF(BL102/(INDEX('Standards for Conversions'!$H$34:$H$73,MATCH(BK$3,'Standards for Conversions'!$A$34:$A$73,0)))=0,"",BL102/(INDEX('Standards for Conversions'!$H$34:$H$73,MATCH(BK$3,'Standards for Conversions'!$A$34:$A$73,0))))</f>
        <v/>
      </c>
      <c r="BN102" s="10" t="s">
        <v>38</v>
      </c>
      <c r="BO102" s="7"/>
      <c r="BP102" s="7"/>
      <c r="BQ102" s="31" t="str">
        <f>IF(BP102/(INDEX('Standards for Conversions'!$H$34:$H$73,MATCH(BO$3,'Standards for Conversions'!$A$34:$A$73,0)))=0,"",BP102/(INDEX('Standards for Conversions'!$H$34:$H$73,MATCH(BO$3,'Standards for Conversions'!$A$34:$A$73,0))))</f>
        <v/>
      </c>
      <c r="BR102" s="10" t="s">
        <v>38</v>
      </c>
      <c r="BS102" s="7"/>
      <c r="BT102" s="7"/>
      <c r="BU102" s="31" t="str">
        <f>IF(BT102/(INDEX('Standards for Conversions'!$H$34:$H$73,MATCH(BS$3,'Standards for Conversions'!$A$34:$A$73,0)))=0,"",BT102/(INDEX('Standards for Conversions'!$H$34:$H$73,MATCH(BS$3,'Standards for Conversions'!$A$34:$A$73,0))))</f>
        <v/>
      </c>
      <c r="BV102" s="10" t="s">
        <v>38</v>
      </c>
      <c r="BW102" s="9"/>
      <c r="BX102" s="9"/>
      <c r="BY102" s="31" t="str">
        <f>IF(BX102/(INDEX('Standards for Conversions'!$H$34:$H$73,MATCH(BW$3,'Standards for Conversions'!$A$34:$A$73,0)))=0,"",BX102/(INDEX('Standards for Conversions'!$H$34:$H$73,MATCH(BW$3,'Standards for Conversions'!$A$34:$A$73,0))))</f>
        <v/>
      </c>
      <c r="BZ102" s="10" t="s">
        <v>38</v>
      </c>
      <c r="CA102" s="7"/>
      <c r="CB102" s="7"/>
      <c r="CC102" s="31" t="str">
        <f>IF(CB102/(INDEX('Standards for Conversions'!$H$34:$H$73,MATCH(CA$3,'Standards for Conversions'!$A$34:$A$73,0)))=0,"",CB102/(INDEX('Standards for Conversions'!$H$34:$H$73,MATCH(CA$3,'Standards for Conversions'!$A$34:$A$73,0))))</f>
        <v/>
      </c>
      <c r="CD102" s="10" t="s">
        <v>38</v>
      </c>
      <c r="CE102" s="7"/>
      <c r="CF102" s="7"/>
      <c r="CG102" s="31" t="str">
        <f>IF(CF102/(INDEX('Standards for Conversions'!$H$34:$H$73,MATCH(CE$3,'Standards for Conversions'!$A$34:$A$73,0)))=0,"",CF102/(INDEX('Standards for Conversions'!$H$34:$H$73,MATCH(CE$3,'Standards for Conversions'!$A$34:$A$73,0))))</f>
        <v/>
      </c>
      <c r="CH102" s="10" t="s">
        <v>38</v>
      </c>
      <c r="CI102" s="7"/>
      <c r="CJ102" s="7"/>
      <c r="CK102" s="31" t="str">
        <f>IF(CJ102/(INDEX('Standards for Conversions'!$H$34:$H$73,MATCH(CI$3,'Standards for Conversions'!$A$34:$A$73,0)))=0,"",CJ102/(INDEX('Standards for Conversions'!$H$34:$H$73,MATCH(CI$3,'Standards for Conversions'!$A$34:$A$73,0))))</f>
        <v/>
      </c>
      <c r="CL102" s="10" t="s">
        <v>38</v>
      </c>
      <c r="CM102" s="9"/>
      <c r="CN102" s="9"/>
      <c r="CO102" s="31" t="str">
        <f>IF(CN102/(INDEX('Standards for Conversions'!$H$34:$H$73,MATCH(CM$3,'Standards for Conversions'!$A$34:$A$73,0)))=0,"",CN102/(INDEX('Standards for Conversions'!$H$34:$H$73,MATCH(CM$3,'Standards for Conversions'!$A$34:$A$73,0))))</f>
        <v/>
      </c>
      <c r="CP102" s="10" t="s">
        <v>38</v>
      </c>
      <c r="CQ102" s="7"/>
      <c r="CR102" s="7"/>
      <c r="CS102" s="31" t="str">
        <f>IF(CR102/(INDEX('Standards for Conversions'!$H$34:$H$73,MATCH(CQ$3,'Standards for Conversions'!$A$34:$A$73,0)))=0,"",CR102/(INDEX('Standards for Conversions'!$H$34:$H$73,MATCH(CQ$3,'Standards for Conversions'!$A$34:$A$73,0))))</f>
        <v/>
      </c>
      <c r="CT102" s="10" t="s">
        <v>38</v>
      </c>
      <c r="CU102" s="7"/>
      <c r="CV102" s="7"/>
      <c r="CW102" s="31" t="str">
        <f>IF(CV102/(INDEX('Standards for Conversions'!$H$34:$H$73,MATCH(CU$3,'Standards for Conversions'!$A$34:$A$73,0)))=0,"",CV102/(INDEX('Standards for Conversions'!$H$34:$H$73,MATCH(CU$3,'Standards for Conversions'!$A$34:$A$73,0))))</f>
        <v/>
      </c>
      <c r="CX102" s="10" t="s">
        <v>38</v>
      </c>
      <c r="CY102" s="7"/>
      <c r="CZ102" s="7"/>
      <c r="DA102" s="31" t="str">
        <f>IF(CZ102/(INDEX('Standards for Conversions'!$H$34:$H$73,MATCH(CY$3,'Standards for Conversions'!$A$34:$A$73,0)))=0,"",CZ102/(INDEX('Standards for Conversions'!$H$34:$H$73,MATCH(CY$3,'Standards for Conversions'!$A$34:$A$73,0))))</f>
        <v/>
      </c>
      <c r="DB102" s="10" t="s">
        <v>38</v>
      </c>
      <c r="DC102" s="9"/>
      <c r="DD102" s="9"/>
      <c r="DE102" s="31" t="str">
        <f>IF(DD102/(INDEX('Standards for Conversions'!$H$34:$H$73,MATCH(DC$3,'Standards for Conversions'!$A$34:$A$73,0)))=0,"",DD102/(INDEX('Standards for Conversions'!$H$34:$H$73,MATCH(DC$3,'Standards for Conversions'!$A$34:$A$73,0))))</f>
        <v/>
      </c>
      <c r="DF102" s="10" t="s">
        <v>38</v>
      </c>
      <c r="DG102" s="7"/>
      <c r="DH102" s="7"/>
      <c r="DI102" s="31" t="str">
        <f>IF(DH102/(INDEX('Standards for Conversions'!$H$34:$H$73,MATCH(DG$3,'Standards for Conversions'!$A$34:$A$73,0)))=0,"",DH102/(INDEX('Standards for Conversions'!$H$34:$H$73,MATCH(DG$3,'Standards for Conversions'!$A$34:$A$73,0))))</f>
        <v/>
      </c>
      <c r="DJ102" s="10" t="s">
        <v>38</v>
      </c>
      <c r="DK102" s="7"/>
      <c r="DL102" s="7"/>
      <c r="DM102" s="31" t="str">
        <f>IF(DL102/(INDEX('Standards for Conversions'!$H$34:$H$73,MATCH(DK$3,'Standards for Conversions'!$A$34:$A$73,0)))=0,"",DL102/(INDEX('Standards for Conversions'!$H$34:$H$73,MATCH(DK$3,'Standards for Conversions'!$A$34:$A$73,0))))</f>
        <v/>
      </c>
      <c r="DN102" s="10" t="s">
        <v>38</v>
      </c>
      <c r="DO102" s="7"/>
      <c r="DP102" s="7"/>
      <c r="DQ102" s="31" t="str">
        <f>IF(DP102/(INDEX('Standards for Conversions'!$H$34:$H$73,MATCH(DO$3,'Standards for Conversions'!$A$34:$A$73,0)))=0,"",DP102/(INDEX('Standards for Conversions'!$H$34:$H$73,MATCH(DO$3,'Standards for Conversions'!$A$34:$A$73,0))))</f>
        <v/>
      </c>
      <c r="DR102" s="10" t="s">
        <v>38</v>
      </c>
      <c r="DS102" s="9"/>
      <c r="DT102" s="9"/>
      <c r="DU102" s="31" t="str">
        <f>IF(DT102/(INDEX('Standards for Conversions'!$H$34:$H$73,MATCH(DS$3,'Standards for Conversions'!$A$34:$A$73,0)))=0,"",DT102/(INDEX('Standards for Conversions'!$H$34:$H$73,MATCH(DS$3,'Standards for Conversions'!$A$34:$A$73,0))))</f>
        <v/>
      </c>
      <c r="DV102" s="10" t="s">
        <v>38</v>
      </c>
      <c r="DW102" s="7"/>
      <c r="DX102" s="7"/>
      <c r="DY102" s="31" t="str">
        <f>IF(DX102/(INDEX('Standards for Conversions'!$H$34:$H$73,MATCH(DW$3,'Standards for Conversions'!$A$34:$A$73,0)))=0,"",DX102/(INDEX('Standards for Conversions'!$H$34:$H$73,MATCH(DW$3,'Standards for Conversions'!$A$34:$A$73,0))))</f>
        <v/>
      </c>
      <c r="DZ102" s="10" t="s">
        <v>38</v>
      </c>
      <c r="EA102" s="7"/>
      <c r="EB102" s="7"/>
      <c r="EC102" s="31" t="str">
        <f>IF(EB102/(INDEX('Standards for Conversions'!$H$34:$H$73,MATCH(EA$3,'Standards for Conversions'!$A$34:$A$73,0)))=0,"",EB102/(INDEX('Standards for Conversions'!$H$34:$H$73,MATCH(EA$3,'Standards for Conversions'!$A$34:$A$73,0))))</f>
        <v/>
      </c>
      <c r="ED102" s="10" t="s">
        <v>38</v>
      </c>
      <c r="EE102" s="7"/>
      <c r="EF102" s="7"/>
      <c r="EG102" s="31" t="str">
        <f>IF(EF102/(INDEX('Standards for Conversions'!$H$34:$H$73,MATCH(EE$3,'Standards for Conversions'!$A$34:$A$73,0)))=0,"",EF102/(INDEX('Standards for Conversions'!$H$34:$H$73,MATCH(EE$3,'Standards for Conversions'!$A$34:$A$73,0))))</f>
        <v/>
      </c>
      <c r="EH102" s="10" t="s">
        <v>38</v>
      </c>
      <c r="EI102" s="9"/>
      <c r="EJ102" s="9"/>
      <c r="EK102" s="31" t="str">
        <f>IF(EJ102/(INDEX('Standards for Conversions'!$H$34:$H$73,MATCH(EI$3,'Standards for Conversions'!$A$34:$A$73,0)))=0,"",EJ102/(INDEX('Standards for Conversions'!$H$34:$H$73,MATCH(EI$3,'Standards for Conversions'!$A$34:$A$73,0))))</f>
        <v/>
      </c>
      <c r="EL102" s="10" t="s">
        <v>38</v>
      </c>
      <c r="EM102" s="7"/>
      <c r="EN102" s="7"/>
      <c r="EO102" s="31" t="str">
        <f>IF(EN102/(INDEX('Standards for Conversions'!$H$34:$H$73,MATCH(EM$3,'Standards for Conversions'!$A$34:$A$73,0)))=0,"",EN102/(INDEX('Standards for Conversions'!$H$34:$H$73,MATCH(EM$3,'Standards for Conversions'!$A$34:$A$73,0))))</f>
        <v/>
      </c>
      <c r="EP102" s="10" t="s">
        <v>38</v>
      </c>
      <c r="EQ102" s="7"/>
      <c r="ER102" s="7"/>
      <c r="ES102" s="31" t="str">
        <f>IF(ER102/(INDEX('Standards for Conversions'!$H$34:$H$73,MATCH(EQ$3,'Standards for Conversions'!$A$34:$A$73,0)))=0,"",ER102/(INDEX('Standards for Conversions'!$H$34:$H$73,MATCH(EQ$3,'Standards for Conversions'!$A$34:$A$73,0))))</f>
        <v/>
      </c>
      <c r="ET102" s="10" t="s">
        <v>38</v>
      </c>
      <c r="EU102" s="7"/>
      <c r="EV102" s="7"/>
      <c r="EW102" s="31" t="str">
        <f>IF(EV102/(INDEX('Standards for Conversions'!$H$34:$H$73,MATCH(EU$3,'Standards for Conversions'!$A$34:$A$73,0)))=0,"",EV102/(INDEX('Standards for Conversions'!$H$34:$H$73,MATCH(EU$3,'Standards for Conversions'!$A$34:$A$73,0))))</f>
        <v/>
      </c>
      <c r="EX102" s="10" t="s">
        <v>38</v>
      </c>
      <c r="EY102" s="9"/>
      <c r="EZ102" s="9"/>
      <c r="FA102" s="31" t="str">
        <f>IF(EZ102/(INDEX('Standards for Conversions'!$H$34:$H$73,MATCH(EY$3,'Standards for Conversions'!$A$34:$A$73,0)))=0,"",EZ102/(INDEX('Standards for Conversions'!$H$34:$H$73,MATCH(EY$3,'Standards for Conversions'!$A$34:$A$73,0))))</f>
        <v/>
      </c>
      <c r="FB102" s="10" t="s">
        <v>38</v>
      </c>
      <c r="FC102" s="7"/>
      <c r="FD102" s="7"/>
      <c r="FE102" s="31" t="str">
        <f>IF(FD102/(INDEX('Standards for Conversions'!$H$34:$H$73,MATCH(FC$3,'Standards for Conversions'!$A$34:$A$73,0)))=0,"",FD102/(INDEX('Standards for Conversions'!$H$34:$H$73,MATCH(FC$3,'Standards for Conversions'!$A$34:$A$73,0))))</f>
        <v/>
      </c>
      <c r="FF102" s="10" t="s">
        <v>38</v>
      </c>
      <c r="FG102" s="7"/>
      <c r="FH102" s="7"/>
      <c r="FI102" s="31" t="str">
        <f>IF(FH102/(INDEX('Standards for Conversions'!$H$34:$H$73,MATCH(FG$3,'Standards for Conversions'!$A$34:$A$73,0)))=0,"",FH102/(INDEX('Standards for Conversions'!$H$34:$H$73,MATCH(FG$3,'Standards for Conversions'!$A$34:$A$73,0))))</f>
        <v/>
      </c>
      <c r="FJ102" s="10" t="s">
        <v>38</v>
      </c>
      <c r="FK102" s="7"/>
      <c r="FL102" s="7"/>
      <c r="FM102" s="31" t="str">
        <f>IF(FL102/(INDEX('Standards for Conversions'!$H$34:$H$73,MATCH(FK$3,'Standards for Conversions'!$A$34:$A$73,0)))=0,"",FL102/(INDEX('Standards for Conversions'!$H$34:$H$73,MATCH(FK$3,'Standards for Conversions'!$A$34:$A$73,0))))</f>
        <v/>
      </c>
      <c r="FN102" s="10" t="s">
        <v>38</v>
      </c>
      <c r="FO102" s="9"/>
      <c r="FP102" s="9"/>
      <c r="FQ102" s="31" t="str">
        <f>IF(FP102/(INDEX('Standards for Conversions'!$H$34:$H$73,MATCH(FO$3,'Standards for Conversions'!$A$34:$A$73,0)))=0,"",FP102/(INDEX('Standards for Conversions'!$H$34:$H$73,MATCH(FO$3,'Standards for Conversions'!$A$34:$A$73,0))))</f>
        <v/>
      </c>
      <c r="FR102" s="10" t="s">
        <v>38</v>
      </c>
      <c r="FS102" s="7"/>
      <c r="FT102" s="7"/>
      <c r="FU102" s="31" t="str">
        <f>IF(FT102/(INDEX('Standards for Conversions'!$H$34:$H$73,MATCH(FS$3,'Standards for Conversions'!$A$34:$A$73,0)))=0,"",FT102/(INDEX('Standards for Conversions'!$H$34:$H$73,MATCH(FS$3,'Standards for Conversions'!$A$34:$A$73,0))))</f>
        <v/>
      </c>
      <c r="FV102" s="10" t="s">
        <v>38</v>
      </c>
      <c r="FW102" s="7"/>
      <c r="FX102" s="7"/>
      <c r="FY102" s="31" t="str">
        <f>IF(FX102/(INDEX('Standards for Conversions'!$H$34:$H$73,MATCH(FW$3,'Standards for Conversions'!$A$34:$A$73,0)))=0,"",FX102/(INDEX('Standards for Conversions'!$H$34:$H$73,MATCH(FW$3,'Standards for Conversions'!$A$34:$A$73,0))))</f>
        <v/>
      </c>
      <c r="FZ102" s="10" t="s">
        <v>38</v>
      </c>
      <c r="GA102" s="7"/>
      <c r="GB102" s="7"/>
      <c r="GC102" s="31" t="str">
        <f>IF(GB102/(INDEX('Standards for Conversions'!$H$34:$H$73,MATCH(GA$3,'Standards for Conversions'!$A$34:$A$73,0)))=0,"",GB102/(INDEX('Standards for Conversions'!$H$34:$H$73,MATCH(GA$3,'Standards for Conversions'!$A$34:$A$73,0))))</f>
        <v/>
      </c>
      <c r="GD102" s="10" t="s">
        <v>38</v>
      </c>
      <c r="GE102" s="9"/>
      <c r="GF102" s="9"/>
      <c r="GG102" s="31" t="str">
        <f>IF(GF102/(INDEX('Standards for Conversions'!$H$34:$H$73,MATCH(GE$3,'Standards for Conversions'!$A$34:$A$73,0)))=0,"",GF102/(INDEX('Standards for Conversions'!$H$34:$H$73,MATCH(GE$3,'Standards for Conversions'!$A$34:$A$73,0))))</f>
        <v/>
      </c>
      <c r="GH102" s="10" t="s">
        <v>38</v>
      </c>
      <c r="GI102" s="7"/>
      <c r="GJ102" s="7"/>
      <c r="GK102" s="31" t="str">
        <f>IF(GJ102/(INDEX('Standards for Conversions'!$H$34:$H$73,MATCH(GI$3,'Standards for Conversions'!$A$34:$A$73,0)))=0,"",GJ102/(INDEX('Standards for Conversions'!$H$34:$H$73,MATCH(GI$3,'Standards for Conversions'!$A$34:$A$73,0))))</f>
        <v/>
      </c>
      <c r="GL102" s="10" t="s">
        <v>38</v>
      </c>
      <c r="GM102" s="7"/>
      <c r="GN102" s="7"/>
      <c r="GO102" s="31" t="str">
        <f>IF(GN102/(INDEX('Standards for Conversions'!$H$34:$H$73,MATCH(GM$3,'Standards for Conversions'!$A$34:$A$73,0)))=0,"",GN102/(INDEX('Standards for Conversions'!$H$34:$H$73,MATCH(GM$3,'Standards for Conversions'!$A$34:$A$73,0))))</f>
        <v/>
      </c>
      <c r="GP102" s="10" t="s">
        <v>38</v>
      </c>
      <c r="GQ102" s="7"/>
      <c r="GR102" s="7"/>
      <c r="GS102" s="31" t="str">
        <f>IF(GR102/(INDEX('Standards for Conversions'!$H$34:$H$73,MATCH(GQ$3,'Standards for Conversions'!$A$34:$A$73,0)))=0,"",GR102/(INDEX('Standards for Conversions'!$H$34:$H$73,MATCH(GQ$3,'Standards for Conversions'!$A$34:$A$73,0))))</f>
        <v/>
      </c>
      <c r="GT102" s="10" t="s">
        <v>38</v>
      </c>
      <c r="GU102" s="9"/>
      <c r="GV102" s="9"/>
      <c r="GW102" s="31" t="str">
        <f>IF(GV102/(INDEX('Standards for Conversions'!$H$34:$H$73,MATCH(GU$3,'Standards for Conversions'!$A$34:$A$73,0)))=0,"",GV102/(INDEX('Standards for Conversions'!$H$34:$H$73,MATCH(GU$3,'Standards for Conversions'!$A$34:$A$73,0))))</f>
        <v/>
      </c>
      <c r="GX102" s="10" t="s">
        <v>38</v>
      </c>
      <c r="GY102" s="7"/>
      <c r="GZ102" s="7"/>
      <c r="HA102" s="31" t="str">
        <f>IF(GZ102/(INDEX('Standards for Conversions'!$H$34:$H$73,MATCH(GY$3,'Standards for Conversions'!$A$34:$A$73,0)))=0,"",GZ102/(INDEX('Standards for Conversions'!$H$34:$H$73,MATCH(GY$3,'Standards for Conversions'!$A$34:$A$73,0))))</f>
        <v/>
      </c>
      <c r="HB102" s="10" t="s">
        <v>38</v>
      </c>
      <c r="HC102" s="7"/>
      <c r="HD102" s="7"/>
      <c r="HE102" s="31" t="str">
        <f>IF(HD102/(INDEX('Standards for Conversions'!$H$34:$H$73,MATCH(HC$3,'Standards for Conversions'!$A$34:$A$73,0)))=0,"",HD102/(INDEX('Standards for Conversions'!$H$34:$H$73,MATCH(HC$3,'Standards for Conversions'!$A$34:$A$73,0))))</f>
        <v/>
      </c>
      <c r="HF102" s="10" t="s">
        <v>38</v>
      </c>
      <c r="HG102" s="7"/>
      <c r="HH102" s="7"/>
      <c r="HI102" s="31" t="str">
        <f>IF(HH102/(INDEX('Standards for Conversions'!$H$34:$H$73,MATCH(HG$3,'Standards for Conversions'!$A$34:$A$73,0)))=0,"",HH102/(INDEX('Standards for Conversions'!$H$34:$H$73,MATCH(HG$3,'Standards for Conversions'!$A$34:$A$73,0))))</f>
        <v/>
      </c>
      <c r="HJ102" s="10" t="s">
        <v>38</v>
      </c>
      <c r="HK102" s="9"/>
      <c r="HL102" s="9"/>
      <c r="HM102" s="31" t="str">
        <f>IF(HL102/(INDEX('Standards for Conversions'!$H$34:$H$73,MATCH(HK$3,'Standards for Conversions'!$A$34:$A$73,0)))=0,"",HL102/(INDEX('Standards for Conversions'!$H$34:$H$73,MATCH(HK$3,'Standards for Conversions'!$A$34:$A$73,0))))</f>
        <v/>
      </c>
      <c r="HN102" s="10" t="s">
        <v>38</v>
      </c>
      <c r="HO102" s="7"/>
      <c r="HP102" s="7"/>
      <c r="HQ102" s="31" t="str">
        <f>IF(HP102/(INDEX('Standards for Conversions'!$H$34:$H$73,MATCH(HO$3,'Standards for Conversions'!$A$34:$A$73,0)))=0,"",HP102/(INDEX('Standards for Conversions'!$H$34:$H$73,MATCH(HO$3,'Standards for Conversions'!$A$34:$A$73,0))))</f>
        <v/>
      </c>
      <c r="HR102" s="33" t="s">
        <v>38</v>
      </c>
      <c r="HU102" s="31" t="str">
        <f>IF(HT102/(INDEX('Standards for Conversions'!$H$47:$H$73,MATCH(HS$3,'Standards for Conversions'!$A$47:$A$73,0)))=0,"",HT102/(INDEX('Standards for Conversions'!$H$47:$H$73,MATCH(HS$3,'Standards for Conversions'!$A$47:$A$73,0))))</f>
        <v/>
      </c>
      <c r="HV102" s="33" t="s">
        <v>38</v>
      </c>
      <c r="HY102" s="31" t="str">
        <f>IF(HX102/(INDEX('Standards for Conversions'!$H$47:$H$73,MATCH(HW$3,'Standards for Conversions'!$A$47:$A$73,0)))=0,"",HX102/(INDEX('Standards for Conversions'!$H$47:$H$73,MATCH(HW$3,'Standards for Conversions'!$A$47:$A$73,0))))</f>
        <v/>
      </c>
      <c r="HZ102" s="33">
        <v>50</v>
      </c>
      <c r="IA102" s="33">
        <v>250</v>
      </c>
      <c r="IB102" s="31">
        <f>IF(IA102/(INDEX('Standards for Conversions'!$H$47:$H$73,MATCH(HZ$3,'Standards for Conversions'!$A$47:$A$73,0)))=0,"",IA102/(INDEX('Standards for Conversions'!$H$47:$H$73,MATCH(HZ$3,'Standards for Conversions'!$A$47:$A$73,0))))</f>
        <v>36.311353053213992</v>
      </c>
      <c r="IC102" s="33" t="s">
        <v>38</v>
      </c>
      <c r="IF102" s="31" t="str">
        <f>IF(IE102/(INDEX('Standards for Conversions'!$H$47:$H$73,MATCH(ID$3,'Standards for Conversions'!$A$47:$A$73,0)))=0,"",IE102/(INDEX('Standards for Conversions'!$H$47:$H$73,MATCH(ID$3,'Standards for Conversions'!$A$47:$A$73,0))))</f>
        <v/>
      </c>
      <c r="IG102" s="33" t="s">
        <v>38</v>
      </c>
      <c r="IJ102" s="31" t="str">
        <f>IF(II102/(INDEX('Standards for Conversions'!$H$47:$H$73,MATCH(IH$3,'Standards for Conversions'!$A$47:$A$73,0)))=0,"",II102/(INDEX('Standards for Conversions'!$H$47:$H$73,MATCH(IH$3,'Standards for Conversions'!$A$47:$A$73,0))))</f>
        <v/>
      </c>
      <c r="IK102" s="33" t="s">
        <v>38</v>
      </c>
      <c r="IN102" s="31" t="str">
        <f>IF(IM102/(INDEX('Standards for Conversions'!$H$47:$H$73,MATCH(IL$3,'Standards for Conversions'!$A$47:$A$73,0)))=0,"",IM102/(INDEX('Standards for Conversions'!$H$47:$H$73,MATCH(IL$3,'Standards for Conversions'!$A$47:$A$73,0))))</f>
        <v/>
      </c>
      <c r="IO102" s="33" t="s">
        <v>38</v>
      </c>
      <c r="IP102" s="29">
        <v>15</v>
      </c>
      <c r="IQ102" s="29">
        <v>65</v>
      </c>
      <c r="IR102" s="31">
        <f>IF(IQ102/(INDEX('Standards for Conversions'!$H$47:$H$73,MATCH(IP$3,'Standards for Conversions'!$A$47:$A$73,0)))=0,"",IQ102/(INDEX('Standards for Conversions'!$H$47:$H$73,MATCH(IP$3,'Standards for Conversions'!$A$47:$A$73,0))))</f>
        <v>9.3996648326381038</v>
      </c>
      <c r="IS102" s="33" t="s">
        <v>38</v>
      </c>
      <c r="IV102" s="31" t="str">
        <f>IF(IU102/(INDEX('Standards for Conversions'!$H$47:$H$73,MATCH(IT$3,'Standards for Conversions'!$A$47:$A$73,0)))=0,"",IU102/(INDEX('Standards for Conversions'!$H$47:$H$73,MATCH(IT$3,'Standards for Conversions'!$A$47:$A$73,0))))</f>
        <v/>
      </c>
      <c r="IW102" s="33" t="s">
        <v>38</v>
      </c>
      <c r="IZ102" s="31" t="str">
        <f>IF(IY102/(INDEX('Standards for Conversions'!$H$47:$H$73,MATCH(IX$3,'Standards for Conversions'!$A$47:$A$73,0)))=0,"",IY102/(INDEX('Standards for Conversions'!$H$47:$H$73,MATCH(IX$3,'Standards for Conversions'!$A$47:$A$73,0))))</f>
        <v/>
      </c>
      <c r="JA102" s="48" t="s">
        <v>38</v>
      </c>
      <c r="JD102" s="31" t="str">
        <f>IF(JC102/(INDEX('Standards for Conversions'!$H$47:$H$73,MATCH(JB$3,'Standards for Conversions'!$A$47:$A$73,0)))=0,"",JC102/(INDEX('Standards for Conversions'!$H$47:$H$73,MATCH(JB$3,'Standards for Conversions'!$A$47:$A$73,0))))</f>
        <v/>
      </c>
      <c r="JE102" s="48" t="s">
        <v>38</v>
      </c>
      <c r="JF102" s="29">
        <v>50</v>
      </c>
      <c r="JG102" s="29">
        <v>300</v>
      </c>
      <c r="JH102" s="31">
        <f>IF(JG102/(INDEX('Standards for Conversions'!$H$47:$H$73,MATCH(JF$3,'Standards for Conversions'!$A$47:$A$73,0)))=0,"",JG102/(INDEX('Standards for Conversions'!$H$47:$H$73,MATCH(JF$3,'Standards for Conversions'!$A$47:$A$73,0))))</f>
        <v>48.528059007560607</v>
      </c>
      <c r="JL102" s="31" t="str">
        <f>IF(JK102/(INDEX('Standards for Conversions'!$H$47:$H$73,MATCH(JJ$3,'Standards for Conversions'!$A$47:$A$73,0)))=0,"",JK102/(INDEX('Standards for Conversions'!$H$47:$H$73,MATCH(JJ$3,'Standards for Conversions'!$A$47:$A$73,0))))</f>
        <v/>
      </c>
      <c r="JM102" s="33" t="s">
        <v>38</v>
      </c>
      <c r="JP102" s="31" t="str">
        <f>IF(JO102/(INDEX('Standards for Conversions'!$H$47:$H$73,MATCH(JN$3,'Standards for Conversions'!$A$47:$A$73,0)))=0,"",JO102/(INDEX('Standards for Conversions'!$H$47:$H$73,MATCH(JN$3,'Standards for Conversions'!$A$47:$A$73,0))))</f>
        <v/>
      </c>
      <c r="JQ102" s="33" t="s">
        <v>38</v>
      </c>
      <c r="JT102" s="31" t="str">
        <f>IF(JS102/(INDEX('Standards for Conversions'!$H$47:$H$73,MATCH(JR$3,'Standards for Conversions'!$A$47:$A$73,0)))=0,"",JS102/(INDEX('Standards for Conversions'!$H$47:$H$73,MATCH(JR$3,'Standards for Conversions'!$A$47:$A$73,0))))</f>
        <v/>
      </c>
      <c r="JU102" s="33" t="s">
        <v>38</v>
      </c>
      <c r="JV102" s="29">
        <v>40</v>
      </c>
      <c r="JW102" s="29">
        <v>300</v>
      </c>
      <c r="JX102" s="31">
        <f>IF(JW102/(INDEX('Standards for Conversions'!$H$47:$H$73,MATCH(JV$3,'Standards for Conversions'!$A$47:$A$73,0)))=0,"",JW102/(INDEX('Standards for Conversions'!$H$47:$H$73,MATCH(JV$3,'Standards for Conversions'!$A$47:$A$73,0))))</f>
        <v>45.796767728339269</v>
      </c>
      <c r="JY102" s="33" t="s">
        <v>38</v>
      </c>
      <c r="KB102" s="31" t="str">
        <f>IF(KA102/(INDEX('Standards for Conversions'!$H$47:$H$73,MATCH(JZ$3,'Standards for Conversions'!$A$47:$A$73,0)))=0,"",KA102/(INDEX('Standards for Conversions'!$H$47:$H$73,MATCH(JZ$3,'Standards for Conversions'!$A$47:$A$73,0))))</f>
        <v/>
      </c>
      <c r="KC102" s="33" t="s">
        <v>38</v>
      </c>
      <c r="KF102" s="31" t="str">
        <f>IF(KE102/(INDEX('Standards for Conversions'!$H$47:$H$73,MATCH(KD$3,'Standards for Conversions'!$A$47:$A$73,0)))=0,"",KE102/(INDEX('Standards for Conversions'!$H$47:$H$73,MATCH(KD$3,'Standards for Conversions'!$A$47:$A$73,0))))</f>
        <v/>
      </c>
      <c r="KG102" s="33" t="s">
        <v>38</v>
      </c>
      <c r="KJ102" s="31" t="str">
        <f>IF(KI102/(INDEX('Standards for Conversions'!$H$47:$H$73,MATCH(KH$3,'Standards for Conversions'!$A$47:$A$73,0)))=0,"",KI102/(INDEX('Standards for Conversions'!$H$47:$H$73,MATCH(KH$3,'Standards for Conversions'!$A$47:$A$73,0))))</f>
        <v/>
      </c>
      <c r="KK102" s="33" t="s">
        <v>38</v>
      </c>
      <c r="KL102" s="29">
        <v>25</v>
      </c>
      <c r="KM102" s="29">
        <v>150</v>
      </c>
      <c r="KN102" s="31">
        <f>IF(KM102/(INDEX('Standards for Conversions'!$H$47:$H$73,MATCH(KL$3,'Standards for Conversions'!$A$47:$A$73,0)))=0,"",KM102/(INDEX('Standards for Conversions'!$H$47:$H$73,MATCH(KL$3,'Standards for Conversions'!$A$47:$A$73,0))))</f>
        <v>20.198851785869469</v>
      </c>
      <c r="KO102" s="33" t="s">
        <v>38</v>
      </c>
      <c r="KR102" s="31" t="str">
        <f>IF(KQ102/(INDEX('Standards for Conversions'!$H$47:$H$73,MATCH(KP$3,'Standards for Conversions'!$A$47:$A$73,0)))=0,"",KQ102/(INDEX('Standards for Conversions'!$H$47:$H$73,MATCH(KP$3,'Standards for Conversions'!$A$47:$A$73,0))))</f>
        <v/>
      </c>
      <c r="KS102" s="33" t="s">
        <v>38</v>
      </c>
      <c r="KV102" s="31" t="str">
        <f>IF(KU102/(INDEX('Standards for Conversions'!$H$47:$H$73,MATCH(KT$3,'Standards for Conversions'!$A$47:$A$73,0)))=0,"",KU102/(INDEX('Standards for Conversions'!$H$47:$H$73,MATCH(KT$3,'Standards for Conversions'!$A$47:$A$73,0))))</f>
        <v/>
      </c>
      <c r="KW102" s="48" t="s">
        <v>38</v>
      </c>
      <c r="KZ102" s="31" t="str">
        <f>IF(KY102/(INDEX('Standards for Conversions'!$H$47:$H$73,MATCH(KX$3,'Standards for Conversions'!$A$47:$A$73,0)))=0,"",KY102/(INDEX('Standards for Conversions'!$H$47:$H$73,MATCH(KX$3,'Standards for Conversions'!$A$47:$A$73,0))))</f>
        <v/>
      </c>
      <c r="LA102" s="48" t="s">
        <v>38</v>
      </c>
      <c r="LB102" s="29">
        <v>17</v>
      </c>
      <c r="LC102" s="29">
        <v>75</v>
      </c>
      <c r="LD102" s="31">
        <f>IF(LC102/(INDEX('Standards for Conversions'!$H$47:$H$73,MATCH(LB$3,'Standards for Conversions'!$A$47:$A$73,0)))=0,"",LC102/(INDEX('Standards for Conversions'!$H$47:$H$73,MATCH(LB$3,'Standards for Conversions'!$A$47:$A$73,0))))</f>
        <v>9.1212425045624386</v>
      </c>
      <c r="LH102" s="31" t="str">
        <f>IF(LG102/(INDEX('Standards for Conversions'!$H$47:$H$73,MATCH(LF$3,'Standards for Conversions'!$A$47:$A$73,0)))=0,"",LG102/(INDEX('Standards for Conversions'!$H$47:$H$73,MATCH(LF$3,'Standards for Conversions'!$A$47:$A$73,0))))</f>
        <v/>
      </c>
      <c r="LL102" s="31" t="str">
        <f>IF(LK102/(INDEX('Standards for Conversions'!$H$47:$H$73,MATCH(LJ$3,'Standards for Conversions'!$A$47:$A$73,0)))=0,"",LK102/(INDEX('Standards for Conversions'!$H$47:$H$73,MATCH(LJ$3,'Standards for Conversions'!$A$47:$A$73,0))))</f>
        <v/>
      </c>
      <c r="LO102" s="31" t="str">
        <f>IF(LN102/(INDEX('Standards for Conversions'!$H$47:$H$73,MATCH(LM$3,'Standards for Conversions'!$A$47:$A$73,0)))=0,"",LN102/(INDEX('Standards for Conversions'!$H$47:$H$73,MATCH(LM$3,'Standards for Conversions'!$A$47:$A$73,0))))</f>
        <v/>
      </c>
      <c r="LR102" s="31" t="str">
        <f>IF(LQ102/(INDEX('Standards for Conversions'!$H$47:$H$73,MATCH(LP$3,'Standards for Conversions'!$A$47:$A$73,0)))=0,"",LQ102/(INDEX('Standards for Conversions'!$H$47:$H$73,MATCH(LP$3,'Standards for Conversions'!$A$47:$A$73,0))))</f>
        <v/>
      </c>
      <c r="LV102" s="31" t="str">
        <f>IF(LU102/(INDEX('Standards for Conversions'!$H$47:$H$73,MATCH(LT$3,'Standards for Conversions'!$A$47:$A$73,0)))=0,"",LU102/(INDEX('Standards for Conversions'!$H$47:$H$73,MATCH(LT$3,'Standards for Conversions'!$A$47:$A$73,0))))</f>
        <v/>
      </c>
      <c r="LY102" s="31" t="str">
        <f>IF(LX102/(INDEX('Standards for Conversions'!$H$47:$H$73,MATCH(LW$3,'Standards for Conversions'!$A$47:$A$73,0)))=0,"",LX102/(INDEX('Standards for Conversions'!$H$47:$H$73,MATCH(LW$3,'Standards for Conversions'!$A$47:$A$73,0))))</f>
        <v/>
      </c>
      <c r="MB102" s="31" t="str">
        <f>IF(MA102/(INDEX('Standards for Conversions'!$H$47:$H$73,MATCH(LZ$3,'Standards for Conversions'!$A$47:$A$73,0)))=0,"",MA102/(INDEX('Standards for Conversions'!$H$47:$H$73,MATCH(LZ$3,'Standards for Conversions'!$A$47:$A$73,0))))</f>
        <v/>
      </c>
      <c r="ME102" s="31" t="str">
        <f>IF(MD102/(INDEX('Standards for Conversions'!$H$47:$H$73,MATCH(MC$3,'Standards for Conversions'!$A$47:$A$73,0)))=0,"",MD102/(INDEX('Standards for Conversions'!$H$47:$H$73,MATCH(MC$3,'Standards for Conversions'!$A$47:$A$73,0))))</f>
        <v/>
      </c>
      <c r="MH102" s="31" t="str">
        <f>IF(MG102/(INDEX('Standards for Conversions'!$H$47:$H$73,MATCH(MF$3,'Standards for Conversions'!$A$47:$A$73,0)))=0,"",MG102/(INDEX('Standards for Conversions'!$H$47:$H$73,MATCH(MF$3,'Standards for Conversions'!$A$47:$A$73,0))))</f>
        <v/>
      </c>
      <c r="MK102" s="31" t="str">
        <f>IF(MJ102/(INDEX('Standards for Conversions'!$H$47:$H$73,MATCH(MI$3,'Standards for Conversions'!$A$47:$A$73,0)))=0,"",MJ102/(INDEX('Standards for Conversions'!$H$47:$H$73,MATCH(MI$3,'Standards for Conversions'!$A$47:$A$73,0))))</f>
        <v/>
      </c>
      <c r="MN102" s="31" t="str">
        <f>IF(MM102/(INDEX('Standards for Conversions'!$H$47:$H$73,MATCH(ML$3,'Standards for Conversions'!$A$47:$A$73,0)))=0,"",MM102/(INDEX('Standards for Conversions'!$H$47:$H$73,MATCH(ML$3,'Standards for Conversions'!$A$47:$A$73,0))))</f>
        <v/>
      </c>
      <c r="MR102" s="31" t="str">
        <f>IF(MQ102/(INDEX('Standards for Conversions'!$H$47:$H$73,MATCH(MP$3,'Standards for Conversions'!$A$47:$A$73,0)))=0,"",MQ102/(INDEX('Standards for Conversions'!$H$47:$H$73,MATCH(MP$3,'Standards for Conversions'!$A$47:$A$73,0))))</f>
        <v/>
      </c>
    </row>
    <row r="103" spans="1:373" hidden="1" x14ac:dyDescent="0.3">
      <c r="A103" s="103" t="s">
        <v>269</v>
      </c>
      <c r="B103" s="10" t="s">
        <v>38</v>
      </c>
      <c r="C103" s="7"/>
      <c r="D103" s="7"/>
      <c r="E103" s="31" t="str">
        <f>IF(D103/(INDEX('Standards for Conversions'!$H$34:$H$73,MATCH(C$3,'Standards for Conversions'!$A$34:$A$73,0)))=0,"",D103/(INDEX('Standards for Conversions'!$H$34:$H$73,MATCH(C$3,'Standards for Conversions'!$A$34:$A$73,0))))</f>
        <v/>
      </c>
      <c r="F103" s="10" t="s">
        <v>38</v>
      </c>
      <c r="G103" s="7"/>
      <c r="H103" s="7"/>
      <c r="I103" s="31" t="str">
        <f>IF(H103/(INDEX('Standards for Conversions'!$H$34:$H$73,MATCH(G$3,'Standards for Conversions'!$A$34:$A$73,0)))=0,"",H103/(INDEX('Standards for Conversions'!$H$34:$H$73,MATCH(G$3,'Standards for Conversions'!$A$34:$A$73,0))))</f>
        <v/>
      </c>
      <c r="J103" s="10" t="s">
        <v>38</v>
      </c>
      <c r="K103" s="9"/>
      <c r="L103" s="9"/>
      <c r="M103" s="31" t="str">
        <f>IF(L103/(INDEX('Standards for Conversions'!$H$34:$H$73,MATCH(K$3,'Standards for Conversions'!$A$34:$A$73,0)))=0,"",L103/(INDEX('Standards for Conversions'!$H$34:$H$73,MATCH(K$3,'Standards for Conversions'!$A$34:$A$73,0))))</f>
        <v/>
      </c>
      <c r="N103" s="10" t="s">
        <v>38</v>
      </c>
      <c r="O103" s="7"/>
      <c r="P103" s="7"/>
      <c r="Q103" s="31" t="str">
        <f>IF(P103/(INDEX('Standards for Conversions'!$H$34:$H$73,MATCH(O$3,'Standards for Conversions'!$A$34:$A$73,0)))=0,"",P103/(INDEX('Standards for Conversions'!$H$34:$H$73,MATCH(O$3,'Standards for Conversions'!$A$34:$A$73,0))))</f>
        <v/>
      </c>
      <c r="R103" s="10" t="s">
        <v>38</v>
      </c>
      <c r="S103" s="7"/>
      <c r="T103" s="7"/>
      <c r="U103" s="31" t="str">
        <f>IF(T103/(INDEX('Standards for Conversions'!$H$34:$H$73,MATCH(S$3,'Standards for Conversions'!$A$34:$A$73,0)))=0,"",T103/(INDEX('Standards for Conversions'!$H$34:$H$73,MATCH(S$3,'Standards for Conversions'!$A$34:$A$73,0))))</f>
        <v/>
      </c>
      <c r="V103" s="10" t="s">
        <v>38</v>
      </c>
      <c r="W103" s="7"/>
      <c r="X103" s="7"/>
      <c r="Y103" s="31" t="str">
        <f>IF(X103/(INDEX('Standards for Conversions'!$H$34:$H$73,MATCH(W$3,'Standards for Conversions'!$A$34:$A$73,0)))=0,"",X103/(INDEX('Standards for Conversions'!$H$34:$H$73,MATCH(W$3,'Standards for Conversions'!$A$34:$A$73,0))))</f>
        <v/>
      </c>
      <c r="Z103" s="10" t="s">
        <v>38</v>
      </c>
      <c r="AA103" s="9"/>
      <c r="AB103" s="9"/>
      <c r="AC103" s="31" t="str">
        <f>IF(AB103/(INDEX('Standards for Conversions'!$H$34:$H$73,MATCH(AA$3,'Standards for Conversions'!$A$34:$A$73,0)))=0,"",AB103/(INDEX('Standards for Conversions'!$H$34:$H$73,MATCH(AA$3,'Standards for Conversions'!$A$34:$A$73,0))))</f>
        <v/>
      </c>
      <c r="AD103" s="10" t="s">
        <v>38</v>
      </c>
      <c r="AE103" s="7"/>
      <c r="AF103" s="7"/>
      <c r="AG103" s="31" t="str">
        <f>IF(AF103/(INDEX('Standards for Conversions'!$H$34:$H$73,MATCH(AE$3,'Standards for Conversions'!$A$34:$A$73,0)))=0,"",AF103/(INDEX('Standards for Conversions'!$H$34:$H$73,MATCH(AE$3,'Standards for Conversions'!$A$34:$A$73,0))))</f>
        <v/>
      </c>
      <c r="AH103" s="10" t="s">
        <v>38</v>
      </c>
      <c r="AI103" s="7"/>
      <c r="AJ103" s="7"/>
      <c r="AK103" s="31" t="str">
        <f>IF(AJ103/(INDEX('Standards for Conversions'!$H$34:$H$73,MATCH(AI$3,'Standards for Conversions'!$A$34:$A$73,0)))=0,"",AJ103/(INDEX('Standards for Conversions'!$H$34:$H$73,MATCH(AI$3,'Standards for Conversions'!$A$34:$A$73,0))))</f>
        <v/>
      </c>
      <c r="AL103" s="10" t="s">
        <v>38</v>
      </c>
      <c r="AM103" s="7"/>
      <c r="AN103" s="7"/>
      <c r="AO103" s="31" t="str">
        <f>IF(AN103/(INDEX('Standards for Conversions'!$H$34:$H$73,MATCH(AM$3,'Standards for Conversions'!$A$34:$A$73,0)))=0,"",AN103/(INDEX('Standards for Conversions'!$H$34:$H$73,MATCH(AM$3,'Standards for Conversions'!$A$34:$A$73,0))))</f>
        <v/>
      </c>
      <c r="AP103" s="10" t="s">
        <v>38</v>
      </c>
      <c r="AQ103" s="9"/>
      <c r="AR103" s="9"/>
      <c r="AS103" s="31" t="str">
        <f>IF(AR103/(INDEX('Standards for Conversions'!$H$34:$H$73,MATCH(AQ$3,'Standards for Conversions'!$A$34:$A$73,0)))=0,"",AR103/(INDEX('Standards for Conversions'!$H$34:$H$73,MATCH(AQ$3,'Standards for Conversions'!$A$34:$A$73,0))))</f>
        <v/>
      </c>
      <c r="AT103" s="10" t="s">
        <v>38</v>
      </c>
      <c r="AU103" s="7"/>
      <c r="AV103" s="7"/>
      <c r="AW103" s="31" t="str">
        <f>IF(AV103/(INDEX('Standards for Conversions'!$H$34:$H$73,MATCH(AU$3,'Standards for Conversions'!$A$34:$A$73,0)))=0,"",AV103/(INDEX('Standards for Conversions'!$H$34:$H$73,MATCH(AU$3,'Standards for Conversions'!$A$34:$A$73,0))))</f>
        <v/>
      </c>
      <c r="AX103" s="10" t="s">
        <v>38</v>
      </c>
      <c r="AY103" s="7"/>
      <c r="AZ103" s="7"/>
      <c r="BA103" s="31" t="str">
        <f>IF(AZ103/(INDEX('Standards for Conversions'!$H$34:$H$73,MATCH(AY$3,'Standards for Conversions'!$A$34:$A$73,0)))=0,"",AZ103/(INDEX('Standards for Conversions'!$H$34:$H$73,MATCH(AY$3,'Standards for Conversions'!$A$34:$A$73,0))))</f>
        <v/>
      </c>
      <c r="BB103" s="10" t="s">
        <v>38</v>
      </c>
      <c r="BC103" s="7"/>
      <c r="BD103" s="7"/>
      <c r="BE103" s="31" t="str">
        <f>IF(BD103/(INDEX('Standards for Conversions'!$H$34:$H$73,MATCH(BC$3,'Standards for Conversions'!$A$34:$A$73,0)))=0,"",BD103/(INDEX('Standards for Conversions'!$H$34:$H$73,MATCH(BC$3,'Standards for Conversions'!$A$34:$A$73,0))))</f>
        <v/>
      </c>
      <c r="BF103" s="10" t="s">
        <v>38</v>
      </c>
      <c r="BG103" s="9"/>
      <c r="BH103" s="9"/>
      <c r="BI103" s="31" t="str">
        <f>IF(BH103/(INDEX('Standards for Conversions'!$H$34:$H$73,MATCH(BG$3,'Standards for Conversions'!$A$34:$A$73,0)))=0,"",BH103/(INDEX('Standards for Conversions'!$H$34:$H$73,MATCH(BG$3,'Standards for Conversions'!$A$34:$A$73,0))))</f>
        <v/>
      </c>
      <c r="BJ103" s="10" t="s">
        <v>38</v>
      </c>
      <c r="BK103" s="7"/>
      <c r="BL103" s="7"/>
      <c r="BM103" s="31" t="str">
        <f>IF(BL103/(INDEX('Standards for Conversions'!$H$34:$H$73,MATCH(BK$3,'Standards for Conversions'!$A$34:$A$73,0)))=0,"",BL103/(INDEX('Standards for Conversions'!$H$34:$H$73,MATCH(BK$3,'Standards for Conversions'!$A$34:$A$73,0))))</f>
        <v/>
      </c>
      <c r="BN103" s="10" t="s">
        <v>38</v>
      </c>
      <c r="BO103" s="7"/>
      <c r="BP103" s="7"/>
      <c r="BQ103" s="31" t="str">
        <f>IF(BP103/(INDEX('Standards for Conversions'!$H$34:$H$73,MATCH(BO$3,'Standards for Conversions'!$A$34:$A$73,0)))=0,"",BP103/(INDEX('Standards for Conversions'!$H$34:$H$73,MATCH(BO$3,'Standards for Conversions'!$A$34:$A$73,0))))</f>
        <v/>
      </c>
      <c r="BR103" s="10" t="s">
        <v>38</v>
      </c>
      <c r="BS103" s="7"/>
      <c r="BT103" s="7"/>
      <c r="BU103" s="31" t="str">
        <f>IF(BT103/(INDEX('Standards for Conversions'!$H$34:$H$73,MATCH(BS$3,'Standards for Conversions'!$A$34:$A$73,0)))=0,"",BT103/(INDEX('Standards for Conversions'!$H$34:$H$73,MATCH(BS$3,'Standards for Conversions'!$A$34:$A$73,0))))</f>
        <v/>
      </c>
      <c r="BV103" s="10" t="s">
        <v>38</v>
      </c>
      <c r="BW103" s="9"/>
      <c r="BX103" s="9"/>
      <c r="BY103" s="31" t="str">
        <f>IF(BX103/(INDEX('Standards for Conversions'!$H$34:$H$73,MATCH(BW$3,'Standards for Conversions'!$A$34:$A$73,0)))=0,"",BX103/(INDEX('Standards for Conversions'!$H$34:$H$73,MATCH(BW$3,'Standards for Conversions'!$A$34:$A$73,0))))</f>
        <v/>
      </c>
      <c r="BZ103" s="10" t="s">
        <v>38</v>
      </c>
      <c r="CA103" s="7"/>
      <c r="CB103" s="7"/>
      <c r="CC103" s="31" t="str">
        <f>IF(CB103/(INDEX('Standards for Conversions'!$H$34:$H$73,MATCH(CA$3,'Standards for Conversions'!$A$34:$A$73,0)))=0,"",CB103/(INDEX('Standards for Conversions'!$H$34:$H$73,MATCH(CA$3,'Standards for Conversions'!$A$34:$A$73,0))))</f>
        <v/>
      </c>
      <c r="CD103" s="10" t="s">
        <v>38</v>
      </c>
      <c r="CE103" s="7"/>
      <c r="CF103" s="7"/>
      <c r="CG103" s="31" t="str">
        <f>IF(CF103/(INDEX('Standards for Conversions'!$H$34:$H$73,MATCH(CE$3,'Standards for Conversions'!$A$34:$A$73,0)))=0,"",CF103/(INDEX('Standards for Conversions'!$H$34:$H$73,MATCH(CE$3,'Standards for Conversions'!$A$34:$A$73,0))))</f>
        <v/>
      </c>
      <c r="CH103" s="10" t="s">
        <v>38</v>
      </c>
      <c r="CI103" s="7"/>
      <c r="CJ103" s="7"/>
      <c r="CK103" s="31" t="str">
        <f>IF(CJ103/(INDEX('Standards for Conversions'!$H$34:$H$73,MATCH(CI$3,'Standards for Conversions'!$A$34:$A$73,0)))=0,"",CJ103/(INDEX('Standards for Conversions'!$H$34:$H$73,MATCH(CI$3,'Standards for Conversions'!$A$34:$A$73,0))))</f>
        <v/>
      </c>
      <c r="CL103" s="10" t="s">
        <v>38</v>
      </c>
      <c r="CM103" s="9"/>
      <c r="CN103" s="9"/>
      <c r="CO103" s="31" t="str">
        <f>IF(CN103/(INDEX('Standards for Conversions'!$H$34:$H$73,MATCH(CM$3,'Standards for Conversions'!$A$34:$A$73,0)))=0,"",CN103/(INDEX('Standards for Conversions'!$H$34:$H$73,MATCH(CM$3,'Standards for Conversions'!$A$34:$A$73,0))))</f>
        <v/>
      </c>
      <c r="CP103" s="10" t="s">
        <v>38</v>
      </c>
      <c r="CQ103" s="7"/>
      <c r="CR103" s="7"/>
      <c r="CS103" s="31" t="str">
        <f>IF(CR103/(INDEX('Standards for Conversions'!$H$34:$H$73,MATCH(CQ$3,'Standards for Conversions'!$A$34:$A$73,0)))=0,"",CR103/(INDEX('Standards for Conversions'!$H$34:$H$73,MATCH(CQ$3,'Standards for Conversions'!$A$34:$A$73,0))))</f>
        <v/>
      </c>
      <c r="CT103" s="10" t="s">
        <v>38</v>
      </c>
      <c r="CU103" s="7"/>
      <c r="CV103" s="7"/>
      <c r="CW103" s="31" t="str">
        <f>IF(CV103/(INDEX('Standards for Conversions'!$H$34:$H$73,MATCH(CU$3,'Standards for Conversions'!$A$34:$A$73,0)))=0,"",CV103/(INDEX('Standards for Conversions'!$H$34:$H$73,MATCH(CU$3,'Standards for Conversions'!$A$34:$A$73,0))))</f>
        <v/>
      </c>
      <c r="CX103" s="10" t="s">
        <v>38</v>
      </c>
      <c r="CY103" s="7"/>
      <c r="CZ103" s="7"/>
      <c r="DA103" s="31" t="str">
        <f>IF(CZ103/(INDEX('Standards for Conversions'!$H$34:$H$73,MATCH(CY$3,'Standards for Conversions'!$A$34:$A$73,0)))=0,"",CZ103/(INDEX('Standards for Conversions'!$H$34:$H$73,MATCH(CY$3,'Standards for Conversions'!$A$34:$A$73,0))))</f>
        <v/>
      </c>
      <c r="DB103" s="10" t="s">
        <v>38</v>
      </c>
      <c r="DC103" s="9"/>
      <c r="DD103" s="9"/>
      <c r="DE103" s="31" t="str">
        <f>IF(DD103/(INDEX('Standards for Conversions'!$H$34:$H$73,MATCH(DC$3,'Standards for Conversions'!$A$34:$A$73,0)))=0,"",DD103/(INDEX('Standards for Conversions'!$H$34:$H$73,MATCH(DC$3,'Standards for Conversions'!$A$34:$A$73,0))))</f>
        <v/>
      </c>
      <c r="DF103" s="10" t="s">
        <v>38</v>
      </c>
      <c r="DG103" s="7"/>
      <c r="DH103" s="7"/>
      <c r="DI103" s="31" t="str">
        <f>IF(DH103/(INDEX('Standards for Conversions'!$H$34:$H$73,MATCH(DG$3,'Standards for Conversions'!$A$34:$A$73,0)))=0,"",DH103/(INDEX('Standards for Conversions'!$H$34:$H$73,MATCH(DG$3,'Standards for Conversions'!$A$34:$A$73,0))))</f>
        <v/>
      </c>
      <c r="DJ103" s="10" t="s">
        <v>38</v>
      </c>
      <c r="DK103" s="7"/>
      <c r="DL103" s="7"/>
      <c r="DM103" s="31" t="str">
        <f>IF(DL103/(INDEX('Standards for Conversions'!$H$34:$H$73,MATCH(DK$3,'Standards for Conversions'!$A$34:$A$73,0)))=0,"",DL103/(INDEX('Standards for Conversions'!$H$34:$H$73,MATCH(DK$3,'Standards for Conversions'!$A$34:$A$73,0))))</f>
        <v/>
      </c>
      <c r="DN103" s="10" t="s">
        <v>38</v>
      </c>
      <c r="DO103" s="7"/>
      <c r="DP103" s="7"/>
      <c r="DQ103" s="31" t="str">
        <f>IF(DP103/(INDEX('Standards for Conversions'!$H$34:$H$73,MATCH(DO$3,'Standards for Conversions'!$A$34:$A$73,0)))=0,"",DP103/(INDEX('Standards for Conversions'!$H$34:$H$73,MATCH(DO$3,'Standards for Conversions'!$A$34:$A$73,0))))</f>
        <v/>
      </c>
      <c r="DR103" s="10" t="s">
        <v>38</v>
      </c>
      <c r="DS103" s="9"/>
      <c r="DT103" s="9"/>
      <c r="DU103" s="31" t="str">
        <f>IF(DT103/(INDEX('Standards for Conversions'!$H$34:$H$73,MATCH(DS$3,'Standards for Conversions'!$A$34:$A$73,0)))=0,"",DT103/(INDEX('Standards for Conversions'!$H$34:$H$73,MATCH(DS$3,'Standards for Conversions'!$A$34:$A$73,0))))</f>
        <v/>
      </c>
      <c r="DV103" s="10" t="s">
        <v>38</v>
      </c>
      <c r="DW103" s="7"/>
      <c r="DX103" s="7"/>
      <c r="DY103" s="31" t="str">
        <f>IF(DX103/(INDEX('Standards for Conversions'!$H$34:$H$73,MATCH(DW$3,'Standards for Conversions'!$A$34:$A$73,0)))=0,"",DX103/(INDEX('Standards for Conversions'!$H$34:$H$73,MATCH(DW$3,'Standards for Conversions'!$A$34:$A$73,0))))</f>
        <v/>
      </c>
      <c r="DZ103" s="10" t="s">
        <v>38</v>
      </c>
      <c r="EA103" s="7"/>
      <c r="EB103" s="7"/>
      <c r="EC103" s="31" t="str">
        <f>IF(EB103/(INDEX('Standards for Conversions'!$H$34:$H$73,MATCH(EA$3,'Standards for Conversions'!$A$34:$A$73,0)))=0,"",EB103/(INDEX('Standards for Conversions'!$H$34:$H$73,MATCH(EA$3,'Standards for Conversions'!$A$34:$A$73,0))))</f>
        <v/>
      </c>
      <c r="ED103" s="10" t="s">
        <v>38</v>
      </c>
      <c r="EE103" s="7"/>
      <c r="EF103" s="7"/>
      <c r="EG103" s="31" t="str">
        <f>IF(EF103/(INDEX('Standards for Conversions'!$H$34:$H$73,MATCH(EE$3,'Standards for Conversions'!$A$34:$A$73,0)))=0,"",EF103/(INDEX('Standards for Conversions'!$H$34:$H$73,MATCH(EE$3,'Standards for Conversions'!$A$34:$A$73,0))))</f>
        <v/>
      </c>
      <c r="EH103" s="10" t="s">
        <v>38</v>
      </c>
      <c r="EI103" s="9"/>
      <c r="EJ103" s="9"/>
      <c r="EK103" s="31" t="str">
        <f>IF(EJ103/(INDEX('Standards for Conversions'!$H$34:$H$73,MATCH(EI$3,'Standards for Conversions'!$A$34:$A$73,0)))=0,"",EJ103/(INDEX('Standards for Conversions'!$H$34:$H$73,MATCH(EI$3,'Standards for Conversions'!$A$34:$A$73,0))))</f>
        <v/>
      </c>
      <c r="EL103" s="10" t="s">
        <v>38</v>
      </c>
      <c r="EM103" s="7"/>
      <c r="EN103" s="7"/>
      <c r="EO103" s="31" t="str">
        <f>IF(EN103/(INDEX('Standards for Conversions'!$H$34:$H$73,MATCH(EM$3,'Standards for Conversions'!$A$34:$A$73,0)))=0,"",EN103/(INDEX('Standards for Conversions'!$H$34:$H$73,MATCH(EM$3,'Standards for Conversions'!$A$34:$A$73,0))))</f>
        <v/>
      </c>
      <c r="EP103" s="10" t="s">
        <v>38</v>
      </c>
      <c r="EQ103" s="7"/>
      <c r="ER103" s="7"/>
      <c r="ES103" s="31" t="str">
        <f>IF(ER103/(INDEX('Standards for Conversions'!$H$34:$H$73,MATCH(EQ$3,'Standards for Conversions'!$A$34:$A$73,0)))=0,"",ER103/(INDEX('Standards for Conversions'!$H$34:$H$73,MATCH(EQ$3,'Standards for Conversions'!$A$34:$A$73,0))))</f>
        <v/>
      </c>
      <c r="ET103" s="10" t="s">
        <v>38</v>
      </c>
      <c r="EU103" s="7"/>
      <c r="EV103" s="7"/>
      <c r="EW103" s="31" t="str">
        <f>IF(EV103/(INDEX('Standards for Conversions'!$H$34:$H$73,MATCH(EU$3,'Standards for Conversions'!$A$34:$A$73,0)))=0,"",EV103/(INDEX('Standards for Conversions'!$H$34:$H$73,MATCH(EU$3,'Standards for Conversions'!$A$34:$A$73,0))))</f>
        <v/>
      </c>
      <c r="EX103" s="10" t="s">
        <v>38</v>
      </c>
      <c r="EY103" s="9"/>
      <c r="EZ103" s="9"/>
      <c r="FA103" s="31" t="str">
        <f>IF(EZ103/(INDEX('Standards for Conversions'!$H$34:$H$73,MATCH(EY$3,'Standards for Conversions'!$A$34:$A$73,0)))=0,"",EZ103/(INDEX('Standards for Conversions'!$H$34:$H$73,MATCH(EY$3,'Standards for Conversions'!$A$34:$A$73,0))))</f>
        <v/>
      </c>
      <c r="FB103" s="10" t="s">
        <v>38</v>
      </c>
      <c r="FC103" s="7"/>
      <c r="FD103" s="7"/>
      <c r="FE103" s="31" t="str">
        <f>IF(FD103/(INDEX('Standards for Conversions'!$H$34:$H$73,MATCH(FC$3,'Standards for Conversions'!$A$34:$A$73,0)))=0,"",FD103/(INDEX('Standards for Conversions'!$H$34:$H$73,MATCH(FC$3,'Standards for Conversions'!$A$34:$A$73,0))))</f>
        <v/>
      </c>
      <c r="FF103" s="10" t="s">
        <v>38</v>
      </c>
      <c r="FG103" s="7"/>
      <c r="FH103" s="7"/>
      <c r="FI103" s="31" t="str">
        <f>IF(FH103/(INDEX('Standards for Conversions'!$H$34:$H$73,MATCH(FG$3,'Standards for Conversions'!$A$34:$A$73,0)))=0,"",FH103/(INDEX('Standards for Conversions'!$H$34:$H$73,MATCH(FG$3,'Standards for Conversions'!$A$34:$A$73,0))))</f>
        <v/>
      </c>
      <c r="FJ103" s="10" t="s">
        <v>38</v>
      </c>
      <c r="FK103" s="7"/>
      <c r="FL103" s="7"/>
      <c r="FM103" s="31" t="str">
        <f>IF(FL103/(INDEX('Standards for Conversions'!$H$34:$H$73,MATCH(FK$3,'Standards for Conversions'!$A$34:$A$73,0)))=0,"",FL103/(INDEX('Standards for Conversions'!$H$34:$H$73,MATCH(FK$3,'Standards for Conversions'!$A$34:$A$73,0))))</f>
        <v/>
      </c>
      <c r="FN103" s="10" t="s">
        <v>38</v>
      </c>
      <c r="FO103" s="9"/>
      <c r="FP103" s="9"/>
      <c r="FQ103" s="31" t="str">
        <f>IF(FP103/(INDEX('Standards for Conversions'!$H$34:$H$73,MATCH(FO$3,'Standards for Conversions'!$A$34:$A$73,0)))=0,"",FP103/(INDEX('Standards for Conversions'!$H$34:$H$73,MATCH(FO$3,'Standards for Conversions'!$A$34:$A$73,0))))</f>
        <v/>
      </c>
      <c r="FR103" s="10" t="s">
        <v>38</v>
      </c>
      <c r="FS103" s="7"/>
      <c r="FT103" s="7"/>
      <c r="FU103" s="31" t="str">
        <f>IF(FT103/(INDEX('Standards for Conversions'!$H$34:$H$73,MATCH(FS$3,'Standards for Conversions'!$A$34:$A$73,0)))=0,"",FT103/(INDEX('Standards for Conversions'!$H$34:$H$73,MATCH(FS$3,'Standards for Conversions'!$A$34:$A$73,0))))</f>
        <v/>
      </c>
      <c r="FV103" s="10" t="s">
        <v>38</v>
      </c>
      <c r="FW103" s="7"/>
      <c r="FX103" s="7"/>
      <c r="FY103" s="31" t="str">
        <f>IF(FX103/(INDEX('Standards for Conversions'!$H$34:$H$73,MATCH(FW$3,'Standards for Conversions'!$A$34:$A$73,0)))=0,"",FX103/(INDEX('Standards for Conversions'!$H$34:$H$73,MATCH(FW$3,'Standards for Conversions'!$A$34:$A$73,0))))</f>
        <v/>
      </c>
      <c r="FZ103" s="10" t="s">
        <v>38</v>
      </c>
      <c r="GA103" s="7"/>
      <c r="GB103" s="7"/>
      <c r="GC103" s="31" t="str">
        <f>IF(GB103/(INDEX('Standards for Conversions'!$H$34:$H$73,MATCH(GA$3,'Standards for Conversions'!$A$34:$A$73,0)))=0,"",GB103/(INDEX('Standards for Conversions'!$H$34:$H$73,MATCH(GA$3,'Standards for Conversions'!$A$34:$A$73,0))))</f>
        <v/>
      </c>
      <c r="GD103" s="10" t="s">
        <v>38</v>
      </c>
      <c r="GE103" s="9"/>
      <c r="GF103" s="9"/>
      <c r="GG103" s="31" t="str">
        <f>IF(GF103/(INDEX('Standards for Conversions'!$H$34:$H$73,MATCH(GE$3,'Standards for Conversions'!$A$34:$A$73,0)))=0,"",GF103/(INDEX('Standards for Conversions'!$H$34:$H$73,MATCH(GE$3,'Standards for Conversions'!$A$34:$A$73,0))))</f>
        <v/>
      </c>
      <c r="GH103" s="10" t="s">
        <v>38</v>
      </c>
      <c r="GI103" s="7"/>
      <c r="GJ103" s="7"/>
      <c r="GK103" s="31" t="str">
        <f>IF(GJ103/(INDEX('Standards for Conversions'!$H$34:$H$73,MATCH(GI$3,'Standards for Conversions'!$A$34:$A$73,0)))=0,"",GJ103/(INDEX('Standards for Conversions'!$H$34:$H$73,MATCH(GI$3,'Standards for Conversions'!$A$34:$A$73,0))))</f>
        <v/>
      </c>
      <c r="GL103" s="10" t="s">
        <v>38</v>
      </c>
      <c r="GM103" s="7"/>
      <c r="GN103" s="7"/>
      <c r="GO103" s="31" t="str">
        <f>IF(GN103/(INDEX('Standards for Conversions'!$H$34:$H$73,MATCH(GM$3,'Standards for Conversions'!$A$34:$A$73,0)))=0,"",GN103/(INDEX('Standards for Conversions'!$H$34:$H$73,MATCH(GM$3,'Standards for Conversions'!$A$34:$A$73,0))))</f>
        <v/>
      </c>
      <c r="GP103" s="10" t="s">
        <v>38</v>
      </c>
      <c r="GQ103" s="7"/>
      <c r="GR103" s="7"/>
      <c r="GS103" s="31" t="str">
        <f>IF(GR103/(INDEX('Standards for Conversions'!$H$34:$H$73,MATCH(GQ$3,'Standards for Conversions'!$A$34:$A$73,0)))=0,"",GR103/(INDEX('Standards for Conversions'!$H$34:$H$73,MATCH(GQ$3,'Standards for Conversions'!$A$34:$A$73,0))))</f>
        <v/>
      </c>
      <c r="GT103" s="10" t="s">
        <v>38</v>
      </c>
      <c r="GU103" s="9"/>
      <c r="GV103" s="9"/>
      <c r="GW103" s="31" t="str">
        <f>IF(GV103/(INDEX('Standards for Conversions'!$H$34:$H$73,MATCH(GU$3,'Standards for Conversions'!$A$34:$A$73,0)))=0,"",GV103/(INDEX('Standards for Conversions'!$H$34:$H$73,MATCH(GU$3,'Standards for Conversions'!$A$34:$A$73,0))))</f>
        <v/>
      </c>
      <c r="GX103" s="10" t="s">
        <v>38</v>
      </c>
      <c r="GY103" s="7"/>
      <c r="GZ103" s="7"/>
      <c r="HA103" s="31" t="str">
        <f>IF(GZ103/(INDEX('Standards for Conversions'!$H$34:$H$73,MATCH(GY$3,'Standards for Conversions'!$A$34:$A$73,0)))=0,"",GZ103/(INDEX('Standards for Conversions'!$H$34:$H$73,MATCH(GY$3,'Standards for Conversions'!$A$34:$A$73,0))))</f>
        <v/>
      </c>
      <c r="HB103" s="10" t="s">
        <v>38</v>
      </c>
      <c r="HC103" s="7"/>
      <c r="HD103" s="7"/>
      <c r="HE103" s="31" t="str">
        <f>IF(HD103/(INDEX('Standards for Conversions'!$H$34:$H$73,MATCH(HC$3,'Standards for Conversions'!$A$34:$A$73,0)))=0,"",HD103/(INDEX('Standards for Conversions'!$H$34:$H$73,MATCH(HC$3,'Standards for Conversions'!$A$34:$A$73,0))))</f>
        <v/>
      </c>
      <c r="HF103" s="10" t="s">
        <v>38</v>
      </c>
      <c r="HG103" s="7"/>
      <c r="HH103" s="7"/>
      <c r="HI103" s="31" t="str">
        <f>IF(HH103/(INDEX('Standards for Conversions'!$H$34:$H$73,MATCH(HG$3,'Standards for Conversions'!$A$34:$A$73,0)))=0,"",HH103/(INDEX('Standards for Conversions'!$H$34:$H$73,MATCH(HG$3,'Standards for Conversions'!$A$34:$A$73,0))))</f>
        <v/>
      </c>
      <c r="HJ103" s="10" t="s">
        <v>38</v>
      </c>
      <c r="HK103" s="9"/>
      <c r="HL103" s="9"/>
      <c r="HM103" s="31" t="str">
        <f>IF(HL103/(INDEX('Standards for Conversions'!$H$34:$H$73,MATCH(HK$3,'Standards for Conversions'!$A$34:$A$73,0)))=0,"",HL103/(INDEX('Standards for Conversions'!$H$34:$H$73,MATCH(HK$3,'Standards for Conversions'!$A$34:$A$73,0))))</f>
        <v/>
      </c>
      <c r="HN103" s="10" t="s">
        <v>38</v>
      </c>
      <c r="HO103" s="7"/>
      <c r="HP103" s="7"/>
      <c r="HQ103" s="31" t="str">
        <f>IF(HP103/(INDEX('Standards for Conversions'!$H$34:$H$73,MATCH(HO$3,'Standards for Conversions'!$A$34:$A$73,0)))=0,"",HP103/(INDEX('Standards for Conversions'!$H$34:$H$73,MATCH(HO$3,'Standards for Conversions'!$A$34:$A$73,0))))</f>
        <v/>
      </c>
      <c r="HR103" s="33" t="s">
        <v>38</v>
      </c>
      <c r="HU103" s="31" t="str">
        <f>IF(HT103/(INDEX('Standards for Conversions'!$H$47:$H$73,MATCH(HS$3,'Standards for Conversions'!$A$47:$A$73,0)))=0,"",HT103/(INDEX('Standards for Conversions'!$H$47:$H$73,MATCH(HS$3,'Standards for Conversions'!$A$47:$A$73,0))))</f>
        <v/>
      </c>
      <c r="HV103" s="33" t="s">
        <v>38</v>
      </c>
      <c r="HY103" s="31" t="str">
        <f>IF(HX103/(INDEX('Standards for Conversions'!$H$47:$H$73,MATCH(HW$3,'Standards for Conversions'!$A$47:$A$73,0)))=0,"",HX103/(INDEX('Standards for Conversions'!$H$47:$H$73,MATCH(HW$3,'Standards for Conversions'!$A$47:$A$73,0))))</f>
        <v/>
      </c>
      <c r="HZ103" s="33">
        <v>10</v>
      </c>
      <c r="IA103" s="33">
        <v>160</v>
      </c>
      <c r="IB103" s="31">
        <f>IF(IA103/(INDEX('Standards for Conversions'!$H$47:$H$73,MATCH(HZ$3,'Standards for Conversions'!$A$47:$A$73,0)))=0,"",IA103/(INDEX('Standards for Conversions'!$H$47:$H$73,MATCH(HZ$3,'Standards for Conversions'!$A$47:$A$73,0))))</f>
        <v>23.239265954056954</v>
      </c>
      <c r="IC103" s="33" t="s">
        <v>38</v>
      </c>
      <c r="IF103" s="31" t="str">
        <f>IF(IE103/(INDEX('Standards for Conversions'!$H$47:$H$73,MATCH(ID$3,'Standards for Conversions'!$A$47:$A$73,0)))=0,"",IE103/(INDEX('Standards for Conversions'!$H$47:$H$73,MATCH(ID$3,'Standards for Conversions'!$A$47:$A$73,0))))</f>
        <v/>
      </c>
      <c r="IG103" s="33" t="s">
        <v>38</v>
      </c>
      <c r="IJ103" s="31" t="str">
        <f>IF(II103/(INDEX('Standards for Conversions'!$H$47:$H$73,MATCH(IH$3,'Standards for Conversions'!$A$47:$A$73,0)))=0,"",II103/(INDEX('Standards for Conversions'!$H$47:$H$73,MATCH(IH$3,'Standards for Conversions'!$A$47:$A$73,0))))</f>
        <v/>
      </c>
      <c r="IK103" s="33" t="s">
        <v>38</v>
      </c>
      <c r="IN103" s="31" t="str">
        <f>IF(IM103/(INDEX('Standards for Conversions'!$H$47:$H$73,MATCH(IL$3,'Standards for Conversions'!$A$47:$A$73,0)))=0,"",IM103/(INDEX('Standards for Conversions'!$H$47:$H$73,MATCH(IL$3,'Standards for Conversions'!$A$47:$A$73,0))))</f>
        <v/>
      </c>
      <c r="IO103" s="33" t="s">
        <v>38</v>
      </c>
      <c r="IP103" s="29">
        <v>8</v>
      </c>
      <c r="IQ103" s="29">
        <v>125</v>
      </c>
      <c r="IR103" s="31">
        <f>IF(IQ103/(INDEX('Standards for Conversions'!$H$47:$H$73,MATCH(IP$3,'Standards for Conversions'!$A$47:$A$73,0)))=0,"",IQ103/(INDEX('Standards for Conversions'!$H$47:$H$73,MATCH(IP$3,'Standards for Conversions'!$A$47:$A$73,0))))</f>
        <v>18.076278524304044</v>
      </c>
      <c r="IS103" s="33" t="s">
        <v>38</v>
      </c>
      <c r="IV103" s="31" t="str">
        <f>IF(IU103/(INDEX('Standards for Conversions'!$H$47:$H$73,MATCH(IT$3,'Standards for Conversions'!$A$47:$A$73,0)))=0,"",IU103/(INDEX('Standards for Conversions'!$H$47:$H$73,MATCH(IT$3,'Standards for Conversions'!$A$47:$A$73,0))))</f>
        <v/>
      </c>
      <c r="IW103" s="33" t="s">
        <v>38</v>
      </c>
      <c r="IZ103" s="31" t="str">
        <f>IF(IY103/(INDEX('Standards for Conversions'!$H$47:$H$73,MATCH(IX$3,'Standards for Conversions'!$A$47:$A$73,0)))=0,"",IY103/(INDEX('Standards for Conversions'!$H$47:$H$73,MATCH(IX$3,'Standards for Conversions'!$A$47:$A$73,0))))</f>
        <v/>
      </c>
      <c r="JA103" s="48" t="s">
        <v>38</v>
      </c>
      <c r="JD103" s="31" t="str">
        <f>IF(JC103/(INDEX('Standards for Conversions'!$H$47:$H$73,MATCH(JB$3,'Standards for Conversions'!$A$47:$A$73,0)))=0,"",JC103/(INDEX('Standards for Conversions'!$H$47:$H$73,MATCH(JB$3,'Standards for Conversions'!$A$47:$A$73,0))))</f>
        <v/>
      </c>
      <c r="JE103" s="48" t="s">
        <v>38</v>
      </c>
      <c r="JF103" s="29">
        <v>15</v>
      </c>
      <c r="JG103" s="29">
        <v>150</v>
      </c>
      <c r="JH103" s="31">
        <f>IF(JG103/(INDEX('Standards for Conversions'!$H$47:$H$73,MATCH(JF$3,'Standards for Conversions'!$A$47:$A$73,0)))=0,"",JG103/(INDEX('Standards for Conversions'!$H$47:$H$73,MATCH(JF$3,'Standards for Conversions'!$A$47:$A$73,0))))</f>
        <v>24.264029503780304</v>
      </c>
      <c r="JL103" s="31" t="str">
        <f>IF(JK103/(INDEX('Standards for Conversions'!$H$47:$H$73,MATCH(JJ$3,'Standards for Conversions'!$A$47:$A$73,0)))=0,"",JK103/(INDEX('Standards for Conversions'!$H$47:$H$73,MATCH(JJ$3,'Standards for Conversions'!$A$47:$A$73,0))))</f>
        <v/>
      </c>
      <c r="JM103" s="33" t="s">
        <v>38</v>
      </c>
      <c r="JP103" s="31" t="str">
        <f>IF(JO103/(INDEX('Standards for Conversions'!$H$47:$H$73,MATCH(JN$3,'Standards for Conversions'!$A$47:$A$73,0)))=0,"",JO103/(INDEX('Standards for Conversions'!$H$47:$H$73,MATCH(JN$3,'Standards for Conversions'!$A$47:$A$73,0))))</f>
        <v/>
      </c>
      <c r="JQ103" s="33" t="s">
        <v>38</v>
      </c>
      <c r="JT103" s="31" t="str">
        <f>IF(JS103/(INDEX('Standards for Conversions'!$H$47:$H$73,MATCH(JR$3,'Standards for Conversions'!$A$47:$A$73,0)))=0,"",JS103/(INDEX('Standards for Conversions'!$H$47:$H$73,MATCH(JR$3,'Standards for Conversions'!$A$47:$A$73,0))))</f>
        <v/>
      </c>
      <c r="JU103" s="33" t="s">
        <v>38</v>
      </c>
      <c r="JV103" s="29">
        <v>10</v>
      </c>
      <c r="JW103" s="29">
        <v>120</v>
      </c>
      <c r="JX103" s="31">
        <f>IF(JW103/(INDEX('Standards for Conversions'!$H$47:$H$73,MATCH(JV$3,'Standards for Conversions'!$A$47:$A$73,0)))=0,"",JW103/(INDEX('Standards for Conversions'!$H$47:$H$73,MATCH(JV$3,'Standards for Conversions'!$A$47:$A$73,0))))</f>
        <v>18.318707091335707</v>
      </c>
      <c r="JY103" s="33" t="s">
        <v>38</v>
      </c>
      <c r="KB103" s="31" t="str">
        <f>IF(KA103/(INDEX('Standards for Conversions'!$H$47:$H$73,MATCH(JZ$3,'Standards for Conversions'!$A$47:$A$73,0)))=0,"",KA103/(INDEX('Standards for Conversions'!$H$47:$H$73,MATCH(JZ$3,'Standards for Conversions'!$A$47:$A$73,0))))</f>
        <v/>
      </c>
      <c r="KC103" s="33" t="s">
        <v>38</v>
      </c>
      <c r="KF103" s="31" t="str">
        <f>IF(KE103/(INDEX('Standards for Conversions'!$H$47:$H$73,MATCH(KD$3,'Standards for Conversions'!$A$47:$A$73,0)))=0,"",KE103/(INDEX('Standards for Conversions'!$H$47:$H$73,MATCH(KD$3,'Standards for Conversions'!$A$47:$A$73,0))))</f>
        <v/>
      </c>
      <c r="KG103" s="33" t="s">
        <v>38</v>
      </c>
      <c r="KJ103" s="31" t="str">
        <f>IF(KI103/(INDEX('Standards for Conversions'!$H$47:$H$73,MATCH(KH$3,'Standards for Conversions'!$A$47:$A$73,0)))=0,"",KI103/(INDEX('Standards for Conversions'!$H$47:$H$73,MATCH(KH$3,'Standards for Conversions'!$A$47:$A$73,0))))</f>
        <v/>
      </c>
      <c r="KK103" s="33" t="s">
        <v>38</v>
      </c>
      <c r="KL103" s="29">
        <v>12</v>
      </c>
      <c r="KM103" s="29">
        <v>130</v>
      </c>
      <c r="KN103" s="31">
        <f>IF(KM103/(INDEX('Standards for Conversions'!$H$47:$H$73,MATCH(KL$3,'Standards for Conversions'!$A$47:$A$73,0)))=0,"",KM103/(INDEX('Standards for Conversions'!$H$47:$H$73,MATCH(KL$3,'Standards for Conversions'!$A$47:$A$73,0))))</f>
        <v>17.50567154775354</v>
      </c>
      <c r="KO103" s="33" t="s">
        <v>38</v>
      </c>
      <c r="KR103" s="31" t="str">
        <f>IF(KQ103/(INDEX('Standards for Conversions'!$H$47:$H$73,MATCH(KP$3,'Standards for Conversions'!$A$47:$A$73,0)))=0,"",KQ103/(INDEX('Standards for Conversions'!$H$47:$H$73,MATCH(KP$3,'Standards for Conversions'!$A$47:$A$73,0))))</f>
        <v/>
      </c>
      <c r="KS103" s="33" t="s">
        <v>38</v>
      </c>
      <c r="KV103" s="31" t="str">
        <f>IF(KU103/(INDEX('Standards for Conversions'!$H$47:$H$73,MATCH(KT$3,'Standards for Conversions'!$A$47:$A$73,0)))=0,"",KU103/(INDEX('Standards for Conversions'!$H$47:$H$73,MATCH(KT$3,'Standards for Conversions'!$A$47:$A$73,0))))</f>
        <v/>
      </c>
      <c r="KW103" s="48" t="s">
        <v>38</v>
      </c>
      <c r="KZ103" s="31" t="str">
        <f>IF(KY103/(INDEX('Standards for Conversions'!$H$47:$H$73,MATCH(KX$3,'Standards for Conversions'!$A$47:$A$73,0)))=0,"",KY103/(INDEX('Standards for Conversions'!$H$47:$H$73,MATCH(KX$3,'Standards for Conversions'!$A$47:$A$73,0))))</f>
        <v/>
      </c>
      <c r="LA103" s="48" t="s">
        <v>38</v>
      </c>
      <c r="LB103" s="29">
        <v>4</v>
      </c>
      <c r="LC103" s="29">
        <v>40</v>
      </c>
      <c r="LD103" s="31">
        <f>IF(LC103/(INDEX('Standards for Conversions'!$H$47:$H$73,MATCH(LB$3,'Standards for Conversions'!$A$47:$A$73,0)))=0,"",LC103/(INDEX('Standards for Conversions'!$H$47:$H$73,MATCH(LB$3,'Standards for Conversions'!$A$47:$A$73,0))))</f>
        <v>4.8646626690999675</v>
      </c>
      <c r="LH103" s="31" t="str">
        <f>IF(LG103/(INDEX('Standards for Conversions'!$H$47:$H$73,MATCH(LF$3,'Standards for Conversions'!$A$47:$A$73,0)))=0,"",LG103/(INDEX('Standards for Conversions'!$H$47:$H$73,MATCH(LF$3,'Standards for Conversions'!$A$47:$A$73,0))))</f>
        <v/>
      </c>
      <c r="LL103" s="31" t="str">
        <f>IF(LK103/(INDEX('Standards for Conversions'!$H$47:$H$73,MATCH(LJ$3,'Standards for Conversions'!$A$47:$A$73,0)))=0,"",LK103/(INDEX('Standards for Conversions'!$H$47:$H$73,MATCH(LJ$3,'Standards for Conversions'!$A$47:$A$73,0))))</f>
        <v/>
      </c>
      <c r="LO103" s="31" t="str">
        <f>IF(LN103/(INDEX('Standards for Conversions'!$H$47:$H$73,MATCH(LM$3,'Standards for Conversions'!$A$47:$A$73,0)))=0,"",LN103/(INDEX('Standards for Conversions'!$H$47:$H$73,MATCH(LM$3,'Standards for Conversions'!$A$47:$A$73,0))))</f>
        <v/>
      </c>
      <c r="LR103" s="31" t="str">
        <f>IF(LQ103/(INDEX('Standards for Conversions'!$H$47:$H$73,MATCH(LP$3,'Standards for Conversions'!$A$47:$A$73,0)))=0,"",LQ103/(INDEX('Standards for Conversions'!$H$47:$H$73,MATCH(LP$3,'Standards for Conversions'!$A$47:$A$73,0))))</f>
        <v/>
      </c>
      <c r="LV103" s="31" t="str">
        <f>IF(LU103/(INDEX('Standards for Conversions'!$H$47:$H$73,MATCH(LT$3,'Standards for Conversions'!$A$47:$A$73,0)))=0,"",LU103/(INDEX('Standards for Conversions'!$H$47:$H$73,MATCH(LT$3,'Standards for Conversions'!$A$47:$A$73,0))))</f>
        <v/>
      </c>
      <c r="LY103" s="31" t="str">
        <f>IF(LX103/(INDEX('Standards for Conversions'!$H$47:$H$73,MATCH(LW$3,'Standards for Conversions'!$A$47:$A$73,0)))=0,"",LX103/(INDEX('Standards for Conversions'!$H$47:$H$73,MATCH(LW$3,'Standards for Conversions'!$A$47:$A$73,0))))</f>
        <v/>
      </c>
      <c r="MB103" s="31" t="str">
        <f>IF(MA103/(INDEX('Standards for Conversions'!$H$47:$H$73,MATCH(LZ$3,'Standards for Conversions'!$A$47:$A$73,0)))=0,"",MA103/(INDEX('Standards for Conversions'!$H$47:$H$73,MATCH(LZ$3,'Standards for Conversions'!$A$47:$A$73,0))))</f>
        <v/>
      </c>
      <c r="ME103" s="31" t="str">
        <f>IF(MD103/(INDEX('Standards for Conversions'!$H$47:$H$73,MATCH(MC$3,'Standards for Conversions'!$A$47:$A$73,0)))=0,"",MD103/(INDEX('Standards for Conversions'!$H$47:$H$73,MATCH(MC$3,'Standards for Conversions'!$A$47:$A$73,0))))</f>
        <v/>
      </c>
      <c r="MH103" s="31" t="str">
        <f>IF(MG103/(INDEX('Standards for Conversions'!$H$47:$H$73,MATCH(MF$3,'Standards for Conversions'!$A$47:$A$73,0)))=0,"",MG103/(INDEX('Standards for Conversions'!$H$47:$H$73,MATCH(MF$3,'Standards for Conversions'!$A$47:$A$73,0))))</f>
        <v/>
      </c>
      <c r="MK103" s="31" t="str">
        <f>IF(MJ103/(INDEX('Standards for Conversions'!$H$47:$H$73,MATCH(MI$3,'Standards for Conversions'!$A$47:$A$73,0)))=0,"",MJ103/(INDEX('Standards for Conversions'!$H$47:$H$73,MATCH(MI$3,'Standards for Conversions'!$A$47:$A$73,0))))</f>
        <v/>
      </c>
      <c r="MN103" s="31" t="str">
        <f>IF(MM103/(INDEX('Standards for Conversions'!$H$47:$H$73,MATCH(ML$3,'Standards for Conversions'!$A$47:$A$73,0)))=0,"",MM103/(INDEX('Standards for Conversions'!$H$47:$H$73,MATCH(ML$3,'Standards for Conversions'!$A$47:$A$73,0))))</f>
        <v/>
      </c>
      <c r="MR103" s="31" t="str">
        <f>IF(MQ103/(INDEX('Standards for Conversions'!$H$47:$H$73,MATCH(MP$3,'Standards for Conversions'!$A$47:$A$73,0)))=0,"",MQ103/(INDEX('Standards for Conversions'!$H$47:$H$73,MATCH(MP$3,'Standards for Conversions'!$A$47:$A$73,0))))</f>
        <v/>
      </c>
    </row>
    <row r="104" spans="1:373" hidden="1" x14ac:dyDescent="0.3">
      <c r="A104" s="103" t="s">
        <v>270</v>
      </c>
      <c r="B104" s="10" t="s">
        <v>38</v>
      </c>
      <c r="C104" s="7"/>
      <c r="D104" s="7"/>
      <c r="E104" s="31" t="str">
        <f>IF(D104/(INDEX('Standards for Conversions'!$H$34:$H$73,MATCH(C$3,'Standards for Conversions'!$A$34:$A$73,0)))=0,"",D104/(INDEX('Standards for Conversions'!$H$34:$H$73,MATCH(C$3,'Standards for Conversions'!$A$34:$A$73,0))))</f>
        <v/>
      </c>
      <c r="F104" s="10" t="s">
        <v>38</v>
      </c>
      <c r="G104" s="7"/>
      <c r="H104" s="7"/>
      <c r="I104" s="31" t="str">
        <f>IF(H104/(INDEX('Standards for Conversions'!$H$34:$H$73,MATCH(G$3,'Standards for Conversions'!$A$34:$A$73,0)))=0,"",H104/(INDEX('Standards for Conversions'!$H$34:$H$73,MATCH(G$3,'Standards for Conversions'!$A$34:$A$73,0))))</f>
        <v/>
      </c>
      <c r="J104" s="10" t="s">
        <v>38</v>
      </c>
      <c r="K104" s="9"/>
      <c r="L104" s="9"/>
      <c r="M104" s="31" t="str">
        <f>IF(L104/(INDEX('Standards for Conversions'!$H$34:$H$73,MATCH(K$3,'Standards for Conversions'!$A$34:$A$73,0)))=0,"",L104/(INDEX('Standards for Conversions'!$H$34:$H$73,MATCH(K$3,'Standards for Conversions'!$A$34:$A$73,0))))</f>
        <v/>
      </c>
      <c r="N104" s="10" t="s">
        <v>38</v>
      </c>
      <c r="O104" s="7"/>
      <c r="P104" s="7"/>
      <c r="Q104" s="31" t="str">
        <f>IF(P104/(INDEX('Standards for Conversions'!$H$34:$H$73,MATCH(O$3,'Standards for Conversions'!$A$34:$A$73,0)))=0,"",P104/(INDEX('Standards for Conversions'!$H$34:$H$73,MATCH(O$3,'Standards for Conversions'!$A$34:$A$73,0))))</f>
        <v/>
      </c>
      <c r="R104" s="10" t="s">
        <v>38</v>
      </c>
      <c r="S104" s="7"/>
      <c r="T104" s="7"/>
      <c r="U104" s="31" t="str">
        <f>IF(T104/(INDEX('Standards for Conversions'!$H$34:$H$73,MATCH(S$3,'Standards for Conversions'!$A$34:$A$73,0)))=0,"",T104/(INDEX('Standards for Conversions'!$H$34:$H$73,MATCH(S$3,'Standards for Conversions'!$A$34:$A$73,0))))</f>
        <v/>
      </c>
      <c r="V104" s="10" t="s">
        <v>38</v>
      </c>
      <c r="W104" s="7"/>
      <c r="X104" s="7"/>
      <c r="Y104" s="31" t="str">
        <f>IF(X104/(INDEX('Standards for Conversions'!$H$34:$H$73,MATCH(W$3,'Standards for Conversions'!$A$34:$A$73,0)))=0,"",X104/(INDEX('Standards for Conversions'!$H$34:$H$73,MATCH(W$3,'Standards for Conversions'!$A$34:$A$73,0))))</f>
        <v/>
      </c>
      <c r="Z104" s="10" t="s">
        <v>38</v>
      </c>
      <c r="AA104" s="9"/>
      <c r="AB104" s="9"/>
      <c r="AC104" s="31" t="str">
        <f>IF(AB104/(INDEX('Standards for Conversions'!$H$34:$H$73,MATCH(AA$3,'Standards for Conversions'!$A$34:$A$73,0)))=0,"",AB104/(INDEX('Standards for Conversions'!$H$34:$H$73,MATCH(AA$3,'Standards for Conversions'!$A$34:$A$73,0))))</f>
        <v/>
      </c>
      <c r="AD104" s="10" t="s">
        <v>38</v>
      </c>
      <c r="AE104" s="7"/>
      <c r="AF104" s="7"/>
      <c r="AG104" s="31" t="str">
        <f>IF(AF104/(INDEX('Standards for Conversions'!$H$34:$H$73,MATCH(AE$3,'Standards for Conversions'!$A$34:$A$73,0)))=0,"",AF104/(INDEX('Standards for Conversions'!$H$34:$H$73,MATCH(AE$3,'Standards for Conversions'!$A$34:$A$73,0))))</f>
        <v/>
      </c>
      <c r="AH104" s="10" t="s">
        <v>38</v>
      </c>
      <c r="AI104" s="7"/>
      <c r="AJ104" s="7"/>
      <c r="AK104" s="31" t="str">
        <f>IF(AJ104/(INDEX('Standards for Conversions'!$H$34:$H$73,MATCH(AI$3,'Standards for Conversions'!$A$34:$A$73,0)))=0,"",AJ104/(INDEX('Standards for Conversions'!$H$34:$H$73,MATCH(AI$3,'Standards for Conversions'!$A$34:$A$73,0))))</f>
        <v/>
      </c>
      <c r="AL104" s="10" t="s">
        <v>38</v>
      </c>
      <c r="AM104" s="7"/>
      <c r="AN104" s="7"/>
      <c r="AO104" s="31" t="str">
        <f>IF(AN104/(INDEX('Standards for Conversions'!$H$34:$H$73,MATCH(AM$3,'Standards for Conversions'!$A$34:$A$73,0)))=0,"",AN104/(INDEX('Standards for Conversions'!$H$34:$H$73,MATCH(AM$3,'Standards for Conversions'!$A$34:$A$73,0))))</f>
        <v/>
      </c>
      <c r="AP104" s="10" t="s">
        <v>38</v>
      </c>
      <c r="AQ104" s="9"/>
      <c r="AR104" s="9"/>
      <c r="AS104" s="31" t="str">
        <f>IF(AR104/(INDEX('Standards for Conversions'!$H$34:$H$73,MATCH(AQ$3,'Standards for Conversions'!$A$34:$A$73,0)))=0,"",AR104/(INDEX('Standards for Conversions'!$H$34:$H$73,MATCH(AQ$3,'Standards for Conversions'!$A$34:$A$73,0))))</f>
        <v/>
      </c>
      <c r="AT104" s="10" t="s">
        <v>38</v>
      </c>
      <c r="AU104" s="7"/>
      <c r="AV104" s="7"/>
      <c r="AW104" s="31" t="str">
        <f>IF(AV104/(INDEX('Standards for Conversions'!$H$34:$H$73,MATCH(AU$3,'Standards for Conversions'!$A$34:$A$73,0)))=0,"",AV104/(INDEX('Standards for Conversions'!$H$34:$H$73,MATCH(AU$3,'Standards for Conversions'!$A$34:$A$73,0))))</f>
        <v/>
      </c>
      <c r="AX104" s="10" t="s">
        <v>38</v>
      </c>
      <c r="AY104" s="7"/>
      <c r="AZ104" s="7"/>
      <c r="BA104" s="31" t="str">
        <f>IF(AZ104/(INDEX('Standards for Conversions'!$H$34:$H$73,MATCH(AY$3,'Standards for Conversions'!$A$34:$A$73,0)))=0,"",AZ104/(INDEX('Standards for Conversions'!$H$34:$H$73,MATCH(AY$3,'Standards for Conversions'!$A$34:$A$73,0))))</f>
        <v/>
      </c>
      <c r="BB104" s="10" t="s">
        <v>38</v>
      </c>
      <c r="BC104" s="7"/>
      <c r="BD104" s="7"/>
      <c r="BE104" s="31" t="str">
        <f>IF(BD104/(INDEX('Standards for Conversions'!$H$34:$H$73,MATCH(BC$3,'Standards for Conversions'!$A$34:$A$73,0)))=0,"",BD104/(INDEX('Standards for Conversions'!$H$34:$H$73,MATCH(BC$3,'Standards for Conversions'!$A$34:$A$73,0))))</f>
        <v/>
      </c>
      <c r="BF104" s="10" t="s">
        <v>38</v>
      </c>
      <c r="BG104" s="9"/>
      <c r="BH104" s="9"/>
      <c r="BI104" s="31" t="str">
        <f>IF(BH104/(INDEX('Standards for Conversions'!$H$34:$H$73,MATCH(BG$3,'Standards for Conversions'!$A$34:$A$73,0)))=0,"",BH104/(INDEX('Standards for Conversions'!$H$34:$H$73,MATCH(BG$3,'Standards for Conversions'!$A$34:$A$73,0))))</f>
        <v/>
      </c>
      <c r="BJ104" s="10" t="s">
        <v>38</v>
      </c>
      <c r="BK104" s="7"/>
      <c r="BL104" s="7"/>
      <c r="BM104" s="31" t="str">
        <f>IF(BL104/(INDEX('Standards for Conversions'!$H$34:$H$73,MATCH(BK$3,'Standards for Conversions'!$A$34:$A$73,0)))=0,"",BL104/(INDEX('Standards for Conversions'!$H$34:$H$73,MATCH(BK$3,'Standards for Conversions'!$A$34:$A$73,0))))</f>
        <v/>
      </c>
      <c r="BN104" s="10" t="s">
        <v>38</v>
      </c>
      <c r="BO104" s="7"/>
      <c r="BP104" s="7"/>
      <c r="BQ104" s="31" t="str">
        <f>IF(BP104/(INDEX('Standards for Conversions'!$H$34:$H$73,MATCH(BO$3,'Standards for Conversions'!$A$34:$A$73,0)))=0,"",BP104/(INDEX('Standards for Conversions'!$H$34:$H$73,MATCH(BO$3,'Standards for Conversions'!$A$34:$A$73,0))))</f>
        <v/>
      </c>
      <c r="BR104" s="10" t="s">
        <v>38</v>
      </c>
      <c r="BS104" s="7"/>
      <c r="BT104" s="7"/>
      <c r="BU104" s="31" t="str">
        <f>IF(BT104/(INDEX('Standards for Conversions'!$H$34:$H$73,MATCH(BS$3,'Standards for Conversions'!$A$34:$A$73,0)))=0,"",BT104/(INDEX('Standards for Conversions'!$H$34:$H$73,MATCH(BS$3,'Standards for Conversions'!$A$34:$A$73,0))))</f>
        <v/>
      </c>
      <c r="BV104" s="10" t="s">
        <v>38</v>
      </c>
      <c r="BW104" s="9"/>
      <c r="BX104" s="9"/>
      <c r="BY104" s="31" t="str">
        <f>IF(BX104/(INDEX('Standards for Conversions'!$H$34:$H$73,MATCH(BW$3,'Standards for Conversions'!$A$34:$A$73,0)))=0,"",BX104/(INDEX('Standards for Conversions'!$H$34:$H$73,MATCH(BW$3,'Standards for Conversions'!$A$34:$A$73,0))))</f>
        <v/>
      </c>
      <c r="BZ104" s="10" t="s">
        <v>38</v>
      </c>
      <c r="CA104" s="7"/>
      <c r="CB104" s="7"/>
      <c r="CC104" s="31" t="str">
        <f>IF(CB104/(INDEX('Standards for Conversions'!$H$34:$H$73,MATCH(CA$3,'Standards for Conversions'!$A$34:$A$73,0)))=0,"",CB104/(INDEX('Standards for Conversions'!$H$34:$H$73,MATCH(CA$3,'Standards for Conversions'!$A$34:$A$73,0))))</f>
        <v/>
      </c>
      <c r="CD104" s="10" t="s">
        <v>38</v>
      </c>
      <c r="CE104" s="7"/>
      <c r="CF104" s="7"/>
      <c r="CG104" s="31" t="str">
        <f>IF(CF104/(INDEX('Standards for Conversions'!$H$34:$H$73,MATCH(CE$3,'Standards for Conversions'!$A$34:$A$73,0)))=0,"",CF104/(INDEX('Standards for Conversions'!$H$34:$H$73,MATCH(CE$3,'Standards for Conversions'!$A$34:$A$73,0))))</f>
        <v/>
      </c>
      <c r="CH104" s="10" t="s">
        <v>38</v>
      </c>
      <c r="CI104" s="7"/>
      <c r="CJ104" s="7"/>
      <c r="CK104" s="31" t="str">
        <f>IF(CJ104/(INDEX('Standards for Conversions'!$H$34:$H$73,MATCH(CI$3,'Standards for Conversions'!$A$34:$A$73,0)))=0,"",CJ104/(INDEX('Standards for Conversions'!$H$34:$H$73,MATCH(CI$3,'Standards for Conversions'!$A$34:$A$73,0))))</f>
        <v/>
      </c>
      <c r="CL104" s="10" t="s">
        <v>38</v>
      </c>
      <c r="CM104" s="9"/>
      <c r="CN104" s="9"/>
      <c r="CO104" s="31" t="str">
        <f>IF(CN104/(INDEX('Standards for Conversions'!$H$34:$H$73,MATCH(CM$3,'Standards for Conversions'!$A$34:$A$73,0)))=0,"",CN104/(INDEX('Standards for Conversions'!$H$34:$H$73,MATCH(CM$3,'Standards for Conversions'!$A$34:$A$73,0))))</f>
        <v/>
      </c>
      <c r="CP104" s="10" t="s">
        <v>38</v>
      </c>
      <c r="CQ104" s="7"/>
      <c r="CR104" s="7"/>
      <c r="CS104" s="31" t="str">
        <f>IF(CR104/(INDEX('Standards for Conversions'!$H$34:$H$73,MATCH(CQ$3,'Standards for Conversions'!$A$34:$A$73,0)))=0,"",CR104/(INDEX('Standards for Conversions'!$H$34:$H$73,MATCH(CQ$3,'Standards for Conversions'!$A$34:$A$73,0))))</f>
        <v/>
      </c>
      <c r="CT104" s="10" t="s">
        <v>38</v>
      </c>
      <c r="CU104" s="7"/>
      <c r="CV104" s="7"/>
      <c r="CW104" s="31" t="str">
        <f>IF(CV104/(INDEX('Standards for Conversions'!$H$34:$H$73,MATCH(CU$3,'Standards for Conversions'!$A$34:$A$73,0)))=0,"",CV104/(INDEX('Standards for Conversions'!$H$34:$H$73,MATCH(CU$3,'Standards for Conversions'!$A$34:$A$73,0))))</f>
        <v/>
      </c>
      <c r="CX104" s="10" t="s">
        <v>38</v>
      </c>
      <c r="CY104" s="7"/>
      <c r="CZ104" s="7"/>
      <c r="DA104" s="31" t="str">
        <f>IF(CZ104/(INDEX('Standards for Conversions'!$H$34:$H$73,MATCH(CY$3,'Standards for Conversions'!$A$34:$A$73,0)))=0,"",CZ104/(INDEX('Standards for Conversions'!$H$34:$H$73,MATCH(CY$3,'Standards for Conversions'!$A$34:$A$73,0))))</f>
        <v/>
      </c>
      <c r="DB104" s="10" t="s">
        <v>38</v>
      </c>
      <c r="DC104" s="9"/>
      <c r="DD104" s="9"/>
      <c r="DE104" s="31" t="str">
        <f>IF(DD104/(INDEX('Standards for Conversions'!$H$34:$H$73,MATCH(DC$3,'Standards for Conversions'!$A$34:$A$73,0)))=0,"",DD104/(INDEX('Standards for Conversions'!$H$34:$H$73,MATCH(DC$3,'Standards for Conversions'!$A$34:$A$73,0))))</f>
        <v/>
      </c>
      <c r="DF104" s="10" t="s">
        <v>38</v>
      </c>
      <c r="DG104" s="7"/>
      <c r="DH104" s="7"/>
      <c r="DI104" s="31" t="str">
        <f>IF(DH104/(INDEX('Standards for Conversions'!$H$34:$H$73,MATCH(DG$3,'Standards for Conversions'!$A$34:$A$73,0)))=0,"",DH104/(INDEX('Standards for Conversions'!$H$34:$H$73,MATCH(DG$3,'Standards for Conversions'!$A$34:$A$73,0))))</f>
        <v/>
      </c>
      <c r="DJ104" s="10" t="s">
        <v>38</v>
      </c>
      <c r="DK104" s="7"/>
      <c r="DL104" s="7"/>
      <c r="DM104" s="31" t="str">
        <f>IF(DL104/(INDEX('Standards for Conversions'!$H$34:$H$73,MATCH(DK$3,'Standards for Conversions'!$A$34:$A$73,0)))=0,"",DL104/(INDEX('Standards for Conversions'!$H$34:$H$73,MATCH(DK$3,'Standards for Conversions'!$A$34:$A$73,0))))</f>
        <v/>
      </c>
      <c r="DN104" s="10" t="s">
        <v>38</v>
      </c>
      <c r="DO104" s="7"/>
      <c r="DP104" s="7"/>
      <c r="DQ104" s="31" t="str">
        <f>IF(DP104/(INDEX('Standards for Conversions'!$H$34:$H$73,MATCH(DO$3,'Standards for Conversions'!$A$34:$A$73,0)))=0,"",DP104/(INDEX('Standards for Conversions'!$H$34:$H$73,MATCH(DO$3,'Standards for Conversions'!$A$34:$A$73,0))))</f>
        <v/>
      </c>
      <c r="DR104" s="10" t="s">
        <v>38</v>
      </c>
      <c r="DS104" s="9"/>
      <c r="DT104" s="9"/>
      <c r="DU104" s="31" t="str">
        <f>IF(DT104/(INDEX('Standards for Conversions'!$H$34:$H$73,MATCH(DS$3,'Standards for Conversions'!$A$34:$A$73,0)))=0,"",DT104/(INDEX('Standards for Conversions'!$H$34:$H$73,MATCH(DS$3,'Standards for Conversions'!$A$34:$A$73,0))))</f>
        <v/>
      </c>
      <c r="DV104" s="10" t="s">
        <v>38</v>
      </c>
      <c r="DW104" s="7"/>
      <c r="DX104" s="7"/>
      <c r="DY104" s="31" t="str">
        <f>IF(DX104/(INDEX('Standards for Conversions'!$H$34:$H$73,MATCH(DW$3,'Standards for Conversions'!$A$34:$A$73,0)))=0,"",DX104/(INDEX('Standards for Conversions'!$H$34:$H$73,MATCH(DW$3,'Standards for Conversions'!$A$34:$A$73,0))))</f>
        <v/>
      </c>
      <c r="DZ104" s="10" t="s">
        <v>38</v>
      </c>
      <c r="EA104" s="7"/>
      <c r="EB104" s="7"/>
      <c r="EC104" s="31" t="str">
        <f>IF(EB104/(INDEX('Standards for Conversions'!$H$34:$H$73,MATCH(EA$3,'Standards for Conversions'!$A$34:$A$73,0)))=0,"",EB104/(INDEX('Standards for Conversions'!$H$34:$H$73,MATCH(EA$3,'Standards for Conversions'!$A$34:$A$73,0))))</f>
        <v/>
      </c>
      <c r="ED104" s="10" t="s">
        <v>38</v>
      </c>
      <c r="EE104" s="7"/>
      <c r="EF104" s="7"/>
      <c r="EG104" s="31" t="str">
        <f>IF(EF104/(INDEX('Standards for Conversions'!$H$34:$H$73,MATCH(EE$3,'Standards for Conversions'!$A$34:$A$73,0)))=0,"",EF104/(INDEX('Standards for Conversions'!$H$34:$H$73,MATCH(EE$3,'Standards for Conversions'!$A$34:$A$73,0))))</f>
        <v/>
      </c>
      <c r="EH104" s="10" t="s">
        <v>38</v>
      </c>
      <c r="EI104" s="9"/>
      <c r="EJ104" s="9"/>
      <c r="EK104" s="31" t="str">
        <f>IF(EJ104/(INDEX('Standards for Conversions'!$H$34:$H$73,MATCH(EI$3,'Standards for Conversions'!$A$34:$A$73,0)))=0,"",EJ104/(INDEX('Standards for Conversions'!$H$34:$H$73,MATCH(EI$3,'Standards for Conversions'!$A$34:$A$73,0))))</f>
        <v/>
      </c>
      <c r="EL104" s="10" t="s">
        <v>38</v>
      </c>
      <c r="EM104" s="7"/>
      <c r="EN104" s="7"/>
      <c r="EO104" s="31" t="str">
        <f>IF(EN104/(INDEX('Standards for Conversions'!$H$34:$H$73,MATCH(EM$3,'Standards for Conversions'!$A$34:$A$73,0)))=0,"",EN104/(INDEX('Standards for Conversions'!$H$34:$H$73,MATCH(EM$3,'Standards for Conversions'!$A$34:$A$73,0))))</f>
        <v/>
      </c>
      <c r="EP104" s="10" t="s">
        <v>38</v>
      </c>
      <c r="EQ104" s="7"/>
      <c r="ER104" s="7"/>
      <c r="ES104" s="31" t="str">
        <f>IF(ER104/(INDEX('Standards for Conversions'!$H$34:$H$73,MATCH(EQ$3,'Standards for Conversions'!$A$34:$A$73,0)))=0,"",ER104/(INDEX('Standards for Conversions'!$H$34:$H$73,MATCH(EQ$3,'Standards for Conversions'!$A$34:$A$73,0))))</f>
        <v/>
      </c>
      <c r="ET104" s="10" t="s">
        <v>38</v>
      </c>
      <c r="EU104" s="7"/>
      <c r="EV104" s="7"/>
      <c r="EW104" s="31" t="str">
        <f>IF(EV104/(INDEX('Standards for Conversions'!$H$34:$H$73,MATCH(EU$3,'Standards for Conversions'!$A$34:$A$73,0)))=0,"",EV104/(INDEX('Standards for Conversions'!$H$34:$H$73,MATCH(EU$3,'Standards for Conversions'!$A$34:$A$73,0))))</f>
        <v/>
      </c>
      <c r="EX104" s="10" t="s">
        <v>38</v>
      </c>
      <c r="EY104" s="9"/>
      <c r="EZ104" s="9"/>
      <c r="FA104" s="31" t="str">
        <f>IF(EZ104/(INDEX('Standards for Conversions'!$H$34:$H$73,MATCH(EY$3,'Standards for Conversions'!$A$34:$A$73,0)))=0,"",EZ104/(INDEX('Standards for Conversions'!$H$34:$H$73,MATCH(EY$3,'Standards for Conversions'!$A$34:$A$73,0))))</f>
        <v/>
      </c>
      <c r="FB104" s="10" t="s">
        <v>38</v>
      </c>
      <c r="FC104" s="7"/>
      <c r="FD104" s="7"/>
      <c r="FE104" s="31" t="str">
        <f>IF(FD104/(INDEX('Standards for Conversions'!$H$34:$H$73,MATCH(FC$3,'Standards for Conversions'!$A$34:$A$73,0)))=0,"",FD104/(INDEX('Standards for Conversions'!$H$34:$H$73,MATCH(FC$3,'Standards for Conversions'!$A$34:$A$73,0))))</f>
        <v/>
      </c>
      <c r="FF104" s="10" t="s">
        <v>38</v>
      </c>
      <c r="FG104" s="7"/>
      <c r="FH104" s="7"/>
      <c r="FI104" s="31" t="str">
        <f>IF(FH104/(INDEX('Standards for Conversions'!$H$34:$H$73,MATCH(FG$3,'Standards for Conversions'!$A$34:$A$73,0)))=0,"",FH104/(INDEX('Standards for Conversions'!$H$34:$H$73,MATCH(FG$3,'Standards for Conversions'!$A$34:$A$73,0))))</f>
        <v/>
      </c>
      <c r="FJ104" s="10" t="s">
        <v>38</v>
      </c>
      <c r="FK104" s="7"/>
      <c r="FL104" s="7"/>
      <c r="FM104" s="31" t="str">
        <f>IF(FL104/(INDEX('Standards for Conversions'!$H$34:$H$73,MATCH(FK$3,'Standards for Conversions'!$A$34:$A$73,0)))=0,"",FL104/(INDEX('Standards for Conversions'!$H$34:$H$73,MATCH(FK$3,'Standards for Conversions'!$A$34:$A$73,0))))</f>
        <v/>
      </c>
      <c r="FN104" s="10" t="s">
        <v>38</v>
      </c>
      <c r="FO104" s="9"/>
      <c r="FP104" s="9"/>
      <c r="FQ104" s="31" t="str">
        <f>IF(FP104/(INDEX('Standards for Conversions'!$H$34:$H$73,MATCH(FO$3,'Standards for Conversions'!$A$34:$A$73,0)))=0,"",FP104/(INDEX('Standards for Conversions'!$H$34:$H$73,MATCH(FO$3,'Standards for Conversions'!$A$34:$A$73,0))))</f>
        <v/>
      </c>
      <c r="FR104" s="10" t="s">
        <v>38</v>
      </c>
      <c r="FS104" s="7"/>
      <c r="FT104" s="7"/>
      <c r="FU104" s="31" t="str">
        <f>IF(FT104/(INDEX('Standards for Conversions'!$H$34:$H$73,MATCH(FS$3,'Standards for Conversions'!$A$34:$A$73,0)))=0,"",FT104/(INDEX('Standards for Conversions'!$H$34:$H$73,MATCH(FS$3,'Standards for Conversions'!$A$34:$A$73,0))))</f>
        <v/>
      </c>
      <c r="FV104" s="10" t="s">
        <v>38</v>
      </c>
      <c r="FW104" s="7"/>
      <c r="FX104" s="7"/>
      <c r="FY104" s="31" t="str">
        <f>IF(FX104/(INDEX('Standards for Conversions'!$H$34:$H$73,MATCH(FW$3,'Standards for Conversions'!$A$34:$A$73,0)))=0,"",FX104/(INDEX('Standards for Conversions'!$H$34:$H$73,MATCH(FW$3,'Standards for Conversions'!$A$34:$A$73,0))))</f>
        <v/>
      </c>
      <c r="FZ104" s="10" t="s">
        <v>38</v>
      </c>
      <c r="GA104" s="7"/>
      <c r="GB104" s="7"/>
      <c r="GC104" s="31" t="str">
        <f>IF(GB104/(INDEX('Standards for Conversions'!$H$34:$H$73,MATCH(GA$3,'Standards for Conversions'!$A$34:$A$73,0)))=0,"",GB104/(INDEX('Standards for Conversions'!$H$34:$H$73,MATCH(GA$3,'Standards for Conversions'!$A$34:$A$73,0))))</f>
        <v/>
      </c>
      <c r="GD104" s="10" t="s">
        <v>38</v>
      </c>
      <c r="GE104" s="9"/>
      <c r="GF104" s="9"/>
      <c r="GG104" s="31" t="str">
        <f>IF(GF104/(INDEX('Standards for Conversions'!$H$34:$H$73,MATCH(GE$3,'Standards for Conversions'!$A$34:$A$73,0)))=0,"",GF104/(INDEX('Standards for Conversions'!$H$34:$H$73,MATCH(GE$3,'Standards for Conversions'!$A$34:$A$73,0))))</f>
        <v/>
      </c>
      <c r="GH104" s="10" t="s">
        <v>38</v>
      </c>
      <c r="GI104" s="7"/>
      <c r="GJ104" s="7"/>
      <c r="GK104" s="31" t="str">
        <f>IF(GJ104/(INDEX('Standards for Conversions'!$H$34:$H$73,MATCH(GI$3,'Standards for Conversions'!$A$34:$A$73,0)))=0,"",GJ104/(INDEX('Standards for Conversions'!$H$34:$H$73,MATCH(GI$3,'Standards for Conversions'!$A$34:$A$73,0))))</f>
        <v/>
      </c>
      <c r="GL104" s="10" t="s">
        <v>38</v>
      </c>
      <c r="GM104" s="7"/>
      <c r="GN104" s="7"/>
      <c r="GO104" s="31" t="str">
        <f>IF(GN104/(INDEX('Standards for Conversions'!$H$34:$H$73,MATCH(GM$3,'Standards for Conversions'!$A$34:$A$73,0)))=0,"",GN104/(INDEX('Standards for Conversions'!$H$34:$H$73,MATCH(GM$3,'Standards for Conversions'!$A$34:$A$73,0))))</f>
        <v/>
      </c>
      <c r="GP104" s="10" t="s">
        <v>38</v>
      </c>
      <c r="GQ104" s="7"/>
      <c r="GR104" s="7"/>
      <c r="GS104" s="31" t="str">
        <f>IF(GR104/(INDEX('Standards for Conversions'!$H$34:$H$73,MATCH(GQ$3,'Standards for Conversions'!$A$34:$A$73,0)))=0,"",GR104/(INDEX('Standards for Conversions'!$H$34:$H$73,MATCH(GQ$3,'Standards for Conversions'!$A$34:$A$73,0))))</f>
        <v/>
      </c>
      <c r="GT104" s="10" t="s">
        <v>38</v>
      </c>
      <c r="GU104" s="9"/>
      <c r="GV104" s="9"/>
      <c r="GW104" s="31" t="str">
        <f>IF(GV104/(INDEX('Standards for Conversions'!$H$34:$H$73,MATCH(GU$3,'Standards for Conversions'!$A$34:$A$73,0)))=0,"",GV104/(INDEX('Standards for Conversions'!$H$34:$H$73,MATCH(GU$3,'Standards for Conversions'!$A$34:$A$73,0))))</f>
        <v/>
      </c>
      <c r="GX104" s="10" t="s">
        <v>38</v>
      </c>
      <c r="GY104" s="7"/>
      <c r="GZ104" s="7"/>
      <c r="HA104" s="31" t="str">
        <f>IF(GZ104/(INDEX('Standards for Conversions'!$H$34:$H$73,MATCH(GY$3,'Standards for Conversions'!$A$34:$A$73,0)))=0,"",GZ104/(INDEX('Standards for Conversions'!$H$34:$H$73,MATCH(GY$3,'Standards for Conversions'!$A$34:$A$73,0))))</f>
        <v/>
      </c>
      <c r="HB104" s="10" t="s">
        <v>38</v>
      </c>
      <c r="HC104" s="7"/>
      <c r="HD104" s="7"/>
      <c r="HE104" s="31" t="str">
        <f>IF(HD104/(INDEX('Standards for Conversions'!$H$34:$H$73,MATCH(HC$3,'Standards for Conversions'!$A$34:$A$73,0)))=0,"",HD104/(INDEX('Standards for Conversions'!$H$34:$H$73,MATCH(HC$3,'Standards for Conversions'!$A$34:$A$73,0))))</f>
        <v/>
      </c>
      <c r="HF104" s="10" t="s">
        <v>38</v>
      </c>
      <c r="HG104" s="7"/>
      <c r="HH104" s="7"/>
      <c r="HI104" s="31" t="str">
        <f>IF(HH104/(INDEX('Standards for Conversions'!$H$34:$H$73,MATCH(HG$3,'Standards for Conversions'!$A$34:$A$73,0)))=0,"",HH104/(INDEX('Standards for Conversions'!$H$34:$H$73,MATCH(HG$3,'Standards for Conversions'!$A$34:$A$73,0))))</f>
        <v/>
      </c>
      <c r="HJ104" s="10" t="s">
        <v>38</v>
      </c>
      <c r="HK104" s="9"/>
      <c r="HL104" s="9"/>
      <c r="HM104" s="31" t="str">
        <f>IF(HL104/(INDEX('Standards for Conversions'!$H$34:$H$73,MATCH(HK$3,'Standards for Conversions'!$A$34:$A$73,0)))=0,"",HL104/(INDEX('Standards for Conversions'!$H$34:$H$73,MATCH(HK$3,'Standards for Conversions'!$A$34:$A$73,0))))</f>
        <v/>
      </c>
      <c r="HN104" s="10" t="s">
        <v>38</v>
      </c>
      <c r="HO104" s="7"/>
      <c r="HP104" s="7"/>
      <c r="HQ104" s="31" t="str">
        <f>IF(HP104/(INDEX('Standards for Conversions'!$H$34:$H$73,MATCH(HO$3,'Standards for Conversions'!$A$34:$A$73,0)))=0,"",HP104/(INDEX('Standards for Conversions'!$H$34:$H$73,MATCH(HO$3,'Standards for Conversions'!$A$34:$A$73,0))))</f>
        <v/>
      </c>
      <c r="HR104" s="33" t="s">
        <v>38</v>
      </c>
      <c r="HU104" s="31" t="str">
        <f>IF(HT104/(INDEX('Standards for Conversions'!$H$47:$H$73,MATCH(HS$3,'Standards for Conversions'!$A$47:$A$73,0)))=0,"",HT104/(INDEX('Standards for Conversions'!$H$47:$H$73,MATCH(HS$3,'Standards for Conversions'!$A$47:$A$73,0))))</f>
        <v/>
      </c>
      <c r="HV104" s="33" t="s">
        <v>38</v>
      </c>
      <c r="HY104" s="31" t="str">
        <f>IF(HX104/(INDEX('Standards for Conversions'!$H$47:$H$73,MATCH(HW$3,'Standards for Conversions'!$A$47:$A$73,0)))=0,"",HX104/(INDEX('Standards for Conversions'!$H$47:$H$73,MATCH(HW$3,'Standards for Conversions'!$A$47:$A$73,0))))</f>
        <v/>
      </c>
      <c r="HZ104" s="33">
        <v>20</v>
      </c>
      <c r="IA104" s="33">
        <v>150</v>
      </c>
      <c r="IB104" s="31">
        <f>IF(IA104/(INDEX('Standards for Conversions'!$H$47:$H$73,MATCH(HZ$3,'Standards for Conversions'!$A$47:$A$73,0)))=0,"",IA104/(INDEX('Standards for Conversions'!$H$47:$H$73,MATCH(HZ$3,'Standards for Conversions'!$A$47:$A$73,0))))</f>
        <v>21.786811831928393</v>
      </c>
      <c r="IC104" s="33" t="s">
        <v>38</v>
      </c>
      <c r="IF104" s="31" t="str">
        <f>IF(IE104/(INDEX('Standards for Conversions'!$H$47:$H$73,MATCH(ID$3,'Standards for Conversions'!$A$47:$A$73,0)))=0,"",IE104/(INDEX('Standards for Conversions'!$H$47:$H$73,MATCH(ID$3,'Standards for Conversions'!$A$47:$A$73,0))))</f>
        <v/>
      </c>
      <c r="IG104" s="33" t="s">
        <v>38</v>
      </c>
      <c r="IJ104" s="31" t="str">
        <f>IF(II104/(INDEX('Standards for Conversions'!$H$47:$H$73,MATCH(IH$3,'Standards for Conversions'!$A$47:$A$73,0)))=0,"",II104/(INDEX('Standards for Conversions'!$H$47:$H$73,MATCH(IH$3,'Standards for Conversions'!$A$47:$A$73,0))))</f>
        <v/>
      </c>
      <c r="IK104" s="33" t="s">
        <v>38</v>
      </c>
      <c r="IN104" s="31" t="str">
        <f>IF(IM104/(INDEX('Standards for Conversions'!$H$47:$H$73,MATCH(IL$3,'Standards for Conversions'!$A$47:$A$73,0)))=0,"",IM104/(INDEX('Standards for Conversions'!$H$47:$H$73,MATCH(IL$3,'Standards for Conversions'!$A$47:$A$73,0))))</f>
        <v/>
      </c>
      <c r="IO104" s="33" t="s">
        <v>38</v>
      </c>
      <c r="IP104" s="29">
        <v>21</v>
      </c>
      <c r="IQ104" s="29">
        <v>800</v>
      </c>
      <c r="IR104" s="31">
        <f>IF(IQ104/(INDEX('Standards for Conversions'!$H$47:$H$73,MATCH(IP$3,'Standards for Conversions'!$A$47:$A$73,0)))=0,"",IQ104/(INDEX('Standards for Conversions'!$H$47:$H$73,MATCH(IP$3,'Standards for Conversions'!$A$47:$A$73,0))))</f>
        <v>115.68818255554589</v>
      </c>
      <c r="IS104" s="33" t="s">
        <v>38</v>
      </c>
      <c r="IV104" s="31" t="str">
        <f>IF(IU104/(INDEX('Standards for Conversions'!$H$47:$H$73,MATCH(IT$3,'Standards for Conversions'!$A$47:$A$73,0)))=0,"",IU104/(INDEX('Standards for Conversions'!$H$47:$H$73,MATCH(IT$3,'Standards for Conversions'!$A$47:$A$73,0))))</f>
        <v/>
      </c>
      <c r="IW104" s="33" t="s">
        <v>38</v>
      </c>
      <c r="IZ104" s="31" t="str">
        <f>IF(IY104/(INDEX('Standards for Conversions'!$H$47:$H$73,MATCH(IX$3,'Standards for Conversions'!$A$47:$A$73,0)))=0,"",IY104/(INDEX('Standards for Conversions'!$H$47:$H$73,MATCH(IX$3,'Standards for Conversions'!$A$47:$A$73,0))))</f>
        <v/>
      </c>
      <c r="JA104" s="48" t="s">
        <v>38</v>
      </c>
      <c r="JD104" s="31" t="str">
        <f>IF(JC104/(INDEX('Standards for Conversions'!$H$47:$H$73,MATCH(JB$3,'Standards for Conversions'!$A$47:$A$73,0)))=0,"",JC104/(INDEX('Standards for Conversions'!$H$47:$H$73,MATCH(JB$3,'Standards for Conversions'!$A$47:$A$73,0))))</f>
        <v/>
      </c>
      <c r="JE104" s="48" t="s">
        <v>38</v>
      </c>
      <c r="JF104" s="29">
        <v>15</v>
      </c>
      <c r="JG104" s="29">
        <v>100</v>
      </c>
      <c r="JH104" s="31">
        <f>IF(JG104/(INDEX('Standards for Conversions'!$H$47:$H$73,MATCH(JF$3,'Standards for Conversions'!$A$47:$A$73,0)))=0,"",JG104/(INDEX('Standards for Conversions'!$H$47:$H$73,MATCH(JF$3,'Standards for Conversions'!$A$47:$A$73,0))))</f>
        <v>16.176019669186868</v>
      </c>
      <c r="JL104" s="31" t="str">
        <f>IF(JK104/(INDEX('Standards for Conversions'!$H$47:$H$73,MATCH(JJ$3,'Standards for Conversions'!$A$47:$A$73,0)))=0,"",JK104/(INDEX('Standards for Conversions'!$H$47:$H$73,MATCH(JJ$3,'Standards for Conversions'!$A$47:$A$73,0))))</f>
        <v/>
      </c>
      <c r="JM104" s="33" t="s">
        <v>38</v>
      </c>
      <c r="JP104" s="31" t="str">
        <f>IF(JO104/(INDEX('Standards for Conversions'!$H$47:$H$73,MATCH(JN$3,'Standards for Conversions'!$A$47:$A$73,0)))=0,"",JO104/(INDEX('Standards for Conversions'!$H$47:$H$73,MATCH(JN$3,'Standards for Conversions'!$A$47:$A$73,0))))</f>
        <v/>
      </c>
      <c r="JQ104" s="33" t="s">
        <v>38</v>
      </c>
      <c r="JT104" s="31" t="str">
        <f>IF(JS104/(INDEX('Standards for Conversions'!$H$47:$H$73,MATCH(JR$3,'Standards for Conversions'!$A$47:$A$73,0)))=0,"",JS104/(INDEX('Standards for Conversions'!$H$47:$H$73,MATCH(JR$3,'Standards for Conversions'!$A$47:$A$73,0))))</f>
        <v/>
      </c>
      <c r="JU104" s="33" t="s">
        <v>38</v>
      </c>
      <c r="JV104" s="29">
        <v>15</v>
      </c>
      <c r="JW104" s="29">
        <v>110</v>
      </c>
      <c r="JX104" s="31">
        <f>IF(JW104/(INDEX('Standards for Conversions'!$H$47:$H$73,MATCH(JV$3,'Standards for Conversions'!$A$47:$A$73,0)))=0,"",JW104/(INDEX('Standards for Conversions'!$H$47:$H$73,MATCH(JV$3,'Standards for Conversions'!$A$47:$A$73,0))))</f>
        <v>16.792148167057732</v>
      </c>
      <c r="JY104" s="33" t="s">
        <v>38</v>
      </c>
      <c r="KB104" s="31" t="str">
        <f>IF(KA104/(INDEX('Standards for Conversions'!$H$47:$H$73,MATCH(JZ$3,'Standards for Conversions'!$A$47:$A$73,0)))=0,"",KA104/(INDEX('Standards for Conversions'!$H$47:$H$73,MATCH(JZ$3,'Standards for Conversions'!$A$47:$A$73,0))))</f>
        <v/>
      </c>
      <c r="KC104" s="33" t="s">
        <v>38</v>
      </c>
      <c r="KF104" s="31" t="str">
        <f>IF(KE104/(INDEX('Standards for Conversions'!$H$47:$H$73,MATCH(KD$3,'Standards for Conversions'!$A$47:$A$73,0)))=0,"",KE104/(INDEX('Standards for Conversions'!$H$47:$H$73,MATCH(KD$3,'Standards for Conversions'!$A$47:$A$73,0))))</f>
        <v/>
      </c>
      <c r="KG104" s="33" t="s">
        <v>38</v>
      </c>
      <c r="KJ104" s="31" t="str">
        <f>IF(KI104/(INDEX('Standards for Conversions'!$H$47:$H$73,MATCH(KH$3,'Standards for Conversions'!$A$47:$A$73,0)))=0,"",KI104/(INDEX('Standards for Conversions'!$H$47:$H$73,MATCH(KH$3,'Standards for Conversions'!$A$47:$A$73,0))))</f>
        <v/>
      </c>
      <c r="KK104" s="33" t="s">
        <v>38</v>
      </c>
      <c r="KL104" s="29">
        <v>16</v>
      </c>
      <c r="KM104" s="29">
        <v>120</v>
      </c>
      <c r="KN104" s="31">
        <f>IF(KM104/(INDEX('Standards for Conversions'!$H$47:$H$73,MATCH(KL$3,'Standards for Conversions'!$A$47:$A$73,0)))=0,"",KM104/(INDEX('Standards for Conversions'!$H$47:$H$73,MATCH(KL$3,'Standards for Conversions'!$A$47:$A$73,0))))</f>
        <v>16.159081428695576</v>
      </c>
      <c r="KO104" s="33" t="s">
        <v>38</v>
      </c>
      <c r="KR104" s="31" t="str">
        <f>IF(KQ104/(INDEX('Standards for Conversions'!$H$47:$H$73,MATCH(KP$3,'Standards for Conversions'!$A$47:$A$73,0)))=0,"",KQ104/(INDEX('Standards for Conversions'!$H$47:$H$73,MATCH(KP$3,'Standards for Conversions'!$A$47:$A$73,0))))</f>
        <v/>
      </c>
      <c r="KS104" s="33" t="s">
        <v>38</v>
      </c>
      <c r="KV104" s="31" t="str">
        <f>IF(KU104/(INDEX('Standards for Conversions'!$H$47:$H$73,MATCH(KT$3,'Standards for Conversions'!$A$47:$A$73,0)))=0,"",KU104/(INDEX('Standards for Conversions'!$H$47:$H$73,MATCH(KT$3,'Standards for Conversions'!$A$47:$A$73,0))))</f>
        <v/>
      </c>
      <c r="KW104" s="48" t="s">
        <v>38</v>
      </c>
      <c r="KZ104" s="31" t="str">
        <f>IF(KY104/(INDEX('Standards for Conversions'!$H$47:$H$73,MATCH(KX$3,'Standards for Conversions'!$A$47:$A$73,0)))=0,"",KY104/(INDEX('Standards for Conversions'!$H$47:$H$73,MATCH(KX$3,'Standards for Conversions'!$A$47:$A$73,0))))</f>
        <v/>
      </c>
      <c r="LA104" s="48" t="s">
        <v>38</v>
      </c>
      <c r="LB104" s="29">
        <v>4</v>
      </c>
      <c r="LC104" s="29">
        <v>45</v>
      </c>
      <c r="LD104" s="31">
        <f>IF(LC104/(INDEX('Standards for Conversions'!$H$47:$H$73,MATCH(LB$3,'Standards for Conversions'!$A$47:$A$73,0)))=0,"",LC104/(INDEX('Standards for Conversions'!$H$47:$H$73,MATCH(LB$3,'Standards for Conversions'!$A$47:$A$73,0))))</f>
        <v>5.472745502737463</v>
      </c>
      <c r="LH104" s="31" t="str">
        <f>IF(LG104/(INDEX('Standards for Conversions'!$H$47:$H$73,MATCH(LF$3,'Standards for Conversions'!$A$47:$A$73,0)))=0,"",LG104/(INDEX('Standards for Conversions'!$H$47:$H$73,MATCH(LF$3,'Standards for Conversions'!$A$47:$A$73,0))))</f>
        <v/>
      </c>
      <c r="LL104" s="31" t="str">
        <f>IF(LK104/(INDEX('Standards for Conversions'!$H$47:$H$73,MATCH(LJ$3,'Standards for Conversions'!$A$47:$A$73,0)))=0,"",LK104/(INDEX('Standards for Conversions'!$H$47:$H$73,MATCH(LJ$3,'Standards for Conversions'!$A$47:$A$73,0))))</f>
        <v/>
      </c>
      <c r="LO104" s="31" t="str">
        <f>IF(LN104/(INDEX('Standards for Conversions'!$H$47:$H$73,MATCH(LM$3,'Standards for Conversions'!$A$47:$A$73,0)))=0,"",LN104/(INDEX('Standards for Conversions'!$H$47:$H$73,MATCH(LM$3,'Standards for Conversions'!$A$47:$A$73,0))))</f>
        <v/>
      </c>
      <c r="LR104" s="31" t="str">
        <f>IF(LQ104/(INDEX('Standards for Conversions'!$H$47:$H$73,MATCH(LP$3,'Standards for Conversions'!$A$47:$A$73,0)))=0,"",LQ104/(INDEX('Standards for Conversions'!$H$47:$H$73,MATCH(LP$3,'Standards for Conversions'!$A$47:$A$73,0))))</f>
        <v/>
      </c>
      <c r="LV104" s="31" t="str">
        <f>IF(LU104/(INDEX('Standards for Conversions'!$H$47:$H$73,MATCH(LT$3,'Standards for Conversions'!$A$47:$A$73,0)))=0,"",LU104/(INDEX('Standards for Conversions'!$H$47:$H$73,MATCH(LT$3,'Standards for Conversions'!$A$47:$A$73,0))))</f>
        <v/>
      </c>
      <c r="LY104" s="31" t="str">
        <f>IF(LX104/(INDEX('Standards for Conversions'!$H$47:$H$73,MATCH(LW$3,'Standards for Conversions'!$A$47:$A$73,0)))=0,"",LX104/(INDEX('Standards for Conversions'!$H$47:$H$73,MATCH(LW$3,'Standards for Conversions'!$A$47:$A$73,0))))</f>
        <v/>
      </c>
      <c r="MB104" s="31" t="str">
        <f>IF(MA104/(INDEX('Standards for Conversions'!$H$47:$H$73,MATCH(LZ$3,'Standards for Conversions'!$A$47:$A$73,0)))=0,"",MA104/(INDEX('Standards for Conversions'!$H$47:$H$73,MATCH(LZ$3,'Standards for Conversions'!$A$47:$A$73,0))))</f>
        <v/>
      </c>
      <c r="ME104" s="31" t="str">
        <f>IF(MD104/(INDEX('Standards for Conversions'!$H$47:$H$73,MATCH(MC$3,'Standards for Conversions'!$A$47:$A$73,0)))=0,"",MD104/(INDEX('Standards for Conversions'!$H$47:$H$73,MATCH(MC$3,'Standards for Conversions'!$A$47:$A$73,0))))</f>
        <v/>
      </c>
      <c r="MH104" s="31" t="str">
        <f>IF(MG104/(INDEX('Standards for Conversions'!$H$47:$H$73,MATCH(MF$3,'Standards for Conversions'!$A$47:$A$73,0)))=0,"",MG104/(INDEX('Standards for Conversions'!$H$47:$H$73,MATCH(MF$3,'Standards for Conversions'!$A$47:$A$73,0))))</f>
        <v/>
      </c>
      <c r="MK104" s="31" t="str">
        <f>IF(MJ104/(INDEX('Standards for Conversions'!$H$47:$H$73,MATCH(MI$3,'Standards for Conversions'!$A$47:$A$73,0)))=0,"",MJ104/(INDEX('Standards for Conversions'!$H$47:$H$73,MATCH(MI$3,'Standards for Conversions'!$A$47:$A$73,0))))</f>
        <v/>
      </c>
      <c r="MN104" s="31" t="str">
        <f>IF(MM104/(INDEX('Standards for Conversions'!$H$47:$H$73,MATCH(ML$3,'Standards for Conversions'!$A$47:$A$73,0)))=0,"",MM104/(INDEX('Standards for Conversions'!$H$47:$H$73,MATCH(ML$3,'Standards for Conversions'!$A$47:$A$73,0))))</f>
        <v/>
      </c>
      <c r="MR104" s="31" t="str">
        <f>IF(MQ104/(INDEX('Standards for Conversions'!$H$47:$H$73,MATCH(MP$3,'Standards for Conversions'!$A$47:$A$73,0)))=0,"",MQ104/(INDEX('Standards for Conversions'!$H$47:$H$73,MATCH(MP$3,'Standards for Conversions'!$A$47:$A$73,0))))</f>
        <v/>
      </c>
    </row>
    <row r="105" spans="1:373" hidden="1" x14ac:dyDescent="0.3">
      <c r="A105" s="103" t="s">
        <v>271</v>
      </c>
      <c r="B105" s="10" t="s">
        <v>38</v>
      </c>
      <c r="C105" s="7"/>
      <c r="D105" s="7"/>
      <c r="E105" s="31" t="str">
        <f>IF(D105/(INDEX('Standards for Conversions'!$H$34:$H$73,MATCH(C$3,'Standards for Conversions'!$A$34:$A$73,0)))=0,"",D105/(INDEX('Standards for Conversions'!$H$34:$H$73,MATCH(C$3,'Standards for Conversions'!$A$34:$A$73,0))))</f>
        <v/>
      </c>
      <c r="F105" s="10" t="s">
        <v>38</v>
      </c>
      <c r="G105" s="7"/>
      <c r="H105" s="7"/>
      <c r="I105" s="31" t="str">
        <f>IF(H105/(INDEX('Standards for Conversions'!$H$34:$H$73,MATCH(G$3,'Standards for Conversions'!$A$34:$A$73,0)))=0,"",H105/(INDEX('Standards for Conversions'!$H$34:$H$73,MATCH(G$3,'Standards for Conversions'!$A$34:$A$73,0))))</f>
        <v/>
      </c>
      <c r="J105" s="10" t="s">
        <v>38</v>
      </c>
      <c r="K105" s="9"/>
      <c r="L105" s="9"/>
      <c r="M105" s="31" t="str">
        <f>IF(L105/(INDEX('Standards for Conversions'!$H$34:$H$73,MATCH(K$3,'Standards for Conversions'!$A$34:$A$73,0)))=0,"",L105/(INDEX('Standards for Conversions'!$H$34:$H$73,MATCH(K$3,'Standards for Conversions'!$A$34:$A$73,0))))</f>
        <v/>
      </c>
      <c r="N105" s="10" t="s">
        <v>38</v>
      </c>
      <c r="O105" s="7"/>
      <c r="P105" s="7"/>
      <c r="Q105" s="31" t="str">
        <f>IF(P105/(INDEX('Standards for Conversions'!$H$34:$H$73,MATCH(O$3,'Standards for Conversions'!$A$34:$A$73,0)))=0,"",P105/(INDEX('Standards for Conversions'!$H$34:$H$73,MATCH(O$3,'Standards for Conversions'!$A$34:$A$73,0))))</f>
        <v/>
      </c>
      <c r="R105" s="10" t="s">
        <v>38</v>
      </c>
      <c r="S105" s="7"/>
      <c r="T105" s="7"/>
      <c r="U105" s="31" t="str">
        <f>IF(T105/(INDEX('Standards for Conversions'!$H$34:$H$73,MATCH(S$3,'Standards for Conversions'!$A$34:$A$73,0)))=0,"",T105/(INDEX('Standards for Conversions'!$H$34:$H$73,MATCH(S$3,'Standards for Conversions'!$A$34:$A$73,0))))</f>
        <v/>
      </c>
      <c r="V105" s="10" t="s">
        <v>38</v>
      </c>
      <c r="W105" s="7"/>
      <c r="X105" s="7"/>
      <c r="Y105" s="31" t="str">
        <f>IF(X105/(INDEX('Standards for Conversions'!$H$34:$H$73,MATCH(W$3,'Standards for Conversions'!$A$34:$A$73,0)))=0,"",X105/(INDEX('Standards for Conversions'!$H$34:$H$73,MATCH(W$3,'Standards for Conversions'!$A$34:$A$73,0))))</f>
        <v/>
      </c>
      <c r="Z105" s="10" t="s">
        <v>38</v>
      </c>
      <c r="AA105" s="9"/>
      <c r="AB105" s="9"/>
      <c r="AC105" s="31" t="str">
        <f>IF(AB105/(INDEX('Standards for Conversions'!$H$34:$H$73,MATCH(AA$3,'Standards for Conversions'!$A$34:$A$73,0)))=0,"",AB105/(INDEX('Standards for Conversions'!$H$34:$H$73,MATCH(AA$3,'Standards for Conversions'!$A$34:$A$73,0))))</f>
        <v/>
      </c>
      <c r="AD105" s="10" t="s">
        <v>38</v>
      </c>
      <c r="AE105" s="7"/>
      <c r="AF105" s="7"/>
      <c r="AG105" s="31" t="str">
        <f>IF(AF105/(INDEX('Standards for Conversions'!$H$34:$H$73,MATCH(AE$3,'Standards for Conversions'!$A$34:$A$73,0)))=0,"",AF105/(INDEX('Standards for Conversions'!$H$34:$H$73,MATCH(AE$3,'Standards for Conversions'!$A$34:$A$73,0))))</f>
        <v/>
      </c>
      <c r="AH105" s="10" t="s">
        <v>38</v>
      </c>
      <c r="AI105" s="7"/>
      <c r="AJ105" s="7"/>
      <c r="AK105" s="31" t="str">
        <f>IF(AJ105/(INDEX('Standards for Conversions'!$H$34:$H$73,MATCH(AI$3,'Standards for Conversions'!$A$34:$A$73,0)))=0,"",AJ105/(INDEX('Standards for Conversions'!$H$34:$H$73,MATCH(AI$3,'Standards for Conversions'!$A$34:$A$73,0))))</f>
        <v/>
      </c>
      <c r="AL105" s="10" t="s">
        <v>38</v>
      </c>
      <c r="AM105" s="7"/>
      <c r="AN105" s="7"/>
      <c r="AO105" s="31" t="str">
        <f>IF(AN105/(INDEX('Standards for Conversions'!$H$34:$H$73,MATCH(AM$3,'Standards for Conversions'!$A$34:$A$73,0)))=0,"",AN105/(INDEX('Standards for Conversions'!$H$34:$H$73,MATCH(AM$3,'Standards for Conversions'!$A$34:$A$73,0))))</f>
        <v/>
      </c>
      <c r="AP105" s="10" t="s">
        <v>38</v>
      </c>
      <c r="AQ105" s="9"/>
      <c r="AR105" s="9"/>
      <c r="AS105" s="31" t="str">
        <f>IF(AR105/(INDEX('Standards for Conversions'!$H$34:$H$73,MATCH(AQ$3,'Standards for Conversions'!$A$34:$A$73,0)))=0,"",AR105/(INDEX('Standards for Conversions'!$H$34:$H$73,MATCH(AQ$3,'Standards for Conversions'!$A$34:$A$73,0))))</f>
        <v/>
      </c>
      <c r="AT105" s="10" t="s">
        <v>38</v>
      </c>
      <c r="AU105" s="7"/>
      <c r="AV105" s="7"/>
      <c r="AW105" s="31" t="str">
        <f>IF(AV105/(INDEX('Standards for Conversions'!$H$34:$H$73,MATCH(AU$3,'Standards for Conversions'!$A$34:$A$73,0)))=0,"",AV105/(INDEX('Standards for Conversions'!$H$34:$H$73,MATCH(AU$3,'Standards for Conversions'!$A$34:$A$73,0))))</f>
        <v/>
      </c>
      <c r="AX105" s="10" t="s">
        <v>38</v>
      </c>
      <c r="AY105" s="7"/>
      <c r="AZ105" s="7"/>
      <c r="BA105" s="31" t="str">
        <f>IF(AZ105/(INDEX('Standards for Conversions'!$H$34:$H$73,MATCH(AY$3,'Standards for Conversions'!$A$34:$A$73,0)))=0,"",AZ105/(INDEX('Standards for Conversions'!$H$34:$H$73,MATCH(AY$3,'Standards for Conversions'!$A$34:$A$73,0))))</f>
        <v/>
      </c>
      <c r="BB105" s="10" t="s">
        <v>38</v>
      </c>
      <c r="BC105" s="7"/>
      <c r="BD105" s="7"/>
      <c r="BE105" s="31" t="str">
        <f>IF(BD105/(INDEX('Standards for Conversions'!$H$34:$H$73,MATCH(BC$3,'Standards for Conversions'!$A$34:$A$73,0)))=0,"",BD105/(INDEX('Standards for Conversions'!$H$34:$H$73,MATCH(BC$3,'Standards for Conversions'!$A$34:$A$73,0))))</f>
        <v/>
      </c>
      <c r="BF105" s="10" t="s">
        <v>38</v>
      </c>
      <c r="BG105" s="9"/>
      <c r="BH105" s="9"/>
      <c r="BI105" s="31" t="str">
        <f>IF(BH105/(INDEX('Standards for Conversions'!$H$34:$H$73,MATCH(BG$3,'Standards for Conversions'!$A$34:$A$73,0)))=0,"",BH105/(INDEX('Standards for Conversions'!$H$34:$H$73,MATCH(BG$3,'Standards for Conversions'!$A$34:$A$73,0))))</f>
        <v/>
      </c>
      <c r="BJ105" s="10" t="s">
        <v>38</v>
      </c>
      <c r="BK105" s="7"/>
      <c r="BL105" s="7"/>
      <c r="BM105" s="31" t="str">
        <f>IF(BL105/(INDEX('Standards for Conversions'!$H$34:$H$73,MATCH(BK$3,'Standards for Conversions'!$A$34:$A$73,0)))=0,"",BL105/(INDEX('Standards for Conversions'!$H$34:$H$73,MATCH(BK$3,'Standards for Conversions'!$A$34:$A$73,0))))</f>
        <v/>
      </c>
      <c r="BN105" s="10" t="s">
        <v>38</v>
      </c>
      <c r="BO105" s="7"/>
      <c r="BP105" s="7"/>
      <c r="BQ105" s="31" t="str">
        <f>IF(BP105/(INDEX('Standards for Conversions'!$H$34:$H$73,MATCH(BO$3,'Standards for Conversions'!$A$34:$A$73,0)))=0,"",BP105/(INDEX('Standards for Conversions'!$H$34:$H$73,MATCH(BO$3,'Standards for Conversions'!$A$34:$A$73,0))))</f>
        <v/>
      </c>
      <c r="BR105" s="10" t="s">
        <v>38</v>
      </c>
      <c r="BS105" s="7"/>
      <c r="BT105" s="7"/>
      <c r="BU105" s="31" t="str">
        <f>IF(BT105/(INDEX('Standards for Conversions'!$H$34:$H$73,MATCH(BS$3,'Standards for Conversions'!$A$34:$A$73,0)))=0,"",BT105/(INDEX('Standards for Conversions'!$H$34:$H$73,MATCH(BS$3,'Standards for Conversions'!$A$34:$A$73,0))))</f>
        <v/>
      </c>
      <c r="BV105" s="10" t="s">
        <v>38</v>
      </c>
      <c r="BW105" s="9"/>
      <c r="BX105" s="9"/>
      <c r="BY105" s="31" t="str">
        <f>IF(BX105/(INDEX('Standards for Conversions'!$H$34:$H$73,MATCH(BW$3,'Standards for Conversions'!$A$34:$A$73,0)))=0,"",BX105/(INDEX('Standards for Conversions'!$H$34:$H$73,MATCH(BW$3,'Standards for Conversions'!$A$34:$A$73,0))))</f>
        <v/>
      </c>
      <c r="BZ105" s="10" t="s">
        <v>38</v>
      </c>
      <c r="CA105" s="7"/>
      <c r="CB105" s="7"/>
      <c r="CC105" s="31" t="str">
        <f>IF(CB105/(INDEX('Standards for Conversions'!$H$34:$H$73,MATCH(CA$3,'Standards for Conversions'!$A$34:$A$73,0)))=0,"",CB105/(INDEX('Standards for Conversions'!$H$34:$H$73,MATCH(CA$3,'Standards for Conversions'!$A$34:$A$73,0))))</f>
        <v/>
      </c>
      <c r="CD105" s="10" t="s">
        <v>38</v>
      </c>
      <c r="CE105" s="7"/>
      <c r="CF105" s="7"/>
      <c r="CG105" s="31" t="str">
        <f>IF(CF105/(INDEX('Standards for Conversions'!$H$34:$H$73,MATCH(CE$3,'Standards for Conversions'!$A$34:$A$73,0)))=0,"",CF105/(INDEX('Standards for Conversions'!$H$34:$H$73,MATCH(CE$3,'Standards for Conversions'!$A$34:$A$73,0))))</f>
        <v/>
      </c>
      <c r="CH105" s="10" t="s">
        <v>38</v>
      </c>
      <c r="CI105" s="7"/>
      <c r="CJ105" s="7"/>
      <c r="CK105" s="31" t="str">
        <f>IF(CJ105/(INDEX('Standards for Conversions'!$H$34:$H$73,MATCH(CI$3,'Standards for Conversions'!$A$34:$A$73,0)))=0,"",CJ105/(INDEX('Standards for Conversions'!$H$34:$H$73,MATCH(CI$3,'Standards for Conversions'!$A$34:$A$73,0))))</f>
        <v/>
      </c>
      <c r="CL105" s="10" t="s">
        <v>38</v>
      </c>
      <c r="CM105" s="9"/>
      <c r="CN105" s="9"/>
      <c r="CO105" s="31" t="str">
        <f>IF(CN105/(INDEX('Standards for Conversions'!$H$34:$H$73,MATCH(CM$3,'Standards for Conversions'!$A$34:$A$73,0)))=0,"",CN105/(INDEX('Standards for Conversions'!$H$34:$H$73,MATCH(CM$3,'Standards for Conversions'!$A$34:$A$73,0))))</f>
        <v/>
      </c>
      <c r="CP105" s="10" t="s">
        <v>38</v>
      </c>
      <c r="CQ105" s="7"/>
      <c r="CR105" s="7"/>
      <c r="CS105" s="31" t="str">
        <f>IF(CR105/(INDEX('Standards for Conversions'!$H$34:$H$73,MATCH(CQ$3,'Standards for Conversions'!$A$34:$A$73,0)))=0,"",CR105/(INDEX('Standards for Conversions'!$H$34:$H$73,MATCH(CQ$3,'Standards for Conversions'!$A$34:$A$73,0))))</f>
        <v/>
      </c>
      <c r="CT105" s="10" t="s">
        <v>38</v>
      </c>
      <c r="CU105" s="7"/>
      <c r="CV105" s="7"/>
      <c r="CW105" s="31" t="str">
        <f>IF(CV105/(INDEX('Standards for Conversions'!$H$34:$H$73,MATCH(CU$3,'Standards for Conversions'!$A$34:$A$73,0)))=0,"",CV105/(INDEX('Standards for Conversions'!$H$34:$H$73,MATCH(CU$3,'Standards for Conversions'!$A$34:$A$73,0))))</f>
        <v/>
      </c>
      <c r="CX105" s="10" t="s">
        <v>38</v>
      </c>
      <c r="CY105" s="7"/>
      <c r="CZ105" s="7"/>
      <c r="DA105" s="31" t="str">
        <f>IF(CZ105/(INDEX('Standards for Conversions'!$H$34:$H$73,MATCH(CY$3,'Standards for Conversions'!$A$34:$A$73,0)))=0,"",CZ105/(INDEX('Standards for Conversions'!$H$34:$H$73,MATCH(CY$3,'Standards for Conversions'!$A$34:$A$73,0))))</f>
        <v/>
      </c>
      <c r="DB105" s="10" t="s">
        <v>38</v>
      </c>
      <c r="DC105" s="9"/>
      <c r="DD105" s="9"/>
      <c r="DE105" s="31" t="str">
        <f>IF(DD105/(INDEX('Standards for Conversions'!$H$34:$H$73,MATCH(DC$3,'Standards for Conversions'!$A$34:$A$73,0)))=0,"",DD105/(INDEX('Standards for Conversions'!$H$34:$H$73,MATCH(DC$3,'Standards for Conversions'!$A$34:$A$73,0))))</f>
        <v/>
      </c>
      <c r="DF105" s="10" t="s">
        <v>38</v>
      </c>
      <c r="DG105" s="7"/>
      <c r="DH105" s="7"/>
      <c r="DI105" s="31" t="str">
        <f>IF(DH105/(INDEX('Standards for Conversions'!$H$34:$H$73,MATCH(DG$3,'Standards for Conversions'!$A$34:$A$73,0)))=0,"",DH105/(INDEX('Standards for Conversions'!$H$34:$H$73,MATCH(DG$3,'Standards for Conversions'!$A$34:$A$73,0))))</f>
        <v/>
      </c>
      <c r="DJ105" s="10" t="s">
        <v>38</v>
      </c>
      <c r="DK105" s="7"/>
      <c r="DL105" s="7"/>
      <c r="DM105" s="31" t="str">
        <f>IF(DL105/(INDEX('Standards for Conversions'!$H$34:$H$73,MATCH(DK$3,'Standards for Conversions'!$A$34:$A$73,0)))=0,"",DL105/(INDEX('Standards for Conversions'!$H$34:$H$73,MATCH(DK$3,'Standards for Conversions'!$A$34:$A$73,0))))</f>
        <v/>
      </c>
      <c r="DN105" s="10" t="s">
        <v>38</v>
      </c>
      <c r="DO105" s="7"/>
      <c r="DP105" s="7"/>
      <c r="DQ105" s="31" t="str">
        <f>IF(DP105/(INDEX('Standards for Conversions'!$H$34:$H$73,MATCH(DO$3,'Standards for Conversions'!$A$34:$A$73,0)))=0,"",DP105/(INDEX('Standards for Conversions'!$H$34:$H$73,MATCH(DO$3,'Standards for Conversions'!$A$34:$A$73,0))))</f>
        <v/>
      </c>
      <c r="DR105" s="10" t="s">
        <v>38</v>
      </c>
      <c r="DS105" s="9"/>
      <c r="DT105" s="9"/>
      <c r="DU105" s="31" t="str">
        <f>IF(DT105/(INDEX('Standards for Conversions'!$H$34:$H$73,MATCH(DS$3,'Standards for Conversions'!$A$34:$A$73,0)))=0,"",DT105/(INDEX('Standards for Conversions'!$H$34:$H$73,MATCH(DS$3,'Standards for Conversions'!$A$34:$A$73,0))))</f>
        <v/>
      </c>
      <c r="DV105" s="10" t="s">
        <v>38</v>
      </c>
      <c r="DW105" s="7"/>
      <c r="DX105" s="7"/>
      <c r="DY105" s="31" t="str">
        <f>IF(DX105/(INDEX('Standards for Conversions'!$H$34:$H$73,MATCH(DW$3,'Standards for Conversions'!$A$34:$A$73,0)))=0,"",DX105/(INDEX('Standards for Conversions'!$H$34:$H$73,MATCH(DW$3,'Standards for Conversions'!$A$34:$A$73,0))))</f>
        <v/>
      </c>
      <c r="DZ105" s="10" t="s">
        <v>38</v>
      </c>
      <c r="EA105" s="7"/>
      <c r="EB105" s="7"/>
      <c r="EC105" s="31" t="str">
        <f>IF(EB105/(INDEX('Standards for Conversions'!$H$34:$H$73,MATCH(EA$3,'Standards for Conversions'!$A$34:$A$73,0)))=0,"",EB105/(INDEX('Standards for Conversions'!$H$34:$H$73,MATCH(EA$3,'Standards for Conversions'!$A$34:$A$73,0))))</f>
        <v/>
      </c>
      <c r="ED105" s="10" t="s">
        <v>38</v>
      </c>
      <c r="EE105" s="7"/>
      <c r="EF105" s="7"/>
      <c r="EG105" s="31" t="str">
        <f>IF(EF105/(INDEX('Standards for Conversions'!$H$34:$H$73,MATCH(EE$3,'Standards for Conversions'!$A$34:$A$73,0)))=0,"",EF105/(INDEX('Standards for Conversions'!$H$34:$H$73,MATCH(EE$3,'Standards for Conversions'!$A$34:$A$73,0))))</f>
        <v/>
      </c>
      <c r="EH105" s="10" t="s">
        <v>38</v>
      </c>
      <c r="EI105" s="9"/>
      <c r="EJ105" s="9"/>
      <c r="EK105" s="31" t="str">
        <f>IF(EJ105/(INDEX('Standards for Conversions'!$H$34:$H$73,MATCH(EI$3,'Standards for Conversions'!$A$34:$A$73,0)))=0,"",EJ105/(INDEX('Standards for Conversions'!$H$34:$H$73,MATCH(EI$3,'Standards for Conversions'!$A$34:$A$73,0))))</f>
        <v/>
      </c>
      <c r="EL105" s="10" t="s">
        <v>38</v>
      </c>
      <c r="EM105" s="7"/>
      <c r="EN105" s="7"/>
      <c r="EO105" s="31" t="str">
        <f>IF(EN105/(INDEX('Standards for Conversions'!$H$34:$H$73,MATCH(EM$3,'Standards for Conversions'!$A$34:$A$73,0)))=0,"",EN105/(INDEX('Standards for Conversions'!$H$34:$H$73,MATCH(EM$3,'Standards for Conversions'!$A$34:$A$73,0))))</f>
        <v/>
      </c>
      <c r="EP105" s="10" t="s">
        <v>38</v>
      </c>
      <c r="EQ105" s="7"/>
      <c r="ER105" s="7"/>
      <c r="ES105" s="31" t="str">
        <f>IF(ER105/(INDEX('Standards for Conversions'!$H$34:$H$73,MATCH(EQ$3,'Standards for Conversions'!$A$34:$A$73,0)))=0,"",ER105/(INDEX('Standards for Conversions'!$H$34:$H$73,MATCH(EQ$3,'Standards for Conversions'!$A$34:$A$73,0))))</f>
        <v/>
      </c>
      <c r="ET105" s="10" t="s">
        <v>38</v>
      </c>
      <c r="EU105" s="7"/>
      <c r="EV105" s="7"/>
      <c r="EW105" s="31" t="str">
        <f>IF(EV105/(INDEX('Standards for Conversions'!$H$34:$H$73,MATCH(EU$3,'Standards for Conversions'!$A$34:$A$73,0)))=0,"",EV105/(INDEX('Standards for Conversions'!$H$34:$H$73,MATCH(EU$3,'Standards for Conversions'!$A$34:$A$73,0))))</f>
        <v/>
      </c>
      <c r="EX105" s="10" t="s">
        <v>38</v>
      </c>
      <c r="EY105" s="9"/>
      <c r="EZ105" s="9"/>
      <c r="FA105" s="31" t="str">
        <f>IF(EZ105/(INDEX('Standards for Conversions'!$H$34:$H$73,MATCH(EY$3,'Standards for Conversions'!$A$34:$A$73,0)))=0,"",EZ105/(INDEX('Standards for Conversions'!$H$34:$H$73,MATCH(EY$3,'Standards for Conversions'!$A$34:$A$73,0))))</f>
        <v/>
      </c>
      <c r="FB105" s="10" t="s">
        <v>38</v>
      </c>
      <c r="FC105" s="7"/>
      <c r="FD105" s="7"/>
      <c r="FE105" s="31" t="str">
        <f>IF(FD105/(INDEX('Standards for Conversions'!$H$34:$H$73,MATCH(FC$3,'Standards for Conversions'!$A$34:$A$73,0)))=0,"",FD105/(INDEX('Standards for Conversions'!$H$34:$H$73,MATCH(FC$3,'Standards for Conversions'!$A$34:$A$73,0))))</f>
        <v/>
      </c>
      <c r="FF105" s="10" t="s">
        <v>38</v>
      </c>
      <c r="FG105" s="7"/>
      <c r="FH105" s="7"/>
      <c r="FI105" s="31" t="str">
        <f>IF(FH105/(INDEX('Standards for Conversions'!$H$34:$H$73,MATCH(FG$3,'Standards for Conversions'!$A$34:$A$73,0)))=0,"",FH105/(INDEX('Standards for Conversions'!$H$34:$H$73,MATCH(FG$3,'Standards for Conversions'!$A$34:$A$73,0))))</f>
        <v/>
      </c>
      <c r="FJ105" s="10" t="s">
        <v>38</v>
      </c>
      <c r="FK105" s="7"/>
      <c r="FL105" s="7"/>
      <c r="FM105" s="31" t="str">
        <f>IF(FL105/(INDEX('Standards for Conversions'!$H$34:$H$73,MATCH(FK$3,'Standards for Conversions'!$A$34:$A$73,0)))=0,"",FL105/(INDEX('Standards for Conversions'!$H$34:$H$73,MATCH(FK$3,'Standards for Conversions'!$A$34:$A$73,0))))</f>
        <v/>
      </c>
      <c r="FN105" s="10" t="s">
        <v>38</v>
      </c>
      <c r="FO105" s="9"/>
      <c r="FP105" s="9"/>
      <c r="FQ105" s="31" t="str">
        <f>IF(FP105/(INDEX('Standards for Conversions'!$H$34:$H$73,MATCH(FO$3,'Standards for Conversions'!$A$34:$A$73,0)))=0,"",FP105/(INDEX('Standards for Conversions'!$H$34:$H$73,MATCH(FO$3,'Standards for Conversions'!$A$34:$A$73,0))))</f>
        <v/>
      </c>
      <c r="FR105" s="10" t="s">
        <v>38</v>
      </c>
      <c r="FS105" s="7"/>
      <c r="FT105" s="7"/>
      <c r="FU105" s="31" t="str">
        <f>IF(FT105/(INDEX('Standards for Conversions'!$H$34:$H$73,MATCH(FS$3,'Standards for Conversions'!$A$34:$A$73,0)))=0,"",FT105/(INDEX('Standards for Conversions'!$H$34:$H$73,MATCH(FS$3,'Standards for Conversions'!$A$34:$A$73,0))))</f>
        <v/>
      </c>
      <c r="FV105" s="10" t="s">
        <v>38</v>
      </c>
      <c r="FW105" s="7"/>
      <c r="FX105" s="7"/>
      <c r="FY105" s="31" t="str">
        <f>IF(FX105/(INDEX('Standards for Conversions'!$H$34:$H$73,MATCH(FW$3,'Standards for Conversions'!$A$34:$A$73,0)))=0,"",FX105/(INDEX('Standards for Conversions'!$H$34:$H$73,MATCH(FW$3,'Standards for Conversions'!$A$34:$A$73,0))))</f>
        <v/>
      </c>
      <c r="FZ105" s="10" t="s">
        <v>38</v>
      </c>
      <c r="GA105" s="7"/>
      <c r="GB105" s="7"/>
      <c r="GC105" s="31" t="str">
        <f>IF(GB105/(INDEX('Standards for Conversions'!$H$34:$H$73,MATCH(GA$3,'Standards for Conversions'!$A$34:$A$73,0)))=0,"",GB105/(INDEX('Standards for Conversions'!$H$34:$H$73,MATCH(GA$3,'Standards for Conversions'!$A$34:$A$73,0))))</f>
        <v/>
      </c>
      <c r="GD105" s="10" t="s">
        <v>38</v>
      </c>
      <c r="GE105" s="9"/>
      <c r="GF105" s="9"/>
      <c r="GG105" s="31" t="str">
        <f>IF(GF105/(INDEX('Standards for Conversions'!$H$34:$H$73,MATCH(GE$3,'Standards for Conversions'!$A$34:$A$73,0)))=0,"",GF105/(INDEX('Standards for Conversions'!$H$34:$H$73,MATCH(GE$3,'Standards for Conversions'!$A$34:$A$73,0))))</f>
        <v/>
      </c>
      <c r="GH105" s="10" t="s">
        <v>38</v>
      </c>
      <c r="GI105" s="7"/>
      <c r="GJ105" s="7"/>
      <c r="GK105" s="31" t="str">
        <f>IF(GJ105/(INDEX('Standards for Conversions'!$H$34:$H$73,MATCH(GI$3,'Standards for Conversions'!$A$34:$A$73,0)))=0,"",GJ105/(INDEX('Standards for Conversions'!$H$34:$H$73,MATCH(GI$3,'Standards for Conversions'!$A$34:$A$73,0))))</f>
        <v/>
      </c>
      <c r="GL105" s="10" t="s">
        <v>38</v>
      </c>
      <c r="GM105" s="7"/>
      <c r="GN105" s="7"/>
      <c r="GO105" s="31" t="str">
        <f>IF(GN105/(INDEX('Standards for Conversions'!$H$34:$H$73,MATCH(GM$3,'Standards for Conversions'!$A$34:$A$73,0)))=0,"",GN105/(INDEX('Standards for Conversions'!$H$34:$H$73,MATCH(GM$3,'Standards for Conversions'!$A$34:$A$73,0))))</f>
        <v/>
      </c>
      <c r="GP105" s="10" t="s">
        <v>38</v>
      </c>
      <c r="GQ105" s="7"/>
      <c r="GR105" s="7"/>
      <c r="GS105" s="31" t="str">
        <f>IF(GR105/(INDEX('Standards for Conversions'!$H$34:$H$73,MATCH(GQ$3,'Standards for Conversions'!$A$34:$A$73,0)))=0,"",GR105/(INDEX('Standards for Conversions'!$H$34:$H$73,MATCH(GQ$3,'Standards for Conversions'!$A$34:$A$73,0))))</f>
        <v/>
      </c>
      <c r="GT105" s="10" t="s">
        <v>38</v>
      </c>
      <c r="GU105" s="9"/>
      <c r="GV105" s="9"/>
      <c r="GW105" s="31" t="str">
        <f>IF(GV105/(INDEX('Standards for Conversions'!$H$34:$H$73,MATCH(GU$3,'Standards for Conversions'!$A$34:$A$73,0)))=0,"",GV105/(INDEX('Standards for Conversions'!$H$34:$H$73,MATCH(GU$3,'Standards for Conversions'!$A$34:$A$73,0))))</f>
        <v/>
      </c>
      <c r="GX105" s="10" t="s">
        <v>38</v>
      </c>
      <c r="GY105" s="7"/>
      <c r="GZ105" s="7"/>
      <c r="HA105" s="31" t="str">
        <f>IF(GZ105/(INDEX('Standards for Conversions'!$H$34:$H$73,MATCH(GY$3,'Standards for Conversions'!$A$34:$A$73,0)))=0,"",GZ105/(INDEX('Standards for Conversions'!$H$34:$H$73,MATCH(GY$3,'Standards for Conversions'!$A$34:$A$73,0))))</f>
        <v/>
      </c>
      <c r="HB105" s="10" t="s">
        <v>38</v>
      </c>
      <c r="HC105" s="7"/>
      <c r="HD105" s="7"/>
      <c r="HE105" s="31" t="str">
        <f>IF(HD105/(INDEX('Standards for Conversions'!$H$34:$H$73,MATCH(HC$3,'Standards for Conversions'!$A$34:$A$73,0)))=0,"",HD105/(INDEX('Standards for Conversions'!$H$34:$H$73,MATCH(HC$3,'Standards for Conversions'!$A$34:$A$73,0))))</f>
        <v/>
      </c>
      <c r="HF105" s="10" t="s">
        <v>38</v>
      </c>
      <c r="HG105" s="7"/>
      <c r="HH105" s="7"/>
      <c r="HI105" s="31" t="str">
        <f>IF(HH105/(INDEX('Standards for Conversions'!$H$34:$H$73,MATCH(HG$3,'Standards for Conversions'!$A$34:$A$73,0)))=0,"",HH105/(INDEX('Standards for Conversions'!$H$34:$H$73,MATCH(HG$3,'Standards for Conversions'!$A$34:$A$73,0))))</f>
        <v/>
      </c>
      <c r="HJ105" s="10" t="s">
        <v>38</v>
      </c>
      <c r="HK105" s="9"/>
      <c r="HL105" s="9"/>
      <c r="HM105" s="31" t="str">
        <f>IF(HL105/(INDEX('Standards for Conversions'!$H$34:$H$73,MATCH(HK$3,'Standards for Conversions'!$A$34:$A$73,0)))=0,"",HL105/(INDEX('Standards for Conversions'!$H$34:$H$73,MATCH(HK$3,'Standards for Conversions'!$A$34:$A$73,0))))</f>
        <v/>
      </c>
      <c r="HN105" s="10" t="s">
        <v>38</v>
      </c>
      <c r="HO105" s="7"/>
      <c r="HP105" s="7"/>
      <c r="HQ105" s="31" t="str">
        <f>IF(HP105/(INDEX('Standards for Conversions'!$H$34:$H$73,MATCH(HO$3,'Standards for Conversions'!$A$34:$A$73,0)))=0,"",HP105/(INDEX('Standards for Conversions'!$H$34:$H$73,MATCH(HO$3,'Standards for Conversions'!$A$34:$A$73,0))))</f>
        <v/>
      </c>
      <c r="HR105" s="33" t="s">
        <v>38</v>
      </c>
      <c r="HU105" s="31" t="str">
        <f>IF(HT105/(INDEX('Standards for Conversions'!$H$47:$H$73,MATCH(HS$3,'Standards for Conversions'!$A$47:$A$73,0)))=0,"",HT105/(INDEX('Standards for Conversions'!$H$47:$H$73,MATCH(HS$3,'Standards for Conversions'!$A$47:$A$73,0))))</f>
        <v/>
      </c>
      <c r="HV105" s="33" t="s">
        <v>38</v>
      </c>
      <c r="HY105" s="31" t="str">
        <f>IF(HX105/(INDEX('Standards for Conversions'!$H$47:$H$73,MATCH(HW$3,'Standards for Conversions'!$A$47:$A$73,0)))=0,"",HX105/(INDEX('Standards for Conversions'!$H$47:$H$73,MATCH(HW$3,'Standards for Conversions'!$A$47:$A$73,0))))</f>
        <v/>
      </c>
      <c r="HZ105" s="33">
        <v>50</v>
      </c>
      <c r="IA105" s="33">
        <v>400</v>
      </c>
      <c r="IB105" s="31">
        <f>IF(IA105/(INDEX('Standards for Conversions'!$H$47:$H$73,MATCH(HZ$3,'Standards for Conversions'!$A$47:$A$73,0)))=0,"",IA105/(INDEX('Standards for Conversions'!$H$47:$H$73,MATCH(HZ$3,'Standards for Conversions'!$A$47:$A$73,0))))</f>
        <v>58.098164885142381</v>
      </c>
      <c r="IC105" s="33" t="s">
        <v>38</v>
      </c>
      <c r="IF105" s="31" t="str">
        <f>IF(IE105/(INDEX('Standards for Conversions'!$H$47:$H$73,MATCH(ID$3,'Standards for Conversions'!$A$47:$A$73,0)))=0,"",IE105/(INDEX('Standards for Conversions'!$H$47:$H$73,MATCH(ID$3,'Standards for Conversions'!$A$47:$A$73,0))))</f>
        <v/>
      </c>
      <c r="IG105" s="33" t="s">
        <v>38</v>
      </c>
      <c r="IJ105" s="31" t="str">
        <f>IF(II105/(INDEX('Standards for Conversions'!$H$47:$H$73,MATCH(IH$3,'Standards for Conversions'!$A$47:$A$73,0)))=0,"",II105/(INDEX('Standards for Conversions'!$H$47:$H$73,MATCH(IH$3,'Standards for Conversions'!$A$47:$A$73,0))))</f>
        <v/>
      </c>
      <c r="IK105" s="33" t="s">
        <v>38</v>
      </c>
      <c r="IN105" s="31" t="str">
        <f>IF(IM105/(INDEX('Standards for Conversions'!$H$47:$H$73,MATCH(IL$3,'Standards for Conversions'!$A$47:$A$73,0)))=0,"",IM105/(INDEX('Standards for Conversions'!$H$47:$H$73,MATCH(IL$3,'Standards for Conversions'!$A$47:$A$73,0))))</f>
        <v/>
      </c>
      <c r="IO105" s="33" t="s">
        <v>38</v>
      </c>
      <c r="IP105" s="29">
        <v>142</v>
      </c>
      <c r="IQ105" s="29">
        <v>757</v>
      </c>
      <c r="IR105" s="31">
        <f>IF(IQ105/(INDEX('Standards for Conversions'!$H$47:$H$73,MATCH(IP$3,'Standards for Conversions'!$A$47:$A$73,0)))=0,"",IQ105/(INDEX('Standards for Conversions'!$H$47:$H$73,MATCH(IP$3,'Standards for Conversions'!$A$47:$A$73,0))))</f>
        <v>109.4699427431853</v>
      </c>
      <c r="IS105" s="33" t="s">
        <v>38</v>
      </c>
      <c r="IV105" s="31" t="str">
        <f>IF(IU105/(INDEX('Standards for Conversions'!$H$47:$H$73,MATCH(IT$3,'Standards for Conversions'!$A$47:$A$73,0)))=0,"",IU105/(INDEX('Standards for Conversions'!$H$47:$H$73,MATCH(IT$3,'Standards for Conversions'!$A$47:$A$73,0))))</f>
        <v/>
      </c>
      <c r="IW105" s="33" t="s">
        <v>38</v>
      </c>
      <c r="IZ105" s="31" t="str">
        <f>IF(IY105/(INDEX('Standards for Conversions'!$H$47:$H$73,MATCH(IX$3,'Standards for Conversions'!$A$47:$A$73,0)))=0,"",IY105/(INDEX('Standards for Conversions'!$H$47:$H$73,MATCH(IX$3,'Standards for Conversions'!$A$47:$A$73,0))))</f>
        <v/>
      </c>
      <c r="JA105" s="48" t="s">
        <v>38</v>
      </c>
      <c r="JD105" s="31" t="str">
        <f>IF(JC105/(INDEX('Standards for Conversions'!$H$47:$H$73,MATCH(JB$3,'Standards for Conversions'!$A$47:$A$73,0)))=0,"",JC105/(INDEX('Standards for Conversions'!$H$47:$H$73,MATCH(JB$3,'Standards for Conversions'!$A$47:$A$73,0))))</f>
        <v/>
      </c>
      <c r="JE105" s="48" t="s">
        <v>38</v>
      </c>
      <c r="JF105" s="29">
        <v>115</v>
      </c>
      <c r="JG105" s="29">
        <v>700</v>
      </c>
      <c r="JH105" s="31">
        <f>IF(JG105/(INDEX('Standards for Conversions'!$H$47:$H$73,MATCH(JF$3,'Standards for Conversions'!$A$47:$A$73,0)))=0,"",JG105/(INDEX('Standards for Conversions'!$H$47:$H$73,MATCH(JF$3,'Standards for Conversions'!$A$47:$A$73,0))))</f>
        <v>113.23213768430809</v>
      </c>
      <c r="JL105" s="31" t="str">
        <f>IF(JK105/(INDEX('Standards for Conversions'!$H$47:$H$73,MATCH(JJ$3,'Standards for Conversions'!$A$47:$A$73,0)))=0,"",JK105/(INDEX('Standards for Conversions'!$H$47:$H$73,MATCH(JJ$3,'Standards for Conversions'!$A$47:$A$73,0))))</f>
        <v/>
      </c>
      <c r="JM105" s="33" t="s">
        <v>38</v>
      </c>
      <c r="JP105" s="31" t="str">
        <f>IF(JO105/(INDEX('Standards for Conversions'!$H$47:$H$73,MATCH(JN$3,'Standards for Conversions'!$A$47:$A$73,0)))=0,"",JO105/(INDEX('Standards for Conversions'!$H$47:$H$73,MATCH(JN$3,'Standards for Conversions'!$A$47:$A$73,0))))</f>
        <v/>
      </c>
      <c r="JQ105" s="33" t="s">
        <v>38</v>
      </c>
      <c r="JT105" s="31" t="str">
        <f>IF(JS105/(INDEX('Standards for Conversions'!$H$47:$H$73,MATCH(JR$3,'Standards for Conversions'!$A$47:$A$73,0)))=0,"",JS105/(INDEX('Standards for Conversions'!$H$47:$H$73,MATCH(JR$3,'Standards for Conversions'!$A$47:$A$73,0))))</f>
        <v/>
      </c>
      <c r="JU105" s="33" t="s">
        <v>38</v>
      </c>
      <c r="JV105" s="29">
        <v>15</v>
      </c>
      <c r="JW105" s="29">
        <v>300</v>
      </c>
      <c r="JX105" s="31">
        <f>IF(JW105/(INDEX('Standards for Conversions'!$H$47:$H$73,MATCH(JV$3,'Standards for Conversions'!$A$47:$A$73,0)))=0,"",JW105/(INDEX('Standards for Conversions'!$H$47:$H$73,MATCH(JV$3,'Standards for Conversions'!$A$47:$A$73,0))))</f>
        <v>45.796767728339269</v>
      </c>
      <c r="JY105" s="33" t="s">
        <v>38</v>
      </c>
      <c r="KB105" s="31" t="str">
        <f>IF(KA105/(INDEX('Standards for Conversions'!$H$47:$H$73,MATCH(JZ$3,'Standards for Conversions'!$A$47:$A$73,0)))=0,"",KA105/(INDEX('Standards for Conversions'!$H$47:$H$73,MATCH(JZ$3,'Standards for Conversions'!$A$47:$A$73,0))))</f>
        <v/>
      </c>
      <c r="KC105" s="33" t="s">
        <v>38</v>
      </c>
      <c r="KF105" s="31" t="str">
        <f>IF(KE105/(INDEX('Standards for Conversions'!$H$47:$H$73,MATCH(KD$3,'Standards for Conversions'!$A$47:$A$73,0)))=0,"",KE105/(INDEX('Standards for Conversions'!$H$47:$H$73,MATCH(KD$3,'Standards for Conversions'!$A$47:$A$73,0))))</f>
        <v/>
      </c>
      <c r="KG105" s="33" t="s">
        <v>38</v>
      </c>
      <c r="KJ105" s="31" t="str">
        <f>IF(KI105/(INDEX('Standards for Conversions'!$H$47:$H$73,MATCH(KH$3,'Standards for Conversions'!$A$47:$A$73,0)))=0,"",KI105/(INDEX('Standards for Conversions'!$H$47:$H$73,MATCH(KH$3,'Standards for Conversions'!$A$47:$A$73,0))))</f>
        <v/>
      </c>
      <c r="KK105" s="33" t="s">
        <v>38</v>
      </c>
      <c r="KL105" s="29">
        <v>16</v>
      </c>
      <c r="KM105" s="29">
        <v>320</v>
      </c>
      <c r="KN105" s="31">
        <f>IF(KM105/(INDEX('Standards for Conversions'!$H$47:$H$73,MATCH(KL$3,'Standards for Conversions'!$A$47:$A$73,0)))=0,"",KM105/(INDEX('Standards for Conversions'!$H$47:$H$73,MATCH(KL$3,'Standards for Conversions'!$A$47:$A$73,0))))</f>
        <v>43.090883809854866</v>
      </c>
      <c r="KO105" s="33" t="s">
        <v>38</v>
      </c>
      <c r="KR105" s="31" t="str">
        <f>IF(KQ105/(INDEX('Standards for Conversions'!$H$47:$H$73,MATCH(KP$3,'Standards for Conversions'!$A$47:$A$73,0)))=0,"",KQ105/(INDEX('Standards for Conversions'!$H$47:$H$73,MATCH(KP$3,'Standards for Conversions'!$A$47:$A$73,0))))</f>
        <v/>
      </c>
      <c r="KS105" s="33" t="s">
        <v>38</v>
      </c>
      <c r="KV105" s="31" t="str">
        <f>IF(KU105/(INDEX('Standards for Conversions'!$H$47:$H$73,MATCH(KT$3,'Standards for Conversions'!$A$47:$A$73,0)))=0,"",KU105/(INDEX('Standards for Conversions'!$H$47:$H$73,MATCH(KT$3,'Standards for Conversions'!$A$47:$A$73,0))))</f>
        <v/>
      </c>
      <c r="KW105" s="48" t="s">
        <v>38</v>
      </c>
      <c r="KZ105" s="31" t="str">
        <f>IF(KY105/(INDEX('Standards for Conversions'!$H$47:$H$73,MATCH(KX$3,'Standards for Conversions'!$A$47:$A$73,0)))=0,"",KY105/(INDEX('Standards for Conversions'!$H$47:$H$73,MATCH(KX$3,'Standards for Conversions'!$A$47:$A$73,0))))</f>
        <v/>
      </c>
      <c r="LA105" s="48" t="s">
        <v>38</v>
      </c>
      <c r="LB105" s="29">
        <v>10</v>
      </c>
      <c r="LC105" s="29">
        <v>200</v>
      </c>
      <c r="LD105" s="31">
        <f>IF(LC105/(INDEX('Standards for Conversions'!$H$47:$H$73,MATCH(LB$3,'Standards for Conversions'!$A$47:$A$73,0)))=0,"",LC105/(INDEX('Standards for Conversions'!$H$47:$H$73,MATCH(LB$3,'Standards for Conversions'!$A$47:$A$73,0))))</f>
        <v>24.323313345499837</v>
      </c>
      <c r="LH105" s="31" t="str">
        <f>IF(LG105/(INDEX('Standards for Conversions'!$H$47:$H$73,MATCH(LF$3,'Standards for Conversions'!$A$47:$A$73,0)))=0,"",LG105/(INDEX('Standards for Conversions'!$H$47:$H$73,MATCH(LF$3,'Standards for Conversions'!$A$47:$A$73,0))))</f>
        <v/>
      </c>
      <c r="LL105" s="31" t="str">
        <f>IF(LK105/(INDEX('Standards for Conversions'!$H$47:$H$73,MATCH(LJ$3,'Standards for Conversions'!$A$47:$A$73,0)))=0,"",LK105/(INDEX('Standards for Conversions'!$H$47:$H$73,MATCH(LJ$3,'Standards for Conversions'!$A$47:$A$73,0))))</f>
        <v/>
      </c>
      <c r="LO105" s="31" t="str">
        <f>IF(LN105/(INDEX('Standards for Conversions'!$H$47:$H$73,MATCH(LM$3,'Standards for Conversions'!$A$47:$A$73,0)))=0,"",LN105/(INDEX('Standards for Conversions'!$H$47:$H$73,MATCH(LM$3,'Standards for Conversions'!$A$47:$A$73,0))))</f>
        <v/>
      </c>
      <c r="LR105" s="31" t="str">
        <f>IF(LQ105/(INDEX('Standards for Conversions'!$H$47:$H$73,MATCH(LP$3,'Standards for Conversions'!$A$47:$A$73,0)))=0,"",LQ105/(INDEX('Standards for Conversions'!$H$47:$H$73,MATCH(LP$3,'Standards for Conversions'!$A$47:$A$73,0))))</f>
        <v/>
      </c>
      <c r="LV105" s="31" t="str">
        <f>IF(LU105/(INDEX('Standards for Conversions'!$H$47:$H$73,MATCH(LT$3,'Standards for Conversions'!$A$47:$A$73,0)))=0,"",LU105/(INDEX('Standards for Conversions'!$H$47:$H$73,MATCH(LT$3,'Standards for Conversions'!$A$47:$A$73,0))))</f>
        <v/>
      </c>
      <c r="LY105" s="31" t="str">
        <f>IF(LX105/(INDEX('Standards for Conversions'!$H$47:$H$73,MATCH(LW$3,'Standards for Conversions'!$A$47:$A$73,0)))=0,"",LX105/(INDEX('Standards for Conversions'!$H$47:$H$73,MATCH(LW$3,'Standards for Conversions'!$A$47:$A$73,0))))</f>
        <v/>
      </c>
      <c r="MB105" s="31" t="str">
        <f>IF(MA105/(INDEX('Standards for Conversions'!$H$47:$H$73,MATCH(LZ$3,'Standards for Conversions'!$A$47:$A$73,0)))=0,"",MA105/(INDEX('Standards for Conversions'!$H$47:$H$73,MATCH(LZ$3,'Standards for Conversions'!$A$47:$A$73,0))))</f>
        <v/>
      </c>
      <c r="ME105" s="31" t="str">
        <f>IF(MD105/(INDEX('Standards for Conversions'!$H$47:$H$73,MATCH(MC$3,'Standards for Conversions'!$A$47:$A$73,0)))=0,"",MD105/(INDEX('Standards for Conversions'!$H$47:$H$73,MATCH(MC$3,'Standards for Conversions'!$A$47:$A$73,0))))</f>
        <v/>
      </c>
      <c r="MH105" s="31" t="str">
        <f>IF(MG105/(INDEX('Standards for Conversions'!$H$47:$H$73,MATCH(MF$3,'Standards for Conversions'!$A$47:$A$73,0)))=0,"",MG105/(INDEX('Standards for Conversions'!$H$47:$H$73,MATCH(MF$3,'Standards for Conversions'!$A$47:$A$73,0))))</f>
        <v/>
      </c>
      <c r="MK105" s="31" t="str">
        <f>IF(MJ105/(INDEX('Standards for Conversions'!$H$47:$H$73,MATCH(MI$3,'Standards for Conversions'!$A$47:$A$73,0)))=0,"",MJ105/(INDEX('Standards for Conversions'!$H$47:$H$73,MATCH(MI$3,'Standards for Conversions'!$A$47:$A$73,0))))</f>
        <v/>
      </c>
      <c r="MN105" s="31" t="str">
        <f>IF(MM105/(INDEX('Standards for Conversions'!$H$47:$H$73,MATCH(ML$3,'Standards for Conversions'!$A$47:$A$73,0)))=0,"",MM105/(INDEX('Standards for Conversions'!$H$47:$H$73,MATCH(ML$3,'Standards for Conversions'!$A$47:$A$73,0))))</f>
        <v/>
      </c>
      <c r="MR105" s="31" t="str">
        <f>IF(MQ105/(INDEX('Standards for Conversions'!$H$47:$H$73,MATCH(MP$3,'Standards for Conversions'!$A$47:$A$73,0)))=0,"",MQ105/(INDEX('Standards for Conversions'!$H$47:$H$73,MATCH(MP$3,'Standards for Conversions'!$A$47:$A$73,0))))</f>
        <v/>
      </c>
    </row>
    <row r="106" spans="1:373" hidden="1" x14ac:dyDescent="0.3">
      <c r="A106" s="103" t="s">
        <v>272</v>
      </c>
      <c r="B106" s="10" t="s">
        <v>38</v>
      </c>
      <c r="C106" s="7"/>
      <c r="D106" s="7"/>
      <c r="E106" s="31" t="str">
        <f>IF(D106/(INDEX('Standards for Conversions'!$H$34:$H$73,MATCH(C$3,'Standards for Conversions'!$A$34:$A$73,0)))=0,"",D106/(INDEX('Standards for Conversions'!$H$34:$H$73,MATCH(C$3,'Standards for Conversions'!$A$34:$A$73,0))))</f>
        <v/>
      </c>
      <c r="F106" s="10" t="s">
        <v>38</v>
      </c>
      <c r="G106" s="7"/>
      <c r="H106" s="7"/>
      <c r="I106" s="31" t="str">
        <f>IF(H106/(INDEX('Standards for Conversions'!$H$34:$H$73,MATCH(G$3,'Standards for Conversions'!$A$34:$A$73,0)))=0,"",H106/(INDEX('Standards for Conversions'!$H$34:$H$73,MATCH(G$3,'Standards for Conversions'!$A$34:$A$73,0))))</f>
        <v/>
      </c>
      <c r="J106" s="10" t="s">
        <v>38</v>
      </c>
      <c r="K106" s="9"/>
      <c r="L106" s="9"/>
      <c r="M106" s="31" t="str">
        <f>IF(L106/(INDEX('Standards for Conversions'!$H$34:$H$73,MATCH(K$3,'Standards for Conversions'!$A$34:$A$73,0)))=0,"",L106/(INDEX('Standards for Conversions'!$H$34:$H$73,MATCH(K$3,'Standards for Conversions'!$A$34:$A$73,0))))</f>
        <v/>
      </c>
      <c r="N106" s="10" t="s">
        <v>38</v>
      </c>
      <c r="O106" s="7"/>
      <c r="P106" s="7"/>
      <c r="Q106" s="31" t="str">
        <f>IF(P106/(INDEX('Standards for Conversions'!$H$34:$H$73,MATCH(O$3,'Standards for Conversions'!$A$34:$A$73,0)))=0,"",P106/(INDEX('Standards for Conversions'!$H$34:$H$73,MATCH(O$3,'Standards for Conversions'!$A$34:$A$73,0))))</f>
        <v/>
      </c>
      <c r="R106" s="10" t="s">
        <v>38</v>
      </c>
      <c r="S106" s="7"/>
      <c r="T106" s="7"/>
      <c r="U106" s="31" t="str">
        <f>IF(T106/(INDEX('Standards for Conversions'!$H$34:$H$73,MATCH(S$3,'Standards for Conversions'!$A$34:$A$73,0)))=0,"",T106/(INDEX('Standards for Conversions'!$H$34:$H$73,MATCH(S$3,'Standards for Conversions'!$A$34:$A$73,0))))</f>
        <v/>
      </c>
      <c r="V106" s="10" t="s">
        <v>38</v>
      </c>
      <c r="W106" s="7"/>
      <c r="X106" s="7"/>
      <c r="Y106" s="31" t="str">
        <f>IF(X106/(INDEX('Standards for Conversions'!$H$34:$H$73,MATCH(W$3,'Standards for Conversions'!$A$34:$A$73,0)))=0,"",X106/(INDEX('Standards for Conversions'!$H$34:$H$73,MATCH(W$3,'Standards for Conversions'!$A$34:$A$73,0))))</f>
        <v/>
      </c>
      <c r="Z106" s="10" t="s">
        <v>38</v>
      </c>
      <c r="AA106" s="9"/>
      <c r="AB106" s="9"/>
      <c r="AC106" s="31" t="str">
        <f>IF(AB106/(INDEX('Standards for Conversions'!$H$34:$H$73,MATCH(AA$3,'Standards for Conversions'!$A$34:$A$73,0)))=0,"",AB106/(INDEX('Standards for Conversions'!$H$34:$H$73,MATCH(AA$3,'Standards for Conversions'!$A$34:$A$73,0))))</f>
        <v/>
      </c>
      <c r="AD106" s="10" t="s">
        <v>38</v>
      </c>
      <c r="AE106" s="7"/>
      <c r="AF106" s="7"/>
      <c r="AG106" s="31" t="str">
        <f>IF(AF106/(INDEX('Standards for Conversions'!$H$34:$H$73,MATCH(AE$3,'Standards for Conversions'!$A$34:$A$73,0)))=0,"",AF106/(INDEX('Standards for Conversions'!$H$34:$H$73,MATCH(AE$3,'Standards for Conversions'!$A$34:$A$73,0))))</f>
        <v/>
      </c>
      <c r="AH106" s="10" t="s">
        <v>38</v>
      </c>
      <c r="AI106" s="7"/>
      <c r="AJ106" s="7"/>
      <c r="AK106" s="31" t="str">
        <f>IF(AJ106/(INDEX('Standards for Conversions'!$H$34:$H$73,MATCH(AI$3,'Standards for Conversions'!$A$34:$A$73,0)))=0,"",AJ106/(INDEX('Standards for Conversions'!$H$34:$H$73,MATCH(AI$3,'Standards for Conversions'!$A$34:$A$73,0))))</f>
        <v/>
      </c>
      <c r="AL106" s="10" t="s">
        <v>38</v>
      </c>
      <c r="AM106" s="7"/>
      <c r="AN106" s="7"/>
      <c r="AO106" s="31" t="str">
        <f>IF(AN106/(INDEX('Standards for Conversions'!$H$34:$H$73,MATCH(AM$3,'Standards for Conversions'!$A$34:$A$73,0)))=0,"",AN106/(INDEX('Standards for Conversions'!$H$34:$H$73,MATCH(AM$3,'Standards for Conversions'!$A$34:$A$73,0))))</f>
        <v/>
      </c>
      <c r="AP106" s="10" t="s">
        <v>38</v>
      </c>
      <c r="AQ106" s="9"/>
      <c r="AR106" s="9"/>
      <c r="AS106" s="31" t="str">
        <f>IF(AR106/(INDEX('Standards for Conversions'!$H$34:$H$73,MATCH(AQ$3,'Standards for Conversions'!$A$34:$A$73,0)))=0,"",AR106/(INDEX('Standards for Conversions'!$H$34:$H$73,MATCH(AQ$3,'Standards for Conversions'!$A$34:$A$73,0))))</f>
        <v/>
      </c>
      <c r="AT106" s="10" t="s">
        <v>38</v>
      </c>
      <c r="AU106" s="7"/>
      <c r="AV106" s="7"/>
      <c r="AW106" s="31" t="str">
        <f>IF(AV106/(INDEX('Standards for Conversions'!$H$34:$H$73,MATCH(AU$3,'Standards for Conversions'!$A$34:$A$73,0)))=0,"",AV106/(INDEX('Standards for Conversions'!$H$34:$H$73,MATCH(AU$3,'Standards for Conversions'!$A$34:$A$73,0))))</f>
        <v/>
      </c>
      <c r="AX106" s="10" t="s">
        <v>38</v>
      </c>
      <c r="AY106" s="7"/>
      <c r="AZ106" s="7"/>
      <c r="BA106" s="31" t="str">
        <f>IF(AZ106/(INDEX('Standards for Conversions'!$H$34:$H$73,MATCH(AY$3,'Standards for Conversions'!$A$34:$A$73,0)))=0,"",AZ106/(INDEX('Standards for Conversions'!$H$34:$H$73,MATCH(AY$3,'Standards for Conversions'!$A$34:$A$73,0))))</f>
        <v/>
      </c>
      <c r="BB106" s="10" t="s">
        <v>38</v>
      </c>
      <c r="BC106" s="7"/>
      <c r="BD106" s="7"/>
      <c r="BE106" s="31" t="str">
        <f>IF(BD106/(INDEX('Standards for Conversions'!$H$34:$H$73,MATCH(BC$3,'Standards for Conversions'!$A$34:$A$73,0)))=0,"",BD106/(INDEX('Standards for Conversions'!$H$34:$H$73,MATCH(BC$3,'Standards for Conversions'!$A$34:$A$73,0))))</f>
        <v/>
      </c>
      <c r="BF106" s="10" t="s">
        <v>38</v>
      </c>
      <c r="BG106" s="9"/>
      <c r="BH106" s="9"/>
      <c r="BI106" s="31" t="str">
        <f>IF(BH106/(INDEX('Standards for Conversions'!$H$34:$H$73,MATCH(BG$3,'Standards for Conversions'!$A$34:$A$73,0)))=0,"",BH106/(INDEX('Standards for Conversions'!$H$34:$H$73,MATCH(BG$3,'Standards for Conversions'!$A$34:$A$73,0))))</f>
        <v/>
      </c>
      <c r="BJ106" s="10" t="s">
        <v>38</v>
      </c>
      <c r="BK106" s="7"/>
      <c r="BL106" s="7"/>
      <c r="BM106" s="31" t="str">
        <f>IF(BL106/(INDEX('Standards for Conversions'!$H$34:$H$73,MATCH(BK$3,'Standards for Conversions'!$A$34:$A$73,0)))=0,"",BL106/(INDEX('Standards for Conversions'!$H$34:$H$73,MATCH(BK$3,'Standards for Conversions'!$A$34:$A$73,0))))</f>
        <v/>
      </c>
      <c r="BN106" s="10" t="s">
        <v>38</v>
      </c>
      <c r="BO106" s="7"/>
      <c r="BP106" s="7"/>
      <c r="BQ106" s="31" t="str">
        <f>IF(BP106/(INDEX('Standards for Conversions'!$H$34:$H$73,MATCH(BO$3,'Standards for Conversions'!$A$34:$A$73,0)))=0,"",BP106/(INDEX('Standards for Conversions'!$H$34:$H$73,MATCH(BO$3,'Standards for Conversions'!$A$34:$A$73,0))))</f>
        <v/>
      </c>
      <c r="BR106" s="10" t="s">
        <v>38</v>
      </c>
      <c r="BS106" s="7"/>
      <c r="BT106" s="7"/>
      <c r="BU106" s="31" t="str">
        <f>IF(BT106/(INDEX('Standards for Conversions'!$H$34:$H$73,MATCH(BS$3,'Standards for Conversions'!$A$34:$A$73,0)))=0,"",BT106/(INDEX('Standards for Conversions'!$H$34:$H$73,MATCH(BS$3,'Standards for Conversions'!$A$34:$A$73,0))))</f>
        <v/>
      </c>
      <c r="BV106" s="10" t="s">
        <v>38</v>
      </c>
      <c r="BW106" s="9"/>
      <c r="BX106" s="9"/>
      <c r="BY106" s="31" t="str">
        <f>IF(BX106/(INDEX('Standards for Conversions'!$H$34:$H$73,MATCH(BW$3,'Standards for Conversions'!$A$34:$A$73,0)))=0,"",BX106/(INDEX('Standards for Conversions'!$H$34:$H$73,MATCH(BW$3,'Standards for Conversions'!$A$34:$A$73,0))))</f>
        <v/>
      </c>
      <c r="BZ106" s="10" t="s">
        <v>38</v>
      </c>
      <c r="CA106" s="7"/>
      <c r="CB106" s="7"/>
      <c r="CC106" s="31" t="str">
        <f>IF(CB106/(INDEX('Standards for Conversions'!$H$34:$H$73,MATCH(CA$3,'Standards for Conversions'!$A$34:$A$73,0)))=0,"",CB106/(INDEX('Standards for Conversions'!$H$34:$H$73,MATCH(CA$3,'Standards for Conversions'!$A$34:$A$73,0))))</f>
        <v/>
      </c>
      <c r="CD106" s="10" t="s">
        <v>38</v>
      </c>
      <c r="CE106" s="7"/>
      <c r="CF106" s="7"/>
      <c r="CG106" s="31" t="str">
        <f>IF(CF106/(INDEX('Standards for Conversions'!$H$34:$H$73,MATCH(CE$3,'Standards for Conversions'!$A$34:$A$73,0)))=0,"",CF106/(INDEX('Standards for Conversions'!$H$34:$H$73,MATCH(CE$3,'Standards for Conversions'!$A$34:$A$73,0))))</f>
        <v/>
      </c>
      <c r="CH106" s="10" t="s">
        <v>38</v>
      </c>
      <c r="CI106" s="7"/>
      <c r="CJ106" s="7"/>
      <c r="CK106" s="31" t="str">
        <f>IF(CJ106/(INDEX('Standards for Conversions'!$H$34:$H$73,MATCH(CI$3,'Standards for Conversions'!$A$34:$A$73,0)))=0,"",CJ106/(INDEX('Standards for Conversions'!$H$34:$H$73,MATCH(CI$3,'Standards for Conversions'!$A$34:$A$73,0))))</f>
        <v/>
      </c>
      <c r="CL106" s="10" t="s">
        <v>38</v>
      </c>
      <c r="CM106" s="9"/>
      <c r="CN106" s="9"/>
      <c r="CO106" s="31" t="str">
        <f>IF(CN106/(INDEX('Standards for Conversions'!$H$34:$H$73,MATCH(CM$3,'Standards for Conversions'!$A$34:$A$73,0)))=0,"",CN106/(INDEX('Standards for Conversions'!$H$34:$H$73,MATCH(CM$3,'Standards for Conversions'!$A$34:$A$73,0))))</f>
        <v/>
      </c>
      <c r="CP106" s="10" t="s">
        <v>38</v>
      </c>
      <c r="CQ106" s="7"/>
      <c r="CR106" s="7"/>
      <c r="CS106" s="31" t="str">
        <f>IF(CR106/(INDEX('Standards for Conversions'!$H$34:$H$73,MATCH(CQ$3,'Standards for Conversions'!$A$34:$A$73,0)))=0,"",CR106/(INDEX('Standards for Conversions'!$H$34:$H$73,MATCH(CQ$3,'Standards for Conversions'!$A$34:$A$73,0))))</f>
        <v/>
      </c>
      <c r="CT106" s="10" t="s">
        <v>38</v>
      </c>
      <c r="CU106" s="7"/>
      <c r="CV106" s="7"/>
      <c r="CW106" s="31" t="str">
        <f>IF(CV106/(INDEX('Standards for Conversions'!$H$34:$H$73,MATCH(CU$3,'Standards for Conversions'!$A$34:$A$73,0)))=0,"",CV106/(INDEX('Standards for Conversions'!$H$34:$H$73,MATCH(CU$3,'Standards for Conversions'!$A$34:$A$73,0))))</f>
        <v/>
      </c>
      <c r="CX106" s="10" t="s">
        <v>38</v>
      </c>
      <c r="CY106" s="7"/>
      <c r="CZ106" s="7"/>
      <c r="DA106" s="31" t="str">
        <f>IF(CZ106/(INDEX('Standards for Conversions'!$H$34:$H$73,MATCH(CY$3,'Standards for Conversions'!$A$34:$A$73,0)))=0,"",CZ106/(INDEX('Standards for Conversions'!$H$34:$H$73,MATCH(CY$3,'Standards for Conversions'!$A$34:$A$73,0))))</f>
        <v/>
      </c>
      <c r="DB106" s="10" t="s">
        <v>38</v>
      </c>
      <c r="DC106" s="9"/>
      <c r="DD106" s="9"/>
      <c r="DE106" s="31" t="str">
        <f>IF(DD106/(INDEX('Standards for Conversions'!$H$34:$H$73,MATCH(DC$3,'Standards for Conversions'!$A$34:$A$73,0)))=0,"",DD106/(INDEX('Standards for Conversions'!$H$34:$H$73,MATCH(DC$3,'Standards for Conversions'!$A$34:$A$73,0))))</f>
        <v/>
      </c>
      <c r="DF106" s="10" t="s">
        <v>38</v>
      </c>
      <c r="DG106" s="7"/>
      <c r="DH106" s="7"/>
      <c r="DI106" s="31" t="str">
        <f>IF(DH106/(INDEX('Standards for Conversions'!$H$34:$H$73,MATCH(DG$3,'Standards for Conversions'!$A$34:$A$73,0)))=0,"",DH106/(INDEX('Standards for Conversions'!$H$34:$H$73,MATCH(DG$3,'Standards for Conversions'!$A$34:$A$73,0))))</f>
        <v/>
      </c>
      <c r="DJ106" s="10" t="s">
        <v>38</v>
      </c>
      <c r="DK106" s="7"/>
      <c r="DL106" s="7"/>
      <c r="DM106" s="31" t="str">
        <f>IF(DL106/(INDEX('Standards for Conversions'!$H$34:$H$73,MATCH(DK$3,'Standards for Conversions'!$A$34:$A$73,0)))=0,"",DL106/(INDEX('Standards for Conversions'!$H$34:$H$73,MATCH(DK$3,'Standards for Conversions'!$A$34:$A$73,0))))</f>
        <v/>
      </c>
      <c r="DN106" s="10" t="s">
        <v>38</v>
      </c>
      <c r="DO106" s="7"/>
      <c r="DP106" s="7"/>
      <c r="DQ106" s="31" t="str">
        <f>IF(DP106/(INDEX('Standards for Conversions'!$H$34:$H$73,MATCH(DO$3,'Standards for Conversions'!$A$34:$A$73,0)))=0,"",DP106/(INDEX('Standards for Conversions'!$H$34:$H$73,MATCH(DO$3,'Standards for Conversions'!$A$34:$A$73,0))))</f>
        <v/>
      </c>
      <c r="DR106" s="10" t="s">
        <v>38</v>
      </c>
      <c r="DS106" s="9"/>
      <c r="DT106" s="9"/>
      <c r="DU106" s="31" t="str">
        <f>IF(DT106/(INDEX('Standards for Conversions'!$H$34:$H$73,MATCH(DS$3,'Standards for Conversions'!$A$34:$A$73,0)))=0,"",DT106/(INDEX('Standards for Conversions'!$H$34:$H$73,MATCH(DS$3,'Standards for Conversions'!$A$34:$A$73,0))))</f>
        <v/>
      </c>
      <c r="DV106" s="10" t="s">
        <v>38</v>
      </c>
      <c r="DW106" s="7"/>
      <c r="DX106" s="7"/>
      <c r="DY106" s="31" t="str">
        <f>IF(DX106/(INDEX('Standards for Conversions'!$H$34:$H$73,MATCH(DW$3,'Standards for Conversions'!$A$34:$A$73,0)))=0,"",DX106/(INDEX('Standards for Conversions'!$H$34:$H$73,MATCH(DW$3,'Standards for Conversions'!$A$34:$A$73,0))))</f>
        <v/>
      </c>
      <c r="DZ106" s="10" t="s">
        <v>38</v>
      </c>
      <c r="EA106" s="7"/>
      <c r="EB106" s="7"/>
      <c r="EC106" s="31" t="str">
        <f>IF(EB106/(INDEX('Standards for Conversions'!$H$34:$H$73,MATCH(EA$3,'Standards for Conversions'!$A$34:$A$73,0)))=0,"",EB106/(INDEX('Standards for Conversions'!$H$34:$H$73,MATCH(EA$3,'Standards for Conversions'!$A$34:$A$73,0))))</f>
        <v/>
      </c>
      <c r="ED106" s="10" t="s">
        <v>38</v>
      </c>
      <c r="EE106" s="7"/>
      <c r="EF106" s="7"/>
      <c r="EG106" s="31" t="str">
        <f>IF(EF106/(INDEX('Standards for Conversions'!$H$34:$H$73,MATCH(EE$3,'Standards for Conversions'!$A$34:$A$73,0)))=0,"",EF106/(INDEX('Standards for Conversions'!$H$34:$H$73,MATCH(EE$3,'Standards for Conversions'!$A$34:$A$73,0))))</f>
        <v/>
      </c>
      <c r="EH106" s="10" t="s">
        <v>38</v>
      </c>
      <c r="EI106" s="9"/>
      <c r="EJ106" s="9"/>
      <c r="EK106" s="31" t="str">
        <f>IF(EJ106/(INDEX('Standards for Conversions'!$H$34:$H$73,MATCH(EI$3,'Standards for Conversions'!$A$34:$A$73,0)))=0,"",EJ106/(INDEX('Standards for Conversions'!$H$34:$H$73,MATCH(EI$3,'Standards for Conversions'!$A$34:$A$73,0))))</f>
        <v/>
      </c>
      <c r="EL106" s="10" t="s">
        <v>38</v>
      </c>
      <c r="EM106" s="7"/>
      <c r="EN106" s="7"/>
      <c r="EO106" s="31" t="str">
        <f>IF(EN106/(INDEX('Standards for Conversions'!$H$34:$H$73,MATCH(EM$3,'Standards for Conversions'!$A$34:$A$73,0)))=0,"",EN106/(INDEX('Standards for Conversions'!$H$34:$H$73,MATCH(EM$3,'Standards for Conversions'!$A$34:$A$73,0))))</f>
        <v/>
      </c>
      <c r="EP106" s="10" t="s">
        <v>38</v>
      </c>
      <c r="EQ106" s="7"/>
      <c r="ER106" s="7"/>
      <c r="ES106" s="31" t="str">
        <f>IF(ER106/(INDEX('Standards for Conversions'!$H$34:$H$73,MATCH(EQ$3,'Standards for Conversions'!$A$34:$A$73,0)))=0,"",ER106/(INDEX('Standards for Conversions'!$H$34:$H$73,MATCH(EQ$3,'Standards for Conversions'!$A$34:$A$73,0))))</f>
        <v/>
      </c>
      <c r="ET106" s="10" t="s">
        <v>38</v>
      </c>
      <c r="EU106" s="7"/>
      <c r="EV106" s="7"/>
      <c r="EW106" s="31" t="str">
        <f>IF(EV106/(INDEX('Standards for Conversions'!$H$34:$H$73,MATCH(EU$3,'Standards for Conversions'!$A$34:$A$73,0)))=0,"",EV106/(INDEX('Standards for Conversions'!$H$34:$H$73,MATCH(EU$3,'Standards for Conversions'!$A$34:$A$73,0))))</f>
        <v/>
      </c>
      <c r="EX106" s="10" t="s">
        <v>38</v>
      </c>
      <c r="EY106" s="9"/>
      <c r="EZ106" s="9"/>
      <c r="FA106" s="31" t="str">
        <f>IF(EZ106/(INDEX('Standards for Conversions'!$H$34:$H$73,MATCH(EY$3,'Standards for Conversions'!$A$34:$A$73,0)))=0,"",EZ106/(INDEX('Standards for Conversions'!$H$34:$H$73,MATCH(EY$3,'Standards for Conversions'!$A$34:$A$73,0))))</f>
        <v/>
      </c>
      <c r="FB106" s="10" t="s">
        <v>38</v>
      </c>
      <c r="FC106" s="7"/>
      <c r="FD106" s="7"/>
      <c r="FE106" s="31" t="str">
        <f>IF(FD106/(INDEX('Standards for Conversions'!$H$34:$H$73,MATCH(FC$3,'Standards for Conversions'!$A$34:$A$73,0)))=0,"",FD106/(INDEX('Standards for Conversions'!$H$34:$H$73,MATCH(FC$3,'Standards for Conversions'!$A$34:$A$73,0))))</f>
        <v/>
      </c>
      <c r="FF106" s="10" t="s">
        <v>38</v>
      </c>
      <c r="FG106" s="7"/>
      <c r="FH106" s="7"/>
      <c r="FI106" s="31" t="str">
        <f>IF(FH106/(INDEX('Standards for Conversions'!$H$34:$H$73,MATCH(FG$3,'Standards for Conversions'!$A$34:$A$73,0)))=0,"",FH106/(INDEX('Standards for Conversions'!$H$34:$H$73,MATCH(FG$3,'Standards for Conversions'!$A$34:$A$73,0))))</f>
        <v/>
      </c>
      <c r="FJ106" s="10" t="s">
        <v>38</v>
      </c>
      <c r="FK106" s="7"/>
      <c r="FL106" s="7"/>
      <c r="FM106" s="31" t="str">
        <f>IF(FL106/(INDEX('Standards for Conversions'!$H$34:$H$73,MATCH(FK$3,'Standards for Conversions'!$A$34:$A$73,0)))=0,"",FL106/(INDEX('Standards for Conversions'!$H$34:$H$73,MATCH(FK$3,'Standards for Conversions'!$A$34:$A$73,0))))</f>
        <v/>
      </c>
      <c r="FN106" s="10" t="s">
        <v>38</v>
      </c>
      <c r="FO106" s="9"/>
      <c r="FP106" s="9"/>
      <c r="FQ106" s="31" t="str">
        <f>IF(FP106/(INDEX('Standards for Conversions'!$H$34:$H$73,MATCH(FO$3,'Standards for Conversions'!$A$34:$A$73,0)))=0,"",FP106/(INDEX('Standards for Conversions'!$H$34:$H$73,MATCH(FO$3,'Standards for Conversions'!$A$34:$A$73,0))))</f>
        <v/>
      </c>
      <c r="FR106" s="10" t="s">
        <v>38</v>
      </c>
      <c r="FS106" s="7"/>
      <c r="FT106" s="7"/>
      <c r="FU106" s="31" t="str">
        <f>IF(FT106/(INDEX('Standards for Conversions'!$H$34:$H$73,MATCH(FS$3,'Standards for Conversions'!$A$34:$A$73,0)))=0,"",FT106/(INDEX('Standards for Conversions'!$H$34:$H$73,MATCH(FS$3,'Standards for Conversions'!$A$34:$A$73,0))))</f>
        <v/>
      </c>
      <c r="FV106" s="10" t="s">
        <v>38</v>
      </c>
      <c r="FW106" s="7"/>
      <c r="FX106" s="7"/>
      <c r="FY106" s="31" t="str">
        <f>IF(FX106/(INDEX('Standards for Conversions'!$H$34:$H$73,MATCH(FW$3,'Standards for Conversions'!$A$34:$A$73,0)))=0,"",FX106/(INDEX('Standards for Conversions'!$H$34:$H$73,MATCH(FW$3,'Standards for Conversions'!$A$34:$A$73,0))))</f>
        <v/>
      </c>
      <c r="FZ106" s="10" t="s">
        <v>38</v>
      </c>
      <c r="GA106" s="7"/>
      <c r="GB106" s="7"/>
      <c r="GC106" s="31" t="str">
        <f>IF(GB106/(INDEX('Standards for Conversions'!$H$34:$H$73,MATCH(GA$3,'Standards for Conversions'!$A$34:$A$73,0)))=0,"",GB106/(INDEX('Standards for Conversions'!$H$34:$H$73,MATCH(GA$3,'Standards for Conversions'!$A$34:$A$73,0))))</f>
        <v/>
      </c>
      <c r="GD106" s="10" t="s">
        <v>38</v>
      </c>
      <c r="GE106" s="9"/>
      <c r="GF106" s="9"/>
      <c r="GG106" s="31" t="str">
        <f>IF(GF106/(INDEX('Standards for Conversions'!$H$34:$H$73,MATCH(GE$3,'Standards for Conversions'!$A$34:$A$73,0)))=0,"",GF106/(INDEX('Standards for Conversions'!$H$34:$H$73,MATCH(GE$3,'Standards for Conversions'!$A$34:$A$73,0))))</f>
        <v/>
      </c>
      <c r="GH106" s="10" t="s">
        <v>38</v>
      </c>
      <c r="GI106" s="7"/>
      <c r="GJ106" s="7"/>
      <c r="GK106" s="31" t="str">
        <f>IF(GJ106/(INDEX('Standards for Conversions'!$H$34:$H$73,MATCH(GI$3,'Standards for Conversions'!$A$34:$A$73,0)))=0,"",GJ106/(INDEX('Standards for Conversions'!$H$34:$H$73,MATCH(GI$3,'Standards for Conversions'!$A$34:$A$73,0))))</f>
        <v/>
      </c>
      <c r="GL106" s="10" t="s">
        <v>38</v>
      </c>
      <c r="GM106" s="7"/>
      <c r="GN106" s="7"/>
      <c r="GO106" s="31" t="str">
        <f>IF(GN106/(INDEX('Standards for Conversions'!$H$34:$H$73,MATCH(GM$3,'Standards for Conversions'!$A$34:$A$73,0)))=0,"",GN106/(INDEX('Standards for Conversions'!$H$34:$H$73,MATCH(GM$3,'Standards for Conversions'!$A$34:$A$73,0))))</f>
        <v/>
      </c>
      <c r="GP106" s="10" t="s">
        <v>38</v>
      </c>
      <c r="GQ106" s="7"/>
      <c r="GR106" s="7"/>
      <c r="GS106" s="31" t="str">
        <f>IF(GR106/(INDEX('Standards for Conversions'!$H$34:$H$73,MATCH(GQ$3,'Standards for Conversions'!$A$34:$A$73,0)))=0,"",GR106/(INDEX('Standards for Conversions'!$H$34:$H$73,MATCH(GQ$3,'Standards for Conversions'!$A$34:$A$73,0))))</f>
        <v/>
      </c>
      <c r="GT106" s="10" t="s">
        <v>38</v>
      </c>
      <c r="GU106" s="9"/>
      <c r="GV106" s="9"/>
      <c r="GW106" s="31" t="str">
        <f>IF(GV106/(INDEX('Standards for Conversions'!$H$34:$H$73,MATCH(GU$3,'Standards for Conversions'!$A$34:$A$73,0)))=0,"",GV106/(INDEX('Standards for Conversions'!$H$34:$H$73,MATCH(GU$3,'Standards for Conversions'!$A$34:$A$73,0))))</f>
        <v/>
      </c>
      <c r="GX106" s="10" t="s">
        <v>38</v>
      </c>
      <c r="GY106" s="7"/>
      <c r="GZ106" s="7"/>
      <c r="HA106" s="31" t="str">
        <f>IF(GZ106/(INDEX('Standards for Conversions'!$H$34:$H$73,MATCH(GY$3,'Standards for Conversions'!$A$34:$A$73,0)))=0,"",GZ106/(INDEX('Standards for Conversions'!$H$34:$H$73,MATCH(GY$3,'Standards for Conversions'!$A$34:$A$73,0))))</f>
        <v/>
      </c>
      <c r="HB106" s="10" t="s">
        <v>38</v>
      </c>
      <c r="HC106" s="7"/>
      <c r="HD106" s="7"/>
      <c r="HE106" s="31" t="str">
        <f>IF(HD106/(INDEX('Standards for Conversions'!$H$34:$H$73,MATCH(HC$3,'Standards for Conversions'!$A$34:$A$73,0)))=0,"",HD106/(INDEX('Standards for Conversions'!$H$34:$H$73,MATCH(HC$3,'Standards for Conversions'!$A$34:$A$73,0))))</f>
        <v/>
      </c>
      <c r="HF106" s="10" t="s">
        <v>38</v>
      </c>
      <c r="HG106" s="7"/>
      <c r="HH106" s="7"/>
      <c r="HI106" s="31" t="str">
        <f>IF(HH106/(INDEX('Standards for Conversions'!$H$34:$H$73,MATCH(HG$3,'Standards for Conversions'!$A$34:$A$73,0)))=0,"",HH106/(INDEX('Standards for Conversions'!$H$34:$H$73,MATCH(HG$3,'Standards for Conversions'!$A$34:$A$73,0))))</f>
        <v/>
      </c>
      <c r="HJ106" s="10" t="s">
        <v>38</v>
      </c>
      <c r="HK106" s="9"/>
      <c r="HL106" s="9"/>
      <c r="HM106" s="31" t="str">
        <f>IF(HL106/(INDEX('Standards for Conversions'!$H$34:$H$73,MATCH(HK$3,'Standards for Conversions'!$A$34:$A$73,0)))=0,"",HL106/(INDEX('Standards for Conversions'!$H$34:$H$73,MATCH(HK$3,'Standards for Conversions'!$A$34:$A$73,0))))</f>
        <v/>
      </c>
      <c r="HN106" s="10" t="s">
        <v>38</v>
      </c>
      <c r="HO106" s="7"/>
      <c r="HP106" s="7"/>
      <c r="HQ106" s="31" t="str">
        <f>IF(HP106/(INDEX('Standards for Conversions'!$H$34:$H$73,MATCH(HO$3,'Standards for Conversions'!$A$34:$A$73,0)))=0,"",HP106/(INDEX('Standards for Conversions'!$H$34:$H$73,MATCH(HO$3,'Standards for Conversions'!$A$34:$A$73,0))))</f>
        <v/>
      </c>
      <c r="HR106" s="33" t="s">
        <v>38</v>
      </c>
      <c r="HU106" s="31" t="str">
        <f>IF(HT106/(INDEX('Standards for Conversions'!$H$47:$H$73,MATCH(HS$3,'Standards for Conversions'!$A$47:$A$73,0)))=0,"",HT106/(INDEX('Standards for Conversions'!$H$47:$H$73,MATCH(HS$3,'Standards for Conversions'!$A$47:$A$73,0))))</f>
        <v/>
      </c>
      <c r="HV106" s="33" t="s">
        <v>38</v>
      </c>
      <c r="HY106" s="31" t="str">
        <f>IF(HX106/(INDEX('Standards for Conversions'!$H$47:$H$73,MATCH(HW$3,'Standards for Conversions'!$A$47:$A$73,0)))=0,"",HX106/(INDEX('Standards for Conversions'!$H$47:$H$73,MATCH(HW$3,'Standards for Conversions'!$A$47:$A$73,0))))</f>
        <v/>
      </c>
      <c r="HZ106" s="33">
        <v>300</v>
      </c>
      <c r="IA106" s="33">
        <v>3000</v>
      </c>
      <c r="IB106" s="31">
        <f>IF(IA106/(INDEX('Standards for Conversions'!$H$47:$H$73,MATCH(HZ$3,'Standards for Conversions'!$A$47:$A$73,0)))=0,"",IA106/(INDEX('Standards for Conversions'!$H$47:$H$73,MATCH(HZ$3,'Standards for Conversions'!$A$47:$A$73,0))))</f>
        <v>435.7362366385679</v>
      </c>
      <c r="IC106" s="33" t="s">
        <v>38</v>
      </c>
      <c r="IF106" s="31" t="str">
        <f>IF(IE106/(INDEX('Standards for Conversions'!$H$47:$H$73,MATCH(ID$3,'Standards for Conversions'!$A$47:$A$73,0)))=0,"",IE106/(INDEX('Standards for Conversions'!$H$47:$H$73,MATCH(ID$3,'Standards for Conversions'!$A$47:$A$73,0))))</f>
        <v/>
      </c>
      <c r="IG106" s="33" t="s">
        <v>38</v>
      </c>
      <c r="IJ106" s="31" t="str">
        <f>IF(II106/(INDEX('Standards for Conversions'!$H$47:$H$73,MATCH(IH$3,'Standards for Conversions'!$A$47:$A$73,0)))=0,"",II106/(INDEX('Standards for Conversions'!$H$47:$H$73,MATCH(IH$3,'Standards for Conversions'!$A$47:$A$73,0))))</f>
        <v/>
      </c>
      <c r="IK106" s="33" t="s">
        <v>38</v>
      </c>
      <c r="IN106" s="31" t="str">
        <f>IF(IM106/(INDEX('Standards for Conversions'!$H$47:$H$73,MATCH(IL$3,'Standards for Conversions'!$A$47:$A$73,0)))=0,"",IM106/(INDEX('Standards for Conversions'!$H$47:$H$73,MATCH(IL$3,'Standards for Conversions'!$A$47:$A$73,0))))</f>
        <v/>
      </c>
      <c r="IO106" s="33" t="s">
        <v>38</v>
      </c>
      <c r="IP106" s="29">
        <v>6</v>
      </c>
      <c r="IQ106" s="29">
        <v>47</v>
      </c>
      <c r="IR106" s="31">
        <f>IF(IQ106/(INDEX('Standards for Conversions'!$H$47:$H$73,MATCH(IP$3,'Standards for Conversions'!$A$47:$A$73,0)))=0,"",IQ106/(INDEX('Standards for Conversions'!$H$47:$H$73,MATCH(IP$3,'Standards for Conversions'!$A$47:$A$73,0))))</f>
        <v>6.7966807251383212</v>
      </c>
      <c r="IS106" s="33" t="s">
        <v>38</v>
      </c>
      <c r="IV106" s="31" t="str">
        <f>IF(IU106/(INDEX('Standards for Conversions'!$H$47:$H$73,MATCH(IT$3,'Standards for Conversions'!$A$47:$A$73,0)))=0,"",IU106/(INDEX('Standards for Conversions'!$H$47:$H$73,MATCH(IT$3,'Standards for Conversions'!$A$47:$A$73,0))))</f>
        <v/>
      </c>
      <c r="IW106" s="33" t="s">
        <v>38</v>
      </c>
      <c r="IZ106" s="31" t="str">
        <f>IF(IY106/(INDEX('Standards for Conversions'!$H$47:$H$73,MATCH(IX$3,'Standards for Conversions'!$A$47:$A$73,0)))=0,"",IY106/(INDEX('Standards for Conversions'!$H$47:$H$73,MATCH(IX$3,'Standards for Conversions'!$A$47:$A$73,0))))</f>
        <v/>
      </c>
      <c r="JA106" s="48" t="s">
        <v>38</v>
      </c>
      <c r="JD106" s="31" t="str">
        <f>IF(JC106/(INDEX('Standards for Conversions'!$H$47:$H$73,MATCH(JB$3,'Standards for Conversions'!$A$47:$A$73,0)))=0,"",JC106/(INDEX('Standards for Conversions'!$H$47:$H$73,MATCH(JB$3,'Standards for Conversions'!$A$47:$A$73,0))))</f>
        <v/>
      </c>
      <c r="JE106" s="48" t="s">
        <v>38</v>
      </c>
      <c r="JF106" s="29">
        <v>11</v>
      </c>
      <c r="JG106" s="29">
        <v>120</v>
      </c>
      <c r="JH106" s="31">
        <f>IF(JG106/(INDEX('Standards for Conversions'!$H$47:$H$73,MATCH(JF$3,'Standards for Conversions'!$A$47:$A$73,0)))=0,"",JG106/(INDEX('Standards for Conversions'!$H$47:$H$73,MATCH(JF$3,'Standards for Conversions'!$A$47:$A$73,0))))</f>
        <v>19.411223603024244</v>
      </c>
      <c r="JL106" s="31" t="str">
        <f>IF(JK106/(INDEX('Standards for Conversions'!$H$47:$H$73,MATCH(JJ$3,'Standards for Conversions'!$A$47:$A$73,0)))=0,"",JK106/(INDEX('Standards for Conversions'!$H$47:$H$73,MATCH(JJ$3,'Standards for Conversions'!$A$47:$A$73,0))))</f>
        <v/>
      </c>
      <c r="JM106" s="33" t="s">
        <v>38</v>
      </c>
      <c r="JP106" s="31" t="str">
        <f>IF(JO106/(INDEX('Standards for Conversions'!$H$47:$H$73,MATCH(JN$3,'Standards for Conversions'!$A$47:$A$73,0)))=0,"",JO106/(INDEX('Standards for Conversions'!$H$47:$H$73,MATCH(JN$3,'Standards for Conversions'!$A$47:$A$73,0))))</f>
        <v/>
      </c>
      <c r="JQ106" s="33" t="s">
        <v>38</v>
      </c>
      <c r="JT106" s="31" t="str">
        <f>IF(JS106/(INDEX('Standards for Conversions'!$H$47:$H$73,MATCH(JR$3,'Standards for Conversions'!$A$47:$A$73,0)))=0,"",JS106/(INDEX('Standards for Conversions'!$H$47:$H$73,MATCH(JR$3,'Standards for Conversions'!$A$47:$A$73,0))))</f>
        <v/>
      </c>
      <c r="JU106" s="33" t="s">
        <v>38</v>
      </c>
      <c r="JV106" s="29">
        <v>300</v>
      </c>
      <c r="JW106" s="29">
        <v>1800</v>
      </c>
      <c r="JX106" s="31">
        <f>IF(JW106/(INDEX('Standards for Conversions'!$H$47:$H$73,MATCH(JV$3,'Standards for Conversions'!$A$47:$A$73,0)))=0,"",JW106/(INDEX('Standards for Conversions'!$H$47:$H$73,MATCH(JV$3,'Standards for Conversions'!$A$47:$A$73,0))))</f>
        <v>274.78060637003563</v>
      </c>
      <c r="JY106" s="33" t="s">
        <v>38</v>
      </c>
      <c r="KB106" s="31" t="str">
        <f>IF(KA106/(INDEX('Standards for Conversions'!$H$47:$H$73,MATCH(JZ$3,'Standards for Conversions'!$A$47:$A$73,0)))=0,"",KA106/(INDEX('Standards for Conversions'!$H$47:$H$73,MATCH(JZ$3,'Standards for Conversions'!$A$47:$A$73,0))))</f>
        <v/>
      </c>
      <c r="KC106" s="33" t="s">
        <v>38</v>
      </c>
      <c r="KF106" s="31" t="str">
        <f>IF(KE106/(INDEX('Standards for Conversions'!$H$47:$H$73,MATCH(KD$3,'Standards for Conversions'!$A$47:$A$73,0)))=0,"",KE106/(INDEX('Standards for Conversions'!$H$47:$H$73,MATCH(KD$3,'Standards for Conversions'!$A$47:$A$73,0))))</f>
        <v/>
      </c>
      <c r="KG106" s="33" t="s">
        <v>38</v>
      </c>
      <c r="KJ106" s="31" t="str">
        <f>IF(KI106/(INDEX('Standards for Conversions'!$H$47:$H$73,MATCH(KH$3,'Standards for Conversions'!$A$47:$A$73,0)))=0,"",KI106/(INDEX('Standards for Conversions'!$H$47:$H$73,MATCH(KH$3,'Standards for Conversions'!$A$47:$A$73,0))))</f>
        <v/>
      </c>
      <c r="KK106" s="33" t="s">
        <v>38</v>
      </c>
      <c r="KL106" s="29">
        <v>250</v>
      </c>
      <c r="KM106" s="29">
        <v>1500</v>
      </c>
      <c r="KN106" s="31">
        <f>IF(KM106/(INDEX('Standards for Conversions'!$H$47:$H$73,MATCH(KL$3,'Standards for Conversions'!$A$47:$A$73,0)))=0,"",KM106/(INDEX('Standards for Conversions'!$H$47:$H$73,MATCH(KL$3,'Standards for Conversions'!$A$47:$A$73,0))))</f>
        <v>201.98851785869471</v>
      </c>
      <c r="KO106" s="33" t="s">
        <v>38</v>
      </c>
      <c r="KR106" s="31" t="str">
        <f>IF(KQ106/(INDEX('Standards for Conversions'!$H$47:$H$73,MATCH(KP$3,'Standards for Conversions'!$A$47:$A$73,0)))=0,"",KQ106/(INDEX('Standards for Conversions'!$H$47:$H$73,MATCH(KP$3,'Standards for Conversions'!$A$47:$A$73,0))))</f>
        <v/>
      </c>
      <c r="KS106" s="33" t="s">
        <v>38</v>
      </c>
      <c r="KV106" s="31" t="str">
        <f>IF(KU106/(INDEX('Standards for Conversions'!$H$47:$H$73,MATCH(KT$3,'Standards for Conversions'!$A$47:$A$73,0)))=0,"",KU106/(INDEX('Standards for Conversions'!$H$47:$H$73,MATCH(KT$3,'Standards for Conversions'!$A$47:$A$73,0))))</f>
        <v/>
      </c>
      <c r="KW106" s="48" t="s">
        <v>38</v>
      </c>
      <c r="KZ106" s="31" t="str">
        <f>IF(KY106/(INDEX('Standards for Conversions'!$H$47:$H$73,MATCH(KX$3,'Standards for Conversions'!$A$47:$A$73,0)))=0,"",KY106/(INDEX('Standards for Conversions'!$H$47:$H$73,MATCH(KX$3,'Standards for Conversions'!$A$47:$A$73,0))))</f>
        <v/>
      </c>
      <c r="LA106" s="48" t="s">
        <v>38</v>
      </c>
      <c r="LB106" s="29">
        <v>152</v>
      </c>
      <c r="LC106" s="29">
        <v>1160</v>
      </c>
      <c r="LD106" s="31">
        <f>IF(LC106/(INDEX('Standards for Conversions'!$H$47:$H$73,MATCH(LB$3,'Standards for Conversions'!$A$47:$A$73,0)))=0,"",LC106/(INDEX('Standards for Conversions'!$H$47:$H$73,MATCH(LB$3,'Standards for Conversions'!$A$47:$A$73,0))))</f>
        <v>141.07521740389905</v>
      </c>
      <c r="LH106" s="31" t="str">
        <f>IF(LG106/(INDEX('Standards for Conversions'!$H$47:$H$73,MATCH(LF$3,'Standards for Conversions'!$A$47:$A$73,0)))=0,"",LG106/(INDEX('Standards for Conversions'!$H$47:$H$73,MATCH(LF$3,'Standards for Conversions'!$A$47:$A$73,0))))</f>
        <v/>
      </c>
      <c r="LL106" s="31" t="str">
        <f>IF(LK106/(INDEX('Standards for Conversions'!$H$47:$H$73,MATCH(LJ$3,'Standards for Conversions'!$A$47:$A$73,0)))=0,"",LK106/(INDEX('Standards for Conversions'!$H$47:$H$73,MATCH(LJ$3,'Standards for Conversions'!$A$47:$A$73,0))))</f>
        <v/>
      </c>
      <c r="LO106" s="31" t="str">
        <f>IF(LN106/(INDEX('Standards for Conversions'!$H$47:$H$73,MATCH(LM$3,'Standards for Conversions'!$A$47:$A$73,0)))=0,"",LN106/(INDEX('Standards for Conversions'!$H$47:$H$73,MATCH(LM$3,'Standards for Conversions'!$A$47:$A$73,0))))</f>
        <v/>
      </c>
      <c r="LR106" s="31" t="str">
        <f>IF(LQ106/(INDEX('Standards for Conversions'!$H$47:$H$73,MATCH(LP$3,'Standards for Conversions'!$A$47:$A$73,0)))=0,"",LQ106/(INDEX('Standards for Conversions'!$H$47:$H$73,MATCH(LP$3,'Standards for Conversions'!$A$47:$A$73,0))))</f>
        <v/>
      </c>
      <c r="LV106" s="31" t="str">
        <f>IF(LU106/(INDEX('Standards for Conversions'!$H$47:$H$73,MATCH(LT$3,'Standards for Conversions'!$A$47:$A$73,0)))=0,"",LU106/(INDEX('Standards for Conversions'!$H$47:$H$73,MATCH(LT$3,'Standards for Conversions'!$A$47:$A$73,0))))</f>
        <v/>
      </c>
      <c r="LY106" s="31" t="str">
        <f>IF(LX106/(INDEX('Standards for Conversions'!$H$47:$H$73,MATCH(LW$3,'Standards for Conversions'!$A$47:$A$73,0)))=0,"",LX106/(INDEX('Standards for Conversions'!$H$47:$H$73,MATCH(LW$3,'Standards for Conversions'!$A$47:$A$73,0))))</f>
        <v/>
      </c>
      <c r="MB106" s="31" t="str">
        <f>IF(MA106/(INDEX('Standards for Conversions'!$H$47:$H$73,MATCH(LZ$3,'Standards for Conversions'!$A$47:$A$73,0)))=0,"",MA106/(INDEX('Standards for Conversions'!$H$47:$H$73,MATCH(LZ$3,'Standards for Conversions'!$A$47:$A$73,0))))</f>
        <v/>
      </c>
      <c r="ME106" s="31" t="str">
        <f>IF(MD106/(INDEX('Standards for Conversions'!$H$47:$H$73,MATCH(MC$3,'Standards for Conversions'!$A$47:$A$73,0)))=0,"",MD106/(INDEX('Standards for Conversions'!$H$47:$H$73,MATCH(MC$3,'Standards for Conversions'!$A$47:$A$73,0))))</f>
        <v/>
      </c>
      <c r="MH106" s="31" t="str">
        <f>IF(MG106/(INDEX('Standards for Conversions'!$H$47:$H$73,MATCH(MF$3,'Standards for Conversions'!$A$47:$A$73,0)))=0,"",MG106/(INDEX('Standards for Conversions'!$H$47:$H$73,MATCH(MF$3,'Standards for Conversions'!$A$47:$A$73,0))))</f>
        <v/>
      </c>
      <c r="MK106" s="31" t="str">
        <f>IF(MJ106/(INDEX('Standards for Conversions'!$H$47:$H$73,MATCH(MI$3,'Standards for Conversions'!$A$47:$A$73,0)))=0,"",MJ106/(INDEX('Standards for Conversions'!$H$47:$H$73,MATCH(MI$3,'Standards for Conversions'!$A$47:$A$73,0))))</f>
        <v/>
      </c>
      <c r="MN106" s="31" t="str">
        <f>IF(MM106/(INDEX('Standards for Conversions'!$H$47:$H$73,MATCH(ML$3,'Standards for Conversions'!$A$47:$A$73,0)))=0,"",MM106/(INDEX('Standards for Conversions'!$H$47:$H$73,MATCH(ML$3,'Standards for Conversions'!$A$47:$A$73,0))))</f>
        <v/>
      </c>
      <c r="MR106" s="31" t="str">
        <f>IF(MQ106/(INDEX('Standards for Conversions'!$H$47:$H$73,MATCH(MP$3,'Standards for Conversions'!$A$47:$A$73,0)))=0,"",MQ106/(INDEX('Standards for Conversions'!$H$47:$H$73,MATCH(MP$3,'Standards for Conversions'!$A$47:$A$73,0))))</f>
        <v/>
      </c>
    </row>
    <row r="107" spans="1:373" hidden="1" x14ac:dyDescent="0.3">
      <c r="A107" s="103" t="s">
        <v>273</v>
      </c>
      <c r="C107" s="7"/>
      <c r="D107" s="7"/>
      <c r="E107" s="31" t="str">
        <f>IF(D107/(INDEX('Standards for Conversions'!$H$34:$H$73,MATCH(C$3,'Standards for Conversions'!$A$34:$A$73,0)))=0,"",D107/(INDEX('Standards for Conversions'!$H$34:$H$73,MATCH(C$3,'Standards for Conversions'!$A$34:$A$73,0))))</f>
        <v/>
      </c>
      <c r="G107" s="7"/>
      <c r="H107" s="7"/>
      <c r="I107" s="31" t="str">
        <f>IF(H107/(INDEX('Standards for Conversions'!$H$34:$H$73,MATCH(G$3,'Standards for Conversions'!$A$34:$A$73,0)))=0,"",H107/(INDEX('Standards for Conversions'!$H$34:$H$73,MATCH(G$3,'Standards for Conversions'!$A$34:$A$73,0))))</f>
        <v/>
      </c>
      <c r="K107" s="9"/>
      <c r="L107" s="9"/>
      <c r="M107" s="31" t="str">
        <f>IF(L107/(INDEX('Standards for Conversions'!$H$34:$H$73,MATCH(K$3,'Standards for Conversions'!$A$34:$A$73,0)))=0,"",L107/(INDEX('Standards for Conversions'!$H$34:$H$73,MATCH(K$3,'Standards for Conversions'!$A$34:$A$73,0))))</f>
        <v/>
      </c>
      <c r="O107" s="7"/>
      <c r="P107" s="7"/>
      <c r="Q107" s="31" t="str">
        <f>IF(P107/(INDEX('Standards for Conversions'!$H$34:$H$73,MATCH(O$3,'Standards for Conversions'!$A$34:$A$73,0)))=0,"",P107/(INDEX('Standards for Conversions'!$H$34:$H$73,MATCH(O$3,'Standards for Conversions'!$A$34:$A$73,0))))</f>
        <v/>
      </c>
      <c r="S107" s="7"/>
      <c r="T107" s="7"/>
      <c r="U107" s="31" t="str">
        <f>IF(T107/(INDEX('Standards for Conversions'!$H$34:$H$73,MATCH(S$3,'Standards for Conversions'!$A$34:$A$73,0)))=0,"",T107/(INDEX('Standards for Conversions'!$H$34:$H$73,MATCH(S$3,'Standards for Conversions'!$A$34:$A$73,0))))</f>
        <v/>
      </c>
      <c r="W107" s="7"/>
      <c r="X107" s="7"/>
      <c r="Y107" s="31" t="str">
        <f>IF(X107/(INDEX('Standards for Conversions'!$H$34:$H$73,MATCH(W$3,'Standards for Conversions'!$A$34:$A$73,0)))=0,"",X107/(INDEX('Standards for Conversions'!$H$34:$H$73,MATCH(W$3,'Standards for Conversions'!$A$34:$A$73,0))))</f>
        <v/>
      </c>
      <c r="AA107" s="9"/>
      <c r="AB107" s="9"/>
      <c r="AC107" s="31" t="str">
        <f>IF(AB107/(INDEX('Standards for Conversions'!$H$34:$H$73,MATCH(AA$3,'Standards for Conversions'!$A$34:$A$73,0)))=0,"",AB107/(INDEX('Standards for Conversions'!$H$34:$H$73,MATCH(AA$3,'Standards for Conversions'!$A$34:$A$73,0))))</f>
        <v/>
      </c>
      <c r="AE107" s="7"/>
      <c r="AF107" s="7"/>
      <c r="AG107" s="31" t="str">
        <f>IF(AF107/(INDEX('Standards for Conversions'!$H$34:$H$73,MATCH(AE$3,'Standards for Conversions'!$A$34:$A$73,0)))=0,"",AF107/(INDEX('Standards for Conversions'!$H$34:$H$73,MATCH(AE$3,'Standards for Conversions'!$A$34:$A$73,0))))</f>
        <v/>
      </c>
      <c r="AI107" s="7"/>
      <c r="AJ107" s="7"/>
      <c r="AK107" s="31" t="str">
        <f>IF(AJ107/(INDEX('Standards for Conversions'!$H$34:$H$73,MATCH(AI$3,'Standards for Conversions'!$A$34:$A$73,0)))=0,"",AJ107/(INDEX('Standards for Conversions'!$H$34:$H$73,MATCH(AI$3,'Standards for Conversions'!$A$34:$A$73,0))))</f>
        <v/>
      </c>
      <c r="AM107" s="7"/>
      <c r="AN107" s="7"/>
      <c r="AO107" s="31" t="str">
        <f>IF(AN107/(INDEX('Standards for Conversions'!$H$34:$H$73,MATCH(AM$3,'Standards for Conversions'!$A$34:$A$73,0)))=0,"",AN107/(INDEX('Standards for Conversions'!$H$34:$H$73,MATCH(AM$3,'Standards for Conversions'!$A$34:$A$73,0))))</f>
        <v/>
      </c>
      <c r="AQ107" s="9"/>
      <c r="AR107" s="9"/>
      <c r="AS107" s="31" t="str">
        <f>IF(AR107/(INDEX('Standards for Conversions'!$H$34:$H$73,MATCH(AQ$3,'Standards for Conversions'!$A$34:$A$73,0)))=0,"",AR107/(INDEX('Standards for Conversions'!$H$34:$H$73,MATCH(AQ$3,'Standards for Conversions'!$A$34:$A$73,0))))</f>
        <v/>
      </c>
      <c r="AU107" s="7"/>
      <c r="AV107" s="7"/>
      <c r="AW107" s="31" t="str">
        <f>IF(AV107/(INDEX('Standards for Conversions'!$H$34:$H$73,MATCH(AU$3,'Standards for Conversions'!$A$34:$A$73,0)))=0,"",AV107/(INDEX('Standards for Conversions'!$H$34:$H$73,MATCH(AU$3,'Standards for Conversions'!$A$34:$A$73,0))))</f>
        <v/>
      </c>
      <c r="AY107" s="7"/>
      <c r="AZ107" s="7"/>
      <c r="BA107" s="31" t="str">
        <f>IF(AZ107/(INDEX('Standards for Conversions'!$H$34:$H$73,MATCH(AY$3,'Standards for Conversions'!$A$34:$A$73,0)))=0,"",AZ107/(INDEX('Standards for Conversions'!$H$34:$H$73,MATCH(AY$3,'Standards for Conversions'!$A$34:$A$73,0))))</f>
        <v/>
      </c>
      <c r="BC107" s="7"/>
      <c r="BD107" s="7"/>
      <c r="BE107" s="31" t="str">
        <f>IF(BD107/(INDEX('Standards for Conversions'!$H$34:$H$73,MATCH(BC$3,'Standards for Conversions'!$A$34:$A$73,0)))=0,"",BD107/(INDEX('Standards for Conversions'!$H$34:$H$73,MATCH(BC$3,'Standards for Conversions'!$A$34:$A$73,0))))</f>
        <v/>
      </c>
      <c r="BG107" s="9"/>
      <c r="BH107" s="9"/>
      <c r="BI107" s="31" t="str">
        <f>IF(BH107/(INDEX('Standards for Conversions'!$H$34:$H$73,MATCH(BG$3,'Standards for Conversions'!$A$34:$A$73,0)))=0,"",BH107/(INDEX('Standards for Conversions'!$H$34:$H$73,MATCH(BG$3,'Standards for Conversions'!$A$34:$A$73,0))))</f>
        <v/>
      </c>
      <c r="BK107" s="7"/>
      <c r="BL107" s="7"/>
      <c r="BM107" s="31" t="str">
        <f>IF(BL107/(INDEX('Standards for Conversions'!$H$34:$H$73,MATCH(BK$3,'Standards for Conversions'!$A$34:$A$73,0)))=0,"",BL107/(INDEX('Standards for Conversions'!$H$34:$H$73,MATCH(BK$3,'Standards for Conversions'!$A$34:$A$73,0))))</f>
        <v/>
      </c>
      <c r="BO107" s="7"/>
      <c r="BP107" s="7"/>
      <c r="BQ107" s="31" t="str">
        <f>IF(BP107/(INDEX('Standards for Conversions'!$H$34:$H$73,MATCH(BO$3,'Standards for Conversions'!$A$34:$A$73,0)))=0,"",BP107/(INDEX('Standards for Conversions'!$H$34:$H$73,MATCH(BO$3,'Standards for Conversions'!$A$34:$A$73,0))))</f>
        <v/>
      </c>
      <c r="BS107" s="7"/>
      <c r="BT107" s="7"/>
      <c r="BU107" s="31" t="str">
        <f>IF(BT107/(INDEX('Standards for Conversions'!$H$34:$H$73,MATCH(BS$3,'Standards for Conversions'!$A$34:$A$73,0)))=0,"",BT107/(INDEX('Standards for Conversions'!$H$34:$H$73,MATCH(BS$3,'Standards for Conversions'!$A$34:$A$73,0))))</f>
        <v/>
      </c>
      <c r="BW107" s="9"/>
      <c r="BX107" s="9"/>
      <c r="BY107" s="31" t="str">
        <f>IF(BX107/(INDEX('Standards for Conversions'!$H$34:$H$73,MATCH(BW$3,'Standards for Conversions'!$A$34:$A$73,0)))=0,"",BX107/(INDEX('Standards for Conversions'!$H$34:$H$73,MATCH(BW$3,'Standards for Conversions'!$A$34:$A$73,0))))</f>
        <v/>
      </c>
      <c r="CA107" s="7"/>
      <c r="CB107" s="7"/>
      <c r="CC107" s="31" t="str">
        <f>IF(CB107/(INDEX('Standards for Conversions'!$H$34:$H$73,MATCH(CA$3,'Standards for Conversions'!$A$34:$A$73,0)))=0,"",CB107/(INDEX('Standards for Conversions'!$H$34:$H$73,MATCH(CA$3,'Standards for Conversions'!$A$34:$A$73,0))))</f>
        <v/>
      </c>
      <c r="CE107" s="7"/>
      <c r="CF107" s="7"/>
      <c r="CG107" s="31" t="str">
        <f>IF(CF107/(INDEX('Standards for Conversions'!$H$34:$H$73,MATCH(CE$3,'Standards for Conversions'!$A$34:$A$73,0)))=0,"",CF107/(INDEX('Standards for Conversions'!$H$34:$H$73,MATCH(CE$3,'Standards for Conversions'!$A$34:$A$73,0))))</f>
        <v/>
      </c>
      <c r="CI107" s="7"/>
      <c r="CJ107" s="7"/>
      <c r="CK107" s="31" t="str">
        <f>IF(CJ107/(INDEX('Standards for Conversions'!$H$34:$H$73,MATCH(CI$3,'Standards for Conversions'!$A$34:$A$73,0)))=0,"",CJ107/(INDEX('Standards for Conversions'!$H$34:$H$73,MATCH(CI$3,'Standards for Conversions'!$A$34:$A$73,0))))</f>
        <v/>
      </c>
      <c r="CM107" s="9"/>
      <c r="CN107" s="9"/>
      <c r="CO107" s="31" t="str">
        <f>IF(CN107/(INDEX('Standards for Conversions'!$H$34:$H$73,MATCH(CM$3,'Standards for Conversions'!$A$34:$A$73,0)))=0,"",CN107/(INDEX('Standards for Conversions'!$H$34:$H$73,MATCH(CM$3,'Standards for Conversions'!$A$34:$A$73,0))))</f>
        <v/>
      </c>
      <c r="CQ107" s="7"/>
      <c r="CR107" s="7"/>
      <c r="CS107" s="31" t="str">
        <f>IF(CR107/(INDEX('Standards for Conversions'!$H$34:$H$73,MATCH(CQ$3,'Standards for Conversions'!$A$34:$A$73,0)))=0,"",CR107/(INDEX('Standards for Conversions'!$H$34:$H$73,MATCH(CQ$3,'Standards for Conversions'!$A$34:$A$73,0))))</f>
        <v/>
      </c>
      <c r="CU107" s="7"/>
      <c r="CV107" s="7"/>
      <c r="CW107" s="31" t="str">
        <f>IF(CV107/(INDEX('Standards for Conversions'!$H$34:$H$73,MATCH(CU$3,'Standards for Conversions'!$A$34:$A$73,0)))=0,"",CV107/(INDEX('Standards for Conversions'!$H$34:$H$73,MATCH(CU$3,'Standards for Conversions'!$A$34:$A$73,0))))</f>
        <v/>
      </c>
      <c r="CY107" s="7"/>
      <c r="CZ107" s="7"/>
      <c r="DA107" s="31" t="str">
        <f>IF(CZ107/(INDEX('Standards for Conversions'!$H$34:$H$73,MATCH(CY$3,'Standards for Conversions'!$A$34:$A$73,0)))=0,"",CZ107/(INDEX('Standards for Conversions'!$H$34:$H$73,MATCH(CY$3,'Standards for Conversions'!$A$34:$A$73,0))))</f>
        <v/>
      </c>
      <c r="DC107" s="9"/>
      <c r="DD107" s="9"/>
      <c r="DE107" s="31" t="str">
        <f>IF(DD107/(INDEX('Standards for Conversions'!$H$34:$H$73,MATCH(DC$3,'Standards for Conversions'!$A$34:$A$73,0)))=0,"",DD107/(INDEX('Standards for Conversions'!$H$34:$H$73,MATCH(DC$3,'Standards for Conversions'!$A$34:$A$73,0))))</f>
        <v/>
      </c>
      <c r="DG107" s="7"/>
      <c r="DH107" s="7"/>
      <c r="DI107" s="31" t="str">
        <f>IF(DH107/(INDEX('Standards for Conversions'!$H$34:$H$73,MATCH(DG$3,'Standards for Conversions'!$A$34:$A$73,0)))=0,"",DH107/(INDEX('Standards for Conversions'!$H$34:$H$73,MATCH(DG$3,'Standards for Conversions'!$A$34:$A$73,0))))</f>
        <v/>
      </c>
      <c r="DK107" s="7"/>
      <c r="DL107" s="7"/>
      <c r="DM107" s="31" t="str">
        <f>IF(DL107/(INDEX('Standards for Conversions'!$H$34:$H$73,MATCH(DK$3,'Standards for Conversions'!$A$34:$A$73,0)))=0,"",DL107/(INDEX('Standards for Conversions'!$H$34:$H$73,MATCH(DK$3,'Standards for Conversions'!$A$34:$A$73,0))))</f>
        <v/>
      </c>
      <c r="DO107" s="7"/>
      <c r="DP107" s="7"/>
      <c r="DQ107" s="31" t="str">
        <f>IF(DP107/(INDEX('Standards for Conversions'!$H$34:$H$73,MATCH(DO$3,'Standards for Conversions'!$A$34:$A$73,0)))=0,"",DP107/(INDEX('Standards for Conversions'!$H$34:$H$73,MATCH(DO$3,'Standards for Conversions'!$A$34:$A$73,0))))</f>
        <v/>
      </c>
      <c r="DS107" s="9"/>
      <c r="DT107" s="9"/>
      <c r="DU107" s="31" t="str">
        <f>IF(DT107/(INDEX('Standards for Conversions'!$H$34:$H$73,MATCH(DS$3,'Standards for Conversions'!$A$34:$A$73,0)))=0,"",DT107/(INDEX('Standards for Conversions'!$H$34:$H$73,MATCH(DS$3,'Standards for Conversions'!$A$34:$A$73,0))))</f>
        <v/>
      </c>
      <c r="DW107" s="7"/>
      <c r="DX107" s="7"/>
      <c r="DY107" s="31" t="str">
        <f>IF(DX107/(INDEX('Standards for Conversions'!$H$34:$H$73,MATCH(DW$3,'Standards for Conversions'!$A$34:$A$73,0)))=0,"",DX107/(INDEX('Standards for Conversions'!$H$34:$H$73,MATCH(DW$3,'Standards for Conversions'!$A$34:$A$73,0))))</f>
        <v/>
      </c>
      <c r="EA107" s="7"/>
      <c r="EB107" s="7"/>
      <c r="EC107" s="31" t="str">
        <f>IF(EB107/(INDEX('Standards for Conversions'!$H$34:$H$73,MATCH(EA$3,'Standards for Conversions'!$A$34:$A$73,0)))=0,"",EB107/(INDEX('Standards for Conversions'!$H$34:$H$73,MATCH(EA$3,'Standards for Conversions'!$A$34:$A$73,0))))</f>
        <v/>
      </c>
      <c r="EE107" s="7"/>
      <c r="EF107" s="7"/>
      <c r="EG107" s="31" t="str">
        <f>IF(EF107/(INDEX('Standards for Conversions'!$H$34:$H$73,MATCH(EE$3,'Standards for Conversions'!$A$34:$A$73,0)))=0,"",EF107/(INDEX('Standards for Conversions'!$H$34:$H$73,MATCH(EE$3,'Standards for Conversions'!$A$34:$A$73,0))))</f>
        <v/>
      </c>
      <c r="EI107" s="9"/>
      <c r="EJ107" s="9"/>
      <c r="EK107" s="31" t="str">
        <f>IF(EJ107/(INDEX('Standards for Conversions'!$H$34:$H$73,MATCH(EI$3,'Standards for Conversions'!$A$34:$A$73,0)))=0,"",EJ107/(INDEX('Standards for Conversions'!$H$34:$H$73,MATCH(EI$3,'Standards for Conversions'!$A$34:$A$73,0))))</f>
        <v/>
      </c>
      <c r="EM107" s="7"/>
      <c r="EN107" s="7"/>
      <c r="EO107" s="31" t="str">
        <f>IF(EN107/(INDEX('Standards for Conversions'!$H$34:$H$73,MATCH(EM$3,'Standards for Conversions'!$A$34:$A$73,0)))=0,"",EN107/(INDEX('Standards for Conversions'!$H$34:$H$73,MATCH(EM$3,'Standards for Conversions'!$A$34:$A$73,0))))</f>
        <v/>
      </c>
      <c r="EQ107" s="7"/>
      <c r="ER107" s="7"/>
      <c r="ES107" s="31" t="str">
        <f>IF(ER107/(INDEX('Standards for Conversions'!$H$34:$H$73,MATCH(EQ$3,'Standards for Conversions'!$A$34:$A$73,0)))=0,"",ER107/(INDEX('Standards for Conversions'!$H$34:$H$73,MATCH(EQ$3,'Standards for Conversions'!$A$34:$A$73,0))))</f>
        <v/>
      </c>
      <c r="EU107" s="7"/>
      <c r="EV107" s="7"/>
      <c r="EW107" s="31" t="str">
        <f>IF(EV107/(INDEX('Standards for Conversions'!$H$34:$H$73,MATCH(EU$3,'Standards for Conversions'!$A$34:$A$73,0)))=0,"",EV107/(INDEX('Standards for Conversions'!$H$34:$H$73,MATCH(EU$3,'Standards for Conversions'!$A$34:$A$73,0))))</f>
        <v/>
      </c>
      <c r="EY107" s="9"/>
      <c r="EZ107" s="9"/>
      <c r="FA107" s="31" t="str">
        <f>IF(EZ107/(INDEX('Standards for Conversions'!$H$34:$H$73,MATCH(EY$3,'Standards for Conversions'!$A$34:$A$73,0)))=0,"",EZ107/(INDEX('Standards for Conversions'!$H$34:$H$73,MATCH(EY$3,'Standards for Conversions'!$A$34:$A$73,0))))</f>
        <v/>
      </c>
      <c r="FC107" s="7"/>
      <c r="FD107" s="7"/>
      <c r="FE107" s="31" t="str">
        <f>IF(FD107/(INDEX('Standards for Conversions'!$H$34:$H$73,MATCH(FC$3,'Standards for Conversions'!$A$34:$A$73,0)))=0,"",FD107/(INDEX('Standards for Conversions'!$H$34:$H$73,MATCH(FC$3,'Standards for Conversions'!$A$34:$A$73,0))))</f>
        <v/>
      </c>
      <c r="FG107" s="7"/>
      <c r="FH107" s="7"/>
      <c r="FI107" s="31" t="str">
        <f>IF(FH107/(INDEX('Standards for Conversions'!$H$34:$H$73,MATCH(FG$3,'Standards for Conversions'!$A$34:$A$73,0)))=0,"",FH107/(INDEX('Standards for Conversions'!$H$34:$H$73,MATCH(FG$3,'Standards for Conversions'!$A$34:$A$73,0))))</f>
        <v/>
      </c>
      <c r="FK107" s="7"/>
      <c r="FL107" s="7"/>
      <c r="FM107" s="31" t="str">
        <f>IF(FL107/(INDEX('Standards for Conversions'!$H$34:$H$73,MATCH(FK$3,'Standards for Conversions'!$A$34:$A$73,0)))=0,"",FL107/(INDEX('Standards for Conversions'!$H$34:$H$73,MATCH(FK$3,'Standards for Conversions'!$A$34:$A$73,0))))</f>
        <v/>
      </c>
      <c r="FO107" s="9"/>
      <c r="FP107" s="9"/>
      <c r="FQ107" s="31" t="str">
        <f>IF(FP107/(INDEX('Standards for Conversions'!$H$34:$H$73,MATCH(FO$3,'Standards for Conversions'!$A$34:$A$73,0)))=0,"",FP107/(INDEX('Standards for Conversions'!$H$34:$H$73,MATCH(FO$3,'Standards for Conversions'!$A$34:$A$73,0))))</f>
        <v/>
      </c>
      <c r="FS107" s="7"/>
      <c r="FT107" s="7"/>
      <c r="FU107" s="31" t="str">
        <f>IF(FT107/(INDEX('Standards for Conversions'!$H$34:$H$73,MATCH(FS$3,'Standards for Conversions'!$A$34:$A$73,0)))=0,"",FT107/(INDEX('Standards for Conversions'!$H$34:$H$73,MATCH(FS$3,'Standards for Conversions'!$A$34:$A$73,0))))</f>
        <v/>
      </c>
      <c r="FW107" s="7"/>
      <c r="FX107" s="7"/>
      <c r="FY107" s="31" t="str">
        <f>IF(FX107/(INDEX('Standards for Conversions'!$H$34:$H$73,MATCH(FW$3,'Standards for Conversions'!$A$34:$A$73,0)))=0,"",FX107/(INDEX('Standards for Conversions'!$H$34:$H$73,MATCH(FW$3,'Standards for Conversions'!$A$34:$A$73,0))))</f>
        <v/>
      </c>
      <c r="GA107" s="7"/>
      <c r="GB107" s="7"/>
      <c r="GC107" s="31" t="str">
        <f>IF(GB107/(INDEX('Standards for Conversions'!$H$34:$H$73,MATCH(GA$3,'Standards for Conversions'!$A$34:$A$73,0)))=0,"",GB107/(INDEX('Standards for Conversions'!$H$34:$H$73,MATCH(GA$3,'Standards for Conversions'!$A$34:$A$73,0))))</f>
        <v/>
      </c>
      <c r="GE107" s="9"/>
      <c r="GF107" s="9"/>
      <c r="GG107" s="31" t="str">
        <f>IF(GF107/(INDEX('Standards for Conversions'!$H$34:$H$73,MATCH(GE$3,'Standards for Conversions'!$A$34:$A$73,0)))=0,"",GF107/(INDEX('Standards for Conversions'!$H$34:$H$73,MATCH(GE$3,'Standards for Conversions'!$A$34:$A$73,0))))</f>
        <v/>
      </c>
      <c r="GI107" s="7"/>
      <c r="GJ107" s="7"/>
      <c r="GK107" s="31" t="str">
        <f>IF(GJ107/(INDEX('Standards for Conversions'!$H$34:$H$73,MATCH(GI$3,'Standards for Conversions'!$A$34:$A$73,0)))=0,"",GJ107/(INDEX('Standards for Conversions'!$H$34:$H$73,MATCH(GI$3,'Standards for Conversions'!$A$34:$A$73,0))))</f>
        <v/>
      </c>
      <c r="GM107" s="7"/>
      <c r="GN107" s="7"/>
      <c r="GO107" s="31" t="str">
        <f>IF(GN107/(INDEX('Standards for Conversions'!$H$34:$H$73,MATCH(GM$3,'Standards for Conversions'!$A$34:$A$73,0)))=0,"",GN107/(INDEX('Standards for Conversions'!$H$34:$H$73,MATCH(GM$3,'Standards for Conversions'!$A$34:$A$73,0))))</f>
        <v/>
      </c>
      <c r="GQ107" s="7"/>
      <c r="GR107" s="7"/>
      <c r="GS107" s="31" t="str">
        <f>IF(GR107/(INDEX('Standards for Conversions'!$H$34:$H$73,MATCH(GQ$3,'Standards for Conversions'!$A$34:$A$73,0)))=0,"",GR107/(INDEX('Standards for Conversions'!$H$34:$H$73,MATCH(GQ$3,'Standards for Conversions'!$A$34:$A$73,0))))</f>
        <v/>
      </c>
      <c r="GU107" s="9"/>
      <c r="GV107" s="9"/>
      <c r="GW107" s="31" t="str">
        <f>IF(GV107/(INDEX('Standards for Conversions'!$H$34:$H$73,MATCH(GU$3,'Standards for Conversions'!$A$34:$A$73,0)))=0,"",GV107/(INDEX('Standards for Conversions'!$H$34:$H$73,MATCH(GU$3,'Standards for Conversions'!$A$34:$A$73,0))))</f>
        <v/>
      </c>
      <c r="GY107" s="7"/>
      <c r="GZ107" s="7"/>
      <c r="HA107" s="31" t="str">
        <f>IF(GZ107/(INDEX('Standards for Conversions'!$H$34:$H$73,MATCH(GY$3,'Standards for Conversions'!$A$34:$A$73,0)))=0,"",GZ107/(INDEX('Standards for Conversions'!$H$34:$H$73,MATCH(GY$3,'Standards for Conversions'!$A$34:$A$73,0))))</f>
        <v/>
      </c>
      <c r="HC107" s="7"/>
      <c r="HD107" s="7"/>
      <c r="HE107" s="31" t="str">
        <f>IF(HD107/(INDEX('Standards for Conversions'!$H$34:$H$73,MATCH(HC$3,'Standards for Conversions'!$A$34:$A$73,0)))=0,"",HD107/(INDEX('Standards for Conversions'!$H$34:$H$73,MATCH(HC$3,'Standards for Conversions'!$A$34:$A$73,0))))</f>
        <v/>
      </c>
      <c r="HG107" s="7"/>
      <c r="HH107" s="7"/>
      <c r="HI107" s="31" t="str">
        <f>IF(HH107/(INDEX('Standards for Conversions'!$H$34:$H$73,MATCH(HG$3,'Standards for Conversions'!$A$34:$A$73,0)))=0,"",HH107/(INDEX('Standards for Conversions'!$H$34:$H$73,MATCH(HG$3,'Standards for Conversions'!$A$34:$A$73,0))))</f>
        <v/>
      </c>
      <c r="HK107" s="9"/>
      <c r="HL107" s="9"/>
      <c r="HM107" s="31" t="str">
        <f>IF(HL107/(INDEX('Standards for Conversions'!$H$34:$H$73,MATCH(HK$3,'Standards for Conversions'!$A$34:$A$73,0)))=0,"",HL107/(INDEX('Standards for Conversions'!$H$34:$H$73,MATCH(HK$3,'Standards for Conversions'!$A$34:$A$73,0))))</f>
        <v/>
      </c>
      <c r="HO107" s="7"/>
      <c r="HP107" s="7"/>
      <c r="HQ107" s="31" t="str">
        <f>IF(HP107/(INDEX('Standards for Conversions'!$H$34:$H$73,MATCH(HO$3,'Standards for Conversions'!$A$34:$A$73,0)))=0,"",HP107/(INDEX('Standards for Conversions'!$H$34:$H$73,MATCH(HO$3,'Standards for Conversions'!$A$34:$A$73,0))))</f>
        <v/>
      </c>
      <c r="HU107" s="31" t="str">
        <f>IF(HT107/(INDEX('Standards for Conversions'!$H$47:$H$73,MATCH(HS$3,'Standards for Conversions'!$A$47:$A$73,0)))=0,"",HT107/(INDEX('Standards for Conversions'!$H$47:$H$73,MATCH(HS$3,'Standards for Conversions'!$A$47:$A$73,0))))</f>
        <v/>
      </c>
      <c r="HY107" s="31" t="str">
        <f>IF(HX107/(INDEX('Standards for Conversions'!$H$47:$H$73,MATCH(HW$3,'Standards for Conversions'!$A$47:$A$73,0)))=0,"",HX107/(INDEX('Standards for Conversions'!$H$47:$H$73,MATCH(HW$3,'Standards for Conversions'!$A$47:$A$73,0))))</f>
        <v/>
      </c>
      <c r="HZ107" s="33"/>
      <c r="IA107" s="33"/>
      <c r="IB107" s="31" t="str">
        <f>IF(IA107/(INDEX('Standards for Conversions'!$H$47:$H$73,MATCH(HZ$3,'Standards for Conversions'!$A$47:$A$73,0)))=0,"",IA107/(INDEX('Standards for Conversions'!$H$47:$H$73,MATCH(HZ$3,'Standards for Conversions'!$A$47:$A$73,0))))</f>
        <v/>
      </c>
      <c r="IF107" s="31" t="str">
        <f>IF(IE107/(INDEX('Standards for Conversions'!$H$47:$H$73,MATCH(ID$3,'Standards for Conversions'!$A$47:$A$73,0)))=0,"",IE107/(INDEX('Standards for Conversions'!$H$47:$H$73,MATCH(ID$3,'Standards for Conversions'!$A$47:$A$73,0))))</f>
        <v/>
      </c>
      <c r="IJ107" s="31" t="str">
        <f>IF(II107/(INDEX('Standards for Conversions'!$H$47:$H$73,MATCH(IH$3,'Standards for Conversions'!$A$47:$A$73,0)))=0,"",II107/(INDEX('Standards for Conversions'!$H$47:$H$73,MATCH(IH$3,'Standards for Conversions'!$A$47:$A$73,0))))</f>
        <v/>
      </c>
      <c r="IN107" s="31" t="str">
        <f>IF(IM107/(INDEX('Standards for Conversions'!$H$47:$H$73,MATCH(IL$3,'Standards for Conversions'!$A$47:$A$73,0)))=0,"",IM107/(INDEX('Standards for Conversions'!$H$47:$H$73,MATCH(IL$3,'Standards for Conversions'!$A$47:$A$73,0))))</f>
        <v/>
      </c>
      <c r="IR107" s="31" t="str">
        <f>IF(IQ107/(INDEX('Standards for Conversions'!$H$47:$H$73,MATCH(IP$3,'Standards for Conversions'!$A$47:$A$73,0)))=0,"",IQ107/(INDEX('Standards for Conversions'!$H$47:$H$73,MATCH(IP$3,'Standards for Conversions'!$A$47:$A$73,0))))</f>
        <v/>
      </c>
      <c r="IV107" s="31" t="str">
        <f>IF(IU107/(INDEX('Standards for Conversions'!$H$47:$H$73,MATCH(IT$3,'Standards for Conversions'!$A$47:$A$73,0)))=0,"",IU107/(INDEX('Standards for Conversions'!$H$47:$H$73,MATCH(IT$3,'Standards for Conversions'!$A$47:$A$73,0))))</f>
        <v/>
      </c>
      <c r="IZ107" s="31" t="str">
        <f>IF(IY107/(INDEX('Standards for Conversions'!$H$47:$H$73,MATCH(IX$3,'Standards for Conversions'!$A$47:$A$73,0)))=0,"",IY107/(INDEX('Standards for Conversions'!$H$47:$H$73,MATCH(IX$3,'Standards for Conversions'!$A$47:$A$73,0))))</f>
        <v/>
      </c>
      <c r="JA107" s="33"/>
      <c r="JD107" s="31" t="str">
        <f>IF(JC107/(INDEX('Standards for Conversions'!$H$47:$H$73,MATCH(JB$3,'Standards for Conversions'!$A$47:$A$73,0)))=0,"",JC107/(INDEX('Standards for Conversions'!$H$47:$H$73,MATCH(JB$3,'Standards for Conversions'!$A$47:$A$73,0))))</f>
        <v/>
      </c>
      <c r="JE107" s="33"/>
      <c r="JH107" s="31" t="str">
        <f>IF(JG107/(INDEX('Standards for Conversions'!$H$47:$H$73,MATCH(JF$3,'Standards for Conversions'!$A$47:$A$73,0)))=0,"",JG107/(INDEX('Standards for Conversions'!$H$47:$H$73,MATCH(JF$3,'Standards for Conversions'!$A$47:$A$73,0))))</f>
        <v/>
      </c>
      <c r="JL107" s="31" t="str">
        <f>IF(JK107/(INDEX('Standards for Conversions'!$H$47:$H$73,MATCH(JJ$3,'Standards for Conversions'!$A$47:$A$73,0)))=0,"",JK107/(INDEX('Standards for Conversions'!$H$47:$H$73,MATCH(JJ$3,'Standards for Conversions'!$A$47:$A$73,0))))</f>
        <v/>
      </c>
      <c r="JP107" s="31" t="str">
        <f>IF(JO107/(INDEX('Standards for Conversions'!$H$47:$H$73,MATCH(JN$3,'Standards for Conversions'!$A$47:$A$73,0)))=0,"",JO107/(INDEX('Standards for Conversions'!$H$47:$H$73,MATCH(JN$3,'Standards for Conversions'!$A$47:$A$73,0))))</f>
        <v/>
      </c>
      <c r="JT107" s="31" t="str">
        <f>IF(JS107/(INDEX('Standards for Conversions'!$H$47:$H$73,MATCH(JR$3,'Standards for Conversions'!$A$47:$A$73,0)))=0,"",JS107/(INDEX('Standards for Conversions'!$H$47:$H$73,MATCH(JR$3,'Standards for Conversions'!$A$47:$A$73,0))))</f>
        <v/>
      </c>
      <c r="JX107" s="31" t="str">
        <f>IF(JW107/(INDEX('Standards for Conversions'!$H$47:$H$73,MATCH(JV$3,'Standards for Conversions'!$A$47:$A$73,0)))=0,"",JW107/(INDEX('Standards for Conversions'!$H$47:$H$73,MATCH(JV$3,'Standards for Conversions'!$A$47:$A$73,0))))</f>
        <v/>
      </c>
      <c r="KB107" s="31" t="str">
        <f>IF(KA107/(INDEX('Standards for Conversions'!$H$47:$H$73,MATCH(JZ$3,'Standards for Conversions'!$A$47:$A$73,0)))=0,"",KA107/(INDEX('Standards for Conversions'!$H$47:$H$73,MATCH(JZ$3,'Standards for Conversions'!$A$47:$A$73,0))))</f>
        <v/>
      </c>
      <c r="KF107" s="31" t="str">
        <f>IF(KE107/(INDEX('Standards for Conversions'!$H$47:$H$73,MATCH(KD$3,'Standards for Conversions'!$A$47:$A$73,0)))=0,"",KE107/(INDEX('Standards for Conversions'!$H$47:$H$73,MATCH(KD$3,'Standards for Conversions'!$A$47:$A$73,0))))</f>
        <v/>
      </c>
      <c r="KJ107" s="31" t="str">
        <f>IF(KI107/(INDEX('Standards for Conversions'!$H$47:$H$73,MATCH(KH$3,'Standards for Conversions'!$A$47:$A$73,0)))=0,"",KI107/(INDEX('Standards for Conversions'!$H$47:$H$73,MATCH(KH$3,'Standards for Conversions'!$A$47:$A$73,0))))</f>
        <v/>
      </c>
      <c r="KN107" s="31" t="str">
        <f>IF(KM107/(INDEX('Standards for Conversions'!$H$47:$H$73,MATCH(KL$3,'Standards for Conversions'!$A$47:$A$73,0)))=0,"",KM107/(INDEX('Standards for Conversions'!$H$47:$H$73,MATCH(KL$3,'Standards for Conversions'!$A$47:$A$73,0))))</f>
        <v/>
      </c>
      <c r="KR107" s="31" t="str">
        <f>IF(KQ107/(INDEX('Standards for Conversions'!$H$47:$H$73,MATCH(KP$3,'Standards for Conversions'!$A$47:$A$73,0)))=0,"",KQ107/(INDEX('Standards for Conversions'!$H$47:$H$73,MATCH(KP$3,'Standards for Conversions'!$A$47:$A$73,0))))</f>
        <v/>
      </c>
      <c r="KV107" s="31" t="str">
        <f>IF(KU107/(INDEX('Standards for Conversions'!$H$47:$H$73,MATCH(KT$3,'Standards for Conversions'!$A$47:$A$73,0)))=0,"",KU107/(INDEX('Standards for Conversions'!$H$47:$H$73,MATCH(KT$3,'Standards for Conversions'!$A$47:$A$73,0))))</f>
        <v/>
      </c>
      <c r="KW107" s="33"/>
      <c r="KZ107" s="31" t="str">
        <f>IF(KY107/(INDEX('Standards for Conversions'!$H$47:$H$73,MATCH(KX$3,'Standards for Conversions'!$A$47:$A$73,0)))=0,"",KY107/(INDEX('Standards for Conversions'!$H$47:$H$73,MATCH(KX$3,'Standards for Conversions'!$A$47:$A$73,0))))</f>
        <v/>
      </c>
      <c r="LD107" s="31" t="str">
        <f>IF(LC107/(INDEX('Standards for Conversions'!$H$47:$H$73,MATCH(LB$3,'Standards for Conversions'!$A$47:$A$73,0)))=0,"",LC107/(INDEX('Standards for Conversions'!$H$47:$H$73,MATCH(LB$3,'Standards for Conversions'!$A$47:$A$73,0))))</f>
        <v/>
      </c>
      <c r="LH107" s="31" t="str">
        <f>IF(LG107/(INDEX('Standards for Conversions'!$H$47:$H$73,MATCH(LF$3,'Standards for Conversions'!$A$47:$A$73,0)))=0,"",LG107/(INDEX('Standards for Conversions'!$H$47:$H$73,MATCH(LF$3,'Standards for Conversions'!$A$47:$A$73,0))))</f>
        <v/>
      </c>
      <c r="LL107" s="31" t="str">
        <f>IF(LK107/(INDEX('Standards for Conversions'!$H$47:$H$73,MATCH(LJ$3,'Standards for Conversions'!$A$47:$A$73,0)))=0,"",LK107/(INDEX('Standards for Conversions'!$H$47:$H$73,MATCH(LJ$3,'Standards for Conversions'!$A$47:$A$73,0))))</f>
        <v/>
      </c>
      <c r="LO107" s="31" t="str">
        <f>IF(LN107/(INDEX('Standards for Conversions'!$H$47:$H$73,MATCH(LM$3,'Standards for Conversions'!$A$47:$A$73,0)))=0,"",LN107/(INDEX('Standards for Conversions'!$H$47:$H$73,MATCH(LM$3,'Standards for Conversions'!$A$47:$A$73,0))))</f>
        <v/>
      </c>
      <c r="LR107" s="31" t="str">
        <f>IF(LQ107/(INDEX('Standards for Conversions'!$H$47:$H$73,MATCH(LP$3,'Standards for Conversions'!$A$47:$A$73,0)))=0,"",LQ107/(INDEX('Standards for Conversions'!$H$47:$H$73,MATCH(LP$3,'Standards for Conversions'!$A$47:$A$73,0))))</f>
        <v/>
      </c>
      <c r="LV107" s="31" t="str">
        <f>IF(LU107/(INDEX('Standards for Conversions'!$H$47:$H$73,MATCH(LT$3,'Standards for Conversions'!$A$47:$A$73,0)))=0,"",LU107/(INDEX('Standards for Conversions'!$H$47:$H$73,MATCH(LT$3,'Standards for Conversions'!$A$47:$A$73,0))))</f>
        <v/>
      </c>
      <c r="LY107" s="31" t="str">
        <f>IF(LX107/(INDEX('Standards for Conversions'!$H$47:$H$73,MATCH(LW$3,'Standards for Conversions'!$A$47:$A$73,0)))=0,"",LX107/(INDEX('Standards for Conversions'!$H$47:$H$73,MATCH(LW$3,'Standards for Conversions'!$A$47:$A$73,0))))</f>
        <v/>
      </c>
      <c r="MB107" s="31" t="str">
        <f>IF(MA107/(INDEX('Standards for Conversions'!$H$47:$H$73,MATCH(LZ$3,'Standards for Conversions'!$A$47:$A$73,0)))=0,"",MA107/(INDEX('Standards for Conversions'!$H$47:$H$73,MATCH(LZ$3,'Standards for Conversions'!$A$47:$A$73,0))))</f>
        <v/>
      </c>
      <c r="ME107" s="31" t="str">
        <f>IF(MD107/(INDEX('Standards for Conversions'!$H$47:$H$73,MATCH(MC$3,'Standards for Conversions'!$A$47:$A$73,0)))=0,"",MD107/(INDEX('Standards for Conversions'!$H$47:$H$73,MATCH(MC$3,'Standards for Conversions'!$A$47:$A$73,0))))</f>
        <v/>
      </c>
      <c r="MH107" s="31" t="str">
        <f>IF(MG107/(INDEX('Standards for Conversions'!$H$47:$H$73,MATCH(MF$3,'Standards for Conversions'!$A$47:$A$73,0)))=0,"",MG107/(INDEX('Standards for Conversions'!$H$47:$H$73,MATCH(MF$3,'Standards for Conversions'!$A$47:$A$73,0))))</f>
        <v/>
      </c>
      <c r="MK107" s="31" t="str">
        <f>IF(MJ107/(INDEX('Standards for Conversions'!$H$47:$H$73,MATCH(MI$3,'Standards for Conversions'!$A$47:$A$73,0)))=0,"",MJ107/(INDEX('Standards for Conversions'!$H$47:$H$73,MATCH(MI$3,'Standards for Conversions'!$A$47:$A$73,0))))</f>
        <v/>
      </c>
      <c r="MN107" s="31" t="str">
        <f>IF(MM107/(INDEX('Standards for Conversions'!$H$47:$H$73,MATCH(ML$3,'Standards for Conversions'!$A$47:$A$73,0)))=0,"",MM107/(INDEX('Standards for Conversions'!$H$47:$H$73,MATCH(ML$3,'Standards for Conversions'!$A$47:$A$73,0))))</f>
        <v/>
      </c>
      <c r="MR107" s="31" t="str">
        <f>IF(MQ107/(INDEX('Standards for Conversions'!$H$47:$H$73,MATCH(MP$3,'Standards for Conversions'!$A$47:$A$73,0)))=0,"",MQ107/(INDEX('Standards for Conversions'!$H$47:$H$73,MATCH(MP$3,'Standards for Conversions'!$A$47:$A$73,0))))</f>
        <v/>
      </c>
      <c r="NE107" s="29" t="s">
        <v>98</v>
      </c>
      <c r="NF107" s="29">
        <v>68.722500000000011</v>
      </c>
      <c r="NG107" s="29">
        <v>317</v>
      </c>
      <c r="NH107" s="29">
        <v>132.09</v>
      </c>
      <c r="NI107" s="29">
        <v>335</v>
      </c>
    </row>
    <row r="108" spans="1:373" hidden="1" x14ac:dyDescent="0.3">
      <c r="A108" s="103" t="s">
        <v>274</v>
      </c>
      <c r="B108" s="10" t="s">
        <v>42</v>
      </c>
      <c r="C108" s="7"/>
      <c r="D108" s="7"/>
      <c r="E108" s="31" t="str">
        <f>IF(D108/(INDEX('Standards for Conversions'!$H$34:$H$73,MATCH(C$3,'Standards for Conversions'!$A$34:$A$73,0)))=0,"",D108/(INDEX('Standards for Conversions'!$H$34:$H$73,MATCH(C$3,'Standards for Conversions'!$A$34:$A$73,0))))</f>
        <v/>
      </c>
      <c r="F108" s="10" t="s">
        <v>42</v>
      </c>
      <c r="G108" s="7"/>
      <c r="H108" s="7"/>
      <c r="I108" s="31" t="str">
        <f>IF(H108/(INDEX('Standards for Conversions'!$H$34:$H$73,MATCH(G$3,'Standards for Conversions'!$A$34:$A$73,0)))=0,"",H108/(INDEX('Standards for Conversions'!$H$34:$H$73,MATCH(G$3,'Standards for Conversions'!$A$34:$A$73,0))))</f>
        <v/>
      </c>
      <c r="J108" s="10" t="s">
        <v>42</v>
      </c>
      <c r="K108" s="9"/>
      <c r="L108" s="9"/>
      <c r="M108" s="31" t="str">
        <f>IF(L108/(INDEX('Standards for Conversions'!$H$34:$H$73,MATCH(K$3,'Standards for Conversions'!$A$34:$A$73,0)))=0,"",L108/(INDEX('Standards for Conversions'!$H$34:$H$73,MATCH(K$3,'Standards for Conversions'!$A$34:$A$73,0))))</f>
        <v/>
      </c>
      <c r="N108" s="10" t="s">
        <v>42</v>
      </c>
      <c r="O108" s="7"/>
      <c r="P108" s="7"/>
      <c r="Q108" s="31" t="str">
        <f>IF(P108/(INDEX('Standards for Conversions'!$H$34:$H$73,MATCH(O$3,'Standards for Conversions'!$A$34:$A$73,0)))=0,"",P108/(INDEX('Standards for Conversions'!$H$34:$H$73,MATCH(O$3,'Standards for Conversions'!$A$34:$A$73,0))))</f>
        <v/>
      </c>
      <c r="R108" s="10" t="s">
        <v>42</v>
      </c>
      <c r="S108" s="7"/>
      <c r="T108" s="7"/>
      <c r="U108" s="31" t="str">
        <f>IF(T108/(INDEX('Standards for Conversions'!$H$34:$H$73,MATCH(S$3,'Standards for Conversions'!$A$34:$A$73,0)))=0,"",T108/(INDEX('Standards for Conversions'!$H$34:$H$73,MATCH(S$3,'Standards for Conversions'!$A$34:$A$73,0))))</f>
        <v/>
      </c>
      <c r="V108" s="10" t="s">
        <v>42</v>
      </c>
      <c r="W108" s="7"/>
      <c r="X108" s="7"/>
      <c r="Y108" s="31" t="str">
        <f>IF(X108/(INDEX('Standards for Conversions'!$H$34:$H$73,MATCH(W$3,'Standards for Conversions'!$A$34:$A$73,0)))=0,"",X108/(INDEX('Standards for Conversions'!$H$34:$H$73,MATCH(W$3,'Standards for Conversions'!$A$34:$A$73,0))))</f>
        <v/>
      </c>
      <c r="Z108" s="10" t="s">
        <v>42</v>
      </c>
      <c r="AA108" s="9"/>
      <c r="AB108" s="9"/>
      <c r="AC108" s="31" t="str">
        <f>IF(AB108/(INDEX('Standards for Conversions'!$H$34:$H$73,MATCH(AA$3,'Standards for Conversions'!$A$34:$A$73,0)))=0,"",AB108/(INDEX('Standards for Conversions'!$H$34:$H$73,MATCH(AA$3,'Standards for Conversions'!$A$34:$A$73,0))))</f>
        <v/>
      </c>
      <c r="AD108" s="10" t="s">
        <v>42</v>
      </c>
      <c r="AE108" s="7"/>
      <c r="AF108" s="7"/>
      <c r="AG108" s="31" t="str">
        <f>IF(AF108/(INDEX('Standards for Conversions'!$H$34:$H$73,MATCH(AE$3,'Standards for Conversions'!$A$34:$A$73,0)))=0,"",AF108/(INDEX('Standards for Conversions'!$H$34:$H$73,MATCH(AE$3,'Standards for Conversions'!$A$34:$A$73,0))))</f>
        <v/>
      </c>
      <c r="AH108" s="10" t="s">
        <v>42</v>
      </c>
      <c r="AI108" s="7"/>
      <c r="AJ108" s="7"/>
      <c r="AK108" s="31" t="str">
        <f>IF(AJ108/(INDEX('Standards for Conversions'!$H$34:$H$73,MATCH(AI$3,'Standards for Conversions'!$A$34:$A$73,0)))=0,"",AJ108/(INDEX('Standards for Conversions'!$H$34:$H$73,MATCH(AI$3,'Standards for Conversions'!$A$34:$A$73,0))))</f>
        <v/>
      </c>
      <c r="AL108" s="10" t="s">
        <v>42</v>
      </c>
      <c r="AM108" s="7"/>
      <c r="AN108" s="7"/>
      <c r="AO108" s="31" t="str">
        <f>IF(AN108/(INDEX('Standards for Conversions'!$H$34:$H$73,MATCH(AM$3,'Standards for Conversions'!$A$34:$A$73,0)))=0,"",AN108/(INDEX('Standards for Conversions'!$H$34:$H$73,MATCH(AM$3,'Standards for Conversions'!$A$34:$A$73,0))))</f>
        <v/>
      </c>
      <c r="AP108" s="10" t="s">
        <v>42</v>
      </c>
      <c r="AQ108" s="9"/>
      <c r="AR108" s="9"/>
      <c r="AS108" s="31" t="str">
        <f>IF(AR108/(INDEX('Standards for Conversions'!$H$34:$H$73,MATCH(AQ$3,'Standards for Conversions'!$A$34:$A$73,0)))=0,"",AR108/(INDEX('Standards for Conversions'!$H$34:$H$73,MATCH(AQ$3,'Standards for Conversions'!$A$34:$A$73,0))))</f>
        <v/>
      </c>
      <c r="AT108" s="10" t="s">
        <v>42</v>
      </c>
      <c r="AU108" s="7"/>
      <c r="AV108" s="7"/>
      <c r="AW108" s="31" t="str">
        <f>IF(AV108/(INDEX('Standards for Conversions'!$H$34:$H$73,MATCH(AU$3,'Standards for Conversions'!$A$34:$A$73,0)))=0,"",AV108/(INDEX('Standards for Conversions'!$H$34:$H$73,MATCH(AU$3,'Standards for Conversions'!$A$34:$A$73,0))))</f>
        <v/>
      </c>
      <c r="AX108" s="10" t="s">
        <v>42</v>
      </c>
      <c r="AY108" s="7"/>
      <c r="AZ108" s="7"/>
      <c r="BA108" s="31" t="str">
        <f>IF(AZ108/(INDEX('Standards for Conversions'!$H$34:$H$73,MATCH(AY$3,'Standards for Conversions'!$A$34:$A$73,0)))=0,"",AZ108/(INDEX('Standards for Conversions'!$H$34:$H$73,MATCH(AY$3,'Standards for Conversions'!$A$34:$A$73,0))))</f>
        <v/>
      </c>
      <c r="BB108" s="10" t="s">
        <v>42</v>
      </c>
      <c r="BC108" s="7"/>
      <c r="BD108" s="7"/>
      <c r="BE108" s="31" t="str">
        <f>IF(BD108/(INDEX('Standards for Conversions'!$H$34:$H$73,MATCH(BC$3,'Standards for Conversions'!$A$34:$A$73,0)))=0,"",BD108/(INDEX('Standards for Conversions'!$H$34:$H$73,MATCH(BC$3,'Standards for Conversions'!$A$34:$A$73,0))))</f>
        <v/>
      </c>
      <c r="BF108" s="10" t="s">
        <v>42</v>
      </c>
      <c r="BG108" s="9"/>
      <c r="BH108" s="9"/>
      <c r="BI108" s="31" t="str">
        <f>IF(BH108/(INDEX('Standards for Conversions'!$H$34:$H$73,MATCH(BG$3,'Standards for Conversions'!$A$34:$A$73,0)))=0,"",BH108/(INDEX('Standards for Conversions'!$H$34:$H$73,MATCH(BG$3,'Standards for Conversions'!$A$34:$A$73,0))))</f>
        <v/>
      </c>
      <c r="BJ108" s="10" t="s">
        <v>42</v>
      </c>
      <c r="BK108" s="7"/>
      <c r="BL108" s="7"/>
      <c r="BM108" s="31" t="str">
        <f>IF(BL108/(INDEX('Standards for Conversions'!$H$34:$H$73,MATCH(BK$3,'Standards for Conversions'!$A$34:$A$73,0)))=0,"",BL108/(INDEX('Standards for Conversions'!$H$34:$H$73,MATCH(BK$3,'Standards for Conversions'!$A$34:$A$73,0))))</f>
        <v/>
      </c>
      <c r="BN108" s="10" t="s">
        <v>42</v>
      </c>
      <c r="BO108" s="7"/>
      <c r="BP108" s="7"/>
      <c r="BQ108" s="31" t="str">
        <f>IF(BP108/(INDEX('Standards for Conversions'!$H$34:$H$73,MATCH(BO$3,'Standards for Conversions'!$A$34:$A$73,0)))=0,"",BP108/(INDEX('Standards for Conversions'!$H$34:$H$73,MATCH(BO$3,'Standards for Conversions'!$A$34:$A$73,0))))</f>
        <v/>
      </c>
      <c r="BR108" s="10" t="s">
        <v>42</v>
      </c>
      <c r="BS108" s="7"/>
      <c r="BT108" s="7"/>
      <c r="BU108" s="31" t="str">
        <f>IF(BT108/(INDEX('Standards for Conversions'!$H$34:$H$73,MATCH(BS$3,'Standards for Conversions'!$A$34:$A$73,0)))=0,"",BT108/(INDEX('Standards for Conversions'!$H$34:$H$73,MATCH(BS$3,'Standards for Conversions'!$A$34:$A$73,0))))</f>
        <v/>
      </c>
      <c r="BV108" s="10" t="s">
        <v>42</v>
      </c>
      <c r="BW108" s="9"/>
      <c r="BX108" s="9"/>
      <c r="BY108" s="31" t="str">
        <f>IF(BX108/(INDEX('Standards for Conversions'!$H$34:$H$73,MATCH(BW$3,'Standards for Conversions'!$A$34:$A$73,0)))=0,"",BX108/(INDEX('Standards for Conversions'!$H$34:$H$73,MATCH(BW$3,'Standards for Conversions'!$A$34:$A$73,0))))</f>
        <v/>
      </c>
      <c r="BZ108" s="10" t="s">
        <v>42</v>
      </c>
      <c r="CA108" s="7"/>
      <c r="CB108" s="7"/>
      <c r="CC108" s="31" t="str">
        <f>IF(CB108/(INDEX('Standards for Conversions'!$H$34:$H$73,MATCH(CA$3,'Standards for Conversions'!$A$34:$A$73,0)))=0,"",CB108/(INDEX('Standards for Conversions'!$H$34:$H$73,MATCH(CA$3,'Standards for Conversions'!$A$34:$A$73,0))))</f>
        <v/>
      </c>
      <c r="CD108" s="10" t="s">
        <v>42</v>
      </c>
      <c r="CE108" s="7"/>
      <c r="CF108" s="7"/>
      <c r="CG108" s="31" t="str">
        <f>IF(CF108/(INDEX('Standards for Conversions'!$H$34:$H$73,MATCH(CE$3,'Standards for Conversions'!$A$34:$A$73,0)))=0,"",CF108/(INDEX('Standards for Conversions'!$H$34:$H$73,MATCH(CE$3,'Standards for Conversions'!$A$34:$A$73,0))))</f>
        <v/>
      </c>
      <c r="CH108" s="10" t="s">
        <v>42</v>
      </c>
      <c r="CI108" s="7"/>
      <c r="CJ108" s="7"/>
      <c r="CK108" s="31" t="str">
        <f>IF(CJ108/(INDEX('Standards for Conversions'!$H$34:$H$73,MATCH(CI$3,'Standards for Conversions'!$A$34:$A$73,0)))=0,"",CJ108/(INDEX('Standards for Conversions'!$H$34:$H$73,MATCH(CI$3,'Standards for Conversions'!$A$34:$A$73,0))))</f>
        <v/>
      </c>
      <c r="CL108" s="10" t="s">
        <v>42</v>
      </c>
      <c r="CM108" s="9"/>
      <c r="CN108" s="9"/>
      <c r="CO108" s="31" t="str">
        <f>IF(CN108/(INDEX('Standards for Conversions'!$H$34:$H$73,MATCH(CM$3,'Standards for Conversions'!$A$34:$A$73,0)))=0,"",CN108/(INDEX('Standards for Conversions'!$H$34:$H$73,MATCH(CM$3,'Standards for Conversions'!$A$34:$A$73,0))))</f>
        <v/>
      </c>
      <c r="CP108" s="10" t="s">
        <v>42</v>
      </c>
      <c r="CQ108" s="7"/>
      <c r="CR108" s="7"/>
      <c r="CS108" s="31" t="str">
        <f>IF(CR108/(INDEX('Standards for Conversions'!$H$34:$H$73,MATCH(CQ$3,'Standards for Conversions'!$A$34:$A$73,0)))=0,"",CR108/(INDEX('Standards for Conversions'!$H$34:$H$73,MATCH(CQ$3,'Standards for Conversions'!$A$34:$A$73,0))))</f>
        <v/>
      </c>
      <c r="CT108" s="10" t="s">
        <v>42</v>
      </c>
      <c r="CU108" s="7"/>
      <c r="CV108" s="7"/>
      <c r="CW108" s="31" t="str">
        <f>IF(CV108/(INDEX('Standards for Conversions'!$H$34:$H$73,MATCH(CU$3,'Standards for Conversions'!$A$34:$A$73,0)))=0,"",CV108/(INDEX('Standards for Conversions'!$H$34:$H$73,MATCH(CU$3,'Standards for Conversions'!$A$34:$A$73,0))))</f>
        <v/>
      </c>
      <c r="CX108" s="10" t="s">
        <v>42</v>
      </c>
      <c r="CY108" s="7"/>
      <c r="CZ108" s="7"/>
      <c r="DA108" s="31" t="str">
        <f>IF(CZ108/(INDEX('Standards for Conversions'!$H$34:$H$73,MATCH(CY$3,'Standards for Conversions'!$A$34:$A$73,0)))=0,"",CZ108/(INDEX('Standards for Conversions'!$H$34:$H$73,MATCH(CY$3,'Standards for Conversions'!$A$34:$A$73,0))))</f>
        <v/>
      </c>
      <c r="DB108" s="10" t="s">
        <v>42</v>
      </c>
      <c r="DC108" s="9"/>
      <c r="DD108" s="9"/>
      <c r="DE108" s="31" t="str">
        <f>IF(DD108/(INDEX('Standards for Conversions'!$H$34:$H$73,MATCH(DC$3,'Standards for Conversions'!$A$34:$A$73,0)))=0,"",DD108/(INDEX('Standards for Conversions'!$H$34:$H$73,MATCH(DC$3,'Standards for Conversions'!$A$34:$A$73,0))))</f>
        <v/>
      </c>
      <c r="DF108" s="10" t="s">
        <v>42</v>
      </c>
      <c r="DG108" s="7"/>
      <c r="DH108" s="7"/>
      <c r="DI108" s="31" t="str">
        <f>IF(DH108/(INDEX('Standards for Conversions'!$H$34:$H$73,MATCH(DG$3,'Standards for Conversions'!$A$34:$A$73,0)))=0,"",DH108/(INDEX('Standards for Conversions'!$H$34:$H$73,MATCH(DG$3,'Standards for Conversions'!$A$34:$A$73,0))))</f>
        <v/>
      </c>
      <c r="DJ108" s="10" t="s">
        <v>42</v>
      </c>
      <c r="DK108" s="7"/>
      <c r="DL108" s="7"/>
      <c r="DM108" s="31" t="str">
        <f>IF(DL108/(INDEX('Standards for Conversions'!$H$34:$H$73,MATCH(DK$3,'Standards for Conversions'!$A$34:$A$73,0)))=0,"",DL108/(INDEX('Standards for Conversions'!$H$34:$H$73,MATCH(DK$3,'Standards for Conversions'!$A$34:$A$73,0))))</f>
        <v/>
      </c>
      <c r="DN108" s="10" t="s">
        <v>42</v>
      </c>
      <c r="DO108" s="7"/>
      <c r="DP108" s="7"/>
      <c r="DQ108" s="31" t="str">
        <f>IF(DP108/(INDEX('Standards for Conversions'!$H$34:$H$73,MATCH(DO$3,'Standards for Conversions'!$A$34:$A$73,0)))=0,"",DP108/(INDEX('Standards for Conversions'!$H$34:$H$73,MATCH(DO$3,'Standards for Conversions'!$A$34:$A$73,0))))</f>
        <v/>
      </c>
      <c r="DR108" s="10" t="s">
        <v>42</v>
      </c>
      <c r="DS108" s="9"/>
      <c r="DT108" s="9"/>
      <c r="DU108" s="31" t="str">
        <f>IF(DT108/(INDEX('Standards for Conversions'!$H$34:$H$73,MATCH(DS$3,'Standards for Conversions'!$A$34:$A$73,0)))=0,"",DT108/(INDEX('Standards for Conversions'!$H$34:$H$73,MATCH(DS$3,'Standards for Conversions'!$A$34:$A$73,0))))</f>
        <v/>
      </c>
      <c r="DV108" s="10" t="s">
        <v>42</v>
      </c>
      <c r="DW108" s="7"/>
      <c r="DX108" s="7"/>
      <c r="DY108" s="31" t="str">
        <f>IF(DX108/(INDEX('Standards for Conversions'!$H$34:$H$73,MATCH(DW$3,'Standards for Conversions'!$A$34:$A$73,0)))=0,"",DX108/(INDEX('Standards for Conversions'!$H$34:$H$73,MATCH(DW$3,'Standards for Conversions'!$A$34:$A$73,0))))</f>
        <v/>
      </c>
      <c r="DZ108" s="10" t="s">
        <v>42</v>
      </c>
      <c r="EA108" s="7"/>
      <c r="EB108" s="7"/>
      <c r="EC108" s="31" t="str">
        <f>IF(EB108/(INDEX('Standards for Conversions'!$H$34:$H$73,MATCH(EA$3,'Standards for Conversions'!$A$34:$A$73,0)))=0,"",EB108/(INDEX('Standards for Conversions'!$H$34:$H$73,MATCH(EA$3,'Standards for Conversions'!$A$34:$A$73,0))))</f>
        <v/>
      </c>
      <c r="ED108" s="10" t="s">
        <v>42</v>
      </c>
      <c r="EE108" s="7"/>
      <c r="EF108" s="7"/>
      <c r="EG108" s="31" t="str">
        <f>IF(EF108/(INDEX('Standards for Conversions'!$H$34:$H$73,MATCH(EE$3,'Standards for Conversions'!$A$34:$A$73,0)))=0,"",EF108/(INDEX('Standards for Conversions'!$H$34:$H$73,MATCH(EE$3,'Standards for Conversions'!$A$34:$A$73,0))))</f>
        <v/>
      </c>
      <c r="EH108" s="10" t="s">
        <v>42</v>
      </c>
      <c r="EI108" s="9"/>
      <c r="EJ108" s="9"/>
      <c r="EK108" s="31" t="str">
        <f>IF(EJ108/(INDEX('Standards for Conversions'!$H$34:$H$73,MATCH(EI$3,'Standards for Conversions'!$A$34:$A$73,0)))=0,"",EJ108/(INDEX('Standards for Conversions'!$H$34:$H$73,MATCH(EI$3,'Standards for Conversions'!$A$34:$A$73,0))))</f>
        <v/>
      </c>
      <c r="EL108" s="10" t="s">
        <v>42</v>
      </c>
      <c r="EM108" s="7"/>
      <c r="EN108" s="7"/>
      <c r="EO108" s="31" t="str">
        <f>IF(EN108/(INDEX('Standards for Conversions'!$H$34:$H$73,MATCH(EM$3,'Standards for Conversions'!$A$34:$A$73,0)))=0,"",EN108/(INDEX('Standards for Conversions'!$H$34:$H$73,MATCH(EM$3,'Standards for Conversions'!$A$34:$A$73,0))))</f>
        <v/>
      </c>
      <c r="EP108" s="10" t="s">
        <v>42</v>
      </c>
      <c r="EQ108" s="7"/>
      <c r="ER108" s="7"/>
      <c r="ES108" s="31" t="str">
        <f>IF(ER108/(INDEX('Standards for Conversions'!$H$34:$H$73,MATCH(EQ$3,'Standards for Conversions'!$A$34:$A$73,0)))=0,"",ER108/(INDEX('Standards for Conversions'!$H$34:$H$73,MATCH(EQ$3,'Standards for Conversions'!$A$34:$A$73,0))))</f>
        <v/>
      </c>
      <c r="ET108" s="10" t="s">
        <v>42</v>
      </c>
      <c r="EU108" s="7"/>
      <c r="EV108" s="7"/>
      <c r="EW108" s="31" t="str">
        <f>IF(EV108/(INDEX('Standards for Conversions'!$H$34:$H$73,MATCH(EU$3,'Standards for Conversions'!$A$34:$A$73,0)))=0,"",EV108/(INDEX('Standards for Conversions'!$H$34:$H$73,MATCH(EU$3,'Standards for Conversions'!$A$34:$A$73,0))))</f>
        <v/>
      </c>
      <c r="EX108" s="10" t="s">
        <v>42</v>
      </c>
      <c r="EY108" s="9"/>
      <c r="EZ108" s="9"/>
      <c r="FA108" s="31" t="str">
        <f>IF(EZ108/(INDEX('Standards for Conversions'!$H$34:$H$73,MATCH(EY$3,'Standards for Conversions'!$A$34:$A$73,0)))=0,"",EZ108/(INDEX('Standards for Conversions'!$H$34:$H$73,MATCH(EY$3,'Standards for Conversions'!$A$34:$A$73,0))))</f>
        <v/>
      </c>
      <c r="FB108" s="10" t="s">
        <v>42</v>
      </c>
      <c r="FC108" s="7"/>
      <c r="FD108" s="7"/>
      <c r="FE108" s="31" t="str">
        <f>IF(FD108/(INDEX('Standards for Conversions'!$H$34:$H$73,MATCH(FC$3,'Standards for Conversions'!$A$34:$A$73,0)))=0,"",FD108/(INDEX('Standards for Conversions'!$H$34:$H$73,MATCH(FC$3,'Standards for Conversions'!$A$34:$A$73,0))))</f>
        <v/>
      </c>
      <c r="FF108" s="10" t="s">
        <v>42</v>
      </c>
      <c r="FG108" s="7"/>
      <c r="FH108" s="7"/>
      <c r="FI108" s="31" t="str">
        <f>IF(FH108/(INDEX('Standards for Conversions'!$H$34:$H$73,MATCH(FG$3,'Standards for Conversions'!$A$34:$A$73,0)))=0,"",FH108/(INDEX('Standards for Conversions'!$H$34:$H$73,MATCH(FG$3,'Standards for Conversions'!$A$34:$A$73,0))))</f>
        <v/>
      </c>
      <c r="FJ108" s="10" t="s">
        <v>42</v>
      </c>
      <c r="FK108" s="7"/>
      <c r="FL108" s="7"/>
      <c r="FM108" s="31" t="str">
        <f>IF(FL108/(INDEX('Standards for Conversions'!$H$34:$H$73,MATCH(FK$3,'Standards for Conversions'!$A$34:$A$73,0)))=0,"",FL108/(INDEX('Standards for Conversions'!$H$34:$H$73,MATCH(FK$3,'Standards for Conversions'!$A$34:$A$73,0))))</f>
        <v/>
      </c>
      <c r="FN108" s="10" t="s">
        <v>42</v>
      </c>
      <c r="FO108" s="9"/>
      <c r="FP108" s="9"/>
      <c r="FQ108" s="31" t="str">
        <f>IF(FP108/(INDEX('Standards for Conversions'!$H$34:$H$73,MATCH(FO$3,'Standards for Conversions'!$A$34:$A$73,0)))=0,"",FP108/(INDEX('Standards for Conversions'!$H$34:$H$73,MATCH(FO$3,'Standards for Conversions'!$A$34:$A$73,0))))</f>
        <v/>
      </c>
      <c r="FR108" s="10" t="s">
        <v>42</v>
      </c>
      <c r="FS108" s="7"/>
      <c r="FT108" s="7"/>
      <c r="FU108" s="31" t="str">
        <f>IF(FT108/(INDEX('Standards for Conversions'!$H$34:$H$73,MATCH(FS$3,'Standards for Conversions'!$A$34:$A$73,0)))=0,"",FT108/(INDEX('Standards for Conversions'!$H$34:$H$73,MATCH(FS$3,'Standards for Conversions'!$A$34:$A$73,0))))</f>
        <v/>
      </c>
      <c r="FV108" s="10" t="s">
        <v>42</v>
      </c>
      <c r="FW108" s="7"/>
      <c r="FX108" s="7"/>
      <c r="FY108" s="31" t="str">
        <f>IF(FX108/(INDEX('Standards for Conversions'!$H$34:$H$73,MATCH(FW$3,'Standards for Conversions'!$A$34:$A$73,0)))=0,"",FX108/(INDEX('Standards for Conversions'!$H$34:$H$73,MATCH(FW$3,'Standards for Conversions'!$A$34:$A$73,0))))</f>
        <v/>
      </c>
      <c r="FZ108" s="10" t="s">
        <v>42</v>
      </c>
      <c r="GA108" s="7"/>
      <c r="GB108" s="7"/>
      <c r="GC108" s="31" t="str">
        <f>IF(GB108/(INDEX('Standards for Conversions'!$H$34:$H$73,MATCH(GA$3,'Standards for Conversions'!$A$34:$A$73,0)))=0,"",GB108/(INDEX('Standards for Conversions'!$H$34:$H$73,MATCH(GA$3,'Standards for Conversions'!$A$34:$A$73,0))))</f>
        <v/>
      </c>
      <c r="GD108" s="10" t="s">
        <v>42</v>
      </c>
      <c r="GE108" s="9"/>
      <c r="GF108" s="9"/>
      <c r="GG108" s="31" t="str">
        <f>IF(GF108/(INDEX('Standards for Conversions'!$H$34:$H$73,MATCH(GE$3,'Standards for Conversions'!$A$34:$A$73,0)))=0,"",GF108/(INDEX('Standards for Conversions'!$H$34:$H$73,MATCH(GE$3,'Standards for Conversions'!$A$34:$A$73,0))))</f>
        <v/>
      </c>
      <c r="GH108" s="10" t="s">
        <v>42</v>
      </c>
      <c r="GI108" s="7"/>
      <c r="GJ108" s="7"/>
      <c r="GK108" s="31" t="str">
        <f>IF(GJ108/(INDEX('Standards for Conversions'!$H$34:$H$73,MATCH(GI$3,'Standards for Conversions'!$A$34:$A$73,0)))=0,"",GJ108/(INDEX('Standards for Conversions'!$H$34:$H$73,MATCH(GI$3,'Standards for Conversions'!$A$34:$A$73,0))))</f>
        <v/>
      </c>
      <c r="GL108" s="10" t="s">
        <v>42</v>
      </c>
      <c r="GM108" s="7"/>
      <c r="GN108" s="7"/>
      <c r="GO108" s="31" t="str">
        <f>IF(GN108/(INDEX('Standards for Conversions'!$H$34:$H$73,MATCH(GM$3,'Standards for Conversions'!$A$34:$A$73,0)))=0,"",GN108/(INDEX('Standards for Conversions'!$H$34:$H$73,MATCH(GM$3,'Standards for Conversions'!$A$34:$A$73,0))))</f>
        <v/>
      </c>
      <c r="GP108" s="10" t="s">
        <v>42</v>
      </c>
      <c r="GQ108" s="7"/>
      <c r="GR108" s="7"/>
      <c r="GS108" s="31" t="str">
        <f>IF(GR108/(INDEX('Standards for Conversions'!$H$34:$H$73,MATCH(GQ$3,'Standards for Conversions'!$A$34:$A$73,0)))=0,"",GR108/(INDEX('Standards for Conversions'!$H$34:$H$73,MATCH(GQ$3,'Standards for Conversions'!$A$34:$A$73,0))))</f>
        <v/>
      </c>
      <c r="GT108" s="10" t="s">
        <v>42</v>
      </c>
      <c r="GU108" s="9"/>
      <c r="GV108" s="9"/>
      <c r="GW108" s="31" t="str">
        <f>IF(GV108/(INDEX('Standards for Conversions'!$H$34:$H$73,MATCH(GU$3,'Standards for Conversions'!$A$34:$A$73,0)))=0,"",GV108/(INDEX('Standards for Conversions'!$H$34:$H$73,MATCH(GU$3,'Standards for Conversions'!$A$34:$A$73,0))))</f>
        <v/>
      </c>
      <c r="GX108" s="10" t="s">
        <v>42</v>
      </c>
      <c r="GY108" s="7"/>
      <c r="GZ108" s="7"/>
      <c r="HA108" s="31" t="str">
        <f>IF(GZ108/(INDEX('Standards for Conversions'!$H$34:$H$73,MATCH(GY$3,'Standards for Conversions'!$A$34:$A$73,0)))=0,"",GZ108/(INDEX('Standards for Conversions'!$H$34:$H$73,MATCH(GY$3,'Standards for Conversions'!$A$34:$A$73,0))))</f>
        <v/>
      </c>
      <c r="HB108" s="10" t="s">
        <v>42</v>
      </c>
      <c r="HC108" s="7"/>
      <c r="HD108" s="7"/>
      <c r="HE108" s="31" t="str">
        <f>IF(HD108/(INDEX('Standards for Conversions'!$H$34:$H$73,MATCH(HC$3,'Standards for Conversions'!$A$34:$A$73,0)))=0,"",HD108/(INDEX('Standards for Conversions'!$H$34:$H$73,MATCH(HC$3,'Standards for Conversions'!$A$34:$A$73,0))))</f>
        <v/>
      </c>
      <c r="HF108" s="10" t="s">
        <v>42</v>
      </c>
      <c r="HG108" s="7"/>
      <c r="HH108" s="7"/>
      <c r="HI108" s="31" t="str">
        <f>IF(HH108/(INDEX('Standards for Conversions'!$H$34:$H$73,MATCH(HG$3,'Standards for Conversions'!$A$34:$A$73,0)))=0,"",HH108/(INDEX('Standards for Conversions'!$H$34:$H$73,MATCH(HG$3,'Standards for Conversions'!$A$34:$A$73,0))))</f>
        <v/>
      </c>
      <c r="HJ108" s="10" t="s">
        <v>42</v>
      </c>
      <c r="HK108" s="9"/>
      <c r="HL108" s="9"/>
      <c r="HM108" s="31" t="str">
        <f>IF(HL108/(INDEX('Standards for Conversions'!$H$34:$H$73,MATCH(HK$3,'Standards for Conversions'!$A$34:$A$73,0)))=0,"",HL108/(INDEX('Standards for Conversions'!$H$34:$H$73,MATCH(HK$3,'Standards for Conversions'!$A$34:$A$73,0))))</f>
        <v/>
      </c>
      <c r="HN108" s="10" t="s">
        <v>42</v>
      </c>
      <c r="HO108" s="7"/>
      <c r="HP108" s="7"/>
      <c r="HQ108" s="31" t="str">
        <f>IF(HP108/(INDEX('Standards for Conversions'!$H$34:$H$73,MATCH(HO$3,'Standards for Conversions'!$A$34:$A$73,0)))=0,"",HP108/(INDEX('Standards for Conversions'!$H$34:$H$73,MATCH(HO$3,'Standards for Conversions'!$A$34:$A$73,0))))</f>
        <v/>
      </c>
      <c r="HR108" s="33" t="s">
        <v>42</v>
      </c>
      <c r="HU108" s="31" t="str">
        <f>IF(HT108/(INDEX('Standards for Conversions'!$H$47:$H$73,MATCH(HS$3,'Standards for Conversions'!$A$47:$A$73,0)))=0,"",HT108/(INDEX('Standards for Conversions'!$H$47:$H$73,MATCH(HS$3,'Standards for Conversions'!$A$47:$A$73,0))))</f>
        <v/>
      </c>
      <c r="HV108" s="33" t="s">
        <v>42</v>
      </c>
      <c r="HY108" s="31" t="str">
        <f>IF(HX108/(INDEX('Standards for Conversions'!$H$47:$H$73,MATCH(HW$3,'Standards for Conversions'!$A$47:$A$73,0)))=0,"",HX108/(INDEX('Standards for Conversions'!$H$47:$H$73,MATCH(HW$3,'Standards for Conversions'!$A$47:$A$73,0))))</f>
        <v/>
      </c>
      <c r="HZ108" s="33"/>
      <c r="IA108" s="33"/>
      <c r="IB108" s="31" t="str">
        <f>IF(IA108/(INDEX('Standards for Conversions'!$H$47:$H$73,MATCH(HZ$3,'Standards for Conversions'!$A$47:$A$73,0)))=0,"",IA108/(INDEX('Standards for Conversions'!$H$47:$H$73,MATCH(HZ$3,'Standards for Conversions'!$A$47:$A$73,0))))</f>
        <v/>
      </c>
      <c r="IC108" s="33" t="s">
        <v>42</v>
      </c>
      <c r="ID108" s="29">
        <v>7</v>
      </c>
      <c r="IE108" s="29">
        <v>70</v>
      </c>
      <c r="IF108" s="31">
        <f>IF(IE108/(INDEX('Standards for Conversions'!$H$47:$H$73,MATCH(ID$3,'Standards for Conversions'!$A$47:$A$73,0)))=0,"",IE108/(INDEX('Standards for Conversions'!$H$47:$H$73,MATCH(ID$3,'Standards for Conversions'!$A$47:$A$73,0))))</f>
        <v>10.167178854899918</v>
      </c>
      <c r="IG108" s="33" t="s">
        <v>42</v>
      </c>
      <c r="IJ108" s="31" t="str">
        <f>IF(II108/(INDEX('Standards for Conversions'!$H$47:$H$73,MATCH(IH$3,'Standards for Conversions'!$A$47:$A$73,0)))=0,"",II108/(INDEX('Standards for Conversions'!$H$47:$H$73,MATCH(IH$3,'Standards for Conversions'!$A$47:$A$73,0))))</f>
        <v/>
      </c>
      <c r="IK108" s="33" t="s">
        <v>42</v>
      </c>
      <c r="IN108" s="31" t="str">
        <f>IF(IM108/(INDEX('Standards for Conversions'!$H$47:$H$73,MATCH(IL$3,'Standards for Conversions'!$A$47:$A$73,0)))=0,"",IM108/(INDEX('Standards for Conversions'!$H$47:$H$73,MATCH(IL$3,'Standards for Conversions'!$A$47:$A$73,0))))</f>
        <v/>
      </c>
      <c r="IO108" s="33" t="s">
        <v>42</v>
      </c>
      <c r="IR108" s="31" t="str">
        <f>IF(IQ108/(INDEX('Standards for Conversions'!$H$47:$H$73,MATCH(IP$3,'Standards for Conversions'!$A$47:$A$73,0)))=0,"",IQ108/(INDEX('Standards for Conversions'!$H$47:$H$73,MATCH(IP$3,'Standards for Conversions'!$A$47:$A$73,0))))</f>
        <v/>
      </c>
      <c r="IS108" s="33" t="s">
        <v>42</v>
      </c>
      <c r="IT108" s="29">
        <v>6</v>
      </c>
      <c r="IU108" s="29">
        <v>46</v>
      </c>
      <c r="IV108" s="31">
        <f>IF(IU108/(INDEX('Standards for Conversions'!$H$47:$H$73,MATCH(IT$3,'Standards for Conversions'!$A$47:$A$73,0)))=0,"",IU108/(INDEX('Standards for Conversions'!$H$47:$H$73,MATCH(IT$3,'Standards for Conversions'!$A$47:$A$73,0))))</f>
        <v>6.6520704969438889</v>
      </c>
      <c r="IW108" s="33" t="s">
        <v>42</v>
      </c>
      <c r="IZ108" s="31" t="str">
        <f>IF(IY108/(INDEX('Standards for Conversions'!$H$47:$H$73,MATCH(IX$3,'Standards for Conversions'!$A$47:$A$73,0)))=0,"",IY108/(INDEX('Standards for Conversions'!$H$47:$H$73,MATCH(IX$3,'Standards for Conversions'!$A$47:$A$73,0))))</f>
        <v/>
      </c>
      <c r="JA108" s="33" t="s">
        <v>42</v>
      </c>
      <c r="JD108" s="31" t="str">
        <f>IF(JC108/(INDEX('Standards for Conversions'!$H$47:$H$73,MATCH(JB$3,'Standards for Conversions'!$A$47:$A$73,0)))=0,"",JC108/(INDEX('Standards for Conversions'!$H$47:$H$73,MATCH(JB$3,'Standards for Conversions'!$A$47:$A$73,0))))</f>
        <v/>
      </c>
      <c r="JE108" s="33" t="s">
        <v>42</v>
      </c>
      <c r="JH108" s="31" t="str">
        <f>IF(JG108/(INDEX('Standards for Conversions'!$H$47:$H$73,MATCH(JF$3,'Standards for Conversions'!$A$47:$A$73,0)))=0,"",JG108/(INDEX('Standards for Conversions'!$H$47:$H$73,MATCH(JF$3,'Standards for Conversions'!$A$47:$A$73,0))))</f>
        <v/>
      </c>
      <c r="JI108" s="48" t="s">
        <v>42</v>
      </c>
      <c r="JJ108" s="29">
        <v>10</v>
      </c>
      <c r="JK108" s="29">
        <v>80</v>
      </c>
      <c r="JL108" s="31">
        <f>IF(JK108/(INDEX('Standards for Conversions'!$H$47:$H$73,MATCH(JJ$3,'Standards for Conversions'!$A$47:$A$73,0)))=0,"",JK108/(INDEX('Standards for Conversions'!$H$47:$H$73,MATCH(JJ$3,'Standards for Conversions'!$A$47:$A$73,0))))</f>
        <v>12.940815735349496</v>
      </c>
      <c r="JM108" s="33" t="s">
        <v>42</v>
      </c>
      <c r="JP108" s="31" t="str">
        <f>IF(JO108/(INDEX('Standards for Conversions'!$H$47:$H$73,MATCH(JN$3,'Standards for Conversions'!$A$47:$A$73,0)))=0,"",JO108/(INDEX('Standards for Conversions'!$H$47:$H$73,MATCH(JN$3,'Standards for Conversions'!$A$47:$A$73,0))))</f>
        <v/>
      </c>
      <c r="JQ108" s="33" t="s">
        <v>42</v>
      </c>
      <c r="JT108" s="31" t="str">
        <f>IF(JS108/(INDEX('Standards for Conversions'!$H$47:$H$73,MATCH(JR$3,'Standards for Conversions'!$A$47:$A$73,0)))=0,"",JS108/(INDEX('Standards for Conversions'!$H$47:$H$73,MATCH(JR$3,'Standards for Conversions'!$A$47:$A$73,0))))</f>
        <v/>
      </c>
      <c r="JU108" s="33" t="s">
        <v>42</v>
      </c>
      <c r="JX108" s="31" t="str">
        <f>IF(JW108/(INDEX('Standards for Conversions'!$H$47:$H$73,MATCH(JV$3,'Standards for Conversions'!$A$47:$A$73,0)))=0,"",JW108/(INDEX('Standards for Conversions'!$H$47:$H$73,MATCH(JV$3,'Standards for Conversions'!$A$47:$A$73,0))))</f>
        <v/>
      </c>
      <c r="JY108" s="33" t="s">
        <v>42</v>
      </c>
      <c r="JZ108" s="29">
        <v>12</v>
      </c>
      <c r="KA108" s="29">
        <v>100</v>
      </c>
      <c r="KB108" s="31">
        <f>IF(KA108/(INDEX('Standards for Conversions'!$H$47:$H$73,MATCH(JZ$3,'Standards for Conversions'!$A$47:$A$73,0)))=0,"",KA108/(INDEX('Standards for Conversions'!$H$47:$H$73,MATCH(JZ$3,'Standards for Conversions'!$A$47:$A$73,0))))</f>
        <v>15.265589242779756</v>
      </c>
      <c r="KC108" s="33" t="s">
        <v>42</v>
      </c>
      <c r="KF108" s="31" t="str">
        <f>IF(KE108/(INDEX('Standards for Conversions'!$H$47:$H$73,MATCH(KD$3,'Standards for Conversions'!$A$47:$A$73,0)))=0,"",KE108/(INDEX('Standards for Conversions'!$H$47:$H$73,MATCH(KD$3,'Standards for Conversions'!$A$47:$A$73,0))))</f>
        <v/>
      </c>
      <c r="KG108" s="33" t="s">
        <v>42</v>
      </c>
      <c r="KJ108" s="31" t="str">
        <f>IF(KI108/(INDEX('Standards for Conversions'!$H$47:$H$73,MATCH(KH$3,'Standards for Conversions'!$A$47:$A$73,0)))=0,"",KI108/(INDEX('Standards for Conversions'!$H$47:$H$73,MATCH(KH$3,'Standards for Conversions'!$A$47:$A$73,0))))</f>
        <v/>
      </c>
      <c r="KK108" s="33" t="s">
        <v>42</v>
      </c>
      <c r="KN108" s="31" t="str">
        <f>IF(KM108/(INDEX('Standards for Conversions'!$H$47:$H$73,MATCH(KL$3,'Standards for Conversions'!$A$47:$A$73,0)))=0,"",KM108/(INDEX('Standards for Conversions'!$H$47:$H$73,MATCH(KL$3,'Standards for Conversions'!$A$47:$A$73,0))))</f>
        <v/>
      </c>
      <c r="KO108" s="33" t="s">
        <v>42</v>
      </c>
      <c r="KP108" s="29">
        <v>15</v>
      </c>
      <c r="KQ108" s="29">
        <v>120</v>
      </c>
      <c r="KR108" s="31">
        <f>IF(KQ108/(INDEX('Standards for Conversions'!$H$47:$H$73,MATCH(KP$3,'Standards for Conversions'!$A$47:$A$73,0)))=0,"",KQ108/(INDEX('Standards for Conversions'!$H$47:$H$73,MATCH(KP$3,'Standards for Conversions'!$A$47:$A$73,0))))</f>
        <v>16.159081428695576</v>
      </c>
      <c r="KS108" s="33" t="s">
        <v>42</v>
      </c>
      <c r="KV108" s="31" t="str">
        <f>IF(KU108/(INDEX('Standards for Conversions'!$H$47:$H$73,MATCH(KT$3,'Standards for Conversions'!$A$47:$A$73,0)))=0,"",KU108/(INDEX('Standards for Conversions'!$H$47:$H$73,MATCH(KT$3,'Standards for Conversions'!$A$47:$A$73,0))))</f>
        <v/>
      </c>
      <c r="KW108" s="33" t="s">
        <v>42</v>
      </c>
      <c r="KZ108" s="31" t="str">
        <f>IF(KY108/(INDEX('Standards for Conversions'!$H$47:$H$73,MATCH(KX$3,'Standards for Conversions'!$A$47:$A$73,0)))=0,"",KY108/(INDEX('Standards for Conversions'!$H$47:$H$73,MATCH(KX$3,'Standards for Conversions'!$A$47:$A$73,0))))</f>
        <v/>
      </c>
      <c r="LA108" s="33" t="s">
        <v>42</v>
      </c>
      <c r="LD108" s="31" t="str">
        <f>IF(LC108/(INDEX('Standards for Conversions'!$H$47:$H$73,MATCH(LB$3,'Standards for Conversions'!$A$47:$A$73,0)))=0,"",LC108/(INDEX('Standards for Conversions'!$H$47:$H$73,MATCH(LB$3,'Standards for Conversions'!$A$47:$A$73,0))))</f>
        <v/>
      </c>
      <c r="LE108" s="48" t="s">
        <v>42</v>
      </c>
      <c r="LF108" s="29">
        <v>20</v>
      </c>
      <c r="LG108" s="29">
        <v>160</v>
      </c>
      <c r="LH108" s="31">
        <f>IF(LG108/(INDEX('Standards for Conversions'!$H$47:$H$73,MATCH(LF$3,'Standards for Conversions'!$A$47:$A$73,0)))=0,"",LG108/(INDEX('Standards for Conversions'!$H$47:$H$73,MATCH(LF$3,'Standards for Conversions'!$A$47:$A$73,0))))</f>
        <v>19.45865067639987</v>
      </c>
      <c r="LL108" s="31" t="str">
        <f>IF(LK108/(INDEX('Standards for Conversions'!$H$47:$H$73,MATCH(LJ$3,'Standards for Conversions'!$A$47:$A$73,0)))=0,"",LK108/(INDEX('Standards for Conversions'!$H$47:$H$73,MATCH(LJ$3,'Standards for Conversions'!$A$47:$A$73,0))))</f>
        <v/>
      </c>
      <c r="LO108" s="31" t="str">
        <f>IF(LN108/(INDEX('Standards for Conversions'!$H$47:$H$73,MATCH(LM$3,'Standards for Conversions'!$A$47:$A$73,0)))=0,"",LN108/(INDEX('Standards for Conversions'!$H$47:$H$73,MATCH(LM$3,'Standards for Conversions'!$A$47:$A$73,0))))</f>
        <v/>
      </c>
      <c r="LR108" s="31" t="str">
        <f>IF(LQ108/(INDEX('Standards for Conversions'!$H$47:$H$73,MATCH(LP$3,'Standards for Conversions'!$A$47:$A$73,0)))=0,"",LQ108/(INDEX('Standards for Conversions'!$H$47:$H$73,MATCH(LP$3,'Standards for Conversions'!$A$47:$A$73,0))))</f>
        <v/>
      </c>
      <c r="LV108" s="31" t="str">
        <f>IF(LU108/(INDEX('Standards for Conversions'!$H$47:$H$73,MATCH(LT$3,'Standards for Conversions'!$A$47:$A$73,0)))=0,"",LU108/(INDEX('Standards for Conversions'!$H$47:$H$73,MATCH(LT$3,'Standards for Conversions'!$A$47:$A$73,0))))</f>
        <v/>
      </c>
      <c r="LY108" s="31" t="str">
        <f>IF(LX108/(INDEX('Standards for Conversions'!$H$47:$H$73,MATCH(LW$3,'Standards for Conversions'!$A$47:$A$73,0)))=0,"",LX108/(INDEX('Standards for Conversions'!$H$47:$H$73,MATCH(LW$3,'Standards for Conversions'!$A$47:$A$73,0))))</f>
        <v/>
      </c>
      <c r="MB108" s="31" t="str">
        <f>IF(MA108/(INDEX('Standards for Conversions'!$H$47:$H$73,MATCH(LZ$3,'Standards for Conversions'!$A$47:$A$73,0)))=0,"",MA108/(INDEX('Standards for Conversions'!$H$47:$H$73,MATCH(LZ$3,'Standards for Conversions'!$A$47:$A$73,0))))</f>
        <v/>
      </c>
      <c r="ME108" s="31" t="str">
        <f>IF(MD108/(INDEX('Standards for Conversions'!$H$47:$H$73,MATCH(MC$3,'Standards for Conversions'!$A$47:$A$73,0)))=0,"",MD108/(INDEX('Standards for Conversions'!$H$47:$H$73,MATCH(MC$3,'Standards for Conversions'!$A$47:$A$73,0))))</f>
        <v/>
      </c>
      <c r="MH108" s="31" t="str">
        <f>IF(MG108/(INDEX('Standards for Conversions'!$H$47:$H$73,MATCH(MF$3,'Standards for Conversions'!$A$47:$A$73,0)))=0,"",MG108/(INDEX('Standards for Conversions'!$H$47:$H$73,MATCH(MF$3,'Standards for Conversions'!$A$47:$A$73,0))))</f>
        <v/>
      </c>
      <c r="MK108" s="31" t="str">
        <f>IF(MJ108/(INDEX('Standards for Conversions'!$H$47:$H$73,MATCH(MI$3,'Standards for Conversions'!$A$47:$A$73,0)))=0,"",MJ108/(INDEX('Standards for Conversions'!$H$47:$H$73,MATCH(MI$3,'Standards for Conversions'!$A$47:$A$73,0))))</f>
        <v/>
      </c>
      <c r="MN108" s="31" t="str">
        <f>IF(MM108/(INDEX('Standards for Conversions'!$H$47:$H$73,MATCH(ML$3,'Standards for Conversions'!$A$47:$A$73,0)))=0,"",MM108/(INDEX('Standards for Conversions'!$H$47:$H$73,MATCH(ML$3,'Standards for Conversions'!$A$47:$A$73,0))))</f>
        <v/>
      </c>
      <c r="MR108" s="31" t="str">
        <f>IF(MQ108/(INDEX('Standards for Conversions'!$H$47:$H$73,MATCH(MP$3,'Standards for Conversions'!$A$47:$A$73,0)))=0,"",MQ108/(INDEX('Standards for Conversions'!$H$47:$H$73,MATCH(MP$3,'Standards for Conversions'!$A$47:$A$73,0))))</f>
        <v/>
      </c>
    </row>
    <row r="109" spans="1:373" x14ac:dyDescent="0.3">
      <c r="A109" s="102" t="s">
        <v>108</v>
      </c>
      <c r="B109" s="10" t="s">
        <v>427</v>
      </c>
      <c r="C109" s="9"/>
      <c r="D109" s="9"/>
      <c r="E109" s="31" t="str">
        <f>IF(D109/(INDEX('Standards for Conversions'!$H$34:$H$73,MATCH(C$3,'Standards for Conversions'!$A$34:$A$73,0)))=0,"",D109/(INDEX('Standards for Conversions'!$H$34:$H$73,MATCH(C$3,'Standards for Conversions'!$A$34:$A$73,0))))</f>
        <v/>
      </c>
      <c r="G109" s="9"/>
      <c r="H109" s="9"/>
      <c r="I109" s="31" t="str">
        <f>IF(H109/(INDEX('Standards for Conversions'!$H$34:$H$73,MATCH(G$3,'Standards for Conversions'!$A$34:$A$73,0)))=0,"",H109/(INDEX('Standards for Conversions'!$H$34:$H$73,MATCH(G$3,'Standards for Conversions'!$A$34:$A$73,0))))</f>
        <v/>
      </c>
      <c r="K109" s="9"/>
      <c r="L109" s="9"/>
      <c r="M109" s="31" t="str">
        <f>IF(L109/(INDEX('Standards for Conversions'!$H$34:$H$73,MATCH(K$3,'Standards for Conversions'!$A$34:$A$73,0)))=0,"",L109/(INDEX('Standards for Conversions'!$H$34:$H$73,MATCH(K$3,'Standards for Conversions'!$A$34:$A$73,0))))</f>
        <v/>
      </c>
      <c r="O109" s="9"/>
      <c r="P109" s="9"/>
      <c r="Q109" s="31" t="str">
        <f>IF(P109/(INDEX('Standards for Conversions'!$H$34:$H$73,MATCH(O$3,'Standards for Conversions'!$A$34:$A$73,0)))=0,"",P109/(INDEX('Standards for Conversions'!$H$34:$H$73,MATCH(O$3,'Standards for Conversions'!$A$34:$A$73,0))))</f>
        <v/>
      </c>
      <c r="S109" s="9"/>
      <c r="T109" s="9"/>
      <c r="U109" s="31" t="str">
        <f>IF(T109/(INDEX('Standards for Conversions'!$H$34:$H$73,MATCH(S$3,'Standards for Conversions'!$A$34:$A$73,0)))=0,"",T109/(INDEX('Standards for Conversions'!$H$34:$H$73,MATCH(S$3,'Standards for Conversions'!$A$34:$A$73,0))))</f>
        <v/>
      </c>
      <c r="W109" s="9"/>
      <c r="X109" s="9"/>
      <c r="Y109" s="31" t="str">
        <f>IF(X109/(INDEX('Standards for Conversions'!$H$34:$H$73,MATCH(W$3,'Standards for Conversions'!$A$34:$A$73,0)))=0,"",X109/(INDEX('Standards for Conversions'!$H$34:$H$73,MATCH(W$3,'Standards for Conversions'!$A$34:$A$73,0))))</f>
        <v/>
      </c>
      <c r="AA109" s="9"/>
      <c r="AB109" s="9"/>
      <c r="AC109" s="31" t="str">
        <f>IF(AB109/(INDEX('Standards for Conversions'!$H$34:$H$73,MATCH(AA$3,'Standards for Conversions'!$A$34:$A$73,0)))=0,"",AB109/(INDEX('Standards for Conversions'!$H$34:$H$73,MATCH(AA$3,'Standards for Conversions'!$A$34:$A$73,0))))</f>
        <v/>
      </c>
      <c r="AE109" s="9"/>
      <c r="AF109" s="9"/>
      <c r="AG109" s="31" t="str">
        <f>IF(AF109/(INDEX('Standards for Conversions'!$H$34:$H$73,MATCH(AE$3,'Standards for Conversions'!$A$34:$A$73,0)))=0,"",AF109/(INDEX('Standards for Conversions'!$H$34:$H$73,MATCH(AE$3,'Standards for Conversions'!$A$34:$A$73,0))))</f>
        <v/>
      </c>
      <c r="AI109" s="9"/>
      <c r="AJ109" s="9"/>
      <c r="AK109" s="31" t="str">
        <f>IF(AJ109/(INDEX('Standards for Conversions'!$H$34:$H$73,MATCH(AI$3,'Standards for Conversions'!$A$34:$A$73,0)))=0,"",AJ109/(INDEX('Standards for Conversions'!$H$34:$H$73,MATCH(AI$3,'Standards for Conversions'!$A$34:$A$73,0))))</f>
        <v/>
      </c>
      <c r="AM109" s="9"/>
      <c r="AN109" s="9"/>
      <c r="AO109" s="31" t="str">
        <f>IF(AN109/(INDEX('Standards for Conversions'!$H$34:$H$73,MATCH(AM$3,'Standards for Conversions'!$A$34:$A$73,0)))=0,"",AN109/(INDEX('Standards for Conversions'!$H$34:$H$73,MATCH(AM$3,'Standards for Conversions'!$A$34:$A$73,0))))</f>
        <v/>
      </c>
      <c r="AQ109" s="9"/>
      <c r="AR109" s="9"/>
      <c r="AS109" s="31" t="str">
        <f>IF(AR109/(INDEX('Standards for Conversions'!$H$34:$H$73,MATCH(AQ$3,'Standards for Conversions'!$A$34:$A$73,0)))=0,"",AR109/(INDEX('Standards for Conversions'!$H$34:$H$73,MATCH(AQ$3,'Standards for Conversions'!$A$34:$A$73,0))))</f>
        <v/>
      </c>
      <c r="AU109" s="9"/>
      <c r="AV109" s="9"/>
      <c r="AW109" s="31" t="str">
        <f>IF(AV109/(INDEX('Standards for Conversions'!$H$34:$H$73,MATCH(AU$3,'Standards for Conversions'!$A$34:$A$73,0)))=0,"",AV109/(INDEX('Standards for Conversions'!$H$34:$H$73,MATCH(AU$3,'Standards for Conversions'!$A$34:$A$73,0))))</f>
        <v/>
      </c>
      <c r="AY109" s="9"/>
      <c r="AZ109" s="9"/>
      <c r="BA109" s="31" t="str">
        <f>IF(AZ109/(INDEX('Standards for Conversions'!$H$34:$H$73,MATCH(AY$3,'Standards for Conversions'!$A$34:$A$73,0)))=0,"",AZ109/(INDEX('Standards for Conversions'!$H$34:$H$73,MATCH(AY$3,'Standards for Conversions'!$A$34:$A$73,0))))</f>
        <v/>
      </c>
      <c r="BC109" s="9"/>
      <c r="BD109" s="9"/>
      <c r="BE109" s="31" t="str">
        <f>IF(BD109/(INDEX('Standards for Conversions'!$H$34:$H$73,MATCH(BC$3,'Standards for Conversions'!$A$34:$A$73,0)))=0,"",BD109/(INDEX('Standards for Conversions'!$H$34:$H$73,MATCH(BC$3,'Standards for Conversions'!$A$34:$A$73,0))))</f>
        <v/>
      </c>
      <c r="BG109" s="9"/>
      <c r="BH109" s="9"/>
      <c r="BI109" s="31" t="str">
        <f>IF(BH109/(INDEX('Standards for Conversions'!$H$34:$H$73,MATCH(BG$3,'Standards for Conversions'!$A$34:$A$73,0)))=0,"",BH109/(INDEX('Standards for Conversions'!$H$34:$H$73,MATCH(BG$3,'Standards for Conversions'!$A$34:$A$73,0))))</f>
        <v/>
      </c>
      <c r="BK109" s="9"/>
      <c r="BL109" s="9"/>
      <c r="BM109" s="31" t="str">
        <f>IF(BL109/(INDEX('Standards for Conversions'!$H$34:$H$73,MATCH(BK$3,'Standards for Conversions'!$A$34:$A$73,0)))=0,"",BL109/(INDEX('Standards for Conversions'!$H$34:$H$73,MATCH(BK$3,'Standards for Conversions'!$A$34:$A$73,0))))</f>
        <v/>
      </c>
      <c r="BO109" s="9"/>
      <c r="BP109" s="9"/>
      <c r="BQ109" s="31" t="str">
        <f>IF(BP109/(INDEX('Standards for Conversions'!$H$34:$H$73,MATCH(BO$3,'Standards for Conversions'!$A$34:$A$73,0)))=0,"",BP109/(INDEX('Standards for Conversions'!$H$34:$H$73,MATCH(BO$3,'Standards for Conversions'!$A$34:$A$73,0))))</f>
        <v/>
      </c>
      <c r="BS109" s="9"/>
      <c r="BT109" s="9"/>
      <c r="BU109" s="31" t="str">
        <f>IF(BT109/(INDEX('Standards for Conversions'!$H$34:$H$73,MATCH(BS$3,'Standards for Conversions'!$A$34:$A$73,0)))=0,"",BT109/(INDEX('Standards for Conversions'!$H$34:$H$73,MATCH(BS$3,'Standards for Conversions'!$A$34:$A$73,0))))</f>
        <v/>
      </c>
      <c r="BW109" s="9"/>
      <c r="BX109" s="9"/>
      <c r="BY109" s="31" t="str">
        <f>IF(BX109/(INDEX('Standards for Conversions'!$H$34:$H$73,MATCH(BW$3,'Standards for Conversions'!$A$34:$A$73,0)))=0,"",BX109/(INDEX('Standards for Conversions'!$H$34:$H$73,MATCH(BW$3,'Standards for Conversions'!$A$34:$A$73,0))))</f>
        <v/>
      </c>
      <c r="CA109" s="9"/>
      <c r="CB109" s="9"/>
      <c r="CC109" s="31" t="str">
        <f>IF(CB109/(INDEX('Standards for Conversions'!$H$34:$H$73,MATCH(CA$3,'Standards for Conversions'!$A$34:$A$73,0)))=0,"",CB109/(INDEX('Standards for Conversions'!$H$34:$H$73,MATCH(CA$3,'Standards for Conversions'!$A$34:$A$73,0))))</f>
        <v/>
      </c>
      <c r="CE109" s="9"/>
      <c r="CF109" s="9"/>
      <c r="CG109" s="31" t="str">
        <f>IF(CF109/(INDEX('Standards for Conversions'!$H$34:$H$73,MATCH(CE$3,'Standards for Conversions'!$A$34:$A$73,0)))=0,"",CF109/(INDEX('Standards for Conversions'!$H$34:$H$73,MATCH(CE$3,'Standards for Conversions'!$A$34:$A$73,0))))</f>
        <v/>
      </c>
      <c r="CI109" s="9"/>
      <c r="CJ109" s="9"/>
      <c r="CK109" s="31" t="str">
        <f>IF(CJ109/(INDEX('Standards for Conversions'!$H$34:$H$73,MATCH(CI$3,'Standards for Conversions'!$A$34:$A$73,0)))=0,"",CJ109/(INDEX('Standards for Conversions'!$H$34:$H$73,MATCH(CI$3,'Standards for Conversions'!$A$34:$A$73,0))))</f>
        <v/>
      </c>
      <c r="CM109" s="9"/>
      <c r="CN109" s="9"/>
      <c r="CO109" s="31" t="str">
        <f>IF(CN109/(INDEX('Standards for Conversions'!$H$34:$H$73,MATCH(CM$3,'Standards for Conversions'!$A$34:$A$73,0)))=0,"",CN109/(INDEX('Standards for Conversions'!$H$34:$H$73,MATCH(CM$3,'Standards for Conversions'!$A$34:$A$73,0))))</f>
        <v/>
      </c>
      <c r="CQ109" s="9"/>
      <c r="CR109" s="9"/>
      <c r="CS109" s="31" t="str">
        <f>IF(CR109/(INDEX('Standards for Conversions'!$H$34:$H$73,MATCH(CQ$3,'Standards for Conversions'!$A$34:$A$73,0)))=0,"",CR109/(INDEX('Standards for Conversions'!$H$34:$H$73,MATCH(CQ$3,'Standards for Conversions'!$A$34:$A$73,0))))</f>
        <v/>
      </c>
      <c r="CU109" s="9"/>
      <c r="CV109" s="9"/>
      <c r="CW109" s="31" t="str">
        <f>IF(CV109/(INDEX('Standards for Conversions'!$H$34:$H$73,MATCH(CU$3,'Standards for Conversions'!$A$34:$A$73,0)))=0,"",CV109/(INDEX('Standards for Conversions'!$H$34:$H$73,MATCH(CU$3,'Standards for Conversions'!$A$34:$A$73,0))))</f>
        <v/>
      </c>
      <c r="CY109" s="9"/>
      <c r="CZ109" s="9"/>
      <c r="DA109" s="31" t="str">
        <f>IF(CZ109/(INDEX('Standards for Conversions'!$H$34:$H$73,MATCH(CY$3,'Standards for Conversions'!$A$34:$A$73,0)))=0,"",CZ109/(INDEX('Standards for Conversions'!$H$34:$H$73,MATCH(CY$3,'Standards for Conversions'!$A$34:$A$73,0))))</f>
        <v/>
      </c>
      <c r="DC109" s="9"/>
      <c r="DD109" s="9"/>
      <c r="DE109" s="31" t="str">
        <f>IF(DD109/(INDEX('Standards for Conversions'!$H$34:$H$73,MATCH(DC$3,'Standards for Conversions'!$A$34:$A$73,0)))=0,"",DD109/(INDEX('Standards for Conversions'!$H$34:$H$73,MATCH(DC$3,'Standards for Conversions'!$A$34:$A$73,0))))</f>
        <v/>
      </c>
      <c r="DG109" s="9"/>
      <c r="DH109" s="9"/>
      <c r="DI109" s="31" t="str">
        <f>IF(DH109/(INDEX('Standards for Conversions'!$H$34:$H$73,MATCH(DG$3,'Standards for Conversions'!$A$34:$A$73,0)))=0,"",DH109/(INDEX('Standards for Conversions'!$H$34:$H$73,MATCH(DG$3,'Standards for Conversions'!$A$34:$A$73,0))))</f>
        <v/>
      </c>
      <c r="DK109" s="9"/>
      <c r="DL109" s="9"/>
      <c r="DM109" s="31" t="str">
        <f>IF(DL109/(INDEX('Standards for Conversions'!$H$34:$H$73,MATCH(DK$3,'Standards for Conversions'!$A$34:$A$73,0)))=0,"",DL109/(INDEX('Standards for Conversions'!$H$34:$H$73,MATCH(DK$3,'Standards for Conversions'!$A$34:$A$73,0))))</f>
        <v/>
      </c>
      <c r="DO109" s="9"/>
      <c r="DP109" s="9"/>
      <c r="DQ109" s="31" t="str">
        <f>IF(DP109/(INDEX('Standards for Conversions'!$H$34:$H$73,MATCH(DO$3,'Standards for Conversions'!$A$34:$A$73,0)))=0,"",DP109/(INDEX('Standards for Conversions'!$H$34:$H$73,MATCH(DO$3,'Standards for Conversions'!$A$34:$A$73,0))))</f>
        <v/>
      </c>
      <c r="DS109" s="9"/>
      <c r="DT109" s="9"/>
      <c r="DU109" s="31" t="str">
        <f>IF(DT109/(INDEX('Standards for Conversions'!$H$34:$H$73,MATCH(DS$3,'Standards for Conversions'!$A$34:$A$73,0)))=0,"",DT109/(INDEX('Standards for Conversions'!$H$34:$H$73,MATCH(DS$3,'Standards for Conversions'!$A$34:$A$73,0))))</f>
        <v/>
      </c>
      <c r="DW109" s="9"/>
      <c r="DX109" s="9"/>
      <c r="DY109" s="31" t="str">
        <f>IF(DX109/(INDEX('Standards for Conversions'!$H$34:$H$73,MATCH(DW$3,'Standards for Conversions'!$A$34:$A$73,0)))=0,"",DX109/(INDEX('Standards for Conversions'!$H$34:$H$73,MATCH(DW$3,'Standards for Conversions'!$A$34:$A$73,0))))</f>
        <v/>
      </c>
      <c r="EA109" s="9"/>
      <c r="EB109" s="9"/>
      <c r="EC109" s="31" t="str">
        <f>IF(EB109/(INDEX('Standards for Conversions'!$H$34:$H$73,MATCH(EA$3,'Standards for Conversions'!$A$34:$A$73,0)))=0,"",EB109/(INDEX('Standards for Conversions'!$H$34:$H$73,MATCH(EA$3,'Standards for Conversions'!$A$34:$A$73,0))))</f>
        <v/>
      </c>
      <c r="EE109" s="9"/>
      <c r="EF109" s="9"/>
      <c r="EG109" s="31" t="str">
        <f>IF(EF109/(INDEX('Standards for Conversions'!$H$34:$H$73,MATCH(EE$3,'Standards for Conversions'!$A$34:$A$73,0)))=0,"",EF109/(INDEX('Standards for Conversions'!$H$34:$H$73,MATCH(EE$3,'Standards for Conversions'!$A$34:$A$73,0))))</f>
        <v/>
      </c>
      <c r="EI109" s="9"/>
      <c r="EJ109" s="9"/>
      <c r="EK109" s="31" t="str">
        <f>IF(EJ109/(INDEX('Standards for Conversions'!$H$34:$H$73,MATCH(EI$3,'Standards for Conversions'!$A$34:$A$73,0)))=0,"",EJ109/(INDEX('Standards for Conversions'!$H$34:$H$73,MATCH(EI$3,'Standards for Conversions'!$A$34:$A$73,0))))</f>
        <v/>
      </c>
      <c r="EL109" s="6" t="s">
        <v>40</v>
      </c>
      <c r="EM109" s="7">
        <v>696</v>
      </c>
      <c r="EN109" s="7">
        <v>5730</v>
      </c>
      <c r="EO109" s="31">
        <f>IF(EN109/(INDEX('Standards for Conversions'!$H$34:$H$73,MATCH(EM$3,'Standards for Conversions'!$A$34:$A$73,0)))=0,"",EN109/(INDEX('Standards for Conversions'!$H$34:$H$73,MATCH(EM$3,'Standards for Conversions'!$A$34:$A$73,0))))</f>
        <v>1002.1044185061266</v>
      </c>
      <c r="EQ109" s="7"/>
      <c r="ER109" s="7"/>
      <c r="ES109" s="31" t="str">
        <f>IF(ER109/(INDEX('Standards for Conversions'!$H$34:$H$73,MATCH(EQ$3,'Standards for Conversions'!$A$34:$A$73,0)))=0,"",ER109/(INDEX('Standards for Conversions'!$H$34:$H$73,MATCH(EQ$3,'Standards for Conversions'!$A$34:$A$73,0))))</f>
        <v/>
      </c>
      <c r="EU109" s="7"/>
      <c r="EV109" s="7"/>
      <c r="EW109" s="31" t="str">
        <f>IF(EV109/(INDEX('Standards for Conversions'!$H$34:$H$73,MATCH(EU$3,'Standards for Conversions'!$A$34:$A$73,0)))=0,"",EV109/(INDEX('Standards for Conversions'!$H$34:$H$73,MATCH(EU$3,'Standards for Conversions'!$A$34:$A$73,0))))</f>
        <v/>
      </c>
      <c r="EY109" s="9"/>
      <c r="EZ109" s="9"/>
      <c r="FA109" s="31" t="str">
        <f>IF(EZ109/(INDEX('Standards for Conversions'!$H$34:$H$73,MATCH(EY$3,'Standards for Conversions'!$A$34:$A$73,0)))=0,"",EZ109/(INDEX('Standards for Conversions'!$H$34:$H$73,MATCH(EY$3,'Standards for Conversions'!$A$34:$A$73,0))))</f>
        <v/>
      </c>
      <c r="FB109" s="6" t="s">
        <v>49</v>
      </c>
      <c r="FC109" s="9">
        <v>405</v>
      </c>
      <c r="FD109" s="9">
        <v>4560</v>
      </c>
      <c r="FE109" s="31">
        <f>IF(FD109/(INDEX('Standards for Conversions'!$H$34:$H$73,MATCH(FC$3,'Standards for Conversions'!$A$34:$A$73,0)))=0,"",FD109/(INDEX('Standards for Conversions'!$H$34:$H$73,MATCH(FC$3,'Standards for Conversions'!$A$34:$A$73,0))))</f>
        <v>781.07308377509332</v>
      </c>
      <c r="FG109" s="7"/>
      <c r="FH109" s="7"/>
      <c r="FI109" s="31" t="str">
        <f>IF(FH109/(INDEX('Standards for Conversions'!$H$34:$H$73,MATCH(FG$3,'Standards for Conversions'!$A$34:$A$73,0)))=0,"",FH109/(INDEX('Standards for Conversions'!$H$34:$H$73,MATCH(FG$3,'Standards for Conversions'!$A$34:$A$73,0))))</f>
        <v/>
      </c>
      <c r="FK109" s="7"/>
      <c r="FL109" s="7"/>
      <c r="FM109" s="31" t="str">
        <f>IF(FL109/(INDEX('Standards for Conversions'!$H$34:$H$73,MATCH(FK$3,'Standards for Conversions'!$A$34:$A$73,0)))=0,"",FL109/(INDEX('Standards for Conversions'!$H$34:$H$73,MATCH(FK$3,'Standards for Conversions'!$A$34:$A$73,0))))</f>
        <v/>
      </c>
      <c r="FO109" s="9"/>
      <c r="FP109" s="9"/>
      <c r="FQ109" s="31" t="str">
        <f>IF(FP109/(INDEX('Standards for Conversions'!$H$34:$H$73,MATCH(FO$3,'Standards for Conversions'!$A$34:$A$73,0)))=0,"",FP109/(INDEX('Standards for Conversions'!$H$34:$H$73,MATCH(FO$3,'Standards for Conversions'!$A$34:$A$73,0))))</f>
        <v/>
      </c>
      <c r="FR109" s="10" t="s">
        <v>49</v>
      </c>
      <c r="FS109" s="7">
        <v>500</v>
      </c>
      <c r="FT109" s="7">
        <v>5000</v>
      </c>
      <c r="FU109" s="31">
        <f>IF(FT109/(INDEX('Standards for Conversions'!$H$34:$H$73,MATCH(FS$3,'Standards for Conversions'!$A$34:$A$73,0)))=0,"",FT109/(INDEX('Standards for Conversions'!$H$34:$H$73,MATCH(FS$3,'Standards for Conversions'!$A$34:$A$73,0))))</f>
        <v>857.49842487181706</v>
      </c>
      <c r="FV109" s="10" t="s">
        <v>49</v>
      </c>
      <c r="FW109" s="7"/>
      <c r="FX109" s="7"/>
      <c r="FY109" s="31" t="str">
        <f>IF(FX109/(INDEX('Standards for Conversions'!$H$34:$H$73,MATCH(FW$3,'Standards for Conversions'!$A$34:$A$73,0)))=0,"",FX109/(INDEX('Standards for Conversions'!$H$34:$H$73,MATCH(FW$3,'Standards for Conversions'!$A$34:$A$73,0))))</f>
        <v/>
      </c>
      <c r="FZ109" s="10" t="s">
        <v>49</v>
      </c>
      <c r="GA109" s="7"/>
      <c r="GB109" s="7"/>
      <c r="GC109" s="31" t="str">
        <f>IF(GB109/(INDEX('Standards for Conversions'!$H$34:$H$73,MATCH(GA$3,'Standards for Conversions'!$A$34:$A$73,0)))=0,"",GB109/(INDEX('Standards for Conversions'!$H$34:$H$73,MATCH(GA$3,'Standards for Conversions'!$A$34:$A$73,0))))</f>
        <v/>
      </c>
      <c r="GD109" s="10" t="s">
        <v>49</v>
      </c>
      <c r="GE109" s="9"/>
      <c r="GF109" s="9"/>
      <c r="GG109" s="31" t="str">
        <f>IF(GF109/(INDEX('Standards for Conversions'!$H$34:$H$73,MATCH(GE$3,'Standards for Conversions'!$A$34:$A$73,0)))=0,"",GF109/(INDEX('Standards for Conversions'!$H$34:$H$73,MATCH(GE$3,'Standards for Conversions'!$A$34:$A$73,0))))</f>
        <v/>
      </c>
      <c r="GH109" s="10" t="s">
        <v>49</v>
      </c>
      <c r="GI109" s="7">
        <v>520</v>
      </c>
      <c r="GJ109" s="7">
        <v>5000</v>
      </c>
      <c r="GK109" s="31">
        <f>IF(GJ109/(INDEX('Standards for Conversions'!$H$34:$H$73,MATCH(GI$3,'Standards for Conversions'!$A$34:$A$73,0)))=0,"",GJ109/(INDEX('Standards for Conversions'!$H$34:$H$73,MATCH(GI$3,'Standards for Conversions'!$A$34:$A$73,0))))</f>
        <v>822.56330385852084</v>
      </c>
      <c r="GL109" s="10" t="s">
        <v>49</v>
      </c>
      <c r="GM109" s="7"/>
      <c r="GN109" s="7"/>
      <c r="GO109" s="31" t="str">
        <f>IF(GN109/(INDEX('Standards for Conversions'!$H$34:$H$73,MATCH(GM$3,'Standards for Conversions'!$A$34:$A$73,0)))=0,"",GN109/(INDEX('Standards for Conversions'!$H$34:$H$73,MATCH(GM$3,'Standards for Conversions'!$A$34:$A$73,0))))</f>
        <v/>
      </c>
      <c r="GP109" s="10" t="s">
        <v>49</v>
      </c>
      <c r="GQ109" s="7"/>
      <c r="GR109" s="7"/>
      <c r="GS109" s="31" t="str">
        <f>IF(GR109/(INDEX('Standards for Conversions'!$H$34:$H$73,MATCH(GQ$3,'Standards for Conversions'!$A$34:$A$73,0)))=0,"",GR109/(INDEX('Standards for Conversions'!$H$34:$H$73,MATCH(GQ$3,'Standards for Conversions'!$A$34:$A$73,0))))</f>
        <v/>
      </c>
      <c r="GT109" s="10" t="s">
        <v>49</v>
      </c>
      <c r="GU109" s="9"/>
      <c r="GV109" s="9"/>
      <c r="GW109" s="31" t="str">
        <f>IF(GV109/(INDEX('Standards for Conversions'!$H$34:$H$73,MATCH(GU$3,'Standards for Conversions'!$A$34:$A$73,0)))=0,"",GV109/(INDEX('Standards for Conversions'!$H$34:$H$73,MATCH(GU$3,'Standards for Conversions'!$A$34:$A$73,0))))</f>
        <v/>
      </c>
      <c r="GX109" s="10" t="s">
        <v>49</v>
      </c>
      <c r="GY109" s="7">
        <v>400</v>
      </c>
      <c r="GZ109" s="7">
        <v>4000</v>
      </c>
      <c r="HA109" s="31">
        <f>IF(GZ109/(INDEX('Standards for Conversions'!$H$34:$H$73,MATCH(GY$3,'Standards for Conversions'!$A$34:$A$73,0)))=0,"",GZ109/(INDEX('Standards for Conversions'!$H$34:$H$73,MATCH(GY$3,'Standards for Conversions'!$A$34:$A$73,0))))</f>
        <v>614.85812983401411</v>
      </c>
      <c r="HB109" s="10" t="s">
        <v>49</v>
      </c>
      <c r="HC109" s="7"/>
      <c r="HD109" s="7"/>
      <c r="HE109" s="31" t="str">
        <f>IF(HD109/(INDEX('Standards for Conversions'!$H$34:$H$73,MATCH(HC$3,'Standards for Conversions'!$A$34:$A$73,0)))=0,"",HD109/(INDEX('Standards for Conversions'!$H$34:$H$73,MATCH(HC$3,'Standards for Conversions'!$A$34:$A$73,0))))</f>
        <v/>
      </c>
      <c r="HF109" s="10" t="s">
        <v>49</v>
      </c>
      <c r="HG109" s="7"/>
      <c r="HH109" s="7"/>
      <c r="HI109" s="31" t="str">
        <f>IF(HH109/(INDEX('Standards for Conversions'!$H$34:$H$73,MATCH(HG$3,'Standards for Conversions'!$A$34:$A$73,0)))=0,"",HH109/(INDEX('Standards for Conversions'!$H$34:$H$73,MATCH(HG$3,'Standards for Conversions'!$A$34:$A$73,0))))</f>
        <v/>
      </c>
      <c r="HJ109" s="10" t="s">
        <v>49</v>
      </c>
      <c r="HK109" s="9"/>
      <c r="HL109" s="9"/>
      <c r="HM109" s="31" t="str">
        <f>IF(HL109/(INDEX('Standards for Conversions'!$H$34:$H$73,MATCH(HK$3,'Standards for Conversions'!$A$34:$A$73,0)))=0,"",HL109/(INDEX('Standards for Conversions'!$H$34:$H$73,MATCH(HK$3,'Standards for Conversions'!$A$34:$A$73,0))))</f>
        <v/>
      </c>
      <c r="HN109" s="10" t="s">
        <v>49</v>
      </c>
      <c r="HO109" s="7">
        <v>450</v>
      </c>
      <c r="HP109" s="7">
        <v>4500</v>
      </c>
      <c r="HQ109" s="31">
        <f>IF(HP109/(INDEX('Standards for Conversions'!$H$34:$H$73,MATCH(HO$3,'Standards for Conversions'!$A$34:$A$73,0)))=0,"",HP109/(INDEX('Standards for Conversions'!$H$34:$H$73,MATCH(HO$3,'Standards for Conversions'!$A$34:$A$73,0))))</f>
        <v>681.23485975927679</v>
      </c>
      <c r="HR109" s="33" t="s">
        <v>49</v>
      </c>
      <c r="HU109" s="31" t="str">
        <f>IF(HT109/(INDEX('Standards for Conversions'!$H$47:$H$73,MATCH(HS$3,'Standards for Conversions'!$A$47:$A$73,0)))=0,"",HT109/(INDEX('Standards for Conversions'!$H$47:$H$73,MATCH(HS$3,'Standards for Conversions'!$A$47:$A$73,0))))</f>
        <v/>
      </c>
      <c r="HV109" s="33" t="s">
        <v>49</v>
      </c>
      <c r="HY109" s="31" t="str">
        <f>IF(HX109/(INDEX('Standards for Conversions'!$H$47:$H$73,MATCH(HW$3,'Standards for Conversions'!$A$47:$A$73,0)))=0,"",HX109/(INDEX('Standards for Conversions'!$H$47:$H$73,MATCH(HW$3,'Standards for Conversions'!$A$47:$A$73,0))))</f>
        <v/>
      </c>
      <c r="HZ109" s="33"/>
      <c r="IA109" s="33"/>
      <c r="IB109" s="31" t="str">
        <f>IF(IA109/(INDEX('Standards for Conversions'!$H$47:$H$73,MATCH(HZ$3,'Standards for Conversions'!$A$47:$A$73,0)))=0,"",IA109/(INDEX('Standards for Conversions'!$H$47:$H$73,MATCH(HZ$3,'Standards for Conversions'!$A$47:$A$73,0))))</f>
        <v/>
      </c>
      <c r="IC109" s="33" t="s">
        <v>49</v>
      </c>
      <c r="ID109" s="29">
        <v>500</v>
      </c>
      <c r="IE109" s="29">
        <v>5000</v>
      </c>
      <c r="IF109" s="31">
        <f>IF(IE109/(INDEX('Standards for Conversions'!$H$47:$H$73,MATCH(ID$3,'Standards for Conversions'!$A$47:$A$73,0)))=0,"",IE109/(INDEX('Standards for Conversions'!$H$47:$H$73,MATCH(ID$3,'Standards for Conversions'!$A$47:$A$73,0))))</f>
        <v>726.22706106427984</v>
      </c>
      <c r="IG109" s="33" t="s">
        <v>49</v>
      </c>
      <c r="IJ109" s="31" t="str">
        <f>IF(II109/(INDEX('Standards for Conversions'!$H$47:$H$73,MATCH(IH$3,'Standards for Conversions'!$A$47:$A$73,0)))=0,"",II109/(INDEX('Standards for Conversions'!$H$47:$H$73,MATCH(IH$3,'Standards for Conversions'!$A$47:$A$73,0))))</f>
        <v/>
      </c>
      <c r="IK109" s="33" t="s">
        <v>49</v>
      </c>
      <c r="IN109" s="31" t="str">
        <f>IF(IM109/(INDEX('Standards for Conversions'!$H$47:$H$73,MATCH(IL$3,'Standards for Conversions'!$A$47:$A$73,0)))=0,"",IM109/(INDEX('Standards for Conversions'!$H$47:$H$73,MATCH(IL$3,'Standards for Conversions'!$A$47:$A$73,0))))</f>
        <v/>
      </c>
      <c r="IO109" s="33" t="s">
        <v>49</v>
      </c>
      <c r="IR109" s="31" t="str">
        <f>IF(IQ109/(INDEX('Standards for Conversions'!$H$47:$H$73,MATCH(IP$3,'Standards for Conversions'!$A$47:$A$73,0)))=0,"",IQ109/(INDEX('Standards for Conversions'!$H$47:$H$73,MATCH(IP$3,'Standards for Conversions'!$A$47:$A$73,0))))</f>
        <v/>
      </c>
      <c r="IS109" s="33" t="s">
        <v>49</v>
      </c>
      <c r="IT109" s="29">
        <v>120</v>
      </c>
      <c r="IU109" s="29">
        <v>886</v>
      </c>
      <c r="IV109" s="31">
        <f>IF(IU109/(INDEX('Standards for Conversions'!$H$47:$H$73,MATCH(IT$3,'Standards for Conversions'!$A$47:$A$73,0)))=0,"",IU109/(INDEX('Standards for Conversions'!$H$47:$H$73,MATCH(IT$3,'Standards for Conversions'!$A$47:$A$73,0))))</f>
        <v>128.12466218026708</v>
      </c>
      <c r="IW109" s="33" t="s">
        <v>49</v>
      </c>
      <c r="IZ109" s="31" t="str">
        <f>IF(IY109/(INDEX('Standards for Conversions'!$H$47:$H$73,MATCH(IX$3,'Standards for Conversions'!$A$47:$A$73,0)))=0,"",IY109/(INDEX('Standards for Conversions'!$H$47:$H$73,MATCH(IX$3,'Standards for Conversions'!$A$47:$A$73,0))))</f>
        <v/>
      </c>
      <c r="JA109" s="33" t="s">
        <v>49</v>
      </c>
      <c r="JD109" s="31" t="str">
        <f>IF(JC109/(INDEX('Standards for Conversions'!$H$47:$H$73,MATCH(JB$3,'Standards for Conversions'!$A$47:$A$73,0)))=0,"",JC109/(INDEX('Standards for Conversions'!$H$47:$H$73,MATCH(JB$3,'Standards for Conversions'!$A$47:$A$73,0))))</f>
        <v/>
      </c>
      <c r="JE109" s="33" t="s">
        <v>49</v>
      </c>
      <c r="JH109" s="31" t="str">
        <f>IF(JG109/(INDEX('Standards for Conversions'!$H$47:$H$73,MATCH(JF$3,'Standards for Conversions'!$A$47:$A$73,0)))=0,"",JG109/(INDEX('Standards for Conversions'!$H$47:$H$73,MATCH(JF$3,'Standards for Conversions'!$A$47:$A$73,0))))</f>
        <v/>
      </c>
      <c r="JI109" s="48" t="s">
        <v>49</v>
      </c>
      <c r="JJ109" s="29">
        <v>630</v>
      </c>
      <c r="JK109" s="29">
        <v>2800</v>
      </c>
      <c r="JL109" s="31">
        <f>IF(JK109/(INDEX('Standards for Conversions'!$H$47:$H$73,MATCH(JJ$3,'Standards for Conversions'!$A$47:$A$73,0)))=0,"",JK109/(INDEX('Standards for Conversions'!$H$47:$H$73,MATCH(JJ$3,'Standards for Conversions'!$A$47:$A$73,0))))</f>
        <v>452.92855073723234</v>
      </c>
      <c r="JM109" s="33" t="s">
        <v>49</v>
      </c>
      <c r="JP109" s="31" t="str">
        <f>IF(JO109/(INDEX('Standards for Conversions'!$H$47:$H$73,MATCH(JN$3,'Standards for Conversions'!$A$47:$A$73,0)))=0,"",JO109/(INDEX('Standards for Conversions'!$H$47:$H$73,MATCH(JN$3,'Standards for Conversions'!$A$47:$A$73,0))))</f>
        <v/>
      </c>
      <c r="JQ109" s="33" t="s">
        <v>49</v>
      </c>
      <c r="JT109" s="31" t="str">
        <f>IF(JS109/(INDEX('Standards for Conversions'!$H$47:$H$73,MATCH(JR$3,'Standards for Conversions'!$A$47:$A$73,0)))=0,"",JS109/(INDEX('Standards for Conversions'!$H$47:$H$73,MATCH(JR$3,'Standards for Conversions'!$A$47:$A$73,0))))</f>
        <v/>
      </c>
      <c r="JU109" s="33" t="s">
        <v>49</v>
      </c>
      <c r="JX109" s="31" t="str">
        <f>IF(JW109/(INDEX('Standards for Conversions'!$H$47:$H$73,MATCH(JV$3,'Standards for Conversions'!$A$47:$A$73,0)))=0,"",JW109/(INDEX('Standards for Conversions'!$H$47:$H$73,MATCH(JV$3,'Standards for Conversions'!$A$47:$A$73,0))))</f>
        <v/>
      </c>
      <c r="JY109" s="33" t="s">
        <v>49</v>
      </c>
      <c r="JZ109" s="29">
        <v>700</v>
      </c>
      <c r="KA109" s="29">
        <v>3500</v>
      </c>
      <c r="KB109" s="31">
        <f>IF(KA109/(INDEX('Standards for Conversions'!$H$47:$H$73,MATCH(JZ$3,'Standards for Conversions'!$A$47:$A$73,0)))=0,"",KA109/(INDEX('Standards for Conversions'!$H$47:$H$73,MATCH(JZ$3,'Standards for Conversions'!$A$47:$A$73,0))))</f>
        <v>534.29562349729144</v>
      </c>
      <c r="KC109" s="33" t="s">
        <v>49</v>
      </c>
      <c r="KF109" s="31" t="str">
        <f>IF(KE109/(INDEX('Standards for Conversions'!$H$47:$H$73,MATCH(KD$3,'Standards for Conversions'!$A$47:$A$73,0)))=0,"",KE109/(INDEX('Standards for Conversions'!$H$47:$H$73,MATCH(KD$3,'Standards for Conversions'!$A$47:$A$73,0))))</f>
        <v/>
      </c>
      <c r="KG109" s="33" t="s">
        <v>49</v>
      </c>
      <c r="KJ109" s="31" t="str">
        <f>IF(KI109/(INDEX('Standards for Conversions'!$H$47:$H$73,MATCH(KH$3,'Standards for Conversions'!$A$47:$A$73,0)))=0,"",KI109/(INDEX('Standards for Conversions'!$H$47:$H$73,MATCH(KH$3,'Standards for Conversions'!$A$47:$A$73,0))))</f>
        <v/>
      </c>
      <c r="KK109" s="33" t="s">
        <v>49</v>
      </c>
      <c r="KN109" s="31" t="str">
        <f>IF(KM109/(INDEX('Standards for Conversions'!$H$47:$H$73,MATCH(KL$3,'Standards for Conversions'!$A$47:$A$73,0)))=0,"",KM109/(INDEX('Standards for Conversions'!$H$47:$H$73,MATCH(KL$3,'Standards for Conversions'!$A$47:$A$73,0))))</f>
        <v/>
      </c>
      <c r="KO109" s="33" t="s">
        <v>49</v>
      </c>
      <c r="KP109" s="29">
        <v>500</v>
      </c>
      <c r="KQ109" s="29">
        <v>2800</v>
      </c>
      <c r="KR109" s="31">
        <f>IF(KQ109/(INDEX('Standards for Conversions'!$H$47:$H$73,MATCH(KP$3,'Standards for Conversions'!$A$47:$A$73,0)))=0,"",KQ109/(INDEX('Standards for Conversions'!$H$47:$H$73,MATCH(KP$3,'Standards for Conversions'!$A$47:$A$73,0))))</f>
        <v>377.04523333623007</v>
      </c>
      <c r="KS109" s="33" t="s">
        <v>49</v>
      </c>
      <c r="KV109" s="31" t="str">
        <f>IF(KU109/(INDEX('Standards for Conversions'!$H$47:$H$73,MATCH(KT$3,'Standards for Conversions'!$A$47:$A$73,0)))=0,"",KU109/(INDEX('Standards for Conversions'!$H$47:$H$73,MATCH(KT$3,'Standards for Conversions'!$A$47:$A$73,0))))</f>
        <v/>
      </c>
      <c r="KW109" s="33" t="s">
        <v>49</v>
      </c>
      <c r="KZ109" s="31" t="str">
        <f>IF(KY109/(INDEX('Standards for Conversions'!$H$47:$H$73,MATCH(KX$3,'Standards for Conversions'!$A$47:$A$73,0)))=0,"",KY109/(INDEX('Standards for Conversions'!$H$47:$H$73,MATCH(KX$3,'Standards for Conversions'!$A$47:$A$73,0))))</f>
        <v/>
      </c>
      <c r="LA109" s="33" t="s">
        <v>40</v>
      </c>
      <c r="LD109" s="31" t="str">
        <f>IF(LC109/(INDEX('Standards for Conversions'!$H$47:$H$73,MATCH(LB$3,'Standards for Conversions'!$A$47:$A$73,0)))=0,"",LC109/(INDEX('Standards for Conversions'!$H$47:$H$73,MATCH(LB$3,'Standards for Conversions'!$A$47:$A$73,0))))</f>
        <v/>
      </c>
      <c r="LE109" s="33" t="s">
        <v>49</v>
      </c>
      <c r="LF109" s="29">
        <v>500</v>
      </c>
      <c r="LG109" s="29">
        <v>3000</v>
      </c>
      <c r="LH109" s="31">
        <f>IF(LG109/(INDEX('Standards for Conversions'!$H$47:$H$73,MATCH(LF$3,'Standards for Conversions'!$A$47:$A$73,0)))=0,"",LG109/(INDEX('Standards for Conversions'!$H$47:$H$73,MATCH(LF$3,'Standards for Conversions'!$A$47:$A$73,0))))</f>
        <v>364.84970018249754</v>
      </c>
      <c r="LL109" s="31" t="str">
        <f>IF(LK109/(INDEX('Standards for Conversions'!$H$47:$H$73,MATCH(LJ$3,'Standards for Conversions'!$A$47:$A$73,0)))=0,"",LK109/(INDEX('Standards for Conversions'!$H$47:$H$73,MATCH(LJ$3,'Standards for Conversions'!$A$47:$A$73,0))))</f>
        <v/>
      </c>
      <c r="LO109" s="31" t="str">
        <f>IF(LN109/(INDEX('Standards for Conversions'!$H$47:$H$73,MATCH(LM$3,'Standards for Conversions'!$A$47:$A$73,0)))=0,"",LN109/(INDEX('Standards for Conversions'!$H$47:$H$73,MATCH(LM$3,'Standards for Conversions'!$A$47:$A$73,0))))</f>
        <v/>
      </c>
      <c r="LR109" s="31" t="str">
        <f>IF(LQ109/(INDEX('Standards for Conversions'!$H$47:$H$73,MATCH(LP$3,'Standards for Conversions'!$A$47:$A$73,0)))=0,"",LQ109/(INDEX('Standards for Conversions'!$H$47:$H$73,MATCH(LP$3,'Standards for Conversions'!$A$47:$A$73,0))))</f>
        <v/>
      </c>
      <c r="LV109" s="31" t="str">
        <f>IF(LU109/(INDEX('Standards for Conversions'!$H$47:$H$73,MATCH(LT$3,'Standards for Conversions'!$A$47:$A$73,0)))=0,"",LU109/(INDEX('Standards for Conversions'!$H$47:$H$73,MATCH(LT$3,'Standards for Conversions'!$A$47:$A$73,0))))</f>
        <v/>
      </c>
      <c r="LY109" s="31" t="str">
        <f>IF(LX109/(INDEX('Standards for Conversions'!$H$47:$H$73,MATCH(LW$3,'Standards for Conversions'!$A$47:$A$73,0)))=0,"",LX109/(INDEX('Standards for Conversions'!$H$47:$H$73,MATCH(LW$3,'Standards for Conversions'!$A$47:$A$73,0))))</f>
        <v/>
      </c>
      <c r="MB109" s="31" t="str">
        <f>IF(MA109/(INDEX('Standards for Conversions'!$H$47:$H$73,MATCH(LZ$3,'Standards for Conversions'!$A$47:$A$73,0)))=0,"",MA109/(INDEX('Standards for Conversions'!$H$47:$H$73,MATCH(LZ$3,'Standards for Conversions'!$A$47:$A$73,0))))</f>
        <v/>
      </c>
      <c r="ME109" s="31" t="str">
        <f>IF(MD109/(INDEX('Standards for Conversions'!$H$47:$H$73,MATCH(MC$3,'Standards for Conversions'!$A$47:$A$73,0)))=0,"",MD109/(INDEX('Standards for Conversions'!$H$47:$H$73,MATCH(MC$3,'Standards for Conversions'!$A$47:$A$73,0))))</f>
        <v/>
      </c>
      <c r="MH109" s="31" t="str">
        <f>IF(MG109/(INDEX('Standards for Conversions'!$H$47:$H$73,MATCH(MF$3,'Standards for Conversions'!$A$47:$A$73,0)))=0,"",MG109/(INDEX('Standards for Conversions'!$H$47:$H$73,MATCH(MF$3,'Standards for Conversions'!$A$47:$A$73,0))))</f>
        <v/>
      </c>
      <c r="MK109" s="31" t="str">
        <f>IF(MJ109/(INDEX('Standards for Conversions'!$H$47:$H$73,MATCH(MI$3,'Standards for Conversions'!$A$47:$A$73,0)))=0,"",MJ109/(INDEX('Standards for Conversions'!$H$47:$H$73,MATCH(MI$3,'Standards for Conversions'!$A$47:$A$73,0))))</f>
        <v/>
      </c>
      <c r="MN109" s="31" t="str">
        <f>IF(MM109/(INDEX('Standards for Conversions'!$H$47:$H$73,MATCH(ML$3,'Standards for Conversions'!$A$47:$A$73,0)))=0,"",MM109/(INDEX('Standards for Conversions'!$H$47:$H$73,MATCH(ML$3,'Standards for Conversions'!$A$47:$A$73,0))))</f>
        <v/>
      </c>
      <c r="MR109" s="31" t="str">
        <f>IF(MQ109/(INDEX('Standards for Conversions'!$H$47:$H$73,MATCH(MP$3,'Standards for Conversions'!$A$47:$A$73,0)))=0,"",MQ109/(INDEX('Standards for Conversions'!$H$47:$H$73,MATCH(MP$3,'Standards for Conversions'!$A$47:$A$73,0))))</f>
        <v/>
      </c>
      <c r="NE109" s="29" t="s">
        <v>8</v>
      </c>
      <c r="NF109" s="29">
        <v>8800</v>
      </c>
      <c r="NG109" s="29">
        <v>3043</v>
      </c>
      <c r="NH109" s="29">
        <v>7650</v>
      </c>
      <c r="NI109" s="29">
        <v>4245</v>
      </c>
    </row>
    <row r="110" spans="1:373" hidden="1" x14ac:dyDescent="0.3">
      <c r="A110" s="103" t="s">
        <v>275</v>
      </c>
      <c r="B110" s="10" t="s">
        <v>42</v>
      </c>
      <c r="C110" s="7"/>
      <c r="D110" s="7"/>
      <c r="E110" s="31" t="str">
        <f>IF(D110/(INDEX('Standards for Conversions'!$H$34:$H$73,MATCH(C$3,'Standards for Conversions'!$A$34:$A$73,0)))=0,"",D110/(INDEX('Standards for Conversions'!$H$34:$H$73,MATCH(C$3,'Standards for Conversions'!$A$34:$A$73,0))))</f>
        <v/>
      </c>
      <c r="F110" s="10" t="s">
        <v>42</v>
      </c>
      <c r="G110" s="7"/>
      <c r="H110" s="7"/>
      <c r="I110" s="31" t="str">
        <f>IF(H110/(INDEX('Standards for Conversions'!$H$34:$H$73,MATCH(G$3,'Standards for Conversions'!$A$34:$A$73,0)))=0,"",H110/(INDEX('Standards for Conversions'!$H$34:$H$73,MATCH(G$3,'Standards for Conversions'!$A$34:$A$73,0))))</f>
        <v/>
      </c>
      <c r="J110" s="10" t="s">
        <v>42</v>
      </c>
      <c r="K110" s="9"/>
      <c r="L110" s="9"/>
      <c r="M110" s="31" t="str">
        <f>IF(L110/(INDEX('Standards for Conversions'!$H$34:$H$73,MATCH(K$3,'Standards for Conversions'!$A$34:$A$73,0)))=0,"",L110/(INDEX('Standards for Conversions'!$H$34:$H$73,MATCH(K$3,'Standards for Conversions'!$A$34:$A$73,0))))</f>
        <v/>
      </c>
      <c r="N110" s="10" t="s">
        <v>42</v>
      </c>
      <c r="O110" s="7"/>
      <c r="P110" s="7"/>
      <c r="Q110" s="31" t="str">
        <f>IF(P110/(INDEX('Standards for Conversions'!$H$34:$H$73,MATCH(O$3,'Standards for Conversions'!$A$34:$A$73,0)))=0,"",P110/(INDEX('Standards for Conversions'!$H$34:$H$73,MATCH(O$3,'Standards for Conversions'!$A$34:$A$73,0))))</f>
        <v/>
      </c>
      <c r="R110" s="10" t="s">
        <v>42</v>
      </c>
      <c r="S110" s="7"/>
      <c r="T110" s="7"/>
      <c r="U110" s="31" t="str">
        <f>IF(T110/(INDEX('Standards for Conversions'!$H$34:$H$73,MATCH(S$3,'Standards for Conversions'!$A$34:$A$73,0)))=0,"",T110/(INDEX('Standards for Conversions'!$H$34:$H$73,MATCH(S$3,'Standards for Conversions'!$A$34:$A$73,0))))</f>
        <v/>
      </c>
      <c r="V110" s="10" t="s">
        <v>42</v>
      </c>
      <c r="W110" s="7"/>
      <c r="X110" s="7"/>
      <c r="Y110" s="31" t="str">
        <f>IF(X110/(INDEX('Standards for Conversions'!$H$34:$H$73,MATCH(W$3,'Standards for Conversions'!$A$34:$A$73,0)))=0,"",X110/(INDEX('Standards for Conversions'!$H$34:$H$73,MATCH(W$3,'Standards for Conversions'!$A$34:$A$73,0))))</f>
        <v/>
      </c>
      <c r="Z110" s="10" t="s">
        <v>42</v>
      </c>
      <c r="AA110" s="9"/>
      <c r="AB110" s="9"/>
      <c r="AC110" s="31" t="str">
        <f>IF(AB110/(INDEX('Standards for Conversions'!$H$34:$H$73,MATCH(AA$3,'Standards for Conversions'!$A$34:$A$73,0)))=0,"",AB110/(INDEX('Standards for Conversions'!$H$34:$H$73,MATCH(AA$3,'Standards for Conversions'!$A$34:$A$73,0))))</f>
        <v/>
      </c>
      <c r="AD110" s="10" t="s">
        <v>42</v>
      </c>
      <c r="AE110" s="7"/>
      <c r="AF110" s="7"/>
      <c r="AG110" s="31" t="str">
        <f>IF(AF110/(INDEX('Standards for Conversions'!$H$34:$H$73,MATCH(AE$3,'Standards for Conversions'!$A$34:$A$73,0)))=0,"",AF110/(INDEX('Standards for Conversions'!$H$34:$H$73,MATCH(AE$3,'Standards for Conversions'!$A$34:$A$73,0))))</f>
        <v/>
      </c>
      <c r="AH110" s="10" t="s">
        <v>42</v>
      </c>
      <c r="AI110" s="7"/>
      <c r="AJ110" s="7"/>
      <c r="AK110" s="31" t="str">
        <f>IF(AJ110/(INDEX('Standards for Conversions'!$H$34:$H$73,MATCH(AI$3,'Standards for Conversions'!$A$34:$A$73,0)))=0,"",AJ110/(INDEX('Standards for Conversions'!$H$34:$H$73,MATCH(AI$3,'Standards for Conversions'!$A$34:$A$73,0))))</f>
        <v/>
      </c>
      <c r="AL110" s="10" t="s">
        <v>42</v>
      </c>
      <c r="AM110" s="7"/>
      <c r="AN110" s="7"/>
      <c r="AO110" s="31" t="str">
        <f>IF(AN110/(INDEX('Standards for Conversions'!$H$34:$H$73,MATCH(AM$3,'Standards for Conversions'!$A$34:$A$73,0)))=0,"",AN110/(INDEX('Standards for Conversions'!$H$34:$H$73,MATCH(AM$3,'Standards for Conversions'!$A$34:$A$73,0))))</f>
        <v/>
      </c>
      <c r="AP110" s="10" t="s">
        <v>42</v>
      </c>
      <c r="AQ110" s="9"/>
      <c r="AR110" s="9"/>
      <c r="AS110" s="31" t="str">
        <f>IF(AR110/(INDEX('Standards for Conversions'!$H$34:$H$73,MATCH(AQ$3,'Standards for Conversions'!$A$34:$A$73,0)))=0,"",AR110/(INDEX('Standards for Conversions'!$H$34:$H$73,MATCH(AQ$3,'Standards for Conversions'!$A$34:$A$73,0))))</f>
        <v/>
      </c>
      <c r="AT110" s="10" t="s">
        <v>42</v>
      </c>
      <c r="AU110" s="7"/>
      <c r="AV110" s="7"/>
      <c r="AW110" s="31" t="str">
        <f>IF(AV110/(INDEX('Standards for Conversions'!$H$34:$H$73,MATCH(AU$3,'Standards for Conversions'!$A$34:$A$73,0)))=0,"",AV110/(INDEX('Standards for Conversions'!$H$34:$H$73,MATCH(AU$3,'Standards for Conversions'!$A$34:$A$73,0))))</f>
        <v/>
      </c>
      <c r="AX110" s="10" t="s">
        <v>42</v>
      </c>
      <c r="AY110" s="7"/>
      <c r="AZ110" s="7"/>
      <c r="BA110" s="31" t="str">
        <f>IF(AZ110/(INDEX('Standards for Conversions'!$H$34:$H$73,MATCH(AY$3,'Standards for Conversions'!$A$34:$A$73,0)))=0,"",AZ110/(INDEX('Standards for Conversions'!$H$34:$H$73,MATCH(AY$3,'Standards for Conversions'!$A$34:$A$73,0))))</f>
        <v/>
      </c>
      <c r="BB110" s="10" t="s">
        <v>42</v>
      </c>
      <c r="BC110" s="7"/>
      <c r="BD110" s="7"/>
      <c r="BE110" s="31" t="str">
        <f>IF(BD110/(INDEX('Standards for Conversions'!$H$34:$H$73,MATCH(BC$3,'Standards for Conversions'!$A$34:$A$73,0)))=0,"",BD110/(INDEX('Standards for Conversions'!$H$34:$H$73,MATCH(BC$3,'Standards for Conversions'!$A$34:$A$73,0))))</f>
        <v/>
      </c>
      <c r="BF110" s="10" t="s">
        <v>42</v>
      </c>
      <c r="BG110" s="9"/>
      <c r="BH110" s="9"/>
      <c r="BI110" s="31" t="str">
        <f>IF(BH110/(INDEX('Standards for Conversions'!$H$34:$H$73,MATCH(BG$3,'Standards for Conversions'!$A$34:$A$73,0)))=0,"",BH110/(INDEX('Standards for Conversions'!$H$34:$H$73,MATCH(BG$3,'Standards for Conversions'!$A$34:$A$73,0))))</f>
        <v/>
      </c>
      <c r="BJ110" s="10" t="s">
        <v>42</v>
      </c>
      <c r="BK110" s="7"/>
      <c r="BL110" s="7"/>
      <c r="BM110" s="31" t="str">
        <f>IF(BL110/(INDEX('Standards for Conversions'!$H$34:$H$73,MATCH(BK$3,'Standards for Conversions'!$A$34:$A$73,0)))=0,"",BL110/(INDEX('Standards for Conversions'!$H$34:$H$73,MATCH(BK$3,'Standards for Conversions'!$A$34:$A$73,0))))</f>
        <v/>
      </c>
      <c r="BN110" s="10" t="s">
        <v>42</v>
      </c>
      <c r="BO110" s="7"/>
      <c r="BP110" s="7"/>
      <c r="BQ110" s="31" t="str">
        <f>IF(BP110/(INDEX('Standards for Conversions'!$H$34:$H$73,MATCH(BO$3,'Standards for Conversions'!$A$34:$A$73,0)))=0,"",BP110/(INDEX('Standards for Conversions'!$H$34:$H$73,MATCH(BO$3,'Standards for Conversions'!$A$34:$A$73,0))))</f>
        <v/>
      </c>
      <c r="BR110" s="10" t="s">
        <v>42</v>
      </c>
      <c r="BS110" s="7"/>
      <c r="BT110" s="7"/>
      <c r="BU110" s="31" t="str">
        <f>IF(BT110/(INDEX('Standards for Conversions'!$H$34:$H$73,MATCH(BS$3,'Standards for Conversions'!$A$34:$A$73,0)))=0,"",BT110/(INDEX('Standards for Conversions'!$H$34:$H$73,MATCH(BS$3,'Standards for Conversions'!$A$34:$A$73,0))))</f>
        <v/>
      </c>
      <c r="BV110" s="10" t="s">
        <v>42</v>
      </c>
      <c r="BW110" s="9"/>
      <c r="BX110" s="9"/>
      <c r="BY110" s="31" t="str">
        <f>IF(BX110/(INDEX('Standards for Conversions'!$H$34:$H$73,MATCH(BW$3,'Standards for Conversions'!$A$34:$A$73,0)))=0,"",BX110/(INDEX('Standards for Conversions'!$H$34:$H$73,MATCH(BW$3,'Standards for Conversions'!$A$34:$A$73,0))))</f>
        <v/>
      </c>
      <c r="BZ110" s="10" t="s">
        <v>42</v>
      </c>
      <c r="CA110" s="7"/>
      <c r="CB110" s="7"/>
      <c r="CC110" s="31" t="str">
        <f>IF(CB110/(INDEX('Standards for Conversions'!$H$34:$H$73,MATCH(CA$3,'Standards for Conversions'!$A$34:$A$73,0)))=0,"",CB110/(INDEX('Standards for Conversions'!$H$34:$H$73,MATCH(CA$3,'Standards for Conversions'!$A$34:$A$73,0))))</f>
        <v/>
      </c>
      <c r="CD110" s="10" t="s">
        <v>42</v>
      </c>
      <c r="CE110" s="7"/>
      <c r="CF110" s="7"/>
      <c r="CG110" s="31" t="str">
        <f>IF(CF110/(INDEX('Standards for Conversions'!$H$34:$H$73,MATCH(CE$3,'Standards for Conversions'!$A$34:$A$73,0)))=0,"",CF110/(INDEX('Standards for Conversions'!$H$34:$H$73,MATCH(CE$3,'Standards for Conversions'!$A$34:$A$73,0))))</f>
        <v/>
      </c>
      <c r="CH110" s="10" t="s">
        <v>42</v>
      </c>
      <c r="CI110" s="7"/>
      <c r="CJ110" s="7"/>
      <c r="CK110" s="31" t="str">
        <f>IF(CJ110/(INDEX('Standards for Conversions'!$H$34:$H$73,MATCH(CI$3,'Standards for Conversions'!$A$34:$A$73,0)))=0,"",CJ110/(INDEX('Standards for Conversions'!$H$34:$H$73,MATCH(CI$3,'Standards for Conversions'!$A$34:$A$73,0))))</f>
        <v/>
      </c>
      <c r="CL110" s="10" t="s">
        <v>42</v>
      </c>
      <c r="CM110" s="9"/>
      <c r="CN110" s="9"/>
      <c r="CO110" s="31" t="str">
        <f>IF(CN110/(INDEX('Standards for Conversions'!$H$34:$H$73,MATCH(CM$3,'Standards for Conversions'!$A$34:$A$73,0)))=0,"",CN110/(INDEX('Standards for Conversions'!$H$34:$H$73,MATCH(CM$3,'Standards for Conversions'!$A$34:$A$73,0))))</f>
        <v/>
      </c>
      <c r="CP110" s="10" t="s">
        <v>42</v>
      </c>
      <c r="CQ110" s="7"/>
      <c r="CR110" s="7"/>
      <c r="CS110" s="31" t="str">
        <f>IF(CR110/(INDEX('Standards for Conversions'!$H$34:$H$73,MATCH(CQ$3,'Standards for Conversions'!$A$34:$A$73,0)))=0,"",CR110/(INDEX('Standards for Conversions'!$H$34:$H$73,MATCH(CQ$3,'Standards for Conversions'!$A$34:$A$73,0))))</f>
        <v/>
      </c>
      <c r="CT110" s="10" t="s">
        <v>42</v>
      </c>
      <c r="CU110" s="7"/>
      <c r="CV110" s="7"/>
      <c r="CW110" s="31" t="str">
        <f>IF(CV110/(INDEX('Standards for Conversions'!$H$34:$H$73,MATCH(CU$3,'Standards for Conversions'!$A$34:$A$73,0)))=0,"",CV110/(INDEX('Standards for Conversions'!$H$34:$H$73,MATCH(CU$3,'Standards for Conversions'!$A$34:$A$73,0))))</f>
        <v/>
      </c>
      <c r="CX110" s="10" t="s">
        <v>42</v>
      </c>
      <c r="CY110" s="7"/>
      <c r="CZ110" s="7"/>
      <c r="DA110" s="31" t="str">
        <f>IF(CZ110/(INDEX('Standards for Conversions'!$H$34:$H$73,MATCH(CY$3,'Standards for Conversions'!$A$34:$A$73,0)))=0,"",CZ110/(INDEX('Standards for Conversions'!$H$34:$H$73,MATCH(CY$3,'Standards for Conversions'!$A$34:$A$73,0))))</f>
        <v/>
      </c>
      <c r="DB110" s="10" t="s">
        <v>42</v>
      </c>
      <c r="DC110" s="9"/>
      <c r="DD110" s="9"/>
      <c r="DE110" s="31" t="str">
        <f>IF(DD110/(INDEX('Standards for Conversions'!$H$34:$H$73,MATCH(DC$3,'Standards for Conversions'!$A$34:$A$73,0)))=0,"",DD110/(INDEX('Standards for Conversions'!$H$34:$H$73,MATCH(DC$3,'Standards for Conversions'!$A$34:$A$73,0))))</f>
        <v/>
      </c>
      <c r="DF110" s="10" t="s">
        <v>42</v>
      </c>
      <c r="DG110" s="7"/>
      <c r="DH110" s="7"/>
      <c r="DI110" s="31" t="str">
        <f>IF(DH110/(INDEX('Standards for Conversions'!$H$34:$H$73,MATCH(DG$3,'Standards for Conversions'!$A$34:$A$73,0)))=0,"",DH110/(INDEX('Standards for Conversions'!$H$34:$H$73,MATCH(DG$3,'Standards for Conversions'!$A$34:$A$73,0))))</f>
        <v/>
      </c>
      <c r="DJ110" s="10" t="s">
        <v>42</v>
      </c>
      <c r="DK110" s="7"/>
      <c r="DL110" s="7"/>
      <c r="DM110" s="31" t="str">
        <f>IF(DL110/(INDEX('Standards for Conversions'!$H$34:$H$73,MATCH(DK$3,'Standards for Conversions'!$A$34:$A$73,0)))=0,"",DL110/(INDEX('Standards for Conversions'!$H$34:$H$73,MATCH(DK$3,'Standards for Conversions'!$A$34:$A$73,0))))</f>
        <v/>
      </c>
      <c r="DN110" s="10" t="s">
        <v>42</v>
      </c>
      <c r="DO110" s="7"/>
      <c r="DP110" s="7"/>
      <c r="DQ110" s="31" t="str">
        <f>IF(DP110/(INDEX('Standards for Conversions'!$H$34:$H$73,MATCH(DO$3,'Standards for Conversions'!$A$34:$A$73,0)))=0,"",DP110/(INDEX('Standards for Conversions'!$H$34:$H$73,MATCH(DO$3,'Standards for Conversions'!$A$34:$A$73,0))))</f>
        <v/>
      </c>
      <c r="DR110" s="10" t="s">
        <v>42</v>
      </c>
      <c r="DS110" s="9"/>
      <c r="DT110" s="9"/>
      <c r="DU110" s="31" t="str">
        <f>IF(DT110/(INDEX('Standards for Conversions'!$H$34:$H$73,MATCH(DS$3,'Standards for Conversions'!$A$34:$A$73,0)))=0,"",DT110/(INDEX('Standards for Conversions'!$H$34:$H$73,MATCH(DS$3,'Standards for Conversions'!$A$34:$A$73,0))))</f>
        <v/>
      </c>
      <c r="DV110" s="10" t="s">
        <v>42</v>
      </c>
      <c r="DW110" s="7"/>
      <c r="DX110" s="7"/>
      <c r="DY110" s="31" t="str">
        <f>IF(DX110/(INDEX('Standards for Conversions'!$H$34:$H$73,MATCH(DW$3,'Standards for Conversions'!$A$34:$A$73,0)))=0,"",DX110/(INDEX('Standards for Conversions'!$H$34:$H$73,MATCH(DW$3,'Standards for Conversions'!$A$34:$A$73,0))))</f>
        <v/>
      </c>
      <c r="DZ110" s="10" t="s">
        <v>42</v>
      </c>
      <c r="EA110" s="7"/>
      <c r="EB110" s="7"/>
      <c r="EC110" s="31" t="str">
        <f>IF(EB110/(INDEX('Standards for Conversions'!$H$34:$H$73,MATCH(EA$3,'Standards for Conversions'!$A$34:$A$73,0)))=0,"",EB110/(INDEX('Standards for Conversions'!$H$34:$H$73,MATCH(EA$3,'Standards for Conversions'!$A$34:$A$73,0))))</f>
        <v/>
      </c>
      <c r="ED110" s="10" t="s">
        <v>42</v>
      </c>
      <c r="EE110" s="7"/>
      <c r="EF110" s="7"/>
      <c r="EG110" s="31" t="str">
        <f>IF(EF110/(INDEX('Standards for Conversions'!$H$34:$H$73,MATCH(EE$3,'Standards for Conversions'!$A$34:$A$73,0)))=0,"",EF110/(INDEX('Standards for Conversions'!$H$34:$H$73,MATCH(EE$3,'Standards for Conversions'!$A$34:$A$73,0))))</f>
        <v/>
      </c>
      <c r="EH110" s="10" t="s">
        <v>42</v>
      </c>
      <c r="EI110" s="9"/>
      <c r="EJ110" s="9"/>
      <c r="EK110" s="31" t="str">
        <f>IF(EJ110/(INDEX('Standards for Conversions'!$H$34:$H$73,MATCH(EI$3,'Standards for Conversions'!$A$34:$A$73,0)))=0,"",EJ110/(INDEX('Standards for Conversions'!$H$34:$H$73,MATCH(EI$3,'Standards for Conversions'!$A$34:$A$73,0))))</f>
        <v/>
      </c>
      <c r="EL110" s="10" t="s">
        <v>42</v>
      </c>
      <c r="EM110" s="7"/>
      <c r="EN110" s="7"/>
      <c r="EO110" s="31" t="str">
        <f>IF(EN110/(INDEX('Standards for Conversions'!$H$34:$H$73,MATCH(EM$3,'Standards for Conversions'!$A$34:$A$73,0)))=0,"",EN110/(INDEX('Standards for Conversions'!$H$34:$H$73,MATCH(EM$3,'Standards for Conversions'!$A$34:$A$73,0))))</f>
        <v/>
      </c>
      <c r="EP110" s="10" t="s">
        <v>42</v>
      </c>
      <c r="EQ110" s="7"/>
      <c r="ER110" s="7"/>
      <c r="ES110" s="31" t="str">
        <f>IF(ER110/(INDEX('Standards for Conversions'!$H$34:$H$73,MATCH(EQ$3,'Standards for Conversions'!$A$34:$A$73,0)))=0,"",ER110/(INDEX('Standards for Conversions'!$H$34:$H$73,MATCH(EQ$3,'Standards for Conversions'!$A$34:$A$73,0))))</f>
        <v/>
      </c>
      <c r="ET110" s="10" t="s">
        <v>42</v>
      </c>
      <c r="EU110" s="7"/>
      <c r="EV110" s="7"/>
      <c r="EW110" s="31" t="str">
        <f>IF(EV110/(INDEX('Standards for Conversions'!$H$34:$H$73,MATCH(EU$3,'Standards for Conversions'!$A$34:$A$73,0)))=0,"",EV110/(INDEX('Standards for Conversions'!$H$34:$H$73,MATCH(EU$3,'Standards for Conversions'!$A$34:$A$73,0))))</f>
        <v/>
      </c>
      <c r="EX110" s="10" t="s">
        <v>42</v>
      </c>
      <c r="EY110" s="9"/>
      <c r="EZ110" s="9"/>
      <c r="FA110" s="31" t="str">
        <f>IF(EZ110/(INDEX('Standards for Conversions'!$H$34:$H$73,MATCH(EY$3,'Standards for Conversions'!$A$34:$A$73,0)))=0,"",EZ110/(INDEX('Standards for Conversions'!$H$34:$H$73,MATCH(EY$3,'Standards for Conversions'!$A$34:$A$73,0))))</f>
        <v/>
      </c>
      <c r="FB110" s="10" t="s">
        <v>42</v>
      </c>
      <c r="FC110" s="7"/>
      <c r="FD110" s="7"/>
      <c r="FE110" s="31" t="str">
        <f>IF(FD110/(INDEX('Standards for Conversions'!$H$34:$H$73,MATCH(FC$3,'Standards for Conversions'!$A$34:$A$73,0)))=0,"",FD110/(INDEX('Standards for Conversions'!$H$34:$H$73,MATCH(FC$3,'Standards for Conversions'!$A$34:$A$73,0))))</f>
        <v/>
      </c>
      <c r="FF110" s="10" t="s">
        <v>42</v>
      </c>
      <c r="FG110" s="7"/>
      <c r="FH110" s="7"/>
      <c r="FI110" s="31" t="str">
        <f>IF(FH110/(INDEX('Standards for Conversions'!$H$34:$H$73,MATCH(FG$3,'Standards for Conversions'!$A$34:$A$73,0)))=0,"",FH110/(INDEX('Standards for Conversions'!$H$34:$H$73,MATCH(FG$3,'Standards for Conversions'!$A$34:$A$73,0))))</f>
        <v/>
      </c>
      <c r="FJ110" s="10" t="s">
        <v>42</v>
      </c>
      <c r="FK110" s="7"/>
      <c r="FL110" s="7"/>
      <c r="FM110" s="31" t="str">
        <f>IF(FL110/(INDEX('Standards for Conversions'!$H$34:$H$73,MATCH(FK$3,'Standards for Conversions'!$A$34:$A$73,0)))=0,"",FL110/(INDEX('Standards for Conversions'!$H$34:$H$73,MATCH(FK$3,'Standards for Conversions'!$A$34:$A$73,0))))</f>
        <v/>
      </c>
      <c r="FN110" s="10" t="s">
        <v>42</v>
      </c>
      <c r="FO110" s="9"/>
      <c r="FP110" s="9"/>
      <c r="FQ110" s="31" t="str">
        <f>IF(FP110/(INDEX('Standards for Conversions'!$H$34:$H$73,MATCH(FO$3,'Standards for Conversions'!$A$34:$A$73,0)))=0,"",FP110/(INDEX('Standards for Conversions'!$H$34:$H$73,MATCH(FO$3,'Standards for Conversions'!$A$34:$A$73,0))))</f>
        <v/>
      </c>
      <c r="FR110" s="10" t="s">
        <v>42</v>
      </c>
      <c r="FS110" s="7"/>
      <c r="FT110" s="7"/>
      <c r="FU110" s="31" t="str">
        <f>IF(FT110/(INDEX('Standards for Conversions'!$H$34:$H$73,MATCH(FS$3,'Standards for Conversions'!$A$34:$A$73,0)))=0,"",FT110/(INDEX('Standards for Conversions'!$H$34:$H$73,MATCH(FS$3,'Standards for Conversions'!$A$34:$A$73,0))))</f>
        <v/>
      </c>
      <c r="FV110" s="10" t="s">
        <v>42</v>
      </c>
      <c r="FW110" s="7"/>
      <c r="FX110" s="7"/>
      <c r="FY110" s="31" t="str">
        <f>IF(FX110/(INDEX('Standards for Conversions'!$H$34:$H$73,MATCH(FW$3,'Standards for Conversions'!$A$34:$A$73,0)))=0,"",FX110/(INDEX('Standards for Conversions'!$H$34:$H$73,MATCH(FW$3,'Standards for Conversions'!$A$34:$A$73,0))))</f>
        <v/>
      </c>
      <c r="FZ110" s="10" t="s">
        <v>42</v>
      </c>
      <c r="GA110" s="7"/>
      <c r="GB110" s="7"/>
      <c r="GC110" s="31" t="str">
        <f>IF(GB110/(INDEX('Standards for Conversions'!$H$34:$H$73,MATCH(GA$3,'Standards for Conversions'!$A$34:$A$73,0)))=0,"",GB110/(INDEX('Standards for Conversions'!$H$34:$H$73,MATCH(GA$3,'Standards for Conversions'!$A$34:$A$73,0))))</f>
        <v/>
      </c>
      <c r="GD110" s="10" t="s">
        <v>42</v>
      </c>
      <c r="GE110" s="9"/>
      <c r="GF110" s="9"/>
      <c r="GG110" s="31" t="str">
        <f>IF(GF110/(INDEX('Standards for Conversions'!$H$34:$H$73,MATCH(GE$3,'Standards for Conversions'!$A$34:$A$73,0)))=0,"",GF110/(INDEX('Standards for Conversions'!$H$34:$H$73,MATCH(GE$3,'Standards for Conversions'!$A$34:$A$73,0))))</f>
        <v/>
      </c>
      <c r="GH110" s="10" t="s">
        <v>42</v>
      </c>
      <c r="GI110" s="7"/>
      <c r="GJ110" s="7"/>
      <c r="GK110" s="31" t="str">
        <f>IF(GJ110/(INDEX('Standards for Conversions'!$H$34:$H$73,MATCH(GI$3,'Standards for Conversions'!$A$34:$A$73,0)))=0,"",GJ110/(INDEX('Standards for Conversions'!$H$34:$H$73,MATCH(GI$3,'Standards for Conversions'!$A$34:$A$73,0))))</f>
        <v/>
      </c>
      <c r="GL110" s="10" t="s">
        <v>42</v>
      </c>
      <c r="GM110" s="7"/>
      <c r="GN110" s="7"/>
      <c r="GO110" s="31" t="str">
        <f>IF(GN110/(INDEX('Standards for Conversions'!$H$34:$H$73,MATCH(GM$3,'Standards for Conversions'!$A$34:$A$73,0)))=0,"",GN110/(INDEX('Standards for Conversions'!$H$34:$H$73,MATCH(GM$3,'Standards for Conversions'!$A$34:$A$73,0))))</f>
        <v/>
      </c>
      <c r="GP110" s="10" t="s">
        <v>42</v>
      </c>
      <c r="GQ110" s="7"/>
      <c r="GR110" s="7"/>
      <c r="GS110" s="31" t="str">
        <f>IF(GR110/(INDEX('Standards for Conversions'!$H$34:$H$73,MATCH(GQ$3,'Standards for Conversions'!$A$34:$A$73,0)))=0,"",GR110/(INDEX('Standards for Conversions'!$H$34:$H$73,MATCH(GQ$3,'Standards for Conversions'!$A$34:$A$73,0))))</f>
        <v/>
      </c>
      <c r="GT110" s="10" t="s">
        <v>42</v>
      </c>
      <c r="GU110" s="9"/>
      <c r="GV110" s="9"/>
      <c r="GW110" s="31" t="str">
        <f>IF(GV110/(INDEX('Standards for Conversions'!$H$34:$H$73,MATCH(GU$3,'Standards for Conversions'!$A$34:$A$73,0)))=0,"",GV110/(INDEX('Standards for Conversions'!$H$34:$H$73,MATCH(GU$3,'Standards for Conversions'!$A$34:$A$73,0))))</f>
        <v/>
      </c>
      <c r="GX110" s="10" t="s">
        <v>42</v>
      </c>
      <c r="GY110" s="7"/>
      <c r="GZ110" s="7"/>
      <c r="HA110" s="31" t="str">
        <f>IF(GZ110/(INDEX('Standards for Conversions'!$H$34:$H$73,MATCH(GY$3,'Standards for Conversions'!$A$34:$A$73,0)))=0,"",GZ110/(INDEX('Standards for Conversions'!$H$34:$H$73,MATCH(GY$3,'Standards for Conversions'!$A$34:$A$73,0))))</f>
        <v/>
      </c>
      <c r="HB110" s="10" t="s">
        <v>42</v>
      </c>
      <c r="HC110" s="7"/>
      <c r="HD110" s="7"/>
      <c r="HE110" s="31" t="str">
        <f>IF(HD110/(INDEX('Standards for Conversions'!$H$34:$H$73,MATCH(HC$3,'Standards for Conversions'!$A$34:$A$73,0)))=0,"",HD110/(INDEX('Standards for Conversions'!$H$34:$H$73,MATCH(HC$3,'Standards for Conversions'!$A$34:$A$73,0))))</f>
        <v/>
      </c>
      <c r="HF110" s="10" t="s">
        <v>42</v>
      </c>
      <c r="HG110" s="7"/>
      <c r="HH110" s="7"/>
      <c r="HI110" s="31" t="str">
        <f>IF(HH110/(INDEX('Standards for Conversions'!$H$34:$H$73,MATCH(HG$3,'Standards for Conversions'!$A$34:$A$73,0)))=0,"",HH110/(INDEX('Standards for Conversions'!$H$34:$H$73,MATCH(HG$3,'Standards for Conversions'!$A$34:$A$73,0))))</f>
        <v/>
      </c>
      <c r="HJ110" s="10" t="s">
        <v>42</v>
      </c>
      <c r="HK110" s="9"/>
      <c r="HL110" s="9"/>
      <c r="HM110" s="31" t="str">
        <f>IF(HL110/(INDEX('Standards for Conversions'!$H$34:$H$73,MATCH(HK$3,'Standards for Conversions'!$A$34:$A$73,0)))=0,"",HL110/(INDEX('Standards for Conversions'!$H$34:$H$73,MATCH(HK$3,'Standards for Conversions'!$A$34:$A$73,0))))</f>
        <v/>
      </c>
      <c r="HN110" s="10" t="s">
        <v>42</v>
      </c>
      <c r="HO110" s="7"/>
      <c r="HP110" s="7"/>
      <c r="HQ110" s="31" t="str">
        <f>IF(HP110/(INDEX('Standards for Conversions'!$H$34:$H$73,MATCH(HO$3,'Standards for Conversions'!$A$34:$A$73,0)))=0,"",HP110/(INDEX('Standards for Conversions'!$H$34:$H$73,MATCH(HO$3,'Standards for Conversions'!$A$34:$A$73,0))))</f>
        <v/>
      </c>
      <c r="HR110" s="33" t="s">
        <v>42</v>
      </c>
      <c r="HU110" s="31" t="str">
        <f>IF(HT110/(INDEX('Standards for Conversions'!$H$47:$H$73,MATCH(HS$3,'Standards for Conversions'!$A$47:$A$73,0)))=0,"",HT110/(INDEX('Standards for Conversions'!$H$47:$H$73,MATCH(HS$3,'Standards for Conversions'!$A$47:$A$73,0))))</f>
        <v/>
      </c>
      <c r="HV110" s="33" t="s">
        <v>42</v>
      </c>
      <c r="HY110" s="31" t="str">
        <f>IF(HX110/(INDEX('Standards for Conversions'!$H$47:$H$73,MATCH(HW$3,'Standards for Conversions'!$A$47:$A$73,0)))=0,"",HX110/(INDEX('Standards for Conversions'!$H$47:$H$73,MATCH(HW$3,'Standards for Conversions'!$A$47:$A$73,0))))</f>
        <v/>
      </c>
      <c r="HZ110" s="33"/>
      <c r="IA110" s="33"/>
      <c r="IB110" s="31" t="str">
        <f>IF(IA110/(INDEX('Standards for Conversions'!$H$47:$H$73,MATCH(HZ$3,'Standards for Conversions'!$A$47:$A$73,0)))=0,"",IA110/(INDEX('Standards for Conversions'!$H$47:$H$73,MATCH(HZ$3,'Standards for Conversions'!$A$47:$A$73,0))))</f>
        <v/>
      </c>
      <c r="IC110" s="33" t="s">
        <v>42</v>
      </c>
      <c r="IF110" s="31" t="str">
        <f>IF(IE110/(INDEX('Standards for Conversions'!$H$47:$H$73,MATCH(ID$3,'Standards for Conversions'!$A$47:$A$73,0)))=0,"",IE110/(INDEX('Standards for Conversions'!$H$47:$H$73,MATCH(ID$3,'Standards for Conversions'!$A$47:$A$73,0))))</f>
        <v/>
      </c>
      <c r="IG110" s="33" t="s">
        <v>42</v>
      </c>
      <c r="IJ110" s="31" t="str">
        <f>IF(II110/(INDEX('Standards for Conversions'!$H$47:$H$73,MATCH(IH$3,'Standards for Conversions'!$A$47:$A$73,0)))=0,"",II110/(INDEX('Standards for Conversions'!$H$47:$H$73,MATCH(IH$3,'Standards for Conversions'!$A$47:$A$73,0))))</f>
        <v/>
      </c>
      <c r="IK110" s="33" t="s">
        <v>42</v>
      </c>
      <c r="IN110" s="31" t="str">
        <f>IF(IM110/(INDEX('Standards for Conversions'!$H$47:$H$73,MATCH(IL$3,'Standards for Conversions'!$A$47:$A$73,0)))=0,"",IM110/(INDEX('Standards for Conversions'!$H$47:$H$73,MATCH(IL$3,'Standards for Conversions'!$A$47:$A$73,0))))</f>
        <v/>
      </c>
      <c r="IO110" s="33" t="s">
        <v>42</v>
      </c>
      <c r="IR110" s="31" t="str">
        <f>IF(IQ110/(INDEX('Standards for Conversions'!$H$47:$H$73,MATCH(IP$3,'Standards for Conversions'!$A$47:$A$73,0)))=0,"",IQ110/(INDEX('Standards for Conversions'!$H$47:$H$73,MATCH(IP$3,'Standards for Conversions'!$A$47:$A$73,0))))</f>
        <v/>
      </c>
      <c r="IS110" s="33" t="s">
        <v>42</v>
      </c>
      <c r="IV110" s="31" t="str">
        <f>IF(IU110/(INDEX('Standards for Conversions'!$H$47:$H$73,MATCH(IT$3,'Standards for Conversions'!$A$47:$A$73,0)))=0,"",IU110/(INDEX('Standards for Conversions'!$H$47:$H$73,MATCH(IT$3,'Standards for Conversions'!$A$47:$A$73,0))))</f>
        <v/>
      </c>
      <c r="IW110" s="48" t="s">
        <v>42</v>
      </c>
      <c r="IX110" s="29">
        <v>20</v>
      </c>
      <c r="IY110" s="29">
        <v>500</v>
      </c>
      <c r="IZ110" s="31">
        <f>IF(IY110/(INDEX('Standards for Conversions'!$H$47:$H$73,MATCH(IX$3,'Standards for Conversions'!$A$47:$A$73,0)))=0,"",IY110/(INDEX('Standards for Conversions'!$H$47:$H$73,MATCH(IX$3,'Standards for Conversions'!$A$47:$A$73,0))))</f>
        <v>80.880098345934343</v>
      </c>
      <c r="JA110" s="33"/>
      <c r="JD110" s="31" t="str">
        <f>IF(JC110/(INDEX('Standards for Conversions'!$H$47:$H$73,MATCH(JB$3,'Standards for Conversions'!$A$47:$A$73,0)))=0,"",JC110/(INDEX('Standards for Conversions'!$H$47:$H$73,MATCH(JB$3,'Standards for Conversions'!$A$47:$A$73,0))))</f>
        <v/>
      </c>
      <c r="JE110" s="33"/>
      <c r="JH110" s="31" t="str">
        <f>IF(JG110/(INDEX('Standards for Conversions'!$H$47:$H$73,MATCH(JF$3,'Standards for Conversions'!$A$47:$A$73,0)))=0,"",JG110/(INDEX('Standards for Conversions'!$H$47:$H$73,MATCH(JF$3,'Standards for Conversions'!$A$47:$A$73,0))))</f>
        <v/>
      </c>
      <c r="JI110" s="48"/>
      <c r="JL110" s="31" t="str">
        <f>IF(JK110/(INDEX('Standards for Conversions'!$H$47:$H$73,MATCH(JJ$3,'Standards for Conversions'!$A$47:$A$73,0)))=0,"",JK110/(INDEX('Standards for Conversions'!$H$47:$H$73,MATCH(JJ$3,'Standards for Conversions'!$A$47:$A$73,0))))</f>
        <v/>
      </c>
      <c r="JM110" s="33" t="s">
        <v>42</v>
      </c>
      <c r="JN110" s="29">
        <v>10</v>
      </c>
      <c r="JO110" s="29">
        <v>250</v>
      </c>
      <c r="JP110" s="31">
        <f>IF(JO110/(INDEX('Standards for Conversions'!$H$47:$H$73,MATCH(JN$3,'Standards for Conversions'!$A$47:$A$73,0)))=0,"",JO110/(INDEX('Standards for Conversions'!$H$47:$H$73,MATCH(JN$3,'Standards for Conversions'!$A$47:$A$73,0))))</f>
        <v>38.163973106949392</v>
      </c>
      <c r="JQ110" s="33" t="s">
        <v>42</v>
      </c>
      <c r="JT110" s="31" t="str">
        <f>IF(JS110/(INDEX('Standards for Conversions'!$H$47:$H$73,MATCH(JR$3,'Standards for Conversions'!$A$47:$A$73,0)))=0,"",JS110/(INDEX('Standards for Conversions'!$H$47:$H$73,MATCH(JR$3,'Standards for Conversions'!$A$47:$A$73,0))))</f>
        <v/>
      </c>
      <c r="JU110" s="33" t="s">
        <v>42</v>
      </c>
      <c r="JX110" s="31" t="str">
        <f>IF(JW110/(INDEX('Standards for Conversions'!$H$47:$H$73,MATCH(JV$3,'Standards for Conversions'!$A$47:$A$73,0)))=0,"",JW110/(INDEX('Standards for Conversions'!$H$47:$H$73,MATCH(JV$3,'Standards for Conversions'!$A$47:$A$73,0))))</f>
        <v/>
      </c>
      <c r="JY110" s="33" t="s">
        <v>42</v>
      </c>
      <c r="KB110" s="31" t="str">
        <f>IF(KA110/(INDEX('Standards for Conversions'!$H$47:$H$73,MATCH(JZ$3,'Standards for Conversions'!$A$47:$A$73,0)))=0,"",KA110/(INDEX('Standards for Conversions'!$H$47:$H$73,MATCH(JZ$3,'Standards for Conversions'!$A$47:$A$73,0))))</f>
        <v/>
      </c>
      <c r="KC110" s="33" t="s">
        <v>42</v>
      </c>
      <c r="KD110" s="29">
        <v>12</v>
      </c>
      <c r="KE110" s="29">
        <v>300</v>
      </c>
      <c r="KF110" s="31">
        <f>IF(KE110/(INDEX('Standards for Conversions'!$H$47:$H$73,MATCH(KD$3,'Standards for Conversions'!$A$47:$A$73,0)))=0,"",KE110/(INDEX('Standards for Conversions'!$H$47:$H$73,MATCH(KD$3,'Standards for Conversions'!$A$47:$A$73,0))))</f>
        <v>40.397703571738937</v>
      </c>
      <c r="KG110" s="33" t="s">
        <v>42</v>
      </c>
      <c r="KJ110" s="31" t="str">
        <f>IF(KI110/(INDEX('Standards for Conversions'!$H$47:$H$73,MATCH(KH$3,'Standards for Conversions'!$A$47:$A$73,0)))=0,"",KI110/(INDEX('Standards for Conversions'!$H$47:$H$73,MATCH(KH$3,'Standards for Conversions'!$A$47:$A$73,0))))</f>
        <v/>
      </c>
      <c r="KK110" s="33" t="s">
        <v>42</v>
      </c>
      <c r="KN110" s="31" t="str">
        <f>IF(KM110/(INDEX('Standards for Conversions'!$H$47:$H$73,MATCH(KL$3,'Standards for Conversions'!$A$47:$A$73,0)))=0,"",KM110/(INDEX('Standards for Conversions'!$H$47:$H$73,MATCH(KL$3,'Standards for Conversions'!$A$47:$A$73,0))))</f>
        <v/>
      </c>
      <c r="KO110" s="48" t="s">
        <v>42</v>
      </c>
      <c r="KR110" s="31" t="str">
        <f>IF(KQ110/(INDEX('Standards for Conversions'!$H$47:$H$73,MATCH(KP$3,'Standards for Conversions'!$A$47:$A$73,0)))=0,"",KQ110/(INDEX('Standards for Conversions'!$H$47:$H$73,MATCH(KP$3,'Standards for Conversions'!$A$47:$A$73,0))))</f>
        <v/>
      </c>
      <c r="KS110" s="48" t="s">
        <v>42</v>
      </c>
      <c r="KT110" s="29">
        <v>15</v>
      </c>
      <c r="KU110" s="29">
        <v>350</v>
      </c>
      <c r="KV110" s="31">
        <f>IF(KU110/(INDEX('Standards for Conversions'!$H$47:$H$73,MATCH(KT$3,'Standards for Conversions'!$A$47:$A$73,0)))=0,"",KU110/(INDEX('Standards for Conversions'!$H$47:$H$73,MATCH(KT$3,'Standards for Conversions'!$A$47:$A$73,0))))</f>
        <v>42.565798354624711</v>
      </c>
      <c r="KW110" s="33"/>
      <c r="KZ110" s="31" t="str">
        <f>IF(KY110/(INDEX('Standards for Conversions'!$H$47:$H$73,MATCH(KX$3,'Standards for Conversions'!$A$47:$A$73,0)))=0,"",KY110/(INDEX('Standards for Conversions'!$H$47:$H$73,MATCH(KX$3,'Standards for Conversions'!$A$47:$A$73,0))))</f>
        <v/>
      </c>
      <c r="LD110" s="31" t="str">
        <f>IF(LC110/(INDEX('Standards for Conversions'!$H$47:$H$73,MATCH(LB$3,'Standards for Conversions'!$A$47:$A$73,0)))=0,"",LC110/(INDEX('Standards for Conversions'!$H$47:$H$73,MATCH(LB$3,'Standards for Conversions'!$A$47:$A$73,0))))</f>
        <v/>
      </c>
      <c r="LE110" s="48"/>
      <c r="LH110" s="31" t="str">
        <f>IF(LG110/(INDEX('Standards for Conversions'!$H$47:$H$73,MATCH(LF$3,'Standards for Conversions'!$A$47:$A$73,0)))=0,"",LG110/(INDEX('Standards for Conversions'!$H$47:$H$73,MATCH(LF$3,'Standards for Conversions'!$A$47:$A$73,0))))</f>
        <v/>
      </c>
      <c r="LL110" s="31" t="str">
        <f>IF(LK110/(INDEX('Standards for Conversions'!$H$47:$H$73,MATCH(LJ$3,'Standards for Conversions'!$A$47:$A$73,0)))=0,"",LK110/(INDEX('Standards for Conversions'!$H$47:$H$73,MATCH(LJ$3,'Standards for Conversions'!$A$47:$A$73,0))))</f>
        <v/>
      </c>
      <c r="LO110" s="31" t="str">
        <f>IF(LN110/(INDEX('Standards for Conversions'!$H$47:$H$73,MATCH(LM$3,'Standards for Conversions'!$A$47:$A$73,0)))=0,"",LN110/(INDEX('Standards for Conversions'!$H$47:$H$73,MATCH(LM$3,'Standards for Conversions'!$A$47:$A$73,0))))</f>
        <v/>
      </c>
      <c r="LR110" s="31" t="str">
        <f>IF(LQ110/(INDEX('Standards for Conversions'!$H$47:$H$73,MATCH(LP$3,'Standards for Conversions'!$A$47:$A$73,0)))=0,"",LQ110/(INDEX('Standards for Conversions'!$H$47:$H$73,MATCH(LP$3,'Standards for Conversions'!$A$47:$A$73,0))))</f>
        <v/>
      </c>
      <c r="LV110" s="31" t="str">
        <f>IF(LU110/(INDEX('Standards for Conversions'!$H$47:$H$73,MATCH(LT$3,'Standards for Conversions'!$A$47:$A$73,0)))=0,"",LU110/(INDEX('Standards for Conversions'!$H$47:$H$73,MATCH(LT$3,'Standards for Conversions'!$A$47:$A$73,0))))</f>
        <v/>
      </c>
      <c r="LY110" s="31" t="str">
        <f>IF(LX110/(INDEX('Standards for Conversions'!$H$47:$H$73,MATCH(LW$3,'Standards for Conversions'!$A$47:$A$73,0)))=0,"",LX110/(INDEX('Standards for Conversions'!$H$47:$H$73,MATCH(LW$3,'Standards for Conversions'!$A$47:$A$73,0))))</f>
        <v/>
      </c>
      <c r="MB110" s="31" t="str">
        <f>IF(MA110/(INDEX('Standards for Conversions'!$H$47:$H$73,MATCH(LZ$3,'Standards for Conversions'!$A$47:$A$73,0)))=0,"",MA110/(INDEX('Standards for Conversions'!$H$47:$H$73,MATCH(LZ$3,'Standards for Conversions'!$A$47:$A$73,0))))</f>
        <v/>
      </c>
      <c r="ME110" s="31" t="str">
        <f>IF(MD110/(INDEX('Standards for Conversions'!$H$47:$H$73,MATCH(MC$3,'Standards for Conversions'!$A$47:$A$73,0)))=0,"",MD110/(INDEX('Standards for Conversions'!$H$47:$H$73,MATCH(MC$3,'Standards for Conversions'!$A$47:$A$73,0))))</f>
        <v/>
      </c>
      <c r="MH110" s="31" t="str">
        <f>IF(MG110/(INDEX('Standards for Conversions'!$H$47:$H$73,MATCH(MF$3,'Standards for Conversions'!$A$47:$A$73,0)))=0,"",MG110/(INDEX('Standards for Conversions'!$H$47:$H$73,MATCH(MF$3,'Standards for Conversions'!$A$47:$A$73,0))))</f>
        <v/>
      </c>
      <c r="MK110" s="31" t="str">
        <f>IF(MJ110/(INDEX('Standards for Conversions'!$H$47:$H$73,MATCH(MI$3,'Standards for Conversions'!$A$47:$A$73,0)))=0,"",MJ110/(INDEX('Standards for Conversions'!$H$47:$H$73,MATCH(MI$3,'Standards for Conversions'!$A$47:$A$73,0))))</f>
        <v/>
      </c>
      <c r="MN110" s="31" t="str">
        <f>IF(MM110/(INDEX('Standards for Conversions'!$H$47:$H$73,MATCH(ML$3,'Standards for Conversions'!$A$47:$A$73,0)))=0,"",MM110/(INDEX('Standards for Conversions'!$H$47:$H$73,MATCH(ML$3,'Standards for Conversions'!$A$47:$A$73,0))))</f>
        <v/>
      </c>
      <c r="MR110" s="31" t="str">
        <f>IF(MQ110/(INDEX('Standards for Conversions'!$H$47:$H$73,MATCH(MP$3,'Standards for Conversions'!$A$47:$A$73,0)))=0,"",MQ110/(INDEX('Standards for Conversions'!$H$47:$H$73,MATCH(MP$3,'Standards for Conversions'!$A$47:$A$73,0))))</f>
        <v/>
      </c>
    </row>
    <row r="111" spans="1:373" hidden="1" x14ac:dyDescent="0.3">
      <c r="A111" s="103" t="s">
        <v>276</v>
      </c>
      <c r="B111" s="10" t="s">
        <v>42</v>
      </c>
      <c r="C111" s="7"/>
      <c r="D111" s="7"/>
      <c r="E111" s="31" t="str">
        <f>IF(D111/(INDEX('Standards for Conversions'!$H$34:$H$73,MATCH(C$3,'Standards for Conversions'!$A$34:$A$73,0)))=0,"",D111/(INDEX('Standards for Conversions'!$H$34:$H$73,MATCH(C$3,'Standards for Conversions'!$A$34:$A$73,0))))</f>
        <v/>
      </c>
      <c r="F111" s="10" t="s">
        <v>42</v>
      </c>
      <c r="G111" s="7"/>
      <c r="H111" s="7"/>
      <c r="I111" s="31" t="str">
        <f>IF(H111/(INDEX('Standards for Conversions'!$H$34:$H$73,MATCH(G$3,'Standards for Conversions'!$A$34:$A$73,0)))=0,"",H111/(INDEX('Standards for Conversions'!$H$34:$H$73,MATCH(G$3,'Standards for Conversions'!$A$34:$A$73,0))))</f>
        <v/>
      </c>
      <c r="J111" s="10" t="s">
        <v>42</v>
      </c>
      <c r="K111" s="9"/>
      <c r="L111" s="9"/>
      <c r="M111" s="31" t="str">
        <f>IF(L111/(INDEX('Standards for Conversions'!$H$34:$H$73,MATCH(K$3,'Standards for Conversions'!$A$34:$A$73,0)))=0,"",L111/(INDEX('Standards for Conversions'!$H$34:$H$73,MATCH(K$3,'Standards for Conversions'!$A$34:$A$73,0))))</f>
        <v/>
      </c>
      <c r="N111" s="10" t="s">
        <v>42</v>
      </c>
      <c r="O111" s="7"/>
      <c r="P111" s="7"/>
      <c r="Q111" s="31" t="str">
        <f>IF(P111/(INDEX('Standards for Conversions'!$H$34:$H$73,MATCH(O$3,'Standards for Conversions'!$A$34:$A$73,0)))=0,"",P111/(INDEX('Standards for Conversions'!$H$34:$H$73,MATCH(O$3,'Standards for Conversions'!$A$34:$A$73,0))))</f>
        <v/>
      </c>
      <c r="R111" s="10" t="s">
        <v>42</v>
      </c>
      <c r="S111" s="7"/>
      <c r="T111" s="7"/>
      <c r="U111" s="31" t="str">
        <f>IF(T111/(INDEX('Standards for Conversions'!$H$34:$H$73,MATCH(S$3,'Standards for Conversions'!$A$34:$A$73,0)))=0,"",T111/(INDEX('Standards for Conversions'!$H$34:$H$73,MATCH(S$3,'Standards for Conversions'!$A$34:$A$73,0))))</f>
        <v/>
      </c>
      <c r="V111" s="10" t="s">
        <v>42</v>
      </c>
      <c r="W111" s="7"/>
      <c r="X111" s="7"/>
      <c r="Y111" s="31" t="str">
        <f>IF(X111/(INDEX('Standards for Conversions'!$H$34:$H$73,MATCH(W$3,'Standards for Conversions'!$A$34:$A$73,0)))=0,"",X111/(INDEX('Standards for Conversions'!$H$34:$H$73,MATCH(W$3,'Standards for Conversions'!$A$34:$A$73,0))))</f>
        <v/>
      </c>
      <c r="Z111" s="10" t="s">
        <v>42</v>
      </c>
      <c r="AA111" s="9"/>
      <c r="AB111" s="9"/>
      <c r="AC111" s="31" t="str">
        <f>IF(AB111/(INDEX('Standards for Conversions'!$H$34:$H$73,MATCH(AA$3,'Standards for Conversions'!$A$34:$A$73,0)))=0,"",AB111/(INDEX('Standards for Conversions'!$H$34:$H$73,MATCH(AA$3,'Standards for Conversions'!$A$34:$A$73,0))))</f>
        <v/>
      </c>
      <c r="AD111" s="10" t="s">
        <v>42</v>
      </c>
      <c r="AE111" s="7"/>
      <c r="AF111" s="7"/>
      <c r="AG111" s="31" t="str">
        <f>IF(AF111/(INDEX('Standards for Conversions'!$H$34:$H$73,MATCH(AE$3,'Standards for Conversions'!$A$34:$A$73,0)))=0,"",AF111/(INDEX('Standards for Conversions'!$H$34:$H$73,MATCH(AE$3,'Standards for Conversions'!$A$34:$A$73,0))))</f>
        <v/>
      </c>
      <c r="AH111" s="10" t="s">
        <v>42</v>
      </c>
      <c r="AI111" s="7"/>
      <c r="AJ111" s="7"/>
      <c r="AK111" s="31" t="str">
        <f>IF(AJ111/(INDEX('Standards for Conversions'!$H$34:$H$73,MATCH(AI$3,'Standards for Conversions'!$A$34:$A$73,0)))=0,"",AJ111/(INDEX('Standards for Conversions'!$H$34:$H$73,MATCH(AI$3,'Standards for Conversions'!$A$34:$A$73,0))))</f>
        <v/>
      </c>
      <c r="AL111" s="10" t="s">
        <v>42</v>
      </c>
      <c r="AM111" s="7"/>
      <c r="AN111" s="7"/>
      <c r="AO111" s="31" t="str">
        <f>IF(AN111/(INDEX('Standards for Conversions'!$H$34:$H$73,MATCH(AM$3,'Standards for Conversions'!$A$34:$A$73,0)))=0,"",AN111/(INDEX('Standards for Conversions'!$H$34:$H$73,MATCH(AM$3,'Standards for Conversions'!$A$34:$A$73,0))))</f>
        <v/>
      </c>
      <c r="AP111" s="10" t="s">
        <v>42</v>
      </c>
      <c r="AQ111" s="9"/>
      <c r="AR111" s="9"/>
      <c r="AS111" s="31" t="str">
        <f>IF(AR111/(INDEX('Standards for Conversions'!$H$34:$H$73,MATCH(AQ$3,'Standards for Conversions'!$A$34:$A$73,0)))=0,"",AR111/(INDEX('Standards for Conversions'!$H$34:$H$73,MATCH(AQ$3,'Standards for Conversions'!$A$34:$A$73,0))))</f>
        <v/>
      </c>
      <c r="AT111" s="10" t="s">
        <v>42</v>
      </c>
      <c r="AU111" s="7"/>
      <c r="AV111" s="7"/>
      <c r="AW111" s="31" t="str">
        <f>IF(AV111/(INDEX('Standards for Conversions'!$H$34:$H$73,MATCH(AU$3,'Standards for Conversions'!$A$34:$A$73,0)))=0,"",AV111/(INDEX('Standards for Conversions'!$H$34:$H$73,MATCH(AU$3,'Standards for Conversions'!$A$34:$A$73,0))))</f>
        <v/>
      </c>
      <c r="AX111" s="10" t="s">
        <v>42</v>
      </c>
      <c r="AY111" s="7"/>
      <c r="AZ111" s="7"/>
      <c r="BA111" s="31" t="str">
        <f>IF(AZ111/(INDEX('Standards for Conversions'!$H$34:$H$73,MATCH(AY$3,'Standards for Conversions'!$A$34:$A$73,0)))=0,"",AZ111/(INDEX('Standards for Conversions'!$H$34:$H$73,MATCH(AY$3,'Standards for Conversions'!$A$34:$A$73,0))))</f>
        <v/>
      </c>
      <c r="BB111" s="10" t="s">
        <v>42</v>
      </c>
      <c r="BC111" s="7"/>
      <c r="BD111" s="7"/>
      <c r="BE111" s="31" t="str">
        <f>IF(BD111/(INDEX('Standards for Conversions'!$H$34:$H$73,MATCH(BC$3,'Standards for Conversions'!$A$34:$A$73,0)))=0,"",BD111/(INDEX('Standards for Conversions'!$H$34:$H$73,MATCH(BC$3,'Standards for Conversions'!$A$34:$A$73,0))))</f>
        <v/>
      </c>
      <c r="BF111" s="10" t="s">
        <v>42</v>
      </c>
      <c r="BG111" s="9"/>
      <c r="BH111" s="9"/>
      <c r="BI111" s="31" t="str">
        <f>IF(BH111/(INDEX('Standards for Conversions'!$H$34:$H$73,MATCH(BG$3,'Standards for Conversions'!$A$34:$A$73,0)))=0,"",BH111/(INDEX('Standards for Conversions'!$H$34:$H$73,MATCH(BG$3,'Standards for Conversions'!$A$34:$A$73,0))))</f>
        <v/>
      </c>
      <c r="BJ111" s="10" t="s">
        <v>42</v>
      </c>
      <c r="BK111" s="7"/>
      <c r="BL111" s="7"/>
      <c r="BM111" s="31" t="str">
        <f>IF(BL111/(INDEX('Standards for Conversions'!$H$34:$H$73,MATCH(BK$3,'Standards for Conversions'!$A$34:$A$73,0)))=0,"",BL111/(INDEX('Standards for Conversions'!$H$34:$H$73,MATCH(BK$3,'Standards for Conversions'!$A$34:$A$73,0))))</f>
        <v/>
      </c>
      <c r="BN111" s="10" t="s">
        <v>42</v>
      </c>
      <c r="BO111" s="7"/>
      <c r="BP111" s="7"/>
      <c r="BQ111" s="31" t="str">
        <f>IF(BP111/(INDEX('Standards for Conversions'!$H$34:$H$73,MATCH(BO$3,'Standards for Conversions'!$A$34:$A$73,0)))=0,"",BP111/(INDEX('Standards for Conversions'!$H$34:$H$73,MATCH(BO$3,'Standards for Conversions'!$A$34:$A$73,0))))</f>
        <v/>
      </c>
      <c r="BR111" s="10" t="s">
        <v>42</v>
      </c>
      <c r="BS111" s="7"/>
      <c r="BT111" s="7"/>
      <c r="BU111" s="31" t="str">
        <f>IF(BT111/(INDEX('Standards for Conversions'!$H$34:$H$73,MATCH(BS$3,'Standards for Conversions'!$A$34:$A$73,0)))=0,"",BT111/(INDEX('Standards for Conversions'!$H$34:$H$73,MATCH(BS$3,'Standards for Conversions'!$A$34:$A$73,0))))</f>
        <v/>
      </c>
      <c r="BV111" s="10" t="s">
        <v>42</v>
      </c>
      <c r="BW111" s="9"/>
      <c r="BX111" s="9"/>
      <c r="BY111" s="31" t="str">
        <f>IF(BX111/(INDEX('Standards for Conversions'!$H$34:$H$73,MATCH(BW$3,'Standards for Conversions'!$A$34:$A$73,0)))=0,"",BX111/(INDEX('Standards for Conversions'!$H$34:$H$73,MATCH(BW$3,'Standards for Conversions'!$A$34:$A$73,0))))</f>
        <v/>
      </c>
      <c r="BZ111" s="10" t="s">
        <v>42</v>
      </c>
      <c r="CA111" s="7"/>
      <c r="CB111" s="7"/>
      <c r="CC111" s="31" t="str">
        <f>IF(CB111/(INDEX('Standards for Conversions'!$H$34:$H$73,MATCH(CA$3,'Standards for Conversions'!$A$34:$A$73,0)))=0,"",CB111/(INDEX('Standards for Conversions'!$H$34:$H$73,MATCH(CA$3,'Standards for Conversions'!$A$34:$A$73,0))))</f>
        <v/>
      </c>
      <c r="CD111" s="10" t="s">
        <v>42</v>
      </c>
      <c r="CE111" s="7"/>
      <c r="CF111" s="7"/>
      <c r="CG111" s="31" t="str">
        <f>IF(CF111/(INDEX('Standards for Conversions'!$H$34:$H$73,MATCH(CE$3,'Standards for Conversions'!$A$34:$A$73,0)))=0,"",CF111/(INDEX('Standards for Conversions'!$H$34:$H$73,MATCH(CE$3,'Standards for Conversions'!$A$34:$A$73,0))))</f>
        <v/>
      </c>
      <c r="CH111" s="10" t="s">
        <v>42</v>
      </c>
      <c r="CI111" s="7"/>
      <c r="CJ111" s="7"/>
      <c r="CK111" s="31" t="str">
        <f>IF(CJ111/(INDEX('Standards for Conversions'!$H$34:$H$73,MATCH(CI$3,'Standards for Conversions'!$A$34:$A$73,0)))=0,"",CJ111/(INDEX('Standards for Conversions'!$H$34:$H$73,MATCH(CI$3,'Standards for Conversions'!$A$34:$A$73,0))))</f>
        <v/>
      </c>
      <c r="CL111" s="10" t="s">
        <v>42</v>
      </c>
      <c r="CM111" s="9"/>
      <c r="CN111" s="9"/>
      <c r="CO111" s="31" t="str">
        <f>IF(CN111/(INDEX('Standards for Conversions'!$H$34:$H$73,MATCH(CM$3,'Standards for Conversions'!$A$34:$A$73,0)))=0,"",CN111/(INDEX('Standards for Conversions'!$H$34:$H$73,MATCH(CM$3,'Standards for Conversions'!$A$34:$A$73,0))))</f>
        <v/>
      </c>
      <c r="CP111" s="10" t="s">
        <v>42</v>
      </c>
      <c r="CQ111" s="7"/>
      <c r="CR111" s="7"/>
      <c r="CS111" s="31" t="str">
        <f>IF(CR111/(INDEX('Standards for Conversions'!$H$34:$H$73,MATCH(CQ$3,'Standards for Conversions'!$A$34:$A$73,0)))=0,"",CR111/(INDEX('Standards for Conversions'!$H$34:$H$73,MATCH(CQ$3,'Standards for Conversions'!$A$34:$A$73,0))))</f>
        <v/>
      </c>
      <c r="CT111" s="10" t="s">
        <v>42</v>
      </c>
      <c r="CU111" s="7"/>
      <c r="CV111" s="7"/>
      <c r="CW111" s="31" t="str">
        <f>IF(CV111/(INDEX('Standards for Conversions'!$H$34:$H$73,MATCH(CU$3,'Standards for Conversions'!$A$34:$A$73,0)))=0,"",CV111/(INDEX('Standards for Conversions'!$H$34:$H$73,MATCH(CU$3,'Standards for Conversions'!$A$34:$A$73,0))))</f>
        <v/>
      </c>
      <c r="CX111" s="10" t="s">
        <v>42</v>
      </c>
      <c r="CY111" s="7"/>
      <c r="CZ111" s="7"/>
      <c r="DA111" s="31" t="str">
        <f>IF(CZ111/(INDEX('Standards for Conversions'!$H$34:$H$73,MATCH(CY$3,'Standards for Conversions'!$A$34:$A$73,0)))=0,"",CZ111/(INDEX('Standards for Conversions'!$H$34:$H$73,MATCH(CY$3,'Standards for Conversions'!$A$34:$A$73,0))))</f>
        <v/>
      </c>
      <c r="DB111" s="10" t="s">
        <v>42</v>
      </c>
      <c r="DC111" s="9"/>
      <c r="DD111" s="9"/>
      <c r="DE111" s="31" t="str">
        <f>IF(DD111/(INDEX('Standards for Conversions'!$H$34:$H$73,MATCH(DC$3,'Standards for Conversions'!$A$34:$A$73,0)))=0,"",DD111/(INDEX('Standards for Conversions'!$H$34:$H$73,MATCH(DC$3,'Standards for Conversions'!$A$34:$A$73,0))))</f>
        <v/>
      </c>
      <c r="DF111" s="10" t="s">
        <v>42</v>
      </c>
      <c r="DG111" s="7"/>
      <c r="DH111" s="7"/>
      <c r="DI111" s="31" t="str">
        <f>IF(DH111/(INDEX('Standards for Conversions'!$H$34:$H$73,MATCH(DG$3,'Standards for Conversions'!$A$34:$A$73,0)))=0,"",DH111/(INDEX('Standards for Conversions'!$H$34:$H$73,MATCH(DG$3,'Standards for Conversions'!$A$34:$A$73,0))))</f>
        <v/>
      </c>
      <c r="DJ111" s="10" t="s">
        <v>42</v>
      </c>
      <c r="DK111" s="7"/>
      <c r="DL111" s="7"/>
      <c r="DM111" s="31" t="str">
        <f>IF(DL111/(INDEX('Standards for Conversions'!$H$34:$H$73,MATCH(DK$3,'Standards for Conversions'!$A$34:$A$73,0)))=0,"",DL111/(INDEX('Standards for Conversions'!$H$34:$H$73,MATCH(DK$3,'Standards for Conversions'!$A$34:$A$73,0))))</f>
        <v/>
      </c>
      <c r="DN111" s="10" t="s">
        <v>42</v>
      </c>
      <c r="DO111" s="7"/>
      <c r="DP111" s="7"/>
      <c r="DQ111" s="31" t="str">
        <f>IF(DP111/(INDEX('Standards for Conversions'!$H$34:$H$73,MATCH(DO$3,'Standards for Conversions'!$A$34:$A$73,0)))=0,"",DP111/(INDEX('Standards for Conversions'!$H$34:$H$73,MATCH(DO$3,'Standards for Conversions'!$A$34:$A$73,0))))</f>
        <v/>
      </c>
      <c r="DR111" s="10" t="s">
        <v>42</v>
      </c>
      <c r="DS111" s="9"/>
      <c r="DT111" s="9"/>
      <c r="DU111" s="31" t="str">
        <f>IF(DT111/(INDEX('Standards for Conversions'!$H$34:$H$73,MATCH(DS$3,'Standards for Conversions'!$A$34:$A$73,0)))=0,"",DT111/(INDEX('Standards for Conversions'!$H$34:$H$73,MATCH(DS$3,'Standards for Conversions'!$A$34:$A$73,0))))</f>
        <v/>
      </c>
      <c r="DV111" s="10" t="s">
        <v>42</v>
      </c>
      <c r="DW111" s="7"/>
      <c r="DX111" s="7"/>
      <c r="DY111" s="31" t="str">
        <f>IF(DX111/(INDEX('Standards for Conversions'!$H$34:$H$73,MATCH(DW$3,'Standards for Conversions'!$A$34:$A$73,0)))=0,"",DX111/(INDEX('Standards for Conversions'!$H$34:$H$73,MATCH(DW$3,'Standards for Conversions'!$A$34:$A$73,0))))</f>
        <v/>
      </c>
      <c r="DZ111" s="10" t="s">
        <v>42</v>
      </c>
      <c r="EA111" s="7"/>
      <c r="EB111" s="7"/>
      <c r="EC111" s="31" t="str">
        <f>IF(EB111/(INDEX('Standards for Conversions'!$H$34:$H$73,MATCH(EA$3,'Standards for Conversions'!$A$34:$A$73,0)))=0,"",EB111/(INDEX('Standards for Conversions'!$H$34:$H$73,MATCH(EA$3,'Standards for Conversions'!$A$34:$A$73,0))))</f>
        <v/>
      </c>
      <c r="ED111" s="10" t="s">
        <v>42</v>
      </c>
      <c r="EE111" s="7"/>
      <c r="EF111" s="7"/>
      <c r="EG111" s="31" t="str">
        <f>IF(EF111/(INDEX('Standards for Conversions'!$H$34:$H$73,MATCH(EE$3,'Standards for Conversions'!$A$34:$A$73,0)))=0,"",EF111/(INDEX('Standards for Conversions'!$H$34:$H$73,MATCH(EE$3,'Standards for Conversions'!$A$34:$A$73,0))))</f>
        <v/>
      </c>
      <c r="EH111" s="10" t="s">
        <v>42</v>
      </c>
      <c r="EI111" s="9"/>
      <c r="EJ111" s="9"/>
      <c r="EK111" s="31" t="str">
        <f>IF(EJ111/(INDEX('Standards for Conversions'!$H$34:$H$73,MATCH(EI$3,'Standards for Conversions'!$A$34:$A$73,0)))=0,"",EJ111/(INDEX('Standards for Conversions'!$H$34:$H$73,MATCH(EI$3,'Standards for Conversions'!$A$34:$A$73,0))))</f>
        <v/>
      </c>
      <c r="EL111" s="10" t="s">
        <v>42</v>
      </c>
      <c r="EM111" s="7"/>
      <c r="EN111" s="7"/>
      <c r="EO111" s="31" t="str">
        <f>IF(EN111/(INDEX('Standards for Conversions'!$H$34:$H$73,MATCH(EM$3,'Standards for Conversions'!$A$34:$A$73,0)))=0,"",EN111/(INDEX('Standards for Conversions'!$H$34:$H$73,MATCH(EM$3,'Standards for Conversions'!$A$34:$A$73,0))))</f>
        <v/>
      </c>
      <c r="EP111" s="10" t="s">
        <v>42</v>
      </c>
      <c r="EQ111" s="7"/>
      <c r="ER111" s="7"/>
      <c r="ES111" s="31" t="str">
        <f>IF(ER111/(INDEX('Standards for Conversions'!$H$34:$H$73,MATCH(EQ$3,'Standards for Conversions'!$A$34:$A$73,0)))=0,"",ER111/(INDEX('Standards for Conversions'!$H$34:$H$73,MATCH(EQ$3,'Standards for Conversions'!$A$34:$A$73,0))))</f>
        <v/>
      </c>
      <c r="ET111" s="10" t="s">
        <v>42</v>
      </c>
      <c r="EU111" s="7"/>
      <c r="EV111" s="7"/>
      <c r="EW111" s="31" t="str">
        <f>IF(EV111/(INDEX('Standards for Conversions'!$H$34:$H$73,MATCH(EU$3,'Standards for Conversions'!$A$34:$A$73,0)))=0,"",EV111/(INDEX('Standards for Conversions'!$H$34:$H$73,MATCH(EU$3,'Standards for Conversions'!$A$34:$A$73,0))))</f>
        <v/>
      </c>
      <c r="EX111" s="10" t="s">
        <v>42</v>
      </c>
      <c r="EY111" s="9"/>
      <c r="EZ111" s="9"/>
      <c r="FA111" s="31" t="str">
        <f>IF(EZ111/(INDEX('Standards for Conversions'!$H$34:$H$73,MATCH(EY$3,'Standards for Conversions'!$A$34:$A$73,0)))=0,"",EZ111/(INDEX('Standards for Conversions'!$H$34:$H$73,MATCH(EY$3,'Standards for Conversions'!$A$34:$A$73,0))))</f>
        <v/>
      </c>
      <c r="FB111" s="10" t="s">
        <v>42</v>
      </c>
      <c r="FC111" s="7"/>
      <c r="FD111" s="7"/>
      <c r="FE111" s="31" t="str">
        <f>IF(FD111/(INDEX('Standards for Conversions'!$H$34:$H$73,MATCH(FC$3,'Standards for Conversions'!$A$34:$A$73,0)))=0,"",FD111/(INDEX('Standards for Conversions'!$H$34:$H$73,MATCH(FC$3,'Standards for Conversions'!$A$34:$A$73,0))))</f>
        <v/>
      </c>
      <c r="FF111" s="10" t="s">
        <v>42</v>
      </c>
      <c r="FG111" s="7"/>
      <c r="FH111" s="7"/>
      <c r="FI111" s="31" t="str">
        <f>IF(FH111/(INDEX('Standards for Conversions'!$H$34:$H$73,MATCH(FG$3,'Standards for Conversions'!$A$34:$A$73,0)))=0,"",FH111/(INDEX('Standards for Conversions'!$H$34:$H$73,MATCH(FG$3,'Standards for Conversions'!$A$34:$A$73,0))))</f>
        <v/>
      </c>
      <c r="FJ111" s="10" t="s">
        <v>42</v>
      </c>
      <c r="FK111" s="7"/>
      <c r="FL111" s="7"/>
      <c r="FM111" s="31" t="str">
        <f>IF(FL111/(INDEX('Standards for Conversions'!$H$34:$H$73,MATCH(FK$3,'Standards for Conversions'!$A$34:$A$73,0)))=0,"",FL111/(INDEX('Standards for Conversions'!$H$34:$H$73,MATCH(FK$3,'Standards for Conversions'!$A$34:$A$73,0))))</f>
        <v/>
      </c>
      <c r="FN111" s="10" t="s">
        <v>42</v>
      </c>
      <c r="FO111" s="9"/>
      <c r="FP111" s="9"/>
      <c r="FQ111" s="31" t="str">
        <f>IF(FP111/(INDEX('Standards for Conversions'!$H$34:$H$73,MATCH(FO$3,'Standards for Conversions'!$A$34:$A$73,0)))=0,"",FP111/(INDEX('Standards for Conversions'!$H$34:$H$73,MATCH(FO$3,'Standards for Conversions'!$A$34:$A$73,0))))</f>
        <v/>
      </c>
      <c r="FR111" s="10" t="s">
        <v>42</v>
      </c>
      <c r="FS111" s="7"/>
      <c r="FT111" s="7"/>
      <c r="FU111" s="31" t="str">
        <f>IF(FT111/(INDEX('Standards for Conversions'!$H$34:$H$73,MATCH(FS$3,'Standards for Conversions'!$A$34:$A$73,0)))=0,"",FT111/(INDEX('Standards for Conversions'!$H$34:$H$73,MATCH(FS$3,'Standards for Conversions'!$A$34:$A$73,0))))</f>
        <v/>
      </c>
      <c r="FV111" s="10" t="s">
        <v>42</v>
      </c>
      <c r="FW111" s="7"/>
      <c r="FX111" s="7"/>
      <c r="FY111" s="31" t="str">
        <f>IF(FX111/(INDEX('Standards for Conversions'!$H$34:$H$73,MATCH(FW$3,'Standards for Conversions'!$A$34:$A$73,0)))=0,"",FX111/(INDEX('Standards for Conversions'!$H$34:$H$73,MATCH(FW$3,'Standards for Conversions'!$A$34:$A$73,0))))</f>
        <v/>
      </c>
      <c r="FZ111" s="10" t="s">
        <v>42</v>
      </c>
      <c r="GA111" s="7"/>
      <c r="GB111" s="7"/>
      <c r="GC111" s="31" t="str">
        <f>IF(GB111/(INDEX('Standards for Conversions'!$H$34:$H$73,MATCH(GA$3,'Standards for Conversions'!$A$34:$A$73,0)))=0,"",GB111/(INDEX('Standards for Conversions'!$H$34:$H$73,MATCH(GA$3,'Standards for Conversions'!$A$34:$A$73,0))))</f>
        <v/>
      </c>
      <c r="GD111" s="10" t="s">
        <v>42</v>
      </c>
      <c r="GE111" s="9"/>
      <c r="GF111" s="9"/>
      <c r="GG111" s="31" t="str">
        <f>IF(GF111/(INDEX('Standards for Conversions'!$H$34:$H$73,MATCH(GE$3,'Standards for Conversions'!$A$34:$A$73,0)))=0,"",GF111/(INDEX('Standards for Conversions'!$H$34:$H$73,MATCH(GE$3,'Standards for Conversions'!$A$34:$A$73,0))))</f>
        <v/>
      </c>
      <c r="GH111" s="10" t="s">
        <v>42</v>
      </c>
      <c r="GI111" s="7"/>
      <c r="GJ111" s="7"/>
      <c r="GK111" s="31" t="str">
        <f>IF(GJ111/(INDEX('Standards for Conversions'!$H$34:$H$73,MATCH(GI$3,'Standards for Conversions'!$A$34:$A$73,0)))=0,"",GJ111/(INDEX('Standards for Conversions'!$H$34:$H$73,MATCH(GI$3,'Standards for Conversions'!$A$34:$A$73,0))))</f>
        <v/>
      </c>
      <c r="GL111" s="10" t="s">
        <v>42</v>
      </c>
      <c r="GM111" s="7"/>
      <c r="GN111" s="7"/>
      <c r="GO111" s="31" t="str">
        <f>IF(GN111/(INDEX('Standards for Conversions'!$H$34:$H$73,MATCH(GM$3,'Standards for Conversions'!$A$34:$A$73,0)))=0,"",GN111/(INDEX('Standards for Conversions'!$H$34:$H$73,MATCH(GM$3,'Standards for Conversions'!$A$34:$A$73,0))))</f>
        <v/>
      </c>
      <c r="GP111" s="10" t="s">
        <v>42</v>
      </c>
      <c r="GQ111" s="7"/>
      <c r="GR111" s="7"/>
      <c r="GS111" s="31" t="str">
        <f>IF(GR111/(INDEX('Standards for Conversions'!$H$34:$H$73,MATCH(GQ$3,'Standards for Conversions'!$A$34:$A$73,0)))=0,"",GR111/(INDEX('Standards for Conversions'!$H$34:$H$73,MATCH(GQ$3,'Standards for Conversions'!$A$34:$A$73,0))))</f>
        <v/>
      </c>
      <c r="GT111" s="10" t="s">
        <v>42</v>
      </c>
      <c r="GU111" s="9"/>
      <c r="GV111" s="9"/>
      <c r="GW111" s="31" t="str">
        <f>IF(GV111/(INDEX('Standards for Conversions'!$H$34:$H$73,MATCH(GU$3,'Standards for Conversions'!$A$34:$A$73,0)))=0,"",GV111/(INDEX('Standards for Conversions'!$H$34:$H$73,MATCH(GU$3,'Standards for Conversions'!$A$34:$A$73,0))))</f>
        <v/>
      </c>
      <c r="GX111" s="10" t="s">
        <v>42</v>
      </c>
      <c r="GY111" s="7"/>
      <c r="GZ111" s="7"/>
      <c r="HA111" s="31" t="str">
        <f>IF(GZ111/(INDEX('Standards for Conversions'!$H$34:$H$73,MATCH(GY$3,'Standards for Conversions'!$A$34:$A$73,0)))=0,"",GZ111/(INDEX('Standards for Conversions'!$H$34:$H$73,MATCH(GY$3,'Standards for Conversions'!$A$34:$A$73,0))))</f>
        <v/>
      </c>
      <c r="HB111" s="10" t="s">
        <v>42</v>
      </c>
      <c r="HC111" s="7"/>
      <c r="HD111" s="7"/>
      <c r="HE111" s="31" t="str">
        <f>IF(HD111/(INDEX('Standards for Conversions'!$H$34:$H$73,MATCH(HC$3,'Standards for Conversions'!$A$34:$A$73,0)))=0,"",HD111/(INDEX('Standards for Conversions'!$H$34:$H$73,MATCH(HC$3,'Standards for Conversions'!$A$34:$A$73,0))))</f>
        <v/>
      </c>
      <c r="HF111" s="10" t="s">
        <v>42</v>
      </c>
      <c r="HG111" s="7"/>
      <c r="HH111" s="7"/>
      <c r="HI111" s="31" t="str">
        <f>IF(HH111/(INDEX('Standards for Conversions'!$H$34:$H$73,MATCH(HG$3,'Standards for Conversions'!$A$34:$A$73,0)))=0,"",HH111/(INDEX('Standards for Conversions'!$H$34:$H$73,MATCH(HG$3,'Standards for Conversions'!$A$34:$A$73,0))))</f>
        <v/>
      </c>
      <c r="HJ111" s="10" t="s">
        <v>42</v>
      </c>
      <c r="HK111" s="9"/>
      <c r="HL111" s="9"/>
      <c r="HM111" s="31" t="str">
        <f>IF(HL111/(INDEX('Standards for Conversions'!$H$34:$H$73,MATCH(HK$3,'Standards for Conversions'!$A$34:$A$73,0)))=0,"",HL111/(INDEX('Standards for Conversions'!$H$34:$H$73,MATCH(HK$3,'Standards for Conversions'!$A$34:$A$73,0))))</f>
        <v/>
      </c>
      <c r="HN111" s="10" t="s">
        <v>42</v>
      </c>
      <c r="HO111" s="7"/>
      <c r="HP111" s="7"/>
      <c r="HQ111" s="31" t="str">
        <f>IF(HP111/(INDEX('Standards for Conversions'!$H$34:$H$73,MATCH(HO$3,'Standards for Conversions'!$A$34:$A$73,0)))=0,"",HP111/(INDEX('Standards for Conversions'!$H$34:$H$73,MATCH(HO$3,'Standards for Conversions'!$A$34:$A$73,0))))</f>
        <v/>
      </c>
      <c r="HR111" s="33" t="s">
        <v>42</v>
      </c>
      <c r="HU111" s="31" t="str">
        <f>IF(HT111/(INDEX('Standards for Conversions'!$H$47:$H$73,MATCH(HS$3,'Standards for Conversions'!$A$47:$A$73,0)))=0,"",HT111/(INDEX('Standards for Conversions'!$H$47:$H$73,MATCH(HS$3,'Standards for Conversions'!$A$47:$A$73,0))))</f>
        <v/>
      </c>
      <c r="HV111" s="33" t="s">
        <v>42</v>
      </c>
      <c r="HY111" s="31" t="str">
        <f>IF(HX111/(INDEX('Standards for Conversions'!$H$47:$H$73,MATCH(HW$3,'Standards for Conversions'!$A$47:$A$73,0)))=0,"",HX111/(INDEX('Standards for Conversions'!$H$47:$H$73,MATCH(HW$3,'Standards for Conversions'!$A$47:$A$73,0))))</f>
        <v/>
      </c>
      <c r="HZ111" s="33"/>
      <c r="IA111" s="33"/>
      <c r="IB111" s="31" t="str">
        <f>IF(IA111/(INDEX('Standards for Conversions'!$H$47:$H$73,MATCH(HZ$3,'Standards for Conversions'!$A$47:$A$73,0)))=0,"",IA111/(INDEX('Standards for Conversions'!$H$47:$H$73,MATCH(HZ$3,'Standards for Conversions'!$A$47:$A$73,0))))</f>
        <v/>
      </c>
      <c r="IC111" s="33" t="s">
        <v>42</v>
      </c>
      <c r="ID111" s="29">
        <v>10</v>
      </c>
      <c r="IE111" s="29">
        <v>50</v>
      </c>
      <c r="IF111" s="31">
        <f>IF(IE111/(INDEX('Standards for Conversions'!$H$47:$H$73,MATCH(ID$3,'Standards for Conversions'!$A$47:$A$73,0)))=0,"",IE111/(INDEX('Standards for Conversions'!$H$47:$H$73,MATCH(ID$3,'Standards for Conversions'!$A$47:$A$73,0))))</f>
        <v>7.2622706106427977</v>
      </c>
      <c r="IG111" s="33" t="s">
        <v>42</v>
      </c>
      <c r="IJ111" s="31" t="str">
        <f>IF(II111/(INDEX('Standards for Conversions'!$H$47:$H$73,MATCH(IH$3,'Standards for Conversions'!$A$47:$A$73,0)))=0,"",II111/(INDEX('Standards for Conversions'!$H$47:$H$73,MATCH(IH$3,'Standards for Conversions'!$A$47:$A$73,0))))</f>
        <v/>
      </c>
      <c r="IK111" s="33" t="s">
        <v>42</v>
      </c>
      <c r="IN111" s="31" t="str">
        <f>IF(IM111/(INDEX('Standards for Conversions'!$H$47:$H$73,MATCH(IL$3,'Standards for Conversions'!$A$47:$A$73,0)))=0,"",IM111/(INDEX('Standards for Conversions'!$H$47:$H$73,MATCH(IL$3,'Standards for Conversions'!$A$47:$A$73,0))))</f>
        <v/>
      </c>
      <c r="IO111" s="33" t="s">
        <v>42</v>
      </c>
      <c r="IR111" s="31" t="str">
        <f>IF(IQ111/(INDEX('Standards for Conversions'!$H$47:$H$73,MATCH(IP$3,'Standards for Conversions'!$A$47:$A$73,0)))=0,"",IQ111/(INDEX('Standards for Conversions'!$H$47:$H$73,MATCH(IP$3,'Standards for Conversions'!$A$47:$A$73,0))))</f>
        <v/>
      </c>
      <c r="IS111" s="33" t="s">
        <v>42</v>
      </c>
      <c r="IT111" s="29">
        <v>11</v>
      </c>
      <c r="IU111" s="29">
        <v>60</v>
      </c>
      <c r="IV111" s="31">
        <f>IF(IU111/(INDEX('Standards for Conversions'!$H$47:$H$73,MATCH(IT$3,'Standards for Conversions'!$A$47:$A$73,0)))=0,"",IU111/(INDEX('Standards for Conversions'!$H$47:$H$73,MATCH(IT$3,'Standards for Conversions'!$A$47:$A$73,0))))</f>
        <v>8.676613691665942</v>
      </c>
      <c r="IW111" s="33" t="s">
        <v>42</v>
      </c>
      <c r="IZ111" s="31" t="str">
        <f>IF(IY111/(INDEX('Standards for Conversions'!$H$47:$H$73,MATCH(IX$3,'Standards for Conversions'!$A$47:$A$73,0)))=0,"",IY111/(INDEX('Standards for Conversions'!$H$47:$H$73,MATCH(IX$3,'Standards for Conversions'!$A$47:$A$73,0))))</f>
        <v/>
      </c>
      <c r="JA111" s="33" t="s">
        <v>42</v>
      </c>
      <c r="JD111" s="31" t="str">
        <f>IF(JC111/(INDEX('Standards for Conversions'!$H$47:$H$73,MATCH(JB$3,'Standards for Conversions'!$A$47:$A$73,0)))=0,"",JC111/(INDEX('Standards for Conversions'!$H$47:$H$73,MATCH(JB$3,'Standards for Conversions'!$A$47:$A$73,0))))</f>
        <v/>
      </c>
      <c r="JE111" s="33" t="s">
        <v>42</v>
      </c>
      <c r="JH111" s="31" t="str">
        <f>IF(JG111/(INDEX('Standards for Conversions'!$H$47:$H$73,MATCH(JF$3,'Standards for Conversions'!$A$47:$A$73,0)))=0,"",JG111/(INDEX('Standards for Conversions'!$H$47:$H$73,MATCH(JF$3,'Standards for Conversions'!$A$47:$A$73,0))))</f>
        <v/>
      </c>
      <c r="JI111" s="48" t="s">
        <v>42</v>
      </c>
      <c r="JJ111" s="29">
        <v>10</v>
      </c>
      <c r="JK111" s="29">
        <v>50</v>
      </c>
      <c r="JL111" s="31">
        <f>IF(JK111/(INDEX('Standards for Conversions'!$H$47:$H$73,MATCH(JJ$3,'Standards for Conversions'!$A$47:$A$73,0)))=0,"",JK111/(INDEX('Standards for Conversions'!$H$47:$H$73,MATCH(JJ$3,'Standards for Conversions'!$A$47:$A$73,0))))</f>
        <v>8.0880098345934339</v>
      </c>
      <c r="JM111" s="33" t="s">
        <v>40</v>
      </c>
      <c r="JP111" s="31" t="str">
        <f>IF(JO111/(INDEX('Standards for Conversions'!$H$47:$H$73,MATCH(JN$3,'Standards for Conversions'!$A$47:$A$73,0)))=0,"",JO111/(INDEX('Standards for Conversions'!$H$47:$H$73,MATCH(JN$3,'Standards for Conversions'!$A$47:$A$73,0))))</f>
        <v/>
      </c>
      <c r="JQ111" s="33" t="s">
        <v>40</v>
      </c>
      <c r="JT111" s="31" t="str">
        <f>IF(JS111/(INDEX('Standards for Conversions'!$H$47:$H$73,MATCH(JR$3,'Standards for Conversions'!$A$47:$A$73,0)))=0,"",JS111/(INDEX('Standards for Conversions'!$H$47:$H$73,MATCH(JR$3,'Standards for Conversions'!$A$47:$A$73,0))))</f>
        <v/>
      </c>
      <c r="JU111" s="33" t="s">
        <v>40</v>
      </c>
      <c r="JX111" s="31" t="str">
        <f>IF(JW111/(INDEX('Standards for Conversions'!$H$47:$H$73,MATCH(JV$3,'Standards for Conversions'!$A$47:$A$73,0)))=0,"",JW111/(INDEX('Standards for Conversions'!$H$47:$H$73,MATCH(JV$3,'Standards for Conversions'!$A$47:$A$73,0))))</f>
        <v/>
      </c>
      <c r="JY111" s="33" t="s">
        <v>40</v>
      </c>
      <c r="JZ111" s="29">
        <v>12</v>
      </c>
      <c r="KA111" s="29">
        <v>60</v>
      </c>
      <c r="KB111" s="31">
        <f>IF(KA111/(INDEX('Standards for Conversions'!$H$47:$H$73,MATCH(JZ$3,'Standards for Conversions'!$A$47:$A$73,0)))=0,"",KA111/(INDEX('Standards for Conversions'!$H$47:$H$73,MATCH(JZ$3,'Standards for Conversions'!$A$47:$A$73,0))))</f>
        <v>9.1593535456678534</v>
      </c>
      <c r="KC111" s="33" t="s">
        <v>40</v>
      </c>
      <c r="KF111" s="31" t="str">
        <f>IF(KE111/(INDEX('Standards for Conversions'!$H$47:$H$73,MATCH(KD$3,'Standards for Conversions'!$A$47:$A$73,0)))=0,"",KE111/(INDEX('Standards for Conversions'!$H$47:$H$73,MATCH(KD$3,'Standards for Conversions'!$A$47:$A$73,0))))</f>
        <v/>
      </c>
      <c r="KG111" s="33" t="s">
        <v>40</v>
      </c>
      <c r="KJ111" s="31" t="str">
        <f>IF(KI111/(INDEX('Standards for Conversions'!$H$47:$H$73,MATCH(KH$3,'Standards for Conversions'!$A$47:$A$73,0)))=0,"",KI111/(INDEX('Standards for Conversions'!$H$47:$H$73,MATCH(KH$3,'Standards for Conversions'!$A$47:$A$73,0))))</f>
        <v/>
      </c>
      <c r="KK111" s="33" t="s">
        <v>40</v>
      </c>
      <c r="KN111" s="31" t="str">
        <f>IF(KM111/(INDEX('Standards for Conversions'!$H$47:$H$73,MATCH(KL$3,'Standards for Conversions'!$A$47:$A$73,0)))=0,"",KM111/(INDEX('Standards for Conversions'!$H$47:$H$73,MATCH(KL$3,'Standards for Conversions'!$A$47:$A$73,0))))</f>
        <v/>
      </c>
      <c r="KO111" s="48" t="s">
        <v>40</v>
      </c>
      <c r="KP111" s="29">
        <v>15</v>
      </c>
      <c r="KQ111" s="29">
        <v>75</v>
      </c>
      <c r="KR111" s="31">
        <f>IF(KQ111/(INDEX('Standards for Conversions'!$H$47:$H$73,MATCH(KP$3,'Standards for Conversions'!$A$47:$A$73,0)))=0,"",KQ111/(INDEX('Standards for Conversions'!$H$47:$H$73,MATCH(KP$3,'Standards for Conversions'!$A$47:$A$73,0))))</f>
        <v>10.099425892934734</v>
      </c>
      <c r="KS111" s="33" t="s">
        <v>42</v>
      </c>
      <c r="KV111" s="31" t="str">
        <f>IF(KU111/(INDEX('Standards for Conversions'!$H$47:$H$73,MATCH(KT$3,'Standards for Conversions'!$A$47:$A$73,0)))=0,"",KU111/(INDEX('Standards for Conversions'!$H$47:$H$73,MATCH(KT$3,'Standards for Conversions'!$A$47:$A$73,0))))</f>
        <v/>
      </c>
      <c r="KW111" s="33" t="s">
        <v>42</v>
      </c>
      <c r="KZ111" s="31" t="str">
        <f>IF(KY111/(INDEX('Standards for Conversions'!$H$47:$H$73,MATCH(KX$3,'Standards for Conversions'!$A$47:$A$73,0)))=0,"",KY111/(INDEX('Standards for Conversions'!$H$47:$H$73,MATCH(KX$3,'Standards for Conversions'!$A$47:$A$73,0))))</f>
        <v/>
      </c>
      <c r="LA111" s="33" t="s">
        <v>40</v>
      </c>
      <c r="LD111" s="31" t="str">
        <f>IF(LC111/(INDEX('Standards for Conversions'!$H$47:$H$73,MATCH(LB$3,'Standards for Conversions'!$A$47:$A$73,0)))=0,"",LC111/(INDEX('Standards for Conversions'!$H$47:$H$73,MATCH(LB$3,'Standards for Conversions'!$A$47:$A$73,0))))</f>
        <v/>
      </c>
      <c r="LE111" s="48" t="s">
        <v>40</v>
      </c>
      <c r="LF111" s="29">
        <v>20</v>
      </c>
      <c r="LG111" s="29">
        <v>100</v>
      </c>
      <c r="LH111" s="31">
        <f>IF(LG111/(INDEX('Standards for Conversions'!$H$47:$H$73,MATCH(LF$3,'Standards for Conversions'!$A$47:$A$73,0)))=0,"",LG111/(INDEX('Standards for Conversions'!$H$47:$H$73,MATCH(LF$3,'Standards for Conversions'!$A$47:$A$73,0))))</f>
        <v>12.161656672749919</v>
      </c>
      <c r="LL111" s="31" t="str">
        <f>IF(LK111/(INDEX('Standards for Conversions'!$H$47:$H$73,MATCH(LJ$3,'Standards for Conversions'!$A$47:$A$73,0)))=0,"",LK111/(INDEX('Standards for Conversions'!$H$47:$H$73,MATCH(LJ$3,'Standards for Conversions'!$A$47:$A$73,0))))</f>
        <v/>
      </c>
      <c r="LO111" s="31" t="str">
        <f>IF(LN111/(INDEX('Standards for Conversions'!$H$47:$H$73,MATCH(LM$3,'Standards for Conversions'!$A$47:$A$73,0)))=0,"",LN111/(INDEX('Standards for Conversions'!$H$47:$H$73,MATCH(LM$3,'Standards for Conversions'!$A$47:$A$73,0))))</f>
        <v/>
      </c>
      <c r="LR111" s="31" t="str">
        <f>IF(LQ111/(INDEX('Standards for Conversions'!$H$47:$H$73,MATCH(LP$3,'Standards for Conversions'!$A$47:$A$73,0)))=0,"",LQ111/(INDEX('Standards for Conversions'!$H$47:$H$73,MATCH(LP$3,'Standards for Conversions'!$A$47:$A$73,0))))</f>
        <v/>
      </c>
      <c r="LV111" s="31" t="str">
        <f>IF(LU111/(INDEX('Standards for Conversions'!$H$47:$H$73,MATCH(LT$3,'Standards for Conversions'!$A$47:$A$73,0)))=0,"",LU111/(INDEX('Standards for Conversions'!$H$47:$H$73,MATCH(LT$3,'Standards for Conversions'!$A$47:$A$73,0))))</f>
        <v/>
      </c>
      <c r="LY111" s="31" t="str">
        <f>IF(LX111/(INDEX('Standards for Conversions'!$H$47:$H$73,MATCH(LW$3,'Standards for Conversions'!$A$47:$A$73,0)))=0,"",LX111/(INDEX('Standards for Conversions'!$H$47:$H$73,MATCH(LW$3,'Standards for Conversions'!$A$47:$A$73,0))))</f>
        <v/>
      </c>
      <c r="MB111" s="31" t="str">
        <f>IF(MA111/(INDEX('Standards for Conversions'!$H$47:$H$73,MATCH(LZ$3,'Standards for Conversions'!$A$47:$A$73,0)))=0,"",MA111/(INDEX('Standards for Conversions'!$H$47:$H$73,MATCH(LZ$3,'Standards for Conversions'!$A$47:$A$73,0))))</f>
        <v/>
      </c>
      <c r="ME111" s="31" t="str">
        <f>IF(MD111/(INDEX('Standards for Conversions'!$H$47:$H$73,MATCH(MC$3,'Standards for Conversions'!$A$47:$A$73,0)))=0,"",MD111/(INDEX('Standards for Conversions'!$H$47:$H$73,MATCH(MC$3,'Standards for Conversions'!$A$47:$A$73,0))))</f>
        <v/>
      </c>
      <c r="MH111" s="31" t="str">
        <f>IF(MG111/(INDEX('Standards for Conversions'!$H$47:$H$73,MATCH(MF$3,'Standards for Conversions'!$A$47:$A$73,0)))=0,"",MG111/(INDEX('Standards for Conversions'!$H$47:$H$73,MATCH(MF$3,'Standards for Conversions'!$A$47:$A$73,0))))</f>
        <v/>
      </c>
      <c r="MK111" s="31" t="str">
        <f>IF(MJ111/(INDEX('Standards for Conversions'!$H$47:$H$73,MATCH(MI$3,'Standards for Conversions'!$A$47:$A$73,0)))=0,"",MJ111/(INDEX('Standards for Conversions'!$H$47:$H$73,MATCH(MI$3,'Standards for Conversions'!$A$47:$A$73,0))))</f>
        <v/>
      </c>
      <c r="MN111" s="31" t="str">
        <f>IF(MM111/(INDEX('Standards for Conversions'!$H$47:$H$73,MATCH(ML$3,'Standards for Conversions'!$A$47:$A$73,0)))=0,"",MM111/(INDEX('Standards for Conversions'!$H$47:$H$73,MATCH(ML$3,'Standards for Conversions'!$A$47:$A$73,0))))</f>
        <v/>
      </c>
      <c r="MR111" s="31" t="str">
        <f>IF(MQ111/(INDEX('Standards for Conversions'!$H$47:$H$73,MATCH(MP$3,'Standards for Conversions'!$A$47:$A$73,0)))=0,"",MQ111/(INDEX('Standards for Conversions'!$H$47:$H$73,MATCH(MP$3,'Standards for Conversions'!$A$47:$A$73,0))))</f>
        <v/>
      </c>
    </row>
    <row r="112" spans="1:373" hidden="1" x14ac:dyDescent="0.3">
      <c r="A112" s="103" t="s">
        <v>277</v>
      </c>
      <c r="B112" s="10" t="s">
        <v>40</v>
      </c>
      <c r="C112" s="7"/>
      <c r="D112" s="7"/>
      <c r="E112" s="31" t="str">
        <f>IF(D112/(INDEX('Standards for Conversions'!$H$34:$H$73,MATCH(C$3,'Standards for Conversions'!$A$34:$A$73,0)))=0,"",D112/(INDEX('Standards for Conversions'!$H$34:$H$73,MATCH(C$3,'Standards for Conversions'!$A$34:$A$73,0))))</f>
        <v/>
      </c>
      <c r="F112" s="10" t="s">
        <v>40</v>
      </c>
      <c r="G112" s="7"/>
      <c r="H112" s="7"/>
      <c r="I112" s="31" t="str">
        <f>IF(H112/(INDEX('Standards for Conversions'!$H$34:$H$73,MATCH(G$3,'Standards for Conversions'!$A$34:$A$73,0)))=0,"",H112/(INDEX('Standards for Conversions'!$H$34:$H$73,MATCH(G$3,'Standards for Conversions'!$A$34:$A$73,0))))</f>
        <v/>
      </c>
      <c r="J112" s="10" t="s">
        <v>40</v>
      </c>
      <c r="K112" s="9"/>
      <c r="L112" s="9"/>
      <c r="M112" s="31" t="str">
        <f>IF(L112/(INDEX('Standards for Conversions'!$H$34:$H$73,MATCH(K$3,'Standards for Conversions'!$A$34:$A$73,0)))=0,"",L112/(INDEX('Standards for Conversions'!$H$34:$H$73,MATCH(K$3,'Standards for Conversions'!$A$34:$A$73,0))))</f>
        <v/>
      </c>
      <c r="N112" s="10" t="s">
        <v>40</v>
      </c>
      <c r="O112" s="7"/>
      <c r="P112" s="7"/>
      <c r="Q112" s="31" t="str">
        <f>IF(P112/(INDEX('Standards for Conversions'!$H$34:$H$73,MATCH(O$3,'Standards for Conversions'!$A$34:$A$73,0)))=0,"",P112/(INDEX('Standards for Conversions'!$H$34:$H$73,MATCH(O$3,'Standards for Conversions'!$A$34:$A$73,0))))</f>
        <v/>
      </c>
      <c r="R112" s="10" t="s">
        <v>40</v>
      </c>
      <c r="S112" s="7"/>
      <c r="T112" s="7"/>
      <c r="U112" s="31" t="str">
        <f>IF(T112/(INDEX('Standards for Conversions'!$H$34:$H$73,MATCH(S$3,'Standards for Conversions'!$A$34:$A$73,0)))=0,"",T112/(INDEX('Standards for Conversions'!$H$34:$H$73,MATCH(S$3,'Standards for Conversions'!$A$34:$A$73,0))))</f>
        <v/>
      </c>
      <c r="V112" s="10" t="s">
        <v>40</v>
      </c>
      <c r="W112" s="7"/>
      <c r="X112" s="7"/>
      <c r="Y112" s="31" t="str">
        <f>IF(X112/(INDEX('Standards for Conversions'!$H$34:$H$73,MATCH(W$3,'Standards for Conversions'!$A$34:$A$73,0)))=0,"",X112/(INDEX('Standards for Conversions'!$H$34:$H$73,MATCH(W$3,'Standards for Conversions'!$A$34:$A$73,0))))</f>
        <v/>
      </c>
      <c r="Z112" s="10" t="s">
        <v>40</v>
      </c>
      <c r="AA112" s="9"/>
      <c r="AB112" s="9"/>
      <c r="AC112" s="31" t="str">
        <f>IF(AB112/(INDEX('Standards for Conversions'!$H$34:$H$73,MATCH(AA$3,'Standards for Conversions'!$A$34:$A$73,0)))=0,"",AB112/(INDEX('Standards for Conversions'!$H$34:$H$73,MATCH(AA$3,'Standards for Conversions'!$A$34:$A$73,0))))</f>
        <v/>
      </c>
      <c r="AD112" s="10" t="s">
        <v>40</v>
      </c>
      <c r="AE112" s="7"/>
      <c r="AF112" s="7"/>
      <c r="AG112" s="31" t="str">
        <f>IF(AF112/(INDEX('Standards for Conversions'!$H$34:$H$73,MATCH(AE$3,'Standards for Conversions'!$A$34:$A$73,0)))=0,"",AF112/(INDEX('Standards for Conversions'!$H$34:$H$73,MATCH(AE$3,'Standards for Conversions'!$A$34:$A$73,0))))</f>
        <v/>
      </c>
      <c r="AH112" s="10" t="s">
        <v>40</v>
      </c>
      <c r="AI112" s="7"/>
      <c r="AJ112" s="7"/>
      <c r="AK112" s="31" t="str">
        <f>IF(AJ112/(INDEX('Standards for Conversions'!$H$34:$H$73,MATCH(AI$3,'Standards for Conversions'!$A$34:$A$73,0)))=0,"",AJ112/(INDEX('Standards for Conversions'!$H$34:$H$73,MATCH(AI$3,'Standards for Conversions'!$A$34:$A$73,0))))</f>
        <v/>
      </c>
      <c r="AL112" s="10" t="s">
        <v>40</v>
      </c>
      <c r="AM112" s="7"/>
      <c r="AN112" s="7"/>
      <c r="AO112" s="31" t="str">
        <f>IF(AN112/(INDEX('Standards for Conversions'!$H$34:$H$73,MATCH(AM$3,'Standards for Conversions'!$A$34:$A$73,0)))=0,"",AN112/(INDEX('Standards for Conversions'!$H$34:$H$73,MATCH(AM$3,'Standards for Conversions'!$A$34:$A$73,0))))</f>
        <v/>
      </c>
      <c r="AP112" s="10" t="s">
        <v>40</v>
      </c>
      <c r="AQ112" s="9"/>
      <c r="AR112" s="9"/>
      <c r="AS112" s="31" t="str">
        <f>IF(AR112/(INDEX('Standards for Conversions'!$H$34:$H$73,MATCH(AQ$3,'Standards for Conversions'!$A$34:$A$73,0)))=0,"",AR112/(INDEX('Standards for Conversions'!$H$34:$H$73,MATCH(AQ$3,'Standards for Conversions'!$A$34:$A$73,0))))</f>
        <v/>
      </c>
      <c r="AT112" s="10" t="s">
        <v>40</v>
      </c>
      <c r="AU112" s="7"/>
      <c r="AV112" s="7"/>
      <c r="AW112" s="31" t="str">
        <f>IF(AV112/(INDEX('Standards for Conversions'!$H$34:$H$73,MATCH(AU$3,'Standards for Conversions'!$A$34:$A$73,0)))=0,"",AV112/(INDEX('Standards for Conversions'!$H$34:$H$73,MATCH(AU$3,'Standards for Conversions'!$A$34:$A$73,0))))</f>
        <v/>
      </c>
      <c r="AX112" s="10" t="s">
        <v>40</v>
      </c>
      <c r="AY112" s="7"/>
      <c r="AZ112" s="7"/>
      <c r="BA112" s="31" t="str">
        <f>IF(AZ112/(INDEX('Standards for Conversions'!$H$34:$H$73,MATCH(AY$3,'Standards for Conversions'!$A$34:$A$73,0)))=0,"",AZ112/(INDEX('Standards for Conversions'!$H$34:$H$73,MATCH(AY$3,'Standards for Conversions'!$A$34:$A$73,0))))</f>
        <v/>
      </c>
      <c r="BB112" s="10" t="s">
        <v>40</v>
      </c>
      <c r="BC112" s="7"/>
      <c r="BD112" s="7"/>
      <c r="BE112" s="31" t="str">
        <f>IF(BD112/(INDEX('Standards for Conversions'!$H$34:$H$73,MATCH(BC$3,'Standards for Conversions'!$A$34:$A$73,0)))=0,"",BD112/(INDEX('Standards for Conversions'!$H$34:$H$73,MATCH(BC$3,'Standards for Conversions'!$A$34:$A$73,0))))</f>
        <v/>
      </c>
      <c r="BF112" s="10" t="s">
        <v>40</v>
      </c>
      <c r="BG112" s="9"/>
      <c r="BH112" s="9"/>
      <c r="BI112" s="31" t="str">
        <f>IF(BH112/(INDEX('Standards for Conversions'!$H$34:$H$73,MATCH(BG$3,'Standards for Conversions'!$A$34:$A$73,0)))=0,"",BH112/(INDEX('Standards for Conversions'!$H$34:$H$73,MATCH(BG$3,'Standards for Conversions'!$A$34:$A$73,0))))</f>
        <v/>
      </c>
      <c r="BJ112" s="10" t="s">
        <v>40</v>
      </c>
      <c r="BK112" s="7"/>
      <c r="BL112" s="7"/>
      <c r="BM112" s="31" t="str">
        <f>IF(BL112/(INDEX('Standards for Conversions'!$H$34:$H$73,MATCH(BK$3,'Standards for Conversions'!$A$34:$A$73,0)))=0,"",BL112/(INDEX('Standards for Conversions'!$H$34:$H$73,MATCH(BK$3,'Standards for Conversions'!$A$34:$A$73,0))))</f>
        <v/>
      </c>
      <c r="BN112" s="10" t="s">
        <v>40</v>
      </c>
      <c r="BO112" s="7"/>
      <c r="BP112" s="7"/>
      <c r="BQ112" s="31" t="str">
        <f>IF(BP112/(INDEX('Standards for Conversions'!$H$34:$H$73,MATCH(BO$3,'Standards for Conversions'!$A$34:$A$73,0)))=0,"",BP112/(INDEX('Standards for Conversions'!$H$34:$H$73,MATCH(BO$3,'Standards for Conversions'!$A$34:$A$73,0))))</f>
        <v/>
      </c>
      <c r="BR112" s="10" t="s">
        <v>40</v>
      </c>
      <c r="BS112" s="7"/>
      <c r="BT112" s="7"/>
      <c r="BU112" s="31" t="str">
        <f>IF(BT112/(INDEX('Standards for Conversions'!$H$34:$H$73,MATCH(BS$3,'Standards for Conversions'!$A$34:$A$73,0)))=0,"",BT112/(INDEX('Standards for Conversions'!$H$34:$H$73,MATCH(BS$3,'Standards for Conversions'!$A$34:$A$73,0))))</f>
        <v/>
      </c>
      <c r="BV112" s="10" t="s">
        <v>40</v>
      </c>
      <c r="BW112" s="9"/>
      <c r="BX112" s="9"/>
      <c r="BY112" s="31" t="str">
        <f>IF(BX112/(INDEX('Standards for Conversions'!$H$34:$H$73,MATCH(BW$3,'Standards for Conversions'!$A$34:$A$73,0)))=0,"",BX112/(INDEX('Standards for Conversions'!$H$34:$H$73,MATCH(BW$3,'Standards for Conversions'!$A$34:$A$73,0))))</f>
        <v/>
      </c>
      <c r="BZ112" s="10" t="s">
        <v>40</v>
      </c>
      <c r="CA112" s="7"/>
      <c r="CB112" s="7"/>
      <c r="CC112" s="31" t="str">
        <f>IF(CB112/(INDEX('Standards for Conversions'!$H$34:$H$73,MATCH(CA$3,'Standards for Conversions'!$A$34:$A$73,0)))=0,"",CB112/(INDEX('Standards for Conversions'!$H$34:$H$73,MATCH(CA$3,'Standards for Conversions'!$A$34:$A$73,0))))</f>
        <v/>
      </c>
      <c r="CD112" s="10" t="s">
        <v>40</v>
      </c>
      <c r="CE112" s="7"/>
      <c r="CF112" s="7"/>
      <c r="CG112" s="31" t="str">
        <f>IF(CF112/(INDEX('Standards for Conversions'!$H$34:$H$73,MATCH(CE$3,'Standards for Conversions'!$A$34:$A$73,0)))=0,"",CF112/(INDEX('Standards for Conversions'!$H$34:$H$73,MATCH(CE$3,'Standards for Conversions'!$A$34:$A$73,0))))</f>
        <v/>
      </c>
      <c r="CH112" s="10" t="s">
        <v>40</v>
      </c>
      <c r="CI112" s="7"/>
      <c r="CJ112" s="7"/>
      <c r="CK112" s="31" t="str">
        <f>IF(CJ112/(INDEX('Standards for Conversions'!$H$34:$H$73,MATCH(CI$3,'Standards for Conversions'!$A$34:$A$73,0)))=0,"",CJ112/(INDEX('Standards for Conversions'!$H$34:$H$73,MATCH(CI$3,'Standards for Conversions'!$A$34:$A$73,0))))</f>
        <v/>
      </c>
      <c r="CL112" s="10" t="s">
        <v>40</v>
      </c>
      <c r="CM112" s="9"/>
      <c r="CN112" s="9"/>
      <c r="CO112" s="31" t="str">
        <f>IF(CN112/(INDEX('Standards for Conversions'!$H$34:$H$73,MATCH(CM$3,'Standards for Conversions'!$A$34:$A$73,0)))=0,"",CN112/(INDEX('Standards for Conversions'!$H$34:$H$73,MATCH(CM$3,'Standards for Conversions'!$A$34:$A$73,0))))</f>
        <v/>
      </c>
      <c r="CP112" s="10" t="s">
        <v>40</v>
      </c>
      <c r="CQ112" s="7"/>
      <c r="CR112" s="7"/>
      <c r="CS112" s="31" t="str">
        <f>IF(CR112/(INDEX('Standards for Conversions'!$H$34:$H$73,MATCH(CQ$3,'Standards for Conversions'!$A$34:$A$73,0)))=0,"",CR112/(INDEX('Standards for Conversions'!$H$34:$H$73,MATCH(CQ$3,'Standards for Conversions'!$A$34:$A$73,0))))</f>
        <v/>
      </c>
      <c r="CT112" s="10" t="s">
        <v>40</v>
      </c>
      <c r="CU112" s="7"/>
      <c r="CV112" s="7"/>
      <c r="CW112" s="31" t="str">
        <f>IF(CV112/(INDEX('Standards for Conversions'!$H$34:$H$73,MATCH(CU$3,'Standards for Conversions'!$A$34:$A$73,0)))=0,"",CV112/(INDEX('Standards for Conversions'!$H$34:$H$73,MATCH(CU$3,'Standards for Conversions'!$A$34:$A$73,0))))</f>
        <v/>
      </c>
      <c r="CX112" s="10" t="s">
        <v>40</v>
      </c>
      <c r="CY112" s="7"/>
      <c r="CZ112" s="7"/>
      <c r="DA112" s="31" t="str">
        <f>IF(CZ112/(INDEX('Standards for Conversions'!$H$34:$H$73,MATCH(CY$3,'Standards for Conversions'!$A$34:$A$73,0)))=0,"",CZ112/(INDEX('Standards for Conversions'!$H$34:$H$73,MATCH(CY$3,'Standards for Conversions'!$A$34:$A$73,0))))</f>
        <v/>
      </c>
      <c r="DB112" s="10" t="s">
        <v>40</v>
      </c>
      <c r="DC112" s="9"/>
      <c r="DD112" s="9"/>
      <c r="DE112" s="31" t="str">
        <f>IF(DD112/(INDEX('Standards for Conversions'!$H$34:$H$73,MATCH(DC$3,'Standards for Conversions'!$A$34:$A$73,0)))=0,"",DD112/(INDEX('Standards for Conversions'!$H$34:$H$73,MATCH(DC$3,'Standards for Conversions'!$A$34:$A$73,0))))</f>
        <v/>
      </c>
      <c r="DF112" s="10" t="s">
        <v>40</v>
      </c>
      <c r="DG112" s="7"/>
      <c r="DH112" s="7"/>
      <c r="DI112" s="31" t="str">
        <f>IF(DH112/(INDEX('Standards for Conversions'!$H$34:$H$73,MATCH(DG$3,'Standards for Conversions'!$A$34:$A$73,0)))=0,"",DH112/(INDEX('Standards for Conversions'!$H$34:$H$73,MATCH(DG$3,'Standards for Conversions'!$A$34:$A$73,0))))</f>
        <v/>
      </c>
      <c r="DJ112" s="10" t="s">
        <v>40</v>
      </c>
      <c r="DK112" s="7"/>
      <c r="DL112" s="7"/>
      <c r="DM112" s="31" t="str">
        <f>IF(DL112/(INDEX('Standards for Conversions'!$H$34:$H$73,MATCH(DK$3,'Standards for Conversions'!$A$34:$A$73,0)))=0,"",DL112/(INDEX('Standards for Conversions'!$H$34:$H$73,MATCH(DK$3,'Standards for Conversions'!$A$34:$A$73,0))))</f>
        <v/>
      </c>
      <c r="DN112" s="10" t="s">
        <v>40</v>
      </c>
      <c r="DO112" s="7"/>
      <c r="DP112" s="7"/>
      <c r="DQ112" s="31" t="str">
        <f>IF(DP112/(INDEX('Standards for Conversions'!$H$34:$H$73,MATCH(DO$3,'Standards for Conversions'!$A$34:$A$73,0)))=0,"",DP112/(INDEX('Standards for Conversions'!$H$34:$H$73,MATCH(DO$3,'Standards for Conversions'!$A$34:$A$73,0))))</f>
        <v/>
      </c>
      <c r="DR112" s="10" t="s">
        <v>40</v>
      </c>
      <c r="DS112" s="9"/>
      <c r="DT112" s="9"/>
      <c r="DU112" s="31" t="str">
        <f>IF(DT112/(INDEX('Standards for Conversions'!$H$34:$H$73,MATCH(DS$3,'Standards for Conversions'!$A$34:$A$73,0)))=0,"",DT112/(INDEX('Standards for Conversions'!$H$34:$H$73,MATCH(DS$3,'Standards for Conversions'!$A$34:$A$73,0))))</f>
        <v/>
      </c>
      <c r="DV112" s="10" t="s">
        <v>40</v>
      </c>
      <c r="DW112" s="7"/>
      <c r="DX112" s="7"/>
      <c r="DY112" s="31" t="str">
        <f>IF(DX112/(INDEX('Standards for Conversions'!$H$34:$H$73,MATCH(DW$3,'Standards for Conversions'!$A$34:$A$73,0)))=0,"",DX112/(INDEX('Standards for Conversions'!$H$34:$H$73,MATCH(DW$3,'Standards for Conversions'!$A$34:$A$73,0))))</f>
        <v/>
      </c>
      <c r="DZ112" s="10" t="s">
        <v>40</v>
      </c>
      <c r="EA112" s="7"/>
      <c r="EB112" s="7"/>
      <c r="EC112" s="31" t="str">
        <f>IF(EB112/(INDEX('Standards for Conversions'!$H$34:$H$73,MATCH(EA$3,'Standards for Conversions'!$A$34:$A$73,0)))=0,"",EB112/(INDEX('Standards for Conversions'!$H$34:$H$73,MATCH(EA$3,'Standards for Conversions'!$A$34:$A$73,0))))</f>
        <v/>
      </c>
      <c r="ED112" s="10" t="s">
        <v>40</v>
      </c>
      <c r="EE112" s="7"/>
      <c r="EF112" s="7"/>
      <c r="EG112" s="31" t="str">
        <f>IF(EF112/(INDEX('Standards for Conversions'!$H$34:$H$73,MATCH(EE$3,'Standards for Conversions'!$A$34:$A$73,0)))=0,"",EF112/(INDEX('Standards for Conversions'!$H$34:$H$73,MATCH(EE$3,'Standards for Conversions'!$A$34:$A$73,0))))</f>
        <v/>
      </c>
      <c r="EH112" s="10" t="s">
        <v>40</v>
      </c>
      <c r="EI112" s="9"/>
      <c r="EJ112" s="9"/>
      <c r="EK112" s="31" t="str">
        <f>IF(EJ112/(INDEX('Standards for Conversions'!$H$34:$H$73,MATCH(EI$3,'Standards for Conversions'!$A$34:$A$73,0)))=0,"",EJ112/(INDEX('Standards for Conversions'!$H$34:$H$73,MATCH(EI$3,'Standards for Conversions'!$A$34:$A$73,0))))</f>
        <v/>
      </c>
      <c r="EL112" s="10" t="s">
        <v>40</v>
      </c>
      <c r="EM112" s="7"/>
      <c r="EN112" s="7"/>
      <c r="EO112" s="31" t="str">
        <f>IF(EN112/(INDEX('Standards for Conversions'!$H$34:$H$73,MATCH(EM$3,'Standards for Conversions'!$A$34:$A$73,0)))=0,"",EN112/(INDEX('Standards for Conversions'!$H$34:$H$73,MATCH(EM$3,'Standards for Conversions'!$A$34:$A$73,0))))</f>
        <v/>
      </c>
      <c r="EP112" s="10" t="s">
        <v>40</v>
      </c>
      <c r="EQ112" s="7"/>
      <c r="ER112" s="7"/>
      <c r="ES112" s="31" t="str">
        <f>IF(ER112/(INDEX('Standards for Conversions'!$H$34:$H$73,MATCH(EQ$3,'Standards for Conversions'!$A$34:$A$73,0)))=0,"",ER112/(INDEX('Standards for Conversions'!$H$34:$H$73,MATCH(EQ$3,'Standards for Conversions'!$A$34:$A$73,0))))</f>
        <v/>
      </c>
      <c r="ET112" s="10" t="s">
        <v>40</v>
      </c>
      <c r="EU112" s="7"/>
      <c r="EV112" s="7"/>
      <c r="EW112" s="31" t="str">
        <f>IF(EV112/(INDEX('Standards for Conversions'!$H$34:$H$73,MATCH(EU$3,'Standards for Conversions'!$A$34:$A$73,0)))=0,"",EV112/(INDEX('Standards for Conversions'!$H$34:$H$73,MATCH(EU$3,'Standards for Conversions'!$A$34:$A$73,0))))</f>
        <v/>
      </c>
      <c r="EX112" s="10" t="s">
        <v>40</v>
      </c>
      <c r="EY112" s="9"/>
      <c r="EZ112" s="9"/>
      <c r="FA112" s="31" t="str">
        <f>IF(EZ112/(INDEX('Standards for Conversions'!$H$34:$H$73,MATCH(EY$3,'Standards for Conversions'!$A$34:$A$73,0)))=0,"",EZ112/(INDEX('Standards for Conversions'!$H$34:$H$73,MATCH(EY$3,'Standards for Conversions'!$A$34:$A$73,0))))</f>
        <v/>
      </c>
      <c r="FB112" s="10" t="s">
        <v>40</v>
      </c>
      <c r="FC112" s="7"/>
      <c r="FD112" s="7"/>
      <c r="FE112" s="31" t="str">
        <f>IF(FD112/(INDEX('Standards for Conversions'!$H$34:$H$73,MATCH(FC$3,'Standards for Conversions'!$A$34:$A$73,0)))=0,"",FD112/(INDEX('Standards for Conversions'!$H$34:$H$73,MATCH(FC$3,'Standards for Conversions'!$A$34:$A$73,0))))</f>
        <v/>
      </c>
      <c r="FF112" s="10" t="s">
        <v>40</v>
      </c>
      <c r="FG112" s="7"/>
      <c r="FH112" s="7"/>
      <c r="FI112" s="31" t="str">
        <f>IF(FH112/(INDEX('Standards for Conversions'!$H$34:$H$73,MATCH(FG$3,'Standards for Conversions'!$A$34:$A$73,0)))=0,"",FH112/(INDEX('Standards for Conversions'!$H$34:$H$73,MATCH(FG$3,'Standards for Conversions'!$A$34:$A$73,0))))</f>
        <v/>
      </c>
      <c r="FJ112" s="10" t="s">
        <v>40</v>
      </c>
      <c r="FK112" s="7"/>
      <c r="FL112" s="7"/>
      <c r="FM112" s="31" t="str">
        <f>IF(FL112/(INDEX('Standards for Conversions'!$H$34:$H$73,MATCH(FK$3,'Standards for Conversions'!$A$34:$A$73,0)))=0,"",FL112/(INDEX('Standards for Conversions'!$H$34:$H$73,MATCH(FK$3,'Standards for Conversions'!$A$34:$A$73,0))))</f>
        <v/>
      </c>
      <c r="FN112" s="10" t="s">
        <v>40</v>
      </c>
      <c r="FO112" s="9"/>
      <c r="FP112" s="9"/>
      <c r="FQ112" s="31" t="str">
        <f>IF(FP112/(INDEX('Standards for Conversions'!$H$34:$H$73,MATCH(FO$3,'Standards for Conversions'!$A$34:$A$73,0)))=0,"",FP112/(INDEX('Standards for Conversions'!$H$34:$H$73,MATCH(FO$3,'Standards for Conversions'!$A$34:$A$73,0))))</f>
        <v/>
      </c>
      <c r="FR112" s="10" t="s">
        <v>40</v>
      </c>
      <c r="FS112" s="7"/>
      <c r="FT112" s="7"/>
      <c r="FU112" s="31" t="str">
        <f>IF(FT112/(INDEX('Standards for Conversions'!$H$34:$H$73,MATCH(FS$3,'Standards for Conversions'!$A$34:$A$73,0)))=0,"",FT112/(INDEX('Standards for Conversions'!$H$34:$H$73,MATCH(FS$3,'Standards for Conversions'!$A$34:$A$73,0))))</f>
        <v/>
      </c>
      <c r="FV112" s="10" t="s">
        <v>40</v>
      </c>
      <c r="FW112" s="7"/>
      <c r="FX112" s="7"/>
      <c r="FY112" s="31" t="str">
        <f>IF(FX112/(INDEX('Standards for Conversions'!$H$34:$H$73,MATCH(FW$3,'Standards for Conversions'!$A$34:$A$73,0)))=0,"",FX112/(INDEX('Standards for Conversions'!$H$34:$H$73,MATCH(FW$3,'Standards for Conversions'!$A$34:$A$73,0))))</f>
        <v/>
      </c>
      <c r="FZ112" s="10" t="s">
        <v>40</v>
      </c>
      <c r="GA112" s="7"/>
      <c r="GB112" s="7"/>
      <c r="GC112" s="31" t="str">
        <f>IF(GB112/(INDEX('Standards for Conversions'!$H$34:$H$73,MATCH(GA$3,'Standards for Conversions'!$A$34:$A$73,0)))=0,"",GB112/(INDEX('Standards for Conversions'!$H$34:$H$73,MATCH(GA$3,'Standards for Conversions'!$A$34:$A$73,0))))</f>
        <v/>
      </c>
      <c r="GD112" s="10" t="s">
        <v>40</v>
      </c>
      <c r="GE112" s="9"/>
      <c r="GF112" s="9"/>
      <c r="GG112" s="31" t="str">
        <f>IF(GF112/(INDEX('Standards for Conversions'!$H$34:$H$73,MATCH(GE$3,'Standards for Conversions'!$A$34:$A$73,0)))=0,"",GF112/(INDEX('Standards for Conversions'!$H$34:$H$73,MATCH(GE$3,'Standards for Conversions'!$A$34:$A$73,0))))</f>
        <v/>
      </c>
      <c r="GH112" s="10" t="s">
        <v>40</v>
      </c>
      <c r="GI112" s="7"/>
      <c r="GJ112" s="7"/>
      <c r="GK112" s="31" t="str">
        <f>IF(GJ112/(INDEX('Standards for Conversions'!$H$34:$H$73,MATCH(GI$3,'Standards for Conversions'!$A$34:$A$73,0)))=0,"",GJ112/(INDEX('Standards for Conversions'!$H$34:$H$73,MATCH(GI$3,'Standards for Conversions'!$A$34:$A$73,0))))</f>
        <v/>
      </c>
      <c r="GL112" s="10" t="s">
        <v>40</v>
      </c>
      <c r="GM112" s="7"/>
      <c r="GN112" s="7"/>
      <c r="GO112" s="31" t="str">
        <f>IF(GN112/(INDEX('Standards for Conversions'!$H$34:$H$73,MATCH(GM$3,'Standards for Conversions'!$A$34:$A$73,0)))=0,"",GN112/(INDEX('Standards for Conversions'!$H$34:$H$73,MATCH(GM$3,'Standards for Conversions'!$A$34:$A$73,0))))</f>
        <v/>
      </c>
      <c r="GP112" s="10" t="s">
        <v>40</v>
      </c>
      <c r="GQ112" s="7"/>
      <c r="GR112" s="7"/>
      <c r="GS112" s="31" t="str">
        <f>IF(GR112/(INDEX('Standards for Conversions'!$H$34:$H$73,MATCH(GQ$3,'Standards for Conversions'!$A$34:$A$73,0)))=0,"",GR112/(INDEX('Standards for Conversions'!$H$34:$H$73,MATCH(GQ$3,'Standards for Conversions'!$A$34:$A$73,0))))</f>
        <v/>
      </c>
      <c r="GT112" s="10" t="s">
        <v>40</v>
      </c>
      <c r="GU112" s="9"/>
      <c r="GV112" s="9"/>
      <c r="GW112" s="31" t="str">
        <f>IF(GV112/(INDEX('Standards for Conversions'!$H$34:$H$73,MATCH(GU$3,'Standards for Conversions'!$A$34:$A$73,0)))=0,"",GV112/(INDEX('Standards for Conversions'!$H$34:$H$73,MATCH(GU$3,'Standards for Conversions'!$A$34:$A$73,0))))</f>
        <v/>
      </c>
      <c r="GX112" s="10" t="s">
        <v>40</v>
      </c>
      <c r="GY112" s="7"/>
      <c r="GZ112" s="7"/>
      <c r="HA112" s="31" t="str">
        <f>IF(GZ112/(INDEX('Standards for Conversions'!$H$34:$H$73,MATCH(GY$3,'Standards for Conversions'!$A$34:$A$73,0)))=0,"",GZ112/(INDEX('Standards for Conversions'!$H$34:$H$73,MATCH(GY$3,'Standards for Conversions'!$A$34:$A$73,0))))</f>
        <v/>
      </c>
      <c r="HB112" s="10" t="s">
        <v>40</v>
      </c>
      <c r="HC112" s="7"/>
      <c r="HD112" s="7"/>
      <c r="HE112" s="31" t="str">
        <f>IF(HD112/(INDEX('Standards for Conversions'!$H$34:$H$73,MATCH(HC$3,'Standards for Conversions'!$A$34:$A$73,0)))=0,"",HD112/(INDEX('Standards for Conversions'!$H$34:$H$73,MATCH(HC$3,'Standards for Conversions'!$A$34:$A$73,0))))</f>
        <v/>
      </c>
      <c r="HF112" s="10" t="s">
        <v>40</v>
      </c>
      <c r="HG112" s="7"/>
      <c r="HH112" s="7"/>
      <c r="HI112" s="31" t="str">
        <f>IF(HH112/(INDEX('Standards for Conversions'!$H$34:$H$73,MATCH(HG$3,'Standards for Conversions'!$A$34:$A$73,0)))=0,"",HH112/(INDEX('Standards for Conversions'!$H$34:$H$73,MATCH(HG$3,'Standards for Conversions'!$A$34:$A$73,0))))</f>
        <v/>
      </c>
      <c r="HJ112" s="10" t="s">
        <v>40</v>
      </c>
      <c r="HK112" s="9"/>
      <c r="HL112" s="9"/>
      <c r="HM112" s="31" t="str">
        <f>IF(HL112/(INDEX('Standards for Conversions'!$H$34:$H$73,MATCH(HK$3,'Standards for Conversions'!$A$34:$A$73,0)))=0,"",HL112/(INDEX('Standards for Conversions'!$H$34:$H$73,MATCH(HK$3,'Standards for Conversions'!$A$34:$A$73,0))))</f>
        <v/>
      </c>
      <c r="HN112" s="10" t="s">
        <v>40</v>
      </c>
      <c r="HO112" s="7"/>
      <c r="HP112" s="7"/>
      <c r="HQ112" s="31" t="str">
        <f>IF(HP112/(INDEX('Standards for Conversions'!$H$34:$H$73,MATCH(HO$3,'Standards for Conversions'!$A$34:$A$73,0)))=0,"",HP112/(INDEX('Standards for Conversions'!$H$34:$H$73,MATCH(HO$3,'Standards for Conversions'!$A$34:$A$73,0))))</f>
        <v/>
      </c>
      <c r="HR112" s="33" t="s">
        <v>40</v>
      </c>
      <c r="HU112" s="31" t="str">
        <f>IF(HT112/(INDEX('Standards for Conversions'!$H$47:$H$73,MATCH(HS$3,'Standards for Conversions'!$A$47:$A$73,0)))=0,"",HT112/(INDEX('Standards for Conversions'!$H$47:$H$73,MATCH(HS$3,'Standards for Conversions'!$A$47:$A$73,0))))</f>
        <v/>
      </c>
      <c r="HV112" s="33" t="s">
        <v>40</v>
      </c>
      <c r="HY112" s="31" t="str">
        <f>IF(HX112/(INDEX('Standards for Conversions'!$H$47:$H$73,MATCH(HW$3,'Standards for Conversions'!$A$47:$A$73,0)))=0,"",HX112/(INDEX('Standards for Conversions'!$H$47:$H$73,MATCH(HW$3,'Standards for Conversions'!$A$47:$A$73,0))))</f>
        <v/>
      </c>
      <c r="HZ112" s="33"/>
      <c r="IA112" s="33"/>
      <c r="IB112" s="31" t="str">
        <f>IF(IA112/(INDEX('Standards for Conversions'!$H$47:$H$73,MATCH(HZ$3,'Standards for Conversions'!$A$47:$A$73,0)))=0,"",IA112/(INDEX('Standards for Conversions'!$H$47:$H$73,MATCH(HZ$3,'Standards for Conversions'!$A$47:$A$73,0))))</f>
        <v/>
      </c>
      <c r="IC112" s="33" t="s">
        <v>40</v>
      </c>
      <c r="ID112" s="29">
        <v>350</v>
      </c>
      <c r="IE112" s="29">
        <v>4000</v>
      </c>
      <c r="IF112" s="31">
        <f>IF(IE112/(INDEX('Standards for Conversions'!$H$47:$H$73,MATCH(ID$3,'Standards for Conversions'!$A$47:$A$73,0)))=0,"",IE112/(INDEX('Standards for Conversions'!$H$47:$H$73,MATCH(ID$3,'Standards for Conversions'!$A$47:$A$73,0))))</f>
        <v>580.98164885142387</v>
      </c>
      <c r="IG112" s="33" t="s">
        <v>40</v>
      </c>
      <c r="IJ112" s="31" t="str">
        <f>IF(II112/(INDEX('Standards for Conversions'!$H$47:$H$73,MATCH(IH$3,'Standards for Conversions'!$A$47:$A$73,0)))=0,"",II112/(INDEX('Standards for Conversions'!$H$47:$H$73,MATCH(IH$3,'Standards for Conversions'!$A$47:$A$73,0))))</f>
        <v/>
      </c>
      <c r="IK112" s="33" t="s">
        <v>40</v>
      </c>
      <c r="IN112" s="31" t="str">
        <f>IF(IM112/(INDEX('Standards for Conversions'!$H$47:$H$73,MATCH(IL$3,'Standards for Conversions'!$A$47:$A$73,0)))=0,"",IM112/(INDEX('Standards for Conversions'!$H$47:$H$73,MATCH(IL$3,'Standards for Conversions'!$A$47:$A$73,0))))</f>
        <v/>
      </c>
      <c r="IO112" s="33" t="s">
        <v>40</v>
      </c>
      <c r="IR112" s="31" t="str">
        <f>IF(IQ112/(INDEX('Standards for Conversions'!$H$47:$H$73,MATCH(IP$3,'Standards for Conversions'!$A$47:$A$73,0)))=0,"",IQ112/(INDEX('Standards for Conversions'!$H$47:$H$73,MATCH(IP$3,'Standards for Conversions'!$A$47:$A$73,0))))</f>
        <v/>
      </c>
      <c r="IS112" s="33" t="s">
        <v>40</v>
      </c>
      <c r="IT112" s="29">
        <v>229</v>
      </c>
      <c r="IU112" s="29">
        <v>5630</v>
      </c>
      <c r="IV112" s="31">
        <f>IF(IU112/(INDEX('Standards for Conversions'!$H$47:$H$73,MATCH(IT$3,'Standards for Conversions'!$A$47:$A$73,0)))=0,"",IU112/(INDEX('Standards for Conversions'!$H$47:$H$73,MATCH(IT$3,'Standards for Conversions'!$A$47:$A$73,0))))</f>
        <v>814.15558473465421</v>
      </c>
      <c r="IW112" s="33" t="s">
        <v>40</v>
      </c>
      <c r="IZ112" s="31" t="str">
        <f>IF(IY112/(INDEX('Standards for Conversions'!$H$47:$H$73,MATCH(IX$3,'Standards for Conversions'!$A$47:$A$73,0)))=0,"",IY112/(INDEX('Standards for Conversions'!$H$47:$H$73,MATCH(IX$3,'Standards for Conversions'!$A$47:$A$73,0))))</f>
        <v/>
      </c>
      <c r="JA112" s="33" t="s">
        <v>40</v>
      </c>
      <c r="JD112" s="31" t="str">
        <f>IF(JC112/(INDEX('Standards for Conversions'!$H$47:$H$73,MATCH(JB$3,'Standards for Conversions'!$A$47:$A$73,0)))=0,"",JC112/(INDEX('Standards for Conversions'!$H$47:$H$73,MATCH(JB$3,'Standards for Conversions'!$A$47:$A$73,0))))</f>
        <v/>
      </c>
      <c r="JE112" s="33" t="s">
        <v>40</v>
      </c>
      <c r="JH112" s="31" t="str">
        <f>IF(JG112/(INDEX('Standards for Conversions'!$H$47:$H$73,MATCH(JF$3,'Standards for Conversions'!$A$47:$A$73,0)))=0,"",JG112/(INDEX('Standards for Conversions'!$H$47:$H$73,MATCH(JF$3,'Standards for Conversions'!$A$47:$A$73,0))))</f>
        <v/>
      </c>
      <c r="JI112" s="48" t="s">
        <v>40</v>
      </c>
      <c r="JJ112" s="29">
        <v>300</v>
      </c>
      <c r="JK112" s="29">
        <v>3500</v>
      </c>
      <c r="JL112" s="31">
        <f>IF(JK112/(INDEX('Standards for Conversions'!$H$47:$H$73,MATCH(JJ$3,'Standards for Conversions'!$A$47:$A$73,0)))=0,"",JK112/(INDEX('Standards for Conversions'!$H$47:$H$73,MATCH(JJ$3,'Standards for Conversions'!$A$47:$A$73,0))))</f>
        <v>566.16068842154039</v>
      </c>
      <c r="JM112" s="33" t="s">
        <v>40</v>
      </c>
      <c r="JP112" s="31" t="str">
        <f>IF(JO112/(INDEX('Standards for Conversions'!$H$47:$H$73,MATCH(JN$3,'Standards for Conversions'!$A$47:$A$73,0)))=0,"",JO112/(INDEX('Standards for Conversions'!$H$47:$H$73,MATCH(JN$3,'Standards for Conversions'!$A$47:$A$73,0))))</f>
        <v/>
      </c>
      <c r="JQ112" s="33" t="s">
        <v>40</v>
      </c>
      <c r="JT112" s="31" t="str">
        <f>IF(JS112/(INDEX('Standards for Conversions'!$H$47:$H$73,MATCH(JR$3,'Standards for Conversions'!$A$47:$A$73,0)))=0,"",JS112/(INDEX('Standards for Conversions'!$H$47:$H$73,MATCH(JR$3,'Standards for Conversions'!$A$47:$A$73,0))))</f>
        <v/>
      </c>
      <c r="JU112" s="33" t="s">
        <v>40</v>
      </c>
      <c r="JX112" s="31" t="str">
        <f>IF(JW112/(INDEX('Standards for Conversions'!$H$47:$H$73,MATCH(JV$3,'Standards for Conversions'!$A$47:$A$73,0)))=0,"",JW112/(INDEX('Standards for Conversions'!$H$47:$H$73,MATCH(JV$3,'Standards for Conversions'!$A$47:$A$73,0))))</f>
        <v/>
      </c>
      <c r="JY112" s="33" t="s">
        <v>40</v>
      </c>
      <c r="JZ112" s="29">
        <v>250</v>
      </c>
      <c r="KA112" s="29">
        <v>3000</v>
      </c>
      <c r="KB112" s="31">
        <f>IF(KA112/(INDEX('Standards for Conversions'!$H$47:$H$73,MATCH(JZ$3,'Standards for Conversions'!$A$47:$A$73,0)))=0,"",KA112/(INDEX('Standards for Conversions'!$H$47:$H$73,MATCH(JZ$3,'Standards for Conversions'!$A$47:$A$73,0))))</f>
        <v>457.96767728339267</v>
      </c>
      <c r="KC112" s="33" t="s">
        <v>40</v>
      </c>
      <c r="KF112" s="31" t="str">
        <f>IF(KE112/(INDEX('Standards for Conversions'!$H$47:$H$73,MATCH(KD$3,'Standards for Conversions'!$A$47:$A$73,0)))=0,"",KE112/(INDEX('Standards for Conversions'!$H$47:$H$73,MATCH(KD$3,'Standards for Conversions'!$A$47:$A$73,0))))</f>
        <v/>
      </c>
      <c r="KG112" s="33" t="s">
        <v>40</v>
      </c>
      <c r="KJ112" s="31" t="str">
        <f>IF(KI112/(INDEX('Standards for Conversions'!$H$47:$H$73,MATCH(KH$3,'Standards for Conversions'!$A$47:$A$73,0)))=0,"",KI112/(INDEX('Standards for Conversions'!$H$47:$H$73,MATCH(KH$3,'Standards for Conversions'!$A$47:$A$73,0))))</f>
        <v/>
      </c>
      <c r="KK112" s="33" t="s">
        <v>40</v>
      </c>
      <c r="KN112" s="31" t="str">
        <f>IF(KM112/(INDEX('Standards for Conversions'!$H$47:$H$73,MATCH(KL$3,'Standards for Conversions'!$A$47:$A$73,0)))=0,"",KM112/(INDEX('Standards for Conversions'!$H$47:$H$73,MATCH(KL$3,'Standards for Conversions'!$A$47:$A$73,0))))</f>
        <v/>
      </c>
      <c r="KO112" s="33" t="s">
        <v>40</v>
      </c>
      <c r="KP112" s="29">
        <v>280</v>
      </c>
      <c r="KQ112" s="29">
        <v>3300</v>
      </c>
      <c r="KR112" s="31">
        <f>IF(KQ112/(INDEX('Standards for Conversions'!$H$47:$H$73,MATCH(KP$3,'Standards for Conversions'!$A$47:$A$73,0)))=0,"",KQ112/(INDEX('Standards for Conversions'!$H$47:$H$73,MATCH(KP$3,'Standards for Conversions'!$A$47:$A$73,0))))</f>
        <v>444.37473928912834</v>
      </c>
      <c r="KS112" s="33" t="s">
        <v>40</v>
      </c>
      <c r="KV112" s="31" t="str">
        <f>IF(KU112/(INDEX('Standards for Conversions'!$H$47:$H$73,MATCH(KT$3,'Standards for Conversions'!$A$47:$A$73,0)))=0,"",KU112/(INDEX('Standards for Conversions'!$H$47:$H$73,MATCH(KT$3,'Standards for Conversions'!$A$47:$A$73,0))))</f>
        <v/>
      </c>
      <c r="KW112" s="33" t="s">
        <v>40</v>
      </c>
      <c r="KZ112" s="31" t="str">
        <f>IF(KY112/(INDEX('Standards for Conversions'!$H$47:$H$73,MATCH(KX$3,'Standards for Conversions'!$A$47:$A$73,0)))=0,"",KY112/(INDEX('Standards for Conversions'!$H$47:$H$73,MATCH(KX$3,'Standards for Conversions'!$A$47:$A$73,0))))</f>
        <v/>
      </c>
      <c r="LA112" s="33" t="s">
        <v>40</v>
      </c>
      <c r="LD112" s="31" t="str">
        <f>IF(LC112/(INDEX('Standards for Conversions'!$H$47:$H$73,MATCH(LB$3,'Standards for Conversions'!$A$47:$A$73,0)))=0,"",LC112/(INDEX('Standards for Conversions'!$H$47:$H$73,MATCH(LB$3,'Standards for Conversions'!$A$47:$A$73,0))))</f>
        <v/>
      </c>
      <c r="LE112" s="48" t="s">
        <v>40</v>
      </c>
      <c r="LF112" s="29">
        <v>85</v>
      </c>
      <c r="LG112" s="29">
        <v>2830</v>
      </c>
      <c r="LH112" s="31">
        <f>IF(LG112/(INDEX('Standards for Conversions'!$H$47:$H$73,MATCH(LF$3,'Standards for Conversions'!$A$47:$A$73,0)))=0,"",LG112/(INDEX('Standards for Conversions'!$H$47:$H$73,MATCH(LF$3,'Standards for Conversions'!$A$47:$A$73,0))))</f>
        <v>344.17488383882267</v>
      </c>
      <c r="LL112" s="31" t="str">
        <f>IF(LK112/(INDEX('Standards for Conversions'!$H$47:$H$73,MATCH(LJ$3,'Standards for Conversions'!$A$47:$A$73,0)))=0,"",LK112/(INDEX('Standards for Conversions'!$H$47:$H$73,MATCH(LJ$3,'Standards for Conversions'!$A$47:$A$73,0))))</f>
        <v/>
      </c>
      <c r="LO112" s="31" t="str">
        <f>IF(LN112/(INDEX('Standards for Conversions'!$H$47:$H$73,MATCH(LM$3,'Standards for Conversions'!$A$47:$A$73,0)))=0,"",LN112/(INDEX('Standards for Conversions'!$H$47:$H$73,MATCH(LM$3,'Standards for Conversions'!$A$47:$A$73,0))))</f>
        <v/>
      </c>
      <c r="LR112" s="31" t="str">
        <f>IF(LQ112/(INDEX('Standards for Conversions'!$H$47:$H$73,MATCH(LP$3,'Standards for Conversions'!$A$47:$A$73,0)))=0,"",LQ112/(INDEX('Standards for Conversions'!$H$47:$H$73,MATCH(LP$3,'Standards for Conversions'!$A$47:$A$73,0))))</f>
        <v/>
      </c>
      <c r="LV112" s="31" t="str">
        <f>IF(LU112/(INDEX('Standards for Conversions'!$H$47:$H$73,MATCH(LT$3,'Standards for Conversions'!$A$47:$A$73,0)))=0,"",LU112/(INDEX('Standards for Conversions'!$H$47:$H$73,MATCH(LT$3,'Standards for Conversions'!$A$47:$A$73,0))))</f>
        <v/>
      </c>
      <c r="LY112" s="31" t="str">
        <f>IF(LX112/(INDEX('Standards for Conversions'!$H$47:$H$73,MATCH(LW$3,'Standards for Conversions'!$A$47:$A$73,0)))=0,"",LX112/(INDEX('Standards for Conversions'!$H$47:$H$73,MATCH(LW$3,'Standards for Conversions'!$A$47:$A$73,0))))</f>
        <v/>
      </c>
      <c r="MB112" s="31" t="str">
        <f>IF(MA112/(INDEX('Standards for Conversions'!$H$47:$H$73,MATCH(LZ$3,'Standards for Conversions'!$A$47:$A$73,0)))=0,"",MA112/(INDEX('Standards for Conversions'!$H$47:$H$73,MATCH(LZ$3,'Standards for Conversions'!$A$47:$A$73,0))))</f>
        <v/>
      </c>
      <c r="ME112" s="31" t="str">
        <f>IF(MD112/(INDEX('Standards for Conversions'!$H$47:$H$73,MATCH(MC$3,'Standards for Conversions'!$A$47:$A$73,0)))=0,"",MD112/(INDEX('Standards for Conversions'!$H$47:$H$73,MATCH(MC$3,'Standards for Conversions'!$A$47:$A$73,0))))</f>
        <v/>
      </c>
      <c r="MH112" s="31" t="str">
        <f>IF(MG112/(INDEX('Standards for Conversions'!$H$47:$H$73,MATCH(MF$3,'Standards for Conversions'!$A$47:$A$73,0)))=0,"",MG112/(INDEX('Standards for Conversions'!$H$47:$H$73,MATCH(MF$3,'Standards for Conversions'!$A$47:$A$73,0))))</f>
        <v/>
      </c>
      <c r="MK112" s="31" t="str">
        <f>IF(MJ112/(INDEX('Standards for Conversions'!$H$47:$H$73,MATCH(MI$3,'Standards for Conversions'!$A$47:$A$73,0)))=0,"",MJ112/(INDEX('Standards for Conversions'!$H$47:$H$73,MATCH(MI$3,'Standards for Conversions'!$A$47:$A$73,0))))</f>
        <v/>
      </c>
      <c r="MN112" s="31" t="str">
        <f>IF(MM112/(INDEX('Standards for Conversions'!$H$47:$H$73,MATCH(ML$3,'Standards for Conversions'!$A$47:$A$73,0)))=0,"",MM112/(INDEX('Standards for Conversions'!$H$47:$H$73,MATCH(ML$3,'Standards for Conversions'!$A$47:$A$73,0))))</f>
        <v/>
      </c>
      <c r="MR112" s="31" t="str">
        <f>IF(MQ112/(INDEX('Standards for Conversions'!$H$47:$H$73,MATCH(MP$3,'Standards for Conversions'!$A$47:$A$73,0)))=0,"",MQ112/(INDEX('Standards for Conversions'!$H$47:$H$73,MATCH(MP$3,'Standards for Conversions'!$A$47:$A$73,0))))</f>
        <v/>
      </c>
    </row>
    <row r="113" spans="1:356" hidden="1" x14ac:dyDescent="0.3">
      <c r="A113" s="103" t="s">
        <v>278</v>
      </c>
      <c r="B113" s="10" t="s">
        <v>40</v>
      </c>
      <c r="C113" s="7"/>
      <c r="D113" s="7"/>
      <c r="E113" s="31" t="str">
        <f>IF(D113/(INDEX('Standards for Conversions'!$H$34:$H$73,MATCH(C$3,'Standards for Conversions'!$A$34:$A$73,0)))=0,"",D113/(INDEX('Standards for Conversions'!$H$34:$H$73,MATCH(C$3,'Standards for Conversions'!$A$34:$A$73,0))))</f>
        <v/>
      </c>
      <c r="F113" s="10" t="s">
        <v>40</v>
      </c>
      <c r="G113" s="7"/>
      <c r="H113" s="7"/>
      <c r="I113" s="31" t="str">
        <f>IF(H113/(INDEX('Standards for Conversions'!$H$34:$H$73,MATCH(G$3,'Standards for Conversions'!$A$34:$A$73,0)))=0,"",H113/(INDEX('Standards for Conversions'!$H$34:$H$73,MATCH(G$3,'Standards for Conversions'!$A$34:$A$73,0))))</f>
        <v/>
      </c>
      <c r="J113" s="10" t="s">
        <v>40</v>
      </c>
      <c r="K113" s="9"/>
      <c r="L113" s="9"/>
      <c r="M113" s="31" t="str">
        <f>IF(L113/(INDEX('Standards for Conversions'!$H$34:$H$73,MATCH(K$3,'Standards for Conversions'!$A$34:$A$73,0)))=0,"",L113/(INDEX('Standards for Conversions'!$H$34:$H$73,MATCH(K$3,'Standards for Conversions'!$A$34:$A$73,0))))</f>
        <v/>
      </c>
      <c r="N113" s="10" t="s">
        <v>40</v>
      </c>
      <c r="O113" s="7"/>
      <c r="P113" s="7"/>
      <c r="Q113" s="31" t="str">
        <f>IF(P113/(INDEX('Standards for Conversions'!$H$34:$H$73,MATCH(O$3,'Standards for Conversions'!$A$34:$A$73,0)))=0,"",P113/(INDEX('Standards for Conversions'!$H$34:$H$73,MATCH(O$3,'Standards for Conversions'!$A$34:$A$73,0))))</f>
        <v/>
      </c>
      <c r="R113" s="10" t="s">
        <v>40</v>
      </c>
      <c r="S113" s="7"/>
      <c r="T113" s="7"/>
      <c r="U113" s="31" t="str">
        <f>IF(T113/(INDEX('Standards for Conversions'!$H$34:$H$73,MATCH(S$3,'Standards for Conversions'!$A$34:$A$73,0)))=0,"",T113/(INDEX('Standards for Conversions'!$H$34:$H$73,MATCH(S$3,'Standards for Conversions'!$A$34:$A$73,0))))</f>
        <v/>
      </c>
      <c r="V113" s="10" t="s">
        <v>40</v>
      </c>
      <c r="W113" s="7"/>
      <c r="X113" s="7"/>
      <c r="Y113" s="31" t="str">
        <f>IF(X113/(INDEX('Standards for Conversions'!$H$34:$H$73,MATCH(W$3,'Standards for Conversions'!$A$34:$A$73,0)))=0,"",X113/(INDEX('Standards for Conversions'!$H$34:$H$73,MATCH(W$3,'Standards for Conversions'!$A$34:$A$73,0))))</f>
        <v/>
      </c>
      <c r="Z113" s="10" t="s">
        <v>40</v>
      </c>
      <c r="AA113" s="9"/>
      <c r="AB113" s="9"/>
      <c r="AC113" s="31" t="str">
        <f>IF(AB113/(INDEX('Standards for Conversions'!$H$34:$H$73,MATCH(AA$3,'Standards for Conversions'!$A$34:$A$73,0)))=0,"",AB113/(INDEX('Standards for Conversions'!$H$34:$H$73,MATCH(AA$3,'Standards for Conversions'!$A$34:$A$73,0))))</f>
        <v/>
      </c>
      <c r="AD113" s="10" t="s">
        <v>40</v>
      </c>
      <c r="AE113" s="7"/>
      <c r="AF113" s="7"/>
      <c r="AG113" s="31" t="str">
        <f>IF(AF113/(INDEX('Standards for Conversions'!$H$34:$H$73,MATCH(AE$3,'Standards for Conversions'!$A$34:$A$73,0)))=0,"",AF113/(INDEX('Standards for Conversions'!$H$34:$H$73,MATCH(AE$3,'Standards for Conversions'!$A$34:$A$73,0))))</f>
        <v/>
      </c>
      <c r="AH113" s="10" t="s">
        <v>40</v>
      </c>
      <c r="AI113" s="7"/>
      <c r="AJ113" s="7"/>
      <c r="AK113" s="31" t="str">
        <f>IF(AJ113/(INDEX('Standards for Conversions'!$H$34:$H$73,MATCH(AI$3,'Standards for Conversions'!$A$34:$A$73,0)))=0,"",AJ113/(INDEX('Standards for Conversions'!$H$34:$H$73,MATCH(AI$3,'Standards for Conversions'!$A$34:$A$73,0))))</f>
        <v/>
      </c>
      <c r="AL113" s="10" t="s">
        <v>40</v>
      </c>
      <c r="AM113" s="7"/>
      <c r="AN113" s="7"/>
      <c r="AO113" s="31" t="str">
        <f>IF(AN113/(INDEX('Standards for Conversions'!$H$34:$H$73,MATCH(AM$3,'Standards for Conversions'!$A$34:$A$73,0)))=0,"",AN113/(INDEX('Standards for Conversions'!$H$34:$H$73,MATCH(AM$3,'Standards for Conversions'!$A$34:$A$73,0))))</f>
        <v/>
      </c>
      <c r="AP113" s="10" t="s">
        <v>40</v>
      </c>
      <c r="AQ113" s="9"/>
      <c r="AR113" s="9"/>
      <c r="AS113" s="31" t="str">
        <f>IF(AR113/(INDEX('Standards for Conversions'!$H$34:$H$73,MATCH(AQ$3,'Standards for Conversions'!$A$34:$A$73,0)))=0,"",AR113/(INDEX('Standards for Conversions'!$H$34:$H$73,MATCH(AQ$3,'Standards for Conversions'!$A$34:$A$73,0))))</f>
        <v/>
      </c>
      <c r="AT113" s="10" t="s">
        <v>40</v>
      </c>
      <c r="AU113" s="7"/>
      <c r="AV113" s="7"/>
      <c r="AW113" s="31" t="str">
        <f>IF(AV113/(INDEX('Standards for Conversions'!$H$34:$H$73,MATCH(AU$3,'Standards for Conversions'!$A$34:$A$73,0)))=0,"",AV113/(INDEX('Standards for Conversions'!$H$34:$H$73,MATCH(AU$3,'Standards for Conversions'!$A$34:$A$73,0))))</f>
        <v/>
      </c>
      <c r="AX113" s="10" t="s">
        <v>40</v>
      </c>
      <c r="AY113" s="7"/>
      <c r="AZ113" s="7"/>
      <c r="BA113" s="31" t="str">
        <f>IF(AZ113/(INDEX('Standards for Conversions'!$H$34:$H$73,MATCH(AY$3,'Standards for Conversions'!$A$34:$A$73,0)))=0,"",AZ113/(INDEX('Standards for Conversions'!$H$34:$H$73,MATCH(AY$3,'Standards for Conversions'!$A$34:$A$73,0))))</f>
        <v/>
      </c>
      <c r="BB113" s="10" t="s">
        <v>40</v>
      </c>
      <c r="BC113" s="7"/>
      <c r="BD113" s="7"/>
      <c r="BE113" s="31" t="str">
        <f>IF(BD113/(INDEX('Standards for Conversions'!$H$34:$H$73,MATCH(BC$3,'Standards for Conversions'!$A$34:$A$73,0)))=0,"",BD113/(INDEX('Standards for Conversions'!$H$34:$H$73,MATCH(BC$3,'Standards for Conversions'!$A$34:$A$73,0))))</f>
        <v/>
      </c>
      <c r="BF113" s="10" t="s">
        <v>40</v>
      </c>
      <c r="BG113" s="9"/>
      <c r="BH113" s="9"/>
      <c r="BI113" s="31" t="str">
        <f>IF(BH113/(INDEX('Standards for Conversions'!$H$34:$H$73,MATCH(BG$3,'Standards for Conversions'!$A$34:$A$73,0)))=0,"",BH113/(INDEX('Standards for Conversions'!$H$34:$H$73,MATCH(BG$3,'Standards for Conversions'!$A$34:$A$73,0))))</f>
        <v/>
      </c>
      <c r="BJ113" s="10" t="s">
        <v>40</v>
      </c>
      <c r="BK113" s="7"/>
      <c r="BL113" s="7"/>
      <c r="BM113" s="31" t="str">
        <f>IF(BL113/(INDEX('Standards for Conversions'!$H$34:$H$73,MATCH(BK$3,'Standards for Conversions'!$A$34:$A$73,0)))=0,"",BL113/(INDEX('Standards for Conversions'!$H$34:$H$73,MATCH(BK$3,'Standards for Conversions'!$A$34:$A$73,0))))</f>
        <v/>
      </c>
      <c r="BN113" s="10" t="s">
        <v>40</v>
      </c>
      <c r="BO113" s="7"/>
      <c r="BP113" s="7"/>
      <c r="BQ113" s="31" t="str">
        <f>IF(BP113/(INDEX('Standards for Conversions'!$H$34:$H$73,MATCH(BO$3,'Standards for Conversions'!$A$34:$A$73,0)))=0,"",BP113/(INDEX('Standards for Conversions'!$H$34:$H$73,MATCH(BO$3,'Standards for Conversions'!$A$34:$A$73,0))))</f>
        <v/>
      </c>
      <c r="BR113" s="10" t="s">
        <v>40</v>
      </c>
      <c r="BS113" s="7"/>
      <c r="BT113" s="7"/>
      <c r="BU113" s="31" t="str">
        <f>IF(BT113/(INDEX('Standards for Conversions'!$H$34:$H$73,MATCH(BS$3,'Standards for Conversions'!$A$34:$A$73,0)))=0,"",BT113/(INDEX('Standards for Conversions'!$H$34:$H$73,MATCH(BS$3,'Standards for Conversions'!$A$34:$A$73,0))))</f>
        <v/>
      </c>
      <c r="BV113" s="10" t="s">
        <v>40</v>
      </c>
      <c r="BW113" s="9"/>
      <c r="BX113" s="9"/>
      <c r="BY113" s="31" t="str">
        <f>IF(BX113/(INDEX('Standards for Conversions'!$H$34:$H$73,MATCH(BW$3,'Standards for Conversions'!$A$34:$A$73,0)))=0,"",BX113/(INDEX('Standards for Conversions'!$H$34:$H$73,MATCH(BW$3,'Standards for Conversions'!$A$34:$A$73,0))))</f>
        <v/>
      </c>
      <c r="BZ113" s="10" t="s">
        <v>40</v>
      </c>
      <c r="CA113" s="7"/>
      <c r="CB113" s="7"/>
      <c r="CC113" s="31" t="str">
        <f>IF(CB113/(INDEX('Standards for Conversions'!$H$34:$H$73,MATCH(CA$3,'Standards for Conversions'!$A$34:$A$73,0)))=0,"",CB113/(INDEX('Standards for Conversions'!$H$34:$H$73,MATCH(CA$3,'Standards for Conversions'!$A$34:$A$73,0))))</f>
        <v/>
      </c>
      <c r="CD113" s="10" t="s">
        <v>40</v>
      </c>
      <c r="CE113" s="7"/>
      <c r="CF113" s="7"/>
      <c r="CG113" s="31" t="str">
        <f>IF(CF113/(INDEX('Standards for Conversions'!$H$34:$H$73,MATCH(CE$3,'Standards for Conversions'!$A$34:$A$73,0)))=0,"",CF113/(INDEX('Standards for Conversions'!$H$34:$H$73,MATCH(CE$3,'Standards for Conversions'!$A$34:$A$73,0))))</f>
        <v/>
      </c>
      <c r="CH113" s="10" t="s">
        <v>40</v>
      </c>
      <c r="CI113" s="7"/>
      <c r="CJ113" s="7"/>
      <c r="CK113" s="31" t="str">
        <f>IF(CJ113/(INDEX('Standards for Conversions'!$H$34:$H$73,MATCH(CI$3,'Standards for Conversions'!$A$34:$A$73,0)))=0,"",CJ113/(INDEX('Standards for Conversions'!$H$34:$H$73,MATCH(CI$3,'Standards for Conversions'!$A$34:$A$73,0))))</f>
        <v/>
      </c>
      <c r="CL113" s="10" t="s">
        <v>40</v>
      </c>
      <c r="CM113" s="9"/>
      <c r="CN113" s="9"/>
      <c r="CO113" s="31" t="str">
        <f>IF(CN113/(INDEX('Standards for Conversions'!$H$34:$H$73,MATCH(CM$3,'Standards for Conversions'!$A$34:$A$73,0)))=0,"",CN113/(INDEX('Standards for Conversions'!$H$34:$H$73,MATCH(CM$3,'Standards for Conversions'!$A$34:$A$73,0))))</f>
        <v/>
      </c>
      <c r="CP113" s="10" t="s">
        <v>40</v>
      </c>
      <c r="CQ113" s="7"/>
      <c r="CR113" s="7"/>
      <c r="CS113" s="31" t="str">
        <f>IF(CR113/(INDEX('Standards for Conversions'!$H$34:$H$73,MATCH(CQ$3,'Standards for Conversions'!$A$34:$A$73,0)))=0,"",CR113/(INDEX('Standards for Conversions'!$H$34:$H$73,MATCH(CQ$3,'Standards for Conversions'!$A$34:$A$73,0))))</f>
        <v/>
      </c>
      <c r="CT113" s="10" t="s">
        <v>40</v>
      </c>
      <c r="CU113" s="7"/>
      <c r="CV113" s="7"/>
      <c r="CW113" s="31" t="str">
        <f>IF(CV113/(INDEX('Standards for Conversions'!$H$34:$H$73,MATCH(CU$3,'Standards for Conversions'!$A$34:$A$73,0)))=0,"",CV113/(INDEX('Standards for Conversions'!$H$34:$H$73,MATCH(CU$3,'Standards for Conversions'!$A$34:$A$73,0))))</f>
        <v/>
      </c>
      <c r="CX113" s="10" t="s">
        <v>40</v>
      </c>
      <c r="CY113" s="7"/>
      <c r="CZ113" s="7"/>
      <c r="DA113" s="31" t="str">
        <f>IF(CZ113/(INDEX('Standards for Conversions'!$H$34:$H$73,MATCH(CY$3,'Standards for Conversions'!$A$34:$A$73,0)))=0,"",CZ113/(INDEX('Standards for Conversions'!$H$34:$H$73,MATCH(CY$3,'Standards for Conversions'!$A$34:$A$73,0))))</f>
        <v/>
      </c>
      <c r="DB113" s="10" t="s">
        <v>40</v>
      </c>
      <c r="DC113" s="9"/>
      <c r="DD113" s="9"/>
      <c r="DE113" s="31" t="str">
        <f>IF(DD113/(INDEX('Standards for Conversions'!$H$34:$H$73,MATCH(DC$3,'Standards for Conversions'!$A$34:$A$73,0)))=0,"",DD113/(INDEX('Standards for Conversions'!$H$34:$H$73,MATCH(DC$3,'Standards for Conversions'!$A$34:$A$73,0))))</f>
        <v/>
      </c>
      <c r="DF113" s="10" t="s">
        <v>40</v>
      </c>
      <c r="DG113" s="7"/>
      <c r="DH113" s="7"/>
      <c r="DI113" s="31" t="str">
        <f>IF(DH113/(INDEX('Standards for Conversions'!$H$34:$H$73,MATCH(DG$3,'Standards for Conversions'!$A$34:$A$73,0)))=0,"",DH113/(INDEX('Standards for Conversions'!$H$34:$H$73,MATCH(DG$3,'Standards for Conversions'!$A$34:$A$73,0))))</f>
        <v/>
      </c>
      <c r="DJ113" s="10" t="s">
        <v>40</v>
      </c>
      <c r="DK113" s="7"/>
      <c r="DL113" s="7"/>
      <c r="DM113" s="31" t="str">
        <f>IF(DL113/(INDEX('Standards for Conversions'!$H$34:$H$73,MATCH(DK$3,'Standards for Conversions'!$A$34:$A$73,0)))=0,"",DL113/(INDEX('Standards for Conversions'!$H$34:$H$73,MATCH(DK$3,'Standards for Conversions'!$A$34:$A$73,0))))</f>
        <v/>
      </c>
      <c r="DN113" s="10" t="s">
        <v>40</v>
      </c>
      <c r="DO113" s="7"/>
      <c r="DP113" s="7"/>
      <c r="DQ113" s="31" t="str">
        <f>IF(DP113/(INDEX('Standards for Conversions'!$H$34:$H$73,MATCH(DO$3,'Standards for Conversions'!$A$34:$A$73,0)))=0,"",DP113/(INDEX('Standards for Conversions'!$H$34:$H$73,MATCH(DO$3,'Standards for Conversions'!$A$34:$A$73,0))))</f>
        <v/>
      </c>
      <c r="DR113" s="10" t="s">
        <v>40</v>
      </c>
      <c r="DS113" s="9"/>
      <c r="DT113" s="9"/>
      <c r="DU113" s="31" t="str">
        <f>IF(DT113/(INDEX('Standards for Conversions'!$H$34:$H$73,MATCH(DS$3,'Standards for Conversions'!$A$34:$A$73,0)))=0,"",DT113/(INDEX('Standards for Conversions'!$H$34:$H$73,MATCH(DS$3,'Standards for Conversions'!$A$34:$A$73,0))))</f>
        <v/>
      </c>
      <c r="DV113" s="10" t="s">
        <v>40</v>
      </c>
      <c r="DW113" s="7"/>
      <c r="DX113" s="7"/>
      <c r="DY113" s="31" t="str">
        <f>IF(DX113/(INDEX('Standards for Conversions'!$H$34:$H$73,MATCH(DW$3,'Standards for Conversions'!$A$34:$A$73,0)))=0,"",DX113/(INDEX('Standards for Conversions'!$H$34:$H$73,MATCH(DW$3,'Standards for Conversions'!$A$34:$A$73,0))))</f>
        <v/>
      </c>
      <c r="DZ113" s="10" t="s">
        <v>40</v>
      </c>
      <c r="EA113" s="7"/>
      <c r="EB113" s="7"/>
      <c r="EC113" s="31" t="str">
        <f>IF(EB113/(INDEX('Standards for Conversions'!$H$34:$H$73,MATCH(EA$3,'Standards for Conversions'!$A$34:$A$73,0)))=0,"",EB113/(INDEX('Standards for Conversions'!$H$34:$H$73,MATCH(EA$3,'Standards for Conversions'!$A$34:$A$73,0))))</f>
        <v/>
      </c>
      <c r="ED113" s="10" t="s">
        <v>40</v>
      </c>
      <c r="EE113" s="7"/>
      <c r="EF113" s="7"/>
      <c r="EG113" s="31" t="str">
        <f>IF(EF113/(INDEX('Standards for Conversions'!$H$34:$H$73,MATCH(EE$3,'Standards for Conversions'!$A$34:$A$73,0)))=0,"",EF113/(INDEX('Standards for Conversions'!$H$34:$H$73,MATCH(EE$3,'Standards for Conversions'!$A$34:$A$73,0))))</f>
        <v/>
      </c>
      <c r="EH113" s="10" t="s">
        <v>40</v>
      </c>
      <c r="EI113" s="9"/>
      <c r="EJ113" s="9"/>
      <c r="EK113" s="31" t="str">
        <f>IF(EJ113/(INDEX('Standards for Conversions'!$H$34:$H$73,MATCH(EI$3,'Standards for Conversions'!$A$34:$A$73,0)))=0,"",EJ113/(INDEX('Standards for Conversions'!$H$34:$H$73,MATCH(EI$3,'Standards for Conversions'!$A$34:$A$73,0))))</f>
        <v/>
      </c>
      <c r="EL113" s="10" t="s">
        <v>40</v>
      </c>
      <c r="EM113" s="7"/>
      <c r="EN113" s="7"/>
      <c r="EO113" s="31" t="str">
        <f>IF(EN113/(INDEX('Standards for Conversions'!$H$34:$H$73,MATCH(EM$3,'Standards for Conversions'!$A$34:$A$73,0)))=0,"",EN113/(INDEX('Standards for Conversions'!$H$34:$H$73,MATCH(EM$3,'Standards for Conversions'!$A$34:$A$73,0))))</f>
        <v/>
      </c>
      <c r="EP113" s="10" t="s">
        <v>40</v>
      </c>
      <c r="EQ113" s="7"/>
      <c r="ER113" s="7"/>
      <c r="ES113" s="31" t="str">
        <f>IF(ER113/(INDEX('Standards for Conversions'!$H$34:$H$73,MATCH(EQ$3,'Standards for Conversions'!$A$34:$A$73,0)))=0,"",ER113/(INDEX('Standards for Conversions'!$H$34:$H$73,MATCH(EQ$3,'Standards for Conversions'!$A$34:$A$73,0))))</f>
        <v/>
      </c>
      <c r="ET113" s="10" t="s">
        <v>40</v>
      </c>
      <c r="EU113" s="7"/>
      <c r="EV113" s="7"/>
      <c r="EW113" s="31" t="str">
        <f>IF(EV113/(INDEX('Standards for Conversions'!$H$34:$H$73,MATCH(EU$3,'Standards for Conversions'!$A$34:$A$73,0)))=0,"",EV113/(INDEX('Standards for Conversions'!$H$34:$H$73,MATCH(EU$3,'Standards for Conversions'!$A$34:$A$73,0))))</f>
        <v/>
      </c>
      <c r="EX113" s="10" t="s">
        <v>40</v>
      </c>
      <c r="EY113" s="9"/>
      <c r="EZ113" s="9"/>
      <c r="FA113" s="31" t="str">
        <f>IF(EZ113/(INDEX('Standards for Conversions'!$H$34:$H$73,MATCH(EY$3,'Standards for Conversions'!$A$34:$A$73,0)))=0,"",EZ113/(INDEX('Standards for Conversions'!$H$34:$H$73,MATCH(EY$3,'Standards for Conversions'!$A$34:$A$73,0))))</f>
        <v/>
      </c>
      <c r="FB113" s="10" t="s">
        <v>40</v>
      </c>
      <c r="FC113" s="7"/>
      <c r="FD113" s="7"/>
      <c r="FE113" s="31" t="str">
        <f>IF(FD113/(INDEX('Standards for Conversions'!$H$34:$H$73,MATCH(FC$3,'Standards for Conversions'!$A$34:$A$73,0)))=0,"",FD113/(INDEX('Standards for Conversions'!$H$34:$H$73,MATCH(FC$3,'Standards for Conversions'!$A$34:$A$73,0))))</f>
        <v/>
      </c>
      <c r="FF113" s="10" t="s">
        <v>40</v>
      </c>
      <c r="FG113" s="7"/>
      <c r="FH113" s="7"/>
      <c r="FI113" s="31" t="str">
        <f>IF(FH113/(INDEX('Standards for Conversions'!$H$34:$H$73,MATCH(FG$3,'Standards for Conversions'!$A$34:$A$73,0)))=0,"",FH113/(INDEX('Standards for Conversions'!$H$34:$H$73,MATCH(FG$3,'Standards for Conversions'!$A$34:$A$73,0))))</f>
        <v/>
      </c>
      <c r="FJ113" s="10" t="s">
        <v>40</v>
      </c>
      <c r="FK113" s="7"/>
      <c r="FL113" s="7"/>
      <c r="FM113" s="31" t="str">
        <f>IF(FL113/(INDEX('Standards for Conversions'!$H$34:$H$73,MATCH(FK$3,'Standards for Conversions'!$A$34:$A$73,0)))=0,"",FL113/(INDEX('Standards for Conversions'!$H$34:$H$73,MATCH(FK$3,'Standards for Conversions'!$A$34:$A$73,0))))</f>
        <v/>
      </c>
      <c r="FN113" s="10" t="s">
        <v>40</v>
      </c>
      <c r="FO113" s="9"/>
      <c r="FP113" s="9"/>
      <c r="FQ113" s="31" t="str">
        <f>IF(FP113/(INDEX('Standards for Conversions'!$H$34:$H$73,MATCH(FO$3,'Standards for Conversions'!$A$34:$A$73,0)))=0,"",FP113/(INDEX('Standards for Conversions'!$H$34:$H$73,MATCH(FO$3,'Standards for Conversions'!$A$34:$A$73,0))))</f>
        <v/>
      </c>
      <c r="FR113" s="10" t="s">
        <v>40</v>
      </c>
      <c r="FS113" s="7"/>
      <c r="FT113" s="7"/>
      <c r="FU113" s="31" t="str">
        <f>IF(FT113/(INDEX('Standards for Conversions'!$H$34:$H$73,MATCH(FS$3,'Standards for Conversions'!$A$34:$A$73,0)))=0,"",FT113/(INDEX('Standards for Conversions'!$H$34:$H$73,MATCH(FS$3,'Standards for Conversions'!$A$34:$A$73,0))))</f>
        <v/>
      </c>
      <c r="FV113" s="10" t="s">
        <v>40</v>
      </c>
      <c r="FW113" s="7"/>
      <c r="FX113" s="7"/>
      <c r="FY113" s="31" t="str">
        <f>IF(FX113/(INDEX('Standards for Conversions'!$H$34:$H$73,MATCH(FW$3,'Standards for Conversions'!$A$34:$A$73,0)))=0,"",FX113/(INDEX('Standards for Conversions'!$H$34:$H$73,MATCH(FW$3,'Standards for Conversions'!$A$34:$A$73,0))))</f>
        <v/>
      </c>
      <c r="FZ113" s="10" t="s">
        <v>40</v>
      </c>
      <c r="GA113" s="7"/>
      <c r="GB113" s="7"/>
      <c r="GC113" s="31" t="str">
        <f>IF(GB113/(INDEX('Standards for Conversions'!$H$34:$H$73,MATCH(GA$3,'Standards for Conversions'!$A$34:$A$73,0)))=0,"",GB113/(INDEX('Standards for Conversions'!$H$34:$H$73,MATCH(GA$3,'Standards for Conversions'!$A$34:$A$73,0))))</f>
        <v/>
      </c>
      <c r="GD113" s="10" t="s">
        <v>40</v>
      </c>
      <c r="GE113" s="9"/>
      <c r="GF113" s="9"/>
      <c r="GG113" s="31" t="str">
        <f>IF(GF113/(INDEX('Standards for Conversions'!$H$34:$H$73,MATCH(GE$3,'Standards for Conversions'!$A$34:$A$73,0)))=0,"",GF113/(INDEX('Standards for Conversions'!$H$34:$H$73,MATCH(GE$3,'Standards for Conversions'!$A$34:$A$73,0))))</f>
        <v/>
      </c>
      <c r="GH113" s="10" t="s">
        <v>40</v>
      </c>
      <c r="GI113" s="7"/>
      <c r="GJ113" s="7"/>
      <c r="GK113" s="31" t="str">
        <f>IF(GJ113/(INDEX('Standards for Conversions'!$H$34:$H$73,MATCH(GI$3,'Standards for Conversions'!$A$34:$A$73,0)))=0,"",GJ113/(INDEX('Standards for Conversions'!$H$34:$H$73,MATCH(GI$3,'Standards for Conversions'!$A$34:$A$73,0))))</f>
        <v/>
      </c>
      <c r="GL113" s="10" t="s">
        <v>40</v>
      </c>
      <c r="GM113" s="7"/>
      <c r="GN113" s="7"/>
      <c r="GO113" s="31" t="str">
        <f>IF(GN113/(INDEX('Standards for Conversions'!$H$34:$H$73,MATCH(GM$3,'Standards for Conversions'!$A$34:$A$73,0)))=0,"",GN113/(INDEX('Standards for Conversions'!$H$34:$H$73,MATCH(GM$3,'Standards for Conversions'!$A$34:$A$73,0))))</f>
        <v/>
      </c>
      <c r="GP113" s="10" t="s">
        <v>40</v>
      </c>
      <c r="GQ113" s="7"/>
      <c r="GR113" s="7"/>
      <c r="GS113" s="31" t="str">
        <f>IF(GR113/(INDEX('Standards for Conversions'!$H$34:$H$73,MATCH(GQ$3,'Standards for Conversions'!$A$34:$A$73,0)))=0,"",GR113/(INDEX('Standards for Conversions'!$H$34:$H$73,MATCH(GQ$3,'Standards for Conversions'!$A$34:$A$73,0))))</f>
        <v/>
      </c>
      <c r="GT113" s="10" t="s">
        <v>40</v>
      </c>
      <c r="GU113" s="9"/>
      <c r="GV113" s="9"/>
      <c r="GW113" s="31" t="str">
        <f>IF(GV113/(INDEX('Standards for Conversions'!$H$34:$H$73,MATCH(GU$3,'Standards for Conversions'!$A$34:$A$73,0)))=0,"",GV113/(INDEX('Standards for Conversions'!$H$34:$H$73,MATCH(GU$3,'Standards for Conversions'!$A$34:$A$73,0))))</f>
        <v/>
      </c>
      <c r="GX113" s="10" t="s">
        <v>40</v>
      </c>
      <c r="GY113" s="7"/>
      <c r="GZ113" s="7"/>
      <c r="HA113" s="31" t="str">
        <f>IF(GZ113/(INDEX('Standards for Conversions'!$H$34:$H$73,MATCH(GY$3,'Standards for Conversions'!$A$34:$A$73,0)))=0,"",GZ113/(INDEX('Standards for Conversions'!$H$34:$H$73,MATCH(GY$3,'Standards for Conversions'!$A$34:$A$73,0))))</f>
        <v/>
      </c>
      <c r="HB113" s="10" t="s">
        <v>40</v>
      </c>
      <c r="HC113" s="7"/>
      <c r="HD113" s="7"/>
      <c r="HE113" s="31" t="str">
        <f>IF(HD113/(INDEX('Standards for Conversions'!$H$34:$H$73,MATCH(HC$3,'Standards for Conversions'!$A$34:$A$73,0)))=0,"",HD113/(INDEX('Standards for Conversions'!$H$34:$H$73,MATCH(HC$3,'Standards for Conversions'!$A$34:$A$73,0))))</f>
        <v/>
      </c>
      <c r="HF113" s="10" t="s">
        <v>40</v>
      </c>
      <c r="HG113" s="7"/>
      <c r="HH113" s="7"/>
      <c r="HI113" s="31" t="str">
        <f>IF(HH113/(INDEX('Standards for Conversions'!$H$34:$H$73,MATCH(HG$3,'Standards for Conversions'!$A$34:$A$73,0)))=0,"",HH113/(INDEX('Standards for Conversions'!$H$34:$H$73,MATCH(HG$3,'Standards for Conversions'!$A$34:$A$73,0))))</f>
        <v/>
      </c>
      <c r="HJ113" s="10" t="s">
        <v>40</v>
      </c>
      <c r="HK113" s="9"/>
      <c r="HL113" s="9"/>
      <c r="HM113" s="31" t="str">
        <f>IF(HL113/(INDEX('Standards for Conversions'!$H$34:$H$73,MATCH(HK$3,'Standards for Conversions'!$A$34:$A$73,0)))=0,"",HL113/(INDEX('Standards for Conversions'!$H$34:$H$73,MATCH(HK$3,'Standards for Conversions'!$A$34:$A$73,0))))</f>
        <v/>
      </c>
      <c r="HN113" s="10" t="s">
        <v>40</v>
      </c>
      <c r="HO113" s="7"/>
      <c r="HP113" s="7"/>
      <c r="HQ113" s="31" t="str">
        <f>IF(HP113/(INDEX('Standards for Conversions'!$H$34:$H$73,MATCH(HO$3,'Standards for Conversions'!$A$34:$A$73,0)))=0,"",HP113/(INDEX('Standards for Conversions'!$H$34:$H$73,MATCH(HO$3,'Standards for Conversions'!$A$34:$A$73,0))))</f>
        <v/>
      </c>
      <c r="HR113" s="33" t="s">
        <v>40</v>
      </c>
      <c r="HU113" s="31" t="str">
        <f>IF(HT113/(INDEX('Standards for Conversions'!$H$47:$H$73,MATCH(HS$3,'Standards for Conversions'!$A$47:$A$73,0)))=0,"",HT113/(INDEX('Standards for Conversions'!$H$47:$H$73,MATCH(HS$3,'Standards for Conversions'!$A$47:$A$73,0))))</f>
        <v/>
      </c>
      <c r="HV113" s="33" t="s">
        <v>40</v>
      </c>
      <c r="HW113" s="29">
        <v>40</v>
      </c>
      <c r="HX113" s="29">
        <v>800</v>
      </c>
      <c r="HY113" s="31">
        <f>IF(HX113/(INDEX('Standards for Conversions'!$H$47:$H$73,MATCH(HW$3,'Standards for Conversions'!$A$47:$A$73,0)))=0,"",HX113/(INDEX('Standards for Conversions'!$H$47:$H$73,MATCH(HW$3,'Standards for Conversions'!$A$47:$A$73,0))))</f>
        <v>116.19632977028476</v>
      </c>
      <c r="HZ113" s="33"/>
      <c r="IA113" s="33"/>
      <c r="IB113" s="31" t="str">
        <f>IF(IA113/(INDEX('Standards for Conversions'!$H$47:$H$73,MATCH(HZ$3,'Standards for Conversions'!$A$47:$A$73,0)))=0,"",IA113/(INDEX('Standards for Conversions'!$H$47:$H$73,MATCH(HZ$3,'Standards for Conversions'!$A$47:$A$73,0))))</f>
        <v/>
      </c>
      <c r="IC113" s="33" t="s">
        <v>40</v>
      </c>
      <c r="ID113" s="29">
        <v>35</v>
      </c>
      <c r="IE113" s="29">
        <v>700</v>
      </c>
      <c r="IF113" s="31">
        <f>IF(IE113/(INDEX('Standards for Conversions'!$H$47:$H$73,MATCH(ID$3,'Standards for Conversions'!$A$47:$A$73,0)))=0,"",IE113/(INDEX('Standards for Conversions'!$H$47:$H$73,MATCH(ID$3,'Standards for Conversions'!$A$47:$A$73,0))))</f>
        <v>101.67178854899917</v>
      </c>
      <c r="IG113" s="33" t="s">
        <v>40</v>
      </c>
      <c r="IJ113" s="31" t="str">
        <f>IF(II113/(INDEX('Standards for Conversions'!$H$47:$H$73,MATCH(IH$3,'Standards for Conversions'!$A$47:$A$73,0)))=0,"",II113/(INDEX('Standards for Conversions'!$H$47:$H$73,MATCH(IH$3,'Standards for Conversions'!$A$47:$A$73,0))))</f>
        <v/>
      </c>
      <c r="IK113" s="33" t="s">
        <v>40</v>
      </c>
      <c r="IL113" s="29">
        <v>25</v>
      </c>
      <c r="IM113" s="29">
        <v>500</v>
      </c>
      <c r="IN113" s="31">
        <f>IF(IM113/(INDEX('Standards for Conversions'!$H$47:$H$73,MATCH(IL$3,'Standards for Conversions'!$A$47:$A$73,0)))=0,"",IM113/(INDEX('Standards for Conversions'!$H$47:$H$73,MATCH(IL$3,'Standards for Conversions'!$A$47:$A$73,0))))</f>
        <v>72.305114097216176</v>
      </c>
      <c r="IO113" s="33" t="s">
        <v>40</v>
      </c>
      <c r="IR113" s="31" t="str">
        <f>IF(IQ113/(INDEX('Standards for Conversions'!$H$47:$H$73,MATCH(IP$3,'Standards for Conversions'!$A$47:$A$73,0)))=0,"",IQ113/(INDEX('Standards for Conversions'!$H$47:$H$73,MATCH(IP$3,'Standards for Conversions'!$A$47:$A$73,0))))</f>
        <v/>
      </c>
      <c r="IS113" s="33" t="s">
        <v>40</v>
      </c>
      <c r="IT113" s="29">
        <v>35</v>
      </c>
      <c r="IU113" s="29">
        <v>483</v>
      </c>
      <c r="IV113" s="31">
        <f>IF(IU113/(INDEX('Standards for Conversions'!$H$47:$H$73,MATCH(IT$3,'Standards for Conversions'!$A$47:$A$73,0)))=0,"",IU113/(INDEX('Standards for Conversions'!$H$47:$H$73,MATCH(IT$3,'Standards for Conversions'!$A$47:$A$73,0))))</f>
        <v>69.846740217910835</v>
      </c>
      <c r="IW113" s="33" t="s">
        <v>40</v>
      </c>
      <c r="IZ113" s="31" t="str">
        <f>IF(IY113/(INDEX('Standards for Conversions'!$H$47:$H$73,MATCH(IX$3,'Standards for Conversions'!$A$47:$A$73,0)))=0,"",IY113/(INDEX('Standards for Conversions'!$H$47:$H$73,MATCH(IX$3,'Standards for Conversions'!$A$47:$A$73,0))))</f>
        <v/>
      </c>
      <c r="JA113" s="33" t="s">
        <v>40</v>
      </c>
      <c r="JB113" s="29">
        <v>5</v>
      </c>
      <c r="JC113" s="29">
        <v>250</v>
      </c>
      <c r="JD113" s="31">
        <f>IF(JC113/(INDEX('Standards for Conversions'!$H$47:$H$73,MATCH(JB$3,'Standards for Conversions'!$A$47:$A$73,0)))=0,"",JC113/(INDEX('Standards for Conversions'!$H$47:$H$73,MATCH(JB$3,'Standards for Conversions'!$A$47:$A$73,0))))</f>
        <v>40.440049172967171</v>
      </c>
      <c r="JE113" s="33" t="s">
        <v>40</v>
      </c>
      <c r="JH113" s="31" t="str">
        <f>IF(JG113/(INDEX('Standards for Conversions'!$H$47:$H$73,MATCH(JF$3,'Standards for Conversions'!$A$47:$A$73,0)))=0,"",JG113/(INDEX('Standards for Conversions'!$H$47:$H$73,MATCH(JF$3,'Standards for Conversions'!$A$47:$A$73,0))))</f>
        <v/>
      </c>
      <c r="JI113" s="48" t="s">
        <v>40</v>
      </c>
      <c r="JJ113" s="29">
        <v>37</v>
      </c>
      <c r="JK113" s="29">
        <v>550</v>
      </c>
      <c r="JL113" s="31">
        <f>IF(JK113/(INDEX('Standards for Conversions'!$H$47:$H$73,MATCH(JJ$3,'Standards for Conversions'!$A$47:$A$73,0)))=0,"",JK113/(INDEX('Standards for Conversions'!$H$47:$H$73,MATCH(JJ$3,'Standards for Conversions'!$A$47:$A$73,0))))</f>
        <v>88.968108180527778</v>
      </c>
      <c r="JM113" s="33" t="s">
        <v>40</v>
      </c>
      <c r="JP113" s="31" t="str">
        <f>IF(JO113/(INDEX('Standards for Conversions'!$H$47:$H$73,MATCH(JN$3,'Standards for Conversions'!$A$47:$A$73,0)))=0,"",JO113/(INDEX('Standards for Conversions'!$H$47:$H$73,MATCH(JN$3,'Standards for Conversions'!$A$47:$A$73,0))))</f>
        <v/>
      </c>
      <c r="JQ113" s="33" t="s">
        <v>40</v>
      </c>
      <c r="JR113" s="29">
        <v>10</v>
      </c>
      <c r="JS113" s="29">
        <v>300</v>
      </c>
      <c r="JT113" s="31">
        <f>IF(JS113/(INDEX('Standards for Conversions'!$H$47:$H$73,MATCH(JR$3,'Standards for Conversions'!$A$47:$A$73,0)))=0,"",JS113/(INDEX('Standards for Conversions'!$H$47:$H$73,MATCH(JR$3,'Standards for Conversions'!$A$47:$A$73,0))))</f>
        <v>45.796767728339269</v>
      </c>
      <c r="JU113" s="33" t="s">
        <v>40</v>
      </c>
      <c r="JX113" s="31" t="str">
        <f>IF(JW113/(INDEX('Standards for Conversions'!$H$47:$H$73,MATCH(JV$3,'Standards for Conversions'!$A$47:$A$73,0)))=0,"",JW113/(INDEX('Standards for Conversions'!$H$47:$H$73,MATCH(JV$3,'Standards for Conversions'!$A$47:$A$73,0))))</f>
        <v/>
      </c>
      <c r="JY113" s="33" t="s">
        <v>40</v>
      </c>
      <c r="JZ113" s="29">
        <v>40</v>
      </c>
      <c r="KA113" s="29">
        <v>600</v>
      </c>
      <c r="KB113" s="31">
        <f>IF(KA113/(INDEX('Standards for Conversions'!$H$47:$H$73,MATCH(JZ$3,'Standards for Conversions'!$A$47:$A$73,0)))=0,"",KA113/(INDEX('Standards for Conversions'!$H$47:$H$73,MATCH(JZ$3,'Standards for Conversions'!$A$47:$A$73,0))))</f>
        <v>91.593535456678538</v>
      </c>
      <c r="KC113" s="33" t="s">
        <v>40</v>
      </c>
      <c r="KF113" s="31" t="str">
        <f>IF(KE113/(INDEX('Standards for Conversions'!$H$47:$H$73,MATCH(KD$3,'Standards for Conversions'!$A$47:$A$73,0)))=0,"",KE113/(INDEX('Standards for Conversions'!$H$47:$H$73,MATCH(KD$3,'Standards for Conversions'!$A$47:$A$73,0))))</f>
        <v/>
      </c>
      <c r="KG113" s="33" t="s">
        <v>40</v>
      </c>
      <c r="KH113" s="29">
        <v>4</v>
      </c>
      <c r="KI113" s="29">
        <v>150</v>
      </c>
      <c r="KJ113" s="31">
        <f>IF(KI113/(INDEX('Standards for Conversions'!$H$47:$H$73,MATCH(KH$3,'Standards for Conversions'!$A$47:$A$73,0)))=0,"",KI113/(INDEX('Standards for Conversions'!$H$47:$H$73,MATCH(KH$3,'Standards for Conversions'!$A$47:$A$73,0))))</f>
        <v>20.198851785869469</v>
      </c>
      <c r="KK113" s="33" t="s">
        <v>40</v>
      </c>
      <c r="KN113" s="31" t="str">
        <f>IF(KM113/(INDEX('Standards for Conversions'!$H$47:$H$73,MATCH(KL$3,'Standards for Conversions'!$A$47:$A$73,0)))=0,"",KM113/(INDEX('Standards for Conversions'!$H$47:$H$73,MATCH(KL$3,'Standards for Conversions'!$A$47:$A$73,0))))</f>
        <v/>
      </c>
      <c r="KO113" s="33" t="s">
        <v>40</v>
      </c>
      <c r="KP113" s="29">
        <v>45</v>
      </c>
      <c r="KQ113" s="29">
        <v>650</v>
      </c>
      <c r="KR113" s="31">
        <f>IF(KQ113/(INDEX('Standards for Conversions'!$H$47:$H$73,MATCH(KP$3,'Standards for Conversions'!$A$47:$A$73,0)))=0,"",KQ113/(INDEX('Standards for Conversions'!$H$47:$H$73,MATCH(KP$3,'Standards for Conversions'!$A$47:$A$73,0))))</f>
        <v>87.528357738767696</v>
      </c>
      <c r="KS113" s="33" t="s">
        <v>40</v>
      </c>
      <c r="KV113" s="31" t="str">
        <f>IF(KU113/(INDEX('Standards for Conversions'!$H$47:$H$73,MATCH(KT$3,'Standards for Conversions'!$A$47:$A$73,0)))=0,"",KU113/(INDEX('Standards for Conversions'!$H$47:$H$73,MATCH(KT$3,'Standards for Conversions'!$A$47:$A$73,0))))</f>
        <v/>
      </c>
      <c r="KW113" s="33" t="s">
        <v>40</v>
      </c>
      <c r="KX113" s="29">
        <v>4</v>
      </c>
      <c r="KY113" s="29">
        <v>200</v>
      </c>
      <c r="KZ113" s="31">
        <f>IF(KY113/(INDEX('Standards for Conversions'!$H$47:$H$73,MATCH(KX$3,'Standards for Conversions'!$A$47:$A$73,0)))=0,"",KY113/(INDEX('Standards for Conversions'!$H$47:$H$73,MATCH(KX$3,'Standards for Conversions'!$A$47:$A$73,0))))</f>
        <v>24.323313345499837</v>
      </c>
      <c r="LA113" s="33" t="s">
        <v>40</v>
      </c>
      <c r="LD113" s="31" t="str">
        <f>IF(LC113/(INDEX('Standards for Conversions'!$H$47:$H$73,MATCH(LB$3,'Standards for Conversions'!$A$47:$A$73,0)))=0,"",LC113/(INDEX('Standards for Conversions'!$H$47:$H$73,MATCH(LB$3,'Standards for Conversions'!$A$47:$A$73,0))))</f>
        <v/>
      </c>
      <c r="LE113" s="48" t="s">
        <v>40</v>
      </c>
      <c r="LF113" s="29">
        <v>24</v>
      </c>
      <c r="LG113" s="29">
        <v>170</v>
      </c>
      <c r="LH113" s="31">
        <f>IF(LG113/(INDEX('Standards for Conversions'!$H$47:$H$73,MATCH(LF$3,'Standards for Conversions'!$A$47:$A$73,0)))=0,"",LG113/(INDEX('Standards for Conversions'!$H$47:$H$73,MATCH(LF$3,'Standards for Conversions'!$A$47:$A$73,0))))</f>
        <v>20.674816343674859</v>
      </c>
      <c r="LL113" s="31" t="str">
        <f>IF(LK113/(INDEX('Standards for Conversions'!$H$47:$H$73,MATCH(LJ$3,'Standards for Conversions'!$A$47:$A$73,0)))=0,"",LK113/(INDEX('Standards for Conversions'!$H$47:$H$73,MATCH(LJ$3,'Standards for Conversions'!$A$47:$A$73,0))))</f>
        <v/>
      </c>
      <c r="LO113" s="31" t="str">
        <f>IF(LN113/(INDEX('Standards for Conversions'!$H$47:$H$73,MATCH(LM$3,'Standards for Conversions'!$A$47:$A$73,0)))=0,"",LN113/(INDEX('Standards for Conversions'!$H$47:$H$73,MATCH(LM$3,'Standards for Conversions'!$A$47:$A$73,0))))</f>
        <v/>
      </c>
      <c r="LR113" s="31" t="str">
        <f>IF(LQ113/(INDEX('Standards for Conversions'!$H$47:$H$73,MATCH(LP$3,'Standards for Conversions'!$A$47:$A$73,0)))=0,"",LQ113/(INDEX('Standards for Conversions'!$H$47:$H$73,MATCH(LP$3,'Standards for Conversions'!$A$47:$A$73,0))))</f>
        <v/>
      </c>
      <c r="LV113" s="31" t="str">
        <f>IF(LU113/(INDEX('Standards for Conversions'!$H$47:$H$73,MATCH(LT$3,'Standards for Conversions'!$A$47:$A$73,0)))=0,"",LU113/(INDEX('Standards for Conversions'!$H$47:$H$73,MATCH(LT$3,'Standards for Conversions'!$A$47:$A$73,0))))</f>
        <v/>
      </c>
      <c r="LY113" s="31" t="str">
        <f>IF(LX113/(INDEX('Standards for Conversions'!$H$47:$H$73,MATCH(LW$3,'Standards for Conversions'!$A$47:$A$73,0)))=0,"",LX113/(INDEX('Standards for Conversions'!$H$47:$H$73,MATCH(LW$3,'Standards for Conversions'!$A$47:$A$73,0))))</f>
        <v/>
      </c>
      <c r="MB113" s="31" t="str">
        <f>IF(MA113/(INDEX('Standards for Conversions'!$H$47:$H$73,MATCH(LZ$3,'Standards for Conversions'!$A$47:$A$73,0)))=0,"",MA113/(INDEX('Standards for Conversions'!$H$47:$H$73,MATCH(LZ$3,'Standards for Conversions'!$A$47:$A$73,0))))</f>
        <v/>
      </c>
      <c r="ME113" s="31" t="str">
        <f>IF(MD113/(INDEX('Standards for Conversions'!$H$47:$H$73,MATCH(MC$3,'Standards for Conversions'!$A$47:$A$73,0)))=0,"",MD113/(INDEX('Standards for Conversions'!$H$47:$H$73,MATCH(MC$3,'Standards for Conversions'!$A$47:$A$73,0))))</f>
        <v/>
      </c>
      <c r="MH113" s="31" t="str">
        <f>IF(MG113/(INDEX('Standards for Conversions'!$H$47:$H$73,MATCH(MF$3,'Standards for Conversions'!$A$47:$A$73,0)))=0,"",MG113/(INDEX('Standards for Conversions'!$H$47:$H$73,MATCH(MF$3,'Standards for Conversions'!$A$47:$A$73,0))))</f>
        <v/>
      </c>
      <c r="MK113" s="31" t="str">
        <f>IF(MJ113/(INDEX('Standards for Conversions'!$H$47:$H$73,MATCH(MI$3,'Standards for Conversions'!$A$47:$A$73,0)))=0,"",MJ113/(INDEX('Standards for Conversions'!$H$47:$H$73,MATCH(MI$3,'Standards for Conversions'!$A$47:$A$73,0))))</f>
        <v/>
      </c>
      <c r="MN113" s="31" t="str">
        <f>IF(MM113/(INDEX('Standards for Conversions'!$H$47:$H$73,MATCH(ML$3,'Standards for Conversions'!$A$47:$A$73,0)))=0,"",MM113/(INDEX('Standards for Conversions'!$H$47:$H$73,MATCH(ML$3,'Standards for Conversions'!$A$47:$A$73,0))))</f>
        <v/>
      </c>
      <c r="MR113" s="31" t="str">
        <f>IF(MQ113/(INDEX('Standards for Conversions'!$H$47:$H$73,MATCH(MP$3,'Standards for Conversions'!$A$47:$A$73,0)))=0,"",MQ113/(INDEX('Standards for Conversions'!$H$47:$H$73,MATCH(MP$3,'Standards for Conversions'!$A$47:$A$73,0))))</f>
        <v/>
      </c>
    </row>
    <row r="114" spans="1:356" hidden="1" x14ac:dyDescent="0.3">
      <c r="A114" s="103" t="s">
        <v>279</v>
      </c>
      <c r="C114" s="7"/>
      <c r="D114" s="7"/>
      <c r="E114" s="31" t="str">
        <f>IF(D114/(INDEX('Standards for Conversions'!$H$34:$H$73,MATCH(C$3,'Standards for Conversions'!$A$34:$A$73,0)))=0,"",D114/(INDEX('Standards for Conversions'!$H$34:$H$73,MATCH(C$3,'Standards for Conversions'!$A$34:$A$73,0))))</f>
        <v/>
      </c>
      <c r="F114" s="10" t="s">
        <v>40</v>
      </c>
      <c r="G114" s="7"/>
      <c r="H114" s="7"/>
      <c r="I114" s="31" t="str">
        <f>IF(H114/(INDEX('Standards for Conversions'!$H$34:$H$73,MATCH(G$3,'Standards for Conversions'!$A$34:$A$73,0)))=0,"",H114/(INDEX('Standards for Conversions'!$H$34:$H$73,MATCH(G$3,'Standards for Conversions'!$A$34:$A$73,0))))</f>
        <v/>
      </c>
      <c r="J114" s="10" t="s">
        <v>40</v>
      </c>
      <c r="K114" s="9"/>
      <c r="L114" s="9"/>
      <c r="M114" s="31" t="str">
        <f>IF(L114/(INDEX('Standards for Conversions'!$H$34:$H$73,MATCH(K$3,'Standards for Conversions'!$A$34:$A$73,0)))=0,"",L114/(INDEX('Standards for Conversions'!$H$34:$H$73,MATCH(K$3,'Standards for Conversions'!$A$34:$A$73,0))))</f>
        <v/>
      </c>
      <c r="N114" s="10" t="s">
        <v>40</v>
      </c>
      <c r="O114" s="7"/>
      <c r="P114" s="7"/>
      <c r="Q114" s="31" t="str">
        <f>IF(P114/(INDEX('Standards for Conversions'!$H$34:$H$73,MATCH(O$3,'Standards for Conversions'!$A$34:$A$73,0)))=0,"",P114/(INDEX('Standards for Conversions'!$H$34:$H$73,MATCH(O$3,'Standards for Conversions'!$A$34:$A$73,0))))</f>
        <v/>
      </c>
      <c r="S114" s="7"/>
      <c r="T114" s="7"/>
      <c r="U114" s="31" t="str">
        <f>IF(T114/(INDEX('Standards for Conversions'!$H$34:$H$73,MATCH(S$3,'Standards for Conversions'!$A$34:$A$73,0)))=0,"",T114/(INDEX('Standards for Conversions'!$H$34:$H$73,MATCH(S$3,'Standards for Conversions'!$A$34:$A$73,0))))</f>
        <v/>
      </c>
      <c r="V114" s="10" t="s">
        <v>40</v>
      </c>
      <c r="W114" s="7"/>
      <c r="X114" s="7"/>
      <c r="Y114" s="31" t="str">
        <f>IF(X114/(INDEX('Standards for Conversions'!$H$34:$H$73,MATCH(W$3,'Standards for Conversions'!$A$34:$A$73,0)))=0,"",X114/(INDEX('Standards for Conversions'!$H$34:$H$73,MATCH(W$3,'Standards for Conversions'!$A$34:$A$73,0))))</f>
        <v/>
      </c>
      <c r="Z114" s="10" t="s">
        <v>40</v>
      </c>
      <c r="AA114" s="9"/>
      <c r="AB114" s="9"/>
      <c r="AC114" s="31" t="str">
        <f>IF(AB114/(INDEX('Standards for Conversions'!$H$34:$H$73,MATCH(AA$3,'Standards for Conversions'!$A$34:$A$73,0)))=0,"",AB114/(INDEX('Standards for Conversions'!$H$34:$H$73,MATCH(AA$3,'Standards for Conversions'!$A$34:$A$73,0))))</f>
        <v/>
      </c>
      <c r="AD114" s="10" t="s">
        <v>40</v>
      </c>
      <c r="AE114" s="7"/>
      <c r="AF114" s="7"/>
      <c r="AG114" s="31" t="str">
        <f>IF(AF114/(INDEX('Standards for Conversions'!$H$34:$H$73,MATCH(AE$3,'Standards for Conversions'!$A$34:$A$73,0)))=0,"",AF114/(INDEX('Standards for Conversions'!$H$34:$H$73,MATCH(AE$3,'Standards for Conversions'!$A$34:$A$73,0))))</f>
        <v/>
      </c>
      <c r="AI114" s="7"/>
      <c r="AJ114" s="7"/>
      <c r="AK114" s="31" t="str">
        <f>IF(AJ114/(INDEX('Standards for Conversions'!$H$34:$H$73,MATCH(AI$3,'Standards for Conversions'!$A$34:$A$73,0)))=0,"",AJ114/(INDEX('Standards for Conversions'!$H$34:$H$73,MATCH(AI$3,'Standards for Conversions'!$A$34:$A$73,0))))</f>
        <v/>
      </c>
      <c r="AL114" s="10" t="s">
        <v>40</v>
      </c>
      <c r="AM114" s="7"/>
      <c r="AN114" s="7"/>
      <c r="AO114" s="31" t="str">
        <f>IF(AN114/(INDEX('Standards for Conversions'!$H$34:$H$73,MATCH(AM$3,'Standards for Conversions'!$A$34:$A$73,0)))=0,"",AN114/(INDEX('Standards for Conversions'!$H$34:$H$73,MATCH(AM$3,'Standards for Conversions'!$A$34:$A$73,0))))</f>
        <v/>
      </c>
      <c r="AP114" s="10" t="s">
        <v>40</v>
      </c>
      <c r="AQ114" s="9"/>
      <c r="AR114" s="9"/>
      <c r="AS114" s="31" t="str">
        <f>IF(AR114/(INDEX('Standards for Conversions'!$H$34:$H$73,MATCH(AQ$3,'Standards for Conversions'!$A$34:$A$73,0)))=0,"",AR114/(INDEX('Standards for Conversions'!$H$34:$H$73,MATCH(AQ$3,'Standards for Conversions'!$A$34:$A$73,0))))</f>
        <v/>
      </c>
      <c r="AT114" s="10" t="s">
        <v>40</v>
      </c>
      <c r="AU114" s="7"/>
      <c r="AV114" s="7"/>
      <c r="AW114" s="31" t="str">
        <f>IF(AV114/(INDEX('Standards for Conversions'!$H$34:$H$73,MATCH(AU$3,'Standards for Conversions'!$A$34:$A$73,0)))=0,"",AV114/(INDEX('Standards for Conversions'!$H$34:$H$73,MATCH(AU$3,'Standards for Conversions'!$A$34:$A$73,0))))</f>
        <v/>
      </c>
      <c r="AY114" s="7"/>
      <c r="AZ114" s="7"/>
      <c r="BA114" s="31" t="str">
        <f>IF(AZ114/(INDEX('Standards for Conversions'!$H$34:$H$73,MATCH(AY$3,'Standards for Conversions'!$A$34:$A$73,0)))=0,"",AZ114/(INDEX('Standards for Conversions'!$H$34:$H$73,MATCH(AY$3,'Standards for Conversions'!$A$34:$A$73,0))))</f>
        <v/>
      </c>
      <c r="BB114" s="10" t="s">
        <v>40</v>
      </c>
      <c r="BC114" s="7"/>
      <c r="BD114" s="7"/>
      <c r="BE114" s="31" t="str">
        <f>IF(BD114/(INDEX('Standards for Conversions'!$H$34:$H$73,MATCH(BC$3,'Standards for Conversions'!$A$34:$A$73,0)))=0,"",BD114/(INDEX('Standards for Conversions'!$H$34:$H$73,MATCH(BC$3,'Standards for Conversions'!$A$34:$A$73,0))))</f>
        <v/>
      </c>
      <c r="BF114" s="10" t="s">
        <v>40</v>
      </c>
      <c r="BG114" s="9"/>
      <c r="BH114" s="9"/>
      <c r="BI114" s="31" t="str">
        <f>IF(BH114/(INDEX('Standards for Conversions'!$H$34:$H$73,MATCH(BG$3,'Standards for Conversions'!$A$34:$A$73,0)))=0,"",BH114/(INDEX('Standards for Conversions'!$H$34:$H$73,MATCH(BG$3,'Standards for Conversions'!$A$34:$A$73,0))))</f>
        <v/>
      </c>
      <c r="BJ114" s="10" t="s">
        <v>40</v>
      </c>
      <c r="BK114" s="7"/>
      <c r="BL114" s="7"/>
      <c r="BM114" s="31" t="str">
        <f>IF(BL114/(INDEX('Standards for Conversions'!$H$34:$H$73,MATCH(BK$3,'Standards for Conversions'!$A$34:$A$73,0)))=0,"",BL114/(INDEX('Standards for Conversions'!$H$34:$H$73,MATCH(BK$3,'Standards for Conversions'!$A$34:$A$73,0))))</f>
        <v/>
      </c>
      <c r="BO114" s="7"/>
      <c r="BP114" s="7"/>
      <c r="BQ114" s="31" t="str">
        <f>IF(BP114/(INDEX('Standards for Conversions'!$H$34:$H$73,MATCH(BO$3,'Standards for Conversions'!$A$34:$A$73,0)))=0,"",BP114/(INDEX('Standards for Conversions'!$H$34:$H$73,MATCH(BO$3,'Standards for Conversions'!$A$34:$A$73,0))))</f>
        <v/>
      </c>
      <c r="BR114" s="10" t="s">
        <v>40</v>
      </c>
      <c r="BS114" s="7"/>
      <c r="BT114" s="7"/>
      <c r="BU114" s="31" t="str">
        <f>IF(BT114/(INDEX('Standards for Conversions'!$H$34:$H$73,MATCH(BS$3,'Standards for Conversions'!$A$34:$A$73,0)))=0,"",BT114/(INDEX('Standards for Conversions'!$H$34:$H$73,MATCH(BS$3,'Standards for Conversions'!$A$34:$A$73,0))))</f>
        <v/>
      </c>
      <c r="BV114" s="10" t="s">
        <v>40</v>
      </c>
      <c r="BW114" s="9"/>
      <c r="BX114" s="9"/>
      <c r="BY114" s="31" t="str">
        <f>IF(BX114/(INDEX('Standards for Conversions'!$H$34:$H$73,MATCH(BW$3,'Standards for Conversions'!$A$34:$A$73,0)))=0,"",BX114/(INDEX('Standards for Conversions'!$H$34:$H$73,MATCH(BW$3,'Standards for Conversions'!$A$34:$A$73,0))))</f>
        <v/>
      </c>
      <c r="BZ114" s="10" t="s">
        <v>40</v>
      </c>
      <c r="CA114" s="7"/>
      <c r="CB114" s="7"/>
      <c r="CC114" s="31" t="str">
        <f>IF(CB114/(INDEX('Standards for Conversions'!$H$34:$H$73,MATCH(CA$3,'Standards for Conversions'!$A$34:$A$73,0)))=0,"",CB114/(INDEX('Standards for Conversions'!$H$34:$H$73,MATCH(CA$3,'Standards for Conversions'!$A$34:$A$73,0))))</f>
        <v/>
      </c>
      <c r="CE114" s="7"/>
      <c r="CF114" s="7"/>
      <c r="CG114" s="31" t="str">
        <f>IF(CF114/(INDEX('Standards for Conversions'!$H$34:$H$73,MATCH(CE$3,'Standards for Conversions'!$A$34:$A$73,0)))=0,"",CF114/(INDEX('Standards for Conversions'!$H$34:$H$73,MATCH(CE$3,'Standards for Conversions'!$A$34:$A$73,0))))</f>
        <v/>
      </c>
      <c r="CH114" s="10" t="s">
        <v>40</v>
      </c>
      <c r="CI114" s="7"/>
      <c r="CJ114" s="7"/>
      <c r="CK114" s="31" t="str">
        <f>IF(CJ114/(INDEX('Standards for Conversions'!$H$34:$H$73,MATCH(CI$3,'Standards for Conversions'!$A$34:$A$73,0)))=0,"",CJ114/(INDEX('Standards for Conversions'!$H$34:$H$73,MATCH(CI$3,'Standards for Conversions'!$A$34:$A$73,0))))</f>
        <v/>
      </c>
      <c r="CL114" s="10" t="s">
        <v>40</v>
      </c>
      <c r="CM114" s="9"/>
      <c r="CN114" s="9"/>
      <c r="CO114" s="31" t="str">
        <f>IF(CN114/(INDEX('Standards for Conversions'!$H$34:$H$73,MATCH(CM$3,'Standards for Conversions'!$A$34:$A$73,0)))=0,"",CN114/(INDEX('Standards for Conversions'!$H$34:$H$73,MATCH(CM$3,'Standards for Conversions'!$A$34:$A$73,0))))</f>
        <v/>
      </c>
      <c r="CP114" s="10" t="s">
        <v>40</v>
      </c>
      <c r="CQ114" s="7"/>
      <c r="CR114" s="7"/>
      <c r="CS114" s="31" t="str">
        <f>IF(CR114/(INDEX('Standards for Conversions'!$H$34:$H$73,MATCH(CQ$3,'Standards for Conversions'!$A$34:$A$73,0)))=0,"",CR114/(INDEX('Standards for Conversions'!$H$34:$H$73,MATCH(CQ$3,'Standards for Conversions'!$A$34:$A$73,0))))</f>
        <v/>
      </c>
      <c r="CU114" s="7"/>
      <c r="CV114" s="7"/>
      <c r="CW114" s="31" t="str">
        <f>IF(CV114/(INDEX('Standards for Conversions'!$H$34:$H$73,MATCH(CU$3,'Standards for Conversions'!$A$34:$A$73,0)))=0,"",CV114/(INDEX('Standards for Conversions'!$H$34:$H$73,MATCH(CU$3,'Standards for Conversions'!$A$34:$A$73,0))))</f>
        <v/>
      </c>
      <c r="CX114" s="10" t="s">
        <v>40</v>
      </c>
      <c r="CY114" s="7"/>
      <c r="CZ114" s="7"/>
      <c r="DA114" s="31" t="str">
        <f>IF(CZ114/(INDEX('Standards for Conversions'!$H$34:$H$73,MATCH(CY$3,'Standards for Conversions'!$A$34:$A$73,0)))=0,"",CZ114/(INDEX('Standards for Conversions'!$H$34:$H$73,MATCH(CY$3,'Standards for Conversions'!$A$34:$A$73,0))))</f>
        <v/>
      </c>
      <c r="DB114" s="10" t="s">
        <v>40</v>
      </c>
      <c r="DC114" s="9"/>
      <c r="DD114" s="9"/>
      <c r="DE114" s="31" t="str">
        <f>IF(DD114/(INDEX('Standards for Conversions'!$H$34:$H$73,MATCH(DC$3,'Standards for Conversions'!$A$34:$A$73,0)))=0,"",DD114/(INDEX('Standards for Conversions'!$H$34:$H$73,MATCH(DC$3,'Standards for Conversions'!$A$34:$A$73,0))))</f>
        <v/>
      </c>
      <c r="DF114" s="10" t="s">
        <v>40</v>
      </c>
      <c r="DG114" s="7"/>
      <c r="DH114" s="7"/>
      <c r="DI114" s="31" t="str">
        <f>IF(DH114/(INDEX('Standards for Conversions'!$H$34:$H$73,MATCH(DG$3,'Standards for Conversions'!$A$34:$A$73,0)))=0,"",DH114/(INDEX('Standards for Conversions'!$H$34:$H$73,MATCH(DG$3,'Standards for Conversions'!$A$34:$A$73,0))))</f>
        <v/>
      </c>
      <c r="DK114" s="7"/>
      <c r="DL114" s="7"/>
      <c r="DM114" s="31" t="str">
        <f>IF(DL114/(INDEX('Standards for Conversions'!$H$34:$H$73,MATCH(DK$3,'Standards for Conversions'!$A$34:$A$73,0)))=0,"",DL114/(INDEX('Standards for Conversions'!$H$34:$H$73,MATCH(DK$3,'Standards for Conversions'!$A$34:$A$73,0))))</f>
        <v/>
      </c>
      <c r="DN114" s="10" t="s">
        <v>40</v>
      </c>
      <c r="DO114" s="7"/>
      <c r="DP114" s="7"/>
      <c r="DQ114" s="31" t="str">
        <f>IF(DP114/(INDEX('Standards for Conversions'!$H$34:$H$73,MATCH(DO$3,'Standards for Conversions'!$A$34:$A$73,0)))=0,"",DP114/(INDEX('Standards for Conversions'!$H$34:$H$73,MATCH(DO$3,'Standards for Conversions'!$A$34:$A$73,0))))</f>
        <v/>
      </c>
      <c r="DR114" s="10" t="s">
        <v>40</v>
      </c>
      <c r="DS114" s="9"/>
      <c r="DT114" s="9"/>
      <c r="DU114" s="31" t="str">
        <f>IF(DT114/(INDEX('Standards for Conversions'!$H$34:$H$73,MATCH(DS$3,'Standards for Conversions'!$A$34:$A$73,0)))=0,"",DT114/(INDEX('Standards for Conversions'!$H$34:$H$73,MATCH(DS$3,'Standards for Conversions'!$A$34:$A$73,0))))</f>
        <v/>
      </c>
      <c r="DV114" s="10" t="s">
        <v>40</v>
      </c>
      <c r="DW114" s="7"/>
      <c r="DX114" s="7"/>
      <c r="DY114" s="31" t="str">
        <f>IF(DX114/(INDEX('Standards for Conversions'!$H$34:$H$73,MATCH(DW$3,'Standards for Conversions'!$A$34:$A$73,0)))=0,"",DX114/(INDEX('Standards for Conversions'!$H$34:$H$73,MATCH(DW$3,'Standards for Conversions'!$A$34:$A$73,0))))</f>
        <v/>
      </c>
      <c r="EA114" s="7"/>
      <c r="EB114" s="7"/>
      <c r="EC114" s="31" t="str">
        <f>IF(EB114/(INDEX('Standards for Conversions'!$H$34:$H$73,MATCH(EA$3,'Standards for Conversions'!$A$34:$A$73,0)))=0,"",EB114/(INDEX('Standards for Conversions'!$H$34:$H$73,MATCH(EA$3,'Standards for Conversions'!$A$34:$A$73,0))))</f>
        <v/>
      </c>
      <c r="ED114" s="10" t="s">
        <v>40</v>
      </c>
      <c r="EE114" s="7"/>
      <c r="EF114" s="7"/>
      <c r="EG114" s="31" t="str">
        <f>IF(EF114/(INDEX('Standards for Conversions'!$H$34:$H$73,MATCH(EE$3,'Standards for Conversions'!$A$34:$A$73,0)))=0,"",EF114/(INDEX('Standards for Conversions'!$H$34:$H$73,MATCH(EE$3,'Standards for Conversions'!$A$34:$A$73,0))))</f>
        <v/>
      </c>
      <c r="EH114" s="10" t="s">
        <v>40</v>
      </c>
      <c r="EI114" s="9"/>
      <c r="EJ114" s="9"/>
      <c r="EK114" s="31" t="str">
        <f>IF(EJ114/(INDEX('Standards for Conversions'!$H$34:$H$73,MATCH(EI$3,'Standards for Conversions'!$A$34:$A$73,0)))=0,"",EJ114/(INDEX('Standards for Conversions'!$H$34:$H$73,MATCH(EI$3,'Standards for Conversions'!$A$34:$A$73,0))))</f>
        <v/>
      </c>
      <c r="EL114" s="10" t="s">
        <v>40</v>
      </c>
      <c r="EM114" s="7"/>
      <c r="EN114" s="7"/>
      <c r="EO114" s="31" t="str">
        <f>IF(EN114/(INDEX('Standards for Conversions'!$H$34:$H$73,MATCH(EM$3,'Standards for Conversions'!$A$34:$A$73,0)))=0,"",EN114/(INDEX('Standards for Conversions'!$H$34:$H$73,MATCH(EM$3,'Standards for Conversions'!$A$34:$A$73,0))))</f>
        <v/>
      </c>
      <c r="EQ114" s="7"/>
      <c r="ER114" s="7"/>
      <c r="ES114" s="31" t="str">
        <f>IF(ER114/(INDEX('Standards for Conversions'!$H$34:$H$73,MATCH(EQ$3,'Standards for Conversions'!$A$34:$A$73,0)))=0,"",ER114/(INDEX('Standards for Conversions'!$H$34:$H$73,MATCH(EQ$3,'Standards for Conversions'!$A$34:$A$73,0))))</f>
        <v/>
      </c>
      <c r="ET114" s="10" t="s">
        <v>40</v>
      </c>
      <c r="EU114" s="7"/>
      <c r="EV114" s="7"/>
      <c r="EW114" s="31" t="str">
        <f>IF(EV114/(INDEX('Standards for Conversions'!$H$34:$H$73,MATCH(EU$3,'Standards for Conversions'!$A$34:$A$73,0)))=0,"",EV114/(INDEX('Standards for Conversions'!$H$34:$H$73,MATCH(EU$3,'Standards for Conversions'!$A$34:$A$73,0))))</f>
        <v/>
      </c>
      <c r="EX114" s="10" t="s">
        <v>40</v>
      </c>
      <c r="EY114" s="9"/>
      <c r="EZ114" s="9"/>
      <c r="FA114" s="31" t="str">
        <f>IF(EZ114/(INDEX('Standards for Conversions'!$H$34:$H$73,MATCH(EY$3,'Standards for Conversions'!$A$34:$A$73,0)))=0,"",EZ114/(INDEX('Standards for Conversions'!$H$34:$H$73,MATCH(EY$3,'Standards for Conversions'!$A$34:$A$73,0))))</f>
        <v/>
      </c>
      <c r="FB114" s="10" t="s">
        <v>40</v>
      </c>
      <c r="FC114" s="7"/>
      <c r="FD114" s="7"/>
      <c r="FE114" s="31" t="str">
        <f>IF(FD114/(INDEX('Standards for Conversions'!$H$34:$H$73,MATCH(FC$3,'Standards for Conversions'!$A$34:$A$73,0)))=0,"",FD114/(INDEX('Standards for Conversions'!$H$34:$H$73,MATCH(FC$3,'Standards for Conversions'!$A$34:$A$73,0))))</f>
        <v/>
      </c>
      <c r="FG114" s="7"/>
      <c r="FH114" s="7"/>
      <c r="FI114" s="31" t="str">
        <f>IF(FH114/(INDEX('Standards for Conversions'!$H$34:$H$73,MATCH(FG$3,'Standards for Conversions'!$A$34:$A$73,0)))=0,"",FH114/(INDEX('Standards for Conversions'!$H$34:$H$73,MATCH(FG$3,'Standards for Conversions'!$A$34:$A$73,0))))</f>
        <v/>
      </c>
      <c r="FJ114" s="10" t="s">
        <v>40</v>
      </c>
      <c r="FK114" s="7"/>
      <c r="FL114" s="7"/>
      <c r="FM114" s="31" t="str">
        <f>IF(FL114/(INDEX('Standards for Conversions'!$H$34:$H$73,MATCH(FK$3,'Standards for Conversions'!$A$34:$A$73,0)))=0,"",FL114/(INDEX('Standards for Conversions'!$H$34:$H$73,MATCH(FK$3,'Standards for Conversions'!$A$34:$A$73,0))))</f>
        <v/>
      </c>
      <c r="FN114" s="10" t="s">
        <v>40</v>
      </c>
      <c r="FO114" s="9"/>
      <c r="FP114" s="9"/>
      <c r="FQ114" s="31" t="str">
        <f>IF(FP114/(INDEX('Standards for Conversions'!$H$34:$H$73,MATCH(FO$3,'Standards for Conversions'!$A$34:$A$73,0)))=0,"",FP114/(INDEX('Standards for Conversions'!$H$34:$H$73,MATCH(FO$3,'Standards for Conversions'!$A$34:$A$73,0))))</f>
        <v/>
      </c>
      <c r="FR114" s="10" t="s">
        <v>40</v>
      </c>
      <c r="FS114" s="7"/>
      <c r="FT114" s="7"/>
      <c r="FU114" s="31" t="str">
        <f>IF(FT114/(INDEX('Standards for Conversions'!$H$34:$H$73,MATCH(FS$3,'Standards for Conversions'!$A$34:$A$73,0)))=0,"",FT114/(INDEX('Standards for Conversions'!$H$34:$H$73,MATCH(FS$3,'Standards for Conversions'!$A$34:$A$73,0))))</f>
        <v/>
      </c>
      <c r="FW114" s="7"/>
      <c r="FX114" s="7"/>
      <c r="FY114" s="31" t="str">
        <f>IF(FX114/(INDEX('Standards for Conversions'!$H$34:$H$73,MATCH(FW$3,'Standards for Conversions'!$A$34:$A$73,0)))=0,"",FX114/(INDEX('Standards for Conversions'!$H$34:$H$73,MATCH(FW$3,'Standards for Conversions'!$A$34:$A$73,0))))</f>
        <v/>
      </c>
      <c r="FZ114" s="10" t="s">
        <v>40</v>
      </c>
      <c r="GA114" s="7"/>
      <c r="GB114" s="7"/>
      <c r="GC114" s="31" t="str">
        <f>IF(GB114/(INDEX('Standards for Conversions'!$H$34:$H$73,MATCH(GA$3,'Standards for Conversions'!$A$34:$A$73,0)))=0,"",GB114/(INDEX('Standards for Conversions'!$H$34:$H$73,MATCH(GA$3,'Standards for Conversions'!$A$34:$A$73,0))))</f>
        <v/>
      </c>
      <c r="GD114" s="10" t="s">
        <v>40</v>
      </c>
      <c r="GE114" s="9"/>
      <c r="GF114" s="9"/>
      <c r="GG114" s="31" t="str">
        <f>IF(GF114/(INDEX('Standards for Conversions'!$H$34:$H$73,MATCH(GE$3,'Standards for Conversions'!$A$34:$A$73,0)))=0,"",GF114/(INDEX('Standards for Conversions'!$H$34:$H$73,MATCH(GE$3,'Standards for Conversions'!$A$34:$A$73,0))))</f>
        <v/>
      </c>
      <c r="GH114" s="10" t="s">
        <v>40</v>
      </c>
      <c r="GI114" s="7"/>
      <c r="GJ114" s="7"/>
      <c r="GK114" s="31" t="str">
        <f>IF(GJ114/(INDEX('Standards for Conversions'!$H$34:$H$73,MATCH(GI$3,'Standards for Conversions'!$A$34:$A$73,0)))=0,"",GJ114/(INDEX('Standards for Conversions'!$H$34:$H$73,MATCH(GI$3,'Standards for Conversions'!$A$34:$A$73,0))))</f>
        <v/>
      </c>
      <c r="GM114" s="7"/>
      <c r="GN114" s="7"/>
      <c r="GO114" s="31" t="str">
        <f>IF(GN114/(INDEX('Standards for Conversions'!$H$34:$H$73,MATCH(GM$3,'Standards for Conversions'!$A$34:$A$73,0)))=0,"",GN114/(INDEX('Standards for Conversions'!$H$34:$H$73,MATCH(GM$3,'Standards for Conversions'!$A$34:$A$73,0))))</f>
        <v/>
      </c>
      <c r="GP114" s="10" t="s">
        <v>40</v>
      </c>
      <c r="GQ114" s="7"/>
      <c r="GR114" s="7"/>
      <c r="GS114" s="31" t="str">
        <f>IF(GR114/(INDEX('Standards for Conversions'!$H$34:$H$73,MATCH(GQ$3,'Standards for Conversions'!$A$34:$A$73,0)))=0,"",GR114/(INDEX('Standards for Conversions'!$H$34:$H$73,MATCH(GQ$3,'Standards for Conversions'!$A$34:$A$73,0))))</f>
        <v/>
      </c>
      <c r="GT114" s="10" t="s">
        <v>40</v>
      </c>
      <c r="GU114" s="9"/>
      <c r="GV114" s="9"/>
      <c r="GW114" s="31" t="str">
        <f>IF(GV114/(INDEX('Standards for Conversions'!$H$34:$H$73,MATCH(GU$3,'Standards for Conversions'!$A$34:$A$73,0)))=0,"",GV114/(INDEX('Standards for Conversions'!$H$34:$H$73,MATCH(GU$3,'Standards for Conversions'!$A$34:$A$73,0))))</f>
        <v/>
      </c>
      <c r="GX114" s="10" t="s">
        <v>40</v>
      </c>
      <c r="GY114" s="7"/>
      <c r="GZ114" s="7"/>
      <c r="HA114" s="31" t="str">
        <f>IF(GZ114/(INDEX('Standards for Conversions'!$H$34:$H$73,MATCH(GY$3,'Standards for Conversions'!$A$34:$A$73,0)))=0,"",GZ114/(INDEX('Standards for Conversions'!$H$34:$H$73,MATCH(GY$3,'Standards for Conversions'!$A$34:$A$73,0))))</f>
        <v/>
      </c>
      <c r="HC114" s="7"/>
      <c r="HD114" s="7"/>
      <c r="HE114" s="31" t="str">
        <f>IF(HD114/(INDEX('Standards for Conversions'!$H$34:$H$73,MATCH(HC$3,'Standards for Conversions'!$A$34:$A$73,0)))=0,"",HD114/(INDEX('Standards for Conversions'!$H$34:$H$73,MATCH(HC$3,'Standards for Conversions'!$A$34:$A$73,0))))</f>
        <v/>
      </c>
      <c r="HF114" s="10" t="s">
        <v>40</v>
      </c>
      <c r="HG114" s="7"/>
      <c r="HH114" s="7"/>
      <c r="HI114" s="31" t="str">
        <f>IF(HH114/(INDEX('Standards for Conversions'!$H$34:$H$73,MATCH(HG$3,'Standards for Conversions'!$A$34:$A$73,0)))=0,"",HH114/(INDEX('Standards for Conversions'!$H$34:$H$73,MATCH(HG$3,'Standards for Conversions'!$A$34:$A$73,0))))</f>
        <v/>
      </c>
      <c r="HJ114" s="10" t="s">
        <v>40</v>
      </c>
      <c r="HK114" s="9"/>
      <c r="HL114" s="9"/>
      <c r="HM114" s="31" t="str">
        <f>IF(HL114/(INDEX('Standards for Conversions'!$H$34:$H$73,MATCH(HK$3,'Standards for Conversions'!$A$34:$A$73,0)))=0,"",HL114/(INDEX('Standards for Conversions'!$H$34:$H$73,MATCH(HK$3,'Standards for Conversions'!$A$34:$A$73,0))))</f>
        <v/>
      </c>
      <c r="HN114" s="10" t="s">
        <v>40</v>
      </c>
      <c r="HO114" s="7"/>
      <c r="HP114" s="7"/>
      <c r="HQ114" s="31" t="str">
        <f>IF(HP114/(INDEX('Standards for Conversions'!$H$34:$H$73,MATCH(HO$3,'Standards for Conversions'!$A$34:$A$73,0)))=0,"",HP114/(INDEX('Standards for Conversions'!$H$34:$H$73,MATCH(HO$3,'Standards for Conversions'!$A$34:$A$73,0))))</f>
        <v/>
      </c>
      <c r="HT114" s="29">
        <v>1600</v>
      </c>
      <c r="HU114" s="31">
        <f>IF(HT114/(INDEX('Standards for Conversions'!$H$47:$H$73,MATCH(HS$3,'Standards for Conversions'!$A$47:$A$73,0)))=0,"",HT114/(INDEX('Standards for Conversions'!$H$47:$H$73,MATCH(HS$3,'Standards for Conversions'!$A$47:$A$73,0))))</f>
        <v>232.39265954056953</v>
      </c>
      <c r="HV114" s="33" t="s">
        <v>40</v>
      </c>
      <c r="HY114" s="31" t="str">
        <f>IF(HX114/(INDEX('Standards for Conversions'!$H$47:$H$73,MATCH(HW$3,'Standards for Conversions'!$A$47:$A$73,0)))=0,"",HX114/(INDEX('Standards for Conversions'!$H$47:$H$73,MATCH(HW$3,'Standards for Conversions'!$A$47:$A$73,0))))</f>
        <v/>
      </c>
      <c r="HZ114" s="33"/>
      <c r="IA114" s="33"/>
      <c r="IB114" s="31" t="str">
        <f>IF(IA114/(INDEX('Standards for Conversions'!$H$47:$H$73,MATCH(HZ$3,'Standards for Conversions'!$A$47:$A$73,0)))=0,"",IA114/(INDEX('Standards for Conversions'!$H$47:$H$73,MATCH(HZ$3,'Standards for Conversions'!$A$47:$A$73,0))))</f>
        <v/>
      </c>
      <c r="IC114" s="33" t="s">
        <v>40</v>
      </c>
      <c r="IF114" s="31" t="str">
        <f>IF(IE114/(INDEX('Standards for Conversions'!$H$47:$H$73,MATCH(ID$3,'Standards for Conversions'!$A$47:$A$73,0)))=0,"",IE114/(INDEX('Standards for Conversions'!$H$47:$H$73,MATCH(ID$3,'Standards for Conversions'!$A$47:$A$73,0))))</f>
        <v/>
      </c>
      <c r="IG114" s="33" t="s">
        <v>40</v>
      </c>
      <c r="IJ114" s="31" t="str">
        <f>IF(II114/(INDEX('Standards for Conversions'!$H$47:$H$73,MATCH(IH$3,'Standards for Conversions'!$A$47:$A$73,0)))=0,"",II114/(INDEX('Standards for Conversions'!$H$47:$H$73,MATCH(IH$3,'Standards for Conversions'!$A$47:$A$73,0))))</f>
        <v/>
      </c>
      <c r="IK114" s="33" t="s">
        <v>40</v>
      </c>
      <c r="IN114" s="31" t="str">
        <f>IF(IM114/(INDEX('Standards for Conversions'!$H$47:$H$73,MATCH(IL$3,'Standards for Conversions'!$A$47:$A$73,0)))=0,"",IM114/(INDEX('Standards for Conversions'!$H$47:$H$73,MATCH(IL$3,'Standards for Conversions'!$A$47:$A$73,0))))</f>
        <v/>
      </c>
      <c r="IO114" s="33" t="s">
        <v>40</v>
      </c>
      <c r="IR114" s="31" t="str">
        <f>IF(IQ114/(INDEX('Standards for Conversions'!$H$47:$H$73,MATCH(IP$3,'Standards for Conversions'!$A$47:$A$73,0)))=0,"",IQ114/(INDEX('Standards for Conversions'!$H$47:$H$73,MATCH(IP$3,'Standards for Conversions'!$A$47:$A$73,0))))</f>
        <v/>
      </c>
      <c r="IS114" s="33" t="s">
        <v>40</v>
      </c>
      <c r="IV114" s="31" t="str">
        <f>IF(IU114/(INDEX('Standards for Conversions'!$H$47:$H$73,MATCH(IT$3,'Standards for Conversions'!$A$47:$A$73,0)))=0,"",IU114/(INDEX('Standards for Conversions'!$H$47:$H$73,MATCH(IT$3,'Standards for Conversions'!$A$47:$A$73,0))))</f>
        <v/>
      </c>
      <c r="IW114" s="48" t="s">
        <v>40</v>
      </c>
      <c r="IX114" s="29">
        <v>15</v>
      </c>
      <c r="IY114" s="29">
        <v>250</v>
      </c>
      <c r="IZ114" s="31">
        <f>IF(IY114/(INDEX('Standards for Conversions'!$H$47:$H$73,MATCH(IX$3,'Standards for Conversions'!$A$47:$A$73,0)))=0,"",IY114/(INDEX('Standards for Conversions'!$H$47:$H$73,MATCH(IX$3,'Standards for Conversions'!$A$47:$A$73,0))))</f>
        <v>40.440049172967171</v>
      </c>
      <c r="JA114" s="33"/>
      <c r="JD114" s="31" t="str">
        <f>IF(JC114/(INDEX('Standards for Conversions'!$H$47:$H$73,MATCH(JB$3,'Standards for Conversions'!$A$47:$A$73,0)))=0,"",JC114/(INDEX('Standards for Conversions'!$H$47:$H$73,MATCH(JB$3,'Standards for Conversions'!$A$47:$A$73,0))))</f>
        <v/>
      </c>
      <c r="JE114" s="33"/>
      <c r="JH114" s="31" t="str">
        <f>IF(JG114/(INDEX('Standards for Conversions'!$H$47:$H$73,MATCH(JF$3,'Standards for Conversions'!$A$47:$A$73,0)))=0,"",JG114/(INDEX('Standards for Conversions'!$H$47:$H$73,MATCH(JF$3,'Standards for Conversions'!$A$47:$A$73,0))))</f>
        <v/>
      </c>
      <c r="JI114" s="48"/>
      <c r="JL114" s="31" t="str">
        <f>IF(JK114/(INDEX('Standards for Conversions'!$H$47:$H$73,MATCH(JJ$3,'Standards for Conversions'!$A$47:$A$73,0)))=0,"",JK114/(INDEX('Standards for Conversions'!$H$47:$H$73,MATCH(JJ$3,'Standards for Conversions'!$A$47:$A$73,0))))</f>
        <v/>
      </c>
      <c r="JM114" s="33" t="s">
        <v>40</v>
      </c>
      <c r="JN114" s="29">
        <v>20</v>
      </c>
      <c r="JO114" s="29">
        <v>300</v>
      </c>
      <c r="JP114" s="31">
        <f>IF(JO114/(INDEX('Standards for Conversions'!$H$47:$H$73,MATCH(JN$3,'Standards for Conversions'!$A$47:$A$73,0)))=0,"",JO114/(INDEX('Standards for Conversions'!$H$47:$H$73,MATCH(JN$3,'Standards for Conversions'!$A$47:$A$73,0))))</f>
        <v>45.796767728339269</v>
      </c>
      <c r="JQ114" s="33" t="s">
        <v>40</v>
      </c>
      <c r="JT114" s="31" t="str">
        <f>IF(JS114/(INDEX('Standards for Conversions'!$H$47:$H$73,MATCH(JR$3,'Standards for Conversions'!$A$47:$A$73,0)))=0,"",JS114/(INDEX('Standards for Conversions'!$H$47:$H$73,MATCH(JR$3,'Standards for Conversions'!$A$47:$A$73,0))))</f>
        <v/>
      </c>
      <c r="JU114" s="33" t="s">
        <v>40</v>
      </c>
      <c r="JX114" s="31" t="str">
        <f>IF(JW114/(INDEX('Standards for Conversions'!$H$47:$H$73,MATCH(JV$3,'Standards for Conversions'!$A$47:$A$73,0)))=0,"",JW114/(INDEX('Standards for Conversions'!$H$47:$H$73,MATCH(JV$3,'Standards for Conversions'!$A$47:$A$73,0))))</f>
        <v/>
      </c>
      <c r="JY114" s="33" t="s">
        <v>40</v>
      </c>
      <c r="KB114" s="31" t="str">
        <f>IF(KA114/(INDEX('Standards for Conversions'!$H$47:$H$73,MATCH(JZ$3,'Standards for Conversions'!$A$47:$A$73,0)))=0,"",KA114/(INDEX('Standards for Conversions'!$H$47:$H$73,MATCH(JZ$3,'Standards for Conversions'!$A$47:$A$73,0))))</f>
        <v/>
      </c>
      <c r="KC114" s="33" t="s">
        <v>40</v>
      </c>
      <c r="KD114" s="29">
        <v>25</v>
      </c>
      <c r="KE114" s="29">
        <v>350</v>
      </c>
      <c r="KF114" s="31">
        <f>IF(KE114/(INDEX('Standards for Conversions'!$H$47:$H$73,MATCH(KD$3,'Standards for Conversions'!$A$47:$A$73,0)))=0,"",KE114/(INDEX('Standards for Conversions'!$H$47:$H$73,MATCH(KD$3,'Standards for Conversions'!$A$47:$A$73,0))))</f>
        <v>47.130654167028759</v>
      </c>
      <c r="KG114" s="33" t="s">
        <v>40</v>
      </c>
      <c r="KJ114" s="31" t="str">
        <f>IF(KI114/(INDEX('Standards for Conversions'!$H$47:$H$73,MATCH(KH$3,'Standards for Conversions'!$A$47:$A$73,0)))=0,"",KI114/(INDEX('Standards for Conversions'!$H$47:$H$73,MATCH(KH$3,'Standards for Conversions'!$A$47:$A$73,0))))</f>
        <v/>
      </c>
      <c r="KK114" s="33" t="s">
        <v>40</v>
      </c>
      <c r="KN114" s="31" t="str">
        <f>IF(KM114/(INDEX('Standards for Conversions'!$H$47:$H$73,MATCH(KL$3,'Standards for Conversions'!$A$47:$A$73,0)))=0,"",KM114/(INDEX('Standards for Conversions'!$H$47:$H$73,MATCH(KL$3,'Standards for Conversions'!$A$47:$A$73,0))))</f>
        <v/>
      </c>
      <c r="KO114" s="48" t="s">
        <v>40</v>
      </c>
      <c r="KR114" s="31" t="str">
        <f>IF(KQ114/(INDEX('Standards for Conversions'!$H$47:$H$73,MATCH(KP$3,'Standards for Conversions'!$A$47:$A$73,0)))=0,"",KQ114/(INDEX('Standards for Conversions'!$H$47:$H$73,MATCH(KP$3,'Standards for Conversions'!$A$47:$A$73,0))))</f>
        <v/>
      </c>
      <c r="KS114" s="48" t="s">
        <v>40</v>
      </c>
      <c r="KT114" s="29">
        <v>30</v>
      </c>
      <c r="KU114" s="29">
        <v>430</v>
      </c>
      <c r="KV114" s="31">
        <f>IF(KU114/(INDEX('Standards for Conversions'!$H$47:$H$73,MATCH(KT$3,'Standards for Conversions'!$A$47:$A$73,0)))=0,"",KU114/(INDEX('Standards for Conversions'!$H$47:$H$73,MATCH(KT$3,'Standards for Conversions'!$A$47:$A$73,0))))</f>
        <v>52.295123692824646</v>
      </c>
      <c r="KW114" s="33"/>
      <c r="KZ114" s="31" t="str">
        <f>IF(KY114/(INDEX('Standards for Conversions'!$H$47:$H$73,MATCH(KX$3,'Standards for Conversions'!$A$47:$A$73,0)))=0,"",KY114/(INDEX('Standards for Conversions'!$H$47:$H$73,MATCH(KX$3,'Standards for Conversions'!$A$47:$A$73,0))))</f>
        <v/>
      </c>
      <c r="LD114" s="31" t="str">
        <f>IF(LC114/(INDEX('Standards for Conversions'!$H$47:$H$73,MATCH(LB$3,'Standards for Conversions'!$A$47:$A$73,0)))=0,"",LC114/(INDEX('Standards for Conversions'!$H$47:$H$73,MATCH(LB$3,'Standards for Conversions'!$A$47:$A$73,0))))</f>
        <v/>
      </c>
      <c r="LE114" s="48"/>
      <c r="LH114" s="31" t="str">
        <f>IF(LG114/(INDEX('Standards for Conversions'!$H$47:$H$73,MATCH(LF$3,'Standards for Conversions'!$A$47:$A$73,0)))=0,"",LG114/(INDEX('Standards for Conversions'!$H$47:$H$73,MATCH(LF$3,'Standards for Conversions'!$A$47:$A$73,0))))</f>
        <v/>
      </c>
      <c r="LL114" s="31" t="str">
        <f>IF(LK114/(INDEX('Standards for Conversions'!$H$47:$H$73,MATCH(LJ$3,'Standards for Conversions'!$A$47:$A$73,0)))=0,"",LK114/(INDEX('Standards for Conversions'!$H$47:$H$73,MATCH(LJ$3,'Standards for Conversions'!$A$47:$A$73,0))))</f>
        <v/>
      </c>
      <c r="LO114" s="31" t="str">
        <f>IF(LN114/(INDEX('Standards for Conversions'!$H$47:$H$73,MATCH(LM$3,'Standards for Conversions'!$A$47:$A$73,0)))=0,"",LN114/(INDEX('Standards for Conversions'!$H$47:$H$73,MATCH(LM$3,'Standards for Conversions'!$A$47:$A$73,0))))</f>
        <v/>
      </c>
      <c r="LR114" s="31" t="str">
        <f>IF(LQ114/(INDEX('Standards for Conversions'!$H$47:$H$73,MATCH(LP$3,'Standards for Conversions'!$A$47:$A$73,0)))=0,"",LQ114/(INDEX('Standards for Conversions'!$H$47:$H$73,MATCH(LP$3,'Standards for Conversions'!$A$47:$A$73,0))))</f>
        <v/>
      </c>
      <c r="LV114" s="31" t="str">
        <f>IF(LU114/(INDEX('Standards for Conversions'!$H$47:$H$73,MATCH(LT$3,'Standards for Conversions'!$A$47:$A$73,0)))=0,"",LU114/(INDEX('Standards for Conversions'!$H$47:$H$73,MATCH(LT$3,'Standards for Conversions'!$A$47:$A$73,0))))</f>
        <v/>
      </c>
      <c r="LY114" s="31" t="str">
        <f>IF(LX114/(INDEX('Standards for Conversions'!$H$47:$H$73,MATCH(LW$3,'Standards for Conversions'!$A$47:$A$73,0)))=0,"",LX114/(INDEX('Standards for Conversions'!$H$47:$H$73,MATCH(LW$3,'Standards for Conversions'!$A$47:$A$73,0))))</f>
        <v/>
      </c>
      <c r="MB114" s="31" t="str">
        <f>IF(MA114/(INDEX('Standards for Conversions'!$H$47:$H$73,MATCH(LZ$3,'Standards for Conversions'!$A$47:$A$73,0)))=0,"",MA114/(INDEX('Standards for Conversions'!$H$47:$H$73,MATCH(LZ$3,'Standards for Conversions'!$A$47:$A$73,0))))</f>
        <v/>
      </c>
      <c r="ME114" s="31" t="str">
        <f>IF(MD114/(INDEX('Standards for Conversions'!$H$47:$H$73,MATCH(MC$3,'Standards for Conversions'!$A$47:$A$73,0)))=0,"",MD114/(INDEX('Standards for Conversions'!$H$47:$H$73,MATCH(MC$3,'Standards for Conversions'!$A$47:$A$73,0))))</f>
        <v/>
      </c>
      <c r="MH114" s="31" t="str">
        <f>IF(MG114/(INDEX('Standards for Conversions'!$H$47:$H$73,MATCH(MF$3,'Standards for Conversions'!$A$47:$A$73,0)))=0,"",MG114/(INDEX('Standards for Conversions'!$H$47:$H$73,MATCH(MF$3,'Standards for Conversions'!$A$47:$A$73,0))))</f>
        <v/>
      </c>
      <c r="MK114" s="31" t="str">
        <f>IF(MJ114/(INDEX('Standards for Conversions'!$H$47:$H$73,MATCH(MI$3,'Standards for Conversions'!$A$47:$A$73,0)))=0,"",MJ114/(INDEX('Standards for Conversions'!$H$47:$H$73,MATCH(MI$3,'Standards for Conversions'!$A$47:$A$73,0))))</f>
        <v/>
      </c>
      <c r="MN114" s="31" t="str">
        <f>IF(MM114/(INDEX('Standards for Conversions'!$H$47:$H$73,MATCH(ML$3,'Standards for Conversions'!$A$47:$A$73,0)))=0,"",MM114/(INDEX('Standards for Conversions'!$H$47:$H$73,MATCH(ML$3,'Standards for Conversions'!$A$47:$A$73,0))))</f>
        <v/>
      </c>
      <c r="MR114" s="31" t="str">
        <f>IF(MQ114/(INDEX('Standards for Conversions'!$H$47:$H$73,MATCH(MP$3,'Standards for Conversions'!$A$47:$A$73,0)))=0,"",MQ114/(INDEX('Standards for Conversions'!$H$47:$H$73,MATCH(MP$3,'Standards for Conversions'!$A$47:$A$73,0))))</f>
        <v/>
      </c>
    </row>
    <row r="115" spans="1:356" hidden="1" x14ac:dyDescent="0.3">
      <c r="A115" s="103" t="s">
        <v>280</v>
      </c>
      <c r="B115" s="10" t="s">
        <v>40</v>
      </c>
      <c r="C115" s="7"/>
      <c r="D115" s="7"/>
      <c r="E115" s="31" t="str">
        <f>IF(D115/(INDEX('Standards for Conversions'!$H$34:$H$73,MATCH(C$3,'Standards for Conversions'!$A$34:$A$73,0)))=0,"",D115/(INDEX('Standards for Conversions'!$H$34:$H$73,MATCH(C$3,'Standards for Conversions'!$A$34:$A$73,0))))</f>
        <v/>
      </c>
      <c r="F115" s="10" t="s">
        <v>40</v>
      </c>
      <c r="G115" s="7"/>
      <c r="H115" s="7"/>
      <c r="I115" s="31" t="str">
        <f>IF(H115/(INDEX('Standards for Conversions'!$H$34:$H$73,MATCH(G$3,'Standards for Conversions'!$A$34:$A$73,0)))=0,"",H115/(INDEX('Standards for Conversions'!$H$34:$H$73,MATCH(G$3,'Standards for Conversions'!$A$34:$A$73,0))))</f>
        <v/>
      </c>
      <c r="J115" s="10" t="s">
        <v>40</v>
      </c>
      <c r="K115" s="9"/>
      <c r="L115" s="9"/>
      <c r="M115" s="31" t="str">
        <f>IF(L115/(INDEX('Standards for Conversions'!$H$34:$H$73,MATCH(K$3,'Standards for Conversions'!$A$34:$A$73,0)))=0,"",L115/(INDEX('Standards for Conversions'!$H$34:$H$73,MATCH(K$3,'Standards for Conversions'!$A$34:$A$73,0))))</f>
        <v/>
      </c>
      <c r="N115" s="10" t="s">
        <v>40</v>
      </c>
      <c r="O115" s="7"/>
      <c r="P115" s="7"/>
      <c r="Q115" s="31" t="str">
        <f>IF(P115/(INDEX('Standards for Conversions'!$H$34:$H$73,MATCH(O$3,'Standards for Conversions'!$A$34:$A$73,0)))=0,"",P115/(INDEX('Standards for Conversions'!$H$34:$H$73,MATCH(O$3,'Standards for Conversions'!$A$34:$A$73,0))))</f>
        <v/>
      </c>
      <c r="R115" s="10" t="s">
        <v>40</v>
      </c>
      <c r="S115" s="7"/>
      <c r="T115" s="7"/>
      <c r="U115" s="31" t="str">
        <f>IF(T115/(INDEX('Standards for Conversions'!$H$34:$H$73,MATCH(S$3,'Standards for Conversions'!$A$34:$A$73,0)))=0,"",T115/(INDEX('Standards for Conversions'!$H$34:$H$73,MATCH(S$3,'Standards for Conversions'!$A$34:$A$73,0))))</f>
        <v/>
      </c>
      <c r="V115" s="10" t="s">
        <v>40</v>
      </c>
      <c r="W115" s="7"/>
      <c r="X115" s="7"/>
      <c r="Y115" s="31" t="str">
        <f>IF(X115/(INDEX('Standards for Conversions'!$H$34:$H$73,MATCH(W$3,'Standards for Conversions'!$A$34:$A$73,0)))=0,"",X115/(INDEX('Standards for Conversions'!$H$34:$H$73,MATCH(W$3,'Standards for Conversions'!$A$34:$A$73,0))))</f>
        <v/>
      </c>
      <c r="Z115" s="10" t="s">
        <v>40</v>
      </c>
      <c r="AA115" s="9"/>
      <c r="AB115" s="9"/>
      <c r="AC115" s="31" t="str">
        <f>IF(AB115/(INDEX('Standards for Conversions'!$H$34:$H$73,MATCH(AA$3,'Standards for Conversions'!$A$34:$A$73,0)))=0,"",AB115/(INDEX('Standards for Conversions'!$H$34:$H$73,MATCH(AA$3,'Standards for Conversions'!$A$34:$A$73,0))))</f>
        <v/>
      </c>
      <c r="AD115" s="10" t="s">
        <v>40</v>
      </c>
      <c r="AE115" s="7"/>
      <c r="AF115" s="7"/>
      <c r="AG115" s="31" t="str">
        <f>IF(AF115/(INDEX('Standards for Conversions'!$H$34:$H$73,MATCH(AE$3,'Standards for Conversions'!$A$34:$A$73,0)))=0,"",AF115/(INDEX('Standards for Conversions'!$H$34:$H$73,MATCH(AE$3,'Standards for Conversions'!$A$34:$A$73,0))))</f>
        <v/>
      </c>
      <c r="AH115" s="10" t="s">
        <v>40</v>
      </c>
      <c r="AI115" s="7"/>
      <c r="AJ115" s="7"/>
      <c r="AK115" s="31" t="str">
        <f>IF(AJ115/(INDEX('Standards for Conversions'!$H$34:$H$73,MATCH(AI$3,'Standards for Conversions'!$A$34:$A$73,0)))=0,"",AJ115/(INDEX('Standards for Conversions'!$H$34:$H$73,MATCH(AI$3,'Standards for Conversions'!$A$34:$A$73,0))))</f>
        <v/>
      </c>
      <c r="AL115" s="10" t="s">
        <v>40</v>
      </c>
      <c r="AM115" s="7"/>
      <c r="AN115" s="7"/>
      <c r="AO115" s="31" t="str">
        <f>IF(AN115/(INDEX('Standards for Conversions'!$H$34:$H$73,MATCH(AM$3,'Standards for Conversions'!$A$34:$A$73,0)))=0,"",AN115/(INDEX('Standards for Conversions'!$H$34:$H$73,MATCH(AM$3,'Standards for Conversions'!$A$34:$A$73,0))))</f>
        <v/>
      </c>
      <c r="AP115" s="10" t="s">
        <v>40</v>
      </c>
      <c r="AQ115" s="9"/>
      <c r="AR115" s="9"/>
      <c r="AS115" s="31" t="str">
        <f>IF(AR115/(INDEX('Standards for Conversions'!$H$34:$H$73,MATCH(AQ$3,'Standards for Conversions'!$A$34:$A$73,0)))=0,"",AR115/(INDEX('Standards for Conversions'!$H$34:$H$73,MATCH(AQ$3,'Standards for Conversions'!$A$34:$A$73,0))))</f>
        <v/>
      </c>
      <c r="AT115" s="10" t="s">
        <v>40</v>
      </c>
      <c r="AU115" s="7"/>
      <c r="AV115" s="7"/>
      <c r="AW115" s="31" t="str">
        <f>IF(AV115/(INDEX('Standards for Conversions'!$H$34:$H$73,MATCH(AU$3,'Standards for Conversions'!$A$34:$A$73,0)))=0,"",AV115/(INDEX('Standards for Conversions'!$H$34:$H$73,MATCH(AU$3,'Standards for Conversions'!$A$34:$A$73,0))))</f>
        <v/>
      </c>
      <c r="AX115" s="10" t="s">
        <v>40</v>
      </c>
      <c r="AY115" s="7"/>
      <c r="AZ115" s="7"/>
      <c r="BA115" s="31" t="str">
        <f>IF(AZ115/(INDEX('Standards for Conversions'!$H$34:$H$73,MATCH(AY$3,'Standards for Conversions'!$A$34:$A$73,0)))=0,"",AZ115/(INDEX('Standards for Conversions'!$H$34:$H$73,MATCH(AY$3,'Standards for Conversions'!$A$34:$A$73,0))))</f>
        <v/>
      </c>
      <c r="BB115" s="10" t="s">
        <v>40</v>
      </c>
      <c r="BC115" s="7"/>
      <c r="BD115" s="7"/>
      <c r="BE115" s="31" t="str">
        <f>IF(BD115/(INDEX('Standards for Conversions'!$H$34:$H$73,MATCH(BC$3,'Standards for Conversions'!$A$34:$A$73,0)))=0,"",BD115/(INDEX('Standards for Conversions'!$H$34:$H$73,MATCH(BC$3,'Standards for Conversions'!$A$34:$A$73,0))))</f>
        <v/>
      </c>
      <c r="BF115" s="10" t="s">
        <v>40</v>
      </c>
      <c r="BG115" s="9"/>
      <c r="BH115" s="9"/>
      <c r="BI115" s="31" t="str">
        <f>IF(BH115/(INDEX('Standards for Conversions'!$H$34:$H$73,MATCH(BG$3,'Standards for Conversions'!$A$34:$A$73,0)))=0,"",BH115/(INDEX('Standards for Conversions'!$H$34:$H$73,MATCH(BG$3,'Standards for Conversions'!$A$34:$A$73,0))))</f>
        <v/>
      </c>
      <c r="BJ115" s="10" t="s">
        <v>40</v>
      </c>
      <c r="BK115" s="7"/>
      <c r="BL115" s="7"/>
      <c r="BM115" s="31" t="str">
        <f>IF(BL115/(INDEX('Standards for Conversions'!$H$34:$H$73,MATCH(BK$3,'Standards for Conversions'!$A$34:$A$73,0)))=0,"",BL115/(INDEX('Standards for Conversions'!$H$34:$H$73,MATCH(BK$3,'Standards for Conversions'!$A$34:$A$73,0))))</f>
        <v/>
      </c>
      <c r="BN115" s="10" t="s">
        <v>40</v>
      </c>
      <c r="BO115" s="7"/>
      <c r="BP115" s="7"/>
      <c r="BQ115" s="31" t="str">
        <f>IF(BP115/(INDEX('Standards for Conversions'!$H$34:$H$73,MATCH(BO$3,'Standards for Conversions'!$A$34:$A$73,0)))=0,"",BP115/(INDEX('Standards for Conversions'!$H$34:$H$73,MATCH(BO$3,'Standards for Conversions'!$A$34:$A$73,0))))</f>
        <v/>
      </c>
      <c r="BR115" s="10" t="s">
        <v>40</v>
      </c>
      <c r="BS115" s="7"/>
      <c r="BT115" s="7"/>
      <c r="BU115" s="31" t="str">
        <f>IF(BT115/(INDEX('Standards for Conversions'!$H$34:$H$73,MATCH(BS$3,'Standards for Conversions'!$A$34:$A$73,0)))=0,"",BT115/(INDEX('Standards for Conversions'!$H$34:$H$73,MATCH(BS$3,'Standards for Conversions'!$A$34:$A$73,0))))</f>
        <v/>
      </c>
      <c r="BV115" s="10" t="s">
        <v>40</v>
      </c>
      <c r="BW115" s="9"/>
      <c r="BX115" s="9"/>
      <c r="BY115" s="31" t="str">
        <f>IF(BX115/(INDEX('Standards for Conversions'!$H$34:$H$73,MATCH(BW$3,'Standards for Conversions'!$A$34:$A$73,0)))=0,"",BX115/(INDEX('Standards for Conversions'!$H$34:$H$73,MATCH(BW$3,'Standards for Conversions'!$A$34:$A$73,0))))</f>
        <v/>
      </c>
      <c r="BZ115" s="10" t="s">
        <v>40</v>
      </c>
      <c r="CA115" s="7"/>
      <c r="CB115" s="7"/>
      <c r="CC115" s="31" t="str">
        <f>IF(CB115/(INDEX('Standards for Conversions'!$H$34:$H$73,MATCH(CA$3,'Standards for Conversions'!$A$34:$A$73,0)))=0,"",CB115/(INDEX('Standards for Conversions'!$H$34:$H$73,MATCH(CA$3,'Standards for Conversions'!$A$34:$A$73,0))))</f>
        <v/>
      </c>
      <c r="CD115" s="10" t="s">
        <v>40</v>
      </c>
      <c r="CE115" s="7"/>
      <c r="CF115" s="7"/>
      <c r="CG115" s="31" t="str">
        <f>IF(CF115/(INDEX('Standards for Conversions'!$H$34:$H$73,MATCH(CE$3,'Standards for Conversions'!$A$34:$A$73,0)))=0,"",CF115/(INDEX('Standards for Conversions'!$H$34:$H$73,MATCH(CE$3,'Standards for Conversions'!$A$34:$A$73,0))))</f>
        <v/>
      </c>
      <c r="CH115" s="10" t="s">
        <v>40</v>
      </c>
      <c r="CI115" s="7"/>
      <c r="CJ115" s="7"/>
      <c r="CK115" s="31" t="str">
        <f>IF(CJ115/(INDEX('Standards for Conversions'!$H$34:$H$73,MATCH(CI$3,'Standards for Conversions'!$A$34:$A$73,0)))=0,"",CJ115/(INDEX('Standards for Conversions'!$H$34:$H$73,MATCH(CI$3,'Standards for Conversions'!$A$34:$A$73,0))))</f>
        <v/>
      </c>
      <c r="CL115" s="10" t="s">
        <v>40</v>
      </c>
      <c r="CM115" s="9"/>
      <c r="CN115" s="9"/>
      <c r="CO115" s="31" t="str">
        <f>IF(CN115/(INDEX('Standards for Conversions'!$H$34:$H$73,MATCH(CM$3,'Standards for Conversions'!$A$34:$A$73,0)))=0,"",CN115/(INDEX('Standards for Conversions'!$H$34:$H$73,MATCH(CM$3,'Standards for Conversions'!$A$34:$A$73,0))))</f>
        <v/>
      </c>
      <c r="CP115" s="10" t="s">
        <v>40</v>
      </c>
      <c r="CQ115" s="7"/>
      <c r="CR115" s="7"/>
      <c r="CS115" s="31" t="str">
        <f>IF(CR115/(INDEX('Standards for Conversions'!$H$34:$H$73,MATCH(CQ$3,'Standards for Conversions'!$A$34:$A$73,0)))=0,"",CR115/(INDEX('Standards for Conversions'!$H$34:$H$73,MATCH(CQ$3,'Standards for Conversions'!$A$34:$A$73,0))))</f>
        <v/>
      </c>
      <c r="CT115" s="10" t="s">
        <v>40</v>
      </c>
      <c r="CU115" s="7"/>
      <c r="CV115" s="7"/>
      <c r="CW115" s="31" t="str">
        <f>IF(CV115/(INDEX('Standards for Conversions'!$H$34:$H$73,MATCH(CU$3,'Standards for Conversions'!$A$34:$A$73,0)))=0,"",CV115/(INDEX('Standards for Conversions'!$H$34:$H$73,MATCH(CU$3,'Standards for Conversions'!$A$34:$A$73,0))))</f>
        <v/>
      </c>
      <c r="CX115" s="10" t="s">
        <v>40</v>
      </c>
      <c r="CY115" s="7"/>
      <c r="CZ115" s="7"/>
      <c r="DA115" s="31" t="str">
        <f>IF(CZ115/(INDEX('Standards for Conversions'!$H$34:$H$73,MATCH(CY$3,'Standards for Conversions'!$A$34:$A$73,0)))=0,"",CZ115/(INDEX('Standards for Conversions'!$H$34:$H$73,MATCH(CY$3,'Standards for Conversions'!$A$34:$A$73,0))))</f>
        <v/>
      </c>
      <c r="DB115" s="10" t="s">
        <v>40</v>
      </c>
      <c r="DC115" s="9"/>
      <c r="DD115" s="9"/>
      <c r="DE115" s="31" t="str">
        <f>IF(DD115/(INDEX('Standards for Conversions'!$H$34:$H$73,MATCH(DC$3,'Standards for Conversions'!$A$34:$A$73,0)))=0,"",DD115/(INDEX('Standards for Conversions'!$H$34:$H$73,MATCH(DC$3,'Standards for Conversions'!$A$34:$A$73,0))))</f>
        <v/>
      </c>
      <c r="DF115" s="10" t="s">
        <v>40</v>
      </c>
      <c r="DG115" s="7"/>
      <c r="DH115" s="7"/>
      <c r="DI115" s="31" t="str">
        <f>IF(DH115/(INDEX('Standards for Conversions'!$H$34:$H$73,MATCH(DG$3,'Standards for Conversions'!$A$34:$A$73,0)))=0,"",DH115/(INDEX('Standards for Conversions'!$H$34:$H$73,MATCH(DG$3,'Standards for Conversions'!$A$34:$A$73,0))))</f>
        <v/>
      </c>
      <c r="DJ115" s="10" t="s">
        <v>40</v>
      </c>
      <c r="DK115" s="7"/>
      <c r="DL115" s="7"/>
      <c r="DM115" s="31" t="str">
        <f>IF(DL115/(INDEX('Standards for Conversions'!$H$34:$H$73,MATCH(DK$3,'Standards for Conversions'!$A$34:$A$73,0)))=0,"",DL115/(INDEX('Standards for Conversions'!$H$34:$H$73,MATCH(DK$3,'Standards for Conversions'!$A$34:$A$73,0))))</f>
        <v/>
      </c>
      <c r="DN115" s="10" t="s">
        <v>40</v>
      </c>
      <c r="DO115" s="7"/>
      <c r="DP115" s="7"/>
      <c r="DQ115" s="31" t="str">
        <f>IF(DP115/(INDEX('Standards for Conversions'!$H$34:$H$73,MATCH(DO$3,'Standards for Conversions'!$A$34:$A$73,0)))=0,"",DP115/(INDEX('Standards for Conversions'!$H$34:$H$73,MATCH(DO$3,'Standards for Conversions'!$A$34:$A$73,0))))</f>
        <v/>
      </c>
      <c r="DR115" s="10" t="s">
        <v>40</v>
      </c>
      <c r="DS115" s="9"/>
      <c r="DT115" s="9"/>
      <c r="DU115" s="31" t="str">
        <f>IF(DT115/(INDEX('Standards for Conversions'!$H$34:$H$73,MATCH(DS$3,'Standards for Conversions'!$A$34:$A$73,0)))=0,"",DT115/(INDEX('Standards for Conversions'!$H$34:$H$73,MATCH(DS$3,'Standards for Conversions'!$A$34:$A$73,0))))</f>
        <v/>
      </c>
      <c r="DV115" s="10" t="s">
        <v>40</v>
      </c>
      <c r="DW115" s="7"/>
      <c r="DX115" s="7"/>
      <c r="DY115" s="31" t="str">
        <f>IF(DX115/(INDEX('Standards for Conversions'!$H$34:$H$73,MATCH(DW$3,'Standards for Conversions'!$A$34:$A$73,0)))=0,"",DX115/(INDEX('Standards for Conversions'!$H$34:$H$73,MATCH(DW$3,'Standards for Conversions'!$A$34:$A$73,0))))</f>
        <v/>
      </c>
      <c r="DZ115" s="10" t="s">
        <v>40</v>
      </c>
      <c r="EA115" s="7"/>
      <c r="EB115" s="7"/>
      <c r="EC115" s="31" t="str">
        <f>IF(EB115/(INDEX('Standards for Conversions'!$H$34:$H$73,MATCH(EA$3,'Standards for Conversions'!$A$34:$A$73,0)))=0,"",EB115/(INDEX('Standards for Conversions'!$H$34:$H$73,MATCH(EA$3,'Standards for Conversions'!$A$34:$A$73,0))))</f>
        <v/>
      </c>
      <c r="ED115" s="10" t="s">
        <v>40</v>
      </c>
      <c r="EE115" s="7"/>
      <c r="EF115" s="7"/>
      <c r="EG115" s="31" t="str">
        <f>IF(EF115/(INDEX('Standards for Conversions'!$H$34:$H$73,MATCH(EE$3,'Standards for Conversions'!$A$34:$A$73,0)))=0,"",EF115/(INDEX('Standards for Conversions'!$H$34:$H$73,MATCH(EE$3,'Standards for Conversions'!$A$34:$A$73,0))))</f>
        <v/>
      </c>
      <c r="EH115" s="10" t="s">
        <v>40</v>
      </c>
      <c r="EI115" s="9"/>
      <c r="EJ115" s="9"/>
      <c r="EK115" s="31" t="str">
        <f>IF(EJ115/(INDEX('Standards for Conversions'!$H$34:$H$73,MATCH(EI$3,'Standards for Conversions'!$A$34:$A$73,0)))=0,"",EJ115/(INDEX('Standards for Conversions'!$H$34:$H$73,MATCH(EI$3,'Standards for Conversions'!$A$34:$A$73,0))))</f>
        <v/>
      </c>
      <c r="EL115" s="10" t="s">
        <v>40</v>
      </c>
      <c r="EM115" s="7"/>
      <c r="EN115" s="7"/>
      <c r="EO115" s="31" t="str">
        <f>IF(EN115/(INDEX('Standards for Conversions'!$H$34:$H$73,MATCH(EM$3,'Standards for Conversions'!$A$34:$A$73,0)))=0,"",EN115/(INDEX('Standards for Conversions'!$H$34:$H$73,MATCH(EM$3,'Standards for Conversions'!$A$34:$A$73,0))))</f>
        <v/>
      </c>
      <c r="EP115" s="10" t="s">
        <v>40</v>
      </c>
      <c r="EQ115" s="7"/>
      <c r="ER115" s="7"/>
      <c r="ES115" s="31" t="str">
        <f>IF(ER115/(INDEX('Standards for Conversions'!$H$34:$H$73,MATCH(EQ$3,'Standards for Conversions'!$A$34:$A$73,0)))=0,"",ER115/(INDEX('Standards for Conversions'!$H$34:$H$73,MATCH(EQ$3,'Standards for Conversions'!$A$34:$A$73,0))))</f>
        <v/>
      </c>
      <c r="ET115" s="10" t="s">
        <v>40</v>
      </c>
      <c r="EU115" s="7"/>
      <c r="EV115" s="7"/>
      <c r="EW115" s="31" t="str">
        <f>IF(EV115/(INDEX('Standards for Conversions'!$H$34:$H$73,MATCH(EU$3,'Standards for Conversions'!$A$34:$A$73,0)))=0,"",EV115/(INDEX('Standards for Conversions'!$H$34:$H$73,MATCH(EU$3,'Standards for Conversions'!$A$34:$A$73,0))))</f>
        <v/>
      </c>
      <c r="EX115" s="10" t="s">
        <v>40</v>
      </c>
      <c r="EY115" s="9"/>
      <c r="EZ115" s="9"/>
      <c r="FA115" s="31" t="str">
        <f>IF(EZ115/(INDEX('Standards for Conversions'!$H$34:$H$73,MATCH(EY$3,'Standards for Conversions'!$A$34:$A$73,0)))=0,"",EZ115/(INDEX('Standards for Conversions'!$H$34:$H$73,MATCH(EY$3,'Standards for Conversions'!$A$34:$A$73,0))))</f>
        <v/>
      </c>
      <c r="FB115" s="10" t="s">
        <v>40</v>
      </c>
      <c r="FC115" s="7"/>
      <c r="FD115" s="7"/>
      <c r="FE115" s="31" t="str">
        <f>IF(FD115/(INDEX('Standards for Conversions'!$H$34:$H$73,MATCH(FC$3,'Standards for Conversions'!$A$34:$A$73,0)))=0,"",FD115/(INDEX('Standards for Conversions'!$H$34:$H$73,MATCH(FC$3,'Standards for Conversions'!$A$34:$A$73,0))))</f>
        <v/>
      </c>
      <c r="FF115" s="10" t="s">
        <v>40</v>
      </c>
      <c r="FG115" s="7"/>
      <c r="FH115" s="7"/>
      <c r="FI115" s="31" t="str">
        <f>IF(FH115/(INDEX('Standards for Conversions'!$H$34:$H$73,MATCH(FG$3,'Standards for Conversions'!$A$34:$A$73,0)))=0,"",FH115/(INDEX('Standards for Conversions'!$H$34:$H$73,MATCH(FG$3,'Standards for Conversions'!$A$34:$A$73,0))))</f>
        <v/>
      </c>
      <c r="FJ115" s="10" t="s">
        <v>40</v>
      </c>
      <c r="FK115" s="7"/>
      <c r="FL115" s="7"/>
      <c r="FM115" s="31" t="str">
        <f>IF(FL115/(INDEX('Standards for Conversions'!$H$34:$H$73,MATCH(FK$3,'Standards for Conversions'!$A$34:$A$73,0)))=0,"",FL115/(INDEX('Standards for Conversions'!$H$34:$H$73,MATCH(FK$3,'Standards for Conversions'!$A$34:$A$73,0))))</f>
        <v/>
      </c>
      <c r="FN115" s="10" t="s">
        <v>40</v>
      </c>
      <c r="FO115" s="9"/>
      <c r="FP115" s="9"/>
      <c r="FQ115" s="31" t="str">
        <f>IF(FP115/(INDEX('Standards for Conversions'!$H$34:$H$73,MATCH(FO$3,'Standards for Conversions'!$A$34:$A$73,0)))=0,"",FP115/(INDEX('Standards for Conversions'!$H$34:$H$73,MATCH(FO$3,'Standards for Conversions'!$A$34:$A$73,0))))</f>
        <v/>
      </c>
      <c r="FR115" s="10" t="s">
        <v>40</v>
      </c>
      <c r="FS115" s="7"/>
      <c r="FT115" s="7"/>
      <c r="FU115" s="31" t="str">
        <f>IF(FT115/(INDEX('Standards for Conversions'!$H$34:$H$73,MATCH(FS$3,'Standards for Conversions'!$A$34:$A$73,0)))=0,"",FT115/(INDEX('Standards for Conversions'!$H$34:$H$73,MATCH(FS$3,'Standards for Conversions'!$A$34:$A$73,0))))</f>
        <v/>
      </c>
      <c r="FV115" s="10" t="s">
        <v>40</v>
      </c>
      <c r="FW115" s="7"/>
      <c r="FX115" s="7"/>
      <c r="FY115" s="31" t="str">
        <f>IF(FX115/(INDEX('Standards for Conversions'!$H$34:$H$73,MATCH(FW$3,'Standards for Conversions'!$A$34:$A$73,0)))=0,"",FX115/(INDEX('Standards for Conversions'!$H$34:$H$73,MATCH(FW$3,'Standards for Conversions'!$A$34:$A$73,0))))</f>
        <v/>
      </c>
      <c r="FZ115" s="10" t="s">
        <v>40</v>
      </c>
      <c r="GA115" s="7"/>
      <c r="GB115" s="7"/>
      <c r="GC115" s="31" t="str">
        <f>IF(GB115/(INDEX('Standards for Conversions'!$H$34:$H$73,MATCH(GA$3,'Standards for Conversions'!$A$34:$A$73,0)))=0,"",GB115/(INDEX('Standards for Conversions'!$H$34:$H$73,MATCH(GA$3,'Standards for Conversions'!$A$34:$A$73,0))))</f>
        <v/>
      </c>
      <c r="GD115" s="10" t="s">
        <v>40</v>
      </c>
      <c r="GE115" s="9"/>
      <c r="GF115" s="9"/>
      <c r="GG115" s="31" t="str">
        <f>IF(GF115/(INDEX('Standards for Conversions'!$H$34:$H$73,MATCH(GE$3,'Standards for Conversions'!$A$34:$A$73,0)))=0,"",GF115/(INDEX('Standards for Conversions'!$H$34:$H$73,MATCH(GE$3,'Standards for Conversions'!$A$34:$A$73,0))))</f>
        <v/>
      </c>
      <c r="GH115" s="10" t="s">
        <v>40</v>
      </c>
      <c r="GI115" s="7"/>
      <c r="GJ115" s="7"/>
      <c r="GK115" s="31" t="str">
        <f>IF(GJ115/(INDEX('Standards for Conversions'!$H$34:$H$73,MATCH(GI$3,'Standards for Conversions'!$A$34:$A$73,0)))=0,"",GJ115/(INDEX('Standards for Conversions'!$H$34:$H$73,MATCH(GI$3,'Standards for Conversions'!$A$34:$A$73,0))))</f>
        <v/>
      </c>
      <c r="GL115" s="10" t="s">
        <v>40</v>
      </c>
      <c r="GM115" s="7"/>
      <c r="GN115" s="7"/>
      <c r="GO115" s="31" t="str">
        <f>IF(GN115/(INDEX('Standards for Conversions'!$H$34:$H$73,MATCH(GM$3,'Standards for Conversions'!$A$34:$A$73,0)))=0,"",GN115/(INDEX('Standards for Conversions'!$H$34:$H$73,MATCH(GM$3,'Standards for Conversions'!$A$34:$A$73,0))))</f>
        <v/>
      </c>
      <c r="GP115" s="10" t="s">
        <v>40</v>
      </c>
      <c r="GQ115" s="7"/>
      <c r="GR115" s="7"/>
      <c r="GS115" s="31" t="str">
        <f>IF(GR115/(INDEX('Standards for Conversions'!$H$34:$H$73,MATCH(GQ$3,'Standards for Conversions'!$A$34:$A$73,0)))=0,"",GR115/(INDEX('Standards for Conversions'!$H$34:$H$73,MATCH(GQ$3,'Standards for Conversions'!$A$34:$A$73,0))))</f>
        <v/>
      </c>
      <c r="GT115" s="10" t="s">
        <v>40</v>
      </c>
      <c r="GU115" s="9"/>
      <c r="GV115" s="9"/>
      <c r="GW115" s="31" t="str">
        <f>IF(GV115/(INDEX('Standards for Conversions'!$H$34:$H$73,MATCH(GU$3,'Standards for Conversions'!$A$34:$A$73,0)))=0,"",GV115/(INDEX('Standards for Conversions'!$H$34:$H$73,MATCH(GU$3,'Standards for Conversions'!$A$34:$A$73,0))))</f>
        <v/>
      </c>
      <c r="GX115" s="10" t="s">
        <v>40</v>
      </c>
      <c r="GY115" s="7"/>
      <c r="GZ115" s="7"/>
      <c r="HA115" s="31" t="str">
        <f>IF(GZ115/(INDEX('Standards for Conversions'!$H$34:$H$73,MATCH(GY$3,'Standards for Conversions'!$A$34:$A$73,0)))=0,"",GZ115/(INDEX('Standards for Conversions'!$H$34:$H$73,MATCH(GY$3,'Standards for Conversions'!$A$34:$A$73,0))))</f>
        <v/>
      </c>
      <c r="HB115" s="10" t="s">
        <v>40</v>
      </c>
      <c r="HC115" s="7"/>
      <c r="HD115" s="7"/>
      <c r="HE115" s="31" t="str">
        <f>IF(HD115/(INDEX('Standards for Conversions'!$H$34:$H$73,MATCH(HC$3,'Standards for Conversions'!$A$34:$A$73,0)))=0,"",HD115/(INDEX('Standards for Conversions'!$H$34:$H$73,MATCH(HC$3,'Standards for Conversions'!$A$34:$A$73,0))))</f>
        <v/>
      </c>
      <c r="HF115" s="10" t="s">
        <v>40</v>
      </c>
      <c r="HG115" s="7"/>
      <c r="HH115" s="7"/>
      <c r="HI115" s="31" t="str">
        <f>IF(HH115/(INDEX('Standards for Conversions'!$H$34:$H$73,MATCH(HG$3,'Standards for Conversions'!$A$34:$A$73,0)))=0,"",HH115/(INDEX('Standards for Conversions'!$H$34:$H$73,MATCH(HG$3,'Standards for Conversions'!$A$34:$A$73,0))))</f>
        <v/>
      </c>
      <c r="HJ115" s="10" t="s">
        <v>40</v>
      </c>
      <c r="HK115" s="9"/>
      <c r="HL115" s="9"/>
      <c r="HM115" s="31" t="str">
        <f>IF(HL115/(INDEX('Standards for Conversions'!$H$34:$H$73,MATCH(HK$3,'Standards for Conversions'!$A$34:$A$73,0)))=0,"",HL115/(INDEX('Standards for Conversions'!$H$34:$H$73,MATCH(HK$3,'Standards for Conversions'!$A$34:$A$73,0))))</f>
        <v/>
      </c>
      <c r="HN115" s="10" t="s">
        <v>40</v>
      </c>
      <c r="HO115" s="7"/>
      <c r="HP115" s="7"/>
      <c r="HQ115" s="31" t="str">
        <f>IF(HP115/(INDEX('Standards for Conversions'!$H$34:$H$73,MATCH(HO$3,'Standards for Conversions'!$A$34:$A$73,0)))=0,"",HP115/(INDEX('Standards for Conversions'!$H$34:$H$73,MATCH(HO$3,'Standards for Conversions'!$A$34:$A$73,0))))</f>
        <v/>
      </c>
      <c r="HR115" s="33" t="s">
        <v>40</v>
      </c>
      <c r="HU115" s="31" t="str">
        <f>IF(HT115/(INDEX('Standards for Conversions'!$H$47:$H$73,MATCH(HS$3,'Standards for Conversions'!$A$47:$A$73,0)))=0,"",HT115/(INDEX('Standards for Conversions'!$H$47:$H$73,MATCH(HS$3,'Standards for Conversions'!$A$47:$A$73,0))))</f>
        <v/>
      </c>
      <c r="HV115" s="33" t="s">
        <v>40</v>
      </c>
      <c r="HY115" s="31" t="str">
        <f>IF(HX115/(INDEX('Standards for Conversions'!$H$47:$H$73,MATCH(HW$3,'Standards for Conversions'!$A$47:$A$73,0)))=0,"",HX115/(INDEX('Standards for Conversions'!$H$47:$H$73,MATCH(HW$3,'Standards for Conversions'!$A$47:$A$73,0))))</f>
        <v/>
      </c>
      <c r="HZ115" s="33"/>
      <c r="IA115" s="33"/>
      <c r="IB115" s="31" t="str">
        <f>IF(IA115/(INDEX('Standards for Conversions'!$H$47:$H$73,MATCH(HZ$3,'Standards for Conversions'!$A$47:$A$73,0)))=0,"",IA115/(INDEX('Standards for Conversions'!$H$47:$H$73,MATCH(HZ$3,'Standards for Conversions'!$A$47:$A$73,0))))</f>
        <v/>
      </c>
      <c r="IC115" s="33" t="s">
        <v>40</v>
      </c>
      <c r="ID115" s="29">
        <v>10</v>
      </c>
      <c r="IE115" s="29">
        <v>100</v>
      </c>
      <c r="IF115" s="31">
        <f>IF(IE115/(INDEX('Standards for Conversions'!$H$47:$H$73,MATCH(ID$3,'Standards for Conversions'!$A$47:$A$73,0)))=0,"",IE115/(INDEX('Standards for Conversions'!$H$47:$H$73,MATCH(ID$3,'Standards for Conversions'!$A$47:$A$73,0))))</f>
        <v>14.524541221285595</v>
      </c>
      <c r="IG115" s="33" t="s">
        <v>40</v>
      </c>
      <c r="IJ115" s="31" t="str">
        <f>IF(II115/(INDEX('Standards for Conversions'!$H$47:$H$73,MATCH(IH$3,'Standards for Conversions'!$A$47:$A$73,0)))=0,"",II115/(INDEX('Standards for Conversions'!$H$47:$H$73,MATCH(IH$3,'Standards for Conversions'!$A$47:$A$73,0))))</f>
        <v/>
      </c>
      <c r="IK115" s="33" t="s">
        <v>40</v>
      </c>
      <c r="IN115" s="31" t="str">
        <f>IF(IM115/(INDEX('Standards for Conversions'!$H$47:$H$73,MATCH(IL$3,'Standards for Conversions'!$A$47:$A$73,0)))=0,"",IM115/(INDEX('Standards for Conversions'!$H$47:$H$73,MATCH(IL$3,'Standards for Conversions'!$A$47:$A$73,0))))</f>
        <v/>
      </c>
      <c r="IO115" s="33" t="s">
        <v>40</v>
      </c>
      <c r="IR115" s="31" t="str">
        <f>IF(IQ115/(INDEX('Standards for Conversions'!$H$47:$H$73,MATCH(IP$3,'Standards for Conversions'!$A$47:$A$73,0)))=0,"",IQ115/(INDEX('Standards for Conversions'!$H$47:$H$73,MATCH(IP$3,'Standards for Conversions'!$A$47:$A$73,0))))</f>
        <v/>
      </c>
      <c r="IS115" s="33" t="s">
        <v>40</v>
      </c>
      <c r="IT115" s="29">
        <v>5</v>
      </c>
      <c r="IU115" s="29">
        <v>243</v>
      </c>
      <c r="IV115" s="31">
        <f>IF(IU115/(INDEX('Standards for Conversions'!$H$47:$H$73,MATCH(IT$3,'Standards for Conversions'!$A$47:$A$73,0)))=0,"",IU115/(INDEX('Standards for Conversions'!$H$47:$H$73,MATCH(IT$3,'Standards for Conversions'!$A$47:$A$73,0))))</f>
        <v>35.140285451247067</v>
      </c>
      <c r="IW115" s="33" t="s">
        <v>40</v>
      </c>
      <c r="IZ115" s="31" t="str">
        <f>IF(IY115/(INDEX('Standards for Conversions'!$H$47:$H$73,MATCH(IX$3,'Standards for Conversions'!$A$47:$A$73,0)))=0,"",IY115/(INDEX('Standards for Conversions'!$H$47:$H$73,MATCH(IX$3,'Standards for Conversions'!$A$47:$A$73,0))))</f>
        <v/>
      </c>
      <c r="JA115" s="33" t="s">
        <v>40</v>
      </c>
      <c r="JD115" s="31" t="str">
        <f>IF(JC115/(INDEX('Standards for Conversions'!$H$47:$H$73,MATCH(JB$3,'Standards for Conversions'!$A$47:$A$73,0)))=0,"",JC115/(INDEX('Standards for Conversions'!$H$47:$H$73,MATCH(JB$3,'Standards for Conversions'!$A$47:$A$73,0))))</f>
        <v/>
      </c>
      <c r="JE115" s="33" t="s">
        <v>40</v>
      </c>
      <c r="JH115" s="31" t="str">
        <f>IF(JG115/(INDEX('Standards for Conversions'!$H$47:$H$73,MATCH(JF$3,'Standards for Conversions'!$A$47:$A$73,0)))=0,"",JG115/(INDEX('Standards for Conversions'!$H$47:$H$73,MATCH(JF$3,'Standards for Conversions'!$A$47:$A$73,0))))</f>
        <v/>
      </c>
      <c r="JI115" s="48" t="s">
        <v>40</v>
      </c>
      <c r="JJ115" s="29">
        <v>3</v>
      </c>
      <c r="JK115" s="29">
        <v>150</v>
      </c>
      <c r="JL115" s="31">
        <f>IF(JK115/(INDEX('Standards for Conversions'!$H$47:$H$73,MATCH(JJ$3,'Standards for Conversions'!$A$47:$A$73,0)))=0,"",JK115/(INDEX('Standards for Conversions'!$H$47:$H$73,MATCH(JJ$3,'Standards for Conversions'!$A$47:$A$73,0))))</f>
        <v>24.264029503780304</v>
      </c>
      <c r="JM115" s="33" t="s">
        <v>40</v>
      </c>
      <c r="JP115" s="31" t="str">
        <f>IF(JO115/(INDEX('Standards for Conversions'!$H$47:$H$73,MATCH(JN$3,'Standards for Conversions'!$A$47:$A$73,0)))=0,"",JO115/(INDEX('Standards for Conversions'!$H$47:$H$73,MATCH(JN$3,'Standards for Conversions'!$A$47:$A$73,0))))</f>
        <v/>
      </c>
      <c r="JQ115" s="33" t="s">
        <v>40</v>
      </c>
      <c r="JT115" s="31" t="str">
        <f>IF(JS115/(INDEX('Standards for Conversions'!$H$47:$H$73,MATCH(JR$3,'Standards for Conversions'!$A$47:$A$73,0)))=0,"",JS115/(INDEX('Standards for Conversions'!$H$47:$H$73,MATCH(JR$3,'Standards for Conversions'!$A$47:$A$73,0))))</f>
        <v/>
      </c>
      <c r="JU115" s="33" t="s">
        <v>40</v>
      </c>
      <c r="JX115" s="31" t="str">
        <f>IF(JW115/(INDEX('Standards for Conversions'!$H$47:$H$73,MATCH(JV$3,'Standards for Conversions'!$A$47:$A$73,0)))=0,"",JW115/(INDEX('Standards for Conversions'!$H$47:$H$73,MATCH(JV$3,'Standards for Conversions'!$A$47:$A$73,0))))</f>
        <v/>
      </c>
      <c r="JY115" s="33" t="s">
        <v>40</v>
      </c>
      <c r="JZ115" s="29">
        <v>5</v>
      </c>
      <c r="KA115" s="29">
        <v>200</v>
      </c>
      <c r="KB115" s="31">
        <f>IF(KA115/(INDEX('Standards for Conversions'!$H$47:$H$73,MATCH(JZ$3,'Standards for Conversions'!$A$47:$A$73,0)))=0,"",KA115/(INDEX('Standards for Conversions'!$H$47:$H$73,MATCH(JZ$3,'Standards for Conversions'!$A$47:$A$73,0))))</f>
        <v>30.531178485559511</v>
      </c>
      <c r="KC115" s="33" t="s">
        <v>40</v>
      </c>
      <c r="KF115" s="31" t="str">
        <f>IF(KE115/(INDEX('Standards for Conversions'!$H$47:$H$73,MATCH(KD$3,'Standards for Conversions'!$A$47:$A$73,0)))=0,"",KE115/(INDEX('Standards for Conversions'!$H$47:$H$73,MATCH(KD$3,'Standards for Conversions'!$A$47:$A$73,0))))</f>
        <v/>
      </c>
      <c r="KG115" s="33" t="s">
        <v>40</v>
      </c>
      <c r="KJ115" s="31" t="str">
        <f>IF(KI115/(INDEX('Standards for Conversions'!$H$47:$H$73,MATCH(KH$3,'Standards for Conversions'!$A$47:$A$73,0)))=0,"",KI115/(INDEX('Standards for Conversions'!$H$47:$H$73,MATCH(KH$3,'Standards for Conversions'!$A$47:$A$73,0))))</f>
        <v/>
      </c>
      <c r="KK115" s="33" t="s">
        <v>40</v>
      </c>
      <c r="KN115" s="31" t="str">
        <f>IF(KM115/(INDEX('Standards for Conversions'!$H$47:$H$73,MATCH(KL$3,'Standards for Conversions'!$A$47:$A$73,0)))=0,"",KM115/(INDEX('Standards for Conversions'!$H$47:$H$73,MATCH(KL$3,'Standards for Conversions'!$A$47:$A$73,0))))</f>
        <v/>
      </c>
      <c r="KO115" s="33" t="s">
        <v>40</v>
      </c>
      <c r="KP115" s="29">
        <v>7</v>
      </c>
      <c r="KQ115" s="29">
        <v>250</v>
      </c>
      <c r="KR115" s="31">
        <f>IF(KQ115/(INDEX('Standards for Conversions'!$H$47:$H$73,MATCH(KP$3,'Standards for Conversions'!$A$47:$A$73,0)))=0,"",KQ115/(INDEX('Standards for Conversions'!$H$47:$H$73,MATCH(KP$3,'Standards for Conversions'!$A$47:$A$73,0))))</f>
        <v>33.664752976449115</v>
      </c>
      <c r="KS115" s="33" t="s">
        <v>40</v>
      </c>
      <c r="KV115" s="31" t="str">
        <f>IF(KU115/(INDEX('Standards for Conversions'!$H$47:$H$73,MATCH(KT$3,'Standards for Conversions'!$A$47:$A$73,0)))=0,"",KU115/(INDEX('Standards for Conversions'!$H$47:$H$73,MATCH(KT$3,'Standards for Conversions'!$A$47:$A$73,0))))</f>
        <v/>
      </c>
      <c r="KW115" s="33" t="s">
        <v>40</v>
      </c>
      <c r="KZ115" s="31" t="str">
        <f>IF(KY115/(INDEX('Standards for Conversions'!$H$47:$H$73,MATCH(KX$3,'Standards for Conversions'!$A$47:$A$73,0)))=0,"",KY115/(INDEX('Standards for Conversions'!$H$47:$H$73,MATCH(KX$3,'Standards for Conversions'!$A$47:$A$73,0))))</f>
        <v/>
      </c>
      <c r="LA115" s="33" t="s">
        <v>40</v>
      </c>
      <c r="LD115" s="31" t="str">
        <f>IF(LC115/(INDEX('Standards for Conversions'!$H$47:$H$73,MATCH(LB$3,'Standards for Conversions'!$A$47:$A$73,0)))=0,"",LC115/(INDEX('Standards for Conversions'!$H$47:$H$73,MATCH(LB$3,'Standards for Conversions'!$A$47:$A$73,0))))</f>
        <v/>
      </c>
      <c r="LE115" s="48" t="s">
        <v>40</v>
      </c>
      <c r="LF115" s="29">
        <v>4</v>
      </c>
      <c r="LG115" s="29">
        <v>160</v>
      </c>
      <c r="LH115" s="31">
        <f>IF(LG115/(INDEX('Standards for Conversions'!$H$47:$H$73,MATCH(LF$3,'Standards for Conversions'!$A$47:$A$73,0)))=0,"",LG115/(INDEX('Standards for Conversions'!$H$47:$H$73,MATCH(LF$3,'Standards for Conversions'!$A$47:$A$73,0))))</f>
        <v>19.45865067639987</v>
      </c>
      <c r="LL115" s="31" t="str">
        <f>IF(LK115/(INDEX('Standards for Conversions'!$H$47:$H$73,MATCH(LJ$3,'Standards for Conversions'!$A$47:$A$73,0)))=0,"",LK115/(INDEX('Standards for Conversions'!$H$47:$H$73,MATCH(LJ$3,'Standards for Conversions'!$A$47:$A$73,0))))</f>
        <v/>
      </c>
      <c r="LO115" s="31" t="str">
        <f>IF(LN115/(INDEX('Standards for Conversions'!$H$47:$H$73,MATCH(LM$3,'Standards for Conversions'!$A$47:$A$73,0)))=0,"",LN115/(INDEX('Standards for Conversions'!$H$47:$H$73,MATCH(LM$3,'Standards for Conversions'!$A$47:$A$73,0))))</f>
        <v/>
      </c>
      <c r="LR115" s="31" t="str">
        <f>IF(LQ115/(INDEX('Standards for Conversions'!$H$47:$H$73,MATCH(LP$3,'Standards for Conversions'!$A$47:$A$73,0)))=0,"",LQ115/(INDEX('Standards for Conversions'!$H$47:$H$73,MATCH(LP$3,'Standards for Conversions'!$A$47:$A$73,0))))</f>
        <v/>
      </c>
      <c r="LV115" s="31" t="str">
        <f>IF(LU115/(INDEX('Standards for Conversions'!$H$47:$H$73,MATCH(LT$3,'Standards for Conversions'!$A$47:$A$73,0)))=0,"",LU115/(INDEX('Standards for Conversions'!$H$47:$H$73,MATCH(LT$3,'Standards for Conversions'!$A$47:$A$73,0))))</f>
        <v/>
      </c>
      <c r="LY115" s="31" t="str">
        <f>IF(LX115/(INDEX('Standards for Conversions'!$H$47:$H$73,MATCH(LW$3,'Standards for Conversions'!$A$47:$A$73,0)))=0,"",LX115/(INDEX('Standards for Conversions'!$H$47:$H$73,MATCH(LW$3,'Standards for Conversions'!$A$47:$A$73,0))))</f>
        <v/>
      </c>
      <c r="MB115" s="31" t="str">
        <f>IF(MA115/(INDEX('Standards for Conversions'!$H$47:$H$73,MATCH(LZ$3,'Standards for Conversions'!$A$47:$A$73,0)))=0,"",MA115/(INDEX('Standards for Conversions'!$H$47:$H$73,MATCH(LZ$3,'Standards for Conversions'!$A$47:$A$73,0))))</f>
        <v/>
      </c>
      <c r="ME115" s="31" t="str">
        <f>IF(MD115/(INDEX('Standards for Conversions'!$H$47:$H$73,MATCH(MC$3,'Standards for Conversions'!$A$47:$A$73,0)))=0,"",MD115/(INDEX('Standards for Conversions'!$H$47:$H$73,MATCH(MC$3,'Standards for Conversions'!$A$47:$A$73,0))))</f>
        <v/>
      </c>
      <c r="MH115" s="31" t="str">
        <f>IF(MG115/(INDEX('Standards for Conversions'!$H$47:$H$73,MATCH(MF$3,'Standards for Conversions'!$A$47:$A$73,0)))=0,"",MG115/(INDEX('Standards for Conversions'!$H$47:$H$73,MATCH(MF$3,'Standards for Conversions'!$A$47:$A$73,0))))</f>
        <v/>
      </c>
      <c r="MK115" s="31" t="str">
        <f>IF(MJ115/(INDEX('Standards for Conversions'!$H$47:$H$73,MATCH(MI$3,'Standards for Conversions'!$A$47:$A$73,0)))=0,"",MJ115/(INDEX('Standards for Conversions'!$H$47:$H$73,MATCH(MI$3,'Standards for Conversions'!$A$47:$A$73,0))))</f>
        <v/>
      </c>
      <c r="MN115" s="31" t="str">
        <f>IF(MM115/(INDEX('Standards for Conversions'!$H$47:$H$73,MATCH(ML$3,'Standards for Conversions'!$A$47:$A$73,0)))=0,"",MM115/(INDEX('Standards for Conversions'!$H$47:$H$73,MATCH(ML$3,'Standards for Conversions'!$A$47:$A$73,0))))</f>
        <v/>
      </c>
      <c r="MR115" s="31" t="str">
        <f>IF(MQ115/(INDEX('Standards for Conversions'!$H$47:$H$73,MATCH(MP$3,'Standards for Conversions'!$A$47:$A$73,0)))=0,"",MQ115/(INDEX('Standards for Conversions'!$H$47:$H$73,MATCH(MP$3,'Standards for Conversions'!$A$47:$A$73,0))))</f>
        <v/>
      </c>
    </row>
    <row r="116" spans="1:356" hidden="1" x14ac:dyDescent="0.3">
      <c r="A116" s="103" t="s">
        <v>281</v>
      </c>
      <c r="B116" s="10" t="s">
        <v>40</v>
      </c>
      <c r="C116" s="7"/>
      <c r="D116" s="7"/>
      <c r="E116" s="31" t="str">
        <f>IF(D116/(INDEX('Standards for Conversions'!$H$34:$H$73,MATCH(C$3,'Standards for Conversions'!$A$34:$A$73,0)))=0,"",D116/(INDEX('Standards for Conversions'!$H$34:$H$73,MATCH(C$3,'Standards for Conversions'!$A$34:$A$73,0))))</f>
        <v/>
      </c>
      <c r="F116" s="10" t="s">
        <v>40</v>
      </c>
      <c r="G116" s="7"/>
      <c r="H116" s="7"/>
      <c r="I116" s="31" t="str">
        <f>IF(H116/(INDEX('Standards for Conversions'!$H$34:$H$73,MATCH(G$3,'Standards for Conversions'!$A$34:$A$73,0)))=0,"",H116/(INDEX('Standards for Conversions'!$H$34:$H$73,MATCH(G$3,'Standards for Conversions'!$A$34:$A$73,0))))</f>
        <v/>
      </c>
      <c r="J116" s="10" t="s">
        <v>40</v>
      </c>
      <c r="K116" s="9"/>
      <c r="L116" s="9"/>
      <c r="M116" s="31" t="str">
        <f>IF(L116/(INDEX('Standards for Conversions'!$H$34:$H$73,MATCH(K$3,'Standards for Conversions'!$A$34:$A$73,0)))=0,"",L116/(INDEX('Standards for Conversions'!$H$34:$H$73,MATCH(K$3,'Standards for Conversions'!$A$34:$A$73,0))))</f>
        <v/>
      </c>
      <c r="N116" s="10" t="s">
        <v>40</v>
      </c>
      <c r="O116" s="7"/>
      <c r="P116" s="7"/>
      <c r="Q116" s="31" t="str">
        <f>IF(P116/(INDEX('Standards for Conversions'!$H$34:$H$73,MATCH(O$3,'Standards for Conversions'!$A$34:$A$73,0)))=0,"",P116/(INDEX('Standards for Conversions'!$H$34:$H$73,MATCH(O$3,'Standards for Conversions'!$A$34:$A$73,0))))</f>
        <v/>
      </c>
      <c r="R116" s="10" t="s">
        <v>40</v>
      </c>
      <c r="S116" s="7"/>
      <c r="T116" s="7"/>
      <c r="U116" s="31" t="str">
        <f>IF(T116/(INDEX('Standards for Conversions'!$H$34:$H$73,MATCH(S$3,'Standards for Conversions'!$A$34:$A$73,0)))=0,"",T116/(INDEX('Standards for Conversions'!$H$34:$H$73,MATCH(S$3,'Standards for Conversions'!$A$34:$A$73,0))))</f>
        <v/>
      </c>
      <c r="V116" s="10" t="s">
        <v>40</v>
      </c>
      <c r="W116" s="7"/>
      <c r="X116" s="7"/>
      <c r="Y116" s="31" t="str">
        <f>IF(X116/(INDEX('Standards for Conversions'!$H$34:$H$73,MATCH(W$3,'Standards for Conversions'!$A$34:$A$73,0)))=0,"",X116/(INDEX('Standards for Conversions'!$H$34:$H$73,MATCH(W$3,'Standards for Conversions'!$A$34:$A$73,0))))</f>
        <v/>
      </c>
      <c r="Z116" s="10" t="s">
        <v>40</v>
      </c>
      <c r="AA116" s="9"/>
      <c r="AB116" s="9"/>
      <c r="AC116" s="31" t="str">
        <f>IF(AB116/(INDEX('Standards for Conversions'!$H$34:$H$73,MATCH(AA$3,'Standards for Conversions'!$A$34:$A$73,0)))=0,"",AB116/(INDEX('Standards for Conversions'!$H$34:$H$73,MATCH(AA$3,'Standards for Conversions'!$A$34:$A$73,0))))</f>
        <v/>
      </c>
      <c r="AD116" s="10" t="s">
        <v>40</v>
      </c>
      <c r="AE116" s="7"/>
      <c r="AF116" s="7"/>
      <c r="AG116" s="31" t="str">
        <f>IF(AF116/(INDEX('Standards for Conversions'!$H$34:$H$73,MATCH(AE$3,'Standards for Conversions'!$A$34:$A$73,0)))=0,"",AF116/(INDEX('Standards for Conversions'!$H$34:$H$73,MATCH(AE$3,'Standards for Conversions'!$A$34:$A$73,0))))</f>
        <v/>
      </c>
      <c r="AH116" s="10" t="s">
        <v>40</v>
      </c>
      <c r="AI116" s="7"/>
      <c r="AJ116" s="7"/>
      <c r="AK116" s="31" t="str">
        <f>IF(AJ116/(INDEX('Standards for Conversions'!$H$34:$H$73,MATCH(AI$3,'Standards for Conversions'!$A$34:$A$73,0)))=0,"",AJ116/(INDEX('Standards for Conversions'!$H$34:$H$73,MATCH(AI$3,'Standards for Conversions'!$A$34:$A$73,0))))</f>
        <v/>
      </c>
      <c r="AL116" s="10" t="s">
        <v>40</v>
      </c>
      <c r="AM116" s="7"/>
      <c r="AN116" s="7"/>
      <c r="AO116" s="31" t="str">
        <f>IF(AN116/(INDEX('Standards for Conversions'!$H$34:$H$73,MATCH(AM$3,'Standards for Conversions'!$A$34:$A$73,0)))=0,"",AN116/(INDEX('Standards for Conversions'!$H$34:$H$73,MATCH(AM$3,'Standards for Conversions'!$A$34:$A$73,0))))</f>
        <v/>
      </c>
      <c r="AP116" s="10" t="s">
        <v>40</v>
      </c>
      <c r="AQ116" s="9"/>
      <c r="AR116" s="9"/>
      <c r="AS116" s="31" t="str">
        <f>IF(AR116/(INDEX('Standards for Conversions'!$H$34:$H$73,MATCH(AQ$3,'Standards for Conversions'!$A$34:$A$73,0)))=0,"",AR116/(INDEX('Standards for Conversions'!$H$34:$H$73,MATCH(AQ$3,'Standards for Conversions'!$A$34:$A$73,0))))</f>
        <v/>
      </c>
      <c r="AT116" s="10" t="s">
        <v>40</v>
      </c>
      <c r="AU116" s="7"/>
      <c r="AV116" s="7"/>
      <c r="AW116" s="31" t="str">
        <f>IF(AV116/(INDEX('Standards for Conversions'!$H$34:$H$73,MATCH(AU$3,'Standards for Conversions'!$A$34:$A$73,0)))=0,"",AV116/(INDEX('Standards for Conversions'!$H$34:$H$73,MATCH(AU$3,'Standards for Conversions'!$A$34:$A$73,0))))</f>
        <v/>
      </c>
      <c r="AX116" s="10" t="s">
        <v>40</v>
      </c>
      <c r="AY116" s="7"/>
      <c r="AZ116" s="7"/>
      <c r="BA116" s="31" t="str">
        <f>IF(AZ116/(INDEX('Standards for Conversions'!$H$34:$H$73,MATCH(AY$3,'Standards for Conversions'!$A$34:$A$73,0)))=0,"",AZ116/(INDEX('Standards for Conversions'!$H$34:$H$73,MATCH(AY$3,'Standards for Conversions'!$A$34:$A$73,0))))</f>
        <v/>
      </c>
      <c r="BB116" s="10" t="s">
        <v>40</v>
      </c>
      <c r="BC116" s="7"/>
      <c r="BD116" s="7"/>
      <c r="BE116" s="31" t="str">
        <f>IF(BD116/(INDEX('Standards for Conversions'!$H$34:$H$73,MATCH(BC$3,'Standards for Conversions'!$A$34:$A$73,0)))=0,"",BD116/(INDEX('Standards for Conversions'!$H$34:$H$73,MATCH(BC$3,'Standards for Conversions'!$A$34:$A$73,0))))</f>
        <v/>
      </c>
      <c r="BF116" s="10" t="s">
        <v>40</v>
      </c>
      <c r="BG116" s="9"/>
      <c r="BH116" s="9"/>
      <c r="BI116" s="31" t="str">
        <f>IF(BH116/(INDEX('Standards for Conversions'!$H$34:$H$73,MATCH(BG$3,'Standards for Conversions'!$A$34:$A$73,0)))=0,"",BH116/(INDEX('Standards for Conversions'!$H$34:$H$73,MATCH(BG$3,'Standards for Conversions'!$A$34:$A$73,0))))</f>
        <v/>
      </c>
      <c r="BJ116" s="10" t="s">
        <v>40</v>
      </c>
      <c r="BK116" s="7"/>
      <c r="BL116" s="7"/>
      <c r="BM116" s="31" t="str">
        <f>IF(BL116/(INDEX('Standards for Conversions'!$H$34:$H$73,MATCH(BK$3,'Standards for Conversions'!$A$34:$A$73,0)))=0,"",BL116/(INDEX('Standards for Conversions'!$H$34:$H$73,MATCH(BK$3,'Standards for Conversions'!$A$34:$A$73,0))))</f>
        <v/>
      </c>
      <c r="BN116" s="10" t="s">
        <v>40</v>
      </c>
      <c r="BO116" s="7"/>
      <c r="BP116" s="7"/>
      <c r="BQ116" s="31" t="str">
        <f>IF(BP116/(INDEX('Standards for Conversions'!$H$34:$H$73,MATCH(BO$3,'Standards for Conversions'!$A$34:$A$73,0)))=0,"",BP116/(INDEX('Standards for Conversions'!$H$34:$H$73,MATCH(BO$3,'Standards for Conversions'!$A$34:$A$73,0))))</f>
        <v/>
      </c>
      <c r="BR116" s="10" t="s">
        <v>40</v>
      </c>
      <c r="BS116" s="7"/>
      <c r="BT116" s="7"/>
      <c r="BU116" s="31" t="str">
        <f>IF(BT116/(INDEX('Standards for Conversions'!$H$34:$H$73,MATCH(BS$3,'Standards for Conversions'!$A$34:$A$73,0)))=0,"",BT116/(INDEX('Standards for Conversions'!$H$34:$H$73,MATCH(BS$3,'Standards for Conversions'!$A$34:$A$73,0))))</f>
        <v/>
      </c>
      <c r="BV116" s="10" t="s">
        <v>40</v>
      </c>
      <c r="BW116" s="9"/>
      <c r="BX116" s="9"/>
      <c r="BY116" s="31" t="str">
        <f>IF(BX116/(INDEX('Standards for Conversions'!$H$34:$H$73,MATCH(BW$3,'Standards for Conversions'!$A$34:$A$73,0)))=0,"",BX116/(INDEX('Standards for Conversions'!$H$34:$H$73,MATCH(BW$3,'Standards for Conversions'!$A$34:$A$73,0))))</f>
        <v/>
      </c>
      <c r="BZ116" s="10" t="s">
        <v>40</v>
      </c>
      <c r="CA116" s="7"/>
      <c r="CB116" s="7"/>
      <c r="CC116" s="31" t="str">
        <f>IF(CB116/(INDEX('Standards for Conversions'!$H$34:$H$73,MATCH(CA$3,'Standards for Conversions'!$A$34:$A$73,0)))=0,"",CB116/(INDEX('Standards for Conversions'!$H$34:$H$73,MATCH(CA$3,'Standards for Conversions'!$A$34:$A$73,0))))</f>
        <v/>
      </c>
      <c r="CD116" s="10" t="s">
        <v>40</v>
      </c>
      <c r="CE116" s="7"/>
      <c r="CF116" s="7"/>
      <c r="CG116" s="31" t="str">
        <f>IF(CF116/(INDEX('Standards for Conversions'!$H$34:$H$73,MATCH(CE$3,'Standards for Conversions'!$A$34:$A$73,0)))=0,"",CF116/(INDEX('Standards for Conversions'!$H$34:$H$73,MATCH(CE$3,'Standards for Conversions'!$A$34:$A$73,0))))</f>
        <v/>
      </c>
      <c r="CH116" s="10" t="s">
        <v>40</v>
      </c>
      <c r="CI116" s="7"/>
      <c r="CJ116" s="7"/>
      <c r="CK116" s="31" t="str">
        <f>IF(CJ116/(INDEX('Standards for Conversions'!$H$34:$H$73,MATCH(CI$3,'Standards for Conversions'!$A$34:$A$73,0)))=0,"",CJ116/(INDEX('Standards for Conversions'!$H$34:$H$73,MATCH(CI$3,'Standards for Conversions'!$A$34:$A$73,0))))</f>
        <v/>
      </c>
      <c r="CL116" s="10" t="s">
        <v>40</v>
      </c>
      <c r="CM116" s="9"/>
      <c r="CN116" s="9"/>
      <c r="CO116" s="31" t="str">
        <f>IF(CN116/(INDEX('Standards for Conversions'!$H$34:$H$73,MATCH(CM$3,'Standards for Conversions'!$A$34:$A$73,0)))=0,"",CN116/(INDEX('Standards for Conversions'!$H$34:$H$73,MATCH(CM$3,'Standards for Conversions'!$A$34:$A$73,0))))</f>
        <v/>
      </c>
      <c r="CP116" s="10" t="s">
        <v>40</v>
      </c>
      <c r="CQ116" s="7"/>
      <c r="CR116" s="7"/>
      <c r="CS116" s="31" t="str">
        <f>IF(CR116/(INDEX('Standards for Conversions'!$H$34:$H$73,MATCH(CQ$3,'Standards for Conversions'!$A$34:$A$73,0)))=0,"",CR116/(INDEX('Standards for Conversions'!$H$34:$H$73,MATCH(CQ$3,'Standards for Conversions'!$A$34:$A$73,0))))</f>
        <v/>
      </c>
      <c r="CT116" s="10" t="s">
        <v>40</v>
      </c>
      <c r="CU116" s="7"/>
      <c r="CV116" s="7"/>
      <c r="CW116" s="31" t="str">
        <f>IF(CV116/(INDEX('Standards for Conversions'!$H$34:$H$73,MATCH(CU$3,'Standards for Conversions'!$A$34:$A$73,0)))=0,"",CV116/(INDEX('Standards for Conversions'!$H$34:$H$73,MATCH(CU$3,'Standards for Conversions'!$A$34:$A$73,0))))</f>
        <v/>
      </c>
      <c r="CX116" s="10" t="s">
        <v>40</v>
      </c>
      <c r="CY116" s="7"/>
      <c r="CZ116" s="7"/>
      <c r="DA116" s="31" t="str">
        <f>IF(CZ116/(INDEX('Standards for Conversions'!$H$34:$H$73,MATCH(CY$3,'Standards for Conversions'!$A$34:$A$73,0)))=0,"",CZ116/(INDEX('Standards for Conversions'!$H$34:$H$73,MATCH(CY$3,'Standards for Conversions'!$A$34:$A$73,0))))</f>
        <v/>
      </c>
      <c r="DB116" s="10" t="s">
        <v>40</v>
      </c>
      <c r="DC116" s="9"/>
      <c r="DD116" s="9"/>
      <c r="DE116" s="31" t="str">
        <f>IF(DD116/(INDEX('Standards for Conversions'!$H$34:$H$73,MATCH(DC$3,'Standards for Conversions'!$A$34:$A$73,0)))=0,"",DD116/(INDEX('Standards for Conversions'!$H$34:$H$73,MATCH(DC$3,'Standards for Conversions'!$A$34:$A$73,0))))</f>
        <v/>
      </c>
      <c r="DF116" s="10" t="s">
        <v>40</v>
      </c>
      <c r="DG116" s="7"/>
      <c r="DH116" s="7"/>
      <c r="DI116" s="31" t="str">
        <f>IF(DH116/(INDEX('Standards for Conversions'!$H$34:$H$73,MATCH(DG$3,'Standards for Conversions'!$A$34:$A$73,0)))=0,"",DH116/(INDEX('Standards for Conversions'!$H$34:$H$73,MATCH(DG$3,'Standards for Conversions'!$A$34:$A$73,0))))</f>
        <v/>
      </c>
      <c r="DJ116" s="10" t="s">
        <v>40</v>
      </c>
      <c r="DK116" s="7"/>
      <c r="DL116" s="7"/>
      <c r="DM116" s="31" t="str">
        <f>IF(DL116/(INDEX('Standards for Conversions'!$H$34:$H$73,MATCH(DK$3,'Standards for Conversions'!$A$34:$A$73,0)))=0,"",DL116/(INDEX('Standards for Conversions'!$H$34:$H$73,MATCH(DK$3,'Standards for Conversions'!$A$34:$A$73,0))))</f>
        <v/>
      </c>
      <c r="DN116" s="10" t="s">
        <v>40</v>
      </c>
      <c r="DO116" s="7"/>
      <c r="DP116" s="7"/>
      <c r="DQ116" s="31" t="str">
        <f>IF(DP116/(INDEX('Standards for Conversions'!$H$34:$H$73,MATCH(DO$3,'Standards for Conversions'!$A$34:$A$73,0)))=0,"",DP116/(INDEX('Standards for Conversions'!$H$34:$H$73,MATCH(DO$3,'Standards for Conversions'!$A$34:$A$73,0))))</f>
        <v/>
      </c>
      <c r="DR116" s="10" t="s">
        <v>40</v>
      </c>
      <c r="DS116" s="9"/>
      <c r="DT116" s="9"/>
      <c r="DU116" s="31" t="str">
        <f>IF(DT116/(INDEX('Standards for Conversions'!$H$34:$H$73,MATCH(DS$3,'Standards for Conversions'!$A$34:$A$73,0)))=0,"",DT116/(INDEX('Standards for Conversions'!$H$34:$H$73,MATCH(DS$3,'Standards for Conversions'!$A$34:$A$73,0))))</f>
        <v/>
      </c>
      <c r="DV116" s="10" t="s">
        <v>40</v>
      </c>
      <c r="DW116" s="7"/>
      <c r="DX116" s="7"/>
      <c r="DY116" s="31" t="str">
        <f>IF(DX116/(INDEX('Standards for Conversions'!$H$34:$H$73,MATCH(DW$3,'Standards for Conversions'!$A$34:$A$73,0)))=0,"",DX116/(INDEX('Standards for Conversions'!$H$34:$H$73,MATCH(DW$3,'Standards for Conversions'!$A$34:$A$73,0))))</f>
        <v/>
      </c>
      <c r="DZ116" s="10" t="s">
        <v>40</v>
      </c>
      <c r="EA116" s="7"/>
      <c r="EB116" s="7"/>
      <c r="EC116" s="31" t="str">
        <f>IF(EB116/(INDEX('Standards for Conversions'!$H$34:$H$73,MATCH(EA$3,'Standards for Conversions'!$A$34:$A$73,0)))=0,"",EB116/(INDEX('Standards for Conversions'!$H$34:$H$73,MATCH(EA$3,'Standards for Conversions'!$A$34:$A$73,0))))</f>
        <v/>
      </c>
      <c r="ED116" s="10" t="s">
        <v>40</v>
      </c>
      <c r="EE116" s="7"/>
      <c r="EF116" s="7"/>
      <c r="EG116" s="31" t="str">
        <f>IF(EF116/(INDEX('Standards for Conversions'!$H$34:$H$73,MATCH(EE$3,'Standards for Conversions'!$A$34:$A$73,0)))=0,"",EF116/(INDEX('Standards for Conversions'!$H$34:$H$73,MATCH(EE$3,'Standards for Conversions'!$A$34:$A$73,0))))</f>
        <v/>
      </c>
      <c r="EH116" s="10" t="s">
        <v>40</v>
      </c>
      <c r="EI116" s="9"/>
      <c r="EJ116" s="9"/>
      <c r="EK116" s="31" t="str">
        <f>IF(EJ116/(INDEX('Standards for Conversions'!$H$34:$H$73,MATCH(EI$3,'Standards for Conversions'!$A$34:$A$73,0)))=0,"",EJ116/(INDEX('Standards for Conversions'!$H$34:$H$73,MATCH(EI$3,'Standards for Conversions'!$A$34:$A$73,0))))</f>
        <v/>
      </c>
      <c r="EL116" s="10" t="s">
        <v>40</v>
      </c>
      <c r="EM116" s="7"/>
      <c r="EN116" s="7"/>
      <c r="EO116" s="31" t="str">
        <f>IF(EN116/(INDEX('Standards for Conversions'!$H$34:$H$73,MATCH(EM$3,'Standards for Conversions'!$A$34:$A$73,0)))=0,"",EN116/(INDEX('Standards for Conversions'!$H$34:$H$73,MATCH(EM$3,'Standards for Conversions'!$A$34:$A$73,0))))</f>
        <v/>
      </c>
      <c r="EP116" s="10" t="s">
        <v>40</v>
      </c>
      <c r="EQ116" s="7"/>
      <c r="ER116" s="7"/>
      <c r="ES116" s="31" t="str">
        <f>IF(ER116/(INDEX('Standards for Conversions'!$H$34:$H$73,MATCH(EQ$3,'Standards for Conversions'!$A$34:$A$73,0)))=0,"",ER116/(INDEX('Standards for Conversions'!$H$34:$H$73,MATCH(EQ$3,'Standards for Conversions'!$A$34:$A$73,0))))</f>
        <v/>
      </c>
      <c r="ET116" s="10" t="s">
        <v>40</v>
      </c>
      <c r="EU116" s="7"/>
      <c r="EV116" s="7"/>
      <c r="EW116" s="31" t="str">
        <f>IF(EV116/(INDEX('Standards for Conversions'!$H$34:$H$73,MATCH(EU$3,'Standards for Conversions'!$A$34:$A$73,0)))=0,"",EV116/(INDEX('Standards for Conversions'!$H$34:$H$73,MATCH(EU$3,'Standards for Conversions'!$A$34:$A$73,0))))</f>
        <v/>
      </c>
      <c r="EX116" s="10" t="s">
        <v>40</v>
      </c>
      <c r="EY116" s="9"/>
      <c r="EZ116" s="9"/>
      <c r="FA116" s="31" t="str">
        <f>IF(EZ116/(INDEX('Standards for Conversions'!$H$34:$H$73,MATCH(EY$3,'Standards for Conversions'!$A$34:$A$73,0)))=0,"",EZ116/(INDEX('Standards for Conversions'!$H$34:$H$73,MATCH(EY$3,'Standards for Conversions'!$A$34:$A$73,0))))</f>
        <v/>
      </c>
      <c r="FB116" s="10" t="s">
        <v>40</v>
      </c>
      <c r="FC116" s="7"/>
      <c r="FD116" s="7"/>
      <c r="FE116" s="31" t="str">
        <f>IF(FD116/(INDEX('Standards for Conversions'!$H$34:$H$73,MATCH(FC$3,'Standards for Conversions'!$A$34:$A$73,0)))=0,"",FD116/(INDEX('Standards for Conversions'!$H$34:$H$73,MATCH(FC$3,'Standards for Conversions'!$A$34:$A$73,0))))</f>
        <v/>
      </c>
      <c r="FF116" s="10" t="s">
        <v>40</v>
      </c>
      <c r="FG116" s="7"/>
      <c r="FH116" s="7"/>
      <c r="FI116" s="31" t="str">
        <f>IF(FH116/(INDEX('Standards for Conversions'!$H$34:$H$73,MATCH(FG$3,'Standards for Conversions'!$A$34:$A$73,0)))=0,"",FH116/(INDEX('Standards for Conversions'!$H$34:$H$73,MATCH(FG$3,'Standards for Conversions'!$A$34:$A$73,0))))</f>
        <v/>
      </c>
      <c r="FJ116" s="10" t="s">
        <v>40</v>
      </c>
      <c r="FK116" s="7"/>
      <c r="FL116" s="7"/>
      <c r="FM116" s="31" t="str">
        <f>IF(FL116/(INDEX('Standards for Conversions'!$H$34:$H$73,MATCH(FK$3,'Standards for Conversions'!$A$34:$A$73,0)))=0,"",FL116/(INDEX('Standards for Conversions'!$H$34:$H$73,MATCH(FK$3,'Standards for Conversions'!$A$34:$A$73,0))))</f>
        <v/>
      </c>
      <c r="FN116" s="10" t="s">
        <v>40</v>
      </c>
      <c r="FO116" s="9"/>
      <c r="FP116" s="9"/>
      <c r="FQ116" s="31" t="str">
        <f>IF(FP116/(INDEX('Standards for Conversions'!$H$34:$H$73,MATCH(FO$3,'Standards for Conversions'!$A$34:$A$73,0)))=0,"",FP116/(INDEX('Standards for Conversions'!$H$34:$H$73,MATCH(FO$3,'Standards for Conversions'!$A$34:$A$73,0))))</f>
        <v/>
      </c>
      <c r="FR116" s="10" t="s">
        <v>40</v>
      </c>
      <c r="FS116" s="7"/>
      <c r="FT116" s="7"/>
      <c r="FU116" s="31" t="str">
        <f>IF(FT116/(INDEX('Standards for Conversions'!$H$34:$H$73,MATCH(FS$3,'Standards for Conversions'!$A$34:$A$73,0)))=0,"",FT116/(INDEX('Standards for Conversions'!$H$34:$H$73,MATCH(FS$3,'Standards for Conversions'!$A$34:$A$73,0))))</f>
        <v/>
      </c>
      <c r="FV116" s="10" t="s">
        <v>40</v>
      </c>
      <c r="FW116" s="7"/>
      <c r="FX116" s="7"/>
      <c r="FY116" s="31" t="str">
        <f>IF(FX116/(INDEX('Standards for Conversions'!$H$34:$H$73,MATCH(FW$3,'Standards for Conversions'!$A$34:$A$73,0)))=0,"",FX116/(INDEX('Standards for Conversions'!$H$34:$H$73,MATCH(FW$3,'Standards for Conversions'!$A$34:$A$73,0))))</f>
        <v/>
      </c>
      <c r="FZ116" s="10" t="s">
        <v>40</v>
      </c>
      <c r="GA116" s="7"/>
      <c r="GB116" s="7"/>
      <c r="GC116" s="31" t="str">
        <f>IF(GB116/(INDEX('Standards for Conversions'!$H$34:$H$73,MATCH(GA$3,'Standards for Conversions'!$A$34:$A$73,0)))=0,"",GB116/(INDEX('Standards for Conversions'!$H$34:$H$73,MATCH(GA$3,'Standards for Conversions'!$A$34:$A$73,0))))</f>
        <v/>
      </c>
      <c r="GD116" s="10" t="s">
        <v>40</v>
      </c>
      <c r="GE116" s="9"/>
      <c r="GF116" s="9"/>
      <c r="GG116" s="31" t="str">
        <f>IF(GF116/(INDEX('Standards for Conversions'!$H$34:$H$73,MATCH(GE$3,'Standards for Conversions'!$A$34:$A$73,0)))=0,"",GF116/(INDEX('Standards for Conversions'!$H$34:$H$73,MATCH(GE$3,'Standards for Conversions'!$A$34:$A$73,0))))</f>
        <v/>
      </c>
      <c r="GH116" s="10" t="s">
        <v>40</v>
      </c>
      <c r="GI116" s="7"/>
      <c r="GJ116" s="7"/>
      <c r="GK116" s="31" t="str">
        <f>IF(GJ116/(INDEX('Standards for Conversions'!$H$34:$H$73,MATCH(GI$3,'Standards for Conversions'!$A$34:$A$73,0)))=0,"",GJ116/(INDEX('Standards for Conversions'!$H$34:$H$73,MATCH(GI$3,'Standards for Conversions'!$A$34:$A$73,0))))</f>
        <v/>
      </c>
      <c r="GL116" s="10" t="s">
        <v>40</v>
      </c>
      <c r="GM116" s="7"/>
      <c r="GN116" s="7"/>
      <c r="GO116" s="31" t="str">
        <f>IF(GN116/(INDEX('Standards for Conversions'!$H$34:$H$73,MATCH(GM$3,'Standards for Conversions'!$A$34:$A$73,0)))=0,"",GN116/(INDEX('Standards for Conversions'!$H$34:$H$73,MATCH(GM$3,'Standards for Conversions'!$A$34:$A$73,0))))</f>
        <v/>
      </c>
      <c r="GP116" s="10" t="s">
        <v>40</v>
      </c>
      <c r="GQ116" s="7"/>
      <c r="GR116" s="7"/>
      <c r="GS116" s="31" t="str">
        <f>IF(GR116/(INDEX('Standards for Conversions'!$H$34:$H$73,MATCH(GQ$3,'Standards for Conversions'!$A$34:$A$73,0)))=0,"",GR116/(INDEX('Standards for Conversions'!$H$34:$H$73,MATCH(GQ$3,'Standards for Conversions'!$A$34:$A$73,0))))</f>
        <v/>
      </c>
      <c r="GT116" s="10" t="s">
        <v>40</v>
      </c>
      <c r="GU116" s="9"/>
      <c r="GV116" s="9"/>
      <c r="GW116" s="31" t="str">
        <f>IF(GV116/(INDEX('Standards for Conversions'!$H$34:$H$73,MATCH(GU$3,'Standards for Conversions'!$A$34:$A$73,0)))=0,"",GV116/(INDEX('Standards for Conversions'!$H$34:$H$73,MATCH(GU$3,'Standards for Conversions'!$A$34:$A$73,0))))</f>
        <v/>
      </c>
      <c r="GX116" s="10" t="s">
        <v>40</v>
      </c>
      <c r="GY116" s="7"/>
      <c r="GZ116" s="7"/>
      <c r="HA116" s="31" t="str">
        <f>IF(GZ116/(INDEX('Standards for Conversions'!$H$34:$H$73,MATCH(GY$3,'Standards for Conversions'!$A$34:$A$73,0)))=0,"",GZ116/(INDEX('Standards for Conversions'!$H$34:$H$73,MATCH(GY$3,'Standards for Conversions'!$A$34:$A$73,0))))</f>
        <v/>
      </c>
      <c r="HB116" s="10" t="s">
        <v>40</v>
      </c>
      <c r="HC116" s="7"/>
      <c r="HD116" s="7"/>
      <c r="HE116" s="31" t="str">
        <f>IF(HD116/(INDEX('Standards for Conversions'!$H$34:$H$73,MATCH(HC$3,'Standards for Conversions'!$A$34:$A$73,0)))=0,"",HD116/(INDEX('Standards for Conversions'!$H$34:$H$73,MATCH(HC$3,'Standards for Conversions'!$A$34:$A$73,0))))</f>
        <v/>
      </c>
      <c r="HF116" s="10" t="s">
        <v>40</v>
      </c>
      <c r="HG116" s="7"/>
      <c r="HH116" s="7"/>
      <c r="HI116" s="31" t="str">
        <f>IF(HH116/(INDEX('Standards for Conversions'!$H$34:$H$73,MATCH(HG$3,'Standards for Conversions'!$A$34:$A$73,0)))=0,"",HH116/(INDEX('Standards for Conversions'!$H$34:$H$73,MATCH(HG$3,'Standards for Conversions'!$A$34:$A$73,0))))</f>
        <v/>
      </c>
      <c r="HJ116" s="10" t="s">
        <v>40</v>
      </c>
      <c r="HK116" s="9"/>
      <c r="HL116" s="9"/>
      <c r="HM116" s="31" t="str">
        <f>IF(HL116/(INDEX('Standards for Conversions'!$H$34:$H$73,MATCH(HK$3,'Standards for Conversions'!$A$34:$A$73,0)))=0,"",HL116/(INDEX('Standards for Conversions'!$H$34:$H$73,MATCH(HK$3,'Standards for Conversions'!$A$34:$A$73,0))))</f>
        <v/>
      </c>
      <c r="HN116" s="10" t="s">
        <v>40</v>
      </c>
      <c r="HO116" s="7"/>
      <c r="HP116" s="7"/>
      <c r="HQ116" s="31" t="str">
        <f>IF(HP116/(INDEX('Standards for Conversions'!$H$34:$H$73,MATCH(HO$3,'Standards for Conversions'!$A$34:$A$73,0)))=0,"",HP116/(INDEX('Standards for Conversions'!$H$34:$H$73,MATCH(HO$3,'Standards for Conversions'!$A$34:$A$73,0))))</f>
        <v/>
      </c>
      <c r="HR116" s="33" t="s">
        <v>40</v>
      </c>
      <c r="HU116" s="31" t="str">
        <f>IF(HT116/(INDEX('Standards for Conversions'!$H$47:$H$73,MATCH(HS$3,'Standards for Conversions'!$A$47:$A$73,0)))=0,"",HT116/(INDEX('Standards for Conversions'!$H$47:$H$73,MATCH(HS$3,'Standards for Conversions'!$A$47:$A$73,0))))</f>
        <v/>
      </c>
      <c r="HV116" s="33" t="s">
        <v>40</v>
      </c>
      <c r="HY116" s="31" t="str">
        <f>IF(HX116/(INDEX('Standards for Conversions'!$H$47:$H$73,MATCH(HW$3,'Standards for Conversions'!$A$47:$A$73,0)))=0,"",HX116/(INDEX('Standards for Conversions'!$H$47:$H$73,MATCH(HW$3,'Standards for Conversions'!$A$47:$A$73,0))))</f>
        <v/>
      </c>
      <c r="HZ116" s="33"/>
      <c r="IA116" s="33"/>
      <c r="IB116" s="31" t="str">
        <f>IF(IA116/(INDEX('Standards for Conversions'!$H$47:$H$73,MATCH(HZ$3,'Standards for Conversions'!$A$47:$A$73,0)))=0,"",IA116/(INDEX('Standards for Conversions'!$H$47:$H$73,MATCH(HZ$3,'Standards for Conversions'!$A$47:$A$73,0))))</f>
        <v/>
      </c>
      <c r="IC116" s="33" t="s">
        <v>40</v>
      </c>
      <c r="ID116" s="29">
        <v>3</v>
      </c>
      <c r="IE116" s="29">
        <v>80</v>
      </c>
      <c r="IF116" s="31">
        <f>IF(IE116/(INDEX('Standards for Conversions'!$H$47:$H$73,MATCH(ID$3,'Standards for Conversions'!$A$47:$A$73,0)))=0,"",IE116/(INDEX('Standards for Conversions'!$H$47:$H$73,MATCH(ID$3,'Standards for Conversions'!$A$47:$A$73,0))))</f>
        <v>11.619632977028477</v>
      </c>
      <c r="IG116" s="33" t="s">
        <v>40</v>
      </c>
      <c r="IJ116" s="31" t="str">
        <f>IF(II116/(INDEX('Standards for Conversions'!$H$47:$H$73,MATCH(IH$3,'Standards for Conversions'!$A$47:$A$73,0)))=0,"",II116/(INDEX('Standards for Conversions'!$H$47:$H$73,MATCH(IH$3,'Standards for Conversions'!$A$47:$A$73,0))))</f>
        <v/>
      </c>
      <c r="IK116" s="33" t="s">
        <v>40</v>
      </c>
      <c r="IN116" s="31" t="str">
        <f>IF(IM116/(INDEX('Standards for Conversions'!$H$47:$H$73,MATCH(IL$3,'Standards for Conversions'!$A$47:$A$73,0)))=0,"",IM116/(INDEX('Standards for Conversions'!$H$47:$H$73,MATCH(IL$3,'Standards for Conversions'!$A$47:$A$73,0))))</f>
        <v/>
      </c>
      <c r="IO116" s="33" t="s">
        <v>40</v>
      </c>
      <c r="IR116" s="31" t="str">
        <f>IF(IQ116/(INDEX('Standards for Conversions'!$H$47:$H$73,MATCH(IP$3,'Standards for Conversions'!$A$47:$A$73,0)))=0,"",IQ116/(INDEX('Standards for Conversions'!$H$47:$H$73,MATCH(IP$3,'Standards for Conversions'!$A$47:$A$73,0))))</f>
        <v/>
      </c>
      <c r="IS116" s="33" t="s">
        <v>40</v>
      </c>
      <c r="IT116" s="29">
        <v>2</v>
      </c>
      <c r="IU116" s="29">
        <v>9</v>
      </c>
      <c r="IV116" s="31">
        <f>IF(IU116/(INDEX('Standards for Conversions'!$H$47:$H$73,MATCH(IT$3,'Standards for Conversions'!$A$47:$A$73,0)))=0,"",IU116/(INDEX('Standards for Conversions'!$H$47:$H$73,MATCH(IT$3,'Standards for Conversions'!$A$47:$A$73,0))))</f>
        <v>1.3014920537498913</v>
      </c>
      <c r="IW116" s="33" t="s">
        <v>40</v>
      </c>
      <c r="IZ116" s="31" t="str">
        <f>IF(IY116/(INDEX('Standards for Conversions'!$H$47:$H$73,MATCH(IX$3,'Standards for Conversions'!$A$47:$A$73,0)))=0,"",IY116/(INDEX('Standards for Conversions'!$H$47:$H$73,MATCH(IX$3,'Standards for Conversions'!$A$47:$A$73,0))))</f>
        <v/>
      </c>
      <c r="JA116" s="33" t="s">
        <v>40</v>
      </c>
      <c r="JD116" s="31" t="str">
        <f>IF(JC116/(INDEX('Standards for Conversions'!$H$47:$H$73,MATCH(JB$3,'Standards for Conversions'!$A$47:$A$73,0)))=0,"",JC116/(INDEX('Standards for Conversions'!$H$47:$H$73,MATCH(JB$3,'Standards for Conversions'!$A$47:$A$73,0))))</f>
        <v/>
      </c>
      <c r="JE116" s="33" t="s">
        <v>40</v>
      </c>
      <c r="JH116" s="31" t="str">
        <f>IF(JG116/(INDEX('Standards for Conversions'!$H$47:$H$73,MATCH(JF$3,'Standards for Conversions'!$A$47:$A$73,0)))=0,"",JG116/(INDEX('Standards for Conversions'!$H$47:$H$73,MATCH(JF$3,'Standards for Conversions'!$A$47:$A$73,0))))</f>
        <v/>
      </c>
      <c r="JI116" s="48" t="s">
        <v>40</v>
      </c>
      <c r="JJ116" s="29">
        <v>3</v>
      </c>
      <c r="JK116" s="29">
        <v>15</v>
      </c>
      <c r="JL116" s="31">
        <f>IF(JK116/(INDEX('Standards for Conversions'!$H$47:$H$73,MATCH(JJ$3,'Standards for Conversions'!$A$47:$A$73,0)))=0,"",JK116/(INDEX('Standards for Conversions'!$H$47:$H$73,MATCH(JJ$3,'Standards for Conversions'!$A$47:$A$73,0))))</f>
        <v>2.4264029503780304</v>
      </c>
      <c r="JM116" s="33" t="s">
        <v>40</v>
      </c>
      <c r="JP116" s="31" t="str">
        <f>IF(JO116/(INDEX('Standards for Conversions'!$H$47:$H$73,MATCH(JN$3,'Standards for Conversions'!$A$47:$A$73,0)))=0,"",JO116/(INDEX('Standards for Conversions'!$H$47:$H$73,MATCH(JN$3,'Standards for Conversions'!$A$47:$A$73,0))))</f>
        <v/>
      </c>
      <c r="JQ116" s="33" t="s">
        <v>40</v>
      </c>
      <c r="JT116" s="31" t="str">
        <f>IF(JS116/(INDEX('Standards for Conversions'!$H$47:$H$73,MATCH(JR$3,'Standards for Conversions'!$A$47:$A$73,0)))=0,"",JS116/(INDEX('Standards for Conversions'!$H$47:$H$73,MATCH(JR$3,'Standards for Conversions'!$A$47:$A$73,0))))</f>
        <v/>
      </c>
      <c r="JU116" s="33" t="s">
        <v>40</v>
      </c>
      <c r="JX116" s="31" t="str">
        <f>IF(JW116/(INDEX('Standards for Conversions'!$H$47:$H$73,MATCH(JV$3,'Standards for Conversions'!$A$47:$A$73,0)))=0,"",JW116/(INDEX('Standards for Conversions'!$H$47:$H$73,MATCH(JV$3,'Standards for Conversions'!$A$47:$A$73,0))))</f>
        <v/>
      </c>
      <c r="JY116" s="33" t="s">
        <v>40</v>
      </c>
      <c r="JZ116" s="29">
        <v>3</v>
      </c>
      <c r="KA116" s="29">
        <v>100</v>
      </c>
      <c r="KB116" s="31">
        <f>IF(KA116/(INDEX('Standards for Conversions'!$H$47:$H$73,MATCH(JZ$3,'Standards for Conversions'!$A$47:$A$73,0)))=0,"",KA116/(INDEX('Standards for Conversions'!$H$47:$H$73,MATCH(JZ$3,'Standards for Conversions'!$A$47:$A$73,0))))</f>
        <v>15.265589242779756</v>
      </c>
      <c r="KC116" s="33" t="s">
        <v>40</v>
      </c>
      <c r="KF116" s="31" t="str">
        <f>IF(KE116/(INDEX('Standards for Conversions'!$H$47:$H$73,MATCH(KD$3,'Standards for Conversions'!$A$47:$A$73,0)))=0,"",KE116/(INDEX('Standards for Conversions'!$H$47:$H$73,MATCH(KD$3,'Standards for Conversions'!$A$47:$A$73,0))))</f>
        <v/>
      </c>
      <c r="KG116" s="33" t="s">
        <v>40</v>
      </c>
      <c r="KJ116" s="31" t="str">
        <f>IF(KI116/(INDEX('Standards for Conversions'!$H$47:$H$73,MATCH(KH$3,'Standards for Conversions'!$A$47:$A$73,0)))=0,"",KI116/(INDEX('Standards for Conversions'!$H$47:$H$73,MATCH(KH$3,'Standards for Conversions'!$A$47:$A$73,0))))</f>
        <v/>
      </c>
      <c r="KK116" s="33" t="s">
        <v>40</v>
      </c>
      <c r="KN116" s="31" t="str">
        <f>IF(KM116/(INDEX('Standards for Conversions'!$H$47:$H$73,MATCH(KL$3,'Standards for Conversions'!$A$47:$A$73,0)))=0,"",KM116/(INDEX('Standards for Conversions'!$H$47:$H$73,MATCH(KL$3,'Standards for Conversions'!$A$47:$A$73,0))))</f>
        <v/>
      </c>
      <c r="KO116" s="33" t="s">
        <v>40</v>
      </c>
      <c r="KP116" s="29">
        <v>2</v>
      </c>
      <c r="KQ116" s="29">
        <v>75</v>
      </c>
      <c r="KR116" s="31">
        <f>IF(KQ116/(INDEX('Standards for Conversions'!$H$47:$H$73,MATCH(KP$3,'Standards for Conversions'!$A$47:$A$73,0)))=0,"",KQ116/(INDEX('Standards for Conversions'!$H$47:$H$73,MATCH(KP$3,'Standards for Conversions'!$A$47:$A$73,0))))</f>
        <v>10.099425892934734</v>
      </c>
      <c r="KS116" s="33" t="s">
        <v>40</v>
      </c>
      <c r="KV116" s="31" t="str">
        <f>IF(KU116/(INDEX('Standards for Conversions'!$H$47:$H$73,MATCH(KT$3,'Standards for Conversions'!$A$47:$A$73,0)))=0,"",KU116/(INDEX('Standards for Conversions'!$H$47:$H$73,MATCH(KT$3,'Standards for Conversions'!$A$47:$A$73,0))))</f>
        <v/>
      </c>
      <c r="KW116" s="33" t="s">
        <v>40</v>
      </c>
      <c r="KZ116" s="31" t="str">
        <f>IF(KY116/(INDEX('Standards for Conversions'!$H$47:$H$73,MATCH(KX$3,'Standards for Conversions'!$A$47:$A$73,0)))=0,"",KY116/(INDEX('Standards for Conversions'!$H$47:$H$73,MATCH(KX$3,'Standards for Conversions'!$A$47:$A$73,0))))</f>
        <v/>
      </c>
      <c r="LA116" s="33" t="s">
        <v>40</v>
      </c>
      <c r="LD116" s="31" t="str">
        <f>IF(LC116/(INDEX('Standards for Conversions'!$H$47:$H$73,MATCH(LB$3,'Standards for Conversions'!$A$47:$A$73,0)))=0,"",LC116/(INDEX('Standards for Conversions'!$H$47:$H$73,MATCH(LB$3,'Standards for Conversions'!$A$47:$A$73,0))))</f>
        <v/>
      </c>
      <c r="LE116" s="48" t="s">
        <v>40</v>
      </c>
      <c r="LF116" s="29">
        <v>2</v>
      </c>
      <c r="LG116" s="29">
        <v>70</v>
      </c>
      <c r="LH116" s="31">
        <f>IF(LG116/(INDEX('Standards for Conversions'!$H$47:$H$73,MATCH(LF$3,'Standards for Conversions'!$A$47:$A$73,0)))=0,"",LG116/(INDEX('Standards for Conversions'!$H$47:$H$73,MATCH(LF$3,'Standards for Conversions'!$A$47:$A$73,0))))</f>
        <v>8.5131596709249422</v>
      </c>
      <c r="LL116" s="31" t="str">
        <f>IF(LK116/(INDEX('Standards for Conversions'!$H$47:$H$73,MATCH(LJ$3,'Standards for Conversions'!$A$47:$A$73,0)))=0,"",LK116/(INDEX('Standards for Conversions'!$H$47:$H$73,MATCH(LJ$3,'Standards for Conversions'!$A$47:$A$73,0))))</f>
        <v/>
      </c>
      <c r="LO116" s="31" t="str">
        <f>IF(LN116/(INDEX('Standards for Conversions'!$H$47:$H$73,MATCH(LM$3,'Standards for Conversions'!$A$47:$A$73,0)))=0,"",LN116/(INDEX('Standards for Conversions'!$H$47:$H$73,MATCH(LM$3,'Standards for Conversions'!$A$47:$A$73,0))))</f>
        <v/>
      </c>
      <c r="LR116" s="31" t="str">
        <f>IF(LQ116/(INDEX('Standards for Conversions'!$H$47:$H$73,MATCH(LP$3,'Standards for Conversions'!$A$47:$A$73,0)))=0,"",LQ116/(INDEX('Standards for Conversions'!$H$47:$H$73,MATCH(LP$3,'Standards for Conversions'!$A$47:$A$73,0))))</f>
        <v/>
      </c>
      <c r="LV116" s="31" t="str">
        <f>IF(LU116/(INDEX('Standards for Conversions'!$H$47:$H$73,MATCH(LT$3,'Standards for Conversions'!$A$47:$A$73,0)))=0,"",LU116/(INDEX('Standards for Conversions'!$H$47:$H$73,MATCH(LT$3,'Standards for Conversions'!$A$47:$A$73,0))))</f>
        <v/>
      </c>
      <c r="LY116" s="31" t="str">
        <f>IF(LX116/(INDEX('Standards for Conversions'!$H$47:$H$73,MATCH(LW$3,'Standards for Conversions'!$A$47:$A$73,0)))=0,"",LX116/(INDEX('Standards for Conversions'!$H$47:$H$73,MATCH(LW$3,'Standards for Conversions'!$A$47:$A$73,0))))</f>
        <v/>
      </c>
      <c r="MB116" s="31" t="str">
        <f>IF(MA116/(INDEX('Standards for Conversions'!$H$47:$H$73,MATCH(LZ$3,'Standards for Conversions'!$A$47:$A$73,0)))=0,"",MA116/(INDEX('Standards for Conversions'!$H$47:$H$73,MATCH(LZ$3,'Standards for Conversions'!$A$47:$A$73,0))))</f>
        <v/>
      </c>
      <c r="ME116" s="31" t="str">
        <f>IF(MD116/(INDEX('Standards for Conversions'!$H$47:$H$73,MATCH(MC$3,'Standards for Conversions'!$A$47:$A$73,0)))=0,"",MD116/(INDEX('Standards for Conversions'!$H$47:$H$73,MATCH(MC$3,'Standards for Conversions'!$A$47:$A$73,0))))</f>
        <v/>
      </c>
      <c r="MH116" s="31" t="str">
        <f>IF(MG116/(INDEX('Standards for Conversions'!$H$47:$H$73,MATCH(MF$3,'Standards for Conversions'!$A$47:$A$73,0)))=0,"",MG116/(INDEX('Standards for Conversions'!$H$47:$H$73,MATCH(MF$3,'Standards for Conversions'!$A$47:$A$73,0))))</f>
        <v/>
      </c>
      <c r="MK116" s="31" t="str">
        <f>IF(MJ116/(INDEX('Standards for Conversions'!$H$47:$H$73,MATCH(MI$3,'Standards for Conversions'!$A$47:$A$73,0)))=0,"",MJ116/(INDEX('Standards for Conversions'!$H$47:$H$73,MATCH(MI$3,'Standards for Conversions'!$A$47:$A$73,0))))</f>
        <v/>
      </c>
      <c r="MN116" s="31" t="str">
        <f>IF(MM116/(INDEX('Standards for Conversions'!$H$47:$H$73,MATCH(ML$3,'Standards for Conversions'!$A$47:$A$73,0)))=0,"",MM116/(INDEX('Standards for Conversions'!$H$47:$H$73,MATCH(ML$3,'Standards for Conversions'!$A$47:$A$73,0))))</f>
        <v/>
      </c>
      <c r="MR116" s="31" t="str">
        <f>IF(MQ116/(INDEX('Standards for Conversions'!$H$47:$H$73,MATCH(MP$3,'Standards for Conversions'!$A$47:$A$73,0)))=0,"",MQ116/(INDEX('Standards for Conversions'!$H$47:$H$73,MATCH(MP$3,'Standards for Conversions'!$A$47:$A$73,0))))</f>
        <v/>
      </c>
    </row>
    <row r="117" spans="1:356" hidden="1" x14ac:dyDescent="0.3">
      <c r="A117" s="103" t="s">
        <v>282</v>
      </c>
      <c r="B117" s="10" t="s">
        <v>38</v>
      </c>
      <c r="C117" s="7"/>
      <c r="D117" s="7"/>
      <c r="E117" s="31" t="str">
        <f>IF(D117/(INDEX('Standards for Conversions'!$H$34:$H$73,MATCH(C$3,'Standards for Conversions'!$A$34:$A$73,0)))=0,"",D117/(INDEX('Standards for Conversions'!$H$34:$H$73,MATCH(C$3,'Standards for Conversions'!$A$34:$A$73,0))))</f>
        <v/>
      </c>
      <c r="F117" s="10" t="s">
        <v>38</v>
      </c>
      <c r="G117" s="7"/>
      <c r="H117" s="7"/>
      <c r="I117" s="31" t="str">
        <f>IF(H117/(INDEX('Standards for Conversions'!$H$34:$H$73,MATCH(G$3,'Standards for Conversions'!$A$34:$A$73,0)))=0,"",H117/(INDEX('Standards for Conversions'!$H$34:$H$73,MATCH(G$3,'Standards for Conversions'!$A$34:$A$73,0))))</f>
        <v/>
      </c>
      <c r="J117" s="10" t="s">
        <v>38</v>
      </c>
      <c r="K117" s="9"/>
      <c r="L117" s="9"/>
      <c r="M117" s="31" t="str">
        <f>IF(L117/(INDEX('Standards for Conversions'!$H$34:$H$73,MATCH(K$3,'Standards for Conversions'!$A$34:$A$73,0)))=0,"",L117/(INDEX('Standards for Conversions'!$H$34:$H$73,MATCH(K$3,'Standards for Conversions'!$A$34:$A$73,0))))</f>
        <v/>
      </c>
      <c r="N117" s="10" t="s">
        <v>38</v>
      </c>
      <c r="O117" s="7"/>
      <c r="P117" s="7"/>
      <c r="Q117" s="31" t="str">
        <f>IF(P117/(INDEX('Standards for Conversions'!$H$34:$H$73,MATCH(O$3,'Standards for Conversions'!$A$34:$A$73,0)))=0,"",P117/(INDEX('Standards for Conversions'!$H$34:$H$73,MATCH(O$3,'Standards for Conversions'!$A$34:$A$73,0))))</f>
        <v/>
      </c>
      <c r="R117" s="10" t="s">
        <v>38</v>
      </c>
      <c r="S117" s="7"/>
      <c r="T117" s="7"/>
      <c r="U117" s="31" t="str">
        <f>IF(T117/(INDEX('Standards for Conversions'!$H$34:$H$73,MATCH(S$3,'Standards for Conversions'!$A$34:$A$73,0)))=0,"",T117/(INDEX('Standards for Conversions'!$H$34:$H$73,MATCH(S$3,'Standards for Conversions'!$A$34:$A$73,0))))</f>
        <v/>
      </c>
      <c r="V117" s="10" t="s">
        <v>38</v>
      </c>
      <c r="W117" s="7"/>
      <c r="X117" s="7"/>
      <c r="Y117" s="31" t="str">
        <f>IF(X117/(INDEX('Standards for Conversions'!$H$34:$H$73,MATCH(W$3,'Standards for Conversions'!$A$34:$A$73,0)))=0,"",X117/(INDEX('Standards for Conversions'!$H$34:$H$73,MATCH(W$3,'Standards for Conversions'!$A$34:$A$73,0))))</f>
        <v/>
      </c>
      <c r="Z117" s="10" t="s">
        <v>38</v>
      </c>
      <c r="AA117" s="9"/>
      <c r="AB117" s="9"/>
      <c r="AC117" s="31" t="str">
        <f>IF(AB117/(INDEX('Standards for Conversions'!$H$34:$H$73,MATCH(AA$3,'Standards for Conversions'!$A$34:$A$73,0)))=0,"",AB117/(INDEX('Standards for Conversions'!$H$34:$H$73,MATCH(AA$3,'Standards for Conversions'!$A$34:$A$73,0))))</f>
        <v/>
      </c>
      <c r="AD117" s="10" t="s">
        <v>38</v>
      </c>
      <c r="AE117" s="7"/>
      <c r="AF117" s="7"/>
      <c r="AG117" s="31" t="str">
        <f>IF(AF117/(INDEX('Standards for Conversions'!$H$34:$H$73,MATCH(AE$3,'Standards for Conversions'!$A$34:$A$73,0)))=0,"",AF117/(INDEX('Standards for Conversions'!$H$34:$H$73,MATCH(AE$3,'Standards for Conversions'!$A$34:$A$73,0))))</f>
        <v/>
      </c>
      <c r="AH117" s="10" t="s">
        <v>38</v>
      </c>
      <c r="AI117" s="7"/>
      <c r="AJ117" s="7"/>
      <c r="AK117" s="31" t="str">
        <f>IF(AJ117/(INDEX('Standards for Conversions'!$H$34:$H$73,MATCH(AI$3,'Standards for Conversions'!$A$34:$A$73,0)))=0,"",AJ117/(INDEX('Standards for Conversions'!$H$34:$H$73,MATCH(AI$3,'Standards for Conversions'!$A$34:$A$73,0))))</f>
        <v/>
      </c>
      <c r="AL117" s="10" t="s">
        <v>38</v>
      </c>
      <c r="AM117" s="7"/>
      <c r="AN117" s="7"/>
      <c r="AO117" s="31" t="str">
        <f>IF(AN117/(INDEX('Standards for Conversions'!$H$34:$H$73,MATCH(AM$3,'Standards for Conversions'!$A$34:$A$73,0)))=0,"",AN117/(INDEX('Standards for Conversions'!$H$34:$H$73,MATCH(AM$3,'Standards for Conversions'!$A$34:$A$73,0))))</f>
        <v/>
      </c>
      <c r="AP117" s="10" t="s">
        <v>38</v>
      </c>
      <c r="AQ117" s="9"/>
      <c r="AR117" s="9"/>
      <c r="AS117" s="31" t="str">
        <f>IF(AR117/(INDEX('Standards for Conversions'!$H$34:$H$73,MATCH(AQ$3,'Standards for Conversions'!$A$34:$A$73,0)))=0,"",AR117/(INDEX('Standards for Conversions'!$H$34:$H$73,MATCH(AQ$3,'Standards for Conversions'!$A$34:$A$73,0))))</f>
        <v/>
      </c>
      <c r="AT117" s="10" t="s">
        <v>38</v>
      </c>
      <c r="AU117" s="7"/>
      <c r="AV117" s="7"/>
      <c r="AW117" s="31" t="str">
        <f>IF(AV117/(INDEX('Standards for Conversions'!$H$34:$H$73,MATCH(AU$3,'Standards for Conversions'!$A$34:$A$73,0)))=0,"",AV117/(INDEX('Standards for Conversions'!$H$34:$H$73,MATCH(AU$3,'Standards for Conversions'!$A$34:$A$73,0))))</f>
        <v/>
      </c>
      <c r="AX117" s="10" t="s">
        <v>38</v>
      </c>
      <c r="AY117" s="7"/>
      <c r="AZ117" s="7"/>
      <c r="BA117" s="31" t="str">
        <f>IF(AZ117/(INDEX('Standards for Conversions'!$H$34:$H$73,MATCH(AY$3,'Standards for Conversions'!$A$34:$A$73,0)))=0,"",AZ117/(INDEX('Standards for Conversions'!$H$34:$H$73,MATCH(AY$3,'Standards for Conversions'!$A$34:$A$73,0))))</f>
        <v/>
      </c>
      <c r="BB117" s="10" t="s">
        <v>38</v>
      </c>
      <c r="BC117" s="7"/>
      <c r="BD117" s="7"/>
      <c r="BE117" s="31" t="str">
        <f>IF(BD117/(INDEX('Standards for Conversions'!$H$34:$H$73,MATCH(BC$3,'Standards for Conversions'!$A$34:$A$73,0)))=0,"",BD117/(INDEX('Standards for Conversions'!$H$34:$H$73,MATCH(BC$3,'Standards for Conversions'!$A$34:$A$73,0))))</f>
        <v/>
      </c>
      <c r="BF117" s="10" t="s">
        <v>38</v>
      </c>
      <c r="BG117" s="9"/>
      <c r="BH117" s="9"/>
      <c r="BI117" s="31" t="str">
        <f>IF(BH117/(INDEX('Standards for Conversions'!$H$34:$H$73,MATCH(BG$3,'Standards for Conversions'!$A$34:$A$73,0)))=0,"",BH117/(INDEX('Standards for Conversions'!$H$34:$H$73,MATCH(BG$3,'Standards for Conversions'!$A$34:$A$73,0))))</f>
        <v/>
      </c>
      <c r="BJ117" s="10" t="s">
        <v>38</v>
      </c>
      <c r="BK117" s="7"/>
      <c r="BL117" s="7"/>
      <c r="BM117" s="31" t="str">
        <f>IF(BL117/(INDEX('Standards for Conversions'!$H$34:$H$73,MATCH(BK$3,'Standards for Conversions'!$A$34:$A$73,0)))=0,"",BL117/(INDEX('Standards for Conversions'!$H$34:$H$73,MATCH(BK$3,'Standards for Conversions'!$A$34:$A$73,0))))</f>
        <v/>
      </c>
      <c r="BN117" s="10" t="s">
        <v>38</v>
      </c>
      <c r="BO117" s="7"/>
      <c r="BP117" s="7"/>
      <c r="BQ117" s="31" t="str">
        <f>IF(BP117/(INDEX('Standards for Conversions'!$H$34:$H$73,MATCH(BO$3,'Standards for Conversions'!$A$34:$A$73,0)))=0,"",BP117/(INDEX('Standards for Conversions'!$H$34:$H$73,MATCH(BO$3,'Standards for Conversions'!$A$34:$A$73,0))))</f>
        <v/>
      </c>
      <c r="BR117" s="10" t="s">
        <v>38</v>
      </c>
      <c r="BS117" s="7"/>
      <c r="BT117" s="7"/>
      <c r="BU117" s="31" t="str">
        <f>IF(BT117/(INDEX('Standards for Conversions'!$H$34:$H$73,MATCH(BS$3,'Standards for Conversions'!$A$34:$A$73,0)))=0,"",BT117/(INDEX('Standards for Conversions'!$H$34:$H$73,MATCH(BS$3,'Standards for Conversions'!$A$34:$A$73,0))))</f>
        <v/>
      </c>
      <c r="BV117" s="10" t="s">
        <v>38</v>
      </c>
      <c r="BW117" s="9"/>
      <c r="BX117" s="9"/>
      <c r="BY117" s="31" t="str">
        <f>IF(BX117/(INDEX('Standards for Conversions'!$H$34:$H$73,MATCH(BW$3,'Standards for Conversions'!$A$34:$A$73,0)))=0,"",BX117/(INDEX('Standards for Conversions'!$H$34:$H$73,MATCH(BW$3,'Standards for Conversions'!$A$34:$A$73,0))))</f>
        <v/>
      </c>
      <c r="BZ117" s="10" t="s">
        <v>38</v>
      </c>
      <c r="CA117" s="7"/>
      <c r="CB117" s="7"/>
      <c r="CC117" s="31" t="str">
        <f>IF(CB117/(INDEX('Standards for Conversions'!$H$34:$H$73,MATCH(CA$3,'Standards for Conversions'!$A$34:$A$73,0)))=0,"",CB117/(INDEX('Standards for Conversions'!$H$34:$H$73,MATCH(CA$3,'Standards for Conversions'!$A$34:$A$73,0))))</f>
        <v/>
      </c>
      <c r="CD117" s="10" t="s">
        <v>38</v>
      </c>
      <c r="CE117" s="7"/>
      <c r="CF117" s="7"/>
      <c r="CG117" s="31" t="str">
        <f>IF(CF117/(INDEX('Standards for Conversions'!$H$34:$H$73,MATCH(CE$3,'Standards for Conversions'!$A$34:$A$73,0)))=0,"",CF117/(INDEX('Standards for Conversions'!$H$34:$H$73,MATCH(CE$3,'Standards for Conversions'!$A$34:$A$73,0))))</f>
        <v/>
      </c>
      <c r="CH117" s="10" t="s">
        <v>38</v>
      </c>
      <c r="CI117" s="7"/>
      <c r="CJ117" s="7"/>
      <c r="CK117" s="31" t="str">
        <f>IF(CJ117/(INDEX('Standards for Conversions'!$H$34:$H$73,MATCH(CI$3,'Standards for Conversions'!$A$34:$A$73,0)))=0,"",CJ117/(INDEX('Standards for Conversions'!$H$34:$H$73,MATCH(CI$3,'Standards for Conversions'!$A$34:$A$73,0))))</f>
        <v/>
      </c>
      <c r="CL117" s="10" t="s">
        <v>38</v>
      </c>
      <c r="CM117" s="9"/>
      <c r="CN117" s="9"/>
      <c r="CO117" s="31" t="str">
        <f>IF(CN117/(INDEX('Standards for Conversions'!$H$34:$H$73,MATCH(CM$3,'Standards for Conversions'!$A$34:$A$73,0)))=0,"",CN117/(INDEX('Standards for Conversions'!$H$34:$H$73,MATCH(CM$3,'Standards for Conversions'!$A$34:$A$73,0))))</f>
        <v/>
      </c>
      <c r="CP117" s="10" t="s">
        <v>38</v>
      </c>
      <c r="CQ117" s="7"/>
      <c r="CR117" s="7"/>
      <c r="CS117" s="31" t="str">
        <f>IF(CR117/(INDEX('Standards for Conversions'!$H$34:$H$73,MATCH(CQ$3,'Standards for Conversions'!$A$34:$A$73,0)))=0,"",CR117/(INDEX('Standards for Conversions'!$H$34:$H$73,MATCH(CQ$3,'Standards for Conversions'!$A$34:$A$73,0))))</f>
        <v/>
      </c>
      <c r="CT117" s="10" t="s">
        <v>38</v>
      </c>
      <c r="CU117" s="7"/>
      <c r="CV117" s="7"/>
      <c r="CW117" s="31" t="str">
        <f>IF(CV117/(INDEX('Standards for Conversions'!$H$34:$H$73,MATCH(CU$3,'Standards for Conversions'!$A$34:$A$73,0)))=0,"",CV117/(INDEX('Standards for Conversions'!$H$34:$H$73,MATCH(CU$3,'Standards for Conversions'!$A$34:$A$73,0))))</f>
        <v/>
      </c>
      <c r="CX117" s="10" t="s">
        <v>38</v>
      </c>
      <c r="CY117" s="7"/>
      <c r="CZ117" s="7"/>
      <c r="DA117" s="31" t="str">
        <f>IF(CZ117/(INDEX('Standards for Conversions'!$H$34:$H$73,MATCH(CY$3,'Standards for Conversions'!$A$34:$A$73,0)))=0,"",CZ117/(INDEX('Standards for Conversions'!$H$34:$H$73,MATCH(CY$3,'Standards for Conversions'!$A$34:$A$73,0))))</f>
        <v/>
      </c>
      <c r="DB117" s="10" t="s">
        <v>38</v>
      </c>
      <c r="DC117" s="9"/>
      <c r="DD117" s="9"/>
      <c r="DE117" s="31" t="str">
        <f>IF(DD117/(INDEX('Standards for Conversions'!$H$34:$H$73,MATCH(DC$3,'Standards for Conversions'!$A$34:$A$73,0)))=0,"",DD117/(INDEX('Standards for Conversions'!$H$34:$H$73,MATCH(DC$3,'Standards for Conversions'!$A$34:$A$73,0))))</f>
        <v/>
      </c>
      <c r="DF117" s="10" t="s">
        <v>38</v>
      </c>
      <c r="DG117" s="7"/>
      <c r="DH117" s="7"/>
      <c r="DI117" s="31" t="str">
        <f>IF(DH117/(INDEX('Standards for Conversions'!$H$34:$H$73,MATCH(DG$3,'Standards for Conversions'!$A$34:$A$73,0)))=0,"",DH117/(INDEX('Standards for Conversions'!$H$34:$H$73,MATCH(DG$3,'Standards for Conversions'!$A$34:$A$73,0))))</f>
        <v/>
      </c>
      <c r="DJ117" s="10" t="s">
        <v>38</v>
      </c>
      <c r="DK117" s="7"/>
      <c r="DL117" s="7"/>
      <c r="DM117" s="31" t="str">
        <f>IF(DL117/(INDEX('Standards for Conversions'!$H$34:$H$73,MATCH(DK$3,'Standards for Conversions'!$A$34:$A$73,0)))=0,"",DL117/(INDEX('Standards for Conversions'!$H$34:$H$73,MATCH(DK$3,'Standards for Conversions'!$A$34:$A$73,0))))</f>
        <v/>
      </c>
      <c r="DN117" s="10" t="s">
        <v>38</v>
      </c>
      <c r="DO117" s="7"/>
      <c r="DP117" s="7"/>
      <c r="DQ117" s="31" t="str">
        <f>IF(DP117/(INDEX('Standards for Conversions'!$H$34:$H$73,MATCH(DO$3,'Standards for Conversions'!$A$34:$A$73,0)))=0,"",DP117/(INDEX('Standards for Conversions'!$H$34:$H$73,MATCH(DO$3,'Standards for Conversions'!$A$34:$A$73,0))))</f>
        <v/>
      </c>
      <c r="DR117" s="10" t="s">
        <v>38</v>
      </c>
      <c r="DS117" s="9"/>
      <c r="DT117" s="9"/>
      <c r="DU117" s="31" t="str">
        <f>IF(DT117/(INDEX('Standards for Conversions'!$H$34:$H$73,MATCH(DS$3,'Standards for Conversions'!$A$34:$A$73,0)))=0,"",DT117/(INDEX('Standards for Conversions'!$H$34:$H$73,MATCH(DS$3,'Standards for Conversions'!$A$34:$A$73,0))))</f>
        <v/>
      </c>
      <c r="DV117" s="10" t="s">
        <v>38</v>
      </c>
      <c r="DW117" s="7"/>
      <c r="DX117" s="7"/>
      <c r="DY117" s="31" t="str">
        <f>IF(DX117/(INDEX('Standards for Conversions'!$H$34:$H$73,MATCH(DW$3,'Standards for Conversions'!$A$34:$A$73,0)))=0,"",DX117/(INDEX('Standards for Conversions'!$H$34:$H$73,MATCH(DW$3,'Standards for Conversions'!$A$34:$A$73,0))))</f>
        <v/>
      </c>
      <c r="DZ117" s="10" t="s">
        <v>38</v>
      </c>
      <c r="EA117" s="7"/>
      <c r="EB117" s="7"/>
      <c r="EC117" s="31" t="str">
        <f>IF(EB117/(INDEX('Standards for Conversions'!$H$34:$H$73,MATCH(EA$3,'Standards for Conversions'!$A$34:$A$73,0)))=0,"",EB117/(INDEX('Standards for Conversions'!$H$34:$H$73,MATCH(EA$3,'Standards for Conversions'!$A$34:$A$73,0))))</f>
        <v/>
      </c>
      <c r="ED117" s="10" t="s">
        <v>38</v>
      </c>
      <c r="EE117" s="7"/>
      <c r="EF117" s="7"/>
      <c r="EG117" s="31" t="str">
        <f>IF(EF117/(INDEX('Standards for Conversions'!$H$34:$H$73,MATCH(EE$3,'Standards for Conversions'!$A$34:$A$73,0)))=0,"",EF117/(INDEX('Standards for Conversions'!$H$34:$H$73,MATCH(EE$3,'Standards for Conversions'!$A$34:$A$73,0))))</f>
        <v/>
      </c>
      <c r="EH117" s="10" t="s">
        <v>38</v>
      </c>
      <c r="EI117" s="9"/>
      <c r="EJ117" s="9"/>
      <c r="EK117" s="31" t="str">
        <f>IF(EJ117/(INDEX('Standards for Conversions'!$H$34:$H$73,MATCH(EI$3,'Standards for Conversions'!$A$34:$A$73,0)))=0,"",EJ117/(INDEX('Standards for Conversions'!$H$34:$H$73,MATCH(EI$3,'Standards for Conversions'!$A$34:$A$73,0))))</f>
        <v/>
      </c>
      <c r="EL117" s="10" t="s">
        <v>38</v>
      </c>
      <c r="EM117" s="7"/>
      <c r="EN117" s="7"/>
      <c r="EO117" s="31" t="str">
        <f>IF(EN117/(INDEX('Standards for Conversions'!$H$34:$H$73,MATCH(EM$3,'Standards for Conversions'!$A$34:$A$73,0)))=0,"",EN117/(INDEX('Standards for Conversions'!$H$34:$H$73,MATCH(EM$3,'Standards for Conversions'!$A$34:$A$73,0))))</f>
        <v/>
      </c>
      <c r="EP117" s="10" t="s">
        <v>38</v>
      </c>
      <c r="EQ117" s="7"/>
      <c r="ER117" s="7"/>
      <c r="ES117" s="31" t="str">
        <f>IF(ER117/(INDEX('Standards for Conversions'!$H$34:$H$73,MATCH(EQ$3,'Standards for Conversions'!$A$34:$A$73,0)))=0,"",ER117/(INDEX('Standards for Conversions'!$H$34:$H$73,MATCH(EQ$3,'Standards for Conversions'!$A$34:$A$73,0))))</f>
        <v/>
      </c>
      <c r="ET117" s="10" t="s">
        <v>38</v>
      </c>
      <c r="EU117" s="7"/>
      <c r="EV117" s="7"/>
      <c r="EW117" s="31" t="str">
        <f>IF(EV117/(INDEX('Standards for Conversions'!$H$34:$H$73,MATCH(EU$3,'Standards for Conversions'!$A$34:$A$73,0)))=0,"",EV117/(INDEX('Standards for Conversions'!$H$34:$H$73,MATCH(EU$3,'Standards for Conversions'!$A$34:$A$73,0))))</f>
        <v/>
      </c>
      <c r="EX117" s="10" t="s">
        <v>38</v>
      </c>
      <c r="EY117" s="9"/>
      <c r="EZ117" s="9"/>
      <c r="FA117" s="31" t="str">
        <f>IF(EZ117/(INDEX('Standards for Conversions'!$H$34:$H$73,MATCH(EY$3,'Standards for Conversions'!$A$34:$A$73,0)))=0,"",EZ117/(INDEX('Standards for Conversions'!$H$34:$H$73,MATCH(EY$3,'Standards for Conversions'!$A$34:$A$73,0))))</f>
        <v/>
      </c>
      <c r="FB117" s="10" t="s">
        <v>38</v>
      </c>
      <c r="FC117" s="7"/>
      <c r="FD117" s="7"/>
      <c r="FE117" s="31" t="str">
        <f>IF(FD117/(INDEX('Standards for Conversions'!$H$34:$H$73,MATCH(FC$3,'Standards for Conversions'!$A$34:$A$73,0)))=0,"",FD117/(INDEX('Standards for Conversions'!$H$34:$H$73,MATCH(FC$3,'Standards for Conversions'!$A$34:$A$73,0))))</f>
        <v/>
      </c>
      <c r="FF117" s="10" t="s">
        <v>38</v>
      </c>
      <c r="FG117" s="7"/>
      <c r="FH117" s="7"/>
      <c r="FI117" s="31" t="str">
        <f>IF(FH117/(INDEX('Standards for Conversions'!$H$34:$H$73,MATCH(FG$3,'Standards for Conversions'!$A$34:$A$73,0)))=0,"",FH117/(INDEX('Standards for Conversions'!$H$34:$H$73,MATCH(FG$3,'Standards for Conversions'!$A$34:$A$73,0))))</f>
        <v/>
      </c>
      <c r="FJ117" s="10" t="s">
        <v>38</v>
      </c>
      <c r="FK117" s="7"/>
      <c r="FL117" s="7"/>
      <c r="FM117" s="31" t="str">
        <f>IF(FL117/(INDEX('Standards for Conversions'!$H$34:$H$73,MATCH(FK$3,'Standards for Conversions'!$A$34:$A$73,0)))=0,"",FL117/(INDEX('Standards for Conversions'!$H$34:$H$73,MATCH(FK$3,'Standards for Conversions'!$A$34:$A$73,0))))</f>
        <v/>
      </c>
      <c r="FN117" s="10" t="s">
        <v>38</v>
      </c>
      <c r="FO117" s="9"/>
      <c r="FP117" s="9"/>
      <c r="FQ117" s="31" t="str">
        <f>IF(FP117/(INDEX('Standards for Conversions'!$H$34:$H$73,MATCH(FO$3,'Standards for Conversions'!$A$34:$A$73,0)))=0,"",FP117/(INDEX('Standards for Conversions'!$H$34:$H$73,MATCH(FO$3,'Standards for Conversions'!$A$34:$A$73,0))))</f>
        <v/>
      </c>
      <c r="FR117" s="10" t="s">
        <v>38</v>
      </c>
      <c r="FS117" s="7"/>
      <c r="FT117" s="7"/>
      <c r="FU117" s="31" t="str">
        <f>IF(FT117/(INDEX('Standards for Conversions'!$H$34:$H$73,MATCH(FS$3,'Standards for Conversions'!$A$34:$A$73,0)))=0,"",FT117/(INDEX('Standards for Conversions'!$H$34:$H$73,MATCH(FS$3,'Standards for Conversions'!$A$34:$A$73,0))))</f>
        <v/>
      </c>
      <c r="FV117" s="10" t="s">
        <v>38</v>
      </c>
      <c r="FW117" s="7"/>
      <c r="FX117" s="7"/>
      <c r="FY117" s="31" t="str">
        <f>IF(FX117/(INDEX('Standards for Conversions'!$H$34:$H$73,MATCH(FW$3,'Standards for Conversions'!$A$34:$A$73,0)))=0,"",FX117/(INDEX('Standards for Conversions'!$H$34:$H$73,MATCH(FW$3,'Standards for Conversions'!$A$34:$A$73,0))))</f>
        <v/>
      </c>
      <c r="FZ117" s="10" t="s">
        <v>38</v>
      </c>
      <c r="GA117" s="7"/>
      <c r="GB117" s="7"/>
      <c r="GC117" s="31" t="str">
        <f>IF(GB117/(INDEX('Standards for Conversions'!$H$34:$H$73,MATCH(GA$3,'Standards for Conversions'!$A$34:$A$73,0)))=0,"",GB117/(INDEX('Standards for Conversions'!$H$34:$H$73,MATCH(GA$3,'Standards for Conversions'!$A$34:$A$73,0))))</f>
        <v/>
      </c>
      <c r="GD117" s="10" t="s">
        <v>38</v>
      </c>
      <c r="GE117" s="9"/>
      <c r="GF117" s="9"/>
      <c r="GG117" s="31" t="str">
        <f>IF(GF117/(INDEX('Standards for Conversions'!$H$34:$H$73,MATCH(GE$3,'Standards for Conversions'!$A$34:$A$73,0)))=0,"",GF117/(INDEX('Standards for Conversions'!$H$34:$H$73,MATCH(GE$3,'Standards for Conversions'!$A$34:$A$73,0))))</f>
        <v/>
      </c>
      <c r="GH117" s="10" t="s">
        <v>38</v>
      </c>
      <c r="GI117" s="7"/>
      <c r="GJ117" s="7"/>
      <c r="GK117" s="31" t="str">
        <f>IF(GJ117/(INDEX('Standards for Conversions'!$H$34:$H$73,MATCH(GI$3,'Standards for Conversions'!$A$34:$A$73,0)))=0,"",GJ117/(INDEX('Standards for Conversions'!$H$34:$H$73,MATCH(GI$3,'Standards for Conversions'!$A$34:$A$73,0))))</f>
        <v/>
      </c>
      <c r="GL117" s="10" t="s">
        <v>38</v>
      </c>
      <c r="GM117" s="7"/>
      <c r="GN117" s="7"/>
      <c r="GO117" s="31" t="str">
        <f>IF(GN117/(INDEX('Standards for Conversions'!$H$34:$H$73,MATCH(GM$3,'Standards for Conversions'!$A$34:$A$73,0)))=0,"",GN117/(INDEX('Standards for Conversions'!$H$34:$H$73,MATCH(GM$3,'Standards for Conversions'!$A$34:$A$73,0))))</f>
        <v/>
      </c>
      <c r="GP117" s="10" t="s">
        <v>38</v>
      </c>
      <c r="GQ117" s="7"/>
      <c r="GR117" s="7"/>
      <c r="GS117" s="31" t="str">
        <f>IF(GR117/(INDEX('Standards for Conversions'!$H$34:$H$73,MATCH(GQ$3,'Standards for Conversions'!$A$34:$A$73,0)))=0,"",GR117/(INDEX('Standards for Conversions'!$H$34:$H$73,MATCH(GQ$3,'Standards for Conversions'!$A$34:$A$73,0))))</f>
        <v/>
      </c>
      <c r="GT117" s="10" t="s">
        <v>38</v>
      </c>
      <c r="GU117" s="9"/>
      <c r="GV117" s="9"/>
      <c r="GW117" s="31" t="str">
        <f>IF(GV117/(INDEX('Standards for Conversions'!$H$34:$H$73,MATCH(GU$3,'Standards for Conversions'!$A$34:$A$73,0)))=0,"",GV117/(INDEX('Standards for Conversions'!$H$34:$H$73,MATCH(GU$3,'Standards for Conversions'!$A$34:$A$73,0))))</f>
        <v/>
      </c>
      <c r="GX117" s="10" t="s">
        <v>38</v>
      </c>
      <c r="GY117" s="7"/>
      <c r="GZ117" s="7"/>
      <c r="HA117" s="31" t="str">
        <f>IF(GZ117/(INDEX('Standards for Conversions'!$H$34:$H$73,MATCH(GY$3,'Standards for Conversions'!$A$34:$A$73,0)))=0,"",GZ117/(INDEX('Standards for Conversions'!$H$34:$H$73,MATCH(GY$3,'Standards for Conversions'!$A$34:$A$73,0))))</f>
        <v/>
      </c>
      <c r="HB117" s="10" t="s">
        <v>38</v>
      </c>
      <c r="HC117" s="7"/>
      <c r="HD117" s="7"/>
      <c r="HE117" s="31" t="str">
        <f>IF(HD117/(INDEX('Standards for Conversions'!$H$34:$H$73,MATCH(HC$3,'Standards for Conversions'!$A$34:$A$73,0)))=0,"",HD117/(INDEX('Standards for Conversions'!$H$34:$H$73,MATCH(HC$3,'Standards for Conversions'!$A$34:$A$73,0))))</f>
        <v/>
      </c>
      <c r="HF117" s="10" t="s">
        <v>38</v>
      </c>
      <c r="HG117" s="7"/>
      <c r="HH117" s="7"/>
      <c r="HI117" s="31" t="str">
        <f>IF(HH117/(INDEX('Standards for Conversions'!$H$34:$H$73,MATCH(HG$3,'Standards for Conversions'!$A$34:$A$73,0)))=0,"",HH117/(INDEX('Standards for Conversions'!$H$34:$H$73,MATCH(HG$3,'Standards for Conversions'!$A$34:$A$73,0))))</f>
        <v/>
      </c>
      <c r="HJ117" s="10" t="s">
        <v>38</v>
      </c>
      <c r="HK117" s="9"/>
      <c r="HL117" s="9"/>
      <c r="HM117" s="31" t="str">
        <f>IF(HL117/(INDEX('Standards for Conversions'!$H$34:$H$73,MATCH(HK$3,'Standards for Conversions'!$A$34:$A$73,0)))=0,"",HL117/(INDEX('Standards for Conversions'!$H$34:$H$73,MATCH(HK$3,'Standards for Conversions'!$A$34:$A$73,0))))</f>
        <v/>
      </c>
      <c r="HN117" s="10" t="s">
        <v>38</v>
      </c>
      <c r="HO117" s="7"/>
      <c r="HP117" s="7"/>
      <c r="HQ117" s="31" t="str">
        <f>IF(HP117/(INDEX('Standards for Conversions'!$H$34:$H$73,MATCH(HO$3,'Standards for Conversions'!$A$34:$A$73,0)))=0,"",HP117/(INDEX('Standards for Conversions'!$H$34:$H$73,MATCH(HO$3,'Standards for Conversions'!$A$34:$A$73,0))))</f>
        <v/>
      </c>
      <c r="HR117" s="33" t="s">
        <v>38</v>
      </c>
      <c r="HU117" s="31" t="str">
        <f>IF(HT117/(INDEX('Standards for Conversions'!$H$47:$H$73,MATCH(HS$3,'Standards for Conversions'!$A$47:$A$73,0)))=0,"",HT117/(INDEX('Standards for Conversions'!$H$47:$H$73,MATCH(HS$3,'Standards for Conversions'!$A$47:$A$73,0))))</f>
        <v/>
      </c>
      <c r="HV117" s="33" t="s">
        <v>38</v>
      </c>
      <c r="HY117" s="31" t="str">
        <f>IF(HX117/(INDEX('Standards for Conversions'!$H$47:$H$73,MATCH(HW$3,'Standards for Conversions'!$A$47:$A$73,0)))=0,"",HX117/(INDEX('Standards for Conversions'!$H$47:$H$73,MATCH(HW$3,'Standards for Conversions'!$A$47:$A$73,0))))</f>
        <v/>
      </c>
      <c r="HZ117" s="33"/>
      <c r="IA117" s="33"/>
      <c r="IB117" s="31" t="str">
        <f>IF(IA117/(INDEX('Standards for Conversions'!$H$47:$H$73,MATCH(HZ$3,'Standards for Conversions'!$A$47:$A$73,0)))=0,"",IA117/(INDEX('Standards for Conversions'!$H$47:$H$73,MATCH(HZ$3,'Standards for Conversions'!$A$47:$A$73,0))))</f>
        <v/>
      </c>
      <c r="IC117" s="33" t="s">
        <v>38</v>
      </c>
      <c r="IF117" s="31" t="str">
        <f>IF(IE117/(INDEX('Standards for Conversions'!$H$47:$H$73,MATCH(ID$3,'Standards for Conversions'!$A$47:$A$73,0)))=0,"",IE117/(INDEX('Standards for Conversions'!$H$47:$H$73,MATCH(ID$3,'Standards for Conversions'!$A$47:$A$73,0))))</f>
        <v/>
      </c>
      <c r="IG117" s="33" t="s">
        <v>38</v>
      </c>
      <c r="IJ117" s="31" t="str">
        <f>IF(II117/(INDEX('Standards for Conversions'!$H$47:$H$73,MATCH(IH$3,'Standards for Conversions'!$A$47:$A$73,0)))=0,"",II117/(INDEX('Standards for Conversions'!$H$47:$H$73,MATCH(IH$3,'Standards for Conversions'!$A$47:$A$73,0))))</f>
        <v/>
      </c>
      <c r="IK117" s="33" t="s">
        <v>38</v>
      </c>
      <c r="IN117" s="31" t="str">
        <f>IF(IM117/(INDEX('Standards for Conversions'!$H$47:$H$73,MATCH(IL$3,'Standards for Conversions'!$A$47:$A$73,0)))=0,"",IM117/(INDEX('Standards for Conversions'!$H$47:$H$73,MATCH(IL$3,'Standards for Conversions'!$A$47:$A$73,0))))</f>
        <v/>
      </c>
      <c r="IO117" s="33" t="s">
        <v>38</v>
      </c>
      <c r="IR117" s="31" t="str">
        <f>IF(IQ117/(INDEX('Standards for Conversions'!$H$47:$H$73,MATCH(IP$3,'Standards for Conversions'!$A$47:$A$73,0)))=0,"",IQ117/(INDEX('Standards for Conversions'!$H$47:$H$73,MATCH(IP$3,'Standards for Conversions'!$A$47:$A$73,0))))</f>
        <v/>
      </c>
      <c r="IS117" s="33" t="s">
        <v>38</v>
      </c>
      <c r="IV117" s="31" t="str">
        <f>IF(IU117/(INDEX('Standards for Conversions'!$H$47:$H$73,MATCH(IT$3,'Standards for Conversions'!$A$47:$A$73,0)))=0,"",IU117/(INDEX('Standards for Conversions'!$H$47:$H$73,MATCH(IT$3,'Standards for Conversions'!$A$47:$A$73,0))))</f>
        <v/>
      </c>
      <c r="IW117" s="33" t="s">
        <v>38</v>
      </c>
      <c r="IZ117" s="31" t="str">
        <f>IF(IY117/(INDEX('Standards for Conversions'!$H$47:$H$73,MATCH(IX$3,'Standards for Conversions'!$A$47:$A$73,0)))=0,"",IY117/(INDEX('Standards for Conversions'!$H$47:$H$73,MATCH(IX$3,'Standards for Conversions'!$A$47:$A$73,0))))</f>
        <v/>
      </c>
      <c r="JA117" s="33" t="s">
        <v>38</v>
      </c>
      <c r="JD117" s="31" t="str">
        <f>IF(JC117/(INDEX('Standards for Conversions'!$H$47:$H$73,MATCH(JB$3,'Standards for Conversions'!$A$47:$A$73,0)))=0,"",JC117/(INDEX('Standards for Conversions'!$H$47:$H$73,MATCH(JB$3,'Standards for Conversions'!$A$47:$A$73,0))))</f>
        <v/>
      </c>
      <c r="JE117" s="33" t="s">
        <v>38</v>
      </c>
      <c r="JH117" s="31" t="str">
        <f>IF(JG117/(INDEX('Standards for Conversions'!$H$47:$H$73,MATCH(JF$3,'Standards for Conversions'!$A$47:$A$73,0)))=0,"",JG117/(INDEX('Standards for Conversions'!$H$47:$H$73,MATCH(JF$3,'Standards for Conversions'!$A$47:$A$73,0))))</f>
        <v/>
      </c>
      <c r="JI117" s="48" t="s">
        <v>38</v>
      </c>
      <c r="JJ117" s="29">
        <v>3</v>
      </c>
      <c r="JK117" s="29">
        <v>10</v>
      </c>
      <c r="JL117" s="31">
        <f>IF(JK117/(INDEX('Standards for Conversions'!$H$47:$H$73,MATCH(JJ$3,'Standards for Conversions'!$A$47:$A$73,0)))=0,"",JK117/(INDEX('Standards for Conversions'!$H$47:$H$73,MATCH(JJ$3,'Standards for Conversions'!$A$47:$A$73,0))))</f>
        <v>1.617601966918687</v>
      </c>
      <c r="JM117" s="33" t="s">
        <v>38</v>
      </c>
      <c r="JP117" s="31" t="str">
        <f>IF(JO117/(INDEX('Standards for Conversions'!$H$47:$H$73,MATCH(JN$3,'Standards for Conversions'!$A$47:$A$73,0)))=0,"",JO117/(INDEX('Standards for Conversions'!$H$47:$H$73,MATCH(JN$3,'Standards for Conversions'!$A$47:$A$73,0))))</f>
        <v/>
      </c>
      <c r="JQ117" s="33" t="s">
        <v>38</v>
      </c>
      <c r="JT117" s="31" t="str">
        <f>IF(JS117/(INDEX('Standards for Conversions'!$H$47:$H$73,MATCH(JR$3,'Standards for Conversions'!$A$47:$A$73,0)))=0,"",JS117/(INDEX('Standards for Conversions'!$H$47:$H$73,MATCH(JR$3,'Standards for Conversions'!$A$47:$A$73,0))))</f>
        <v/>
      </c>
      <c r="JU117" s="33" t="s">
        <v>38</v>
      </c>
      <c r="JX117" s="31" t="str">
        <f>IF(JW117/(INDEX('Standards for Conversions'!$H$47:$H$73,MATCH(JV$3,'Standards for Conversions'!$A$47:$A$73,0)))=0,"",JW117/(INDEX('Standards for Conversions'!$H$47:$H$73,MATCH(JV$3,'Standards for Conversions'!$A$47:$A$73,0))))</f>
        <v/>
      </c>
      <c r="JY117" s="33" t="s">
        <v>38</v>
      </c>
      <c r="KB117" s="31" t="str">
        <f>IF(KA117/(INDEX('Standards for Conversions'!$H$47:$H$73,MATCH(JZ$3,'Standards for Conversions'!$A$47:$A$73,0)))=0,"",KA117/(INDEX('Standards for Conversions'!$H$47:$H$73,MATCH(JZ$3,'Standards for Conversions'!$A$47:$A$73,0))))</f>
        <v/>
      </c>
      <c r="KC117" s="33" t="s">
        <v>38</v>
      </c>
      <c r="KF117" s="31" t="str">
        <f>IF(KE117/(INDEX('Standards for Conversions'!$H$47:$H$73,MATCH(KD$3,'Standards for Conversions'!$A$47:$A$73,0)))=0,"",KE117/(INDEX('Standards for Conversions'!$H$47:$H$73,MATCH(KD$3,'Standards for Conversions'!$A$47:$A$73,0))))</f>
        <v/>
      </c>
      <c r="KG117" s="33" t="s">
        <v>38</v>
      </c>
      <c r="KJ117" s="31" t="str">
        <f>IF(KI117/(INDEX('Standards for Conversions'!$H$47:$H$73,MATCH(KH$3,'Standards for Conversions'!$A$47:$A$73,0)))=0,"",KI117/(INDEX('Standards for Conversions'!$H$47:$H$73,MATCH(KH$3,'Standards for Conversions'!$A$47:$A$73,0))))</f>
        <v/>
      </c>
      <c r="KK117" s="33" t="s">
        <v>38</v>
      </c>
      <c r="KN117" s="31" t="str">
        <f>IF(KM117/(INDEX('Standards for Conversions'!$H$47:$H$73,MATCH(KL$3,'Standards for Conversions'!$A$47:$A$73,0)))=0,"",KM117/(INDEX('Standards for Conversions'!$H$47:$H$73,MATCH(KL$3,'Standards for Conversions'!$A$47:$A$73,0))))</f>
        <v/>
      </c>
      <c r="KO117" s="33" t="s">
        <v>38</v>
      </c>
      <c r="KP117" s="29">
        <v>5</v>
      </c>
      <c r="KQ117" s="29">
        <v>15</v>
      </c>
      <c r="KR117" s="31">
        <f>IF(KQ117/(INDEX('Standards for Conversions'!$H$47:$H$73,MATCH(KP$3,'Standards for Conversions'!$A$47:$A$73,0)))=0,"",KQ117/(INDEX('Standards for Conversions'!$H$47:$H$73,MATCH(KP$3,'Standards for Conversions'!$A$47:$A$73,0))))</f>
        <v>2.0198851785869469</v>
      </c>
      <c r="KS117" s="33" t="s">
        <v>38</v>
      </c>
      <c r="KV117" s="31" t="str">
        <f>IF(KU117/(INDEX('Standards for Conversions'!$H$47:$H$73,MATCH(KT$3,'Standards for Conversions'!$A$47:$A$73,0)))=0,"",KU117/(INDEX('Standards for Conversions'!$H$47:$H$73,MATCH(KT$3,'Standards for Conversions'!$A$47:$A$73,0))))</f>
        <v/>
      </c>
      <c r="KW117" s="33" t="s">
        <v>38</v>
      </c>
      <c r="KZ117" s="31" t="str">
        <f>IF(KY117/(INDEX('Standards for Conversions'!$H$47:$H$73,MATCH(KX$3,'Standards for Conversions'!$A$47:$A$73,0)))=0,"",KY117/(INDEX('Standards for Conversions'!$H$47:$H$73,MATCH(KX$3,'Standards for Conversions'!$A$47:$A$73,0))))</f>
        <v/>
      </c>
      <c r="LA117" s="33" t="s">
        <v>40</v>
      </c>
      <c r="LD117" s="31" t="str">
        <f>IF(LC117/(INDEX('Standards for Conversions'!$H$47:$H$73,MATCH(LB$3,'Standards for Conversions'!$A$47:$A$73,0)))=0,"",LC117/(INDEX('Standards for Conversions'!$H$47:$H$73,MATCH(LB$3,'Standards for Conversions'!$A$47:$A$73,0))))</f>
        <v/>
      </c>
      <c r="LE117" s="48" t="s">
        <v>40</v>
      </c>
      <c r="LF117" s="29">
        <v>7</v>
      </c>
      <c r="LG117" s="29">
        <v>25</v>
      </c>
      <c r="LH117" s="31">
        <f>IF(LG117/(INDEX('Standards for Conversions'!$H$47:$H$73,MATCH(LF$3,'Standards for Conversions'!$A$47:$A$73,0)))=0,"",LG117/(INDEX('Standards for Conversions'!$H$47:$H$73,MATCH(LF$3,'Standards for Conversions'!$A$47:$A$73,0))))</f>
        <v>3.0404141681874797</v>
      </c>
      <c r="LL117" s="31" t="str">
        <f>IF(LK117/(INDEX('Standards for Conversions'!$H$47:$H$73,MATCH(LJ$3,'Standards for Conversions'!$A$47:$A$73,0)))=0,"",LK117/(INDEX('Standards for Conversions'!$H$47:$H$73,MATCH(LJ$3,'Standards for Conversions'!$A$47:$A$73,0))))</f>
        <v/>
      </c>
      <c r="LO117" s="31" t="str">
        <f>IF(LN117/(INDEX('Standards for Conversions'!$H$47:$H$73,MATCH(LM$3,'Standards for Conversions'!$A$47:$A$73,0)))=0,"",LN117/(INDEX('Standards for Conversions'!$H$47:$H$73,MATCH(LM$3,'Standards for Conversions'!$A$47:$A$73,0))))</f>
        <v/>
      </c>
      <c r="LR117" s="31" t="str">
        <f>IF(LQ117/(INDEX('Standards for Conversions'!$H$47:$H$73,MATCH(LP$3,'Standards for Conversions'!$A$47:$A$73,0)))=0,"",LQ117/(INDEX('Standards for Conversions'!$H$47:$H$73,MATCH(LP$3,'Standards for Conversions'!$A$47:$A$73,0))))</f>
        <v/>
      </c>
      <c r="LV117" s="31" t="str">
        <f>IF(LU117/(INDEX('Standards for Conversions'!$H$47:$H$73,MATCH(LT$3,'Standards for Conversions'!$A$47:$A$73,0)))=0,"",LU117/(INDEX('Standards for Conversions'!$H$47:$H$73,MATCH(LT$3,'Standards for Conversions'!$A$47:$A$73,0))))</f>
        <v/>
      </c>
      <c r="LY117" s="31" t="str">
        <f>IF(LX117/(INDEX('Standards for Conversions'!$H$47:$H$73,MATCH(LW$3,'Standards for Conversions'!$A$47:$A$73,0)))=0,"",LX117/(INDEX('Standards for Conversions'!$H$47:$H$73,MATCH(LW$3,'Standards for Conversions'!$A$47:$A$73,0))))</f>
        <v/>
      </c>
      <c r="MB117" s="31" t="str">
        <f>IF(MA117/(INDEX('Standards for Conversions'!$H$47:$H$73,MATCH(LZ$3,'Standards for Conversions'!$A$47:$A$73,0)))=0,"",MA117/(INDEX('Standards for Conversions'!$H$47:$H$73,MATCH(LZ$3,'Standards for Conversions'!$A$47:$A$73,0))))</f>
        <v/>
      </c>
      <c r="ME117" s="31" t="str">
        <f>IF(MD117/(INDEX('Standards for Conversions'!$H$47:$H$73,MATCH(MC$3,'Standards for Conversions'!$A$47:$A$73,0)))=0,"",MD117/(INDEX('Standards for Conversions'!$H$47:$H$73,MATCH(MC$3,'Standards for Conversions'!$A$47:$A$73,0))))</f>
        <v/>
      </c>
      <c r="MH117" s="31" t="str">
        <f>IF(MG117/(INDEX('Standards for Conversions'!$H$47:$H$73,MATCH(MF$3,'Standards for Conversions'!$A$47:$A$73,0)))=0,"",MG117/(INDEX('Standards for Conversions'!$H$47:$H$73,MATCH(MF$3,'Standards for Conversions'!$A$47:$A$73,0))))</f>
        <v/>
      </c>
      <c r="MK117" s="31" t="str">
        <f>IF(MJ117/(INDEX('Standards for Conversions'!$H$47:$H$73,MATCH(MI$3,'Standards for Conversions'!$A$47:$A$73,0)))=0,"",MJ117/(INDEX('Standards for Conversions'!$H$47:$H$73,MATCH(MI$3,'Standards for Conversions'!$A$47:$A$73,0))))</f>
        <v/>
      </c>
      <c r="MN117" s="31" t="str">
        <f>IF(MM117/(INDEX('Standards for Conversions'!$H$47:$H$73,MATCH(ML$3,'Standards for Conversions'!$A$47:$A$73,0)))=0,"",MM117/(INDEX('Standards for Conversions'!$H$47:$H$73,MATCH(ML$3,'Standards for Conversions'!$A$47:$A$73,0))))</f>
        <v/>
      </c>
      <c r="MR117" s="31" t="str">
        <f>IF(MQ117/(INDEX('Standards for Conversions'!$H$47:$H$73,MATCH(MP$3,'Standards for Conversions'!$A$47:$A$73,0)))=0,"",MQ117/(INDEX('Standards for Conversions'!$H$47:$H$73,MATCH(MP$3,'Standards for Conversions'!$A$47:$A$73,0))))</f>
        <v/>
      </c>
    </row>
    <row r="118" spans="1:356" hidden="1" x14ac:dyDescent="0.3">
      <c r="A118" s="103" t="s">
        <v>283</v>
      </c>
      <c r="B118" s="10" t="s">
        <v>38</v>
      </c>
      <c r="C118" s="7"/>
      <c r="D118" s="7"/>
      <c r="E118" s="31" t="str">
        <f>IF(D118/(INDEX('Standards for Conversions'!$H$34:$H$73,MATCH(C$3,'Standards for Conversions'!$A$34:$A$73,0)))=0,"",D118/(INDEX('Standards for Conversions'!$H$34:$H$73,MATCH(C$3,'Standards for Conversions'!$A$34:$A$73,0))))</f>
        <v/>
      </c>
      <c r="F118" s="10" t="s">
        <v>38</v>
      </c>
      <c r="G118" s="7"/>
      <c r="H118" s="7"/>
      <c r="I118" s="31" t="str">
        <f>IF(H118/(INDEX('Standards for Conversions'!$H$34:$H$73,MATCH(G$3,'Standards for Conversions'!$A$34:$A$73,0)))=0,"",H118/(INDEX('Standards for Conversions'!$H$34:$H$73,MATCH(G$3,'Standards for Conversions'!$A$34:$A$73,0))))</f>
        <v/>
      </c>
      <c r="J118" s="10" t="s">
        <v>38</v>
      </c>
      <c r="K118" s="9"/>
      <c r="L118" s="9"/>
      <c r="M118" s="31" t="str">
        <f>IF(L118/(INDEX('Standards for Conversions'!$H$34:$H$73,MATCH(K$3,'Standards for Conversions'!$A$34:$A$73,0)))=0,"",L118/(INDEX('Standards for Conversions'!$H$34:$H$73,MATCH(K$3,'Standards for Conversions'!$A$34:$A$73,0))))</f>
        <v/>
      </c>
      <c r="N118" s="10" t="s">
        <v>38</v>
      </c>
      <c r="O118" s="7"/>
      <c r="P118" s="7"/>
      <c r="Q118" s="31" t="str">
        <f>IF(P118/(INDEX('Standards for Conversions'!$H$34:$H$73,MATCH(O$3,'Standards for Conversions'!$A$34:$A$73,0)))=0,"",P118/(INDEX('Standards for Conversions'!$H$34:$H$73,MATCH(O$3,'Standards for Conversions'!$A$34:$A$73,0))))</f>
        <v/>
      </c>
      <c r="R118" s="10" t="s">
        <v>38</v>
      </c>
      <c r="S118" s="7"/>
      <c r="T118" s="7"/>
      <c r="U118" s="31" t="str">
        <f>IF(T118/(INDEX('Standards for Conversions'!$H$34:$H$73,MATCH(S$3,'Standards for Conversions'!$A$34:$A$73,0)))=0,"",T118/(INDEX('Standards for Conversions'!$H$34:$H$73,MATCH(S$3,'Standards for Conversions'!$A$34:$A$73,0))))</f>
        <v/>
      </c>
      <c r="V118" s="10" t="s">
        <v>38</v>
      </c>
      <c r="W118" s="7"/>
      <c r="X118" s="7"/>
      <c r="Y118" s="31" t="str">
        <f>IF(X118/(INDEX('Standards for Conversions'!$H$34:$H$73,MATCH(W$3,'Standards for Conversions'!$A$34:$A$73,0)))=0,"",X118/(INDEX('Standards for Conversions'!$H$34:$H$73,MATCH(W$3,'Standards for Conversions'!$A$34:$A$73,0))))</f>
        <v/>
      </c>
      <c r="Z118" s="10" t="s">
        <v>38</v>
      </c>
      <c r="AA118" s="9"/>
      <c r="AB118" s="9"/>
      <c r="AC118" s="31" t="str">
        <f>IF(AB118/(INDEX('Standards for Conversions'!$H$34:$H$73,MATCH(AA$3,'Standards for Conversions'!$A$34:$A$73,0)))=0,"",AB118/(INDEX('Standards for Conversions'!$H$34:$H$73,MATCH(AA$3,'Standards for Conversions'!$A$34:$A$73,0))))</f>
        <v/>
      </c>
      <c r="AD118" s="10" t="s">
        <v>38</v>
      </c>
      <c r="AE118" s="7"/>
      <c r="AF118" s="7"/>
      <c r="AG118" s="31" t="str">
        <f>IF(AF118/(INDEX('Standards for Conversions'!$H$34:$H$73,MATCH(AE$3,'Standards for Conversions'!$A$34:$A$73,0)))=0,"",AF118/(INDEX('Standards for Conversions'!$H$34:$H$73,MATCH(AE$3,'Standards for Conversions'!$A$34:$A$73,0))))</f>
        <v/>
      </c>
      <c r="AH118" s="10" t="s">
        <v>38</v>
      </c>
      <c r="AI118" s="7"/>
      <c r="AJ118" s="7"/>
      <c r="AK118" s="31" t="str">
        <f>IF(AJ118/(INDEX('Standards for Conversions'!$H$34:$H$73,MATCH(AI$3,'Standards for Conversions'!$A$34:$A$73,0)))=0,"",AJ118/(INDEX('Standards for Conversions'!$H$34:$H$73,MATCH(AI$3,'Standards for Conversions'!$A$34:$A$73,0))))</f>
        <v/>
      </c>
      <c r="AL118" s="10" t="s">
        <v>38</v>
      </c>
      <c r="AM118" s="7"/>
      <c r="AN118" s="7"/>
      <c r="AO118" s="31" t="str">
        <f>IF(AN118/(INDEX('Standards for Conversions'!$H$34:$H$73,MATCH(AM$3,'Standards for Conversions'!$A$34:$A$73,0)))=0,"",AN118/(INDEX('Standards for Conversions'!$H$34:$H$73,MATCH(AM$3,'Standards for Conversions'!$A$34:$A$73,0))))</f>
        <v/>
      </c>
      <c r="AP118" s="10" t="s">
        <v>38</v>
      </c>
      <c r="AQ118" s="9"/>
      <c r="AR118" s="9"/>
      <c r="AS118" s="31" t="str">
        <f>IF(AR118/(INDEX('Standards for Conversions'!$H$34:$H$73,MATCH(AQ$3,'Standards for Conversions'!$A$34:$A$73,0)))=0,"",AR118/(INDEX('Standards for Conversions'!$H$34:$H$73,MATCH(AQ$3,'Standards for Conversions'!$A$34:$A$73,0))))</f>
        <v/>
      </c>
      <c r="AT118" s="10" t="s">
        <v>38</v>
      </c>
      <c r="AU118" s="7"/>
      <c r="AV118" s="7"/>
      <c r="AW118" s="31" t="str">
        <f>IF(AV118/(INDEX('Standards for Conversions'!$H$34:$H$73,MATCH(AU$3,'Standards for Conversions'!$A$34:$A$73,0)))=0,"",AV118/(INDEX('Standards for Conversions'!$H$34:$H$73,MATCH(AU$3,'Standards for Conversions'!$A$34:$A$73,0))))</f>
        <v/>
      </c>
      <c r="AX118" s="10" t="s">
        <v>38</v>
      </c>
      <c r="AY118" s="7"/>
      <c r="AZ118" s="7"/>
      <c r="BA118" s="31" t="str">
        <f>IF(AZ118/(INDEX('Standards for Conversions'!$H$34:$H$73,MATCH(AY$3,'Standards for Conversions'!$A$34:$A$73,0)))=0,"",AZ118/(INDEX('Standards for Conversions'!$H$34:$H$73,MATCH(AY$3,'Standards for Conversions'!$A$34:$A$73,0))))</f>
        <v/>
      </c>
      <c r="BB118" s="10" t="s">
        <v>38</v>
      </c>
      <c r="BC118" s="7"/>
      <c r="BD118" s="7"/>
      <c r="BE118" s="31" t="str">
        <f>IF(BD118/(INDEX('Standards for Conversions'!$H$34:$H$73,MATCH(BC$3,'Standards for Conversions'!$A$34:$A$73,0)))=0,"",BD118/(INDEX('Standards for Conversions'!$H$34:$H$73,MATCH(BC$3,'Standards for Conversions'!$A$34:$A$73,0))))</f>
        <v/>
      </c>
      <c r="BF118" s="10" t="s">
        <v>38</v>
      </c>
      <c r="BG118" s="9"/>
      <c r="BH118" s="9"/>
      <c r="BI118" s="31" t="str">
        <f>IF(BH118/(INDEX('Standards for Conversions'!$H$34:$H$73,MATCH(BG$3,'Standards for Conversions'!$A$34:$A$73,0)))=0,"",BH118/(INDEX('Standards for Conversions'!$H$34:$H$73,MATCH(BG$3,'Standards for Conversions'!$A$34:$A$73,0))))</f>
        <v/>
      </c>
      <c r="BJ118" s="10" t="s">
        <v>38</v>
      </c>
      <c r="BK118" s="7"/>
      <c r="BL118" s="7"/>
      <c r="BM118" s="31" t="str">
        <f>IF(BL118/(INDEX('Standards for Conversions'!$H$34:$H$73,MATCH(BK$3,'Standards for Conversions'!$A$34:$A$73,0)))=0,"",BL118/(INDEX('Standards for Conversions'!$H$34:$H$73,MATCH(BK$3,'Standards for Conversions'!$A$34:$A$73,0))))</f>
        <v/>
      </c>
      <c r="BN118" s="10" t="s">
        <v>38</v>
      </c>
      <c r="BO118" s="7"/>
      <c r="BP118" s="7"/>
      <c r="BQ118" s="31" t="str">
        <f>IF(BP118/(INDEX('Standards for Conversions'!$H$34:$H$73,MATCH(BO$3,'Standards for Conversions'!$A$34:$A$73,0)))=0,"",BP118/(INDEX('Standards for Conversions'!$H$34:$H$73,MATCH(BO$3,'Standards for Conversions'!$A$34:$A$73,0))))</f>
        <v/>
      </c>
      <c r="BR118" s="10" t="s">
        <v>38</v>
      </c>
      <c r="BS118" s="7"/>
      <c r="BT118" s="7"/>
      <c r="BU118" s="31" t="str">
        <f>IF(BT118/(INDEX('Standards for Conversions'!$H$34:$H$73,MATCH(BS$3,'Standards for Conversions'!$A$34:$A$73,0)))=0,"",BT118/(INDEX('Standards for Conversions'!$H$34:$H$73,MATCH(BS$3,'Standards for Conversions'!$A$34:$A$73,0))))</f>
        <v/>
      </c>
      <c r="BV118" s="10" t="s">
        <v>38</v>
      </c>
      <c r="BW118" s="9"/>
      <c r="BX118" s="9"/>
      <c r="BY118" s="31" t="str">
        <f>IF(BX118/(INDEX('Standards for Conversions'!$H$34:$H$73,MATCH(BW$3,'Standards for Conversions'!$A$34:$A$73,0)))=0,"",BX118/(INDEX('Standards for Conversions'!$H$34:$H$73,MATCH(BW$3,'Standards for Conversions'!$A$34:$A$73,0))))</f>
        <v/>
      </c>
      <c r="BZ118" s="10" t="s">
        <v>38</v>
      </c>
      <c r="CA118" s="7"/>
      <c r="CB118" s="7"/>
      <c r="CC118" s="31" t="str">
        <f>IF(CB118/(INDEX('Standards for Conversions'!$H$34:$H$73,MATCH(CA$3,'Standards for Conversions'!$A$34:$A$73,0)))=0,"",CB118/(INDEX('Standards for Conversions'!$H$34:$H$73,MATCH(CA$3,'Standards for Conversions'!$A$34:$A$73,0))))</f>
        <v/>
      </c>
      <c r="CD118" s="10" t="s">
        <v>38</v>
      </c>
      <c r="CE118" s="7"/>
      <c r="CF118" s="7"/>
      <c r="CG118" s="31" t="str">
        <f>IF(CF118/(INDEX('Standards for Conversions'!$H$34:$H$73,MATCH(CE$3,'Standards for Conversions'!$A$34:$A$73,0)))=0,"",CF118/(INDEX('Standards for Conversions'!$H$34:$H$73,MATCH(CE$3,'Standards for Conversions'!$A$34:$A$73,0))))</f>
        <v/>
      </c>
      <c r="CH118" s="10" t="s">
        <v>38</v>
      </c>
      <c r="CI118" s="7"/>
      <c r="CJ118" s="7"/>
      <c r="CK118" s="31" t="str">
        <f>IF(CJ118/(INDEX('Standards for Conversions'!$H$34:$H$73,MATCH(CI$3,'Standards for Conversions'!$A$34:$A$73,0)))=0,"",CJ118/(INDEX('Standards for Conversions'!$H$34:$H$73,MATCH(CI$3,'Standards for Conversions'!$A$34:$A$73,0))))</f>
        <v/>
      </c>
      <c r="CL118" s="10" t="s">
        <v>38</v>
      </c>
      <c r="CM118" s="9"/>
      <c r="CN118" s="9"/>
      <c r="CO118" s="31" t="str">
        <f>IF(CN118/(INDEX('Standards for Conversions'!$H$34:$H$73,MATCH(CM$3,'Standards for Conversions'!$A$34:$A$73,0)))=0,"",CN118/(INDEX('Standards for Conversions'!$H$34:$H$73,MATCH(CM$3,'Standards for Conversions'!$A$34:$A$73,0))))</f>
        <v/>
      </c>
      <c r="CP118" s="10" t="s">
        <v>38</v>
      </c>
      <c r="CQ118" s="7"/>
      <c r="CR118" s="7"/>
      <c r="CS118" s="31" t="str">
        <f>IF(CR118/(INDEX('Standards for Conversions'!$H$34:$H$73,MATCH(CQ$3,'Standards for Conversions'!$A$34:$A$73,0)))=0,"",CR118/(INDEX('Standards for Conversions'!$H$34:$H$73,MATCH(CQ$3,'Standards for Conversions'!$A$34:$A$73,0))))</f>
        <v/>
      </c>
      <c r="CT118" s="10" t="s">
        <v>38</v>
      </c>
      <c r="CU118" s="7"/>
      <c r="CV118" s="7"/>
      <c r="CW118" s="31" t="str">
        <f>IF(CV118/(INDEX('Standards for Conversions'!$H$34:$H$73,MATCH(CU$3,'Standards for Conversions'!$A$34:$A$73,0)))=0,"",CV118/(INDEX('Standards for Conversions'!$H$34:$H$73,MATCH(CU$3,'Standards for Conversions'!$A$34:$A$73,0))))</f>
        <v/>
      </c>
      <c r="CX118" s="10" t="s">
        <v>38</v>
      </c>
      <c r="CY118" s="7"/>
      <c r="CZ118" s="7"/>
      <c r="DA118" s="31" t="str">
        <f>IF(CZ118/(INDEX('Standards for Conversions'!$H$34:$H$73,MATCH(CY$3,'Standards for Conversions'!$A$34:$A$73,0)))=0,"",CZ118/(INDEX('Standards for Conversions'!$H$34:$H$73,MATCH(CY$3,'Standards for Conversions'!$A$34:$A$73,0))))</f>
        <v/>
      </c>
      <c r="DB118" s="10" t="s">
        <v>38</v>
      </c>
      <c r="DC118" s="9"/>
      <c r="DD118" s="9"/>
      <c r="DE118" s="31" t="str">
        <f>IF(DD118/(INDEX('Standards for Conversions'!$H$34:$H$73,MATCH(DC$3,'Standards for Conversions'!$A$34:$A$73,0)))=0,"",DD118/(INDEX('Standards for Conversions'!$H$34:$H$73,MATCH(DC$3,'Standards for Conversions'!$A$34:$A$73,0))))</f>
        <v/>
      </c>
      <c r="DF118" s="10" t="s">
        <v>38</v>
      </c>
      <c r="DG118" s="7"/>
      <c r="DH118" s="7"/>
      <c r="DI118" s="31" t="str">
        <f>IF(DH118/(INDEX('Standards for Conversions'!$H$34:$H$73,MATCH(DG$3,'Standards for Conversions'!$A$34:$A$73,0)))=0,"",DH118/(INDEX('Standards for Conversions'!$H$34:$H$73,MATCH(DG$3,'Standards for Conversions'!$A$34:$A$73,0))))</f>
        <v/>
      </c>
      <c r="DJ118" s="10" t="s">
        <v>38</v>
      </c>
      <c r="DK118" s="7"/>
      <c r="DL118" s="7"/>
      <c r="DM118" s="31" t="str">
        <f>IF(DL118/(INDEX('Standards for Conversions'!$H$34:$H$73,MATCH(DK$3,'Standards for Conversions'!$A$34:$A$73,0)))=0,"",DL118/(INDEX('Standards for Conversions'!$H$34:$H$73,MATCH(DK$3,'Standards for Conversions'!$A$34:$A$73,0))))</f>
        <v/>
      </c>
      <c r="DN118" s="10" t="s">
        <v>38</v>
      </c>
      <c r="DO118" s="7"/>
      <c r="DP118" s="7"/>
      <c r="DQ118" s="31" t="str">
        <f>IF(DP118/(INDEX('Standards for Conversions'!$H$34:$H$73,MATCH(DO$3,'Standards for Conversions'!$A$34:$A$73,0)))=0,"",DP118/(INDEX('Standards for Conversions'!$H$34:$H$73,MATCH(DO$3,'Standards for Conversions'!$A$34:$A$73,0))))</f>
        <v/>
      </c>
      <c r="DR118" s="10" t="s">
        <v>38</v>
      </c>
      <c r="DS118" s="9"/>
      <c r="DT118" s="9"/>
      <c r="DU118" s="31" t="str">
        <f>IF(DT118/(INDEX('Standards for Conversions'!$H$34:$H$73,MATCH(DS$3,'Standards for Conversions'!$A$34:$A$73,0)))=0,"",DT118/(INDEX('Standards for Conversions'!$H$34:$H$73,MATCH(DS$3,'Standards for Conversions'!$A$34:$A$73,0))))</f>
        <v/>
      </c>
      <c r="DV118" s="10" t="s">
        <v>38</v>
      </c>
      <c r="DW118" s="7"/>
      <c r="DX118" s="7"/>
      <c r="DY118" s="31" t="str">
        <f>IF(DX118/(INDEX('Standards for Conversions'!$H$34:$H$73,MATCH(DW$3,'Standards for Conversions'!$A$34:$A$73,0)))=0,"",DX118/(INDEX('Standards for Conversions'!$H$34:$H$73,MATCH(DW$3,'Standards for Conversions'!$A$34:$A$73,0))))</f>
        <v/>
      </c>
      <c r="DZ118" s="10" t="s">
        <v>38</v>
      </c>
      <c r="EA118" s="7"/>
      <c r="EB118" s="7"/>
      <c r="EC118" s="31" t="str">
        <f>IF(EB118/(INDEX('Standards for Conversions'!$H$34:$H$73,MATCH(EA$3,'Standards for Conversions'!$A$34:$A$73,0)))=0,"",EB118/(INDEX('Standards for Conversions'!$H$34:$H$73,MATCH(EA$3,'Standards for Conversions'!$A$34:$A$73,0))))</f>
        <v/>
      </c>
      <c r="ED118" s="10" t="s">
        <v>38</v>
      </c>
      <c r="EE118" s="7"/>
      <c r="EF118" s="7"/>
      <c r="EG118" s="31" t="str">
        <f>IF(EF118/(INDEX('Standards for Conversions'!$H$34:$H$73,MATCH(EE$3,'Standards for Conversions'!$A$34:$A$73,0)))=0,"",EF118/(INDEX('Standards for Conversions'!$H$34:$H$73,MATCH(EE$3,'Standards for Conversions'!$A$34:$A$73,0))))</f>
        <v/>
      </c>
      <c r="EH118" s="10" t="s">
        <v>38</v>
      </c>
      <c r="EI118" s="9"/>
      <c r="EJ118" s="9"/>
      <c r="EK118" s="31" t="str">
        <f>IF(EJ118/(INDEX('Standards for Conversions'!$H$34:$H$73,MATCH(EI$3,'Standards for Conversions'!$A$34:$A$73,0)))=0,"",EJ118/(INDEX('Standards for Conversions'!$H$34:$H$73,MATCH(EI$3,'Standards for Conversions'!$A$34:$A$73,0))))</f>
        <v/>
      </c>
      <c r="EL118" s="10" t="s">
        <v>38</v>
      </c>
      <c r="EM118" s="7"/>
      <c r="EN118" s="7"/>
      <c r="EO118" s="31" t="str">
        <f>IF(EN118/(INDEX('Standards for Conversions'!$H$34:$H$73,MATCH(EM$3,'Standards for Conversions'!$A$34:$A$73,0)))=0,"",EN118/(INDEX('Standards for Conversions'!$H$34:$H$73,MATCH(EM$3,'Standards for Conversions'!$A$34:$A$73,0))))</f>
        <v/>
      </c>
      <c r="EP118" s="10" t="s">
        <v>38</v>
      </c>
      <c r="EQ118" s="7"/>
      <c r="ER118" s="7"/>
      <c r="ES118" s="31" t="str">
        <f>IF(ER118/(INDEX('Standards for Conversions'!$H$34:$H$73,MATCH(EQ$3,'Standards for Conversions'!$A$34:$A$73,0)))=0,"",ER118/(INDEX('Standards for Conversions'!$H$34:$H$73,MATCH(EQ$3,'Standards for Conversions'!$A$34:$A$73,0))))</f>
        <v/>
      </c>
      <c r="ET118" s="10" t="s">
        <v>38</v>
      </c>
      <c r="EU118" s="7"/>
      <c r="EV118" s="7"/>
      <c r="EW118" s="31" t="str">
        <f>IF(EV118/(INDEX('Standards for Conversions'!$H$34:$H$73,MATCH(EU$3,'Standards for Conversions'!$A$34:$A$73,0)))=0,"",EV118/(INDEX('Standards for Conversions'!$H$34:$H$73,MATCH(EU$3,'Standards for Conversions'!$A$34:$A$73,0))))</f>
        <v/>
      </c>
      <c r="EX118" s="10" t="s">
        <v>38</v>
      </c>
      <c r="EY118" s="9"/>
      <c r="EZ118" s="9"/>
      <c r="FA118" s="31" t="str">
        <f>IF(EZ118/(INDEX('Standards for Conversions'!$H$34:$H$73,MATCH(EY$3,'Standards for Conversions'!$A$34:$A$73,0)))=0,"",EZ118/(INDEX('Standards for Conversions'!$H$34:$H$73,MATCH(EY$3,'Standards for Conversions'!$A$34:$A$73,0))))</f>
        <v/>
      </c>
      <c r="FB118" s="10" t="s">
        <v>38</v>
      </c>
      <c r="FC118" s="7"/>
      <c r="FD118" s="7"/>
      <c r="FE118" s="31" t="str">
        <f>IF(FD118/(INDEX('Standards for Conversions'!$H$34:$H$73,MATCH(FC$3,'Standards for Conversions'!$A$34:$A$73,0)))=0,"",FD118/(INDEX('Standards for Conversions'!$H$34:$H$73,MATCH(FC$3,'Standards for Conversions'!$A$34:$A$73,0))))</f>
        <v/>
      </c>
      <c r="FF118" s="10" t="s">
        <v>38</v>
      </c>
      <c r="FG118" s="7"/>
      <c r="FH118" s="7"/>
      <c r="FI118" s="31" t="str">
        <f>IF(FH118/(INDEX('Standards for Conversions'!$H$34:$H$73,MATCH(FG$3,'Standards for Conversions'!$A$34:$A$73,0)))=0,"",FH118/(INDEX('Standards for Conversions'!$H$34:$H$73,MATCH(FG$3,'Standards for Conversions'!$A$34:$A$73,0))))</f>
        <v/>
      </c>
      <c r="FJ118" s="10" t="s">
        <v>38</v>
      </c>
      <c r="FK118" s="7"/>
      <c r="FL118" s="7"/>
      <c r="FM118" s="31" t="str">
        <f>IF(FL118/(INDEX('Standards for Conversions'!$H$34:$H$73,MATCH(FK$3,'Standards for Conversions'!$A$34:$A$73,0)))=0,"",FL118/(INDEX('Standards for Conversions'!$H$34:$H$73,MATCH(FK$3,'Standards for Conversions'!$A$34:$A$73,0))))</f>
        <v/>
      </c>
      <c r="FN118" s="10" t="s">
        <v>38</v>
      </c>
      <c r="FO118" s="9"/>
      <c r="FP118" s="9"/>
      <c r="FQ118" s="31" t="str">
        <f>IF(FP118/(INDEX('Standards for Conversions'!$H$34:$H$73,MATCH(FO$3,'Standards for Conversions'!$A$34:$A$73,0)))=0,"",FP118/(INDEX('Standards for Conversions'!$H$34:$H$73,MATCH(FO$3,'Standards for Conversions'!$A$34:$A$73,0))))</f>
        <v/>
      </c>
      <c r="FR118" s="10" t="s">
        <v>38</v>
      </c>
      <c r="FS118" s="7"/>
      <c r="FT118" s="7"/>
      <c r="FU118" s="31" t="str">
        <f>IF(FT118/(INDEX('Standards for Conversions'!$H$34:$H$73,MATCH(FS$3,'Standards for Conversions'!$A$34:$A$73,0)))=0,"",FT118/(INDEX('Standards for Conversions'!$H$34:$H$73,MATCH(FS$3,'Standards for Conversions'!$A$34:$A$73,0))))</f>
        <v/>
      </c>
      <c r="FV118" s="10" t="s">
        <v>38</v>
      </c>
      <c r="FW118" s="7"/>
      <c r="FX118" s="7"/>
      <c r="FY118" s="31" t="str">
        <f>IF(FX118/(INDEX('Standards for Conversions'!$H$34:$H$73,MATCH(FW$3,'Standards for Conversions'!$A$34:$A$73,0)))=0,"",FX118/(INDEX('Standards for Conversions'!$H$34:$H$73,MATCH(FW$3,'Standards for Conversions'!$A$34:$A$73,0))))</f>
        <v/>
      </c>
      <c r="FZ118" s="10" t="s">
        <v>38</v>
      </c>
      <c r="GA118" s="7"/>
      <c r="GB118" s="7"/>
      <c r="GC118" s="31" t="str">
        <f>IF(GB118/(INDEX('Standards for Conversions'!$H$34:$H$73,MATCH(GA$3,'Standards for Conversions'!$A$34:$A$73,0)))=0,"",GB118/(INDEX('Standards for Conversions'!$H$34:$H$73,MATCH(GA$3,'Standards for Conversions'!$A$34:$A$73,0))))</f>
        <v/>
      </c>
      <c r="GD118" s="10" t="s">
        <v>38</v>
      </c>
      <c r="GE118" s="9"/>
      <c r="GF118" s="9"/>
      <c r="GG118" s="31" t="str">
        <f>IF(GF118/(INDEX('Standards for Conversions'!$H$34:$H$73,MATCH(GE$3,'Standards for Conversions'!$A$34:$A$73,0)))=0,"",GF118/(INDEX('Standards for Conversions'!$H$34:$H$73,MATCH(GE$3,'Standards for Conversions'!$A$34:$A$73,0))))</f>
        <v/>
      </c>
      <c r="GH118" s="10" t="s">
        <v>38</v>
      </c>
      <c r="GI118" s="7"/>
      <c r="GJ118" s="7"/>
      <c r="GK118" s="31" t="str">
        <f>IF(GJ118/(INDEX('Standards for Conversions'!$H$34:$H$73,MATCH(GI$3,'Standards for Conversions'!$A$34:$A$73,0)))=0,"",GJ118/(INDEX('Standards for Conversions'!$H$34:$H$73,MATCH(GI$3,'Standards for Conversions'!$A$34:$A$73,0))))</f>
        <v/>
      </c>
      <c r="GL118" s="10" t="s">
        <v>38</v>
      </c>
      <c r="GM118" s="7"/>
      <c r="GN118" s="7"/>
      <c r="GO118" s="31" t="str">
        <f>IF(GN118/(INDEX('Standards for Conversions'!$H$34:$H$73,MATCH(GM$3,'Standards for Conversions'!$A$34:$A$73,0)))=0,"",GN118/(INDEX('Standards for Conversions'!$H$34:$H$73,MATCH(GM$3,'Standards for Conversions'!$A$34:$A$73,0))))</f>
        <v/>
      </c>
      <c r="GP118" s="10" t="s">
        <v>38</v>
      </c>
      <c r="GQ118" s="7"/>
      <c r="GR118" s="7"/>
      <c r="GS118" s="31" t="str">
        <f>IF(GR118/(INDEX('Standards for Conversions'!$H$34:$H$73,MATCH(GQ$3,'Standards for Conversions'!$A$34:$A$73,0)))=0,"",GR118/(INDEX('Standards for Conversions'!$H$34:$H$73,MATCH(GQ$3,'Standards for Conversions'!$A$34:$A$73,0))))</f>
        <v/>
      </c>
      <c r="GT118" s="10" t="s">
        <v>38</v>
      </c>
      <c r="GU118" s="9"/>
      <c r="GV118" s="9"/>
      <c r="GW118" s="31" t="str">
        <f>IF(GV118/(INDEX('Standards for Conversions'!$H$34:$H$73,MATCH(GU$3,'Standards for Conversions'!$A$34:$A$73,0)))=0,"",GV118/(INDEX('Standards for Conversions'!$H$34:$H$73,MATCH(GU$3,'Standards for Conversions'!$A$34:$A$73,0))))</f>
        <v/>
      </c>
      <c r="GX118" s="10" t="s">
        <v>38</v>
      </c>
      <c r="GY118" s="7"/>
      <c r="GZ118" s="7"/>
      <c r="HA118" s="31" t="str">
        <f>IF(GZ118/(INDEX('Standards for Conversions'!$H$34:$H$73,MATCH(GY$3,'Standards for Conversions'!$A$34:$A$73,0)))=0,"",GZ118/(INDEX('Standards for Conversions'!$H$34:$H$73,MATCH(GY$3,'Standards for Conversions'!$A$34:$A$73,0))))</f>
        <v/>
      </c>
      <c r="HB118" s="10" t="s">
        <v>38</v>
      </c>
      <c r="HC118" s="7"/>
      <c r="HD118" s="7"/>
      <c r="HE118" s="31" t="str">
        <f>IF(HD118/(INDEX('Standards for Conversions'!$H$34:$H$73,MATCH(HC$3,'Standards for Conversions'!$A$34:$A$73,0)))=0,"",HD118/(INDEX('Standards for Conversions'!$H$34:$H$73,MATCH(HC$3,'Standards for Conversions'!$A$34:$A$73,0))))</f>
        <v/>
      </c>
      <c r="HF118" s="10" t="s">
        <v>38</v>
      </c>
      <c r="HG118" s="7"/>
      <c r="HH118" s="7"/>
      <c r="HI118" s="31" t="str">
        <f>IF(HH118/(INDEX('Standards for Conversions'!$H$34:$H$73,MATCH(HG$3,'Standards for Conversions'!$A$34:$A$73,0)))=0,"",HH118/(INDEX('Standards for Conversions'!$H$34:$H$73,MATCH(HG$3,'Standards for Conversions'!$A$34:$A$73,0))))</f>
        <v/>
      </c>
      <c r="HJ118" s="10" t="s">
        <v>38</v>
      </c>
      <c r="HK118" s="9"/>
      <c r="HL118" s="9"/>
      <c r="HM118" s="31" t="str">
        <f>IF(HL118/(INDEX('Standards for Conversions'!$H$34:$H$73,MATCH(HK$3,'Standards for Conversions'!$A$34:$A$73,0)))=0,"",HL118/(INDEX('Standards for Conversions'!$H$34:$H$73,MATCH(HK$3,'Standards for Conversions'!$A$34:$A$73,0))))</f>
        <v/>
      </c>
      <c r="HN118" s="10" t="s">
        <v>38</v>
      </c>
      <c r="HO118" s="7"/>
      <c r="HP118" s="7"/>
      <c r="HQ118" s="31" t="str">
        <f>IF(HP118/(INDEX('Standards for Conversions'!$H$34:$H$73,MATCH(HO$3,'Standards for Conversions'!$A$34:$A$73,0)))=0,"",HP118/(INDEX('Standards for Conversions'!$H$34:$H$73,MATCH(HO$3,'Standards for Conversions'!$A$34:$A$73,0))))</f>
        <v/>
      </c>
      <c r="HR118" s="33" t="s">
        <v>38</v>
      </c>
      <c r="HU118" s="31" t="str">
        <f>IF(HT118/(INDEX('Standards for Conversions'!$H$47:$H$73,MATCH(HS$3,'Standards for Conversions'!$A$47:$A$73,0)))=0,"",HT118/(INDEX('Standards for Conversions'!$H$47:$H$73,MATCH(HS$3,'Standards for Conversions'!$A$47:$A$73,0))))</f>
        <v/>
      </c>
      <c r="HV118" s="33" t="s">
        <v>38</v>
      </c>
      <c r="HY118" s="31" t="str">
        <f>IF(HX118/(INDEX('Standards for Conversions'!$H$47:$H$73,MATCH(HW$3,'Standards for Conversions'!$A$47:$A$73,0)))=0,"",HX118/(INDEX('Standards for Conversions'!$H$47:$H$73,MATCH(HW$3,'Standards for Conversions'!$A$47:$A$73,0))))</f>
        <v/>
      </c>
      <c r="HZ118" s="33">
        <v>2500</v>
      </c>
      <c r="IA118" s="33">
        <v>3000</v>
      </c>
      <c r="IB118" s="31">
        <f>IF(IA118/(INDEX('Standards for Conversions'!$H$47:$H$73,MATCH(HZ$3,'Standards for Conversions'!$A$47:$A$73,0)))=0,"",IA118/(INDEX('Standards for Conversions'!$H$47:$H$73,MATCH(HZ$3,'Standards for Conversions'!$A$47:$A$73,0))))</f>
        <v>435.7362366385679</v>
      </c>
      <c r="IC118" s="33" t="s">
        <v>38</v>
      </c>
      <c r="IF118" s="31" t="str">
        <f>IF(IE118/(INDEX('Standards for Conversions'!$H$47:$H$73,MATCH(ID$3,'Standards for Conversions'!$A$47:$A$73,0)))=0,"",IE118/(INDEX('Standards for Conversions'!$H$47:$H$73,MATCH(ID$3,'Standards for Conversions'!$A$47:$A$73,0))))</f>
        <v/>
      </c>
      <c r="IG118" s="33" t="s">
        <v>38</v>
      </c>
      <c r="IJ118" s="31" t="str">
        <f>IF(II118/(INDEX('Standards for Conversions'!$H$47:$H$73,MATCH(IH$3,'Standards for Conversions'!$A$47:$A$73,0)))=0,"",II118/(INDEX('Standards for Conversions'!$H$47:$H$73,MATCH(IH$3,'Standards for Conversions'!$A$47:$A$73,0))))</f>
        <v/>
      </c>
      <c r="IK118" s="33" t="s">
        <v>38</v>
      </c>
      <c r="IN118" s="31" t="str">
        <f>IF(IM118/(INDEX('Standards for Conversions'!$H$47:$H$73,MATCH(IL$3,'Standards for Conversions'!$A$47:$A$73,0)))=0,"",IM118/(INDEX('Standards for Conversions'!$H$47:$H$73,MATCH(IL$3,'Standards for Conversions'!$A$47:$A$73,0))))</f>
        <v/>
      </c>
      <c r="IO118" s="33" t="s">
        <v>38</v>
      </c>
      <c r="IP118" s="29">
        <v>900</v>
      </c>
      <c r="IQ118" s="29">
        <v>4000</v>
      </c>
      <c r="IR118" s="31">
        <f>IF(IQ118/(INDEX('Standards for Conversions'!$H$47:$H$73,MATCH(IP$3,'Standards for Conversions'!$A$47:$A$73,0)))=0,"",IQ118/(INDEX('Standards for Conversions'!$H$47:$H$73,MATCH(IP$3,'Standards for Conversions'!$A$47:$A$73,0))))</f>
        <v>578.44091277772941</v>
      </c>
      <c r="IS118" s="33" t="s">
        <v>38</v>
      </c>
      <c r="IV118" s="31" t="str">
        <f>IF(IU118/(INDEX('Standards for Conversions'!$H$47:$H$73,MATCH(IT$3,'Standards for Conversions'!$A$47:$A$73,0)))=0,"",IU118/(INDEX('Standards for Conversions'!$H$47:$H$73,MATCH(IT$3,'Standards for Conversions'!$A$47:$A$73,0))))</f>
        <v/>
      </c>
      <c r="IW118" s="33" t="s">
        <v>38</v>
      </c>
      <c r="IZ118" s="31" t="str">
        <f>IF(IY118/(INDEX('Standards for Conversions'!$H$47:$H$73,MATCH(IX$3,'Standards for Conversions'!$A$47:$A$73,0)))=0,"",IY118/(INDEX('Standards for Conversions'!$H$47:$H$73,MATCH(IX$3,'Standards for Conversions'!$A$47:$A$73,0))))</f>
        <v/>
      </c>
      <c r="JA118" s="48" t="s">
        <v>38</v>
      </c>
      <c r="JD118" s="31" t="str">
        <f>IF(JC118/(INDEX('Standards for Conversions'!$H$47:$H$73,MATCH(JB$3,'Standards for Conversions'!$A$47:$A$73,0)))=0,"",JC118/(INDEX('Standards for Conversions'!$H$47:$H$73,MATCH(JB$3,'Standards for Conversions'!$A$47:$A$73,0))))</f>
        <v/>
      </c>
      <c r="JE118" s="48" t="s">
        <v>38</v>
      </c>
      <c r="JF118" s="29">
        <v>480</v>
      </c>
      <c r="JG118" s="29">
        <v>2300</v>
      </c>
      <c r="JH118" s="31">
        <f>IF(JG118/(INDEX('Standards for Conversions'!$H$47:$H$73,MATCH(JF$3,'Standards for Conversions'!$A$47:$A$73,0)))=0,"",JG118/(INDEX('Standards for Conversions'!$H$47:$H$73,MATCH(JF$3,'Standards for Conversions'!$A$47:$A$73,0))))</f>
        <v>372.04845239129799</v>
      </c>
      <c r="JI118" s="33"/>
      <c r="JL118" s="31" t="str">
        <f>IF(JK118/(INDEX('Standards for Conversions'!$H$47:$H$73,MATCH(JJ$3,'Standards for Conversions'!$A$47:$A$73,0)))=0,"",JK118/(INDEX('Standards for Conversions'!$H$47:$H$73,MATCH(JJ$3,'Standards for Conversions'!$A$47:$A$73,0))))</f>
        <v/>
      </c>
      <c r="JM118" s="33" t="s">
        <v>38</v>
      </c>
      <c r="JP118" s="31" t="str">
        <f>IF(JO118/(INDEX('Standards for Conversions'!$H$47:$H$73,MATCH(JN$3,'Standards for Conversions'!$A$47:$A$73,0)))=0,"",JO118/(INDEX('Standards for Conversions'!$H$47:$H$73,MATCH(JN$3,'Standards for Conversions'!$A$47:$A$73,0))))</f>
        <v/>
      </c>
      <c r="JQ118" s="33" t="s">
        <v>38</v>
      </c>
      <c r="JT118" s="31" t="str">
        <f>IF(JS118/(INDEX('Standards for Conversions'!$H$47:$H$73,MATCH(JR$3,'Standards for Conversions'!$A$47:$A$73,0)))=0,"",JS118/(INDEX('Standards for Conversions'!$H$47:$H$73,MATCH(JR$3,'Standards for Conversions'!$A$47:$A$73,0))))</f>
        <v/>
      </c>
      <c r="JU118" s="33" t="s">
        <v>38</v>
      </c>
      <c r="JV118" s="29">
        <v>800</v>
      </c>
      <c r="JW118" s="29">
        <v>2000</v>
      </c>
      <c r="JX118" s="31">
        <f>IF(JW118/(INDEX('Standards for Conversions'!$H$47:$H$73,MATCH(JV$3,'Standards for Conversions'!$A$47:$A$73,0)))=0,"",JW118/(INDEX('Standards for Conversions'!$H$47:$H$73,MATCH(JV$3,'Standards for Conversions'!$A$47:$A$73,0))))</f>
        <v>305.31178485559514</v>
      </c>
      <c r="JY118" s="33" t="s">
        <v>38</v>
      </c>
      <c r="KB118" s="31" t="str">
        <f>IF(KA118/(INDEX('Standards for Conversions'!$H$47:$H$73,MATCH(JZ$3,'Standards for Conversions'!$A$47:$A$73,0)))=0,"",KA118/(INDEX('Standards for Conversions'!$H$47:$H$73,MATCH(JZ$3,'Standards for Conversions'!$A$47:$A$73,0))))</f>
        <v/>
      </c>
      <c r="KC118" s="33" t="s">
        <v>38</v>
      </c>
      <c r="KF118" s="31" t="str">
        <f>IF(KE118/(INDEX('Standards for Conversions'!$H$47:$H$73,MATCH(KD$3,'Standards for Conversions'!$A$47:$A$73,0)))=0,"",KE118/(INDEX('Standards for Conversions'!$H$47:$H$73,MATCH(KD$3,'Standards for Conversions'!$A$47:$A$73,0))))</f>
        <v/>
      </c>
      <c r="KG118" s="33" t="s">
        <v>38</v>
      </c>
      <c r="KJ118" s="31" t="str">
        <f>IF(KI118/(INDEX('Standards for Conversions'!$H$47:$H$73,MATCH(KH$3,'Standards for Conversions'!$A$47:$A$73,0)))=0,"",KI118/(INDEX('Standards for Conversions'!$H$47:$H$73,MATCH(KH$3,'Standards for Conversions'!$A$47:$A$73,0))))</f>
        <v/>
      </c>
      <c r="KK118" s="33" t="s">
        <v>38</v>
      </c>
      <c r="KL118" s="29">
        <v>700</v>
      </c>
      <c r="KM118" s="29">
        <v>2000</v>
      </c>
      <c r="KN118" s="31">
        <f>IF(KM118/(INDEX('Standards for Conversions'!$H$47:$H$73,MATCH(KL$3,'Standards for Conversions'!$A$47:$A$73,0)))=0,"",KM118/(INDEX('Standards for Conversions'!$H$47:$H$73,MATCH(KL$3,'Standards for Conversions'!$A$47:$A$73,0))))</f>
        <v>269.31802381159292</v>
      </c>
      <c r="KO118" s="33" t="s">
        <v>38</v>
      </c>
      <c r="KR118" s="31" t="str">
        <f>IF(KQ118/(INDEX('Standards for Conversions'!$H$47:$H$73,MATCH(KP$3,'Standards for Conversions'!$A$47:$A$73,0)))=0,"",KQ118/(INDEX('Standards for Conversions'!$H$47:$H$73,MATCH(KP$3,'Standards for Conversions'!$A$47:$A$73,0))))</f>
        <v/>
      </c>
      <c r="KS118" s="33" t="s">
        <v>38</v>
      </c>
      <c r="KV118" s="31" t="str">
        <f>IF(KU118/(INDEX('Standards for Conversions'!$H$47:$H$73,MATCH(KT$3,'Standards for Conversions'!$A$47:$A$73,0)))=0,"",KU118/(INDEX('Standards for Conversions'!$H$47:$H$73,MATCH(KT$3,'Standards for Conversions'!$A$47:$A$73,0))))</f>
        <v/>
      </c>
      <c r="KW118" s="48" t="s">
        <v>38</v>
      </c>
      <c r="KZ118" s="31" t="str">
        <f>IF(KY118/(INDEX('Standards for Conversions'!$H$47:$H$73,MATCH(KX$3,'Standards for Conversions'!$A$47:$A$73,0)))=0,"",KY118/(INDEX('Standards for Conversions'!$H$47:$H$73,MATCH(KX$3,'Standards for Conversions'!$A$47:$A$73,0))))</f>
        <v/>
      </c>
      <c r="LA118" s="48" t="s">
        <v>38</v>
      </c>
      <c r="LB118" s="29">
        <v>41</v>
      </c>
      <c r="LC118" s="29">
        <v>680</v>
      </c>
      <c r="LD118" s="31">
        <f>IF(LC118/(INDEX('Standards for Conversions'!$H$47:$H$73,MATCH(LB$3,'Standards for Conversions'!$A$47:$A$73,0)))=0,"",LC118/(INDEX('Standards for Conversions'!$H$47:$H$73,MATCH(LB$3,'Standards for Conversions'!$A$47:$A$73,0))))</f>
        <v>82.699265374699436</v>
      </c>
      <c r="LE118" s="33"/>
      <c r="LH118" s="31" t="str">
        <f>IF(LG118/(INDEX('Standards for Conversions'!$H$47:$H$73,MATCH(LF$3,'Standards for Conversions'!$A$47:$A$73,0)))=0,"",LG118/(INDEX('Standards for Conversions'!$H$47:$H$73,MATCH(LF$3,'Standards for Conversions'!$A$47:$A$73,0))))</f>
        <v/>
      </c>
      <c r="LL118" s="31" t="str">
        <f>IF(LK118/(INDEX('Standards for Conversions'!$H$47:$H$73,MATCH(LJ$3,'Standards for Conversions'!$A$47:$A$73,0)))=0,"",LK118/(INDEX('Standards for Conversions'!$H$47:$H$73,MATCH(LJ$3,'Standards for Conversions'!$A$47:$A$73,0))))</f>
        <v/>
      </c>
      <c r="LO118" s="31" t="str">
        <f>IF(LN118/(INDEX('Standards for Conversions'!$H$47:$H$73,MATCH(LM$3,'Standards for Conversions'!$A$47:$A$73,0)))=0,"",LN118/(INDEX('Standards for Conversions'!$H$47:$H$73,MATCH(LM$3,'Standards for Conversions'!$A$47:$A$73,0))))</f>
        <v/>
      </c>
      <c r="LR118" s="31" t="str">
        <f>IF(LQ118/(INDEX('Standards for Conversions'!$H$47:$H$73,MATCH(LP$3,'Standards for Conversions'!$A$47:$A$73,0)))=0,"",LQ118/(INDEX('Standards for Conversions'!$H$47:$H$73,MATCH(LP$3,'Standards for Conversions'!$A$47:$A$73,0))))</f>
        <v/>
      </c>
      <c r="LV118" s="31" t="str">
        <f>IF(LU118/(INDEX('Standards for Conversions'!$H$47:$H$73,MATCH(LT$3,'Standards for Conversions'!$A$47:$A$73,0)))=0,"",LU118/(INDEX('Standards for Conversions'!$H$47:$H$73,MATCH(LT$3,'Standards for Conversions'!$A$47:$A$73,0))))</f>
        <v/>
      </c>
      <c r="LY118" s="31" t="str">
        <f>IF(LX118/(INDEX('Standards for Conversions'!$H$47:$H$73,MATCH(LW$3,'Standards for Conversions'!$A$47:$A$73,0)))=0,"",LX118/(INDEX('Standards for Conversions'!$H$47:$H$73,MATCH(LW$3,'Standards for Conversions'!$A$47:$A$73,0))))</f>
        <v/>
      </c>
      <c r="MB118" s="31" t="str">
        <f>IF(MA118/(INDEX('Standards for Conversions'!$H$47:$H$73,MATCH(LZ$3,'Standards for Conversions'!$A$47:$A$73,0)))=0,"",MA118/(INDEX('Standards for Conversions'!$H$47:$H$73,MATCH(LZ$3,'Standards for Conversions'!$A$47:$A$73,0))))</f>
        <v/>
      </c>
      <c r="ME118" s="31" t="str">
        <f>IF(MD118/(INDEX('Standards for Conversions'!$H$47:$H$73,MATCH(MC$3,'Standards for Conversions'!$A$47:$A$73,0)))=0,"",MD118/(INDEX('Standards for Conversions'!$H$47:$H$73,MATCH(MC$3,'Standards for Conversions'!$A$47:$A$73,0))))</f>
        <v/>
      </c>
      <c r="MH118" s="31" t="str">
        <f>IF(MG118/(INDEX('Standards for Conversions'!$H$47:$H$73,MATCH(MF$3,'Standards for Conversions'!$A$47:$A$73,0)))=0,"",MG118/(INDEX('Standards for Conversions'!$H$47:$H$73,MATCH(MF$3,'Standards for Conversions'!$A$47:$A$73,0))))</f>
        <v/>
      </c>
      <c r="MK118" s="31" t="str">
        <f>IF(MJ118/(INDEX('Standards for Conversions'!$H$47:$H$73,MATCH(MI$3,'Standards for Conversions'!$A$47:$A$73,0)))=0,"",MJ118/(INDEX('Standards for Conversions'!$H$47:$H$73,MATCH(MI$3,'Standards for Conversions'!$A$47:$A$73,0))))</f>
        <v/>
      </c>
      <c r="MN118" s="31" t="str">
        <f>IF(MM118/(INDEX('Standards for Conversions'!$H$47:$H$73,MATCH(ML$3,'Standards for Conversions'!$A$47:$A$73,0)))=0,"",MM118/(INDEX('Standards for Conversions'!$H$47:$H$73,MATCH(ML$3,'Standards for Conversions'!$A$47:$A$73,0))))</f>
        <v/>
      </c>
      <c r="MR118" s="31" t="str">
        <f>IF(MQ118/(INDEX('Standards for Conversions'!$H$47:$H$73,MATCH(MP$3,'Standards for Conversions'!$A$47:$A$73,0)))=0,"",MQ118/(INDEX('Standards for Conversions'!$H$47:$H$73,MATCH(MP$3,'Standards for Conversions'!$A$47:$A$73,0))))</f>
        <v/>
      </c>
    </row>
    <row r="119" spans="1:356" hidden="1" x14ac:dyDescent="0.3">
      <c r="A119" s="103" t="s">
        <v>284</v>
      </c>
      <c r="B119" s="10" t="s">
        <v>18</v>
      </c>
      <c r="C119" s="7"/>
      <c r="D119" s="7"/>
      <c r="E119" s="31" t="str">
        <f>IF(D119/(INDEX('Standards for Conversions'!$H$34:$H$73,MATCH(C$3,'Standards for Conversions'!$A$34:$A$73,0)))=0,"",D119/(INDEX('Standards for Conversions'!$H$34:$H$73,MATCH(C$3,'Standards for Conversions'!$A$34:$A$73,0))))</f>
        <v/>
      </c>
      <c r="F119" s="10" t="s">
        <v>18</v>
      </c>
      <c r="G119" s="7"/>
      <c r="H119" s="7"/>
      <c r="I119" s="31" t="str">
        <f>IF(H119/(INDEX('Standards for Conversions'!$H$34:$H$73,MATCH(G$3,'Standards for Conversions'!$A$34:$A$73,0)))=0,"",H119/(INDEX('Standards for Conversions'!$H$34:$H$73,MATCH(G$3,'Standards for Conversions'!$A$34:$A$73,0))))</f>
        <v/>
      </c>
      <c r="J119" s="10" t="s">
        <v>18</v>
      </c>
      <c r="K119" s="9"/>
      <c r="L119" s="9"/>
      <c r="M119" s="31" t="str">
        <f>IF(L119/(INDEX('Standards for Conversions'!$H$34:$H$73,MATCH(K$3,'Standards for Conversions'!$A$34:$A$73,0)))=0,"",L119/(INDEX('Standards for Conversions'!$H$34:$H$73,MATCH(K$3,'Standards for Conversions'!$A$34:$A$73,0))))</f>
        <v/>
      </c>
      <c r="N119" s="10" t="s">
        <v>18</v>
      </c>
      <c r="O119" s="7"/>
      <c r="P119" s="7"/>
      <c r="Q119" s="31" t="str">
        <f>IF(P119/(INDEX('Standards for Conversions'!$H$34:$H$73,MATCH(O$3,'Standards for Conversions'!$A$34:$A$73,0)))=0,"",P119/(INDEX('Standards for Conversions'!$H$34:$H$73,MATCH(O$3,'Standards for Conversions'!$A$34:$A$73,0))))</f>
        <v/>
      </c>
      <c r="R119" s="10" t="s">
        <v>18</v>
      </c>
      <c r="S119" s="7"/>
      <c r="T119" s="7"/>
      <c r="U119" s="31" t="str">
        <f>IF(T119/(INDEX('Standards for Conversions'!$H$34:$H$73,MATCH(S$3,'Standards for Conversions'!$A$34:$A$73,0)))=0,"",T119/(INDEX('Standards for Conversions'!$H$34:$H$73,MATCH(S$3,'Standards for Conversions'!$A$34:$A$73,0))))</f>
        <v/>
      </c>
      <c r="V119" s="10" t="s">
        <v>18</v>
      </c>
      <c r="W119" s="7"/>
      <c r="X119" s="7"/>
      <c r="Y119" s="31" t="str">
        <f>IF(X119/(INDEX('Standards for Conversions'!$H$34:$H$73,MATCH(W$3,'Standards for Conversions'!$A$34:$A$73,0)))=0,"",X119/(INDEX('Standards for Conversions'!$H$34:$H$73,MATCH(W$3,'Standards for Conversions'!$A$34:$A$73,0))))</f>
        <v/>
      </c>
      <c r="Z119" s="10" t="s">
        <v>18</v>
      </c>
      <c r="AA119" s="9"/>
      <c r="AB119" s="9"/>
      <c r="AC119" s="31" t="str">
        <f>IF(AB119/(INDEX('Standards for Conversions'!$H$34:$H$73,MATCH(AA$3,'Standards for Conversions'!$A$34:$A$73,0)))=0,"",AB119/(INDEX('Standards for Conversions'!$H$34:$H$73,MATCH(AA$3,'Standards for Conversions'!$A$34:$A$73,0))))</f>
        <v/>
      </c>
      <c r="AD119" s="10" t="s">
        <v>18</v>
      </c>
      <c r="AE119" s="7"/>
      <c r="AF119" s="7"/>
      <c r="AG119" s="31" t="str">
        <f>IF(AF119/(INDEX('Standards for Conversions'!$H$34:$H$73,MATCH(AE$3,'Standards for Conversions'!$A$34:$A$73,0)))=0,"",AF119/(INDEX('Standards for Conversions'!$H$34:$H$73,MATCH(AE$3,'Standards for Conversions'!$A$34:$A$73,0))))</f>
        <v/>
      </c>
      <c r="AH119" s="10" t="s">
        <v>18</v>
      </c>
      <c r="AI119" s="7"/>
      <c r="AJ119" s="7"/>
      <c r="AK119" s="31" t="str">
        <f>IF(AJ119/(INDEX('Standards for Conversions'!$H$34:$H$73,MATCH(AI$3,'Standards for Conversions'!$A$34:$A$73,0)))=0,"",AJ119/(INDEX('Standards for Conversions'!$H$34:$H$73,MATCH(AI$3,'Standards for Conversions'!$A$34:$A$73,0))))</f>
        <v/>
      </c>
      <c r="AL119" s="10" t="s">
        <v>18</v>
      </c>
      <c r="AM119" s="7"/>
      <c r="AN119" s="7"/>
      <c r="AO119" s="31" t="str">
        <f>IF(AN119/(INDEX('Standards for Conversions'!$H$34:$H$73,MATCH(AM$3,'Standards for Conversions'!$A$34:$A$73,0)))=0,"",AN119/(INDEX('Standards for Conversions'!$H$34:$H$73,MATCH(AM$3,'Standards for Conversions'!$A$34:$A$73,0))))</f>
        <v/>
      </c>
      <c r="AP119" s="10" t="s">
        <v>18</v>
      </c>
      <c r="AQ119" s="9"/>
      <c r="AR119" s="9"/>
      <c r="AS119" s="31" t="str">
        <f>IF(AR119/(INDEX('Standards for Conversions'!$H$34:$H$73,MATCH(AQ$3,'Standards for Conversions'!$A$34:$A$73,0)))=0,"",AR119/(INDEX('Standards for Conversions'!$H$34:$H$73,MATCH(AQ$3,'Standards for Conversions'!$A$34:$A$73,0))))</f>
        <v/>
      </c>
      <c r="AT119" s="10" t="s">
        <v>18</v>
      </c>
      <c r="AU119" s="7"/>
      <c r="AV119" s="7"/>
      <c r="AW119" s="31" t="str">
        <f>IF(AV119/(INDEX('Standards for Conversions'!$H$34:$H$73,MATCH(AU$3,'Standards for Conversions'!$A$34:$A$73,0)))=0,"",AV119/(INDEX('Standards for Conversions'!$H$34:$H$73,MATCH(AU$3,'Standards for Conversions'!$A$34:$A$73,0))))</f>
        <v/>
      </c>
      <c r="AX119" s="10" t="s">
        <v>18</v>
      </c>
      <c r="AY119" s="7"/>
      <c r="AZ119" s="7"/>
      <c r="BA119" s="31" t="str">
        <f>IF(AZ119/(INDEX('Standards for Conversions'!$H$34:$H$73,MATCH(AY$3,'Standards for Conversions'!$A$34:$A$73,0)))=0,"",AZ119/(INDEX('Standards for Conversions'!$H$34:$H$73,MATCH(AY$3,'Standards for Conversions'!$A$34:$A$73,0))))</f>
        <v/>
      </c>
      <c r="BB119" s="10" t="s">
        <v>18</v>
      </c>
      <c r="BC119" s="7"/>
      <c r="BD119" s="7"/>
      <c r="BE119" s="31" t="str">
        <f>IF(BD119/(INDEX('Standards for Conversions'!$H$34:$H$73,MATCH(BC$3,'Standards for Conversions'!$A$34:$A$73,0)))=0,"",BD119/(INDEX('Standards for Conversions'!$H$34:$H$73,MATCH(BC$3,'Standards for Conversions'!$A$34:$A$73,0))))</f>
        <v/>
      </c>
      <c r="BF119" s="10" t="s">
        <v>18</v>
      </c>
      <c r="BG119" s="9"/>
      <c r="BH119" s="9"/>
      <c r="BI119" s="31" t="str">
        <f>IF(BH119/(INDEX('Standards for Conversions'!$H$34:$H$73,MATCH(BG$3,'Standards for Conversions'!$A$34:$A$73,0)))=0,"",BH119/(INDEX('Standards for Conversions'!$H$34:$H$73,MATCH(BG$3,'Standards for Conversions'!$A$34:$A$73,0))))</f>
        <v/>
      </c>
      <c r="BJ119" s="10" t="s">
        <v>18</v>
      </c>
      <c r="BK119" s="7"/>
      <c r="BL119" s="7"/>
      <c r="BM119" s="31" t="str">
        <f>IF(BL119/(INDEX('Standards for Conversions'!$H$34:$H$73,MATCH(BK$3,'Standards for Conversions'!$A$34:$A$73,0)))=0,"",BL119/(INDEX('Standards for Conversions'!$H$34:$H$73,MATCH(BK$3,'Standards for Conversions'!$A$34:$A$73,0))))</f>
        <v/>
      </c>
      <c r="BN119" s="10" t="s">
        <v>18</v>
      </c>
      <c r="BO119" s="7"/>
      <c r="BP119" s="7"/>
      <c r="BQ119" s="31" t="str">
        <f>IF(BP119/(INDEX('Standards for Conversions'!$H$34:$H$73,MATCH(BO$3,'Standards for Conversions'!$A$34:$A$73,0)))=0,"",BP119/(INDEX('Standards for Conversions'!$H$34:$H$73,MATCH(BO$3,'Standards for Conversions'!$A$34:$A$73,0))))</f>
        <v/>
      </c>
      <c r="BR119" s="10" t="s">
        <v>18</v>
      </c>
      <c r="BS119" s="7"/>
      <c r="BT119" s="7"/>
      <c r="BU119" s="31" t="str">
        <f>IF(BT119/(INDEX('Standards for Conversions'!$H$34:$H$73,MATCH(BS$3,'Standards for Conversions'!$A$34:$A$73,0)))=0,"",BT119/(INDEX('Standards for Conversions'!$H$34:$H$73,MATCH(BS$3,'Standards for Conversions'!$A$34:$A$73,0))))</f>
        <v/>
      </c>
      <c r="BV119" s="10" t="s">
        <v>18</v>
      </c>
      <c r="BW119" s="9"/>
      <c r="BX119" s="9"/>
      <c r="BY119" s="31" t="str">
        <f>IF(BX119/(INDEX('Standards for Conversions'!$H$34:$H$73,MATCH(BW$3,'Standards for Conversions'!$A$34:$A$73,0)))=0,"",BX119/(INDEX('Standards for Conversions'!$H$34:$H$73,MATCH(BW$3,'Standards for Conversions'!$A$34:$A$73,0))))</f>
        <v/>
      </c>
      <c r="BZ119" s="10" t="s">
        <v>18</v>
      </c>
      <c r="CA119" s="7"/>
      <c r="CB119" s="7"/>
      <c r="CC119" s="31" t="str">
        <f>IF(CB119/(INDEX('Standards for Conversions'!$H$34:$H$73,MATCH(CA$3,'Standards for Conversions'!$A$34:$A$73,0)))=0,"",CB119/(INDEX('Standards for Conversions'!$H$34:$H$73,MATCH(CA$3,'Standards for Conversions'!$A$34:$A$73,0))))</f>
        <v/>
      </c>
      <c r="CD119" s="10" t="s">
        <v>18</v>
      </c>
      <c r="CE119" s="7"/>
      <c r="CF119" s="7"/>
      <c r="CG119" s="31" t="str">
        <f>IF(CF119/(INDEX('Standards for Conversions'!$H$34:$H$73,MATCH(CE$3,'Standards for Conversions'!$A$34:$A$73,0)))=0,"",CF119/(INDEX('Standards for Conversions'!$H$34:$H$73,MATCH(CE$3,'Standards for Conversions'!$A$34:$A$73,0))))</f>
        <v/>
      </c>
      <c r="CH119" s="10" t="s">
        <v>18</v>
      </c>
      <c r="CI119" s="7"/>
      <c r="CJ119" s="7"/>
      <c r="CK119" s="31" t="str">
        <f>IF(CJ119/(INDEX('Standards for Conversions'!$H$34:$H$73,MATCH(CI$3,'Standards for Conversions'!$A$34:$A$73,0)))=0,"",CJ119/(INDEX('Standards for Conversions'!$H$34:$H$73,MATCH(CI$3,'Standards for Conversions'!$A$34:$A$73,0))))</f>
        <v/>
      </c>
      <c r="CL119" s="10" t="s">
        <v>18</v>
      </c>
      <c r="CM119" s="9"/>
      <c r="CN119" s="9"/>
      <c r="CO119" s="31" t="str">
        <f>IF(CN119/(INDEX('Standards for Conversions'!$H$34:$H$73,MATCH(CM$3,'Standards for Conversions'!$A$34:$A$73,0)))=0,"",CN119/(INDEX('Standards for Conversions'!$H$34:$H$73,MATCH(CM$3,'Standards for Conversions'!$A$34:$A$73,0))))</f>
        <v/>
      </c>
      <c r="CP119" s="10" t="s">
        <v>18</v>
      </c>
      <c r="CQ119" s="7"/>
      <c r="CR119" s="7"/>
      <c r="CS119" s="31" t="str">
        <f>IF(CR119/(INDEX('Standards for Conversions'!$H$34:$H$73,MATCH(CQ$3,'Standards for Conversions'!$A$34:$A$73,0)))=0,"",CR119/(INDEX('Standards for Conversions'!$H$34:$H$73,MATCH(CQ$3,'Standards for Conversions'!$A$34:$A$73,0))))</f>
        <v/>
      </c>
      <c r="CT119" s="10" t="s">
        <v>18</v>
      </c>
      <c r="CU119" s="7"/>
      <c r="CV119" s="7"/>
      <c r="CW119" s="31" t="str">
        <f>IF(CV119/(INDEX('Standards for Conversions'!$H$34:$H$73,MATCH(CU$3,'Standards for Conversions'!$A$34:$A$73,0)))=0,"",CV119/(INDEX('Standards for Conversions'!$H$34:$H$73,MATCH(CU$3,'Standards for Conversions'!$A$34:$A$73,0))))</f>
        <v/>
      </c>
      <c r="CX119" s="10" t="s">
        <v>18</v>
      </c>
      <c r="CY119" s="7"/>
      <c r="CZ119" s="7"/>
      <c r="DA119" s="31" t="str">
        <f>IF(CZ119/(INDEX('Standards for Conversions'!$H$34:$H$73,MATCH(CY$3,'Standards for Conversions'!$A$34:$A$73,0)))=0,"",CZ119/(INDEX('Standards for Conversions'!$H$34:$H$73,MATCH(CY$3,'Standards for Conversions'!$A$34:$A$73,0))))</f>
        <v/>
      </c>
      <c r="DB119" s="10" t="s">
        <v>18</v>
      </c>
      <c r="DC119" s="9"/>
      <c r="DD119" s="9"/>
      <c r="DE119" s="31" t="str">
        <f>IF(DD119/(INDEX('Standards for Conversions'!$H$34:$H$73,MATCH(DC$3,'Standards for Conversions'!$A$34:$A$73,0)))=0,"",DD119/(INDEX('Standards for Conversions'!$H$34:$H$73,MATCH(DC$3,'Standards for Conversions'!$A$34:$A$73,0))))</f>
        <v/>
      </c>
      <c r="DF119" s="10" t="s">
        <v>18</v>
      </c>
      <c r="DG119" s="7"/>
      <c r="DH119" s="7"/>
      <c r="DI119" s="31" t="str">
        <f>IF(DH119/(INDEX('Standards for Conversions'!$H$34:$H$73,MATCH(DG$3,'Standards for Conversions'!$A$34:$A$73,0)))=0,"",DH119/(INDEX('Standards for Conversions'!$H$34:$H$73,MATCH(DG$3,'Standards for Conversions'!$A$34:$A$73,0))))</f>
        <v/>
      </c>
      <c r="DJ119" s="10" t="s">
        <v>18</v>
      </c>
      <c r="DK119" s="7"/>
      <c r="DL119" s="7"/>
      <c r="DM119" s="31" t="str">
        <f>IF(DL119/(INDEX('Standards for Conversions'!$H$34:$H$73,MATCH(DK$3,'Standards for Conversions'!$A$34:$A$73,0)))=0,"",DL119/(INDEX('Standards for Conversions'!$H$34:$H$73,MATCH(DK$3,'Standards for Conversions'!$A$34:$A$73,0))))</f>
        <v/>
      </c>
      <c r="DN119" s="10" t="s">
        <v>18</v>
      </c>
      <c r="DO119" s="7"/>
      <c r="DP119" s="7"/>
      <c r="DQ119" s="31" t="str">
        <f>IF(DP119/(INDEX('Standards for Conversions'!$H$34:$H$73,MATCH(DO$3,'Standards for Conversions'!$A$34:$A$73,0)))=0,"",DP119/(INDEX('Standards for Conversions'!$H$34:$H$73,MATCH(DO$3,'Standards for Conversions'!$A$34:$A$73,0))))</f>
        <v/>
      </c>
      <c r="DR119" s="10" t="s">
        <v>18</v>
      </c>
      <c r="DS119" s="9"/>
      <c r="DT119" s="9"/>
      <c r="DU119" s="31" t="str">
        <f>IF(DT119/(INDEX('Standards for Conversions'!$H$34:$H$73,MATCH(DS$3,'Standards for Conversions'!$A$34:$A$73,0)))=0,"",DT119/(INDEX('Standards for Conversions'!$H$34:$H$73,MATCH(DS$3,'Standards for Conversions'!$A$34:$A$73,0))))</f>
        <v/>
      </c>
      <c r="DV119" s="10" t="s">
        <v>18</v>
      </c>
      <c r="DW119" s="7"/>
      <c r="DX119" s="7"/>
      <c r="DY119" s="31" t="str">
        <f>IF(DX119/(INDEX('Standards for Conversions'!$H$34:$H$73,MATCH(DW$3,'Standards for Conversions'!$A$34:$A$73,0)))=0,"",DX119/(INDEX('Standards for Conversions'!$H$34:$H$73,MATCH(DW$3,'Standards for Conversions'!$A$34:$A$73,0))))</f>
        <v/>
      </c>
      <c r="DZ119" s="10" t="s">
        <v>18</v>
      </c>
      <c r="EA119" s="7"/>
      <c r="EB119" s="7"/>
      <c r="EC119" s="31" t="str">
        <f>IF(EB119/(INDEX('Standards for Conversions'!$H$34:$H$73,MATCH(EA$3,'Standards for Conversions'!$A$34:$A$73,0)))=0,"",EB119/(INDEX('Standards for Conversions'!$H$34:$H$73,MATCH(EA$3,'Standards for Conversions'!$A$34:$A$73,0))))</f>
        <v/>
      </c>
      <c r="ED119" s="10" t="s">
        <v>18</v>
      </c>
      <c r="EE119" s="7"/>
      <c r="EF119" s="7"/>
      <c r="EG119" s="31" t="str">
        <f>IF(EF119/(INDEX('Standards for Conversions'!$H$34:$H$73,MATCH(EE$3,'Standards for Conversions'!$A$34:$A$73,0)))=0,"",EF119/(INDEX('Standards for Conversions'!$H$34:$H$73,MATCH(EE$3,'Standards for Conversions'!$A$34:$A$73,0))))</f>
        <v/>
      </c>
      <c r="EH119" s="10" t="s">
        <v>18</v>
      </c>
      <c r="EI119" s="9"/>
      <c r="EJ119" s="9"/>
      <c r="EK119" s="31" t="str">
        <f>IF(EJ119/(INDEX('Standards for Conversions'!$H$34:$H$73,MATCH(EI$3,'Standards for Conversions'!$A$34:$A$73,0)))=0,"",EJ119/(INDEX('Standards for Conversions'!$H$34:$H$73,MATCH(EI$3,'Standards for Conversions'!$A$34:$A$73,0))))</f>
        <v/>
      </c>
      <c r="EL119" s="10" t="s">
        <v>18</v>
      </c>
      <c r="EM119" s="7"/>
      <c r="EN119" s="7"/>
      <c r="EO119" s="31" t="str">
        <f>IF(EN119/(INDEX('Standards for Conversions'!$H$34:$H$73,MATCH(EM$3,'Standards for Conversions'!$A$34:$A$73,0)))=0,"",EN119/(INDEX('Standards for Conversions'!$H$34:$H$73,MATCH(EM$3,'Standards for Conversions'!$A$34:$A$73,0))))</f>
        <v/>
      </c>
      <c r="EP119" s="10" t="s">
        <v>18</v>
      </c>
      <c r="EQ119" s="7"/>
      <c r="ER119" s="7"/>
      <c r="ES119" s="31" t="str">
        <f>IF(ER119/(INDEX('Standards for Conversions'!$H$34:$H$73,MATCH(EQ$3,'Standards for Conversions'!$A$34:$A$73,0)))=0,"",ER119/(INDEX('Standards for Conversions'!$H$34:$H$73,MATCH(EQ$3,'Standards for Conversions'!$A$34:$A$73,0))))</f>
        <v/>
      </c>
      <c r="ET119" s="10" t="s">
        <v>18</v>
      </c>
      <c r="EU119" s="7"/>
      <c r="EV119" s="7"/>
      <c r="EW119" s="31" t="str">
        <f>IF(EV119/(INDEX('Standards for Conversions'!$H$34:$H$73,MATCH(EU$3,'Standards for Conversions'!$A$34:$A$73,0)))=0,"",EV119/(INDEX('Standards for Conversions'!$H$34:$H$73,MATCH(EU$3,'Standards for Conversions'!$A$34:$A$73,0))))</f>
        <v/>
      </c>
      <c r="EX119" s="10" t="s">
        <v>18</v>
      </c>
      <c r="EY119" s="9"/>
      <c r="EZ119" s="9"/>
      <c r="FA119" s="31" t="str">
        <f>IF(EZ119/(INDEX('Standards for Conversions'!$H$34:$H$73,MATCH(EY$3,'Standards for Conversions'!$A$34:$A$73,0)))=0,"",EZ119/(INDEX('Standards for Conversions'!$H$34:$H$73,MATCH(EY$3,'Standards for Conversions'!$A$34:$A$73,0))))</f>
        <v/>
      </c>
      <c r="FB119" s="10" t="s">
        <v>18</v>
      </c>
      <c r="FC119" s="7"/>
      <c r="FD119" s="7"/>
      <c r="FE119" s="31" t="str">
        <f>IF(FD119/(INDEX('Standards for Conversions'!$H$34:$H$73,MATCH(FC$3,'Standards for Conversions'!$A$34:$A$73,0)))=0,"",FD119/(INDEX('Standards for Conversions'!$H$34:$H$73,MATCH(FC$3,'Standards for Conversions'!$A$34:$A$73,0))))</f>
        <v/>
      </c>
      <c r="FF119" s="10" t="s">
        <v>18</v>
      </c>
      <c r="FG119" s="7"/>
      <c r="FH119" s="7"/>
      <c r="FI119" s="31" t="str">
        <f>IF(FH119/(INDEX('Standards for Conversions'!$H$34:$H$73,MATCH(FG$3,'Standards for Conversions'!$A$34:$A$73,0)))=0,"",FH119/(INDEX('Standards for Conversions'!$H$34:$H$73,MATCH(FG$3,'Standards for Conversions'!$A$34:$A$73,0))))</f>
        <v/>
      </c>
      <c r="FJ119" s="10" t="s">
        <v>18</v>
      </c>
      <c r="FK119" s="7"/>
      <c r="FL119" s="7"/>
      <c r="FM119" s="31" t="str">
        <f>IF(FL119/(INDEX('Standards for Conversions'!$H$34:$H$73,MATCH(FK$3,'Standards for Conversions'!$A$34:$A$73,0)))=0,"",FL119/(INDEX('Standards for Conversions'!$H$34:$H$73,MATCH(FK$3,'Standards for Conversions'!$A$34:$A$73,0))))</f>
        <v/>
      </c>
      <c r="FN119" s="10" t="s">
        <v>18</v>
      </c>
      <c r="FO119" s="9"/>
      <c r="FP119" s="9"/>
      <c r="FQ119" s="31" t="str">
        <f>IF(FP119/(INDEX('Standards for Conversions'!$H$34:$H$73,MATCH(FO$3,'Standards for Conversions'!$A$34:$A$73,0)))=0,"",FP119/(INDEX('Standards for Conversions'!$H$34:$H$73,MATCH(FO$3,'Standards for Conversions'!$A$34:$A$73,0))))</f>
        <v/>
      </c>
      <c r="FR119" s="10" t="s">
        <v>18</v>
      </c>
      <c r="FS119" s="7"/>
      <c r="FT119" s="7"/>
      <c r="FU119" s="31" t="str">
        <f>IF(FT119/(INDEX('Standards for Conversions'!$H$34:$H$73,MATCH(FS$3,'Standards for Conversions'!$A$34:$A$73,0)))=0,"",FT119/(INDEX('Standards for Conversions'!$H$34:$H$73,MATCH(FS$3,'Standards for Conversions'!$A$34:$A$73,0))))</f>
        <v/>
      </c>
      <c r="FV119" s="10" t="s">
        <v>18</v>
      </c>
      <c r="FW119" s="7"/>
      <c r="FX119" s="7"/>
      <c r="FY119" s="31" t="str">
        <f>IF(FX119/(INDEX('Standards for Conversions'!$H$34:$H$73,MATCH(FW$3,'Standards for Conversions'!$A$34:$A$73,0)))=0,"",FX119/(INDEX('Standards for Conversions'!$H$34:$H$73,MATCH(FW$3,'Standards for Conversions'!$A$34:$A$73,0))))</f>
        <v/>
      </c>
      <c r="FZ119" s="10" t="s">
        <v>18</v>
      </c>
      <c r="GA119" s="7"/>
      <c r="GB119" s="7"/>
      <c r="GC119" s="31" t="str">
        <f>IF(GB119/(INDEX('Standards for Conversions'!$H$34:$H$73,MATCH(GA$3,'Standards for Conversions'!$A$34:$A$73,0)))=0,"",GB119/(INDEX('Standards for Conversions'!$H$34:$H$73,MATCH(GA$3,'Standards for Conversions'!$A$34:$A$73,0))))</f>
        <v/>
      </c>
      <c r="GD119" s="10" t="s">
        <v>18</v>
      </c>
      <c r="GE119" s="9"/>
      <c r="GF119" s="9"/>
      <c r="GG119" s="31" t="str">
        <f>IF(GF119/(INDEX('Standards for Conversions'!$H$34:$H$73,MATCH(GE$3,'Standards for Conversions'!$A$34:$A$73,0)))=0,"",GF119/(INDEX('Standards for Conversions'!$H$34:$H$73,MATCH(GE$3,'Standards for Conversions'!$A$34:$A$73,0))))</f>
        <v/>
      </c>
      <c r="GH119" s="10" t="s">
        <v>18</v>
      </c>
      <c r="GI119" s="7"/>
      <c r="GJ119" s="7"/>
      <c r="GK119" s="31" t="str">
        <f>IF(GJ119/(INDEX('Standards for Conversions'!$H$34:$H$73,MATCH(GI$3,'Standards for Conversions'!$A$34:$A$73,0)))=0,"",GJ119/(INDEX('Standards for Conversions'!$H$34:$H$73,MATCH(GI$3,'Standards for Conversions'!$A$34:$A$73,0))))</f>
        <v/>
      </c>
      <c r="GL119" s="10" t="s">
        <v>18</v>
      </c>
      <c r="GM119" s="7"/>
      <c r="GN119" s="7"/>
      <c r="GO119" s="31" t="str">
        <f>IF(GN119/(INDEX('Standards for Conversions'!$H$34:$H$73,MATCH(GM$3,'Standards for Conversions'!$A$34:$A$73,0)))=0,"",GN119/(INDEX('Standards for Conversions'!$H$34:$H$73,MATCH(GM$3,'Standards for Conversions'!$A$34:$A$73,0))))</f>
        <v/>
      </c>
      <c r="GP119" s="10" t="s">
        <v>18</v>
      </c>
      <c r="GQ119" s="7"/>
      <c r="GR119" s="7"/>
      <c r="GS119" s="31" t="str">
        <f>IF(GR119/(INDEX('Standards for Conversions'!$H$34:$H$73,MATCH(GQ$3,'Standards for Conversions'!$A$34:$A$73,0)))=0,"",GR119/(INDEX('Standards for Conversions'!$H$34:$H$73,MATCH(GQ$3,'Standards for Conversions'!$A$34:$A$73,0))))</f>
        <v/>
      </c>
      <c r="GT119" s="10" t="s">
        <v>18</v>
      </c>
      <c r="GU119" s="9"/>
      <c r="GV119" s="9"/>
      <c r="GW119" s="31" t="str">
        <f>IF(GV119/(INDEX('Standards for Conversions'!$H$34:$H$73,MATCH(GU$3,'Standards for Conversions'!$A$34:$A$73,0)))=0,"",GV119/(INDEX('Standards for Conversions'!$H$34:$H$73,MATCH(GU$3,'Standards for Conversions'!$A$34:$A$73,0))))</f>
        <v/>
      </c>
      <c r="GX119" s="10" t="s">
        <v>18</v>
      </c>
      <c r="GY119" s="7"/>
      <c r="GZ119" s="7"/>
      <c r="HA119" s="31" t="str">
        <f>IF(GZ119/(INDEX('Standards for Conversions'!$H$34:$H$73,MATCH(GY$3,'Standards for Conversions'!$A$34:$A$73,0)))=0,"",GZ119/(INDEX('Standards for Conversions'!$H$34:$H$73,MATCH(GY$3,'Standards for Conversions'!$A$34:$A$73,0))))</f>
        <v/>
      </c>
      <c r="HB119" s="10" t="s">
        <v>18</v>
      </c>
      <c r="HC119" s="7"/>
      <c r="HD119" s="7"/>
      <c r="HE119" s="31" t="str">
        <f>IF(HD119/(INDEX('Standards for Conversions'!$H$34:$H$73,MATCH(HC$3,'Standards for Conversions'!$A$34:$A$73,0)))=0,"",HD119/(INDEX('Standards for Conversions'!$H$34:$H$73,MATCH(HC$3,'Standards for Conversions'!$A$34:$A$73,0))))</f>
        <v/>
      </c>
      <c r="HF119" s="10" t="s">
        <v>18</v>
      </c>
      <c r="HG119" s="7"/>
      <c r="HH119" s="7"/>
      <c r="HI119" s="31" t="str">
        <f>IF(HH119/(INDEX('Standards for Conversions'!$H$34:$H$73,MATCH(HG$3,'Standards for Conversions'!$A$34:$A$73,0)))=0,"",HH119/(INDEX('Standards for Conversions'!$H$34:$H$73,MATCH(HG$3,'Standards for Conversions'!$A$34:$A$73,0))))</f>
        <v/>
      </c>
      <c r="HJ119" s="10" t="s">
        <v>18</v>
      </c>
      <c r="HK119" s="9"/>
      <c r="HL119" s="9"/>
      <c r="HM119" s="31" t="str">
        <f>IF(HL119/(INDEX('Standards for Conversions'!$H$34:$H$73,MATCH(HK$3,'Standards for Conversions'!$A$34:$A$73,0)))=0,"",HL119/(INDEX('Standards for Conversions'!$H$34:$H$73,MATCH(HK$3,'Standards for Conversions'!$A$34:$A$73,0))))</f>
        <v/>
      </c>
      <c r="HN119" s="10" t="s">
        <v>18</v>
      </c>
      <c r="HO119" s="7"/>
      <c r="HP119" s="7"/>
      <c r="HQ119" s="31" t="str">
        <f>IF(HP119/(INDEX('Standards for Conversions'!$H$34:$H$73,MATCH(HO$3,'Standards for Conversions'!$A$34:$A$73,0)))=0,"",HP119/(INDEX('Standards for Conversions'!$H$34:$H$73,MATCH(HO$3,'Standards for Conversions'!$A$34:$A$73,0))))</f>
        <v/>
      </c>
      <c r="HR119" s="33" t="s">
        <v>18</v>
      </c>
      <c r="HU119" s="31" t="str">
        <f>IF(HT119/(INDEX('Standards for Conversions'!$H$47:$H$73,MATCH(HS$3,'Standards for Conversions'!$A$47:$A$73,0)))=0,"",HT119/(INDEX('Standards for Conversions'!$H$47:$H$73,MATCH(HS$3,'Standards for Conversions'!$A$47:$A$73,0))))</f>
        <v/>
      </c>
      <c r="HV119" s="33" t="s">
        <v>18</v>
      </c>
      <c r="HY119" s="31" t="str">
        <f>IF(HX119/(INDEX('Standards for Conversions'!$H$47:$H$73,MATCH(HW$3,'Standards for Conversions'!$A$47:$A$73,0)))=0,"",HX119/(INDEX('Standards for Conversions'!$H$47:$H$73,MATCH(HW$3,'Standards for Conversions'!$A$47:$A$73,0))))</f>
        <v/>
      </c>
      <c r="HZ119" s="33">
        <v>7000</v>
      </c>
      <c r="IA119" s="33">
        <v>1300</v>
      </c>
      <c r="IB119" s="31">
        <f>IF(IA119/(INDEX('Standards for Conversions'!$H$47:$H$73,MATCH(HZ$3,'Standards for Conversions'!$A$47:$A$73,0)))=0,"",IA119/(INDEX('Standards for Conversions'!$H$47:$H$73,MATCH(HZ$3,'Standards for Conversions'!$A$47:$A$73,0))))</f>
        <v>188.81903587671275</v>
      </c>
      <c r="IC119" s="33" t="s">
        <v>18</v>
      </c>
      <c r="IF119" s="31" t="str">
        <f>IF(IE119/(INDEX('Standards for Conversions'!$H$47:$H$73,MATCH(ID$3,'Standards for Conversions'!$A$47:$A$73,0)))=0,"",IE119/(INDEX('Standards for Conversions'!$H$47:$H$73,MATCH(ID$3,'Standards for Conversions'!$A$47:$A$73,0))))</f>
        <v/>
      </c>
      <c r="IG119" s="33" t="s">
        <v>18</v>
      </c>
      <c r="IJ119" s="31" t="str">
        <f>IF(II119/(INDEX('Standards for Conversions'!$H$47:$H$73,MATCH(IH$3,'Standards for Conversions'!$A$47:$A$73,0)))=0,"",II119/(INDEX('Standards for Conversions'!$H$47:$H$73,MATCH(IH$3,'Standards for Conversions'!$A$47:$A$73,0))))</f>
        <v/>
      </c>
      <c r="IK119" s="33" t="s">
        <v>18</v>
      </c>
      <c r="IN119" s="31" t="str">
        <f>IF(IM119/(INDEX('Standards for Conversions'!$H$47:$H$73,MATCH(IL$3,'Standards for Conversions'!$A$47:$A$73,0)))=0,"",IM119/(INDEX('Standards for Conversions'!$H$47:$H$73,MATCH(IL$3,'Standards for Conversions'!$A$47:$A$73,0))))</f>
        <v/>
      </c>
      <c r="IO119" s="33" t="s">
        <v>18</v>
      </c>
      <c r="IP119" s="29">
        <v>6000</v>
      </c>
      <c r="IQ119" s="29">
        <v>1200</v>
      </c>
      <c r="IR119" s="31">
        <f>IF(IQ119/(INDEX('Standards for Conversions'!$H$47:$H$73,MATCH(IP$3,'Standards for Conversions'!$A$47:$A$73,0)))=0,"",IQ119/(INDEX('Standards for Conversions'!$H$47:$H$73,MATCH(IP$3,'Standards for Conversions'!$A$47:$A$73,0))))</f>
        <v>173.53227383331884</v>
      </c>
      <c r="IS119" s="33" t="s">
        <v>18</v>
      </c>
      <c r="IV119" s="31" t="str">
        <f>IF(IU119/(INDEX('Standards for Conversions'!$H$47:$H$73,MATCH(IT$3,'Standards for Conversions'!$A$47:$A$73,0)))=0,"",IU119/(INDEX('Standards for Conversions'!$H$47:$H$73,MATCH(IT$3,'Standards for Conversions'!$A$47:$A$73,0))))</f>
        <v/>
      </c>
      <c r="IW119" s="33" t="s">
        <v>18</v>
      </c>
      <c r="IZ119" s="31" t="str">
        <f>IF(IY119/(INDEX('Standards for Conversions'!$H$47:$H$73,MATCH(IX$3,'Standards for Conversions'!$A$47:$A$73,0)))=0,"",IY119/(INDEX('Standards for Conversions'!$H$47:$H$73,MATCH(IX$3,'Standards for Conversions'!$A$47:$A$73,0))))</f>
        <v/>
      </c>
      <c r="JA119" s="48" t="s">
        <v>18</v>
      </c>
      <c r="JD119" s="31" t="str">
        <f>IF(JC119/(INDEX('Standards for Conversions'!$H$47:$H$73,MATCH(JB$3,'Standards for Conversions'!$A$47:$A$73,0)))=0,"",JC119/(INDEX('Standards for Conversions'!$H$47:$H$73,MATCH(JB$3,'Standards for Conversions'!$A$47:$A$73,0))))</f>
        <v/>
      </c>
      <c r="JE119" s="48" t="s">
        <v>18</v>
      </c>
      <c r="JF119" s="29">
        <v>1290</v>
      </c>
      <c r="JG119" s="29">
        <v>2800</v>
      </c>
      <c r="JH119" s="31">
        <f>IF(JG119/(INDEX('Standards for Conversions'!$H$47:$H$73,MATCH(JF$3,'Standards for Conversions'!$A$47:$A$73,0)))=0,"",JG119/(INDEX('Standards for Conversions'!$H$47:$H$73,MATCH(JF$3,'Standards for Conversions'!$A$47:$A$73,0))))</f>
        <v>452.92855073723234</v>
      </c>
      <c r="JI119" s="33"/>
      <c r="JL119" s="31" t="str">
        <f>IF(JK119/(INDEX('Standards for Conversions'!$H$47:$H$73,MATCH(JJ$3,'Standards for Conversions'!$A$47:$A$73,0)))=0,"",JK119/(INDEX('Standards for Conversions'!$H$47:$H$73,MATCH(JJ$3,'Standards for Conversions'!$A$47:$A$73,0))))</f>
        <v/>
      </c>
      <c r="JM119" s="33" t="s">
        <v>18</v>
      </c>
      <c r="JP119" s="31" t="str">
        <f>IF(JO119/(INDEX('Standards for Conversions'!$H$47:$H$73,MATCH(JN$3,'Standards for Conversions'!$A$47:$A$73,0)))=0,"",JO119/(INDEX('Standards for Conversions'!$H$47:$H$73,MATCH(JN$3,'Standards for Conversions'!$A$47:$A$73,0))))</f>
        <v/>
      </c>
      <c r="JQ119" s="33" t="s">
        <v>18</v>
      </c>
      <c r="JT119" s="31" t="str">
        <f>IF(JS119/(INDEX('Standards for Conversions'!$H$47:$H$73,MATCH(JR$3,'Standards for Conversions'!$A$47:$A$73,0)))=0,"",JS119/(INDEX('Standards for Conversions'!$H$47:$H$73,MATCH(JR$3,'Standards for Conversions'!$A$47:$A$73,0))))</f>
        <v/>
      </c>
      <c r="JU119" s="33" t="s">
        <v>18</v>
      </c>
      <c r="JV119" s="29">
        <v>2500</v>
      </c>
      <c r="JW119" s="29">
        <v>500</v>
      </c>
      <c r="JX119" s="31">
        <f>IF(JW119/(INDEX('Standards for Conversions'!$H$47:$H$73,MATCH(JV$3,'Standards for Conversions'!$A$47:$A$73,0)))=0,"",JW119/(INDEX('Standards for Conversions'!$H$47:$H$73,MATCH(JV$3,'Standards for Conversions'!$A$47:$A$73,0))))</f>
        <v>76.327946213898784</v>
      </c>
      <c r="JY119" s="33" t="s">
        <v>18</v>
      </c>
      <c r="KB119" s="31" t="str">
        <f>IF(KA119/(INDEX('Standards for Conversions'!$H$47:$H$73,MATCH(JZ$3,'Standards for Conversions'!$A$47:$A$73,0)))=0,"",KA119/(INDEX('Standards for Conversions'!$H$47:$H$73,MATCH(JZ$3,'Standards for Conversions'!$A$47:$A$73,0))))</f>
        <v/>
      </c>
      <c r="KC119" s="33" t="s">
        <v>18</v>
      </c>
      <c r="KF119" s="31" t="str">
        <f>IF(KE119/(INDEX('Standards for Conversions'!$H$47:$H$73,MATCH(KD$3,'Standards for Conversions'!$A$47:$A$73,0)))=0,"",KE119/(INDEX('Standards for Conversions'!$H$47:$H$73,MATCH(KD$3,'Standards for Conversions'!$A$47:$A$73,0))))</f>
        <v/>
      </c>
      <c r="KG119" s="33" t="s">
        <v>18</v>
      </c>
      <c r="KJ119" s="31" t="str">
        <f>IF(KI119/(INDEX('Standards for Conversions'!$H$47:$H$73,MATCH(KH$3,'Standards for Conversions'!$A$47:$A$73,0)))=0,"",KI119/(INDEX('Standards for Conversions'!$H$47:$H$73,MATCH(KH$3,'Standards for Conversions'!$A$47:$A$73,0))))</f>
        <v/>
      </c>
      <c r="KK119" s="33" t="s">
        <v>18</v>
      </c>
      <c r="KL119" s="29">
        <v>2000</v>
      </c>
      <c r="KM119" s="29">
        <v>400</v>
      </c>
      <c r="KN119" s="31">
        <f>IF(KM119/(INDEX('Standards for Conversions'!$H$47:$H$73,MATCH(KL$3,'Standards for Conversions'!$A$47:$A$73,0)))=0,"",KM119/(INDEX('Standards for Conversions'!$H$47:$H$73,MATCH(KL$3,'Standards for Conversions'!$A$47:$A$73,0))))</f>
        <v>53.863604762318587</v>
      </c>
      <c r="KO119" s="33" t="s">
        <v>18</v>
      </c>
      <c r="KR119" s="31" t="str">
        <f>IF(KQ119/(INDEX('Standards for Conversions'!$H$47:$H$73,MATCH(KP$3,'Standards for Conversions'!$A$47:$A$73,0)))=0,"",KQ119/(INDEX('Standards for Conversions'!$H$47:$H$73,MATCH(KP$3,'Standards for Conversions'!$A$47:$A$73,0))))</f>
        <v/>
      </c>
      <c r="KS119" s="33" t="s">
        <v>18</v>
      </c>
      <c r="KV119" s="31" t="str">
        <f>IF(KU119/(INDEX('Standards for Conversions'!$H$47:$H$73,MATCH(KT$3,'Standards for Conversions'!$A$47:$A$73,0)))=0,"",KU119/(INDEX('Standards for Conversions'!$H$47:$H$73,MATCH(KT$3,'Standards for Conversions'!$A$47:$A$73,0))))</f>
        <v/>
      </c>
      <c r="KW119" s="48" t="s">
        <v>18</v>
      </c>
      <c r="KZ119" s="31" t="str">
        <f>IF(KY119/(INDEX('Standards for Conversions'!$H$47:$H$73,MATCH(KX$3,'Standards for Conversions'!$A$47:$A$73,0)))=0,"",KY119/(INDEX('Standards for Conversions'!$H$47:$H$73,MATCH(KX$3,'Standards for Conversions'!$A$47:$A$73,0))))</f>
        <v/>
      </c>
      <c r="LA119" s="48" t="s">
        <v>18</v>
      </c>
      <c r="LB119" s="29">
        <v>2030</v>
      </c>
      <c r="LC119" s="29">
        <v>1560</v>
      </c>
      <c r="LD119" s="31">
        <f>IF(LC119/(INDEX('Standards for Conversions'!$H$47:$H$73,MATCH(LB$3,'Standards for Conversions'!$A$47:$A$73,0)))=0,"",LC119/(INDEX('Standards for Conversions'!$H$47:$H$73,MATCH(LB$3,'Standards for Conversions'!$A$47:$A$73,0))))</f>
        <v>189.72184409489873</v>
      </c>
      <c r="LE119" s="33"/>
      <c r="LH119" s="31" t="str">
        <f>IF(LG119/(INDEX('Standards for Conversions'!$H$47:$H$73,MATCH(LF$3,'Standards for Conversions'!$A$47:$A$73,0)))=0,"",LG119/(INDEX('Standards for Conversions'!$H$47:$H$73,MATCH(LF$3,'Standards for Conversions'!$A$47:$A$73,0))))</f>
        <v/>
      </c>
      <c r="LL119" s="31" t="str">
        <f>IF(LK119/(INDEX('Standards for Conversions'!$H$47:$H$73,MATCH(LJ$3,'Standards for Conversions'!$A$47:$A$73,0)))=0,"",LK119/(INDEX('Standards for Conversions'!$H$47:$H$73,MATCH(LJ$3,'Standards for Conversions'!$A$47:$A$73,0))))</f>
        <v/>
      </c>
      <c r="LO119" s="31" t="str">
        <f>IF(LN119/(INDEX('Standards for Conversions'!$H$47:$H$73,MATCH(LM$3,'Standards for Conversions'!$A$47:$A$73,0)))=0,"",LN119/(INDEX('Standards for Conversions'!$H$47:$H$73,MATCH(LM$3,'Standards for Conversions'!$A$47:$A$73,0))))</f>
        <v/>
      </c>
      <c r="LR119" s="31" t="str">
        <f>IF(LQ119/(INDEX('Standards for Conversions'!$H$47:$H$73,MATCH(LP$3,'Standards for Conversions'!$A$47:$A$73,0)))=0,"",LQ119/(INDEX('Standards for Conversions'!$H$47:$H$73,MATCH(LP$3,'Standards for Conversions'!$A$47:$A$73,0))))</f>
        <v/>
      </c>
      <c r="LV119" s="31" t="str">
        <f>IF(LU119/(INDEX('Standards for Conversions'!$H$47:$H$73,MATCH(LT$3,'Standards for Conversions'!$A$47:$A$73,0)))=0,"",LU119/(INDEX('Standards for Conversions'!$H$47:$H$73,MATCH(LT$3,'Standards for Conversions'!$A$47:$A$73,0))))</f>
        <v/>
      </c>
      <c r="LY119" s="31" t="str">
        <f>IF(LX119/(INDEX('Standards for Conversions'!$H$47:$H$73,MATCH(LW$3,'Standards for Conversions'!$A$47:$A$73,0)))=0,"",LX119/(INDEX('Standards for Conversions'!$H$47:$H$73,MATCH(LW$3,'Standards for Conversions'!$A$47:$A$73,0))))</f>
        <v/>
      </c>
      <c r="MB119" s="31" t="str">
        <f>IF(MA119/(INDEX('Standards for Conversions'!$H$47:$H$73,MATCH(LZ$3,'Standards for Conversions'!$A$47:$A$73,0)))=0,"",MA119/(INDEX('Standards for Conversions'!$H$47:$H$73,MATCH(LZ$3,'Standards for Conversions'!$A$47:$A$73,0))))</f>
        <v/>
      </c>
      <c r="ME119" s="31" t="str">
        <f>IF(MD119/(INDEX('Standards for Conversions'!$H$47:$H$73,MATCH(MC$3,'Standards for Conversions'!$A$47:$A$73,0)))=0,"",MD119/(INDEX('Standards for Conversions'!$H$47:$H$73,MATCH(MC$3,'Standards for Conversions'!$A$47:$A$73,0))))</f>
        <v/>
      </c>
      <c r="MH119" s="31" t="str">
        <f>IF(MG119/(INDEX('Standards for Conversions'!$H$47:$H$73,MATCH(MF$3,'Standards for Conversions'!$A$47:$A$73,0)))=0,"",MG119/(INDEX('Standards for Conversions'!$H$47:$H$73,MATCH(MF$3,'Standards for Conversions'!$A$47:$A$73,0))))</f>
        <v/>
      </c>
      <c r="MK119" s="31" t="str">
        <f>IF(MJ119/(INDEX('Standards for Conversions'!$H$47:$H$73,MATCH(MI$3,'Standards for Conversions'!$A$47:$A$73,0)))=0,"",MJ119/(INDEX('Standards for Conversions'!$H$47:$H$73,MATCH(MI$3,'Standards for Conversions'!$A$47:$A$73,0))))</f>
        <v/>
      </c>
      <c r="MN119" s="31" t="str">
        <f>IF(MM119/(INDEX('Standards for Conversions'!$H$47:$H$73,MATCH(ML$3,'Standards for Conversions'!$A$47:$A$73,0)))=0,"",MM119/(INDEX('Standards for Conversions'!$H$47:$H$73,MATCH(ML$3,'Standards for Conversions'!$A$47:$A$73,0))))</f>
        <v/>
      </c>
      <c r="MR119" s="31" t="str">
        <f>IF(MQ119/(INDEX('Standards for Conversions'!$H$47:$H$73,MATCH(MP$3,'Standards for Conversions'!$A$47:$A$73,0)))=0,"",MQ119/(INDEX('Standards for Conversions'!$H$47:$H$73,MATCH(MP$3,'Standards for Conversions'!$A$47:$A$73,0))))</f>
        <v/>
      </c>
    </row>
    <row r="120" spans="1:356" hidden="1" x14ac:dyDescent="0.3">
      <c r="A120" s="103" t="s">
        <v>285</v>
      </c>
      <c r="B120" s="10" t="s">
        <v>38</v>
      </c>
      <c r="C120" s="7"/>
      <c r="D120" s="7"/>
      <c r="E120" s="31" t="str">
        <f>IF(D120/(INDEX('Standards for Conversions'!$H$34:$H$73,MATCH(C$3,'Standards for Conversions'!$A$34:$A$73,0)))=0,"",D120/(INDEX('Standards for Conversions'!$H$34:$H$73,MATCH(C$3,'Standards for Conversions'!$A$34:$A$73,0))))</f>
        <v/>
      </c>
      <c r="F120" s="10" t="s">
        <v>38</v>
      </c>
      <c r="G120" s="7"/>
      <c r="H120" s="7"/>
      <c r="I120" s="31" t="str">
        <f>IF(H120/(INDEX('Standards for Conversions'!$H$34:$H$73,MATCH(G$3,'Standards for Conversions'!$A$34:$A$73,0)))=0,"",H120/(INDEX('Standards for Conversions'!$H$34:$H$73,MATCH(G$3,'Standards for Conversions'!$A$34:$A$73,0))))</f>
        <v/>
      </c>
      <c r="J120" s="10" t="s">
        <v>38</v>
      </c>
      <c r="K120" s="9"/>
      <c r="L120" s="9"/>
      <c r="M120" s="31" t="str">
        <f>IF(L120/(INDEX('Standards for Conversions'!$H$34:$H$73,MATCH(K$3,'Standards for Conversions'!$A$34:$A$73,0)))=0,"",L120/(INDEX('Standards for Conversions'!$H$34:$H$73,MATCH(K$3,'Standards for Conversions'!$A$34:$A$73,0))))</f>
        <v/>
      </c>
      <c r="N120" s="10" t="s">
        <v>38</v>
      </c>
      <c r="O120" s="7"/>
      <c r="P120" s="7"/>
      <c r="Q120" s="31" t="str">
        <f>IF(P120/(INDEX('Standards for Conversions'!$H$34:$H$73,MATCH(O$3,'Standards for Conversions'!$A$34:$A$73,0)))=0,"",P120/(INDEX('Standards for Conversions'!$H$34:$H$73,MATCH(O$3,'Standards for Conversions'!$A$34:$A$73,0))))</f>
        <v/>
      </c>
      <c r="R120" s="10" t="s">
        <v>38</v>
      </c>
      <c r="S120" s="7"/>
      <c r="T120" s="7"/>
      <c r="U120" s="31" t="str">
        <f>IF(T120/(INDEX('Standards for Conversions'!$H$34:$H$73,MATCH(S$3,'Standards for Conversions'!$A$34:$A$73,0)))=0,"",T120/(INDEX('Standards for Conversions'!$H$34:$H$73,MATCH(S$3,'Standards for Conversions'!$A$34:$A$73,0))))</f>
        <v/>
      </c>
      <c r="V120" s="10" t="s">
        <v>38</v>
      </c>
      <c r="W120" s="7"/>
      <c r="X120" s="7"/>
      <c r="Y120" s="31" t="str">
        <f>IF(X120/(INDEX('Standards for Conversions'!$H$34:$H$73,MATCH(W$3,'Standards for Conversions'!$A$34:$A$73,0)))=0,"",X120/(INDEX('Standards for Conversions'!$H$34:$H$73,MATCH(W$3,'Standards for Conversions'!$A$34:$A$73,0))))</f>
        <v/>
      </c>
      <c r="Z120" s="10" t="s">
        <v>38</v>
      </c>
      <c r="AA120" s="9"/>
      <c r="AB120" s="9"/>
      <c r="AC120" s="31" t="str">
        <f>IF(AB120/(INDEX('Standards for Conversions'!$H$34:$H$73,MATCH(AA$3,'Standards for Conversions'!$A$34:$A$73,0)))=0,"",AB120/(INDEX('Standards for Conversions'!$H$34:$H$73,MATCH(AA$3,'Standards for Conversions'!$A$34:$A$73,0))))</f>
        <v/>
      </c>
      <c r="AD120" s="10" t="s">
        <v>38</v>
      </c>
      <c r="AE120" s="7"/>
      <c r="AF120" s="7"/>
      <c r="AG120" s="31" t="str">
        <f>IF(AF120/(INDEX('Standards for Conversions'!$H$34:$H$73,MATCH(AE$3,'Standards for Conversions'!$A$34:$A$73,0)))=0,"",AF120/(INDEX('Standards for Conversions'!$H$34:$H$73,MATCH(AE$3,'Standards for Conversions'!$A$34:$A$73,0))))</f>
        <v/>
      </c>
      <c r="AH120" s="10" t="s">
        <v>38</v>
      </c>
      <c r="AI120" s="7"/>
      <c r="AJ120" s="7"/>
      <c r="AK120" s="31" t="str">
        <f>IF(AJ120/(INDEX('Standards for Conversions'!$H$34:$H$73,MATCH(AI$3,'Standards for Conversions'!$A$34:$A$73,0)))=0,"",AJ120/(INDEX('Standards for Conversions'!$H$34:$H$73,MATCH(AI$3,'Standards for Conversions'!$A$34:$A$73,0))))</f>
        <v/>
      </c>
      <c r="AL120" s="10" t="s">
        <v>38</v>
      </c>
      <c r="AM120" s="7"/>
      <c r="AN120" s="7"/>
      <c r="AO120" s="31" t="str">
        <f>IF(AN120/(INDEX('Standards for Conversions'!$H$34:$H$73,MATCH(AM$3,'Standards for Conversions'!$A$34:$A$73,0)))=0,"",AN120/(INDEX('Standards for Conversions'!$H$34:$H$73,MATCH(AM$3,'Standards for Conversions'!$A$34:$A$73,0))))</f>
        <v/>
      </c>
      <c r="AP120" s="10" t="s">
        <v>38</v>
      </c>
      <c r="AQ120" s="9"/>
      <c r="AR120" s="9"/>
      <c r="AS120" s="31" t="str">
        <f>IF(AR120/(INDEX('Standards for Conversions'!$H$34:$H$73,MATCH(AQ$3,'Standards for Conversions'!$A$34:$A$73,0)))=0,"",AR120/(INDEX('Standards for Conversions'!$H$34:$H$73,MATCH(AQ$3,'Standards for Conversions'!$A$34:$A$73,0))))</f>
        <v/>
      </c>
      <c r="AT120" s="10" t="s">
        <v>38</v>
      </c>
      <c r="AU120" s="7"/>
      <c r="AV120" s="7"/>
      <c r="AW120" s="31" t="str">
        <f>IF(AV120/(INDEX('Standards for Conversions'!$H$34:$H$73,MATCH(AU$3,'Standards for Conversions'!$A$34:$A$73,0)))=0,"",AV120/(INDEX('Standards for Conversions'!$H$34:$H$73,MATCH(AU$3,'Standards for Conversions'!$A$34:$A$73,0))))</f>
        <v/>
      </c>
      <c r="AX120" s="10" t="s">
        <v>38</v>
      </c>
      <c r="AY120" s="7"/>
      <c r="AZ120" s="7"/>
      <c r="BA120" s="31" t="str">
        <f>IF(AZ120/(INDEX('Standards for Conversions'!$H$34:$H$73,MATCH(AY$3,'Standards for Conversions'!$A$34:$A$73,0)))=0,"",AZ120/(INDEX('Standards for Conversions'!$H$34:$H$73,MATCH(AY$3,'Standards for Conversions'!$A$34:$A$73,0))))</f>
        <v/>
      </c>
      <c r="BB120" s="10" t="s">
        <v>38</v>
      </c>
      <c r="BC120" s="7"/>
      <c r="BD120" s="7"/>
      <c r="BE120" s="31" t="str">
        <f>IF(BD120/(INDEX('Standards for Conversions'!$H$34:$H$73,MATCH(BC$3,'Standards for Conversions'!$A$34:$A$73,0)))=0,"",BD120/(INDEX('Standards for Conversions'!$H$34:$H$73,MATCH(BC$3,'Standards for Conversions'!$A$34:$A$73,0))))</f>
        <v/>
      </c>
      <c r="BF120" s="10" t="s">
        <v>38</v>
      </c>
      <c r="BG120" s="9"/>
      <c r="BH120" s="9"/>
      <c r="BI120" s="31" t="str">
        <f>IF(BH120/(INDEX('Standards for Conversions'!$H$34:$H$73,MATCH(BG$3,'Standards for Conversions'!$A$34:$A$73,0)))=0,"",BH120/(INDEX('Standards for Conversions'!$H$34:$H$73,MATCH(BG$3,'Standards for Conversions'!$A$34:$A$73,0))))</f>
        <v/>
      </c>
      <c r="BJ120" s="10" t="s">
        <v>38</v>
      </c>
      <c r="BK120" s="7"/>
      <c r="BL120" s="7"/>
      <c r="BM120" s="31" t="str">
        <f>IF(BL120/(INDEX('Standards for Conversions'!$H$34:$H$73,MATCH(BK$3,'Standards for Conversions'!$A$34:$A$73,0)))=0,"",BL120/(INDEX('Standards for Conversions'!$H$34:$H$73,MATCH(BK$3,'Standards for Conversions'!$A$34:$A$73,0))))</f>
        <v/>
      </c>
      <c r="BN120" s="10" t="s">
        <v>38</v>
      </c>
      <c r="BO120" s="7"/>
      <c r="BP120" s="7"/>
      <c r="BQ120" s="31" t="str">
        <f>IF(BP120/(INDEX('Standards for Conversions'!$H$34:$H$73,MATCH(BO$3,'Standards for Conversions'!$A$34:$A$73,0)))=0,"",BP120/(INDEX('Standards for Conversions'!$H$34:$H$73,MATCH(BO$3,'Standards for Conversions'!$A$34:$A$73,0))))</f>
        <v/>
      </c>
      <c r="BR120" s="10" t="s">
        <v>38</v>
      </c>
      <c r="BS120" s="7"/>
      <c r="BT120" s="7"/>
      <c r="BU120" s="31" t="str">
        <f>IF(BT120/(INDEX('Standards for Conversions'!$H$34:$H$73,MATCH(BS$3,'Standards for Conversions'!$A$34:$A$73,0)))=0,"",BT120/(INDEX('Standards for Conversions'!$H$34:$H$73,MATCH(BS$3,'Standards for Conversions'!$A$34:$A$73,0))))</f>
        <v/>
      </c>
      <c r="BV120" s="10" t="s">
        <v>38</v>
      </c>
      <c r="BW120" s="9"/>
      <c r="BX120" s="9"/>
      <c r="BY120" s="31" t="str">
        <f>IF(BX120/(INDEX('Standards for Conversions'!$H$34:$H$73,MATCH(BW$3,'Standards for Conversions'!$A$34:$A$73,0)))=0,"",BX120/(INDEX('Standards for Conversions'!$H$34:$H$73,MATCH(BW$3,'Standards for Conversions'!$A$34:$A$73,0))))</f>
        <v/>
      </c>
      <c r="BZ120" s="10" t="s">
        <v>38</v>
      </c>
      <c r="CA120" s="7"/>
      <c r="CB120" s="7"/>
      <c r="CC120" s="31" t="str">
        <f>IF(CB120/(INDEX('Standards for Conversions'!$H$34:$H$73,MATCH(CA$3,'Standards for Conversions'!$A$34:$A$73,0)))=0,"",CB120/(INDEX('Standards for Conversions'!$H$34:$H$73,MATCH(CA$3,'Standards for Conversions'!$A$34:$A$73,0))))</f>
        <v/>
      </c>
      <c r="CD120" s="10" t="s">
        <v>38</v>
      </c>
      <c r="CE120" s="7"/>
      <c r="CF120" s="7"/>
      <c r="CG120" s="31" t="str">
        <f>IF(CF120/(INDEX('Standards for Conversions'!$H$34:$H$73,MATCH(CE$3,'Standards for Conversions'!$A$34:$A$73,0)))=0,"",CF120/(INDEX('Standards for Conversions'!$H$34:$H$73,MATCH(CE$3,'Standards for Conversions'!$A$34:$A$73,0))))</f>
        <v/>
      </c>
      <c r="CH120" s="10" t="s">
        <v>38</v>
      </c>
      <c r="CI120" s="7"/>
      <c r="CJ120" s="7"/>
      <c r="CK120" s="31" t="str">
        <f>IF(CJ120/(INDEX('Standards for Conversions'!$H$34:$H$73,MATCH(CI$3,'Standards for Conversions'!$A$34:$A$73,0)))=0,"",CJ120/(INDEX('Standards for Conversions'!$H$34:$H$73,MATCH(CI$3,'Standards for Conversions'!$A$34:$A$73,0))))</f>
        <v/>
      </c>
      <c r="CL120" s="10" t="s">
        <v>38</v>
      </c>
      <c r="CM120" s="9"/>
      <c r="CN120" s="9"/>
      <c r="CO120" s="31" t="str">
        <f>IF(CN120/(INDEX('Standards for Conversions'!$H$34:$H$73,MATCH(CM$3,'Standards for Conversions'!$A$34:$A$73,0)))=0,"",CN120/(INDEX('Standards for Conversions'!$H$34:$H$73,MATCH(CM$3,'Standards for Conversions'!$A$34:$A$73,0))))</f>
        <v/>
      </c>
      <c r="CP120" s="10" t="s">
        <v>38</v>
      </c>
      <c r="CQ120" s="7"/>
      <c r="CR120" s="7"/>
      <c r="CS120" s="31" t="str">
        <f>IF(CR120/(INDEX('Standards for Conversions'!$H$34:$H$73,MATCH(CQ$3,'Standards for Conversions'!$A$34:$A$73,0)))=0,"",CR120/(INDEX('Standards for Conversions'!$H$34:$H$73,MATCH(CQ$3,'Standards for Conversions'!$A$34:$A$73,0))))</f>
        <v/>
      </c>
      <c r="CT120" s="10" t="s">
        <v>38</v>
      </c>
      <c r="CU120" s="7"/>
      <c r="CV120" s="7"/>
      <c r="CW120" s="31" t="str">
        <f>IF(CV120/(INDEX('Standards for Conversions'!$H$34:$H$73,MATCH(CU$3,'Standards for Conversions'!$A$34:$A$73,0)))=0,"",CV120/(INDEX('Standards for Conversions'!$H$34:$H$73,MATCH(CU$3,'Standards for Conversions'!$A$34:$A$73,0))))</f>
        <v/>
      </c>
      <c r="CX120" s="10" t="s">
        <v>38</v>
      </c>
      <c r="CY120" s="7"/>
      <c r="CZ120" s="7"/>
      <c r="DA120" s="31" t="str">
        <f>IF(CZ120/(INDEX('Standards for Conversions'!$H$34:$H$73,MATCH(CY$3,'Standards for Conversions'!$A$34:$A$73,0)))=0,"",CZ120/(INDEX('Standards for Conversions'!$H$34:$H$73,MATCH(CY$3,'Standards for Conversions'!$A$34:$A$73,0))))</f>
        <v/>
      </c>
      <c r="DB120" s="10" t="s">
        <v>38</v>
      </c>
      <c r="DC120" s="9"/>
      <c r="DD120" s="9"/>
      <c r="DE120" s="31" t="str">
        <f>IF(DD120/(INDEX('Standards for Conversions'!$H$34:$H$73,MATCH(DC$3,'Standards for Conversions'!$A$34:$A$73,0)))=0,"",DD120/(INDEX('Standards for Conversions'!$H$34:$H$73,MATCH(DC$3,'Standards for Conversions'!$A$34:$A$73,0))))</f>
        <v/>
      </c>
      <c r="DF120" s="10" t="s">
        <v>38</v>
      </c>
      <c r="DG120" s="7"/>
      <c r="DH120" s="7"/>
      <c r="DI120" s="31" t="str">
        <f>IF(DH120/(INDEX('Standards for Conversions'!$H$34:$H$73,MATCH(DG$3,'Standards for Conversions'!$A$34:$A$73,0)))=0,"",DH120/(INDEX('Standards for Conversions'!$H$34:$H$73,MATCH(DG$3,'Standards for Conversions'!$A$34:$A$73,0))))</f>
        <v/>
      </c>
      <c r="DJ120" s="10" t="s">
        <v>38</v>
      </c>
      <c r="DK120" s="7"/>
      <c r="DL120" s="7"/>
      <c r="DM120" s="31" t="str">
        <f>IF(DL120/(INDEX('Standards for Conversions'!$H$34:$H$73,MATCH(DK$3,'Standards for Conversions'!$A$34:$A$73,0)))=0,"",DL120/(INDEX('Standards for Conversions'!$H$34:$H$73,MATCH(DK$3,'Standards for Conversions'!$A$34:$A$73,0))))</f>
        <v/>
      </c>
      <c r="DN120" s="10" t="s">
        <v>38</v>
      </c>
      <c r="DO120" s="7"/>
      <c r="DP120" s="7"/>
      <c r="DQ120" s="31" t="str">
        <f>IF(DP120/(INDEX('Standards for Conversions'!$H$34:$H$73,MATCH(DO$3,'Standards for Conversions'!$A$34:$A$73,0)))=0,"",DP120/(INDEX('Standards for Conversions'!$H$34:$H$73,MATCH(DO$3,'Standards for Conversions'!$A$34:$A$73,0))))</f>
        <v/>
      </c>
      <c r="DR120" s="10" t="s">
        <v>38</v>
      </c>
      <c r="DS120" s="9"/>
      <c r="DT120" s="9"/>
      <c r="DU120" s="31" t="str">
        <f>IF(DT120/(INDEX('Standards for Conversions'!$H$34:$H$73,MATCH(DS$3,'Standards for Conversions'!$A$34:$A$73,0)))=0,"",DT120/(INDEX('Standards for Conversions'!$H$34:$H$73,MATCH(DS$3,'Standards for Conversions'!$A$34:$A$73,0))))</f>
        <v/>
      </c>
      <c r="DV120" s="10" t="s">
        <v>38</v>
      </c>
      <c r="DW120" s="7"/>
      <c r="DX120" s="7"/>
      <c r="DY120" s="31" t="str">
        <f>IF(DX120/(INDEX('Standards for Conversions'!$H$34:$H$73,MATCH(DW$3,'Standards for Conversions'!$A$34:$A$73,0)))=0,"",DX120/(INDEX('Standards for Conversions'!$H$34:$H$73,MATCH(DW$3,'Standards for Conversions'!$A$34:$A$73,0))))</f>
        <v/>
      </c>
      <c r="DZ120" s="10" t="s">
        <v>38</v>
      </c>
      <c r="EA120" s="7"/>
      <c r="EB120" s="7"/>
      <c r="EC120" s="31" t="str">
        <f>IF(EB120/(INDEX('Standards for Conversions'!$H$34:$H$73,MATCH(EA$3,'Standards for Conversions'!$A$34:$A$73,0)))=0,"",EB120/(INDEX('Standards for Conversions'!$H$34:$H$73,MATCH(EA$3,'Standards for Conversions'!$A$34:$A$73,0))))</f>
        <v/>
      </c>
      <c r="ED120" s="10" t="s">
        <v>38</v>
      </c>
      <c r="EE120" s="7"/>
      <c r="EF120" s="7"/>
      <c r="EG120" s="31" t="str">
        <f>IF(EF120/(INDEX('Standards for Conversions'!$H$34:$H$73,MATCH(EE$3,'Standards for Conversions'!$A$34:$A$73,0)))=0,"",EF120/(INDEX('Standards for Conversions'!$H$34:$H$73,MATCH(EE$3,'Standards for Conversions'!$A$34:$A$73,0))))</f>
        <v/>
      </c>
      <c r="EH120" s="10" t="s">
        <v>38</v>
      </c>
      <c r="EI120" s="9"/>
      <c r="EJ120" s="9"/>
      <c r="EK120" s="31" t="str">
        <f>IF(EJ120/(INDEX('Standards for Conversions'!$H$34:$H$73,MATCH(EI$3,'Standards for Conversions'!$A$34:$A$73,0)))=0,"",EJ120/(INDEX('Standards for Conversions'!$H$34:$H$73,MATCH(EI$3,'Standards for Conversions'!$A$34:$A$73,0))))</f>
        <v/>
      </c>
      <c r="EL120" s="10" t="s">
        <v>38</v>
      </c>
      <c r="EM120" s="7"/>
      <c r="EN120" s="7"/>
      <c r="EO120" s="31" t="str">
        <f>IF(EN120/(INDEX('Standards for Conversions'!$H$34:$H$73,MATCH(EM$3,'Standards for Conversions'!$A$34:$A$73,0)))=0,"",EN120/(INDEX('Standards for Conversions'!$H$34:$H$73,MATCH(EM$3,'Standards for Conversions'!$A$34:$A$73,0))))</f>
        <v/>
      </c>
      <c r="EP120" s="10" t="s">
        <v>38</v>
      </c>
      <c r="EQ120" s="7"/>
      <c r="ER120" s="7"/>
      <c r="ES120" s="31" t="str">
        <f>IF(ER120/(INDEX('Standards for Conversions'!$H$34:$H$73,MATCH(EQ$3,'Standards for Conversions'!$A$34:$A$73,0)))=0,"",ER120/(INDEX('Standards for Conversions'!$H$34:$H$73,MATCH(EQ$3,'Standards for Conversions'!$A$34:$A$73,0))))</f>
        <v/>
      </c>
      <c r="ET120" s="10" t="s">
        <v>38</v>
      </c>
      <c r="EU120" s="7"/>
      <c r="EV120" s="7"/>
      <c r="EW120" s="31" t="str">
        <f>IF(EV120/(INDEX('Standards for Conversions'!$H$34:$H$73,MATCH(EU$3,'Standards for Conversions'!$A$34:$A$73,0)))=0,"",EV120/(INDEX('Standards for Conversions'!$H$34:$H$73,MATCH(EU$3,'Standards for Conversions'!$A$34:$A$73,0))))</f>
        <v/>
      </c>
      <c r="EX120" s="10" t="s">
        <v>38</v>
      </c>
      <c r="EY120" s="9"/>
      <c r="EZ120" s="9"/>
      <c r="FA120" s="31" t="str">
        <f>IF(EZ120/(INDEX('Standards for Conversions'!$H$34:$H$73,MATCH(EY$3,'Standards for Conversions'!$A$34:$A$73,0)))=0,"",EZ120/(INDEX('Standards for Conversions'!$H$34:$H$73,MATCH(EY$3,'Standards for Conversions'!$A$34:$A$73,0))))</f>
        <v/>
      </c>
      <c r="FB120" s="10" t="s">
        <v>38</v>
      </c>
      <c r="FC120" s="7"/>
      <c r="FD120" s="7"/>
      <c r="FE120" s="31" t="str">
        <f>IF(FD120/(INDEX('Standards for Conversions'!$H$34:$H$73,MATCH(FC$3,'Standards for Conversions'!$A$34:$A$73,0)))=0,"",FD120/(INDEX('Standards for Conversions'!$H$34:$H$73,MATCH(FC$3,'Standards for Conversions'!$A$34:$A$73,0))))</f>
        <v/>
      </c>
      <c r="FF120" s="10" t="s">
        <v>38</v>
      </c>
      <c r="FG120" s="7"/>
      <c r="FH120" s="7"/>
      <c r="FI120" s="31" t="str">
        <f>IF(FH120/(INDEX('Standards for Conversions'!$H$34:$H$73,MATCH(FG$3,'Standards for Conversions'!$A$34:$A$73,0)))=0,"",FH120/(INDEX('Standards for Conversions'!$H$34:$H$73,MATCH(FG$3,'Standards for Conversions'!$A$34:$A$73,0))))</f>
        <v/>
      </c>
      <c r="FJ120" s="10" t="s">
        <v>38</v>
      </c>
      <c r="FK120" s="7"/>
      <c r="FL120" s="7"/>
      <c r="FM120" s="31" t="str">
        <f>IF(FL120/(INDEX('Standards for Conversions'!$H$34:$H$73,MATCH(FK$3,'Standards for Conversions'!$A$34:$A$73,0)))=0,"",FL120/(INDEX('Standards for Conversions'!$H$34:$H$73,MATCH(FK$3,'Standards for Conversions'!$A$34:$A$73,0))))</f>
        <v/>
      </c>
      <c r="FN120" s="10" t="s">
        <v>38</v>
      </c>
      <c r="FO120" s="9"/>
      <c r="FP120" s="9"/>
      <c r="FQ120" s="31" t="str">
        <f>IF(FP120/(INDEX('Standards for Conversions'!$H$34:$H$73,MATCH(FO$3,'Standards for Conversions'!$A$34:$A$73,0)))=0,"",FP120/(INDEX('Standards for Conversions'!$H$34:$H$73,MATCH(FO$3,'Standards for Conversions'!$A$34:$A$73,0))))</f>
        <v/>
      </c>
      <c r="FR120" s="10" t="s">
        <v>38</v>
      </c>
      <c r="FS120" s="7"/>
      <c r="FT120" s="7"/>
      <c r="FU120" s="31" t="str">
        <f>IF(FT120/(INDEX('Standards for Conversions'!$H$34:$H$73,MATCH(FS$3,'Standards for Conversions'!$A$34:$A$73,0)))=0,"",FT120/(INDEX('Standards for Conversions'!$H$34:$H$73,MATCH(FS$3,'Standards for Conversions'!$A$34:$A$73,0))))</f>
        <v/>
      </c>
      <c r="FV120" s="10" t="s">
        <v>38</v>
      </c>
      <c r="FW120" s="7"/>
      <c r="FX120" s="7"/>
      <c r="FY120" s="31" t="str">
        <f>IF(FX120/(INDEX('Standards for Conversions'!$H$34:$H$73,MATCH(FW$3,'Standards for Conversions'!$A$34:$A$73,0)))=0,"",FX120/(INDEX('Standards for Conversions'!$H$34:$H$73,MATCH(FW$3,'Standards for Conversions'!$A$34:$A$73,0))))</f>
        <v/>
      </c>
      <c r="FZ120" s="10" t="s">
        <v>38</v>
      </c>
      <c r="GA120" s="7"/>
      <c r="GB120" s="7"/>
      <c r="GC120" s="31" t="str">
        <f>IF(GB120/(INDEX('Standards for Conversions'!$H$34:$H$73,MATCH(GA$3,'Standards for Conversions'!$A$34:$A$73,0)))=0,"",GB120/(INDEX('Standards for Conversions'!$H$34:$H$73,MATCH(GA$3,'Standards for Conversions'!$A$34:$A$73,0))))</f>
        <v/>
      </c>
      <c r="GD120" s="10" t="s">
        <v>38</v>
      </c>
      <c r="GE120" s="9"/>
      <c r="GF120" s="9"/>
      <c r="GG120" s="31" t="str">
        <f>IF(GF120/(INDEX('Standards for Conversions'!$H$34:$H$73,MATCH(GE$3,'Standards for Conversions'!$A$34:$A$73,0)))=0,"",GF120/(INDEX('Standards for Conversions'!$H$34:$H$73,MATCH(GE$3,'Standards for Conversions'!$A$34:$A$73,0))))</f>
        <v/>
      </c>
      <c r="GH120" s="10" t="s">
        <v>38</v>
      </c>
      <c r="GI120" s="7"/>
      <c r="GJ120" s="7"/>
      <c r="GK120" s="31" t="str">
        <f>IF(GJ120/(INDEX('Standards for Conversions'!$H$34:$H$73,MATCH(GI$3,'Standards for Conversions'!$A$34:$A$73,0)))=0,"",GJ120/(INDEX('Standards for Conversions'!$H$34:$H$73,MATCH(GI$3,'Standards for Conversions'!$A$34:$A$73,0))))</f>
        <v/>
      </c>
      <c r="GL120" s="10" t="s">
        <v>38</v>
      </c>
      <c r="GM120" s="7"/>
      <c r="GN120" s="7"/>
      <c r="GO120" s="31" t="str">
        <f>IF(GN120/(INDEX('Standards for Conversions'!$H$34:$H$73,MATCH(GM$3,'Standards for Conversions'!$A$34:$A$73,0)))=0,"",GN120/(INDEX('Standards for Conversions'!$H$34:$H$73,MATCH(GM$3,'Standards for Conversions'!$A$34:$A$73,0))))</f>
        <v/>
      </c>
      <c r="GP120" s="10" t="s">
        <v>38</v>
      </c>
      <c r="GQ120" s="7"/>
      <c r="GR120" s="7"/>
      <c r="GS120" s="31" t="str">
        <f>IF(GR120/(INDEX('Standards for Conversions'!$H$34:$H$73,MATCH(GQ$3,'Standards for Conversions'!$A$34:$A$73,0)))=0,"",GR120/(INDEX('Standards for Conversions'!$H$34:$H$73,MATCH(GQ$3,'Standards for Conversions'!$A$34:$A$73,0))))</f>
        <v/>
      </c>
      <c r="GT120" s="10" t="s">
        <v>38</v>
      </c>
      <c r="GU120" s="9"/>
      <c r="GV120" s="9"/>
      <c r="GW120" s="31" t="str">
        <f>IF(GV120/(INDEX('Standards for Conversions'!$H$34:$H$73,MATCH(GU$3,'Standards for Conversions'!$A$34:$A$73,0)))=0,"",GV120/(INDEX('Standards for Conversions'!$H$34:$H$73,MATCH(GU$3,'Standards for Conversions'!$A$34:$A$73,0))))</f>
        <v/>
      </c>
      <c r="GX120" s="10" t="s">
        <v>38</v>
      </c>
      <c r="GY120" s="7"/>
      <c r="GZ120" s="7"/>
      <c r="HA120" s="31" t="str">
        <f>IF(GZ120/(INDEX('Standards for Conversions'!$H$34:$H$73,MATCH(GY$3,'Standards for Conversions'!$A$34:$A$73,0)))=0,"",GZ120/(INDEX('Standards for Conversions'!$H$34:$H$73,MATCH(GY$3,'Standards for Conversions'!$A$34:$A$73,0))))</f>
        <v/>
      </c>
      <c r="HB120" s="10" t="s">
        <v>38</v>
      </c>
      <c r="HC120" s="7"/>
      <c r="HD120" s="7"/>
      <c r="HE120" s="31" t="str">
        <f>IF(HD120/(INDEX('Standards for Conversions'!$H$34:$H$73,MATCH(HC$3,'Standards for Conversions'!$A$34:$A$73,0)))=0,"",HD120/(INDEX('Standards for Conversions'!$H$34:$H$73,MATCH(HC$3,'Standards for Conversions'!$A$34:$A$73,0))))</f>
        <v/>
      </c>
      <c r="HF120" s="10" t="s">
        <v>38</v>
      </c>
      <c r="HG120" s="7"/>
      <c r="HH120" s="7"/>
      <c r="HI120" s="31" t="str">
        <f>IF(HH120/(INDEX('Standards for Conversions'!$H$34:$H$73,MATCH(HG$3,'Standards for Conversions'!$A$34:$A$73,0)))=0,"",HH120/(INDEX('Standards for Conversions'!$H$34:$H$73,MATCH(HG$3,'Standards for Conversions'!$A$34:$A$73,0))))</f>
        <v/>
      </c>
      <c r="HJ120" s="10" t="s">
        <v>38</v>
      </c>
      <c r="HK120" s="9"/>
      <c r="HL120" s="9"/>
      <c r="HM120" s="31" t="str">
        <f>IF(HL120/(INDEX('Standards for Conversions'!$H$34:$H$73,MATCH(HK$3,'Standards for Conversions'!$A$34:$A$73,0)))=0,"",HL120/(INDEX('Standards for Conversions'!$H$34:$H$73,MATCH(HK$3,'Standards for Conversions'!$A$34:$A$73,0))))</f>
        <v/>
      </c>
      <c r="HN120" s="10" t="s">
        <v>38</v>
      </c>
      <c r="HO120" s="7"/>
      <c r="HP120" s="7"/>
      <c r="HQ120" s="31" t="str">
        <f>IF(HP120/(INDEX('Standards for Conversions'!$H$34:$H$73,MATCH(HO$3,'Standards for Conversions'!$A$34:$A$73,0)))=0,"",HP120/(INDEX('Standards for Conversions'!$H$34:$H$73,MATCH(HO$3,'Standards for Conversions'!$A$34:$A$73,0))))</f>
        <v/>
      </c>
      <c r="HR120" s="33" t="s">
        <v>38</v>
      </c>
      <c r="HU120" s="31" t="str">
        <f>IF(HT120/(INDEX('Standards for Conversions'!$H$47:$H$73,MATCH(HS$3,'Standards for Conversions'!$A$47:$A$73,0)))=0,"",HT120/(INDEX('Standards for Conversions'!$H$47:$H$73,MATCH(HS$3,'Standards for Conversions'!$A$47:$A$73,0))))</f>
        <v/>
      </c>
      <c r="HV120" s="33" t="s">
        <v>38</v>
      </c>
      <c r="HY120" s="31" t="str">
        <f>IF(HX120/(INDEX('Standards for Conversions'!$H$47:$H$73,MATCH(HW$3,'Standards for Conversions'!$A$47:$A$73,0)))=0,"",HX120/(INDEX('Standards for Conversions'!$H$47:$H$73,MATCH(HW$3,'Standards for Conversions'!$A$47:$A$73,0))))</f>
        <v/>
      </c>
      <c r="HZ120" s="33"/>
      <c r="IA120" s="33"/>
      <c r="IB120" s="31" t="str">
        <f>IF(IA120/(INDEX('Standards for Conversions'!$H$47:$H$73,MATCH(HZ$3,'Standards for Conversions'!$A$47:$A$73,0)))=0,"",IA120/(INDEX('Standards for Conversions'!$H$47:$H$73,MATCH(HZ$3,'Standards for Conversions'!$A$47:$A$73,0))))</f>
        <v/>
      </c>
      <c r="IC120" s="33" t="s">
        <v>38</v>
      </c>
      <c r="IF120" s="31" t="str">
        <f>IF(IE120/(INDEX('Standards for Conversions'!$H$47:$H$73,MATCH(ID$3,'Standards for Conversions'!$A$47:$A$73,0)))=0,"",IE120/(INDEX('Standards for Conversions'!$H$47:$H$73,MATCH(ID$3,'Standards for Conversions'!$A$47:$A$73,0))))</f>
        <v/>
      </c>
      <c r="IG120" s="33" t="s">
        <v>38</v>
      </c>
      <c r="IJ120" s="31" t="str">
        <f>IF(II120/(INDEX('Standards for Conversions'!$H$47:$H$73,MATCH(IH$3,'Standards for Conversions'!$A$47:$A$73,0)))=0,"",II120/(INDEX('Standards for Conversions'!$H$47:$H$73,MATCH(IH$3,'Standards for Conversions'!$A$47:$A$73,0))))</f>
        <v/>
      </c>
      <c r="IK120" s="33" t="s">
        <v>38</v>
      </c>
      <c r="IN120" s="31" t="str">
        <f>IF(IM120/(INDEX('Standards for Conversions'!$H$47:$H$73,MATCH(IL$3,'Standards for Conversions'!$A$47:$A$73,0)))=0,"",IM120/(INDEX('Standards for Conversions'!$H$47:$H$73,MATCH(IL$3,'Standards for Conversions'!$A$47:$A$73,0))))</f>
        <v/>
      </c>
      <c r="IO120" s="33" t="s">
        <v>38</v>
      </c>
      <c r="IP120" s="29">
        <v>25</v>
      </c>
      <c r="IQ120" s="29">
        <v>1020</v>
      </c>
      <c r="IR120" s="31">
        <f>IF(IQ120/(INDEX('Standards for Conversions'!$H$47:$H$73,MATCH(IP$3,'Standards for Conversions'!$A$47:$A$73,0)))=0,"",IQ120/(INDEX('Standards for Conversions'!$H$47:$H$73,MATCH(IP$3,'Standards for Conversions'!$A$47:$A$73,0))))</f>
        <v>147.50243275832102</v>
      </c>
      <c r="IS120" s="33" t="s">
        <v>38</v>
      </c>
      <c r="IV120" s="31" t="str">
        <f>IF(IU120/(INDEX('Standards for Conversions'!$H$47:$H$73,MATCH(IT$3,'Standards for Conversions'!$A$47:$A$73,0)))=0,"",IU120/(INDEX('Standards for Conversions'!$H$47:$H$73,MATCH(IT$3,'Standards for Conversions'!$A$47:$A$73,0))))</f>
        <v/>
      </c>
      <c r="IW120" s="33" t="s">
        <v>38</v>
      </c>
      <c r="IZ120" s="31" t="str">
        <f>IF(IY120/(INDEX('Standards for Conversions'!$H$47:$H$73,MATCH(IX$3,'Standards for Conversions'!$A$47:$A$73,0)))=0,"",IY120/(INDEX('Standards for Conversions'!$H$47:$H$73,MATCH(IX$3,'Standards for Conversions'!$A$47:$A$73,0))))</f>
        <v/>
      </c>
      <c r="JA120" s="48" t="s">
        <v>38</v>
      </c>
      <c r="JD120" s="31" t="str">
        <f>IF(JC120/(INDEX('Standards for Conversions'!$H$47:$H$73,MATCH(JB$3,'Standards for Conversions'!$A$47:$A$73,0)))=0,"",JC120/(INDEX('Standards for Conversions'!$H$47:$H$73,MATCH(JB$3,'Standards for Conversions'!$A$47:$A$73,0))))</f>
        <v/>
      </c>
      <c r="JE120" s="48" t="s">
        <v>38</v>
      </c>
      <c r="JF120" s="29">
        <v>20</v>
      </c>
      <c r="JG120" s="29">
        <v>800</v>
      </c>
      <c r="JH120" s="31">
        <f>IF(JG120/(INDEX('Standards for Conversions'!$H$47:$H$73,MATCH(JF$3,'Standards for Conversions'!$A$47:$A$73,0)))=0,"",JG120/(INDEX('Standards for Conversions'!$H$47:$H$73,MATCH(JF$3,'Standards for Conversions'!$A$47:$A$73,0))))</f>
        <v>129.40815735349494</v>
      </c>
      <c r="JI120" s="33"/>
      <c r="JL120" s="31" t="str">
        <f>IF(JK120/(INDEX('Standards for Conversions'!$H$47:$H$73,MATCH(JJ$3,'Standards for Conversions'!$A$47:$A$73,0)))=0,"",JK120/(INDEX('Standards for Conversions'!$H$47:$H$73,MATCH(JJ$3,'Standards for Conversions'!$A$47:$A$73,0))))</f>
        <v/>
      </c>
      <c r="JM120" s="33" t="s">
        <v>38</v>
      </c>
      <c r="JP120" s="31" t="str">
        <f>IF(JO120/(INDEX('Standards for Conversions'!$H$47:$H$73,MATCH(JN$3,'Standards for Conversions'!$A$47:$A$73,0)))=0,"",JO120/(INDEX('Standards for Conversions'!$H$47:$H$73,MATCH(JN$3,'Standards for Conversions'!$A$47:$A$73,0))))</f>
        <v/>
      </c>
      <c r="JQ120" s="33" t="s">
        <v>38</v>
      </c>
      <c r="JT120" s="31" t="str">
        <f>IF(JS120/(INDEX('Standards for Conversions'!$H$47:$H$73,MATCH(JR$3,'Standards for Conversions'!$A$47:$A$73,0)))=0,"",JS120/(INDEX('Standards for Conversions'!$H$47:$H$73,MATCH(JR$3,'Standards for Conversions'!$A$47:$A$73,0))))</f>
        <v/>
      </c>
      <c r="JU120" s="33" t="s">
        <v>38</v>
      </c>
      <c r="JV120" s="29">
        <v>25</v>
      </c>
      <c r="JW120" s="29">
        <v>800</v>
      </c>
      <c r="JX120" s="31">
        <f>IF(JW120/(INDEX('Standards for Conversions'!$H$47:$H$73,MATCH(JV$3,'Standards for Conversions'!$A$47:$A$73,0)))=0,"",JW120/(INDEX('Standards for Conversions'!$H$47:$H$73,MATCH(JV$3,'Standards for Conversions'!$A$47:$A$73,0))))</f>
        <v>122.12471394223805</v>
      </c>
      <c r="JY120" s="33" t="s">
        <v>38</v>
      </c>
      <c r="KB120" s="31" t="str">
        <f>IF(KA120/(INDEX('Standards for Conversions'!$H$47:$H$73,MATCH(JZ$3,'Standards for Conversions'!$A$47:$A$73,0)))=0,"",KA120/(INDEX('Standards for Conversions'!$H$47:$H$73,MATCH(JZ$3,'Standards for Conversions'!$A$47:$A$73,0))))</f>
        <v/>
      </c>
      <c r="KC120" s="33" t="s">
        <v>38</v>
      </c>
      <c r="KF120" s="31" t="str">
        <f>IF(KE120/(INDEX('Standards for Conversions'!$H$47:$H$73,MATCH(KD$3,'Standards for Conversions'!$A$47:$A$73,0)))=0,"",KE120/(INDEX('Standards for Conversions'!$H$47:$H$73,MATCH(KD$3,'Standards for Conversions'!$A$47:$A$73,0))))</f>
        <v/>
      </c>
      <c r="KG120" s="33" t="s">
        <v>38</v>
      </c>
      <c r="KJ120" s="31" t="str">
        <f>IF(KI120/(INDEX('Standards for Conversions'!$H$47:$H$73,MATCH(KH$3,'Standards for Conversions'!$A$47:$A$73,0)))=0,"",KI120/(INDEX('Standards for Conversions'!$H$47:$H$73,MATCH(KH$3,'Standards for Conversions'!$A$47:$A$73,0))))</f>
        <v/>
      </c>
      <c r="KK120" s="33" t="s">
        <v>38</v>
      </c>
      <c r="KL120" s="29">
        <v>25</v>
      </c>
      <c r="KM120" s="29">
        <v>700</v>
      </c>
      <c r="KN120" s="31">
        <f>IF(KM120/(INDEX('Standards for Conversions'!$H$47:$H$73,MATCH(KL$3,'Standards for Conversions'!$A$47:$A$73,0)))=0,"",KM120/(INDEX('Standards for Conversions'!$H$47:$H$73,MATCH(KL$3,'Standards for Conversions'!$A$47:$A$73,0))))</f>
        <v>94.261308334057517</v>
      </c>
      <c r="KO120" s="33" t="s">
        <v>38</v>
      </c>
      <c r="KR120" s="31" t="str">
        <f>IF(KQ120/(INDEX('Standards for Conversions'!$H$47:$H$73,MATCH(KP$3,'Standards for Conversions'!$A$47:$A$73,0)))=0,"",KQ120/(INDEX('Standards for Conversions'!$H$47:$H$73,MATCH(KP$3,'Standards for Conversions'!$A$47:$A$73,0))))</f>
        <v/>
      </c>
      <c r="KS120" s="33" t="s">
        <v>38</v>
      </c>
      <c r="KV120" s="31" t="str">
        <f>IF(KU120/(INDEX('Standards for Conversions'!$H$47:$H$73,MATCH(KT$3,'Standards for Conversions'!$A$47:$A$73,0)))=0,"",KU120/(INDEX('Standards for Conversions'!$H$47:$H$73,MATCH(KT$3,'Standards for Conversions'!$A$47:$A$73,0))))</f>
        <v/>
      </c>
      <c r="KW120" s="48" t="s">
        <v>38</v>
      </c>
      <c r="KZ120" s="31" t="str">
        <f>IF(KY120/(INDEX('Standards for Conversions'!$H$47:$H$73,MATCH(KX$3,'Standards for Conversions'!$A$47:$A$73,0)))=0,"",KY120/(INDEX('Standards for Conversions'!$H$47:$H$73,MATCH(KX$3,'Standards for Conversions'!$A$47:$A$73,0))))</f>
        <v/>
      </c>
      <c r="LA120" s="48" t="s">
        <v>38</v>
      </c>
      <c r="LB120" s="29">
        <v>30</v>
      </c>
      <c r="LC120" s="29">
        <v>750</v>
      </c>
      <c r="LD120" s="31">
        <f>IF(LC120/(INDEX('Standards for Conversions'!$H$47:$H$73,MATCH(LB$3,'Standards for Conversions'!$A$47:$A$73,0)))=0,"",LC120/(INDEX('Standards for Conversions'!$H$47:$H$73,MATCH(LB$3,'Standards for Conversions'!$A$47:$A$73,0))))</f>
        <v>91.212425045624386</v>
      </c>
      <c r="LE120" s="33"/>
      <c r="LH120" s="31" t="str">
        <f>IF(LG120/(INDEX('Standards for Conversions'!$H$47:$H$73,MATCH(LF$3,'Standards for Conversions'!$A$47:$A$73,0)))=0,"",LG120/(INDEX('Standards for Conversions'!$H$47:$H$73,MATCH(LF$3,'Standards for Conversions'!$A$47:$A$73,0))))</f>
        <v/>
      </c>
      <c r="LL120" s="31" t="str">
        <f>IF(LK120/(INDEX('Standards for Conversions'!$H$47:$H$73,MATCH(LJ$3,'Standards for Conversions'!$A$47:$A$73,0)))=0,"",LK120/(INDEX('Standards for Conversions'!$H$47:$H$73,MATCH(LJ$3,'Standards for Conversions'!$A$47:$A$73,0))))</f>
        <v/>
      </c>
      <c r="LO120" s="31" t="str">
        <f>IF(LN120/(INDEX('Standards for Conversions'!$H$47:$H$73,MATCH(LM$3,'Standards for Conversions'!$A$47:$A$73,0)))=0,"",LN120/(INDEX('Standards for Conversions'!$H$47:$H$73,MATCH(LM$3,'Standards for Conversions'!$A$47:$A$73,0))))</f>
        <v/>
      </c>
      <c r="LR120" s="31" t="str">
        <f>IF(LQ120/(INDEX('Standards for Conversions'!$H$47:$H$73,MATCH(LP$3,'Standards for Conversions'!$A$47:$A$73,0)))=0,"",LQ120/(INDEX('Standards for Conversions'!$H$47:$H$73,MATCH(LP$3,'Standards for Conversions'!$A$47:$A$73,0))))</f>
        <v/>
      </c>
      <c r="LV120" s="31" t="str">
        <f>IF(LU120/(INDEX('Standards for Conversions'!$H$47:$H$73,MATCH(LT$3,'Standards for Conversions'!$A$47:$A$73,0)))=0,"",LU120/(INDEX('Standards for Conversions'!$H$47:$H$73,MATCH(LT$3,'Standards for Conversions'!$A$47:$A$73,0))))</f>
        <v/>
      </c>
      <c r="LY120" s="31" t="str">
        <f>IF(LX120/(INDEX('Standards for Conversions'!$H$47:$H$73,MATCH(LW$3,'Standards for Conversions'!$A$47:$A$73,0)))=0,"",LX120/(INDEX('Standards for Conversions'!$H$47:$H$73,MATCH(LW$3,'Standards for Conversions'!$A$47:$A$73,0))))</f>
        <v/>
      </c>
      <c r="MB120" s="31" t="str">
        <f>IF(MA120/(INDEX('Standards for Conversions'!$H$47:$H$73,MATCH(LZ$3,'Standards for Conversions'!$A$47:$A$73,0)))=0,"",MA120/(INDEX('Standards for Conversions'!$H$47:$H$73,MATCH(LZ$3,'Standards for Conversions'!$A$47:$A$73,0))))</f>
        <v/>
      </c>
      <c r="ME120" s="31" t="str">
        <f>IF(MD120/(INDEX('Standards for Conversions'!$H$47:$H$73,MATCH(MC$3,'Standards for Conversions'!$A$47:$A$73,0)))=0,"",MD120/(INDEX('Standards for Conversions'!$H$47:$H$73,MATCH(MC$3,'Standards for Conversions'!$A$47:$A$73,0))))</f>
        <v/>
      </c>
      <c r="MH120" s="31" t="str">
        <f>IF(MG120/(INDEX('Standards for Conversions'!$H$47:$H$73,MATCH(MF$3,'Standards for Conversions'!$A$47:$A$73,0)))=0,"",MG120/(INDEX('Standards for Conversions'!$H$47:$H$73,MATCH(MF$3,'Standards for Conversions'!$A$47:$A$73,0))))</f>
        <v/>
      </c>
      <c r="MK120" s="31" t="str">
        <f>IF(MJ120/(INDEX('Standards for Conversions'!$H$47:$H$73,MATCH(MI$3,'Standards for Conversions'!$A$47:$A$73,0)))=0,"",MJ120/(INDEX('Standards for Conversions'!$H$47:$H$73,MATCH(MI$3,'Standards for Conversions'!$A$47:$A$73,0))))</f>
        <v/>
      </c>
      <c r="MN120" s="31" t="str">
        <f>IF(MM120/(INDEX('Standards for Conversions'!$H$47:$H$73,MATCH(ML$3,'Standards for Conversions'!$A$47:$A$73,0)))=0,"",MM120/(INDEX('Standards for Conversions'!$H$47:$H$73,MATCH(ML$3,'Standards for Conversions'!$A$47:$A$73,0))))</f>
        <v/>
      </c>
      <c r="MR120" s="31" t="str">
        <f>IF(MQ120/(INDEX('Standards for Conversions'!$H$47:$H$73,MATCH(MP$3,'Standards for Conversions'!$A$47:$A$73,0)))=0,"",MQ120/(INDEX('Standards for Conversions'!$H$47:$H$73,MATCH(MP$3,'Standards for Conversions'!$A$47:$A$73,0))))</f>
        <v/>
      </c>
    </row>
    <row r="121" spans="1:356" hidden="1" x14ac:dyDescent="0.3">
      <c r="A121" s="103" t="s">
        <v>286</v>
      </c>
      <c r="C121" s="7"/>
      <c r="D121" s="7"/>
      <c r="E121" s="31" t="str">
        <f>IF(D121/(INDEX('Standards for Conversions'!$H$34:$H$73,MATCH(C$3,'Standards for Conversions'!$A$34:$A$73,0)))=0,"",D121/(INDEX('Standards for Conversions'!$H$34:$H$73,MATCH(C$3,'Standards for Conversions'!$A$34:$A$73,0))))</f>
        <v/>
      </c>
      <c r="G121" s="7"/>
      <c r="H121" s="7"/>
      <c r="I121" s="31" t="str">
        <f>IF(H121/(INDEX('Standards for Conversions'!$H$34:$H$73,MATCH(G$3,'Standards for Conversions'!$A$34:$A$73,0)))=0,"",H121/(INDEX('Standards for Conversions'!$H$34:$H$73,MATCH(G$3,'Standards for Conversions'!$A$34:$A$73,0))))</f>
        <v/>
      </c>
      <c r="K121" s="9"/>
      <c r="L121" s="9"/>
      <c r="M121" s="31" t="str">
        <f>IF(L121/(INDEX('Standards for Conversions'!$H$34:$H$73,MATCH(K$3,'Standards for Conversions'!$A$34:$A$73,0)))=0,"",L121/(INDEX('Standards for Conversions'!$H$34:$H$73,MATCH(K$3,'Standards for Conversions'!$A$34:$A$73,0))))</f>
        <v/>
      </c>
      <c r="O121" s="7"/>
      <c r="P121" s="7"/>
      <c r="Q121" s="31" t="str">
        <f>IF(P121/(INDEX('Standards for Conversions'!$H$34:$H$73,MATCH(O$3,'Standards for Conversions'!$A$34:$A$73,0)))=0,"",P121/(INDEX('Standards for Conversions'!$H$34:$H$73,MATCH(O$3,'Standards for Conversions'!$A$34:$A$73,0))))</f>
        <v/>
      </c>
      <c r="S121" s="7"/>
      <c r="T121" s="7"/>
      <c r="U121" s="31" t="str">
        <f>IF(T121/(INDEX('Standards for Conversions'!$H$34:$H$73,MATCH(S$3,'Standards for Conversions'!$A$34:$A$73,0)))=0,"",T121/(INDEX('Standards for Conversions'!$H$34:$H$73,MATCH(S$3,'Standards for Conversions'!$A$34:$A$73,0))))</f>
        <v/>
      </c>
      <c r="W121" s="7"/>
      <c r="X121" s="7"/>
      <c r="Y121" s="31" t="str">
        <f>IF(X121/(INDEX('Standards for Conversions'!$H$34:$H$73,MATCH(W$3,'Standards for Conversions'!$A$34:$A$73,0)))=0,"",X121/(INDEX('Standards for Conversions'!$H$34:$H$73,MATCH(W$3,'Standards for Conversions'!$A$34:$A$73,0))))</f>
        <v/>
      </c>
      <c r="AA121" s="9"/>
      <c r="AB121" s="9"/>
      <c r="AC121" s="31" t="str">
        <f>IF(AB121/(INDEX('Standards for Conversions'!$H$34:$H$73,MATCH(AA$3,'Standards for Conversions'!$A$34:$A$73,0)))=0,"",AB121/(INDEX('Standards for Conversions'!$H$34:$H$73,MATCH(AA$3,'Standards for Conversions'!$A$34:$A$73,0))))</f>
        <v/>
      </c>
      <c r="AE121" s="7"/>
      <c r="AF121" s="7"/>
      <c r="AG121" s="31" t="str">
        <f>IF(AF121/(INDEX('Standards for Conversions'!$H$34:$H$73,MATCH(AE$3,'Standards for Conversions'!$A$34:$A$73,0)))=0,"",AF121/(INDEX('Standards for Conversions'!$H$34:$H$73,MATCH(AE$3,'Standards for Conversions'!$A$34:$A$73,0))))</f>
        <v/>
      </c>
      <c r="AI121" s="7"/>
      <c r="AJ121" s="7"/>
      <c r="AK121" s="31" t="str">
        <f>IF(AJ121/(INDEX('Standards for Conversions'!$H$34:$H$73,MATCH(AI$3,'Standards for Conversions'!$A$34:$A$73,0)))=0,"",AJ121/(INDEX('Standards for Conversions'!$H$34:$H$73,MATCH(AI$3,'Standards for Conversions'!$A$34:$A$73,0))))</f>
        <v/>
      </c>
      <c r="AM121" s="7"/>
      <c r="AN121" s="7"/>
      <c r="AO121" s="31" t="str">
        <f>IF(AN121/(INDEX('Standards for Conversions'!$H$34:$H$73,MATCH(AM$3,'Standards for Conversions'!$A$34:$A$73,0)))=0,"",AN121/(INDEX('Standards for Conversions'!$H$34:$H$73,MATCH(AM$3,'Standards for Conversions'!$A$34:$A$73,0))))</f>
        <v/>
      </c>
      <c r="AQ121" s="9"/>
      <c r="AR121" s="9"/>
      <c r="AS121" s="31" t="str">
        <f>IF(AR121/(INDEX('Standards for Conversions'!$H$34:$H$73,MATCH(AQ$3,'Standards for Conversions'!$A$34:$A$73,0)))=0,"",AR121/(INDEX('Standards for Conversions'!$H$34:$H$73,MATCH(AQ$3,'Standards for Conversions'!$A$34:$A$73,0))))</f>
        <v/>
      </c>
      <c r="AU121" s="7"/>
      <c r="AV121" s="7"/>
      <c r="AW121" s="31" t="str">
        <f>IF(AV121/(INDEX('Standards for Conversions'!$H$34:$H$73,MATCH(AU$3,'Standards for Conversions'!$A$34:$A$73,0)))=0,"",AV121/(INDEX('Standards for Conversions'!$H$34:$H$73,MATCH(AU$3,'Standards for Conversions'!$A$34:$A$73,0))))</f>
        <v/>
      </c>
      <c r="AY121" s="7"/>
      <c r="AZ121" s="7"/>
      <c r="BA121" s="31" t="str">
        <f>IF(AZ121/(INDEX('Standards for Conversions'!$H$34:$H$73,MATCH(AY$3,'Standards for Conversions'!$A$34:$A$73,0)))=0,"",AZ121/(INDEX('Standards for Conversions'!$H$34:$H$73,MATCH(AY$3,'Standards for Conversions'!$A$34:$A$73,0))))</f>
        <v/>
      </c>
      <c r="BC121" s="7"/>
      <c r="BD121" s="7"/>
      <c r="BE121" s="31" t="str">
        <f>IF(BD121/(INDEX('Standards for Conversions'!$H$34:$H$73,MATCH(BC$3,'Standards for Conversions'!$A$34:$A$73,0)))=0,"",BD121/(INDEX('Standards for Conversions'!$H$34:$H$73,MATCH(BC$3,'Standards for Conversions'!$A$34:$A$73,0))))</f>
        <v/>
      </c>
      <c r="BG121" s="9"/>
      <c r="BH121" s="9"/>
      <c r="BI121" s="31" t="str">
        <f>IF(BH121/(INDEX('Standards for Conversions'!$H$34:$H$73,MATCH(BG$3,'Standards for Conversions'!$A$34:$A$73,0)))=0,"",BH121/(INDEX('Standards for Conversions'!$H$34:$H$73,MATCH(BG$3,'Standards for Conversions'!$A$34:$A$73,0))))</f>
        <v/>
      </c>
      <c r="BK121" s="7"/>
      <c r="BL121" s="7"/>
      <c r="BM121" s="31" t="str">
        <f>IF(BL121/(INDEX('Standards for Conversions'!$H$34:$H$73,MATCH(BK$3,'Standards for Conversions'!$A$34:$A$73,0)))=0,"",BL121/(INDEX('Standards for Conversions'!$H$34:$H$73,MATCH(BK$3,'Standards for Conversions'!$A$34:$A$73,0))))</f>
        <v/>
      </c>
      <c r="BO121" s="7"/>
      <c r="BP121" s="7"/>
      <c r="BQ121" s="31" t="str">
        <f>IF(BP121/(INDEX('Standards for Conversions'!$H$34:$H$73,MATCH(BO$3,'Standards for Conversions'!$A$34:$A$73,0)))=0,"",BP121/(INDEX('Standards for Conversions'!$H$34:$H$73,MATCH(BO$3,'Standards for Conversions'!$A$34:$A$73,0))))</f>
        <v/>
      </c>
      <c r="BS121" s="7"/>
      <c r="BT121" s="7"/>
      <c r="BU121" s="31" t="str">
        <f>IF(BT121/(INDEX('Standards for Conversions'!$H$34:$H$73,MATCH(BS$3,'Standards for Conversions'!$A$34:$A$73,0)))=0,"",BT121/(INDEX('Standards for Conversions'!$H$34:$H$73,MATCH(BS$3,'Standards for Conversions'!$A$34:$A$73,0))))</f>
        <v/>
      </c>
      <c r="BW121" s="9"/>
      <c r="BX121" s="9"/>
      <c r="BY121" s="31" t="str">
        <f>IF(BX121/(INDEX('Standards for Conversions'!$H$34:$H$73,MATCH(BW$3,'Standards for Conversions'!$A$34:$A$73,0)))=0,"",BX121/(INDEX('Standards for Conversions'!$H$34:$H$73,MATCH(BW$3,'Standards for Conversions'!$A$34:$A$73,0))))</f>
        <v/>
      </c>
      <c r="CA121" s="7"/>
      <c r="CB121" s="7"/>
      <c r="CC121" s="31" t="str">
        <f>IF(CB121/(INDEX('Standards for Conversions'!$H$34:$H$73,MATCH(CA$3,'Standards for Conversions'!$A$34:$A$73,0)))=0,"",CB121/(INDEX('Standards for Conversions'!$H$34:$H$73,MATCH(CA$3,'Standards for Conversions'!$A$34:$A$73,0))))</f>
        <v/>
      </c>
      <c r="CE121" s="7"/>
      <c r="CF121" s="7"/>
      <c r="CG121" s="31" t="str">
        <f>IF(CF121/(INDEX('Standards for Conversions'!$H$34:$H$73,MATCH(CE$3,'Standards for Conversions'!$A$34:$A$73,0)))=0,"",CF121/(INDEX('Standards for Conversions'!$H$34:$H$73,MATCH(CE$3,'Standards for Conversions'!$A$34:$A$73,0))))</f>
        <v/>
      </c>
      <c r="CI121" s="7"/>
      <c r="CJ121" s="7"/>
      <c r="CK121" s="31" t="str">
        <f>IF(CJ121/(INDEX('Standards for Conversions'!$H$34:$H$73,MATCH(CI$3,'Standards for Conversions'!$A$34:$A$73,0)))=0,"",CJ121/(INDEX('Standards for Conversions'!$H$34:$H$73,MATCH(CI$3,'Standards for Conversions'!$A$34:$A$73,0))))</f>
        <v/>
      </c>
      <c r="CM121" s="9"/>
      <c r="CN121" s="9"/>
      <c r="CO121" s="31" t="str">
        <f>IF(CN121/(INDEX('Standards for Conversions'!$H$34:$H$73,MATCH(CM$3,'Standards for Conversions'!$A$34:$A$73,0)))=0,"",CN121/(INDEX('Standards for Conversions'!$H$34:$H$73,MATCH(CM$3,'Standards for Conversions'!$A$34:$A$73,0))))</f>
        <v/>
      </c>
      <c r="CQ121" s="7"/>
      <c r="CR121" s="7"/>
      <c r="CS121" s="31" t="str">
        <f>IF(CR121/(INDEX('Standards for Conversions'!$H$34:$H$73,MATCH(CQ$3,'Standards for Conversions'!$A$34:$A$73,0)))=0,"",CR121/(INDEX('Standards for Conversions'!$H$34:$H$73,MATCH(CQ$3,'Standards for Conversions'!$A$34:$A$73,0))))</f>
        <v/>
      </c>
      <c r="CU121" s="7"/>
      <c r="CV121" s="7"/>
      <c r="CW121" s="31" t="str">
        <f>IF(CV121/(INDEX('Standards for Conversions'!$H$34:$H$73,MATCH(CU$3,'Standards for Conversions'!$A$34:$A$73,0)))=0,"",CV121/(INDEX('Standards for Conversions'!$H$34:$H$73,MATCH(CU$3,'Standards for Conversions'!$A$34:$A$73,0))))</f>
        <v/>
      </c>
      <c r="CY121" s="7"/>
      <c r="CZ121" s="7"/>
      <c r="DA121" s="31" t="str">
        <f>IF(CZ121/(INDEX('Standards for Conversions'!$H$34:$H$73,MATCH(CY$3,'Standards for Conversions'!$A$34:$A$73,0)))=0,"",CZ121/(INDEX('Standards for Conversions'!$H$34:$H$73,MATCH(CY$3,'Standards for Conversions'!$A$34:$A$73,0))))</f>
        <v/>
      </c>
      <c r="DC121" s="9"/>
      <c r="DD121" s="9"/>
      <c r="DE121" s="31" t="str">
        <f>IF(DD121/(INDEX('Standards for Conversions'!$H$34:$H$73,MATCH(DC$3,'Standards for Conversions'!$A$34:$A$73,0)))=0,"",DD121/(INDEX('Standards for Conversions'!$H$34:$H$73,MATCH(DC$3,'Standards for Conversions'!$A$34:$A$73,0))))</f>
        <v/>
      </c>
      <c r="DG121" s="7"/>
      <c r="DH121" s="7"/>
      <c r="DI121" s="31" t="str">
        <f>IF(DH121/(INDEX('Standards for Conversions'!$H$34:$H$73,MATCH(DG$3,'Standards for Conversions'!$A$34:$A$73,0)))=0,"",DH121/(INDEX('Standards for Conversions'!$H$34:$H$73,MATCH(DG$3,'Standards for Conversions'!$A$34:$A$73,0))))</f>
        <v/>
      </c>
      <c r="DK121" s="7"/>
      <c r="DL121" s="7"/>
      <c r="DM121" s="31" t="str">
        <f>IF(DL121/(INDEX('Standards for Conversions'!$H$34:$H$73,MATCH(DK$3,'Standards for Conversions'!$A$34:$A$73,0)))=0,"",DL121/(INDEX('Standards for Conversions'!$H$34:$H$73,MATCH(DK$3,'Standards for Conversions'!$A$34:$A$73,0))))</f>
        <v/>
      </c>
      <c r="DO121" s="7"/>
      <c r="DP121" s="7"/>
      <c r="DQ121" s="31" t="str">
        <f>IF(DP121/(INDEX('Standards for Conversions'!$H$34:$H$73,MATCH(DO$3,'Standards for Conversions'!$A$34:$A$73,0)))=0,"",DP121/(INDEX('Standards for Conversions'!$H$34:$H$73,MATCH(DO$3,'Standards for Conversions'!$A$34:$A$73,0))))</f>
        <v/>
      </c>
      <c r="DS121" s="9"/>
      <c r="DT121" s="9"/>
      <c r="DU121" s="31" t="str">
        <f>IF(DT121/(INDEX('Standards for Conversions'!$H$34:$H$73,MATCH(DS$3,'Standards for Conversions'!$A$34:$A$73,0)))=0,"",DT121/(INDEX('Standards for Conversions'!$H$34:$H$73,MATCH(DS$3,'Standards for Conversions'!$A$34:$A$73,0))))</f>
        <v/>
      </c>
      <c r="DW121" s="7"/>
      <c r="DX121" s="7"/>
      <c r="DY121" s="31" t="str">
        <f>IF(DX121/(INDEX('Standards for Conversions'!$H$34:$H$73,MATCH(DW$3,'Standards for Conversions'!$A$34:$A$73,0)))=0,"",DX121/(INDEX('Standards for Conversions'!$H$34:$H$73,MATCH(DW$3,'Standards for Conversions'!$A$34:$A$73,0))))</f>
        <v/>
      </c>
      <c r="EA121" s="7"/>
      <c r="EB121" s="7"/>
      <c r="EC121" s="31" t="str">
        <f>IF(EB121/(INDEX('Standards for Conversions'!$H$34:$H$73,MATCH(EA$3,'Standards for Conversions'!$A$34:$A$73,0)))=0,"",EB121/(INDEX('Standards for Conversions'!$H$34:$H$73,MATCH(EA$3,'Standards for Conversions'!$A$34:$A$73,0))))</f>
        <v/>
      </c>
      <c r="EE121" s="7"/>
      <c r="EF121" s="7"/>
      <c r="EG121" s="31" t="str">
        <f>IF(EF121/(INDEX('Standards for Conversions'!$H$34:$H$73,MATCH(EE$3,'Standards for Conversions'!$A$34:$A$73,0)))=0,"",EF121/(INDEX('Standards for Conversions'!$H$34:$H$73,MATCH(EE$3,'Standards for Conversions'!$A$34:$A$73,0))))</f>
        <v/>
      </c>
      <c r="EI121" s="9"/>
      <c r="EJ121" s="9"/>
      <c r="EK121" s="31" t="str">
        <f>IF(EJ121/(INDEX('Standards for Conversions'!$H$34:$H$73,MATCH(EI$3,'Standards for Conversions'!$A$34:$A$73,0)))=0,"",EJ121/(INDEX('Standards for Conversions'!$H$34:$H$73,MATCH(EI$3,'Standards for Conversions'!$A$34:$A$73,0))))</f>
        <v/>
      </c>
      <c r="EM121" s="7"/>
      <c r="EN121" s="7"/>
      <c r="EO121" s="31" t="str">
        <f>IF(EN121/(INDEX('Standards for Conversions'!$H$34:$H$73,MATCH(EM$3,'Standards for Conversions'!$A$34:$A$73,0)))=0,"",EN121/(INDEX('Standards for Conversions'!$H$34:$H$73,MATCH(EM$3,'Standards for Conversions'!$A$34:$A$73,0))))</f>
        <v/>
      </c>
      <c r="EQ121" s="7"/>
      <c r="ER121" s="7"/>
      <c r="ES121" s="31" t="str">
        <f>IF(ER121/(INDEX('Standards for Conversions'!$H$34:$H$73,MATCH(EQ$3,'Standards for Conversions'!$A$34:$A$73,0)))=0,"",ER121/(INDEX('Standards for Conversions'!$H$34:$H$73,MATCH(EQ$3,'Standards for Conversions'!$A$34:$A$73,0))))</f>
        <v/>
      </c>
      <c r="EU121" s="7"/>
      <c r="EV121" s="7"/>
      <c r="EW121" s="31" t="str">
        <f>IF(EV121/(INDEX('Standards for Conversions'!$H$34:$H$73,MATCH(EU$3,'Standards for Conversions'!$A$34:$A$73,0)))=0,"",EV121/(INDEX('Standards for Conversions'!$H$34:$H$73,MATCH(EU$3,'Standards for Conversions'!$A$34:$A$73,0))))</f>
        <v/>
      </c>
      <c r="EY121" s="9"/>
      <c r="EZ121" s="9"/>
      <c r="FA121" s="31" t="str">
        <f>IF(EZ121/(INDEX('Standards for Conversions'!$H$34:$H$73,MATCH(EY$3,'Standards for Conversions'!$A$34:$A$73,0)))=0,"",EZ121/(INDEX('Standards for Conversions'!$H$34:$H$73,MATCH(EY$3,'Standards for Conversions'!$A$34:$A$73,0))))</f>
        <v/>
      </c>
      <c r="FC121" s="7"/>
      <c r="FD121" s="7"/>
      <c r="FE121" s="31" t="str">
        <f>IF(FD121/(INDEX('Standards for Conversions'!$H$34:$H$73,MATCH(FC$3,'Standards for Conversions'!$A$34:$A$73,0)))=0,"",FD121/(INDEX('Standards for Conversions'!$H$34:$H$73,MATCH(FC$3,'Standards for Conversions'!$A$34:$A$73,0))))</f>
        <v/>
      </c>
      <c r="FG121" s="7"/>
      <c r="FH121" s="7"/>
      <c r="FI121" s="31" t="str">
        <f>IF(FH121/(INDEX('Standards for Conversions'!$H$34:$H$73,MATCH(FG$3,'Standards for Conversions'!$A$34:$A$73,0)))=0,"",FH121/(INDEX('Standards for Conversions'!$H$34:$H$73,MATCH(FG$3,'Standards for Conversions'!$A$34:$A$73,0))))</f>
        <v/>
      </c>
      <c r="FK121" s="7"/>
      <c r="FL121" s="7"/>
      <c r="FM121" s="31" t="str">
        <f>IF(FL121/(INDEX('Standards for Conversions'!$H$34:$H$73,MATCH(FK$3,'Standards for Conversions'!$A$34:$A$73,0)))=0,"",FL121/(INDEX('Standards for Conversions'!$H$34:$H$73,MATCH(FK$3,'Standards for Conversions'!$A$34:$A$73,0))))</f>
        <v/>
      </c>
      <c r="FO121" s="9"/>
      <c r="FP121" s="9"/>
      <c r="FQ121" s="31" t="str">
        <f>IF(FP121/(INDEX('Standards for Conversions'!$H$34:$H$73,MATCH(FO$3,'Standards for Conversions'!$A$34:$A$73,0)))=0,"",FP121/(INDEX('Standards for Conversions'!$H$34:$H$73,MATCH(FO$3,'Standards for Conversions'!$A$34:$A$73,0))))</f>
        <v/>
      </c>
      <c r="FS121" s="7"/>
      <c r="FT121" s="7"/>
      <c r="FU121" s="31" t="str">
        <f>IF(FT121/(INDEX('Standards for Conversions'!$H$34:$H$73,MATCH(FS$3,'Standards for Conversions'!$A$34:$A$73,0)))=0,"",FT121/(INDEX('Standards for Conversions'!$H$34:$H$73,MATCH(FS$3,'Standards for Conversions'!$A$34:$A$73,0))))</f>
        <v/>
      </c>
      <c r="FW121" s="7"/>
      <c r="FX121" s="7"/>
      <c r="FY121" s="31" t="str">
        <f>IF(FX121/(INDEX('Standards for Conversions'!$H$34:$H$73,MATCH(FW$3,'Standards for Conversions'!$A$34:$A$73,0)))=0,"",FX121/(INDEX('Standards for Conversions'!$H$34:$H$73,MATCH(FW$3,'Standards for Conversions'!$A$34:$A$73,0))))</f>
        <v/>
      </c>
      <c r="GA121" s="7"/>
      <c r="GB121" s="7"/>
      <c r="GC121" s="31" t="str">
        <f>IF(GB121/(INDEX('Standards for Conversions'!$H$34:$H$73,MATCH(GA$3,'Standards for Conversions'!$A$34:$A$73,0)))=0,"",GB121/(INDEX('Standards for Conversions'!$H$34:$H$73,MATCH(GA$3,'Standards for Conversions'!$A$34:$A$73,0))))</f>
        <v/>
      </c>
      <c r="GE121" s="9"/>
      <c r="GF121" s="9"/>
      <c r="GG121" s="31" t="str">
        <f>IF(GF121/(INDEX('Standards for Conversions'!$H$34:$H$73,MATCH(GE$3,'Standards for Conversions'!$A$34:$A$73,0)))=0,"",GF121/(INDEX('Standards for Conversions'!$H$34:$H$73,MATCH(GE$3,'Standards for Conversions'!$A$34:$A$73,0))))</f>
        <v/>
      </c>
      <c r="GI121" s="7"/>
      <c r="GJ121" s="7"/>
      <c r="GK121" s="31" t="str">
        <f>IF(GJ121/(INDEX('Standards for Conversions'!$H$34:$H$73,MATCH(GI$3,'Standards for Conversions'!$A$34:$A$73,0)))=0,"",GJ121/(INDEX('Standards for Conversions'!$H$34:$H$73,MATCH(GI$3,'Standards for Conversions'!$A$34:$A$73,0))))</f>
        <v/>
      </c>
      <c r="GM121" s="7"/>
      <c r="GN121" s="7"/>
      <c r="GO121" s="31" t="str">
        <f>IF(GN121/(INDEX('Standards for Conversions'!$H$34:$H$73,MATCH(GM$3,'Standards for Conversions'!$A$34:$A$73,0)))=0,"",GN121/(INDEX('Standards for Conversions'!$H$34:$H$73,MATCH(GM$3,'Standards for Conversions'!$A$34:$A$73,0))))</f>
        <v/>
      </c>
      <c r="GQ121" s="7"/>
      <c r="GR121" s="7"/>
      <c r="GS121" s="31" t="str">
        <f>IF(GR121/(INDEX('Standards for Conversions'!$H$34:$H$73,MATCH(GQ$3,'Standards for Conversions'!$A$34:$A$73,0)))=0,"",GR121/(INDEX('Standards for Conversions'!$H$34:$H$73,MATCH(GQ$3,'Standards for Conversions'!$A$34:$A$73,0))))</f>
        <v/>
      </c>
      <c r="GU121" s="9"/>
      <c r="GV121" s="9"/>
      <c r="GW121" s="31" t="str">
        <f>IF(GV121/(INDEX('Standards for Conversions'!$H$34:$H$73,MATCH(GU$3,'Standards for Conversions'!$A$34:$A$73,0)))=0,"",GV121/(INDEX('Standards for Conversions'!$H$34:$H$73,MATCH(GU$3,'Standards for Conversions'!$A$34:$A$73,0))))</f>
        <v/>
      </c>
      <c r="GY121" s="7"/>
      <c r="GZ121" s="7"/>
      <c r="HA121" s="31" t="str">
        <f>IF(GZ121/(INDEX('Standards for Conversions'!$H$34:$H$73,MATCH(GY$3,'Standards for Conversions'!$A$34:$A$73,0)))=0,"",GZ121/(INDEX('Standards for Conversions'!$H$34:$H$73,MATCH(GY$3,'Standards for Conversions'!$A$34:$A$73,0))))</f>
        <v/>
      </c>
      <c r="HC121" s="7"/>
      <c r="HD121" s="7"/>
      <c r="HE121" s="31" t="str">
        <f>IF(HD121/(INDEX('Standards for Conversions'!$H$34:$H$73,MATCH(HC$3,'Standards for Conversions'!$A$34:$A$73,0)))=0,"",HD121/(INDEX('Standards for Conversions'!$H$34:$H$73,MATCH(HC$3,'Standards for Conversions'!$A$34:$A$73,0))))</f>
        <v/>
      </c>
      <c r="HG121" s="7"/>
      <c r="HH121" s="7"/>
      <c r="HI121" s="31" t="str">
        <f>IF(HH121/(INDEX('Standards for Conversions'!$H$34:$H$73,MATCH(HG$3,'Standards for Conversions'!$A$34:$A$73,0)))=0,"",HH121/(INDEX('Standards for Conversions'!$H$34:$H$73,MATCH(HG$3,'Standards for Conversions'!$A$34:$A$73,0))))</f>
        <v/>
      </c>
      <c r="HK121" s="9"/>
      <c r="HL121" s="9"/>
      <c r="HM121" s="31" t="str">
        <f>IF(HL121/(INDEX('Standards for Conversions'!$H$34:$H$73,MATCH(HK$3,'Standards for Conversions'!$A$34:$A$73,0)))=0,"",HL121/(INDEX('Standards for Conversions'!$H$34:$H$73,MATCH(HK$3,'Standards for Conversions'!$A$34:$A$73,0))))</f>
        <v/>
      </c>
      <c r="HO121" s="7"/>
      <c r="HP121" s="7"/>
      <c r="HQ121" s="31" t="str">
        <f>IF(HP121/(INDEX('Standards for Conversions'!$H$34:$H$73,MATCH(HO$3,'Standards for Conversions'!$A$34:$A$73,0)))=0,"",HP121/(INDEX('Standards for Conversions'!$H$34:$H$73,MATCH(HO$3,'Standards for Conversions'!$A$34:$A$73,0))))</f>
        <v/>
      </c>
      <c r="HT121" s="29">
        <v>2000</v>
      </c>
      <c r="HU121" s="31">
        <f>IF(HT121/(INDEX('Standards for Conversions'!$H$47:$H$73,MATCH(HS$3,'Standards for Conversions'!$A$47:$A$73,0)))=0,"",HT121/(INDEX('Standards for Conversions'!$H$47:$H$73,MATCH(HS$3,'Standards for Conversions'!$A$47:$A$73,0))))</f>
        <v>290.49082442571193</v>
      </c>
      <c r="HY121" s="31" t="str">
        <f>IF(HX121/(INDEX('Standards for Conversions'!$H$47:$H$73,MATCH(HW$3,'Standards for Conversions'!$A$47:$A$73,0)))=0,"",HX121/(INDEX('Standards for Conversions'!$H$47:$H$73,MATCH(HW$3,'Standards for Conversions'!$A$47:$A$73,0))))</f>
        <v/>
      </c>
      <c r="HZ121" s="33"/>
      <c r="IA121" s="33"/>
      <c r="IB121" s="31" t="str">
        <f>IF(IA121/(INDEX('Standards for Conversions'!$H$47:$H$73,MATCH(HZ$3,'Standards for Conversions'!$A$47:$A$73,0)))=0,"",IA121/(INDEX('Standards for Conversions'!$H$47:$H$73,MATCH(HZ$3,'Standards for Conversions'!$A$47:$A$73,0))))</f>
        <v/>
      </c>
      <c r="IE121" s="29">
        <v>20000</v>
      </c>
      <c r="IF121" s="31">
        <f>IF(IE121/(INDEX('Standards for Conversions'!$H$47:$H$73,MATCH(ID$3,'Standards for Conversions'!$A$47:$A$73,0)))=0,"",IE121/(INDEX('Standards for Conversions'!$H$47:$H$73,MATCH(ID$3,'Standards for Conversions'!$A$47:$A$73,0))))</f>
        <v>2904.9082442571193</v>
      </c>
      <c r="IJ121" s="31" t="str">
        <f>IF(II121/(INDEX('Standards for Conversions'!$H$47:$H$73,MATCH(IH$3,'Standards for Conversions'!$A$47:$A$73,0)))=0,"",II121/(INDEX('Standards for Conversions'!$H$47:$H$73,MATCH(IH$3,'Standards for Conversions'!$A$47:$A$73,0))))</f>
        <v/>
      </c>
      <c r="IN121" s="31" t="str">
        <f>IF(IM121/(INDEX('Standards for Conversions'!$H$47:$H$73,MATCH(IL$3,'Standards for Conversions'!$A$47:$A$73,0)))=0,"",IM121/(INDEX('Standards for Conversions'!$H$47:$H$73,MATCH(IL$3,'Standards for Conversions'!$A$47:$A$73,0))))</f>
        <v/>
      </c>
      <c r="IR121" s="31" t="str">
        <f>IF(IQ121/(INDEX('Standards for Conversions'!$H$47:$H$73,MATCH(IP$3,'Standards for Conversions'!$A$47:$A$73,0)))=0,"",IQ121/(INDEX('Standards for Conversions'!$H$47:$H$73,MATCH(IP$3,'Standards for Conversions'!$A$47:$A$73,0))))</f>
        <v/>
      </c>
      <c r="IU121" s="29">
        <v>20000</v>
      </c>
      <c r="IV121" s="31">
        <f>IF(IU121/(INDEX('Standards for Conversions'!$H$47:$H$73,MATCH(IT$3,'Standards for Conversions'!$A$47:$A$73,0)))=0,"",IU121/(INDEX('Standards for Conversions'!$H$47:$H$73,MATCH(IT$3,'Standards for Conversions'!$A$47:$A$73,0))))</f>
        <v>2892.204563888647</v>
      </c>
      <c r="IZ121" s="31" t="str">
        <f>IF(IY121/(INDEX('Standards for Conversions'!$H$47:$H$73,MATCH(IX$3,'Standards for Conversions'!$A$47:$A$73,0)))=0,"",IY121/(INDEX('Standards for Conversions'!$H$47:$H$73,MATCH(IX$3,'Standards for Conversions'!$A$47:$A$73,0))))</f>
        <v/>
      </c>
      <c r="JA121" s="33"/>
      <c r="JD121" s="31" t="str">
        <f>IF(JC121/(INDEX('Standards for Conversions'!$H$47:$H$73,MATCH(JB$3,'Standards for Conversions'!$A$47:$A$73,0)))=0,"",JC121/(INDEX('Standards for Conversions'!$H$47:$H$73,MATCH(JB$3,'Standards for Conversions'!$A$47:$A$73,0))))</f>
        <v/>
      </c>
      <c r="JE121" s="33"/>
      <c r="JH121" s="31" t="str">
        <f>IF(JG121/(INDEX('Standards for Conversions'!$H$47:$H$73,MATCH(JF$3,'Standards for Conversions'!$A$47:$A$73,0)))=0,"",JG121/(INDEX('Standards for Conversions'!$H$47:$H$73,MATCH(JF$3,'Standards for Conversions'!$A$47:$A$73,0))))</f>
        <v/>
      </c>
      <c r="JI121" s="33"/>
      <c r="JK121" s="29">
        <v>15000</v>
      </c>
      <c r="JL121" s="31">
        <f>IF(JK121/(INDEX('Standards for Conversions'!$H$47:$H$73,MATCH(JJ$3,'Standards for Conversions'!$A$47:$A$73,0)))=0,"",JK121/(INDEX('Standards for Conversions'!$H$47:$H$73,MATCH(JJ$3,'Standards for Conversions'!$A$47:$A$73,0))))</f>
        <v>2426.4029503780303</v>
      </c>
      <c r="JP121" s="31" t="str">
        <f>IF(JO121/(INDEX('Standards for Conversions'!$H$47:$H$73,MATCH(JN$3,'Standards for Conversions'!$A$47:$A$73,0)))=0,"",JO121/(INDEX('Standards for Conversions'!$H$47:$H$73,MATCH(JN$3,'Standards for Conversions'!$A$47:$A$73,0))))</f>
        <v/>
      </c>
      <c r="JT121" s="31" t="str">
        <f>IF(JS121/(INDEX('Standards for Conversions'!$H$47:$H$73,MATCH(JR$3,'Standards for Conversions'!$A$47:$A$73,0)))=0,"",JS121/(INDEX('Standards for Conversions'!$H$47:$H$73,MATCH(JR$3,'Standards for Conversions'!$A$47:$A$73,0))))</f>
        <v/>
      </c>
      <c r="JX121" s="31" t="str">
        <f>IF(JW121/(INDEX('Standards for Conversions'!$H$47:$H$73,MATCH(JV$3,'Standards for Conversions'!$A$47:$A$73,0)))=0,"",JW121/(INDEX('Standards for Conversions'!$H$47:$H$73,MATCH(JV$3,'Standards for Conversions'!$A$47:$A$73,0))))</f>
        <v/>
      </c>
      <c r="KA121" s="29">
        <v>17000</v>
      </c>
      <c r="KB121" s="31">
        <f>IF(KA121/(INDEX('Standards for Conversions'!$H$47:$H$73,MATCH(JZ$3,'Standards for Conversions'!$A$47:$A$73,0)))=0,"",KA121/(INDEX('Standards for Conversions'!$H$47:$H$73,MATCH(JZ$3,'Standards for Conversions'!$A$47:$A$73,0))))</f>
        <v>2595.1501712725585</v>
      </c>
      <c r="KF121" s="31" t="str">
        <f>IF(KE121/(INDEX('Standards for Conversions'!$H$47:$H$73,MATCH(KD$3,'Standards for Conversions'!$A$47:$A$73,0)))=0,"",KE121/(INDEX('Standards for Conversions'!$H$47:$H$73,MATCH(KD$3,'Standards for Conversions'!$A$47:$A$73,0))))</f>
        <v/>
      </c>
      <c r="KJ121" s="31" t="str">
        <f>IF(KI121/(INDEX('Standards for Conversions'!$H$47:$H$73,MATCH(KH$3,'Standards for Conversions'!$A$47:$A$73,0)))=0,"",KI121/(INDEX('Standards for Conversions'!$H$47:$H$73,MATCH(KH$3,'Standards for Conversions'!$A$47:$A$73,0))))</f>
        <v/>
      </c>
      <c r="KN121" s="31" t="str">
        <f>IF(KM121/(INDEX('Standards for Conversions'!$H$47:$H$73,MATCH(KL$3,'Standards for Conversions'!$A$47:$A$73,0)))=0,"",KM121/(INDEX('Standards for Conversions'!$H$47:$H$73,MATCH(KL$3,'Standards for Conversions'!$A$47:$A$73,0))))</f>
        <v/>
      </c>
      <c r="KQ121" s="29">
        <v>15000</v>
      </c>
      <c r="KR121" s="31">
        <f>IF(KQ121/(INDEX('Standards for Conversions'!$H$47:$H$73,MATCH(KP$3,'Standards for Conversions'!$A$47:$A$73,0)))=0,"",KQ121/(INDEX('Standards for Conversions'!$H$47:$H$73,MATCH(KP$3,'Standards for Conversions'!$A$47:$A$73,0))))</f>
        <v>2019.8851785869469</v>
      </c>
      <c r="KV121" s="31" t="str">
        <f>IF(KU121/(INDEX('Standards for Conversions'!$H$47:$H$73,MATCH(KT$3,'Standards for Conversions'!$A$47:$A$73,0)))=0,"",KU121/(INDEX('Standards for Conversions'!$H$47:$H$73,MATCH(KT$3,'Standards for Conversions'!$A$47:$A$73,0))))</f>
        <v/>
      </c>
      <c r="KW121" s="33"/>
      <c r="KZ121" s="31" t="str">
        <f>IF(KY121/(INDEX('Standards for Conversions'!$H$47:$H$73,MATCH(KX$3,'Standards for Conversions'!$A$47:$A$73,0)))=0,"",KY121/(INDEX('Standards for Conversions'!$H$47:$H$73,MATCH(KX$3,'Standards for Conversions'!$A$47:$A$73,0))))</f>
        <v/>
      </c>
      <c r="LD121" s="31" t="str">
        <f>IF(LC121/(INDEX('Standards for Conversions'!$H$47:$H$73,MATCH(LB$3,'Standards for Conversions'!$A$47:$A$73,0)))=0,"",LC121/(INDEX('Standards for Conversions'!$H$47:$H$73,MATCH(LB$3,'Standards for Conversions'!$A$47:$A$73,0))))</f>
        <v/>
      </c>
      <c r="LE121" s="33"/>
      <c r="LG121" s="29">
        <v>12000</v>
      </c>
      <c r="LH121" s="31">
        <f>IF(LG121/(INDEX('Standards for Conversions'!$H$47:$H$73,MATCH(LF$3,'Standards for Conversions'!$A$47:$A$73,0)))=0,"",LG121/(INDEX('Standards for Conversions'!$H$47:$H$73,MATCH(LF$3,'Standards for Conversions'!$A$47:$A$73,0))))</f>
        <v>1459.3988007299902</v>
      </c>
      <c r="LL121" s="31" t="str">
        <f>IF(LK121/(INDEX('Standards for Conversions'!$H$47:$H$73,MATCH(LJ$3,'Standards for Conversions'!$A$47:$A$73,0)))=0,"",LK121/(INDEX('Standards for Conversions'!$H$47:$H$73,MATCH(LJ$3,'Standards for Conversions'!$A$47:$A$73,0))))</f>
        <v/>
      </c>
      <c r="LO121" s="31" t="str">
        <f>IF(LN121/(INDEX('Standards for Conversions'!$H$47:$H$73,MATCH(LM$3,'Standards for Conversions'!$A$47:$A$73,0)))=0,"",LN121/(INDEX('Standards for Conversions'!$H$47:$H$73,MATCH(LM$3,'Standards for Conversions'!$A$47:$A$73,0))))</f>
        <v/>
      </c>
      <c r="LR121" s="31" t="str">
        <f>IF(LQ121/(INDEX('Standards for Conversions'!$H$47:$H$73,MATCH(LP$3,'Standards for Conversions'!$A$47:$A$73,0)))=0,"",LQ121/(INDEX('Standards for Conversions'!$H$47:$H$73,MATCH(LP$3,'Standards for Conversions'!$A$47:$A$73,0))))</f>
        <v/>
      </c>
      <c r="LV121" s="31" t="str">
        <f>IF(LU121/(INDEX('Standards for Conversions'!$H$47:$H$73,MATCH(LT$3,'Standards for Conversions'!$A$47:$A$73,0)))=0,"",LU121/(INDEX('Standards for Conversions'!$H$47:$H$73,MATCH(LT$3,'Standards for Conversions'!$A$47:$A$73,0))))</f>
        <v/>
      </c>
      <c r="LY121" s="31" t="str">
        <f>IF(LX121/(INDEX('Standards for Conversions'!$H$47:$H$73,MATCH(LW$3,'Standards for Conversions'!$A$47:$A$73,0)))=0,"",LX121/(INDEX('Standards for Conversions'!$H$47:$H$73,MATCH(LW$3,'Standards for Conversions'!$A$47:$A$73,0))))</f>
        <v/>
      </c>
      <c r="MB121" s="31" t="str">
        <f>IF(MA121/(INDEX('Standards for Conversions'!$H$47:$H$73,MATCH(LZ$3,'Standards for Conversions'!$A$47:$A$73,0)))=0,"",MA121/(INDEX('Standards for Conversions'!$H$47:$H$73,MATCH(LZ$3,'Standards for Conversions'!$A$47:$A$73,0))))</f>
        <v/>
      </c>
      <c r="ME121" s="31" t="str">
        <f>IF(MD121/(INDEX('Standards for Conversions'!$H$47:$H$73,MATCH(MC$3,'Standards for Conversions'!$A$47:$A$73,0)))=0,"",MD121/(INDEX('Standards for Conversions'!$H$47:$H$73,MATCH(MC$3,'Standards for Conversions'!$A$47:$A$73,0))))</f>
        <v/>
      </c>
      <c r="MH121" s="31" t="str">
        <f>IF(MG121/(INDEX('Standards for Conversions'!$H$47:$H$73,MATCH(MF$3,'Standards for Conversions'!$A$47:$A$73,0)))=0,"",MG121/(INDEX('Standards for Conversions'!$H$47:$H$73,MATCH(MF$3,'Standards for Conversions'!$A$47:$A$73,0))))</f>
        <v/>
      </c>
      <c r="MK121" s="31" t="str">
        <f>IF(MJ121/(INDEX('Standards for Conversions'!$H$47:$H$73,MATCH(MI$3,'Standards for Conversions'!$A$47:$A$73,0)))=0,"",MJ121/(INDEX('Standards for Conversions'!$H$47:$H$73,MATCH(MI$3,'Standards for Conversions'!$A$47:$A$73,0))))</f>
        <v/>
      </c>
      <c r="MN121" s="31" t="str">
        <f>IF(MM121/(INDEX('Standards for Conversions'!$H$47:$H$73,MATCH(ML$3,'Standards for Conversions'!$A$47:$A$73,0)))=0,"",MM121/(INDEX('Standards for Conversions'!$H$47:$H$73,MATCH(ML$3,'Standards for Conversions'!$A$47:$A$73,0))))</f>
        <v/>
      </c>
      <c r="MR121" s="31" t="str">
        <f>IF(MQ121/(INDEX('Standards for Conversions'!$H$47:$H$73,MATCH(MP$3,'Standards for Conversions'!$A$47:$A$73,0)))=0,"",MQ121/(INDEX('Standards for Conversions'!$H$47:$H$73,MATCH(MP$3,'Standards for Conversions'!$A$47:$A$73,0))))</f>
        <v/>
      </c>
    </row>
    <row r="122" spans="1:356" hidden="1" x14ac:dyDescent="0.3">
      <c r="A122" s="103" t="s">
        <v>287</v>
      </c>
      <c r="C122" s="7"/>
      <c r="D122" s="7"/>
      <c r="E122" s="31" t="str">
        <f>IF(D122/(INDEX('Standards for Conversions'!$H$34:$H$73,MATCH(C$3,'Standards for Conversions'!$A$34:$A$73,0)))=0,"",D122/(INDEX('Standards for Conversions'!$H$34:$H$73,MATCH(C$3,'Standards for Conversions'!$A$34:$A$73,0))))</f>
        <v/>
      </c>
      <c r="G122" s="7"/>
      <c r="H122" s="7"/>
      <c r="I122" s="31" t="str">
        <f>IF(H122/(INDEX('Standards for Conversions'!$H$34:$H$73,MATCH(G$3,'Standards for Conversions'!$A$34:$A$73,0)))=0,"",H122/(INDEX('Standards for Conversions'!$H$34:$H$73,MATCH(G$3,'Standards for Conversions'!$A$34:$A$73,0))))</f>
        <v/>
      </c>
      <c r="K122" s="9"/>
      <c r="L122" s="9"/>
      <c r="M122" s="31" t="str">
        <f>IF(L122/(INDEX('Standards for Conversions'!$H$34:$H$73,MATCH(K$3,'Standards for Conversions'!$A$34:$A$73,0)))=0,"",L122/(INDEX('Standards for Conversions'!$H$34:$H$73,MATCH(K$3,'Standards for Conversions'!$A$34:$A$73,0))))</f>
        <v/>
      </c>
      <c r="O122" s="7"/>
      <c r="P122" s="7"/>
      <c r="Q122" s="31" t="str">
        <f>IF(P122/(INDEX('Standards for Conversions'!$H$34:$H$73,MATCH(O$3,'Standards for Conversions'!$A$34:$A$73,0)))=0,"",P122/(INDEX('Standards for Conversions'!$H$34:$H$73,MATCH(O$3,'Standards for Conversions'!$A$34:$A$73,0))))</f>
        <v/>
      </c>
      <c r="S122" s="7"/>
      <c r="T122" s="7"/>
      <c r="U122" s="31" t="str">
        <f>IF(T122/(INDEX('Standards for Conversions'!$H$34:$H$73,MATCH(S$3,'Standards for Conversions'!$A$34:$A$73,0)))=0,"",T122/(INDEX('Standards for Conversions'!$H$34:$H$73,MATCH(S$3,'Standards for Conversions'!$A$34:$A$73,0))))</f>
        <v/>
      </c>
      <c r="W122" s="7"/>
      <c r="X122" s="7"/>
      <c r="Y122" s="31" t="str">
        <f>IF(X122/(INDEX('Standards for Conversions'!$H$34:$H$73,MATCH(W$3,'Standards for Conversions'!$A$34:$A$73,0)))=0,"",X122/(INDEX('Standards for Conversions'!$H$34:$H$73,MATCH(W$3,'Standards for Conversions'!$A$34:$A$73,0))))</f>
        <v/>
      </c>
      <c r="AA122" s="9"/>
      <c r="AB122" s="9"/>
      <c r="AC122" s="31" t="str">
        <f>IF(AB122/(INDEX('Standards for Conversions'!$H$34:$H$73,MATCH(AA$3,'Standards for Conversions'!$A$34:$A$73,0)))=0,"",AB122/(INDEX('Standards for Conversions'!$H$34:$H$73,MATCH(AA$3,'Standards for Conversions'!$A$34:$A$73,0))))</f>
        <v/>
      </c>
      <c r="AE122" s="7"/>
      <c r="AF122" s="7"/>
      <c r="AG122" s="31" t="str">
        <f>IF(AF122/(INDEX('Standards for Conversions'!$H$34:$H$73,MATCH(AE$3,'Standards for Conversions'!$A$34:$A$73,0)))=0,"",AF122/(INDEX('Standards for Conversions'!$H$34:$H$73,MATCH(AE$3,'Standards for Conversions'!$A$34:$A$73,0))))</f>
        <v/>
      </c>
      <c r="AI122" s="7"/>
      <c r="AJ122" s="7"/>
      <c r="AK122" s="31" t="str">
        <f>IF(AJ122/(INDEX('Standards for Conversions'!$H$34:$H$73,MATCH(AI$3,'Standards for Conversions'!$A$34:$A$73,0)))=0,"",AJ122/(INDEX('Standards for Conversions'!$H$34:$H$73,MATCH(AI$3,'Standards for Conversions'!$A$34:$A$73,0))))</f>
        <v/>
      </c>
      <c r="AM122" s="7"/>
      <c r="AN122" s="7"/>
      <c r="AO122" s="31" t="str">
        <f>IF(AN122/(INDEX('Standards for Conversions'!$H$34:$H$73,MATCH(AM$3,'Standards for Conversions'!$A$34:$A$73,0)))=0,"",AN122/(INDEX('Standards for Conversions'!$H$34:$H$73,MATCH(AM$3,'Standards for Conversions'!$A$34:$A$73,0))))</f>
        <v/>
      </c>
      <c r="AQ122" s="9"/>
      <c r="AR122" s="9"/>
      <c r="AS122" s="31" t="str">
        <f>IF(AR122/(INDEX('Standards for Conversions'!$H$34:$H$73,MATCH(AQ$3,'Standards for Conversions'!$A$34:$A$73,0)))=0,"",AR122/(INDEX('Standards for Conversions'!$H$34:$H$73,MATCH(AQ$3,'Standards for Conversions'!$A$34:$A$73,0))))</f>
        <v/>
      </c>
      <c r="AU122" s="7"/>
      <c r="AV122" s="7"/>
      <c r="AW122" s="31" t="str">
        <f>IF(AV122/(INDEX('Standards for Conversions'!$H$34:$H$73,MATCH(AU$3,'Standards for Conversions'!$A$34:$A$73,0)))=0,"",AV122/(INDEX('Standards for Conversions'!$H$34:$H$73,MATCH(AU$3,'Standards for Conversions'!$A$34:$A$73,0))))</f>
        <v/>
      </c>
      <c r="AY122" s="7"/>
      <c r="AZ122" s="7"/>
      <c r="BA122" s="31" t="str">
        <f>IF(AZ122/(INDEX('Standards for Conversions'!$H$34:$H$73,MATCH(AY$3,'Standards for Conversions'!$A$34:$A$73,0)))=0,"",AZ122/(INDEX('Standards for Conversions'!$H$34:$H$73,MATCH(AY$3,'Standards for Conversions'!$A$34:$A$73,0))))</f>
        <v/>
      </c>
      <c r="BC122" s="7"/>
      <c r="BD122" s="7"/>
      <c r="BE122" s="31" t="str">
        <f>IF(BD122/(INDEX('Standards for Conversions'!$H$34:$H$73,MATCH(BC$3,'Standards for Conversions'!$A$34:$A$73,0)))=0,"",BD122/(INDEX('Standards for Conversions'!$H$34:$H$73,MATCH(BC$3,'Standards for Conversions'!$A$34:$A$73,0))))</f>
        <v/>
      </c>
      <c r="BG122" s="9"/>
      <c r="BH122" s="9"/>
      <c r="BI122" s="31" t="str">
        <f>IF(BH122/(INDEX('Standards for Conversions'!$H$34:$H$73,MATCH(BG$3,'Standards for Conversions'!$A$34:$A$73,0)))=0,"",BH122/(INDEX('Standards for Conversions'!$H$34:$H$73,MATCH(BG$3,'Standards for Conversions'!$A$34:$A$73,0))))</f>
        <v/>
      </c>
      <c r="BK122" s="7"/>
      <c r="BL122" s="7"/>
      <c r="BM122" s="31" t="str">
        <f>IF(BL122/(INDEX('Standards for Conversions'!$H$34:$H$73,MATCH(BK$3,'Standards for Conversions'!$A$34:$A$73,0)))=0,"",BL122/(INDEX('Standards for Conversions'!$H$34:$H$73,MATCH(BK$3,'Standards for Conversions'!$A$34:$A$73,0))))</f>
        <v/>
      </c>
      <c r="BO122" s="7"/>
      <c r="BP122" s="7"/>
      <c r="BQ122" s="31" t="str">
        <f>IF(BP122/(INDEX('Standards for Conversions'!$H$34:$H$73,MATCH(BO$3,'Standards for Conversions'!$A$34:$A$73,0)))=0,"",BP122/(INDEX('Standards for Conversions'!$H$34:$H$73,MATCH(BO$3,'Standards for Conversions'!$A$34:$A$73,0))))</f>
        <v/>
      </c>
      <c r="BS122" s="7"/>
      <c r="BT122" s="7"/>
      <c r="BU122" s="31" t="str">
        <f>IF(BT122/(INDEX('Standards for Conversions'!$H$34:$H$73,MATCH(BS$3,'Standards for Conversions'!$A$34:$A$73,0)))=0,"",BT122/(INDEX('Standards for Conversions'!$H$34:$H$73,MATCH(BS$3,'Standards for Conversions'!$A$34:$A$73,0))))</f>
        <v/>
      </c>
      <c r="BW122" s="9"/>
      <c r="BX122" s="9"/>
      <c r="BY122" s="31" t="str">
        <f>IF(BX122/(INDEX('Standards for Conversions'!$H$34:$H$73,MATCH(BW$3,'Standards for Conversions'!$A$34:$A$73,0)))=0,"",BX122/(INDEX('Standards for Conversions'!$H$34:$H$73,MATCH(BW$3,'Standards for Conversions'!$A$34:$A$73,0))))</f>
        <v/>
      </c>
      <c r="CA122" s="7"/>
      <c r="CB122" s="7"/>
      <c r="CC122" s="31" t="str">
        <f>IF(CB122/(INDEX('Standards for Conversions'!$H$34:$H$73,MATCH(CA$3,'Standards for Conversions'!$A$34:$A$73,0)))=0,"",CB122/(INDEX('Standards for Conversions'!$H$34:$H$73,MATCH(CA$3,'Standards for Conversions'!$A$34:$A$73,0))))</f>
        <v/>
      </c>
      <c r="CE122" s="7"/>
      <c r="CF122" s="7"/>
      <c r="CG122" s="31" t="str">
        <f>IF(CF122/(INDEX('Standards for Conversions'!$H$34:$H$73,MATCH(CE$3,'Standards for Conversions'!$A$34:$A$73,0)))=0,"",CF122/(INDEX('Standards for Conversions'!$H$34:$H$73,MATCH(CE$3,'Standards for Conversions'!$A$34:$A$73,0))))</f>
        <v/>
      </c>
      <c r="CI122" s="7"/>
      <c r="CJ122" s="7"/>
      <c r="CK122" s="31" t="str">
        <f>IF(CJ122/(INDEX('Standards for Conversions'!$H$34:$H$73,MATCH(CI$3,'Standards for Conversions'!$A$34:$A$73,0)))=0,"",CJ122/(INDEX('Standards for Conversions'!$H$34:$H$73,MATCH(CI$3,'Standards for Conversions'!$A$34:$A$73,0))))</f>
        <v/>
      </c>
      <c r="CM122" s="9"/>
      <c r="CN122" s="9"/>
      <c r="CO122" s="31" t="str">
        <f>IF(CN122/(INDEX('Standards for Conversions'!$H$34:$H$73,MATCH(CM$3,'Standards for Conversions'!$A$34:$A$73,0)))=0,"",CN122/(INDEX('Standards for Conversions'!$H$34:$H$73,MATCH(CM$3,'Standards for Conversions'!$A$34:$A$73,0))))</f>
        <v/>
      </c>
      <c r="CQ122" s="7"/>
      <c r="CR122" s="7"/>
      <c r="CS122" s="31" t="str">
        <f>IF(CR122/(INDEX('Standards for Conversions'!$H$34:$H$73,MATCH(CQ$3,'Standards for Conversions'!$A$34:$A$73,0)))=0,"",CR122/(INDEX('Standards for Conversions'!$H$34:$H$73,MATCH(CQ$3,'Standards for Conversions'!$A$34:$A$73,0))))</f>
        <v/>
      </c>
      <c r="CU122" s="7"/>
      <c r="CV122" s="7"/>
      <c r="CW122" s="31" t="str">
        <f>IF(CV122/(INDEX('Standards for Conversions'!$H$34:$H$73,MATCH(CU$3,'Standards for Conversions'!$A$34:$A$73,0)))=0,"",CV122/(INDEX('Standards for Conversions'!$H$34:$H$73,MATCH(CU$3,'Standards for Conversions'!$A$34:$A$73,0))))</f>
        <v/>
      </c>
      <c r="CY122" s="7"/>
      <c r="CZ122" s="7"/>
      <c r="DA122" s="31" t="str">
        <f>IF(CZ122/(INDEX('Standards for Conversions'!$H$34:$H$73,MATCH(CY$3,'Standards for Conversions'!$A$34:$A$73,0)))=0,"",CZ122/(INDEX('Standards for Conversions'!$H$34:$H$73,MATCH(CY$3,'Standards for Conversions'!$A$34:$A$73,0))))</f>
        <v/>
      </c>
      <c r="DC122" s="9"/>
      <c r="DD122" s="9"/>
      <c r="DE122" s="31" t="str">
        <f>IF(DD122/(INDEX('Standards for Conversions'!$H$34:$H$73,MATCH(DC$3,'Standards for Conversions'!$A$34:$A$73,0)))=0,"",DD122/(INDEX('Standards for Conversions'!$H$34:$H$73,MATCH(DC$3,'Standards for Conversions'!$A$34:$A$73,0))))</f>
        <v/>
      </c>
      <c r="DG122" s="7"/>
      <c r="DH122" s="7"/>
      <c r="DI122" s="31" t="str">
        <f>IF(DH122/(INDEX('Standards for Conversions'!$H$34:$H$73,MATCH(DG$3,'Standards for Conversions'!$A$34:$A$73,0)))=0,"",DH122/(INDEX('Standards for Conversions'!$H$34:$H$73,MATCH(DG$3,'Standards for Conversions'!$A$34:$A$73,0))))</f>
        <v/>
      </c>
      <c r="DK122" s="7"/>
      <c r="DL122" s="7"/>
      <c r="DM122" s="31" t="str">
        <f>IF(DL122/(INDEX('Standards for Conversions'!$H$34:$H$73,MATCH(DK$3,'Standards for Conversions'!$A$34:$A$73,0)))=0,"",DL122/(INDEX('Standards for Conversions'!$H$34:$H$73,MATCH(DK$3,'Standards for Conversions'!$A$34:$A$73,0))))</f>
        <v/>
      </c>
      <c r="DO122" s="7"/>
      <c r="DP122" s="7"/>
      <c r="DQ122" s="31" t="str">
        <f>IF(DP122/(INDEX('Standards for Conversions'!$H$34:$H$73,MATCH(DO$3,'Standards for Conversions'!$A$34:$A$73,0)))=0,"",DP122/(INDEX('Standards for Conversions'!$H$34:$H$73,MATCH(DO$3,'Standards for Conversions'!$A$34:$A$73,0))))</f>
        <v/>
      </c>
      <c r="DS122" s="9"/>
      <c r="DT122" s="9"/>
      <c r="DU122" s="31" t="str">
        <f>IF(DT122/(INDEX('Standards for Conversions'!$H$34:$H$73,MATCH(DS$3,'Standards for Conversions'!$A$34:$A$73,0)))=0,"",DT122/(INDEX('Standards for Conversions'!$H$34:$H$73,MATCH(DS$3,'Standards for Conversions'!$A$34:$A$73,0))))</f>
        <v/>
      </c>
      <c r="DW122" s="7"/>
      <c r="DX122" s="7"/>
      <c r="DY122" s="31" t="str">
        <f>IF(DX122/(INDEX('Standards for Conversions'!$H$34:$H$73,MATCH(DW$3,'Standards for Conversions'!$A$34:$A$73,0)))=0,"",DX122/(INDEX('Standards for Conversions'!$H$34:$H$73,MATCH(DW$3,'Standards for Conversions'!$A$34:$A$73,0))))</f>
        <v/>
      </c>
      <c r="EA122" s="7"/>
      <c r="EB122" s="7"/>
      <c r="EC122" s="31" t="str">
        <f>IF(EB122/(INDEX('Standards for Conversions'!$H$34:$H$73,MATCH(EA$3,'Standards for Conversions'!$A$34:$A$73,0)))=0,"",EB122/(INDEX('Standards for Conversions'!$H$34:$H$73,MATCH(EA$3,'Standards for Conversions'!$A$34:$A$73,0))))</f>
        <v/>
      </c>
      <c r="EE122" s="7"/>
      <c r="EF122" s="7"/>
      <c r="EG122" s="31" t="str">
        <f>IF(EF122/(INDEX('Standards for Conversions'!$H$34:$H$73,MATCH(EE$3,'Standards for Conversions'!$A$34:$A$73,0)))=0,"",EF122/(INDEX('Standards for Conversions'!$H$34:$H$73,MATCH(EE$3,'Standards for Conversions'!$A$34:$A$73,0))))</f>
        <v/>
      </c>
      <c r="EI122" s="9"/>
      <c r="EJ122" s="9"/>
      <c r="EK122" s="31" t="str">
        <f>IF(EJ122/(INDEX('Standards for Conversions'!$H$34:$H$73,MATCH(EI$3,'Standards for Conversions'!$A$34:$A$73,0)))=0,"",EJ122/(INDEX('Standards for Conversions'!$H$34:$H$73,MATCH(EI$3,'Standards for Conversions'!$A$34:$A$73,0))))</f>
        <v/>
      </c>
      <c r="EM122" s="7"/>
      <c r="EN122" s="7"/>
      <c r="EO122" s="31" t="str">
        <f>IF(EN122/(INDEX('Standards for Conversions'!$H$34:$H$73,MATCH(EM$3,'Standards for Conversions'!$A$34:$A$73,0)))=0,"",EN122/(INDEX('Standards for Conversions'!$H$34:$H$73,MATCH(EM$3,'Standards for Conversions'!$A$34:$A$73,0))))</f>
        <v/>
      </c>
      <c r="EQ122" s="7"/>
      <c r="ER122" s="7"/>
      <c r="ES122" s="31" t="str">
        <f>IF(ER122/(INDEX('Standards for Conversions'!$H$34:$H$73,MATCH(EQ$3,'Standards for Conversions'!$A$34:$A$73,0)))=0,"",ER122/(INDEX('Standards for Conversions'!$H$34:$H$73,MATCH(EQ$3,'Standards for Conversions'!$A$34:$A$73,0))))</f>
        <v/>
      </c>
      <c r="EU122" s="7"/>
      <c r="EV122" s="7"/>
      <c r="EW122" s="31" t="str">
        <f>IF(EV122/(INDEX('Standards for Conversions'!$H$34:$H$73,MATCH(EU$3,'Standards for Conversions'!$A$34:$A$73,0)))=0,"",EV122/(INDEX('Standards for Conversions'!$H$34:$H$73,MATCH(EU$3,'Standards for Conversions'!$A$34:$A$73,0))))</f>
        <v/>
      </c>
      <c r="EY122" s="9"/>
      <c r="EZ122" s="9"/>
      <c r="FA122" s="31" t="str">
        <f>IF(EZ122/(INDEX('Standards for Conversions'!$H$34:$H$73,MATCH(EY$3,'Standards for Conversions'!$A$34:$A$73,0)))=0,"",EZ122/(INDEX('Standards for Conversions'!$H$34:$H$73,MATCH(EY$3,'Standards for Conversions'!$A$34:$A$73,0))))</f>
        <v/>
      </c>
      <c r="FC122" s="7"/>
      <c r="FD122" s="7"/>
      <c r="FE122" s="31" t="str">
        <f>IF(FD122/(INDEX('Standards for Conversions'!$H$34:$H$73,MATCH(FC$3,'Standards for Conversions'!$A$34:$A$73,0)))=0,"",FD122/(INDEX('Standards for Conversions'!$H$34:$H$73,MATCH(FC$3,'Standards for Conversions'!$A$34:$A$73,0))))</f>
        <v/>
      </c>
      <c r="FG122" s="7"/>
      <c r="FH122" s="7"/>
      <c r="FI122" s="31" t="str">
        <f>IF(FH122/(INDEX('Standards for Conversions'!$H$34:$H$73,MATCH(FG$3,'Standards for Conversions'!$A$34:$A$73,0)))=0,"",FH122/(INDEX('Standards for Conversions'!$H$34:$H$73,MATCH(FG$3,'Standards for Conversions'!$A$34:$A$73,0))))</f>
        <v/>
      </c>
      <c r="FK122" s="7"/>
      <c r="FL122" s="7"/>
      <c r="FM122" s="31" t="str">
        <f>IF(FL122/(INDEX('Standards for Conversions'!$H$34:$H$73,MATCH(FK$3,'Standards for Conversions'!$A$34:$A$73,0)))=0,"",FL122/(INDEX('Standards for Conversions'!$H$34:$H$73,MATCH(FK$3,'Standards for Conversions'!$A$34:$A$73,0))))</f>
        <v/>
      </c>
      <c r="FO122" s="9"/>
      <c r="FP122" s="9"/>
      <c r="FQ122" s="31" t="str">
        <f>IF(FP122/(INDEX('Standards for Conversions'!$H$34:$H$73,MATCH(FO$3,'Standards for Conversions'!$A$34:$A$73,0)))=0,"",FP122/(INDEX('Standards for Conversions'!$H$34:$H$73,MATCH(FO$3,'Standards for Conversions'!$A$34:$A$73,0))))</f>
        <v/>
      </c>
      <c r="FS122" s="7"/>
      <c r="FT122" s="7"/>
      <c r="FU122" s="31" t="str">
        <f>IF(FT122/(INDEX('Standards for Conversions'!$H$34:$H$73,MATCH(FS$3,'Standards for Conversions'!$A$34:$A$73,0)))=0,"",FT122/(INDEX('Standards for Conversions'!$H$34:$H$73,MATCH(FS$3,'Standards for Conversions'!$A$34:$A$73,0))))</f>
        <v/>
      </c>
      <c r="FW122" s="7"/>
      <c r="FX122" s="7"/>
      <c r="FY122" s="31" t="str">
        <f>IF(FX122/(INDEX('Standards for Conversions'!$H$34:$H$73,MATCH(FW$3,'Standards for Conversions'!$A$34:$A$73,0)))=0,"",FX122/(INDEX('Standards for Conversions'!$H$34:$H$73,MATCH(FW$3,'Standards for Conversions'!$A$34:$A$73,0))))</f>
        <v/>
      </c>
      <c r="GA122" s="7"/>
      <c r="GB122" s="7"/>
      <c r="GC122" s="31" t="str">
        <f>IF(GB122/(INDEX('Standards for Conversions'!$H$34:$H$73,MATCH(GA$3,'Standards for Conversions'!$A$34:$A$73,0)))=0,"",GB122/(INDEX('Standards for Conversions'!$H$34:$H$73,MATCH(GA$3,'Standards for Conversions'!$A$34:$A$73,0))))</f>
        <v/>
      </c>
      <c r="GE122" s="9"/>
      <c r="GF122" s="9"/>
      <c r="GG122" s="31" t="str">
        <f>IF(GF122/(INDEX('Standards for Conversions'!$H$34:$H$73,MATCH(GE$3,'Standards for Conversions'!$A$34:$A$73,0)))=0,"",GF122/(INDEX('Standards for Conversions'!$H$34:$H$73,MATCH(GE$3,'Standards for Conversions'!$A$34:$A$73,0))))</f>
        <v/>
      </c>
      <c r="GI122" s="7"/>
      <c r="GJ122" s="7"/>
      <c r="GK122" s="31" t="str">
        <f>IF(GJ122/(INDEX('Standards for Conversions'!$H$34:$H$73,MATCH(GI$3,'Standards for Conversions'!$A$34:$A$73,0)))=0,"",GJ122/(INDEX('Standards for Conversions'!$H$34:$H$73,MATCH(GI$3,'Standards for Conversions'!$A$34:$A$73,0))))</f>
        <v/>
      </c>
      <c r="GM122" s="7"/>
      <c r="GN122" s="7"/>
      <c r="GO122" s="31" t="str">
        <f>IF(GN122/(INDEX('Standards for Conversions'!$H$34:$H$73,MATCH(GM$3,'Standards for Conversions'!$A$34:$A$73,0)))=0,"",GN122/(INDEX('Standards for Conversions'!$H$34:$H$73,MATCH(GM$3,'Standards for Conversions'!$A$34:$A$73,0))))</f>
        <v/>
      </c>
      <c r="GQ122" s="7"/>
      <c r="GR122" s="7"/>
      <c r="GS122" s="31" t="str">
        <f>IF(GR122/(INDEX('Standards for Conversions'!$H$34:$H$73,MATCH(GQ$3,'Standards for Conversions'!$A$34:$A$73,0)))=0,"",GR122/(INDEX('Standards for Conversions'!$H$34:$H$73,MATCH(GQ$3,'Standards for Conversions'!$A$34:$A$73,0))))</f>
        <v/>
      </c>
      <c r="GU122" s="9"/>
      <c r="GV122" s="9"/>
      <c r="GW122" s="31" t="str">
        <f>IF(GV122/(INDEX('Standards for Conversions'!$H$34:$H$73,MATCH(GU$3,'Standards for Conversions'!$A$34:$A$73,0)))=0,"",GV122/(INDEX('Standards for Conversions'!$H$34:$H$73,MATCH(GU$3,'Standards for Conversions'!$A$34:$A$73,0))))</f>
        <v/>
      </c>
      <c r="GY122" s="7"/>
      <c r="GZ122" s="7"/>
      <c r="HA122" s="31" t="str">
        <f>IF(GZ122/(INDEX('Standards for Conversions'!$H$34:$H$73,MATCH(GY$3,'Standards for Conversions'!$A$34:$A$73,0)))=0,"",GZ122/(INDEX('Standards for Conversions'!$H$34:$H$73,MATCH(GY$3,'Standards for Conversions'!$A$34:$A$73,0))))</f>
        <v/>
      </c>
      <c r="HC122" s="7"/>
      <c r="HD122" s="7"/>
      <c r="HE122" s="31" t="str">
        <f>IF(HD122/(INDEX('Standards for Conversions'!$H$34:$H$73,MATCH(HC$3,'Standards for Conversions'!$A$34:$A$73,0)))=0,"",HD122/(INDEX('Standards for Conversions'!$H$34:$H$73,MATCH(HC$3,'Standards for Conversions'!$A$34:$A$73,0))))</f>
        <v/>
      </c>
      <c r="HG122" s="7"/>
      <c r="HH122" s="7"/>
      <c r="HI122" s="31" t="str">
        <f>IF(HH122/(INDEX('Standards for Conversions'!$H$34:$H$73,MATCH(HG$3,'Standards for Conversions'!$A$34:$A$73,0)))=0,"",HH122/(INDEX('Standards for Conversions'!$H$34:$H$73,MATCH(HG$3,'Standards for Conversions'!$A$34:$A$73,0))))</f>
        <v/>
      </c>
      <c r="HK122" s="9"/>
      <c r="HL122" s="9"/>
      <c r="HM122" s="31" t="str">
        <f>IF(HL122/(INDEX('Standards for Conversions'!$H$34:$H$73,MATCH(HK$3,'Standards for Conversions'!$A$34:$A$73,0)))=0,"",HL122/(INDEX('Standards for Conversions'!$H$34:$H$73,MATCH(HK$3,'Standards for Conversions'!$A$34:$A$73,0))))</f>
        <v/>
      </c>
      <c r="HO122" s="7"/>
      <c r="HP122" s="7"/>
      <c r="HQ122" s="31" t="str">
        <f>IF(HP122/(INDEX('Standards for Conversions'!$H$34:$H$73,MATCH(HO$3,'Standards for Conversions'!$A$34:$A$73,0)))=0,"",HP122/(INDEX('Standards for Conversions'!$H$34:$H$73,MATCH(HO$3,'Standards for Conversions'!$A$34:$A$73,0))))</f>
        <v/>
      </c>
      <c r="HU122" s="31" t="str">
        <f>IF(HT122/(INDEX('Standards for Conversions'!$H$47:$H$73,MATCH(HS$3,'Standards for Conversions'!$A$47:$A$73,0)))=0,"",HT122/(INDEX('Standards for Conversions'!$H$47:$H$73,MATCH(HS$3,'Standards for Conversions'!$A$47:$A$73,0))))</f>
        <v/>
      </c>
      <c r="HY122" s="31" t="str">
        <f>IF(HX122/(INDEX('Standards for Conversions'!$H$47:$H$73,MATCH(HW$3,'Standards for Conversions'!$A$47:$A$73,0)))=0,"",HX122/(INDEX('Standards for Conversions'!$H$47:$H$73,MATCH(HW$3,'Standards for Conversions'!$A$47:$A$73,0))))</f>
        <v/>
      </c>
      <c r="HZ122" s="33"/>
      <c r="IA122" s="33"/>
      <c r="IB122" s="31" t="str">
        <f>IF(IA122/(INDEX('Standards for Conversions'!$H$47:$H$73,MATCH(HZ$3,'Standards for Conversions'!$A$47:$A$73,0)))=0,"",IA122/(INDEX('Standards for Conversions'!$H$47:$H$73,MATCH(HZ$3,'Standards for Conversions'!$A$47:$A$73,0))))</f>
        <v/>
      </c>
      <c r="IF122" s="31" t="str">
        <f>IF(IE122/(INDEX('Standards for Conversions'!$H$47:$H$73,MATCH(ID$3,'Standards for Conversions'!$A$47:$A$73,0)))=0,"",IE122/(INDEX('Standards for Conversions'!$H$47:$H$73,MATCH(ID$3,'Standards for Conversions'!$A$47:$A$73,0))))</f>
        <v/>
      </c>
      <c r="IJ122" s="31" t="str">
        <f>IF(II122/(INDEX('Standards for Conversions'!$H$47:$H$73,MATCH(IH$3,'Standards for Conversions'!$A$47:$A$73,0)))=0,"",II122/(INDEX('Standards for Conversions'!$H$47:$H$73,MATCH(IH$3,'Standards for Conversions'!$A$47:$A$73,0))))</f>
        <v/>
      </c>
      <c r="IN122" s="31" t="str">
        <f>IF(IM122/(INDEX('Standards for Conversions'!$H$47:$H$73,MATCH(IL$3,'Standards for Conversions'!$A$47:$A$73,0)))=0,"",IM122/(INDEX('Standards for Conversions'!$H$47:$H$73,MATCH(IL$3,'Standards for Conversions'!$A$47:$A$73,0))))</f>
        <v/>
      </c>
      <c r="IR122" s="31" t="str">
        <f>IF(IQ122/(INDEX('Standards for Conversions'!$H$47:$H$73,MATCH(IP$3,'Standards for Conversions'!$A$47:$A$73,0)))=0,"",IQ122/(INDEX('Standards for Conversions'!$H$47:$H$73,MATCH(IP$3,'Standards for Conversions'!$A$47:$A$73,0))))</f>
        <v/>
      </c>
      <c r="IU122" s="29">
        <v>2080</v>
      </c>
      <c r="IV122" s="31">
        <f>IF(IU122/(INDEX('Standards for Conversions'!$H$47:$H$73,MATCH(IT$3,'Standards for Conversions'!$A$47:$A$73,0)))=0,"",IU122/(INDEX('Standards for Conversions'!$H$47:$H$73,MATCH(IT$3,'Standards for Conversions'!$A$47:$A$73,0))))</f>
        <v>300.78927464441932</v>
      </c>
      <c r="IZ122" s="31" t="str">
        <f>IF(IY122/(INDEX('Standards for Conversions'!$H$47:$H$73,MATCH(IX$3,'Standards for Conversions'!$A$47:$A$73,0)))=0,"",IY122/(INDEX('Standards for Conversions'!$H$47:$H$73,MATCH(IX$3,'Standards for Conversions'!$A$47:$A$73,0))))</f>
        <v/>
      </c>
      <c r="JA122" s="33"/>
      <c r="JD122" s="31" t="str">
        <f>IF(JC122/(INDEX('Standards for Conversions'!$H$47:$H$73,MATCH(JB$3,'Standards for Conversions'!$A$47:$A$73,0)))=0,"",JC122/(INDEX('Standards for Conversions'!$H$47:$H$73,MATCH(JB$3,'Standards for Conversions'!$A$47:$A$73,0))))</f>
        <v/>
      </c>
      <c r="JE122" s="33"/>
      <c r="JH122" s="31" t="str">
        <f>IF(JG122/(INDEX('Standards for Conversions'!$H$47:$H$73,MATCH(JF$3,'Standards for Conversions'!$A$47:$A$73,0)))=0,"",JG122/(INDEX('Standards for Conversions'!$H$47:$H$73,MATCH(JF$3,'Standards for Conversions'!$A$47:$A$73,0))))</f>
        <v/>
      </c>
      <c r="JI122" s="33"/>
      <c r="JK122" s="29">
        <v>2500</v>
      </c>
      <c r="JL122" s="31">
        <f>IF(JK122/(INDEX('Standards for Conversions'!$H$47:$H$73,MATCH(JJ$3,'Standards for Conversions'!$A$47:$A$73,0)))=0,"",JK122/(INDEX('Standards for Conversions'!$H$47:$H$73,MATCH(JJ$3,'Standards for Conversions'!$A$47:$A$73,0))))</f>
        <v>404.40049172967173</v>
      </c>
      <c r="JP122" s="31" t="str">
        <f>IF(JO122/(INDEX('Standards for Conversions'!$H$47:$H$73,MATCH(JN$3,'Standards for Conversions'!$A$47:$A$73,0)))=0,"",JO122/(INDEX('Standards for Conversions'!$H$47:$H$73,MATCH(JN$3,'Standards for Conversions'!$A$47:$A$73,0))))</f>
        <v/>
      </c>
      <c r="JT122" s="31" t="str">
        <f>IF(JS122/(INDEX('Standards for Conversions'!$H$47:$H$73,MATCH(JR$3,'Standards for Conversions'!$A$47:$A$73,0)))=0,"",JS122/(INDEX('Standards for Conversions'!$H$47:$H$73,MATCH(JR$3,'Standards for Conversions'!$A$47:$A$73,0))))</f>
        <v/>
      </c>
      <c r="JX122" s="31" t="str">
        <f>IF(JW122/(INDEX('Standards for Conversions'!$H$47:$H$73,MATCH(JV$3,'Standards for Conversions'!$A$47:$A$73,0)))=0,"",JW122/(INDEX('Standards for Conversions'!$H$47:$H$73,MATCH(JV$3,'Standards for Conversions'!$A$47:$A$73,0))))</f>
        <v/>
      </c>
      <c r="KA122" s="29">
        <v>2000</v>
      </c>
      <c r="KB122" s="31">
        <f>IF(KA122/(INDEX('Standards for Conversions'!$H$47:$H$73,MATCH(JZ$3,'Standards for Conversions'!$A$47:$A$73,0)))=0,"",KA122/(INDEX('Standards for Conversions'!$H$47:$H$73,MATCH(JZ$3,'Standards for Conversions'!$A$47:$A$73,0))))</f>
        <v>305.31178485559514</v>
      </c>
      <c r="KF122" s="31" t="str">
        <f>IF(KE122/(INDEX('Standards for Conversions'!$H$47:$H$73,MATCH(KD$3,'Standards for Conversions'!$A$47:$A$73,0)))=0,"",KE122/(INDEX('Standards for Conversions'!$H$47:$H$73,MATCH(KD$3,'Standards for Conversions'!$A$47:$A$73,0))))</f>
        <v/>
      </c>
      <c r="KJ122" s="31" t="str">
        <f>IF(KI122/(INDEX('Standards for Conversions'!$H$47:$H$73,MATCH(KH$3,'Standards for Conversions'!$A$47:$A$73,0)))=0,"",KI122/(INDEX('Standards for Conversions'!$H$47:$H$73,MATCH(KH$3,'Standards for Conversions'!$A$47:$A$73,0))))</f>
        <v/>
      </c>
      <c r="KN122" s="31" t="str">
        <f>IF(KM122/(INDEX('Standards for Conversions'!$H$47:$H$73,MATCH(KL$3,'Standards for Conversions'!$A$47:$A$73,0)))=0,"",KM122/(INDEX('Standards for Conversions'!$H$47:$H$73,MATCH(KL$3,'Standards for Conversions'!$A$47:$A$73,0))))</f>
        <v/>
      </c>
      <c r="KQ122" s="29">
        <v>2500</v>
      </c>
      <c r="KR122" s="31">
        <f>IF(KQ122/(INDEX('Standards for Conversions'!$H$47:$H$73,MATCH(KP$3,'Standards for Conversions'!$A$47:$A$73,0)))=0,"",KQ122/(INDEX('Standards for Conversions'!$H$47:$H$73,MATCH(KP$3,'Standards for Conversions'!$A$47:$A$73,0))))</f>
        <v>336.64752976449114</v>
      </c>
      <c r="KV122" s="31" t="str">
        <f>IF(KU122/(INDEX('Standards for Conversions'!$H$47:$H$73,MATCH(KT$3,'Standards for Conversions'!$A$47:$A$73,0)))=0,"",KU122/(INDEX('Standards for Conversions'!$H$47:$H$73,MATCH(KT$3,'Standards for Conversions'!$A$47:$A$73,0))))</f>
        <v/>
      </c>
      <c r="KW122" s="33"/>
      <c r="KZ122" s="31" t="str">
        <f>IF(KY122/(INDEX('Standards for Conversions'!$H$47:$H$73,MATCH(KX$3,'Standards for Conversions'!$A$47:$A$73,0)))=0,"",KY122/(INDEX('Standards for Conversions'!$H$47:$H$73,MATCH(KX$3,'Standards for Conversions'!$A$47:$A$73,0))))</f>
        <v/>
      </c>
      <c r="LD122" s="31" t="str">
        <f>IF(LC122/(INDEX('Standards for Conversions'!$H$47:$H$73,MATCH(LB$3,'Standards for Conversions'!$A$47:$A$73,0)))=0,"",LC122/(INDEX('Standards for Conversions'!$H$47:$H$73,MATCH(LB$3,'Standards for Conversions'!$A$47:$A$73,0))))</f>
        <v/>
      </c>
      <c r="LE122" s="33"/>
      <c r="LG122" s="29">
        <v>2800</v>
      </c>
      <c r="LH122" s="31">
        <f>IF(LG122/(INDEX('Standards for Conversions'!$H$47:$H$73,MATCH(LF$3,'Standards for Conversions'!$A$47:$A$73,0)))=0,"",LG122/(INDEX('Standards for Conversions'!$H$47:$H$73,MATCH(LF$3,'Standards for Conversions'!$A$47:$A$73,0))))</f>
        <v>340.52638683699769</v>
      </c>
      <c r="LL122" s="31" t="str">
        <f>IF(LK122/(INDEX('Standards for Conversions'!$H$47:$H$73,MATCH(LJ$3,'Standards for Conversions'!$A$47:$A$73,0)))=0,"",LK122/(INDEX('Standards for Conversions'!$H$47:$H$73,MATCH(LJ$3,'Standards for Conversions'!$A$47:$A$73,0))))</f>
        <v/>
      </c>
      <c r="LO122" s="31" t="str">
        <f>IF(LN122/(INDEX('Standards for Conversions'!$H$47:$H$73,MATCH(LM$3,'Standards for Conversions'!$A$47:$A$73,0)))=0,"",LN122/(INDEX('Standards for Conversions'!$H$47:$H$73,MATCH(LM$3,'Standards for Conversions'!$A$47:$A$73,0))))</f>
        <v/>
      </c>
      <c r="LR122" s="31" t="str">
        <f>IF(LQ122/(INDEX('Standards for Conversions'!$H$47:$H$73,MATCH(LP$3,'Standards for Conversions'!$A$47:$A$73,0)))=0,"",LQ122/(INDEX('Standards for Conversions'!$H$47:$H$73,MATCH(LP$3,'Standards for Conversions'!$A$47:$A$73,0))))</f>
        <v/>
      </c>
      <c r="LV122" s="31" t="str">
        <f>IF(LU122/(INDEX('Standards for Conversions'!$H$47:$H$73,MATCH(LT$3,'Standards for Conversions'!$A$47:$A$73,0)))=0,"",LU122/(INDEX('Standards for Conversions'!$H$47:$H$73,MATCH(LT$3,'Standards for Conversions'!$A$47:$A$73,0))))</f>
        <v/>
      </c>
      <c r="LY122" s="31" t="str">
        <f>IF(LX122/(INDEX('Standards for Conversions'!$H$47:$H$73,MATCH(LW$3,'Standards for Conversions'!$A$47:$A$73,0)))=0,"",LX122/(INDEX('Standards for Conversions'!$H$47:$H$73,MATCH(LW$3,'Standards for Conversions'!$A$47:$A$73,0))))</f>
        <v/>
      </c>
      <c r="MB122" s="31" t="str">
        <f>IF(MA122/(INDEX('Standards for Conversions'!$H$47:$H$73,MATCH(LZ$3,'Standards for Conversions'!$A$47:$A$73,0)))=0,"",MA122/(INDEX('Standards for Conversions'!$H$47:$H$73,MATCH(LZ$3,'Standards for Conversions'!$A$47:$A$73,0))))</f>
        <v/>
      </c>
      <c r="ME122" s="31" t="str">
        <f>IF(MD122/(INDEX('Standards for Conversions'!$H$47:$H$73,MATCH(MC$3,'Standards for Conversions'!$A$47:$A$73,0)))=0,"",MD122/(INDEX('Standards for Conversions'!$H$47:$H$73,MATCH(MC$3,'Standards for Conversions'!$A$47:$A$73,0))))</f>
        <v/>
      </c>
      <c r="MH122" s="31" t="str">
        <f>IF(MG122/(INDEX('Standards for Conversions'!$H$47:$H$73,MATCH(MF$3,'Standards for Conversions'!$A$47:$A$73,0)))=0,"",MG122/(INDEX('Standards for Conversions'!$H$47:$H$73,MATCH(MF$3,'Standards for Conversions'!$A$47:$A$73,0))))</f>
        <v/>
      </c>
      <c r="MK122" s="31" t="str">
        <f>IF(MJ122/(INDEX('Standards for Conversions'!$H$47:$H$73,MATCH(MI$3,'Standards for Conversions'!$A$47:$A$73,0)))=0,"",MJ122/(INDEX('Standards for Conversions'!$H$47:$H$73,MATCH(MI$3,'Standards for Conversions'!$A$47:$A$73,0))))</f>
        <v/>
      </c>
      <c r="MN122" s="31" t="str">
        <f>IF(MM122/(INDEX('Standards for Conversions'!$H$47:$H$73,MATCH(ML$3,'Standards for Conversions'!$A$47:$A$73,0)))=0,"",MM122/(INDEX('Standards for Conversions'!$H$47:$H$73,MATCH(ML$3,'Standards for Conversions'!$A$47:$A$73,0))))</f>
        <v/>
      </c>
      <c r="MR122" s="31" t="str">
        <f>IF(MQ122/(INDEX('Standards for Conversions'!$H$47:$H$73,MATCH(MP$3,'Standards for Conversions'!$A$47:$A$73,0)))=0,"",MQ122/(INDEX('Standards for Conversions'!$H$47:$H$73,MATCH(MP$3,'Standards for Conversions'!$A$47:$A$73,0))))</f>
        <v/>
      </c>
    </row>
    <row r="123" spans="1:356" hidden="1" x14ac:dyDescent="0.3">
      <c r="A123" s="103" t="s">
        <v>288</v>
      </c>
      <c r="B123" s="10" t="s">
        <v>58</v>
      </c>
      <c r="C123" s="7"/>
      <c r="D123" s="7"/>
      <c r="E123" s="31" t="str">
        <f>IF(D123/(INDEX('Standards for Conversions'!$H$34:$H$73,MATCH(C$3,'Standards for Conversions'!$A$34:$A$73,0)))=0,"",D123/(INDEX('Standards for Conversions'!$H$34:$H$73,MATCH(C$3,'Standards for Conversions'!$A$34:$A$73,0))))</f>
        <v/>
      </c>
      <c r="F123" s="10" t="s">
        <v>58</v>
      </c>
      <c r="G123" s="7"/>
      <c r="H123" s="7"/>
      <c r="I123" s="31" t="str">
        <f>IF(H123/(INDEX('Standards for Conversions'!$H$34:$H$73,MATCH(G$3,'Standards for Conversions'!$A$34:$A$73,0)))=0,"",H123/(INDEX('Standards for Conversions'!$H$34:$H$73,MATCH(G$3,'Standards for Conversions'!$A$34:$A$73,0))))</f>
        <v/>
      </c>
      <c r="J123" s="10" t="s">
        <v>58</v>
      </c>
      <c r="K123" s="9"/>
      <c r="L123" s="9"/>
      <c r="M123" s="31" t="str">
        <f>IF(L123/(INDEX('Standards for Conversions'!$H$34:$H$73,MATCH(K$3,'Standards for Conversions'!$A$34:$A$73,0)))=0,"",L123/(INDEX('Standards for Conversions'!$H$34:$H$73,MATCH(K$3,'Standards for Conversions'!$A$34:$A$73,0))))</f>
        <v/>
      </c>
      <c r="N123" s="10" t="s">
        <v>58</v>
      </c>
      <c r="O123" s="7"/>
      <c r="P123" s="7"/>
      <c r="Q123" s="31" t="str">
        <f>IF(P123/(INDEX('Standards for Conversions'!$H$34:$H$73,MATCH(O$3,'Standards for Conversions'!$A$34:$A$73,0)))=0,"",P123/(INDEX('Standards for Conversions'!$H$34:$H$73,MATCH(O$3,'Standards for Conversions'!$A$34:$A$73,0))))</f>
        <v/>
      </c>
      <c r="R123" s="10" t="s">
        <v>58</v>
      </c>
      <c r="S123" s="7"/>
      <c r="T123" s="7"/>
      <c r="U123" s="31" t="str">
        <f>IF(T123/(INDEX('Standards for Conversions'!$H$34:$H$73,MATCH(S$3,'Standards for Conversions'!$A$34:$A$73,0)))=0,"",T123/(INDEX('Standards for Conversions'!$H$34:$H$73,MATCH(S$3,'Standards for Conversions'!$A$34:$A$73,0))))</f>
        <v/>
      </c>
      <c r="V123" s="10" t="s">
        <v>58</v>
      </c>
      <c r="W123" s="7"/>
      <c r="X123" s="7"/>
      <c r="Y123" s="31" t="str">
        <f>IF(X123/(INDEX('Standards for Conversions'!$H$34:$H$73,MATCH(W$3,'Standards for Conversions'!$A$34:$A$73,0)))=0,"",X123/(INDEX('Standards for Conversions'!$H$34:$H$73,MATCH(W$3,'Standards for Conversions'!$A$34:$A$73,0))))</f>
        <v/>
      </c>
      <c r="Z123" s="10" t="s">
        <v>58</v>
      </c>
      <c r="AA123" s="9"/>
      <c r="AB123" s="9"/>
      <c r="AC123" s="31" t="str">
        <f>IF(AB123/(INDEX('Standards for Conversions'!$H$34:$H$73,MATCH(AA$3,'Standards for Conversions'!$A$34:$A$73,0)))=0,"",AB123/(INDEX('Standards for Conversions'!$H$34:$H$73,MATCH(AA$3,'Standards for Conversions'!$A$34:$A$73,0))))</f>
        <v/>
      </c>
      <c r="AD123" s="10" t="s">
        <v>58</v>
      </c>
      <c r="AE123" s="7"/>
      <c r="AF123" s="7"/>
      <c r="AG123" s="31" t="str">
        <f>IF(AF123/(INDEX('Standards for Conversions'!$H$34:$H$73,MATCH(AE$3,'Standards for Conversions'!$A$34:$A$73,0)))=0,"",AF123/(INDEX('Standards for Conversions'!$H$34:$H$73,MATCH(AE$3,'Standards for Conversions'!$A$34:$A$73,0))))</f>
        <v/>
      </c>
      <c r="AH123" s="10" t="s">
        <v>58</v>
      </c>
      <c r="AI123" s="7"/>
      <c r="AJ123" s="7"/>
      <c r="AK123" s="31" t="str">
        <f>IF(AJ123/(INDEX('Standards for Conversions'!$H$34:$H$73,MATCH(AI$3,'Standards for Conversions'!$A$34:$A$73,0)))=0,"",AJ123/(INDEX('Standards for Conversions'!$H$34:$H$73,MATCH(AI$3,'Standards for Conversions'!$A$34:$A$73,0))))</f>
        <v/>
      </c>
      <c r="AL123" s="10" t="s">
        <v>58</v>
      </c>
      <c r="AM123" s="7"/>
      <c r="AN123" s="7"/>
      <c r="AO123" s="31" t="str">
        <f>IF(AN123/(INDEX('Standards for Conversions'!$H$34:$H$73,MATCH(AM$3,'Standards for Conversions'!$A$34:$A$73,0)))=0,"",AN123/(INDEX('Standards for Conversions'!$H$34:$H$73,MATCH(AM$3,'Standards for Conversions'!$A$34:$A$73,0))))</f>
        <v/>
      </c>
      <c r="AP123" s="10" t="s">
        <v>58</v>
      </c>
      <c r="AQ123" s="9"/>
      <c r="AR123" s="9"/>
      <c r="AS123" s="31" t="str">
        <f>IF(AR123/(INDEX('Standards for Conversions'!$H$34:$H$73,MATCH(AQ$3,'Standards for Conversions'!$A$34:$A$73,0)))=0,"",AR123/(INDEX('Standards for Conversions'!$H$34:$H$73,MATCH(AQ$3,'Standards for Conversions'!$A$34:$A$73,0))))</f>
        <v/>
      </c>
      <c r="AT123" s="10" t="s">
        <v>58</v>
      </c>
      <c r="AU123" s="7"/>
      <c r="AV123" s="7"/>
      <c r="AW123" s="31" t="str">
        <f>IF(AV123/(INDEX('Standards for Conversions'!$H$34:$H$73,MATCH(AU$3,'Standards for Conversions'!$A$34:$A$73,0)))=0,"",AV123/(INDEX('Standards for Conversions'!$H$34:$H$73,MATCH(AU$3,'Standards for Conversions'!$A$34:$A$73,0))))</f>
        <v/>
      </c>
      <c r="AX123" s="10" t="s">
        <v>58</v>
      </c>
      <c r="AY123" s="7"/>
      <c r="AZ123" s="7"/>
      <c r="BA123" s="31" t="str">
        <f>IF(AZ123/(INDEX('Standards for Conversions'!$H$34:$H$73,MATCH(AY$3,'Standards for Conversions'!$A$34:$A$73,0)))=0,"",AZ123/(INDEX('Standards for Conversions'!$H$34:$H$73,MATCH(AY$3,'Standards for Conversions'!$A$34:$A$73,0))))</f>
        <v/>
      </c>
      <c r="BB123" s="10" t="s">
        <v>58</v>
      </c>
      <c r="BC123" s="7"/>
      <c r="BD123" s="7"/>
      <c r="BE123" s="31" t="str">
        <f>IF(BD123/(INDEX('Standards for Conversions'!$H$34:$H$73,MATCH(BC$3,'Standards for Conversions'!$A$34:$A$73,0)))=0,"",BD123/(INDEX('Standards for Conversions'!$H$34:$H$73,MATCH(BC$3,'Standards for Conversions'!$A$34:$A$73,0))))</f>
        <v/>
      </c>
      <c r="BF123" s="10" t="s">
        <v>58</v>
      </c>
      <c r="BG123" s="9"/>
      <c r="BH123" s="9"/>
      <c r="BI123" s="31" t="str">
        <f>IF(BH123/(INDEX('Standards for Conversions'!$H$34:$H$73,MATCH(BG$3,'Standards for Conversions'!$A$34:$A$73,0)))=0,"",BH123/(INDEX('Standards for Conversions'!$H$34:$H$73,MATCH(BG$3,'Standards for Conversions'!$A$34:$A$73,0))))</f>
        <v/>
      </c>
      <c r="BJ123" s="10" t="s">
        <v>58</v>
      </c>
      <c r="BK123" s="7"/>
      <c r="BL123" s="7"/>
      <c r="BM123" s="31" t="str">
        <f>IF(BL123/(INDEX('Standards for Conversions'!$H$34:$H$73,MATCH(BK$3,'Standards for Conversions'!$A$34:$A$73,0)))=0,"",BL123/(INDEX('Standards for Conversions'!$H$34:$H$73,MATCH(BK$3,'Standards for Conversions'!$A$34:$A$73,0))))</f>
        <v/>
      </c>
      <c r="BN123" s="10" t="s">
        <v>58</v>
      </c>
      <c r="BO123" s="7"/>
      <c r="BP123" s="7"/>
      <c r="BQ123" s="31" t="str">
        <f>IF(BP123/(INDEX('Standards for Conversions'!$H$34:$H$73,MATCH(BO$3,'Standards for Conversions'!$A$34:$A$73,0)))=0,"",BP123/(INDEX('Standards for Conversions'!$H$34:$H$73,MATCH(BO$3,'Standards for Conversions'!$A$34:$A$73,0))))</f>
        <v/>
      </c>
      <c r="BR123" s="10" t="s">
        <v>58</v>
      </c>
      <c r="BS123" s="7"/>
      <c r="BT123" s="7"/>
      <c r="BU123" s="31" t="str">
        <f>IF(BT123/(INDEX('Standards for Conversions'!$H$34:$H$73,MATCH(BS$3,'Standards for Conversions'!$A$34:$A$73,0)))=0,"",BT123/(INDEX('Standards for Conversions'!$H$34:$H$73,MATCH(BS$3,'Standards for Conversions'!$A$34:$A$73,0))))</f>
        <v/>
      </c>
      <c r="BV123" s="10" t="s">
        <v>58</v>
      </c>
      <c r="BW123" s="9"/>
      <c r="BX123" s="9"/>
      <c r="BY123" s="31" t="str">
        <f>IF(BX123/(INDEX('Standards for Conversions'!$H$34:$H$73,MATCH(BW$3,'Standards for Conversions'!$A$34:$A$73,0)))=0,"",BX123/(INDEX('Standards for Conversions'!$H$34:$H$73,MATCH(BW$3,'Standards for Conversions'!$A$34:$A$73,0))))</f>
        <v/>
      </c>
      <c r="BZ123" s="10" t="s">
        <v>58</v>
      </c>
      <c r="CA123" s="7"/>
      <c r="CB123" s="7"/>
      <c r="CC123" s="31" t="str">
        <f>IF(CB123/(INDEX('Standards for Conversions'!$H$34:$H$73,MATCH(CA$3,'Standards for Conversions'!$A$34:$A$73,0)))=0,"",CB123/(INDEX('Standards for Conversions'!$H$34:$H$73,MATCH(CA$3,'Standards for Conversions'!$A$34:$A$73,0))))</f>
        <v/>
      </c>
      <c r="CD123" s="10" t="s">
        <v>58</v>
      </c>
      <c r="CE123" s="7"/>
      <c r="CF123" s="7"/>
      <c r="CG123" s="31" t="str">
        <f>IF(CF123/(INDEX('Standards for Conversions'!$H$34:$H$73,MATCH(CE$3,'Standards for Conversions'!$A$34:$A$73,0)))=0,"",CF123/(INDEX('Standards for Conversions'!$H$34:$H$73,MATCH(CE$3,'Standards for Conversions'!$A$34:$A$73,0))))</f>
        <v/>
      </c>
      <c r="CH123" s="10" t="s">
        <v>58</v>
      </c>
      <c r="CI123" s="7"/>
      <c r="CJ123" s="7"/>
      <c r="CK123" s="31" t="str">
        <f>IF(CJ123/(INDEX('Standards for Conversions'!$H$34:$H$73,MATCH(CI$3,'Standards for Conversions'!$A$34:$A$73,0)))=0,"",CJ123/(INDEX('Standards for Conversions'!$H$34:$H$73,MATCH(CI$3,'Standards for Conversions'!$A$34:$A$73,0))))</f>
        <v/>
      </c>
      <c r="CL123" s="10" t="s">
        <v>58</v>
      </c>
      <c r="CM123" s="9"/>
      <c r="CN123" s="9"/>
      <c r="CO123" s="31" t="str">
        <f>IF(CN123/(INDEX('Standards for Conversions'!$H$34:$H$73,MATCH(CM$3,'Standards for Conversions'!$A$34:$A$73,0)))=0,"",CN123/(INDEX('Standards for Conversions'!$H$34:$H$73,MATCH(CM$3,'Standards for Conversions'!$A$34:$A$73,0))))</f>
        <v/>
      </c>
      <c r="CP123" s="10" t="s">
        <v>58</v>
      </c>
      <c r="CQ123" s="7"/>
      <c r="CR123" s="7"/>
      <c r="CS123" s="31" t="str">
        <f>IF(CR123/(INDEX('Standards for Conversions'!$H$34:$H$73,MATCH(CQ$3,'Standards for Conversions'!$A$34:$A$73,0)))=0,"",CR123/(INDEX('Standards for Conversions'!$H$34:$H$73,MATCH(CQ$3,'Standards for Conversions'!$A$34:$A$73,0))))</f>
        <v/>
      </c>
      <c r="CT123" s="10" t="s">
        <v>58</v>
      </c>
      <c r="CU123" s="7"/>
      <c r="CV123" s="7"/>
      <c r="CW123" s="31" t="str">
        <f>IF(CV123/(INDEX('Standards for Conversions'!$H$34:$H$73,MATCH(CU$3,'Standards for Conversions'!$A$34:$A$73,0)))=0,"",CV123/(INDEX('Standards for Conversions'!$H$34:$H$73,MATCH(CU$3,'Standards for Conversions'!$A$34:$A$73,0))))</f>
        <v/>
      </c>
      <c r="CX123" s="10" t="s">
        <v>58</v>
      </c>
      <c r="CY123" s="7"/>
      <c r="CZ123" s="7"/>
      <c r="DA123" s="31" t="str">
        <f>IF(CZ123/(INDEX('Standards for Conversions'!$H$34:$H$73,MATCH(CY$3,'Standards for Conversions'!$A$34:$A$73,0)))=0,"",CZ123/(INDEX('Standards for Conversions'!$H$34:$H$73,MATCH(CY$3,'Standards for Conversions'!$A$34:$A$73,0))))</f>
        <v/>
      </c>
      <c r="DB123" s="10" t="s">
        <v>58</v>
      </c>
      <c r="DC123" s="9"/>
      <c r="DD123" s="9"/>
      <c r="DE123" s="31" t="str">
        <f>IF(DD123/(INDEX('Standards for Conversions'!$H$34:$H$73,MATCH(DC$3,'Standards for Conversions'!$A$34:$A$73,0)))=0,"",DD123/(INDEX('Standards for Conversions'!$H$34:$H$73,MATCH(DC$3,'Standards for Conversions'!$A$34:$A$73,0))))</f>
        <v/>
      </c>
      <c r="DF123" s="10" t="s">
        <v>58</v>
      </c>
      <c r="DG123" s="7"/>
      <c r="DH123" s="7"/>
      <c r="DI123" s="31" t="str">
        <f>IF(DH123/(INDEX('Standards for Conversions'!$H$34:$H$73,MATCH(DG$3,'Standards for Conversions'!$A$34:$A$73,0)))=0,"",DH123/(INDEX('Standards for Conversions'!$H$34:$H$73,MATCH(DG$3,'Standards for Conversions'!$A$34:$A$73,0))))</f>
        <v/>
      </c>
      <c r="DJ123" s="10" t="s">
        <v>58</v>
      </c>
      <c r="DK123" s="7"/>
      <c r="DL123" s="7"/>
      <c r="DM123" s="31" t="str">
        <f>IF(DL123/(INDEX('Standards for Conversions'!$H$34:$H$73,MATCH(DK$3,'Standards for Conversions'!$A$34:$A$73,0)))=0,"",DL123/(INDEX('Standards for Conversions'!$H$34:$H$73,MATCH(DK$3,'Standards for Conversions'!$A$34:$A$73,0))))</f>
        <v/>
      </c>
      <c r="DN123" s="10" t="s">
        <v>58</v>
      </c>
      <c r="DO123" s="7"/>
      <c r="DP123" s="7"/>
      <c r="DQ123" s="31" t="str">
        <f>IF(DP123/(INDEX('Standards for Conversions'!$H$34:$H$73,MATCH(DO$3,'Standards for Conversions'!$A$34:$A$73,0)))=0,"",DP123/(INDEX('Standards for Conversions'!$H$34:$H$73,MATCH(DO$3,'Standards for Conversions'!$A$34:$A$73,0))))</f>
        <v/>
      </c>
      <c r="DR123" s="10" t="s">
        <v>58</v>
      </c>
      <c r="DS123" s="9"/>
      <c r="DT123" s="9"/>
      <c r="DU123" s="31" t="str">
        <f>IF(DT123/(INDEX('Standards for Conversions'!$H$34:$H$73,MATCH(DS$3,'Standards for Conversions'!$A$34:$A$73,0)))=0,"",DT123/(INDEX('Standards for Conversions'!$H$34:$H$73,MATCH(DS$3,'Standards for Conversions'!$A$34:$A$73,0))))</f>
        <v/>
      </c>
      <c r="DV123" s="10" t="s">
        <v>58</v>
      </c>
      <c r="DW123" s="7"/>
      <c r="DX123" s="7"/>
      <c r="DY123" s="31" t="str">
        <f>IF(DX123/(INDEX('Standards for Conversions'!$H$34:$H$73,MATCH(DW$3,'Standards for Conversions'!$A$34:$A$73,0)))=0,"",DX123/(INDEX('Standards for Conversions'!$H$34:$H$73,MATCH(DW$3,'Standards for Conversions'!$A$34:$A$73,0))))</f>
        <v/>
      </c>
      <c r="DZ123" s="10" t="s">
        <v>58</v>
      </c>
      <c r="EA123" s="7"/>
      <c r="EB123" s="7"/>
      <c r="EC123" s="31" t="str">
        <f>IF(EB123/(INDEX('Standards for Conversions'!$H$34:$H$73,MATCH(EA$3,'Standards for Conversions'!$A$34:$A$73,0)))=0,"",EB123/(INDEX('Standards for Conversions'!$H$34:$H$73,MATCH(EA$3,'Standards for Conversions'!$A$34:$A$73,0))))</f>
        <v/>
      </c>
      <c r="ED123" s="10" t="s">
        <v>58</v>
      </c>
      <c r="EE123" s="7"/>
      <c r="EF123" s="7"/>
      <c r="EG123" s="31" t="str">
        <f>IF(EF123/(INDEX('Standards for Conversions'!$H$34:$H$73,MATCH(EE$3,'Standards for Conversions'!$A$34:$A$73,0)))=0,"",EF123/(INDEX('Standards for Conversions'!$H$34:$H$73,MATCH(EE$3,'Standards for Conversions'!$A$34:$A$73,0))))</f>
        <v/>
      </c>
      <c r="EH123" s="10" t="s">
        <v>58</v>
      </c>
      <c r="EI123" s="9"/>
      <c r="EJ123" s="9"/>
      <c r="EK123" s="31" t="str">
        <f>IF(EJ123/(INDEX('Standards for Conversions'!$H$34:$H$73,MATCH(EI$3,'Standards for Conversions'!$A$34:$A$73,0)))=0,"",EJ123/(INDEX('Standards for Conversions'!$H$34:$H$73,MATCH(EI$3,'Standards for Conversions'!$A$34:$A$73,0))))</f>
        <v/>
      </c>
      <c r="EL123" s="10" t="s">
        <v>58</v>
      </c>
      <c r="EM123" s="7"/>
      <c r="EN123" s="7"/>
      <c r="EO123" s="31" t="str">
        <f>IF(EN123/(INDEX('Standards for Conversions'!$H$34:$H$73,MATCH(EM$3,'Standards for Conversions'!$A$34:$A$73,0)))=0,"",EN123/(INDEX('Standards for Conversions'!$H$34:$H$73,MATCH(EM$3,'Standards for Conversions'!$A$34:$A$73,0))))</f>
        <v/>
      </c>
      <c r="EP123" s="10" t="s">
        <v>58</v>
      </c>
      <c r="EQ123" s="7"/>
      <c r="ER123" s="7"/>
      <c r="ES123" s="31" t="str">
        <f>IF(ER123/(INDEX('Standards for Conversions'!$H$34:$H$73,MATCH(EQ$3,'Standards for Conversions'!$A$34:$A$73,0)))=0,"",ER123/(INDEX('Standards for Conversions'!$H$34:$H$73,MATCH(EQ$3,'Standards for Conversions'!$A$34:$A$73,0))))</f>
        <v/>
      </c>
      <c r="ET123" s="10" t="s">
        <v>58</v>
      </c>
      <c r="EU123" s="7"/>
      <c r="EV123" s="7"/>
      <c r="EW123" s="31" t="str">
        <f>IF(EV123/(INDEX('Standards for Conversions'!$H$34:$H$73,MATCH(EU$3,'Standards for Conversions'!$A$34:$A$73,0)))=0,"",EV123/(INDEX('Standards for Conversions'!$H$34:$H$73,MATCH(EU$3,'Standards for Conversions'!$A$34:$A$73,0))))</f>
        <v/>
      </c>
      <c r="EX123" s="10" t="s">
        <v>58</v>
      </c>
      <c r="EY123" s="9"/>
      <c r="EZ123" s="9"/>
      <c r="FA123" s="31" t="str">
        <f>IF(EZ123/(INDEX('Standards for Conversions'!$H$34:$H$73,MATCH(EY$3,'Standards for Conversions'!$A$34:$A$73,0)))=0,"",EZ123/(INDEX('Standards for Conversions'!$H$34:$H$73,MATCH(EY$3,'Standards for Conversions'!$A$34:$A$73,0))))</f>
        <v/>
      </c>
      <c r="FB123" s="10" t="s">
        <v>58</v>
      </c>
      <c r="FC123" s="7"/>
      <c r="FD123" s="7"/>
      <c r="FE123" s="31" t="str">
        <f>IF(FD123/(INDEX('Standards for Conversions'!$H$34:$H$73,MATCH(FC$3,'Standards for Conversions'!$A$34:$A$73,0)))=0,"",FD123/(INDEX('Standards for Conversions'!$H$34:$H$73,MATCH(FC$3,'Standards for Conversions'!$A$34:$A$73,0))))</f>
        <v/>
      </c>
      <c r="FF123" s="10" t="s">
        <v>58</v>
      </c>
      <c r="FG123" s="7"/>
      <c r="FH123" s="7"/>
      <c r="FI123" s="31" t="str">
        <f>IF(FH123/(INDEX('Standards for Conversions'!$H$34:$H$73,MATCH(FG$3,'Standards for Conversions'!$A$34:$A$73,0)))=0,"",FH123/(INDEX('Standards for Conversions'!$H$34:$H$73,MATCH(FG$3,'Standards for Conversions'!$A$34:$A$73,0))))</f>
        <v/>
      </c>
      <c r="FJ123" s="10" t="s">
        <v>58</v>
      </c>
      <c r="FK123" s="7"/>
      <c r="FL123" s="7"/>
      <c r="FM123" s="31" t="str">
        <f>IF(FL123/(INDEX('Standards for Conversions'!$H$34:$H$73,MATCH(FK$3,'Standards for Conversions'!$A$34:$A$73,0)))=0,"",FL123/(INDEX('Standards for Conversions'!$H$34:$H$73,MATCH(FK$3,'Standards for Conversions'!$A$34:$A$73,0))))</f>
        <v/>
      </c>
      <c r="FN123" s="10" t="s">
        <v>58</v>
      </c>
      <c r="FO123" s="9"/>
      <c r="FP123" s="9"/>
      <c r="FQ123" s="31" t="str">
        <f>IF(FP123/(INDEX('Standards for Conversions'!$H$34:$H$73,MATCH(FO$3,'Standards for Conversions'!$A$34:$A$73,0)))=0,"",FP123/(INDEX('Standards for Conversions'!$H$34:$H$73,MATCH(FO$3,'Standards for Conversions'!$A$34:$A$73,0))))</f>
        <v/>
      </c>
      <c r="FR123" s="10" t="s">
        <v>58</v>
      </c>
      <c r="FS123" s="7"/>
      <c r="FT123" s="7"/>
      <c r="FU123" s="31" t="str">
        <f>IF(FT123/(INDEX('Standards for Conversions'!$H$34:$H$73,MATCH(FS$3,'Standards for Conversions'!$A$34:$A$73,0)))=0,"",FT123/(INDEX('Standards for Conversions'!$H$34:$H$73,MATCH(FS$3,'Standards for Conversions'!$A$34:$A$73,0))))</f>
        <v/>
      </c>
      <c r="FV123" s="10" t="s">
        <v>58</v>
      </c>
      <c r="FW123" s="7"/>
      <c r="FX123" s="7"/>
      <c r="FY123" s="31" t="str">
        <f>IF(FX123/(INDEX('Standards for Conversions'!$H$34:$H$73,MATCH(FW$3,'Standards for Conversions'!$A$34:$A$73,0)))=0,"",FX123/(INDEX('Standards for Conversions'!$H$34:$H$73,MATCH(FW$3,'Standards for Conversions'!$A$34:$A$73,0))))</f>
        <v/>
      </c>
      <c r="FZ123" s="10" t="s">
        <v>58</v>
      </c>
      <c r="GA123" s="7"/>
      <c r="GB123" s="7"/>
      <c r="GC123" s="31" t="str">
        <f>IF(GB123/(INDEX('Standards for Conversions'!$H$34:$H$73,MATCH(GA$3,'Standards for Conversions'!$A$34:$A$73,0)))=0,"",GB123/(INDEX('Standards for Conversions'!$H$34:$H$73,MATCH(GA$3,'Standards for Conversions'!$A$34:$A$73,0))))</f>
        <v/>
      </c>
      <c r="GD123" s="10" t="s">
        <v>58</v>
      </c>
      <c r="GE123" s="9"/>
      <c r="GF123" s="9"/>
      <c r="GG123" s="31" t="str">
        <f>IF(GF123/(INDEX('Standards for Conversions'!$H$34:$H$73,MATCH(GE$3,'Standards for Conversions'!$A$34:$A$73,0)))=0,"",GF123/(INDEX('Standards for Conversions'!$H$34:$H$73,MATCH(GE$3,'Standards for Conversions'!$A$34:$A$73,0))))</f>
        <v/>
      </c>
      <c r="GH123" s="10" t="s">
        <v>58</v>
      </c>
      <c r="GI123" s="7"/>
      <c r="GJ123" s="7"/>
      <c r="GK123" s="31" t="str">
        <f>IF(GJ123/(INDEX('Standards for Conversions'!$H$34:$H$73,MATCH(GI$3,'Standards for Conversions'!$A$34:$A$73,0)))=0,"",GJ123/(INDEX('Standards for Conversions'!$H$34:$H$73,MATCH(GI$3,'Standards for Conversions'!$A$34:$A$73,0))))</f>
        <v/>
      </c>
      <c r="GL123" s="10" t="s">
        <v>58</v>
      </c>
      <c r="GM123" s="7"/>
      <c r="GN123" s="7"/>
      <c r="GO123" s="31" t="str">
        <f>IF(GN123/(INDEX('Standards for Conversions'!$H$34:$H$73,MATCH(GM$3,'Standards for Conversions'!$A$34:$A$73,0)))=0,"",GN123/(INDEX('Standards for Conversions'!$H$34:$H$73,MATCH(GM$3,'Standards for Conversions'!$A$34:$A$73,0))))</f>
        <v/>
      </c>
      <c r="GP123" s="10" t="s">
        <v>58</v>
      </c>
      <c r="GQ123" s="7"/>
      <c r="GR123" s="7"/>
      <c r="GS123" s="31" t="str">
        <f>IF(GR123/(INDEX('Standards for Conversions'!$H$34:$H$73,MATCH(GQ$3,'Standards for Conversions'!$A$34:$A$73,0)))=0,"",GR123/(INDEX('Standards for Conversions'!$H$34:$H$73,MATCH(GQ$3,'Standards for Conversions'!$A$34:$A$73,0))))</f>
        <v/>
      </c>
      <c r="GT123" s="10" t="s">
        <v>58</v>
      </c>
      <c r="GU123" s="9"/>
      <c r="GV123" s="9"/>
      <c r="GW123" s="31" t="str">
        <f>IF(GV123/(INDEX('Standards for Conversions'!$H$34:$H$73,MATCH(GU$3,'Standards for Conversions'!$A$34:$A$73,0)))=0,"",GV123/(INDEX('Standards for Conversions'!$H$34:$H$73,MATCH(GU$3,'Standards for Conversions'!$A$34:$A$73,0))))</f>
        <v/>
      </c>
      <c r="GX123" s="10" t="s">
        <v>58</v>
      </c>
      <c r="GY123" s="7"/>
      <c r="GZ123" s="7"/>
      <c r="HA123" s="31" t="str">
        <f>IF(GZ123/(INDEX('Standards for Conversions'!$H$34:$H$73,MATCH(GY$3,'Standards for Conversions'!$A$34:$A$73,0)))=0,"",GZ123/(INDEX('Standards for Conversions'!$H$34:$H$73,MATCH(GY$3,'Standards for Conversions'!$A$34:$A$73,0))))</f>
        <v/>
      </c>
      <c r="HB123" s="10" t="s">
        <v>58</v>
      </c>
      <c r="HC123" s="7"/>
      <c r="HD123" s="7"/>
      <c r="HE123" s="31" t="str">
        <f>IF(HD123/(INDEX('Standards for Conversions'!$H$34:$H$73,MATCH(HC$3,'Standards for Conversions'!$A$34:$A$73,0)))=0,"",HD123/(INDEX('Standards for Conversions'!$H$34:$H$73,MATCH(HC$3,'Standards for Conversions'!$A$34:$A$73,0))))</f>
        <v/>
      </c>
      <c r="HF123" s="10" t="s">
        <v>58</v>
      </c>
      <c r="HG123" s="7"/>
      <c r="HH123" s="7"/>
      <c r="HI123" s="31" t="str">
        <f>IF(HH123/(INDEX('Standards for Conversions'!$H$34:$H$73,MATCH(HG$3,'Standards for Conversions'!$A$34:$A$73,0)))=0,"",HH123/(INDEX('Standards for Conversions'!$H$34:$H$73,MATCH(HG$3,'Standards for Conversions'!$A$34:$A$73,0))))</f>
        <v/>
      </c>
      <c r="HJ123" s="10" t="s">
        <v>58</v>
      </c>
      <c r="HK123" s="9"/>
      <c r="HL123" s="9"/>
      <c r="HM123" s="31" t="str">
        <f>IF(HL123/(INDEX('Standards for Conversions'!$H$34:$H$73,MATCH(HK$3,'Standards for Conversions'!$A$34:$A$73,0)))=0,"",HL123/(INDEX('Standards for Conversions'!$H$34:$H$73,MATCH(HK$3,'Standards for Conversions'!$A$34:$A$73,0))))</f>
        <v/>
      </c>
      <c r="HN123" s="10" t="s">
        <v>58</v>
      </c>
      <c r="HO123" s="7"/>
      <c r="HP123" s="7"/>
      <c r="HQ123" s="31" t="str">
        <f>IF(HP123/(INDEX('Standards for Conversions'!$H$34:$H$73,MATCH(HO$3,'Standards for Conversions'!$A$34:$A$73,0)))=0,"",HP123/(INDEX('Standards for Conversions'!$H$34:$H$73,MATCH(HO$3,'Standards for Conversions'!$A$34:$A$73,0))))</f>
        <v/>
      </c>
      <c r="HR123" s="33" t="s">
        <v>58</v>
      </c>
      <c r="HU123" s="31" t="str">
        <f>IF(HT123/(INDEX('Standards for Conversions'!$H$47:$H$73,MATCH(HS$3,'Standards for Conversions'!$A$47:$A$73,0)))=0,"",HT123/(INDEX('Standards for Conversions'!$H$47:$H$73,MATCH(HS$3,'Standards for Conversions'!$A$47:$A$73,0))))</f>
        <v/>
      </c>
      <c r="HV123" s="33" t="s">
        <v>58</v>
      </c>
      <c r="HW123" s="29">
        <v>60</v>
      </c>
      <c r="HX123" s="29">
        <v>4000</v>
      </c>
      <c r="HY123" s="31">
        <f>IF(HX123/(INDEX('Standards for Conversions'!$H$47:$H$73,MATCH(HW$3,'Standards for Conversions'!$A$47:$A$73,0)))=0,"",HX123/(INDEX('Standards for Conversions'!$H$47:$H$73,MATCH(HW$3,'Standards for Conversions'!$A$47:$A$73,0))))</f>
        <v>580.98164885142387</v>
      </c>
      <c r="HZ123" s="33"/>
      <c r="IA123" s="33"/>
      <c r="IB123" s="31" t="str">
        <f>IF(IA123/(INDEX('Standards for Conversions'!$H$47:$H$73,MATCH(HZ$3,'Standards for Conversions'!$A$47:$A$73,0)))=0,"",IA123/(INDEX('Standards for Conversions'!$H$47:$H$73,MATCH(HZ$3,'Standards for Conversions'!$A$47:$A$73,0))))</f>
        <v/>
      </c>
      <c r="IC123" s="33" t="s">
        <v>58</v>
      </c>
      <c r="IF123" s="31" t="str">
        <f>IF(IE123/(INDEX('Standards for Conversions'!$H$47:$H$73,MATCH(ID$3,'Standards for Conversions'!$A$47:$A$73,0)))=0,"",IE123/(INDEX('Standards for Conversions'!$H$47:$H$73,MATCH(ID$3,'Standards for Conversions'!$A$47:$A$73,0))))</f>
        <v/>
      </c>
      <c r="IG123" s="33" t="s">
        <v>58</v>
      </c>
      <c r="IJ123" s="31" t="str">
        <f>IF(II123/(INDEX('Standards for Conversions'!$H$47:$H$73,MATCH(IH$3,'Standards for Conversions'!$A$47:$A$73,0)))=0,"",II123/(INDEX('Standards for Conversions'!$H$47:$H$73,MATCH(IH$3,'Standards for Conversions'!$A$47:$A$73,0))))</f>
        <v/>
      </c>
      <c r="IK123" s="33" t="s">
        <v>58</v>
      </c>
      <c r="IL123" s="29">
        <v>54</v>
      </c>
      <c r="IM123" s="29">
        <v>2268</v>
      </c>
      <c r="IN123" s="31">
        <f>IF(IM123/(INDEX('Standards for Conversions'!$H$47:$H$73,MATCH(IL$3,'Standards for Conversions'!$A$47:$A$73,0)))=0,"",IM123/(INDEX('Standards for Conversions'!$H$47:$H$73,MATCH(IL$3,'Standards for Conversions'!$A$47:$A$73,0))))</f>
        <v>327.97599754497259</v>
      </c>
      <c r="IO123" s="33" t="s">
        <v>58</v>
      </c>
      <c r="IR123" s="31" t="str">
        <f>IF(IQ123/(INDEX('Standards for Conversions'!$H$47:$H$73,MATCH(IP$3,'Standards for Conversions'!$A$47:$A$73,0)))=0,"",IQ123/(INDEX('Standards for Conversions'!$H$47:$H$73,MATCH(IP$3,'Standards for Conversions'!$A$47:$A$73,0))))</f>
        <v/>
      </c>
      <c r="IS123" s="33" t="s">
        <v>58</v>
      </c>
      <c r="IV123" s="31" t="str">
        <f>IF(IU123/(INDEX('Standards for Conversions'!$H$47:$H$73,MATCH(IT$3,'Standards for Conversions'!$A$47:$A$73,0)))=0,"",IU123/(INDEX('Standards for Conversions'!$H$47:$H$73,MATCH(IT$3,'Standards for Conversions'!$A$47:$A$73,0))))</f>
        <v/>
      </c>
      <c r="IW123" s="33" t="s">
        <v>58</v>
      </c>
      <c r="IZ123" s="31" t="str">
        <f>IF(IY123/(INDEX('Standards for Conversions'!$H$47:$H$73,MATCH(IX$3,'Standards for Conversions'!$A$47:$A$73,0)))=0,"",IY123/(INDEX('Standards for Conversions'!$H$47:$H$73,MATCH(IX$3,'Standards for Conversions'!$A$47:$A$73,0))))</f>
        <v/>
      </c>
      <c r="JA123" s="48" t="s">
        <v>58</v>
      </c>
      <c r="JB123" s="29">
        <v>8</v>
      </c>
      <c r="JC123" s="29">
        <v>1350</v>
      </c>
      <c r="JD123" s="31">
        <f>IF(JC123/(INDEX('Standards for Conversions'!$H$47:$H$73,MATCH(JB$3,'Standards for Conversions'!$A$47:$A$73,0)))=0,"",JC123/(INDEX('Standards for Conversions'!$H$47:$H$73,MATCH(JB$3,'Standards for Conversions'!$A$47:$A$73,0))))</f>
        <v>218.37626553402274</v>
      </c>
      <c r="JE123" s="33"/>
      <c r="JH123" s="31" t="str">
        <f>IF(JG123/(INDEX('Standards for Conversions'!$H$47:$H$73,MATCH(JF$3,'Standards for Conversions'!$A$47:$A$73,0)))=0,"",JG123/(INDEX('Standards for Conversions'!$H$47:$H$73,MATCH(JF$3,'Standards for Conversions'!$A$47:$A$73,0))))</f>
        <v/>
      </c>
      <c r="JI123" s="33"/>
      <c r="JL123" s="31" t="str">
        <f>IF(JK123/(INDEX('Standards for Conversions'!$H$47:$H$73,MATCH(JJ$3,'Standards for Conversions'!$A$47:$A$73,0)))=0,"",JK123/(INDEX('Standards for Conversions'!$H$47:$H$73,MATCH(JJ$3,'Standards for Conversions'!$A$47:$A$73,0))))</f>
        <v/>
      </c>
      <c r="JM123" s="33" t="s">
        <v>58</v>
      </c>
      <c r="JP123" s="31" t="str">
        <f>IF(JO123/(INDEX('Standards for Conversions'!$H$47:$H$73,MATCH(JN$3,'Standards for Conversions'!$A$47:$A$73,0)))=0,"",JO123/(INDEX('Standards for Conversions'!$H$47:$H$73,MATCH(JN$3,'Standards for Conversions'!$A$47:$A$73,0))))</f>
        <v/>
      </c>
      <c r="JQ123" s="33" t="s">
        <v>58</v>
      </c>
      <c r="JR123" s="29">
        <v>40</v>
      </c>
      <c r="JS123" s="29">
        <v>2500</v>
      </c>
      <c r="JT123" s="31">
        <f>IF(JS123/(INDEX('Standards for Conversions'!$H$47:$H$73,MATCH(JR$3,'Standards for Conversions'!$A$47:$A$73,0)))=0,"",JS123/(INDEX('Standards for Conversions'!$H$47:$H$73,MATCH(JR$3,'Standards for Conversions'!$A$47:$A$73,0))))</f>
        <v>381.63973106949391</v>
      </c>
      <c r="JU123" s="33" t="s">
        <v>58</v>
      </c>
      <c r="JX123" s="31" t="str">
        <f>IF(JW123/(INDEX('Standards for Conversions'!$H$47:$H$73,MATCH(JV$3,'Standards for Conversions'!$A$47:$A$73,0)))=0,"",JW123/(INDEX('Standards for Conversions'!$H$47:$H$73,MATCH(JV$3,'Standards for Conversions'!$A$47:$A$73,0))))</f>
        <v/>
      </c>
      <c r="JY123" s="33" t="s">
        <v>58</v>
      </c>
      <c r="KB123" s="31" t="str">
        <f>IF(KA123/(INDEX('Standards for Conversions'!$H$47:$H$73,MATCH(JZ$3,'Standards for Conversions'!$A$47:$A$73,0)))=0,"",KA123/(INDEX('Standards for Conversions'!$H$47:$H$73,MATCH(JZ$3,'Standards for Conversions'!$A$47:$A$73,0))))</f>
        <v/>
      </c>
      <c r="KC123" s="33" t="s">
        <v>58</v>
      </c>
      <c r="KF123" s="31" t="str">
        <f>IF(KE123/(INDEX('Standards for Conversions'!$H$47:$H$73,MATCH(KD$3,'Standards for Conversions'!$A$47:$A$73,0)))=0,"",KE123/(INDEX('Standards for Conversions'!$H$47:$H$73,MATCH(KD$3,'Standards for Conversions'!$A$47:$A$73,0))))</f>
        <v/>
      </c>
      <c r="KG123" s="33" t="s">
        <v>58</v>
      </c>
      <c r="KH123" s="29">
        <v>30</v>
      </c>
      <c r="KI123" s="29">
        <v>2000</v>
      </c>
      <c r="KJ123" s="31">
        <f>IF(KI123/(INDEX('Standards for Conversions'!$H$47:$H$73,MATCH(KH$3,'Standards for Conversions'!$A$47:$A$73,0)))=0,"",KI123/(INDEX('Standards for Conversions'!$H$47:$H$73,MATCH(KH$3,'Standards for Conversions'!$A$47:$A$73,0))))</f>
        <v>269.31802381159292</v>
      </c>
      <c r="KK123" s="33" t="s">
        <v>58</v>
      </c>
      <c r="KN123" s="31" t="str">
        <f>IF(KM123/(INDEX('Standards for Conversions'!$H$47:$H$73,MATCH(KL$3,'Standards for Conversions'!$A$47:$A$73,0)))=0,"",KM123/(INDEX('Standards for Conversions'!$H$47:$H$73,MATCH(KL$3,'Standards for Conversions'!$A$47:$A$73,0))))</f>
        <v/>
      </c>
      <c r="KO123" s="33" t="s">
        <v>58</v>
      </c>
      <c r="KR123" s="31" t="str">
        <f>IF(KQ123/(INDEX('Standards for Conversions'!$H$47:$H$73,MATCH(KP$3,'Standards for Conversions'!$A$47:$A$73,0)))=0,"",KQ123/(INDEX('Standards for Conversions'!$H$47:$H$73,MATCH(KP$3,'Standards for Conversions'!$A$47:$A$73,0))))</f>
        <v/>
      </c>
      <c r="KS123" s="33" t="s">
        <v>58</v>
      </c>
      <c r="KV123" s="31" t="str">
        <f>IF(KU123/(INDEX('Standards for Conversions'!$H$47:$H$73,MATCH(KT$3,'Standards for Conversions'!$A$47:$A$73,0)))=0,"",KU123/(INDEX('Standards for Conversions'!$H$47:$H$73,MATCH(KT$3,'Standards for Conversions'!$A$47:$A$73,0))))</f>
        <v/>
      </c>
      <c r="KW123" s="48" t="s">
        <v>58</v>
      </c>
      <c r="KX123" s="29">
        <v>9</v>
      </c>
      <c r="KY123" s="29">
        <v>700</v>
      </c>
      <c r="KZ123" s="31">
        <f>IF(KY123/(INDEX('Standards for Conversions'!$H$47:$H$73,MATCH(KX$3,'Standards for Conversions'!$A$47:$A$73,0)))=0,"",KY123/(INDEX('Standards for Conversions'!$H$47:$H$73,MATCH(KX$3,'Standards for Conversions'!$A$47:$A$73,0))))</f>
        <v>85.131596709249422</v>
      </c>
      <c r="LD123" s="31" t="str">
        <f>IF(LC123/(INDEX('Standards for Conversions'!$H$47:$H$73,MATCH(LB$3,'Standards for Conversions'!$A$47:$A$73,0)))=0,"",LC123/(INDEX('Standards for Conversions'!$H$47:$H$73,MATCH(LB$3,'Standards for Conversions'!$A$47:$A$73,0))))</f>
        <v/>
      </c>
      <c r="LE123" s="33"/>
      <c r="LH123" s="31" t="str">
        <f>IF(LG123/(INDEX('Standards for Conversions'!$H$47:$H$73,MATCH(LF$3,'Standards for Conversions'!$A$47:$A$73,0)))=0,"",LG123/(INDEX('Standards for Conversions'!$H$47:$H$73,MATCH(LF$3,'Standards for Conversions'!$A$47:$A$73,0))))</f>
        <v/>
      </c>
      <c r="LL123" s="31" t="str">
        <f>IF(LK123/(INDEX('Standards for Conversions'!$H$47:$H$73,MATCH(LJ$3,'Standards for Conversions'!$A$47:$A$73,0)))=0,"",LK123/(INDEX('Standards for Conversions'!$H$47:$H$73,MATCH(LJ$3,'Standards for Conversions'!$A$47:$A$73,0))))</f>
        <v/>
      </c>
      <c r="LO123" s="31" t="str">
        <f>IF(LN123/(INDEX('Standards for Conversions'!$H$47:$H$73,MATCH(LM$3,'Standards for Conversions'!$A$47:$A$73,0)))=0,"",LN123/(INDEX('Standards for Conversions'!$H$47:$H$73,MATCH(LM$3,'Standards for Conversions'!$A$47:$A$73,0))))</f>
        <v/>
      </c>
      <c r="LR123" s="31" t="str">
        <f>IF(LQ123/(INDEX('Standards for Conversions'!$H$47:$H$73,MATCH(LP$3,'Standards for Conversions'!$A$47:$A$73,0)))=0,"",LQ123/(INDEX('Standards for Conversions'!$H$47:$H$73,MATCH(LP$3,'Standards for Conversions'!$A$47:$A$73,0))))</f>
        <v/>
      </c>
      <c r="LV123" s="31" t="str">
        <f>IF(LU123/(INDEX('Standards for Conversions'!$H$47:$H$73,MATCH(LT$3,'Standards for Conversions'!$A$47:$A$73,0)))=0,"",LU123/(INDEX('Standards for Conversions'!$H$47:$H$73,MATCH(LT$3,'Standards for Conversions'!$A$47:$A$73,0))))</f>
        <v/>
      </c>
      <c r="LY123" s="31" t="str">
        <f>IF(LX123/(INDEX('Standards for Conversions'!$H$47:$H$73,MATCH(LW$3,'Standards for Conversions'!$A$47:$A$73,0)))=0,"",LX123/(INDEX('Standards for Conversions'!$H$47:$H$73,MATCH(LW$3,'Standards for Conversions'!$A$47:$A$73,0))))</f>
        <v/>
      </c>
      <c r="MB123" s="31" t="str">
        <f>IF(MA123/(INDEX('Standards for Conversions'!$H$47:$H$73,MATCH(LZ$3,'Standards for Conversions'!$A$47:$A$73,0)))=0,"",MA123/(INDEX('Standards for Conversions'!$H$47:$H$73,MATCH(LZ$3,'Standards for Conversions'!$A$47:$A$73,0))))</f>
        <v/>
      </c>
      <c r="ME123" s="31" t="str">
        <f>IF(MD123/(INDEX('Standards for Conversions'!$H$47:$H$73,MATCH(MC$3,'Standards for Conversions'!$A$47:$A$73,0)))=0,"",MD123/(INDEX('Standards for Conversions'!$H$47:$H$73,MATCH(MC$3,'Standards for Conversions'!$A$47:$A$73,0))))</f>
        <v/>
      </c>
      <c r="MH123" s="31" t="str">
        <f>IF(MG123/(INDEX('Standards for Conversions'!$H$47:$H$73,MATCH(MF$3,'Standards for Conversions'!$A$47:$A$73,0)))=0,"",MG123/(INDEX('Standards for Conversions'!$H$47:$H$73,MATCH(MF$3,'Standards for Conversions'!$A$47:$A$73,0))))</f>
        <v/>
      </c>
      <c r="MK123" s="31" t="str">
        <f>IF(MJ123/(INDEX('Standards for Conversions'!$H$47:$H$73,MATCH(MI$3,'Standards for Conversions'!$A$47:$A$73,0)))=0,"",MJ123/(INDEX('Standards for Conversions'!$H$47:$H$73,MATCH(MI$3,'Standards for Conversions'!$A$47:$A$73,0))))</f>
        <v/>
      </c>
      <c r="MN123" s="31" t="str">
        <f>IF(MM123/(INDEX('Standards for Conversions'!$H$47:$H$73,MATCH(ML$3,'Standards for Conversions'!$A$47:$A$73,0)))=0,"",MM123/(INDEX('Standards for Conversions'!$H$47:$H$73,MATCH(ML$3,'Standards for Conversions'!$A$47:$A$73,0))))</f>
        <v/>
      </c>
      <c r="MR123" s="31" t="str">
        <f>IF(MQ123/(INDEX('Standards for Conversions'!$H$47:$H$73,MATCH(MP$3,'Standards for Conversions'!$A$47:$A$73,0)))=0,"",MQ123/(INDEX('Standards for Conversions'!$H$47:$H$73,MATCH(MP$3,'Standards for Conversions'!$A$47:$A$73,0))))</f>
        <v/>
      </c>
    </row>
    <row r="124" spans="1:356" hidden="1" x14ac:dyDescent="0.3">
      <c r="A124" s="103" t="s">
        <v>289</v>
      </c>
      <c r="B124" s="10" t="s">
        <v>38</v>
      </c>
      <c r="C124" s="7"/>
      <c r="D124" s="7"/>
      <c r="E124" s="31" t="str">
        <f>IF(D124/(INDEX('Standards for Conversions'!$H$34:$H$73,MATCH(C$3,'Standards for Conversions'!$A$34:$A$73,0)))=0,"",D124/(INDEX('Standards for Conversions'!$H$34:$H$73,MATCH(C$3,'Standards for Conversions'!$A$34:$A$73,0))))</f>
        <v/>
      </c>
      <c r="F124" s="10" t="s">
        <v>38</v>
      </c>
      <c r="G124" s="7"/>
      <c r="H124" s="7"/>
      <c r="I124" s="31" t="str">
        <f>IF(H124/(INDEX('Standards for Conversions'!$H$34:$H$73,MATCH(G$3,'Standards for Conversions'!$A$34:$A$73,0)))=0,"",H124/(INDEX('Standards for Conversions'!$H$34:$H$73,MATCH(G$3,'Standards for Conversions'!$A$34:$A$73,0))))</f>
        <v/>
      </c>
      <c r="J124" s="10" t="s">
        <v>38</v>
      </c>
      <c r="K124" s="9"/>
      <c r="L124" s="9"/>
      <c r="M124" s="31" t="str">
        <f>IF(L124/(INDEX('Standards for Conversions'!$H$34:$H$73,MATCH(K$3,'Standards for Conversions'!$A$34:$A$73,0)))=0,"",L124/(INDEX('Standards for Conversions'!$H$34:$H$73,MATCH(K$3,'Standards for Conversions'!$A$34:$A$73,0))))</f>
        <v/>
      </c>
      <c r="N124" s="10" t="s">
        <v>38</v>
      </c>
      <c r="O124" s="7"/>
      <c r="P124" s="7"/>
      <c r="Q124" s="31" t="str">
        <f>IF(P124/(INDEX('Standards for Conversions'!$H$34:$H$73,MATCH(O$3,'Standards for Conversions'!$A$34:$A$73,0)))=0,"",P124/(INDEX('Standards for Conversions'!$H$34:$H$73,MATCH(O$3,'Standards for Conversions'!$A$34:$A$73,0))))</f>
        <v/>
      </c>
      <c r="R124" s="10" t="s">
        <v>38</v>
      </c>
      <c r="S124" s="7"/>
      <c r="T124" s="7"/>
      <c r="U124" s="31" t="str">
        <f>IF(T124/(INDEX('Standards for Conversions'!$H$34:$H$73,MATCH(S$3,'Standards for Conversions'!$A$34:$A$73,0)))=0,"",T124/(INDEX('Standards for Conversions'!$H$34:$H$73,MATCH(S$3,'Standards for Conversions'!$A$34:$A$73,0))))</f>
        <v/>
      </c>
      <c r="V124" s="10" t="s">
        <v>38</v>
      </c>
      <c r="W124" s="7"/>
      <c r="X124" s="7"/>
      <c r="Y124" s="31" t="str">
        <f>IF(X124/(INDEX('Standards for Conversions'!$H$34:$H$73,MATCH(W$3,'Standards for Conversions'!$A$34:$A$73,0)))=0,"",X124/(INDEX('Standards for Conversions'!$H$34:$H$73,MATCH(W$3,'Standards for Conversions'!$A$34:$A$73,0))))</f>
        <v/>
      </c>
      <c r="Z124" s="10" t="s">
        <v>38</v>
      </c>
      <c r="AA124" s="9"/>
      <c r="AB124" s="9"/>
      <c r="AC124" s="31" t="str">
        <f>IF(AB124/(INDEX('Standards for Conversions'!$H$34:$H$73,MATCH(AA$3,'Standards for Conversions'!$A$34:$A$73,0)))=0,"",AB124/(INDEX('Standards for Conversions'!$H$34:$H$73,MATCH(AA$3,'Standards for Conversions'!$A$34:$A$73,0))))</f>
        <v/>
      </c>
      <c r="AD124" s="10" t="s">
        <v>38</v>
      </c>
      <c r="AE124" s="7"/>
      <c r="AF124" s="7"/>
      <c r="AG124" s="31" t="str">
        <f>IF(AF124/(INDEX('Standards for Conversions'!$H$34:$H$73,MATCH(AE$3,'Standards for Conversions'!$A$34:$A$73,0)))=0,"",AF124/(INDEX('Standards for Conversions'!$H$34:$H$73,MATCH(AE$3,'Standards for Conversions'!$A$34:$A$73,0))))</f>
        <v/>
      </c>
      <c r="AH124" s="10" t="s">
        <v>38</v>
      </c>
      <c r="AI124" s="7"/>
      <c r="AJ124" s="7"/>
      <c r="AK124" s="31" t="str">
        <f>IF(AJ124/(INDEX('Standards for Conversions'!$H$34:$H$73,MATCH(AI$3,'Standards for Conversions'!$A$34:$A$73,0)))=0,"",AJ124/(INDEX('Standards for Conversions'!$H$34:$H$73,MATCH(AI$3,'Standards for Conversions'!$A$34:$A$73,0))))</f>
        <v/>
      </c>
      <c r="AL124" s="10" t="s">
        <v>38</v>
      </c>
      <c r="AM124" s="7"/>
      <c r="AN124" s="7"/>
      <c r="AO124" s="31" t="str">
        <f>IF(AN124/(INDEX('Standards for Conversions'!$H$34:$H$73,MATCH(AM$3,'Standards for Conversions'!$A$34:$A$73,0)))=0,"",AN124/(INDEX('Standards for Conversions'!$H$34:$H$73,MATCH(AM$3,'Standards for Conversions'!$A$34:$A$73,0))))</f>
        <v/>
      </c>
      <c r="AP124" s="10" t="s">
        <v>38</v>
      </c>
      <c r="AQ124" s="9"/>
      <c r="AR124" s="9"/>
      <c r="AS124" s="31" t="str">
        <f>IF(AR124/(INDEX('Standards for Conversions'!$H$34:$H$73,MATCH(AQ$3,'Standards for Conversions'!$A$34:$A$73,0)))=0,"",AR124/(INDEX('Standards for Conversions'!$H$34:$H$73,MATCH(AQ$3,'Standards for Conversions'!$A$34:$A$73,0))))</f>
        <v/>
      </c>
      <c r="AT124" s="10" t="s">
        <v>38</v>
      </c>
      <c r="AU124" s="7"/>
      <c r="AV124" s="7"/>
      <c r="AW124" s="31" t="str">
        <f>IF(AV124/(INDEX('Standards for Conversions'!$H$34:$H$73,MATCH(AU$3,'Standards for Conversions'!$A$34:$A$73,0)))=0,"",AV124/(INDEX('Standards for Conversions'!$H$34:$H$73,MATCH(AU$3,'Standards for Conversions'!$A$34:$A$73,0))))</f>
        <v/>
      </c>
      <c r="AX124" s="10" t="s">
        <v>38</v>
      </c>
      <c r="AY124" s="7"/>
      <c r="AZ124" s="7"/>
      <c r="BA124" s="31" t="str">
        <f>IF(AZ124/(INDEX('Standards for Conversions'!$H$34:$H$73,MATCH(AY$3,'Standards for Conversions'!$A$34:$A$73,0)))=0,"",AZ124/(INDEX('Standards for Conversions'!$H$34:$H$73,MATCH(AY$3,'Standards for Conversions'!$A$34:$A$73,0))))</f>
        <v/>
      </c>
      <c r="BB124" s="10" t="s">
        <v>38</v>
      </c>
      <c r="BC124" s="7"/>
      <c r="BD124" s="7"/>
      <c r="BE124" s="31" t="str">
        <f>IF(BD124/(INDEX('Standards for Conversions'!$H$34:$H$73,MATCH(BC$3,'Standards for Conversions'!$A$34:$A$73,0)))=0,"",BD124/(INDEX('Standards for Conversions'!$H$34:$H$73,MATCH(BC$3,'Standards for Conversions'!$A$34:$A$73,0))))</f>
        <v/>
      </c>
      <c r="BF124" s="10" t="s">
        <v>38</v>
      </c>
      <c r="BG124" s="9"/>
      <c r="BH124" s="9"/>
      <c r="BI124" s="31" t="str">
        <f>IF(BH124/(INDEX('Standards for Conversions'!$H$34:$H$73,MATCH(BG$3,'Standards for Conversions'!$A$34:$A$73,0)))=0,"",BH124/(INDEX('Standards for Conversions'!$H$34:$H$73,MATCH(BG$3,'Standards for Conversions'!$A$34:$A$73,0))))</f>
        <v/>
      </c>
      <c r="BJ124" s="10" t="s">
        <v>38</v>
      </c>
      <c r="BK124" s="7"/>
      <c r="BL124" s="7"/>
      <c r="BM124" s="31" t="str">
        <f>IF(BL124/(INDEX('Standards for Conversions'!$H$34:$H$73,MATCH(BK$3,'Standards for Conversions'!$A$34:$A$73,0)))=0,"",BL124/(INDEX('Standards for Conversions'!$H$34:$H$73,MATCH(BK$3,'Standards for Conversions'!$A$34:$A$73,0))))</f>
        <v/>
      </c>
      <c r="BN124" s="10" t="s">
        <v>38</v>
      </c>
      <c r="BO124" s="7"/>
      <c r="BP124" s="7"/>
      <c r="BQ124" s="31" t="str">
        <f>IF(BP124/(INDEX('Standards for Conversions'!$H$34:$H$73,MATCH(BO$3,'Standards for Conversions'!$A$34:$A$73,0)))=0,"",BP124/(INDEX('Standards for Conversions'!$H$34:$H$73,MATCH(BO$3,'Standards for Conversions'!$A$34:$A$73,0))))</f>
        <v/>
      </c>
      <c r="BR124" s="10" t="s">
        <v>38</v>
      </c>
      <c r="BS124" s="7"/>
      <c r="BT124" s="7"/>
      <c r="BU124" s="31" t="str">
        <f>IF(BT124/(INDEX('Standards for Conversions'!$H$34:$H$73,MATCH(BS$3,'Standards for Conversions'!$A$34:$A$73,0)))=0,"",BT124/(INDEX('Standards for Conversions'!$H$34:$H$73,MATCH(BS$3,'Standards for Conversions'!$A$34:$A$73,0))))</f>
        <v/>
      </c>
      <c r="BV124" s="10" t="s">
        <v>38</v>
      </c>
      <c r="BW124" s="9"/>
      <c r="BX124" s="9"/>
      <c r="BY124" s="31" t="str">
        <f>IF(BX124/(INDEX('Standards for Conversions'!$H$34:$H$73,MATCH(BW$3,'Standards for Conversions'!$A$34:$A$73,0)))=0,"",BX124/(INDEX('Standards for Conversions'!$H$34:$H$73,MATCH(BW$3,'Standards for Conversions'!$A$34:$A$73,0))))</f>
        <v/>
      </c>
      <c r="BZ124" s="10" t="s">
        <v>38</v>
      </c>
      <c r="CA124" s="7"/>
      <c r="CB124" s="7"/>
      <c r="CC124" s="31" t="str">
        <f>IF(CB124/(INDEX('Standards for Conversions'!$H$34:$H$73,MATCH(CA$3,'Standards for Conversions'!$A$34:$A$73,0)))=0,"",CB124/(INDEX('Standards for Conversions'!$H$34:$H$73,MATCH(CA$3,'Standards for Conversions'!$A$34:$A$73,0))))</f>
        <v/>
      </c>
      <c r="CD124" s="10" t="s">
        <v>38</v>
      </c>
      <c r="CE124" s="7"/>
      <c r="CF124" s="7"/>
      <c r="CG124" s="31" t="str">
        <f>IF(CF124/(INDEX('Standards for Conversions'!$H$34:$H$73,MATCH(CE$3,'Standards for Conversions'!$A$34:$A$73,0)))=0,"",CF124/(INDEX('Standards for Conversions'!$H$34:$H$73,MATCH(CE$3,'Standards for Conversions'!$A$34:$A$73,0))))</f>
        <v/>
      </c>
      <c r="CH124" s="10" t="s">
        <v>38</v>
      </c>
      <c r="CI124" s="7"/>
      <c r="CJ124" s="7"/>
      <c r="CK124" s="31" t="str">
        <f>IF(CJ124/(INDEX('Standards for Conversions'!$H$34:$H$73,MATCH(CI$3,'Standards for Conversions'!$A$34:$A$73,0)))=0,"",CJ124/(INDEX('Standards for Conversions'!$H$34:$H$73,MATCH(CI$3,'Standards for Conversions'!$A$34:$A$73,0))))</f>
        <v/>
      </c>
      <c r="CL124" s="10" t="s">
        <v>38</v>
      </c>
      <c r="CM124" s="9"/>
      <c r="CN124" s="9"/>
      <c r="CO124" s="31" t="str">
        <f>IF(CN124/(INDEX('Standards for Conversions'!$H$34:$H$73,MATCH(CM$3,'Standards for Conversions'!$A$34:$A$73,0)))=0,"",CN124/(INDEX('Standards for Conversions'!$H$34:$H$73,MATCH(CM$3,'Standards for Conversions'!$A$34:$A$73,0))))</f>
        <v/>
      </c>
      <c r="CP124" s="10" t="s">
        <v>38</v>
      </c>
      <c r="CQ124" s="7"/>
      <c r="CR124" s="7"/>
      <c r="CS124" s="31" t="str">
        <f>IF(CR124/(INDEX('Standards for Conversions'!$H$34:$H$73,MATCH(CQ$3,'Standards for Conversions'!$A$34:$A$73,0)))=0,"",CR124/(INDEX('Standards for Conversions'!$H$34:$H$73,MATCH(CQ$3,'Standards for Conversions'!$A$34:$A$73,0))))</f>
        <v/>
      </c>
      <c r="CT124" s="10" t="s">
        <v>38</v>
      </c>
      <c r="CU124" s="7"/>
      <c r="CV124" s="7"/>
      <c r="CW124" s="31" t="str">
        <f>IF(CV124/(INDEX('Standards for Conversions'!$H$34:$H$73,MATCH(CU$3,'Standards for Conversions'!$A$34:$A$73,0)))=0,"",CV124/(INDEX('Standards for Conversions'!$H$34:$H$73,MATCH(CU$3,'Standards for Conversions'!$A$34:$A$73,0))))</f>
        <v/>
      </c>
      <c r="CX124" s="10" t="s">
        <v>38</v>
      </c>
      <c r="CY124" s="7"/>
      <c r="CZ124" s="7"/>
      <c r="DA124" s="31" t="str">
        <f>IF(CZ124/(INDEX('Standards for Conversions'!$H$34:$H$73,MATCH(CY$3,'Standards for Conversions'!$A$34:$A$73,0)))=0,"",CZ124/(INDEX('Standards for Conversions'!$H$34:$H$73,MATCH(CY$3,'Standards for Conversions'!$A$34:$A$73,0))))</f>
        <v/>
      </c>
      <c r="DB124" s="10" t="s">
        <v>38</v>
      </c>
      <c r="DC124" s="9"/>
      <c r="DD124" s="9"/>
      <c r="DE124" s="31" t="str">
        <f>IF(DD124/(INDEX('Standards for Conversions'!$H$34:$H$73,MATCH(DC$3,'Standards for Conversions'!$A$34:$A$73,0)))=0,"",DD124/(INDEX('Standards for Conversions'!$H$34:$H$73,MATCH(DC$3,'Standards for Conversions'!$A$34:$A$73,0))))</f>
        <v/>
      </c>
      <c r="DF124" s="10" t="s">
        <v>38</v>
      </c>
      <c r="DG124" s="7"/>
      <c r="DH124" s="7"/>
      <c r="DI124" s="31" t="str">
        <f>IF(DH124/(INDEX('Standards for Conversions'!$H$34:$H$73,MATCH(DG$3,'Standards for Conversions'!$A$34:$A$73,0)))=0,"",DH124/(INDEX('Standards for Conversions'!$H$34:$H$73,MATCH(DG$3,'Standards for Conversions'!$A$34:$A$73,0))))</f>
        <v/>
      </c>
      <c r="DJ124" s="10" t="s">
        <v>38</v>
      </c>
      <c r="DK124" s="7"/>
      <c r="DL124" s="7"/>
      <c r="DM124" s="31" t="str">
        <f>IF(DL124/(INDEX('Standards for Conversions'!$H$34:$H$73,MATCH(DK$3,'Standards for Conversions'!$A$34:$A$73,0)))=0,"",DL124/(INDEX('Standards for Conversions'!$H$34:$H$73,MATCH(DK$3,'Standards for Conversions'!$A$34:$A$73,0))))</f>
        <v/>
      </c>
      <c r="DN124" s="10" t="s">
        <v>38</v>
      </c>
      <c r="DO124" s="7"/>
      <c r="DP124" s="7"/>
      <c r="DQ124" s="31" t="str">
        <f>IF(DP124/(INDEX('Standards for Conversions'!$H$34:$H$73,MATCH(DO$3,'Standards for Conversions'!$A$34:$A$73,0)))=0,"",DP124/(INDEX('Standards for Conversions'!$H$34:$H$73,MATCH(DO$3,'Standards for Conversions'!$A$34:$A$73,0))))</f>
        <v/>
      </c>
      <c r="DR124" s="10" t="s">
        <v>38</v>
      </c>
      <c r="DS124" s="9"/>
      <c r="DT124" s="9"/>
      <c r="DU124" s="31" t="str">
        <f>IF(DT124/(INDEX('Standards for Conversions'!$H$34:$H$73,MATCH(DS$3,'Standards for Conversions'!$A$34:$A$73,0)))=0,"",DT124/(INDEX('Standards for Conversions'!$H$34:$H$73,MATCH(DS$3,'Standards for Conversions'!$A$34:$A$73,0))))</f>
        <v/>
      </c>
      <c r="DV124" s="10" t="s">
        <v>38</v>
      </c>
      <c r="DW124" s="7"/>
      <c r="DX124" s="7"/>
      <c r="DY124" s="31" t="str">
        <f>IF(DX124/(INDEX('Standards for Conversions'!$H$34:$H$73,MATCH(DW$3,'Standards for Conversions'!$A$34:$A$73,0)))=0,"",DX124/(INDEX('Standards for Conversions'!$H$34:$H$73,MATCH(DW$3,'Standards for Conversions'!$A$34:$A$73,0))))</f>
        <v/>
      </c>
      <c r="DZ124" s="10" t="s">
        <v>38</v>
      </c>
      <c r="EA124" s="7"/>
      <c r="EB124" s="7"/>
      <c r="EC124" s="31" t="str">
        <f>IF(EB124/(INDEX('Standards for Conversions'!$H$34:$H$73,MATCH(EA$3,'Standards for Conversions'!$A$34:$A$73,0)))=0,"",EB124/(INDEX('Standards for Conversions'!$H$34:$H$73,MATCH(EA$3,'Standards for Conversions'!$A$34:$A$73,0))))</f>
        <v/>
      </c>
      <c r="ED124" s="10" t="s">
        <v>38</v>
      </c>
      <c r="EE124" s="7"/>
      <c r="EF124" s="7"/>
      <c r="EG124" s="31" t="str">
        <f>IF(EF124/(INDEX('Standards for Conversions'!$H$34:$H$73,MATCH(EE$3,'Standards for Conversions'!$A$34:$A$73,0)))=0,"",EF124/(INDEX('Standards for Conversions'!$H$34:$H$73,MATCH(EE$3,'Standards for Conversions'!$A$34:$A$73,0))))</f>
        <v/>
      </c>
      <c r="EH124" s="10" t="s">
        <v>38</v>
      </c>
      <c r="EI124" s="9"/>
      <c r="EJ124" s="9"/>
      <c r="EK124" s="31" t="str">
        <f>IF(EJ124/(INDEX('Standards for Conversions'!$H$34:$H$73,MATCH(EI$3,'Standards for Conversions'!$A$34:$A$73,0)))=0,"",EJ124/(INDEX('Standards for Conversions'!$H$34:$H$73,MATCH(EI$3,'Standards for Conversions'!$A$34:$A$73,0))))</f>
        <v/>
      </c>
      <c r="EL124" s="10" t="s">
        <v>38</v>
      </c>
      <c r="EM124" s="7"/>
      <c r="EN124" s="7"/>
      <c r="EO124" s="31" t="str">
        <f>IF(EN124/(INDEX('Standards for Conversions'!$H$34:$H$73,MATCH(EM$3,'Standards for Conversions'!$A$34:$A$73,0)))=0,"",EN124/(INDEX('Standards for Conversions'!$H$34:$H$73,MATCH(EM$3,'Standards for Conversions'!$A$34:$A$73,0))))</f>
        <v/>
      </c>
      <c r="EP124" s="10" t="s">
        <v>38</v>
      </c>
      <c r="EQ124" s="7"/>
      <c r="ER124" s="7"/>
      <c r="ES124" s="31" t="str">
        <f>IF(ER124/(INDEX('Standards for Conversions'!$H$34:$H$73,MATCH(EQ$3,'Standards for Conversions'!$A$34:$A$73,0)))=0,"",ER124/(INDEX('Standards for Conversions'!$H$34:$H$73,MATCH(EQ$3,'Standards for Conversions'!$A$34:$A$73,0))))</f>
        <v/>
      </c>
      <c r="ET124" s="10" t="s">
        <v>38</v>
      </c>
      <c r="EU124" s="7"/>
      <c r="EV124" s="7"/>
      <c r="EW124" s="31" t="str">
        <f>IF(EV124/(INDEX('Standards for Conversions'!$H$34:$H$73,MATCH(EU$3,'Standards for Conversions'!$A$34:$A$73,0)))=0,"",EV124/(INDEX('Standards for Conversions'!$H$34:$H$73,MATCH(EU$3,'Standards for Conversions'!$A$34:$A$73,0))))</f>
        <v/>
      </c>
      <c r="EX124" s="10" t="s">
        <v>38</v>
      </c>
      <c r="EY124" s="9"/>
      <c r="EZ124" s="9"/>
      <c r="FA124" s="31" t="str">
        <f>IF(EZ124/(INDEX('Standards for Conversions'!$H$34:$H$73,MATCH(EY$3,'Standards for Conversions'!$A$34:$A$73,0)))=0,"",EZ124/(INDEX('Standards for Conversions'!$H$34:$H$73,MATCH(EY$3,'Standards for Conversions'!$A$34:$A$73,0))))</f>
        <v/>
      </c>
      <c r="FB124" s="10" t="s">
        <v>38</v>
      </c>
      <c r="FC124" s="7"/>
      <c r="FD124" s="7"/>
      <c r="FE124" s="31" t="str">
        <f>IF(FD124/(INDEX('Standards for Conversions'!$H$34:$H$73,MATCH(FC$3,'Standards for Conversions'!$A$34:$A$73,0)))=0,"",FD124/(INDEX('Standards for Conversions'!$H$34:$H$73,MATCH(FC$3,'Standards for Conversions'!$A$34:$A$73,0))))</f>
        <v/>
      </c>
      <c r="FF124" s="10" t="s">
        <v>38</v>
      </c>
      <c r="FG124" s="7"/>
      <c r="FH124" s="7"/>
      <c r="FI124" s="31" t="str">
        <f>IF(FH124/(INDEX('Standards for Conversions'!$H$34:$H$73,MATCH(FG$3,'Standards for Conversions'!$A$34:$A$73,0)))=0,"",FH124/(INDEX('Standards for Conversions'!$H$34:$H$73,MATCH(FG$3,'Standards for Conversions'!$A$34:$A$73,0))))</f>
        <v/>
      </c>
      <c r="FJ124" s="10" t="s">
        <v>38</v>
      </c>
      <c r="FK124" s="7"/>
      <c r="FL124" s="7"/>
      <c r="FM124" s="31" t="str">
        <f>IF(FL124/(INDEX('Standards for Conversions'!$H$34:$H$73,MATCH(FK$3,'Standards for Conversions'!$A$34:$A$73,0)))=0,"",FL124/(INDEX('Standards for Conversions'!$H$34:$H$73,MATCH(FK$3,'Standards for Conversions'!$A$34:$A$73,0))))</f>
        <v/>
      </c>
      <c r="FN124" s="10" t="s">
        <v>38</v>
      </c>
      <c r="FO124" s="9"/>
      <c r="FP124" s="9"/>
      <c r="FQ124" s="31" t="str">
        <f>IF(FP124/(INDEX('Standards for Conversions'!$H$34:$H$73,MATCH(FO$3,'Standards for Conversions'!$A$34:$A$73,0)))=0,"",FP124/(INDEX('Standards for Conversions'!$H$34:$H$73,MATCH(FO$3,'Standards for Conversions'!$A$34:$A$73,0))))</f>
        <v/>
      </c>
      <c r="FR124" s="10" t="s">
        <v>38</v>
      </c>
      <c r="FS124" s="7"/>
      <c r="FT124" s="7"/>
      <c r="FU124" s="31" t="str">
        <f>IF(FT124/(INDEX('Standards for Conversions'!$H$34:$H$73,MATCH(FS$3,'Standards for Conversions'!$A$34:$A$73,0)))=0,"",FT124/(INDEX('Standards for Conversions'!$H$34:$H$73,MATCH(FS$3,'Standards for Conversions'!$A$34:$A$73,0))))</f>
        <v/>
      </c>
      <c r="FV124" s="10" t="s">
        <v>38</v>
      </c>
      <c r="FW124" s="7"/>
      <c r="FX124" s="7"/>
      <c r="FY124" s="31" t="str">
        <f>IF(FX124/(INDEX('Standards for Conversions'!$H$34:$H$73,MATCH(FW$3,'Standards for Conversions'!$A$34:$A$73,0)))=0,"",FX124/(INDEX('Standards for Conversions'!$H$34:$H$73,MATCH(FW$3,'Standards for Conversions'!$A$34:$A$73,0))))</f>
        <v/>
      </c>
      <c r="FZ124" s="10" t="s">
        <v>38</v>
      </c>
      <c r="GA124" s="7"/>
      <c r="GB124" s="7"/>
      <c r="GC124" s="31" t="str">
        <f>IF(GB124/(INDEX('Standards for Conversions'!$H$34:$H$73,MATCH(GA$3,'Standards for Conversions'!$A$34:$A$73,0)))=0,"",GB124/(INDEX('Standards for Conversions'!$H$34:$H$73,MATCH(GA$3,'Standards for Conversions'!$A$34:$A$73,0))))</f>
        <v/>
      </c>
      <c r="GD124" s="10" t="s">
        <v>38</v>
      </c>
      <c r="GE124" s="9"/>
      <c r="GF124" s="9"/>
      <c r="GG124" s="31" t="str">
        <f>IF(GF124/(INDEX('Standards for Conversions'!$H$34:$H$73,MATCH(GE$3,'Standards for Conversions'!$A$34:$A$73,0)))=0,"",GF124/(INDEX('Standards for Conversions'!$H$34:$H$73,MATCH(GE$3,'Standards for Conversions'!$A$34:$A$73,0))))</f>
        <v/>
      </c>
      <c r="GH124" s="10" t="s">
        <v>38</v>
      </c>
      <c r="GI124" s="7"/>
      <c r="GJ124" s="7"/>
      <c r="GK124" s="31" t="str">
        <f>IF(GJ124/(INDEX('Standards for Conversions'!$H$34:$H$73,MATCH(GI$3,'Standards for Conversions'!$A$34:$A$73,0)))=0,"",GJ124/(INDEX('Standards for Conversions'!$H$34:$H$73,MATCH(GI$3,'Standards for Conversions'!$A$34:$A$73,0))))</f>
        <v/>
      </c>
      <c r="GL124" s="10" t="s">
        <v>38</v>
      </c>
      <c r="GM124" s="7"/>
      <c r="GN124" s="7"/>
      <c r="GO124" s="31" t="str">
        <f>IF(GN124/(INDEX('Standards for Conversions'!$H$34:$H$73,MATCH(GM$3,'Standards for Conversions'!$A$34:$A$73,0)))=0,"",GN124/(INDEX('Standards for Conversions'!$H$34:$H$73,MATCH(GM$3,'Standards for Conversions'!$A$34:$A$73,0))))</f>
        <v/>
      </c>
      <c r="GP124" s="10" t="s">
        <v>38</v>
      </c>
      <c r="GQ124" s="7"/>
      <c r="GR124" s="7"/>
      <c r="GS124" s="31" t="str">
        <f>IF(GR124/(INDEX('Standards for Conversions'!$H$34:$H$73,MATCH(GQ$3,'Standards for Conversions'!$A$34:$A$73,0)))=0,"",GR124/(INDEX('Standards for Conversions'!$H$34:$H$73,MATCH(GQ$3,'Standards for Conversions'!$A$34:$A$73,0))))</f>
        <v/>
      </c>
      <c r="GT124" s="10" t="s">
        <v>38</v>
      </c>
      <c r="GU124" s="9"/>
      <c r="GV124" s="9"/>
      <c r="GW124" s="31" t="str">
        <f>IF(GV124/(INDEX('Standards for Conversions'!$H$34:$H$73,MATCH(GU$3,'Standards for Conversions'!$A$34:$A$73,0)))=0,"",GV124/(INDEX('Standards for Conversions'!$H$34:$H$73,MATCH(GU$3,'Standards for Conversions'!$A$34:$A$73,0))))</f>
        <v/>
      </c>
      <c r="GX124" s="10" t="s">
        <v>38</v>
      </c>
      <c r="GY124" s="7"/>
      <c r="GZ124" s="7"/>
      <c r="HA124" s="31" t="str">
        <f>IF(GZ124/(INDEX('Standards for Conversions'!$H$34:$H$73,MATCH(GY$3,'Standards for Conversions'!$A$34:$A$73,0)))=0,"",GZ124/(INDEX('Standards for Conversions'!$H$34:$H$73,MATCH(GY$3,'Standards for Conversions'!$A$34:$A$73,0))))</f>
        <v/>
      </c>
      <c r="HB124" s="10" t="s">
        <v>38</v>
      </c>
      <c r="HC124" s="7"/>
      <c r="HD124" s="7"/>
      <c r="HE124" s="31" t="str">
        <f>IF(HD124/(INDEX('Standards for Conversions'!$H$34:$H$73,MATCH(HC$3,'Standards for Conversions'!$A$34:$A$73,0)))=0,"",HD124/(INDEX('Standards for Conversions'!$H$34:$H$73,MATCH(HC$3,'Standards for Conversions'!$A$34:$A$73,0))))</f>
        <v/>
      </c>
      <c r="HF124" s="10" t="s">
        <v>38</v>
      </c>
      <c r="HG124" s="7"/>
      <c r="HH124" s="7"/>
      <c r="HI124" s="31" t="str">
        <f>IF(HH124/(INDEX('Standards for Conversions'!$H$34:$H$73,MATCH(HG$3,'Standards for Conversions'!$A$34:$A$73,0)))=0,"",HH124/(INDEX('Standards for Conversions'!$H$34:$H$73,MATCH(HG$3,'Standards for Conversions'!$A$34:$A$73,0))))</f>
        <v/>
      </c>
      <c r="HJ124" s="10" t="s">
        <v>38</v>
      </c>
      <c r="HK124" s="9"/>
      <c r="HL124" s="9"/>
      <c r="HM124" s="31" t="str">
        <f>IF(HL124/(INDEX('Standards for Conversions'!$H$34:$H$73,MATCH(HK$3,'Standards for Conversions'!$A$34:$A$73,0)))=0,"",HL124/(INDEX('Standards for Conversions'!$H$34:$H$73,MATCH(HK$3,'Standards for Conversions'!$A$34:$A$73,0))))</f>
        <v/>
      </c>
      <c r="HN124" s="10" t="s">
        <v>38</v>
      </c>
      <c r="HO124" s="7"/>
      <c r="HP124" s="7"/>
      <c r="HQ124" s="31" t="str">
        <f>IF(HP124/(INDEX('Standards for Conversions'!$H$34:$H$73,MATCH(HO$3,'Standards for Conversions'!$A$34:$A$73,0)))=0,"",HP124/(INDEX('Standards for Conversions'!$H$34:$H$73,MATCH(HO$3,'Standards for Conversions'!$A$34:$A$73,0))))</f>
        <v/>
      </c>
      <c r="HR124" s="33" t="s">
        <v>38</v>
      </c>
      <c r="HU124" s="31" t="str">
        <f>IF(HT124/(INDEX('Standards for Conversions'!$H$47:$H$73,MATCH(HS$3,'Standards for Conversions'!$A$47:$A$73,0)))=0,"",HT124/(INDEX('Standards for Conversions'!$H$47:$H$73,MATCH(HS$3,'Standards for Conversions'!$A$47:$A$73,0))))</f>
        <v/>
      </c>
      <c r="HV124" s="33" t="s">
        <v>38</v>
      </c>
      <c r="HY124" s="31" t="str">
        <f>IF(HX124/(INDEX('Standards for Conversions'!$H$47:$H$73,MATCH(HW$3,'Standards for Conversions'!$A$47:$A$73,0)))=0,"",HX124/(INDEX('Standards for Conversions'!$H$47:$H$73,MATCH(HW$3,'Standards for Conversions'!$A$47:$A$73,0))))</f>
        <v/>
      </c>
      <c r="HZ124" s="33"/>
      <c r="IA124" s="33"/>
      <c r="IB124" s="31" t="str">
        <f>IF(IA124/(INDEX('Standards for Conversions'!$H$47:$H$73,MATCH(HZ$3,'Standards for Conversions'!$A$47:$A$73,0)))=0,"",IA124/(INDEX('Standards for Conversions'!$H$47:$H$73,MATCH(HZ$3,'Standards for Conversions'!$A$47:$A$73,0))))</f>
        <v/>
      </c>
      <c r="IC124" s="33" t="s">
        <v>38</v>
      </c>
      <c r="IF124" s="31" t="str">
        <f>IF(IE124/(INDEX('Standards for Conversions'!$H$47:$H$73,MATCH(ID$3,'Standards for Conversions'!$A$47:$A$73,0)))=0,"",IE124/(INDEX('Standards for Conversions'!$H$47:$H$73,MATCH(ID$3,'Standards for Conversions'!$A$47:$A$73,0))))</f>
        <v/>
      </c>
      <c r="IG124" s="33" t="s">
        <v>38</v>
      </c>
      <c r="IJ124" s="31" t="str">
        <f>IF(II124/(INDEX('Standards for Conversions'!$H$47:$H$73,MATCH(IH$3,'Standards for Conversions'!$A$47:$A$73,0)))=0,"",II124/(INDEX('Standards for Conversions'!$H$47:$H$73,MATCH(IH$3,'Standards for Conversions'!$A$47:$A$73,0))))</f>
        <v/>
      </c>
      <c r="IK124" s="33" t="s">
        <v>38</v>
      </c>
      <c r="IL124" s="29">
        <v>527</v>
      </c>
      <c r="IM124" s="29">
        <v>7623</v>
      </c>
      <c r="IN124" s="31">
        <f>IF(IM124/(INDEX('Standards for Conversions'!$H$47:$H$73,MATCH(IL$3,'Standards for Conversions'!$A$47:$A$73,0)))=0,"",IM124/(INDEX('Standards for Conversions'!$H$47:$H$73,MATCH(IL$3,'Standards for Conversions'!$A$47:$A$73,0))))</f>
        <v>1102.363769526158</v>
      </c>
      <c r="IO124" s="33" t="s">
        <v>38</v>
      </c>
      <c r="IR124" s="31" t="str">
        <f>IF(IQ124/(INDEX('Standards for Conversions'!$H$47:$H$73,MATCH(IP$3,'Standards for Conversions'!$A$47:$A$73,0)))=0,"",IQ124/(INDEX('Standards for Conversions'!$H$47:$H$73,MATCH(IP$3,'Standards for Conversions'!$A$47:$A$73,0))))</f>
        <v/>
      </c>
      <c r="IS124" s="33" t="s">
        <v>38</v>
      </c>
      <c r="IV124" s="31" t="str">
        <f>IF(IU124/(INDEX('Standards for Conversions'!$H$47:$H$73,MATCH(IT$3,'Standards for Conversions'!$A$47:$A$73,0)))=0,"",IU124/(INDEX('Standards for Conversions'!$H$47:$H$73,MATCH(IT$3,'Standards for Conversions'!$A$47:$A$73,0))))</f>
        <v/>
      </c>
      <c r="IW124" s="33" t="s">
        <v>38</v>
      </c>
      <c r="IZ124" s="31" t="str">
        <f>IF(IY124/(INDEX('Standards for Conversions'!$H$47:$H$73,MATCH(IX$3,'Standards for Conversions'!$A$47:$A$73,0)))=0,"",IY124/(INDEX('Standards for Conversions'!$H$47:$H$73,MATCH(IX$3,'Standards for Conversions'!$A$47:$A$73,0))))</f>
        <v/>
      </c>
      <c r="JA124" s="48" t="s">
        <v>38</v>
      </c>
      <c r="JB124" s="29">
        <v>110</v>
      </c>
      <c r="JC124" s="29">
        <v>900</v>
      </c>
      <c r="JD124" s="31">
        <f>IF(JC124/(INDEX('Standards for Conversions'!$H$47:$H$73,MATCH(JB$3,'Standards for Conversions'!$A$47:$A$73,0)))=0,"",JC124/(INDEX('Standards for Conversions'!$H$47:$H$73,MATCH(JB$3,'Standards for Conversions'!$A$47:$A$73,0))))</f>
        <v>145.58417702268181</v>
      </c>
      <c r="JE124" s="33"/>
      <c r="JH124" s="31" t="str">
        <f>IF(JG124/(INDEX('Standards for Conversions'!$H$47:$H$73,MATCH(JF$3,'Standards for Conversions'!$A$47:$A$73,0)))=0,"",JG124/(INDEX('Standards for Conversions'!$H$47:$H$73,MATCH(JF$3,'Standards for Conversions'!$A$47:$A$73,0))))</f>
        <v/>
      </c>
      <c r="JI124" s="33"/>
      <c r="JL124" s="31" t="str">
        <f>IF(JK124/(INDEX('Standards for Conversions'!$H$47:$H$73,MATCH(JJ$3,'Standards for Conversions'!$A$47:$A$73,0)))=0,"",JK124/(INDEX('Standards for Conversions'!$H$47:$H$73,MATCH(JJ$3,'Standards for Conversions'!$A$47:$A$73,0))))</f>
        <v/>
      </c>
      <c r="JM124" s="33" t="s">
        <v>38</v>
      </c>
      <c r="JP124" s="31" t="str">
        <f>IF(JO124/(INDEX('Standards for Conversions'!$H$47:$H$73,MATCH(JN$3,'Standards for Conversions'!$A$47:$A$73,0)))=0,"",JO124/(INDEX('Standards for Conversions'!$H$47:$H$73,MATCH(JN$3,'Standards for Conversions'!$A$47:$A$73,0))))</f>
        <v/>
      </c>
      <c r="JQ124" s="33" t="s">
        <v>38</v>
      </c>
      <c r="JR124" s="29">
        <v>300</v>
      </c>
      <c r="JS124" s="29">
        <v>1200</v>
      </c>
      <c r="JT124" s="31">
        <f>IF(JS124/(INDEX('Standards for Conversions'!$H$47:$H$73,MATCH(JR$3,'Standards for Conversions'!$A$47:$A$73,0)))=0,"",JS124/(INDEX('Standards for Conversions'!$H$47:$H$73,MATCH(JR$3,'Standards for Conversions'!$A$47:$A$73,0))))</f>
        <v>183.18707091335708</v>
      </c>
      <c r="JU124" s="33" t="s">
        <v>38</v>
      </c>
      <c r="JX124" s="31" t="str">
        <f>IF(JW124/(INDEX('Standards for Conversions'!$H$47:$H$73,MATCH(JV$3,'Standards for Conversions'!$A$47:$A$73,0)))=0,"",JW124/(INDEX('Standards for Conversions'!$H$47:$H$73,MATCH(JV$3,'Standards for Conversions'!$A$47:$A$73,0))))</f>
        <v/>
      </c>
      <c r="JY124" s="33" t="s">
        <v>38</v>
      </c>
      <c r="KB124" s="31" t="str">
        <f>IF(KA124/(INDEX('Standards for Conversions'!$H$47:$H$73,MATCH(JZ$3,'Standards for Conversions'!$A$47:$A$73,0)))=0,"",KA124/(INDEX('Standards for Conversions'!$H$47:$H$73,MATCH(JZ$3,'Standards for Conversions'!$A$47:$A$73,0))))</f>
        <v/>
      </c>
      <c r="KC124" s="33" t="s">
        <v>38</v>
      </c>
      <c r="KF124" s="31" t="str">
        <f>IF(KE124/(INDEX('Standards for Conversions'!$H$47:$H$73,MATCH(KD$3,'Standards for Conversions'!$A$47:$A$73,0)))=0,"",KE124/(INDEX('Standards for Conversions'!$H$47:$H$73,MATCH(KD$3,'Standards for Conversions'!$A$47:$A$73,0))))</f>
        <v/>
      </c>
      <c r="KG124" s="48" t="s">
        <v>38</v>
      </c>
      <c r="KH124" s="29">
        <v>200</v>
      </c>
      <c r="KI124" s="29">
        <v>1000</v>
      </c>
      <c r="KJ124" s="31">
        <f>IF(KI124/(INDEX('Standards for Conversions'!$H$47:$H$73,MATCH(KH$3,'Standards for Conversions'!$A$47:$A$73,0)))=0,"",KI124/(INDEX('Standards for Conversions'!$H$47:$H$73,MATCH(KH$3,'Standards for Conversions'!$A$47:$A$73,0))))</f>
        <v>134.65901190579646</v>
      </c>
      <c r="KK124" s="33" t="s">
        <v>45</v>
      </c>
      <c r="KN124" s="31" t="str">
        <f>IF(KM124/(INDEX('Standards for Conversions'!$H$47:$H$73,MATCH(KL$3,'Standards for Conversions'!$A$47:$A$73,0)))=0,"",KM124/(INDEX('Standards for Conversions'!$H$47:$H$73,MATCH(KL$3,'Standards for Conversions'!$A$47:$A$73,0))))</f>
        <v/>
      </c>
      <c r="KO124" s="33" t="s">
        <v>45</v>
      </c>
      <c r="KR124" s="31" t="str">
        <f>IF(KQ124/(INDEX('Standards for Conversions'!$H$47:$H$73,MATCH(KP$3,'Standards for Conversions'!$A$47:$A$73,0)))=0,"",KQ124/(INDEX('Standards for Conversions'!$H$47:$H$73,MATCH(KP$3,'Standards for Conversions'!$A$47:$A$73,0))))</f>
        <v/>
      </c>
      <c r="KS124" s="33" t="s">
        <v>45</v>
      </c>
      <c r="KV124" s="31" t="str">
        <f>IF(KU124/(INDEX('Standards for Conversions'!$H$47:$H$73,MATCH(KT$3,'Standards for Conversions'!$A$47:$A$73,0)))=0,"",KU124/(INDEX('Standards for Conversions'!$H$47:$H$73,MATCH(KT$3,'Standards for Conversions'!$A$47:$A$73,0))))</f>
        <v/>
      </c>
      <c r="KW124" s="48" t="s">
        <v>45</v>
      </c>
      <c r="KX124" s="29">
        <v>230</v>
      </c>
      <c r="KY124" s="29">
        <v>1000</v>
      </c>
      <c r="KZ124" s="31">
        <f>IF(KY124/(INDEX('Standards for Conversions'!$H$47:$H$73,MATCH(KX$3,'Standards for Conversions'!$A$47:$A$73,0)))=0,"",KY124/(INDEX('Standards for Conversions'!$H$47:$H$73,MATCH(KX$3,'Standards for Conversions'!$A$47:$A$73,0))))</f>
        <v>121.61656672749918</v>
      </c>
      <c r="LD124" s="31" t="str">
        <f>IF(LC124/(INDEX('Standards for Conversions'!$H$47:$H$73,MATCH(LB$3,'Standards for Conversions'!$A$47:$A$73,0)))=0,"",LC124/(INDEX('Standards for Conversions'!$H$47:$H$73,MATCH(LB$3,'Standards for Conversions'!$A$47:$A$73,0))))</f>
        <v/>
      </c>
      <c r="LE124" s="33"/>
      <c r="LH124" s="31" t="str">
        <f>IF(LG124/(INDEX('Standards for Conversions'!$H$47:$H$73,MATCH(LF$3,'Standards for Conversions'!$A$47:$A$73,0)))=0,"",LG124/(INDEX('Standards for Conversions'!$H$47:$H$73,MATCH(LF$3,'Standards for Conversions'!$A$47:$A$73,0))))</f>
        <v/>
      </c>
      <c r="LL124" s="31" t="str">
        <f>IF(LK124/(INDEX('Standards for Conversions'!$H$47:$H$73,MATCH(LJ$3,'Standards for Conversions'!$A$47:$A$73,0)))=0,"",LK124/(INDEX('Standards for Conversions'!$H$47:$H$73,MATCH(LJ$3,'Standards for Conversions'!$A$47:$A$73,0))))</f>
        <v/>
      </c>
      <c r="LO124" s="31" t="str">
        <f>IF(LN124/(INDEX('Standards for Conversions'!$H$47:$H$73,MATCH(LM$3,'Standards for Conversions'!$A$47:$A$73,0)))=0,"",LN124/(INDEX('Standards for Conversions'!$H$47:$H$73,MATCH(LM$3,'Standards for Conversions'!$A$47:$A$73,0))))</f>
        <v/>
      </c>
      <c r="LR124" s="31" t="str">
        <f>IF(LQ124/(INDEX('Standards for Conversions'!$H$47:$H$73,MATCH(LP$3,'Standards for Conversions'!$A$47:$A$73,0)))=0,"",LQ124/(INDEX('Standards for Conversions'!$H$47:$H$73,MATCH(LP$3,'Standards for Conversions'!$A$47:$A$73,0))))</f>
        <v/>
      </c>
      <c r="LV124" s="31" t="str">
        <f>IF(LU124/(INDEX('Standards for Conversions'!$H$47:$H$73,MATCH(LT$3,'Standards for Conversions'!$A$47:$A$73,0)))=0,"",LU124/(INDEX('Standards for Conversions'!$H$47:$H$73,MATCH(LT$3,'Standards for Conversions'!$A$47:$A$73,0))))</f>
        <v/>
      </c>
      <c r="LY124" s="31" t="str">
        <f>IF(LX124/(INDEX('Standards for Conversions'!$H$47:$H$73,MATCH(LW$3,'Standards for Conversions'!$A$47:$A$73,0)))=0,"",LX124/(INDEX('Standards for Conversions'!$H$47:$H$73,MATCH(LW$3,'Standards for Conversions'!$A$47:$A$73,0))))</f>
        <v/>
      </c>
      <c r="MB124" s="31" t="str">
        <f>IF(MA124/(INDEX('Standards for Conversions'!$H$47:$H$73,MATCH(LZ$3,'Standards for Conversions'!$A$47:$A$73,0)))=0,"",MA124/(INDEX('Standards for Conversions'!$H$47:$H$73,MATCH(LZ$3,'Standards for Conversions'!$A$47:$A$73,0))))</f>
        <v/>
      </c>
      <c r="ME124" s="31" t="str">
        <f>IF(MD124/(INDEX('Standards for Conversions'!$H$47:$H$73,MATCH(MC$3,'Standards for Conversions'!$A$47:$A$73,0)))=0,"",MD124/(INDEX('Standards for Conversions'!$H$47:$H$73,MATCH(MC$3,'Standards for Conversions'!$A$47:$A$73,0))))</f>
        <v/>
      </c>
      <c r="MH124" s="31" t="str">
        <f>IF(MG124/(INDEX('Standards for Conversions'!$H$47:$H$73,MATCH(MF$3,'Standards for Conversions'!$A$47:$A$73,0)))=0,"",MG124/(INDEX('Standards for Conversions'!$H$47:$H$73,MATCH(MF$3,'Standards for Conversions'!$A$47:$A$73,0))))</f>
        <v/>
      </c>
      <c r="MK124" s="31" t="str">
        <f>IF(MJ124/(INDEX('Standards for Conversions'!$H$47:$H$73,MATCH(MI$3,'Standards for Conversions'!$A$47:$A$73,0)))=0,"",MJ124/(INDEX('Standards for Conversions'!$H$47:$H$73,MATCH(MI$3,'Standards for Conversions'!$A$47:$A$73,0))))</f>
        <v/>
      </c>
      <c r="MN124" s="31" t="str">
        <f>IF(MM124/(INDEX('Standards for Conversions'!$H$47:$H$73,MATCH(ML$3,'Standards for Conversions'!$A$47:$A$73,0)))=0,"",MM124/(INDEX('Standards for Conversions'!$H$47:$H$73,MATCH(ML$3,'Standards for Conversions'!$A$47:$A$73,0))))</f>
        <v/>
      </c>
      <c r="MR124" s="31" t="str">
        <f>IF(MQ124/(INDEX('Standards for Conversions'!$H$47:$H$73,MATCH(MP$3,'Standards for Conversions'!$A$47:$A$73,0)))=0,"",MQ124/(INDEX('Standards for Conversions'!$H$47:$H$73,MATCH(MP$3,'Standards for Conversions'!$A$47:$A$73,0))))</f>
        <v/>
      </c>
    </row>
    <row r="125" spans="1:356" hidden="1" x14ac:dyDescent="0.3">
      <c r="A125" s="103" t="s">
        <v>290</v>
      </c>
      <c r="B125" s="10" t="s">
        <v>40</v>
      </c>
      <c r="C125" s="7"/>
      <c r="D125" s="7"/>
      <c r="E125" s="31" t="str">
        <f>IF(D125/(INDEX('Standards for Conversions'!$H$34:$H$73,MATCH(C$3,'Standards for Conversions'!$A$34:$A$73,0)))=0,"",D125/(INDEX('Standards for Conversions'!$H$34:$H$73,MATCH(C$3,'Standards for Conversions'!$A$34:$A$73,0))))</f>
        <v/>
      </c>
      <c r="F125" s="10" t="s">
        <v>40</v>
      </c>
      <c r="G125" s="7"/>
      <c r="H125" s="7"/>
      <c r="I125" s="31" t="str">
        <f>IF(H125/(INDEX('Standards for Conversions'!$H$34:$H$73,MATCH(G$3,'Standards for Conversions'!$A$34:$A$73,0)))=0,"",H125/(INDEX('Standards for Conversions'!$H$34:$H$73,MATCH(G$3,'Standards for Conversions'!$A$34:$A$73,0))))</f>
        <v/>
      </c>
      <c r="J125" s="10" t="s">
        <v>40</v>
      </c>
      <c r="K125" s="9"/>
      <c r="L125" s="9"/>
      <c r="M125" s="31" t="str">
        <f>IF(L125/(INDEX('Standards for Conversions'!$H$34:$H$73,MATCH(K$3,'Standards for Conversions'!$A$34:$A$73,0)))=0,"",L125/(INDEX('Standards for Conversions'!$H$34:$H$73,MATCH(K$3,'Standards for Conversions'!$A$34:$A$73,0))))</f>
        <v/>
      </c>
      <c r="N125" s="10" t="s">
        <v>40</v>
      </c>
      <c r="O125" s="7"/>
      <c r="P125" s="7"/>
      <c r="Q125" s="31" t="str">
        <f>IF(P125/(INDEX('Standards for Conversions'!$H$34:$H$73,MATCH(O$3,'Standards for Conversions'!$A$34:$A$73,0)))=0,"",P125/(INDEX('Standards for Conversions'!$H$34:$H$73,MATCH(O$3,'Standards for Conversions'!$A$34:$A$73,0))))</f>
        <v/>
      </c>
      <c r="R125" s="10" t="s">
        <v>40</v>
      </c>
      <c r="S125" s="7"/>
      <c r="T125" s="7"/>
      <c r="U125" s="31" t="str">
        <f>IF(T125/(INDEX('Standards for Conversions'!$H$34:$H$73,MATCH(S$3,'Standards for Conversions'!$A$34:$A$73,0)))=0,"",T125/(INDEX('Standards for Conversions'!$H$34:$H$73,MATCH(S$3,'Standards for Conversions'!$A$34:$A$73,0))))</f>
        <v/>
      </c>
      <c r="V125" s="10" t="s">
        <v>40</v>
      </c>
      <c r="W125" s="7"/>
      <c r="X125" s="7"/>
      <c r="Y125" s="31" t="str">
        <f>IF(X125/(INDEX('Standards for Conversions'!$H$34:$H$73,MATCH(W$3,'Standards for Conversions'!$A$34:$A$73,0)))=0,"",X125/(INDEX('Standards for Conversions'!$H$34:$H$73,MATCH(W$3,'Standards for Conversions'!$A$34:$A$73,0))))</f>
        <v/>
      </c>
      <c r="Z125" s="10" t="s">
        <v>40</v>
      </c>
      <c r="AA125" s="9"/>
      <c r="AB125" s="9"/>
      <c r="AC125" s="31" t="str">
        <f>IF(AB125/(INDEX('Standards for Conversions'!$H$34:$H$73,MATCH(AA$3,'Standards for Conversions'!$A$34:$A$73,0)))=0,"",AB125/(INDEX('Standards for Conversions'!$H$34:$H$73,MATCH(AA$3,'Standards for Conversions'!$A$34:$A$73,0))))</f>
        <v/>
      </c>
      <c r="AD125" s="10" t="s">
        <v>40</v>
      </c>
      <c r="AE125" s="7"/>
      <c r="AF125" s="7"/>
      <c r="AG125" s="31" t="str">
        <f>IF(AF125/(INDEX('Standards for Conversions'!$H$34:$H$73,MATCH(AE$3,'Standards for Conversions'!$A$34:$A$73,0)))=0,"",AF125/(INDEX('Standards for Conversions'!$H$34:$H$73,MATCH(AE$3,'Standards for Conversions'!$A$34:$A$73,0))))</f>
        <v/>
      </c>
      <c r="AH125" s="10" t="s">
        <v>40</v>
      </c>
      <c r="AI125" s="7"/>
      <c r="AJ125" s="7"/>
      <c r="AK125" s="31" t="str">
        <f>IF(AJ125/(INDEX('Standards for Conversions'!$H$34:$H$73,MATCH(AI$3,'Standards for Conversions'!$A$34:$A$73,0)))=0,"",AJ125/(INDEX('Standards for Conversions'!$H$34:$H$73,MATCH(AI$3,'Standards for Conversions'!$A$34:$A$73,0))))</f>
        <v/>
      </c>
      <c r="AL125" s="10" t="s">
        <v>40</v>
      </c>
      <c r="AM125" s="7"/>
      <c r="AN125" s="7"/>
      <c r="AO125" s="31" t="str">
        <f>IF(AN125/(INDEX('Standards for Conversions'!$H$34:$H$73,MATCH(AM$3,'Standards for Conversions'!$A$34:$A$73,0)))=0,"",AN125/(INDEX('Standards for Conversions'!$H$34:$H$73,MATCH(AM$3,'Standards for Conversions'!$A$34:$A$73,0))))</f>
        <v/>
      </c>
      <c r="AP125" s="10" t="s">
        <v>40</v>
      </c>
      <c r="AQ125" s="9"/>
      <c r="AR125" s="9"/>
      <c r="AS125" s="31" t="str">
        <f>IF(AR125/(INDEX('Standards for Conversions'!$H$34:$H$73,MATCH(AQ$3,'Standards for Conversions'!$A$34:$A$73,0)))=0,"",AR125/(INDEX('Standards for Conversions'!$H$34:$H$73,MATCH(AQ$3,'Standards for Conversions'!$A$34:$A$73,0))))</f>
        <v/>
      </c>
      <c r="AT125" s="10" t="s">
        <v>40</v>
      </c>
      <c r="AU125" s="7"/>
      <c r="AV125" s="7"/>
      <c r="AW125" s="31" t="str">
        <f>IF(AV125/(INDEX('Standards for Conversions'!$H$34:$H$73,MATCH(AU$3,'Standards for Conversions'!$A$34:$A$73,0)))=0,"",AV125/(INDEX('Standards for Conversions'!$H$34:$H$73,MATCH(AU$3,'Standards for Conversions'!$A$34:$A$73,0))))</f>
        <v/>
      </c>
      <c r="AX125" s="10" t="s">
        <v>40</v>
      </c>
      <c r="AY125" s="7"/>
      <c r="AZ125" s="7"/>
      <c r="BA125" s="31" t="str">
        <f>IF(AZ125/(INDEX('Standards for Conversions'!$H$34:$H$73,MATCH(AY$3,'Standards for Conversions'!$A$34:$A$73,0)))=0,"",AZ125/(INDEX('Standards for Conversions'!$H$34:$H$73,MATCH(AY$3,'Standards for Conversions'!$A$34:$A$73,0))))</f>
        <v/>
      </c>
      <c r="BB125" s="10" t="s">
        <v>40</v>
      </c>
      <c r="BC125" s="7"/>
      <c r="BD125" s="7"/>
      <c r="BE125" s="31" t="str">
        <f>IF(BD125/(INDEX('Standards for Conversions'!$H$34:$H$73,MATCH(BC$3,'Standards for Conversions'!$A$34:$A$73,0)))=0,"",BD125/(INDEX('Standards for Conversions'!$H$34:$H$73,MATCH(BC$3,'Standards for Conversions'!$A$34:$A$73,0))))</f>
        <v/>
      </c>
      <c r="BF125" s="10" t="s">
        <v>40</v>
      </c>
      <c r="BG125" s="9"/>
      <c r="BH125" s="9"/>
      <c r="BI125" s="31" t="str">
        <f>IF(BH125/(INDEX('Standards for Conversions'!$H$34:$H$73,MATCH(BG$3,'Standards for Conversions'!$A$34:$A$73,0)))=0,"",BH125/(INDEX('Standards for Conversions'!$H$34:$H$73,MATCH(BG$3,'Standards for Conversions'!$A$34:$A$73,0))))</f>
        <v/>
      </c>
      <c r="BJ125" s="10" t="s">
        <v>40</v>
      </c>
      <c r="BK125" s="7"/>
      <c r="BL125" s="7"/>
      <c r="BM125" s="31" t="str">
        <f>IF(BL125/(INDEX('Standards for Conversions'!$H$34:$H$73,MATCH(BK$3,'Standards for Conversions'!$A$34:$A$73,0)))=0,"",BL125/(INDEX('Standards for Conversions'!$H$34:$H$73,MATCH(BK$3,'Standards for Conversions'!$A$34:$A$73,0))))</f>
        <v/>
      </c>
      <c r="BN125" s="10" t="s">
        <v>40</v>
      </c>
      <c r="BO125" s="7"/>
      <c r="BP125" s="7"/>
      <c r="BQ125" s="31" t="str">
        <f>IF(BP125/(INDEX('Standards for Conversions'!$H$34:$H$73,MATCH(BO$3,'Standards for Conversions'!$A$34:$A$73,0)))=0,"",BP125/(INDEX('Standards for Conversions'!$H$34:$H$73,MATCH(BO$3,'Standards for Conversions'!$A$34:$A$73,0))))</f>
        <v/>
      </c>
      <c r="BR125" s="10" t="s">
        <v>40</v>
      </c>
      <c r="BS125" s="7"/>
      <c r="BT125" s="7"/>
      <c r="BU125" s="31" t="str">
        <f>IF(BT125/(INDEX('Standards for Conversions'!$H$34:$H$73,MATCH(BS$3,'Standards for Conversions'!$A$34:$A$73,0)))=0,"",BT125/(INDEX('Standards for Conversions'!$H$34:$H$73,MATCH(BS$3,'Standards for Conversions'!$A$34:$A$73,0))))</f>
        <v/>
      </c>
      <c r="BV125" s="10" t="s">
        <v>40</v>
      </c>
      <c r="BW125" s="9"/>
      <c r="BX125" s="9"/>
      <c r="BY125" s="31" t="str">
        <f>IF(BX125/(INDEX('Standards for Conversions'!$H$34:$H$73,MATCH(BW$3,'Standards for Conversions'!$A$34:$A$73,0)))=0,"",BX125/(INDEX('Standards for Conversions'!$H$34:$H$73,MATCH(BW$3,'Standards for Conversions'!$A$34:$A$73,0))))</f>
        <v/>
      </c>
      <c r="BZ125" s="10" t="s">
        <v>40</v>
      </c>
      <c r="CA125" s="7"/>
      <c r="CB125" s="7"/>
      <c r="CC125" s="31" t="str">
        <f>IF(CB125/(INDEX('Standards for Conversions'!$H$34:$H$73,MATCH(CA$3,'Standards for Conversions'!$A$34:$A$73,0)))=0,"",CB125/(INDEX('Standards for Conversions'!$H$34:$H$73,MATCH(CA$3,'Standards for Conversions'!$A$34:$A$73,0))))</f>
        <v/>
      </c>
      <c r="CD125" s="10" t="s">
        <v>40</v>
      </c>
      <c r="CE125" s="7"/>
      <c r="CF125" s="7"/>
      <c r="CG125" s="31" t="str">
        <f>IF(CF125/(INDEX('Standards for Conversions'!$H$34:$H$73,MATCH(CE$3,'Standards for Conversions'!$A$34:$A$73,0)))=0,"",CF125/(INDEX('Standards for Conversions'!$H$34:$H$73,MATCH(CE$3,'Standards for Conversions'!$A$34:$A$73,0))))</f>
        <v/>
      </c>
      <c r="CH125" s="10" t="s">
        <v>40</v>
      </c>
      <c r="CI125" s="7"/>
      <c r="CJ125" s="7"/>
      <c r="CK125" s="31" t="str">
        <f>IF(CJ125/(INDEX('Standards for Conversions'!$H$34:$H$73,MATCH(CI$3,'Standards for Conversions'!$A$34:$A$73,0)))=0,"",CJ125/(INDEX('Standards for Conversions'!$H$34:$H$73,MATCH(CI$3,'Standards for Conversions'!$A$34:$A$73,0))))</f>
        <v/>
      </c>
      <c r="CL125" s="10" t="s">
        <v>40</v>
      </c>
      <c r="CM125" s="9"/>
      <c r="CN125" s="9"/>
      <c r="CO125" s="31" t="str">
        <f>IF(CN125/(INDEX('Standards for Conversions'!$H$34:$H$73,MATCH(CM$3,'Standards for Conversions'!$A$34:$A$73,0)))=0,"",CN125/(INDEX('Standards for Conversions'!$H$34:$H$73,MATCH(CM$3,'Standards for Conversions'!$A$34:$A$73,0))))</f>
        <v/>
      </c>
      <c r="CP125" s="10" t="s">
        <v>40</v>
      </c>
      <c r="CQ125" s="7"/>
      <c r="CR125" s="7"/>
      <c r="CS125" s="31" t="str">
        <f>IF(CR125/(INDEX('Standards for Conversions'!$H$34:$H$73,MATCH(CQ$3,'Standards for Conversions'!$A$34:$A$73,0)))=0,"",CR125/(INDEX('Standards for Conversions'!$H$34:$H$73,MATCH(CQ$3,'Standards for Conversions'!$A$34:$A$73,0))))</f>
        <v/>
      </c>
      <c r="CT125" s="10" t="s">
        <v>40</v>
      </c>
      <c r="CU125" s="7"/>
      <c r="CV125" s="7"/>
      <c r="CW125" s="31" t="str">
        <f>IF(CV125/(INDEX('Standards for Conversions'!$H$34:$H$73,MATCH(CU$3,'Standards for Conversions'!$A$34:$A$73,0)))=0,"",CV125/(INDEX('Standards for Conversions'!$H$34:$H$73,MATCH(CU$3,'Standards for Conversions'!$A$34:$A$73,0))))</f>
        <v/>
      </c>
      <c r="CX125" s="10" t="s">
        <v>40</v>
      </c>
      <c r="CY125" s="7"/>
      <c r="CZ125" s="7"/>
      <c r="DA125" s="31" t="str">
        <f>IF(CZ125/(INDEX('Standards for Conversions'!$H$34:$H$73,MATCH(CY$3,'Standards for Conversions'!$A$34:$A$73,0)))=0,"",CZ125/(INDEX('Standards for Conversions'!$H$34:$H$73,MATCH(CY$3,'Standards for Conversions'!$A$34:$A$73,0))))</f>
        <v/>
      </c>
      <c r="DB125" s="10" t="s">
        <v>40</v>
      </c>
      <c r="DC125" s="9"/>
      <c r="DD125" s="9"/>
      <c r="DE125" s="31" t="str">
        <f>IF(DD125/(INDEX('Standards for Conversions'!$H$34:$H$73,MATCH(DC$3,'Standards for Conversions'!$A$34:$A$73,0)))=0,"",DD125/(INDEX('Standards for Conversions'!$H$34:$H$73,MATCH(DC$3,'Standards for Conversions'!$A$34:$A$73,0))))</f>
        <v/>
      </c>
      <c r="DF125" s="10" t="s">
        <v>40</v>
      </c>
      <c r="DG125" s="7"/>
      <c r="DH125" s="7"/>
      <c r="DI125" s="31" t="str">
        <f>IF(DH125/(INDEX('Standards for Conversions'!$H$34:$H$73,MATCH(DG$3,'Standards for Conversions'!$A$34:$A$73,0)))=0,"",DH125/(INDEX('Standards for Conversions'!$H$34:$H$73,MATCH(DG$3,'Standards for Conversions'!$A$34:$A$73,0))))</f>
        <v/>
      </c>
      <c r="DJ125" s="10" t="s">
        <v>40</v>
      </c>
      <c r="DK125" s="7"/>
      <c r="DL125" s="7"/>
      <c r="DM125" s="31" t="str">
        <f>IF(DL125/(INDEX('Standards for Conversions'!$H$34:$H$73,MATCH(DK$3,'Standards for Conversions'!$A$34:$A$73,0)))=0,"",DL125/(INDEX('Standards for Conversions'!$H$34:$H$73,MATCH(DK$3,'Standards for Conversions'!$A$34:$A$73,0))))</f>
        <v/>
      </c>
      <c r="DN125" s="10" t="s">
        <v>40</v>
      </c>
      <c r="DO125" s="7"/>
      <c r="DP125" s="7"/>
      <c r="DQ125" s="31" t="str">
        <f>IF(DP125/(INDEX('Standards for Conversions'!$H$34:$H$73,MATCH(DO$3,'Standards for Conversions'!$A$34:$A$73,0)))=0,"",DP125/(INDEX('Standards for Conversions'!$H$34:$H$73,MATCH(DO$3,'Standards for Conversions'!$A$34:$A$73,0))))</f>
        <v/>
      </c>
      <c r="DR125" s="10" t="s">
        <v>40</v>
      </c>
      <c r="DS125" s="9"/>
      <c r="DT125" s="9"/>
      <c r="DU125" s="31" t="str">
        <f>IF(DT125/(INDEX('Standards for Conversions'!$H$34:$H$73,MATCH(DS$3,'Standards for Conversions'!$A$34:$A$73,0)))=0,"",DT125/(INDEX('Standards for Conversions'!$H$34:$H$73,MATCH(DS$3,'Standards for Conversions'!$A$34:$A$73,0))))</f>
        <v/>
      </c>
      <c r="DV125" s="10" t="s">
        <v>40</v>
      </c>
      <c r="DW125" s="7"/>
      <c r="DX125" s="7"/>
      <c r="DY125" s="31" t="str">
        <f>IF(DX125/(INDEX('Standards for Conversions'!$H$34:$H$73,MATCH(DW$3,'Standards for Conversions'!$A$34:$A$73,0)))=0,"",DX125/(INDEX('Standards for Conversions'!$H$34:$H$73,MATCH(DW$3,'Standards for Conversions'!$A$34:$A$73,0))))</f>
        <v/>
      </c>
      <c r="DZ125" s="10" t="s">
        <v>40</v>
      </c>
      <c r="EA125" s="7"/>
      <c r="EB125" s="7"/>
      <c r="EC125" s="31" t="str">
        <f>IF(EB125/(INDEX('Standards for Conversions'!$H$34:$H$73,MATCH(EA$3,'Standards for Conversions'!$A$34:$A$73,0)))=0,"",EB125/(INDEX('Standards for Conversions'!$H$34:$H$73,MATCH(EA$3,'Standards for Conversions'!$A$34:$A$73,0))))</f>
        <v/>
      </c>
      <c r="ED125" s="10" t="s">
        <v>40</v>
      </c>
      <c r="EE125" s="7"/>
      <c r="EF125" s="7"/>
      <c r="EG125" s="31" t="str">
        <f>IF(EF125/(INDEX('Standards for Conversions'!$H$34:$H$73,MATCH(EE$3,'Standards for Conversions'!$A$34:$A$73,0)))=0,"",EF125/(INDEX('Standards for Conversions'!$H$34:$H$73,MATCH(EE$3,'Standards for Conversions'!$A$34:$A$73,0))))</f>
        <v/>
      </c>
      <c r="EH125" s="10" t="s">
        <v>40</v>
      </c>
      <c r="EI125" s="9"/>
      <c r="EJ125" s="9"/>
      <c r="EK125" s="31" t="str">
        <f>IF(EJ125/(INDEX('Standards for Conversions'!$H$34:$H$73,MATCH(EI$3,'Standards for Conversions'!$A$34:$A$73,0)))=0,"",EJ125/(INDEX('Standards for Conversions'!$H$34:$H$73,MATCH(EI$3,'Standards for Conversions'!$A$34:$A$73,0))))</f>
        <v/>
      </c>
      <c r="EL125" s="10" t="s">
        <v>40</v>
      </c>
      <c r="EM125" s="7"/>
      <c r="EN125" s="7"/>
      <c r="EO125" s="31" t="str">
        <f>IF(EN125/(INDEX('Standards for Conversions'!$H$34:$H$73,MATCH(EM$3,'Standards for Conversions'!$A$34:$A$73,0)))=0,"",EN125/(INDEX('Standards for Conversions'!$H$34:$H$73,MATCH(EM$3,'Standards for Conversions'!$A$34:$A$73,0))))</f>
        <v/>
      </c>
      <c r="EP125" s="10" t="s">
        <v>40</v>
      </c>
      <c r="EQ125" s="7"/>
      <c r="ER125" s="7"/>
      <c r="ES125" s="31" t="str">
        <f>IF(ER125/(INDEX('Standards for Conversions'!$H$34:$H$73,MATCH(EQ$3,'Standards for Conversions'!$A$34:$A$73,0)))=0,"",ER125/(INDEX('Standards for Conversions'!$H$34:$H$73,MATCH(EQ$3,'Standards for Conversions'!$A$34:$A$73,0))))</f>
        <v/>
      </c>
      <c r="ET125" s="10" t="s">
        <v>40</v>
      </c>
      <c r="EU125" s="7"/>
      <c r="EV125" s="7"/>
      <c r="EW125" s="31" t="str">
        <f>IF(EV125/(INDEX('Standards for Conversions'!$H$34:$H$73,MATCH(EU$3,'Standards for Conversions'!$A$34:$A$73,0)))=0,"",EV125/(INDEX('Standards for Conversions'!$H$34:$H$73,MATCH(EU$3,'Standards for Conversions'!$A$34:$A$73,0))))</f>
        <v/>
      </c>
      <c r="EX125" s="10" t="s">
        <v>40</v>
      </c>
      <c r="EY125" s="9"/>
      <c r="EZ125" s="9"/>
      <c r="FA125" s="31" t="str">
        <f>IF(EZ125/(INDEX('Standards for Conversions'!$H$34:$H$73,MATCH(EY$3,'Standards for Conversions'!$A$34:$A$73,0)))=0,"",EZ125/(INDEX('Standards for Conversions'!$H$34:$H$73,MATCH(EY$3,'Standards for Conversions'!$A$34:$A$73,0))))</f>
        <v/>
      </c>
      <c r="FB125" s="10" t="s">
        <v>40</v>
      </c>
      <c r="FC125" s="7"/>
      <c r="FD125" s="7"/>
      <c r="FE125" s="31" t="str">
        <f>IF(FD125/(INDEX('Standards for Conversions'!$H$34:$H$73,MATCH(FC$3,'Standards for Conversions'!$A$34:$A$73,0)))=0,"",FD125/(INDEX('Standards for Conversions'!$H$34:$H$73,MATCH(FC$3,'Standards for Conversions'!$A$34:$A$73,0))))</f>
        <v/>
      </c>
      <c r="FF125" s="10" t="s">
        <v>40</v>
      </c>
      <c r="FG125" s="7"/>
      <c r="FH125" s="7"/>
      <c r="FI125" s="31" t="str">
        <f>IF(FH125/(INDEX('Standards for Conversions'!$H$34:$H$73,MATCH(FG$3,'Standards for Conversions'!$A$34:$A$73,0)))=0,"",FH125/(INDEX('Standards for Conversions'!$H$34:$H$73,MATCH(FG$3,'Standards for Conversions'!$A$34:$A$73,0))))</f>
        <v/>
      </c>
      <c r="FJ125" s="10" t="s">
        <v>40</v>
      </c>
      <c r="FK125" s="7"/>
      <c r="FL125" s="7"/>
      <c r="FM125" s="31" t="str">
        <f>IF(FL125/(INDEX('Standards for Conversions'!$H$34:$H$73,MATCH(FK$3,'Standards for Conversions'!$A$34:$A$73,0)))=0,"",FL125/(INDEX('Standards for Conversions'!$H$34:$H$73,MATCH(FK$3,'Standards for Conversions'!$A$34:$A$73,0))))</f>
        <v/>
      </c>
      <c r="FN125" s="10" t="s">
        <v>40</v>
      </c>
      <c r="FO125" s="9"/>
      <c r="FP125" s="9"/>
      <c r="FQ125" s="31" t="str">
        <f>IF(FP125/(INDEX('Standards for Conversions'!$H$34:$H$73,MATCH(FO$3,'Standards for Conversions'!$A$34:$A$73,0)))=0,"",FP125/(INDEX('Standards for Conversions'!$H$34:$H$73,MATCH(FO$3,'Standards for Conversions'!$A$34:$A$73,0))))</f>
        <v/>
      </c>
      <c r="FR125" s="10" t="s">
        <v>40</v>
      </c>
      <c r="FS125" s="7"/>
      <c r="FT125" s="7"/>
      <c r="FU125" s="31" t="str">
        <f>IF(FT125/(INDEX('Standards for Conversions'!$H$34:$H$73,MATCH(FS$3,'Standards for Conversions'!$A$34:$A$73,0)))=0,"",FT125/(INDEX('Standards for Conversions'!$H$34:$H$73,MATCH(FS$3,'Standards for Conversions'!$A$34:$A$73,0))))</f>
        <v/>
      </c>
      <c r="FV125" s="10" t="s">
        <v>40</v>
      </c>
      <c r="FW125" s="7"/>
      <c r="FX125" s="7"/>
      <c r="FY125" s="31" t="str">
        <f>IF(FX125/(INDEX('Standards for Conversions'!$H$34:$H$73,MATCH(FW$3,'Standards for Conversions'!$A$34:$A$73,0)))=0,"",FX125/(INDEX('Standards for Conversions'!$H$34:$H$73,MATCH(FW$3,'Standards for Conversions'!$A$34:$A$73,0))))</f>
        <v/>
      </c>
      <c r="FZ125" s="10" t="s">
        <v>40</v>
      </c>
      <c r="GA125" s="7"/>
      <c r="GB125" s="7"/>
      <c r="GC125" s="31" t="str">
        <f>IF(GB125/(INDEX('Standards for Conversions'!$H$34:$H$73,MATCH(GA$3,'Standards for Conversions'!$A$34:$A$73,0)))=0,"",GB125/(INDEX('Standards for Conversions'!$H$34:$H$73,MATCH(GA$3,'Standards for Conversions'!$A$34:$A$73,0))))</f>
        <v/>
      </c>
      <c r="GD125" s="10" t="s">
        <v>40</v>
      </c>
      <c r="GE125" s="9"/>
      <c r="GF125" s="9"/>
      <c r="GG125" s="31" t="str">
        <f>IF(GF125/(INDEX('Standards for Conversions'!$H$34:$H$73,MATCH(GE$3,'Standards for Conversions'!$A$34:$A$73,0)))=0,"",GF125/(INDEX('Standards for Conversions'!$H$34:$H$73,MATCH(GE$3,'Standards for Conversions'!$A$34:$A$73,0))))</f>
        <v/>
      </c>
      <c r="GH125" s="10" t="s">
        <v>40</v>
      </c>
      <c r="GI125" s="7"/>
      <c r="GJ125" s="7"/>
      <c r="GK125" s="31" t="str">
        <f>IF(GJ125/(INDEX('Standards for Conversions'!$H$34:$H$73,MATCH(GI$3,'Standards for Conversions'!$A$34:$A$73,0)))=0,"",GJ125/(INDEX('Standards for Conversions'!$H$34:$H$73,MATCH(GI$3,'Standards for Conversions'!$A$34:$A$73,0))))</f>
        <v/>
      </c>
      <c r="GL125" s="10" t="s">
        <v>40</v>
      </c>
      <c r="GM125" s="7"/>
      <c r="GN125" s="7"/>
      <c r="GO125" s="31" t="str">
        <f>IF(GN125/(INDEX('Standards for Conversions'!$H$34:$H$73,MATCH(GM$3,'Standards for Conversions'!$A$34:$A$73,0)))=0,"",GN125/(INDEX('Standards for Conversions'!$H$34:$H$73,MATCH(GM$3,'Standards for Conversions'!$A$34:$A$73,0))))</f>
        <v/>
      </c>
      <c r="GP125" s="10" t="s">
        <v>40</v>
      </c>
      <c r="GQ125" s="7"/>
      <c r="GR125" s="7"/>
      <c r="GS125" s="31" t="str">
        <f>IF(GR125/(INDEX('Standards for Conversions'!$H$34:$H$73,MATCH(GQ$3,'Standards for Conversions'!$A$34:$A$73,0)))=0,"",GR125/(INDEX('Standards for Conversions'!$H$34:$H$73,MATCH(GQ$3,'Standards for Conversions'!$A$34:$A$73,0))))</f>
        <v/>
      </c>
      <c r="GT125" s="10" t="s">
        <v>40</v>
      </c>
      <c r="GU125" s="9"/>
      <c r="GV125" s="9"/>
      <c r="GW125" s="31" t="str">
        <f>IF(GV125/(INDEX('Standards for Conversions'!$H$34:$H$73,MATCH(GU$3,'Standards for Conversions'!$A$34:$A$73,0)))=0,"",GV125/(INDEX('Standards for Conversions'!$H$34:$H$73,MATCH(GU$3,'Standards for Conversions'!$A$34:$A$73,0))))</f>
        <v/>
      </c>
      <c r="GX125" s="10" t="s">
        <v>40</v>
      </c>
      <c r="GY125" s="7"/>
      <c r="GZ125" s="7"/>
      <c r="HA125" s="31" t="str">
        <f>IF(GZ125/(INDEX('Standards for Conversions'!$H$34:$H$73,MATCH(GY$3,'Standards for Conversions'!$A$34:$A$73,0)))=0,"",GZ125/(INDEX('Standards for Conversions'!$H$34:$H$73,MATCH(GY$3,'Standards for Conversions'!$A$34:$A$73,0))))</f>
        <v/>
      </c>
      <c r="HB125" s="10" t="s">
        <v>40</v>
      </c>
      <c r="HC125" s="7"/>
      <c r="HD125" s="7"/>
      <c r="HE125" s="31" t="str">
        <f>IF(HD125/(INDEX('Standards for Conversions'!$H$34:$H$73,MATCH(HC$3,'Standards for Conversions'!$A$34:$A$73,0)))=0,"",HD125/(INDEX('Standards for Conversions'!$H$34:$H$73,MATCH(HC$3,'Standards for Conversions'!$A$34:$A$73,0))))</f>
        <v/>
      </c>
      <c r="HF125" s="10" t="s">
        <v>40</v>
      </c>
      <c r="HG125" s="7"/>
      <c r="HH125" s="7"/>
      <c r="HI125" s="31" t="str">
        <f>IF(HH125/(INDEX('Standards for Conversions'!$H$34:$H$73,MATCH(HG$3,'Standards for Conversions'!$A$34:$A$73,0)))=0,"",HH125/(INDEX('Standards for Conversions'!$H$34:$H$73,MATCH(HG$3,'Standards for Conversions'!$A$34:$A$73,0))))</f>
        <v/>
      </c>
      <c r="HJ125" s="10" t="s">
        <v>40</v>
      </c>
      <c r="HK125" s="9"/>
      <c r="HL125" s="9"/>
      <c r="HM125" s="31" t="str">
        <f>IF(HL125/(INDEX('Standards for Conversions'!$H$34:$H$73,MATCH(HK$3,'Standards for Conversions'!$A$34:$A$73,0)))=0,"",HL125/(INDEX('Standards for Conversions'!$H$34:$H$73,MATCH(HK$3,'Standards for Conversions'!$A$34:$A$73,0))))</f>
        <v/>
      </c>
      <c r="HN125" s="10" t="s">
        <v>40</v>
      </c>
      <c r="HO125" s="7"/>
      <c r="HP125" s="7"/>
      <c r="HQ125" s="31" t="str">
        <f>IF(HP125/(INDEX('Standards for Conversions'!$H$34:$H$73,MATCH(HO$3,'Standards for Conversions'!$A$34:$A$73,0)))=0,"",HP125/(INDEX('Standards for Conversions'!$H$34:$H$73,MATCH(HO$3,'Standards for Conversions'!$A$34:$A$73,0))))</f>
        <v/>
      </c>
      <c r="HR125" s="33" t="s">
        <v>40</v>
      </c>
      <c r="HU125" s="31" t="str">
        <f>IF(HT125/(INDEX('Standards for Conversions'!$H$47:$H$73,MATCH(HS$3,'Standards for Conversions'!$A$47:$A$73,0)))=0,"",HT125/(INDEX('Standards for Conversions'!$H$47:$H$73,MATCH(HS$3,'Standards for Conversions'!$A$47:$A$73,0))))</f>
        <v/>
      </c>
      <c r="HV125" s="33" t="s">
        <v>40</v>
      </c>
      <c r="HW125" s="29">
        <v>40</v>
      </c>
      <c r="HX125" s="29">
        <v>150</v>
      </c>
      <c r="HY125" s="31">
        <f>IF(HX125/(INDEX('Standards for Conversions'!$H$47:$H$73,MATCH(HW$3,'Standards for Conversions'!$A$47:$A$73,0)))=0,"",HX125/(INDEX('Standards for Conversions'!$H$47:$H$73,MATCH(HW$3,'Standards for Conversions'!$A$47:$A$73,0))))</f>
        <v>21.786811831928393</v>
      </c>
      <c r="HZ125" s="33"/>
      <c r="IA125" s="33"/>
      <c r="IB125" s="31" t="str">
        <f>IF(IA125/(INDEX('Standards for Conversions'!$H$47:$H$73,MATCH(HZ$3,'Standards for Conversions'!$A$47:$A$73,0)))=0,"",IA125/(INDEX('Standards for Conversions'!$H$47:$H$73,MATCH(HZ$3,'Standards for Conversions'!$A$47:$A$73,0))))</f>
        <v/>
      </c>
      <c r="IC125" s="33" t="s">
        <v>40</v>
      </c>
      <c r="IF125" s="31" t="str">
        <f>IF(IE125/(INDEX('Standards for Conversions'!$H$47:$H$73,MATCH(ID$3,'Standards for Conversions'!$A$47:$A$73,0)))=0,"",IE125/(INDEX('Standards for Conversions'!$H$47:$H$73,MATCH(ID$3,'Standards for Conversions'!$A$47:$A$73,0))))</f>
        <v/>
      </c>
      <c r="IG125" s="33" t="s">
        <v>40</v>
      </c>
      <c r="IJ125" s="31" t="str">
        <f>IF(II125/(INDEX('Standards for Conversions'!$H$47:$H$73,MATCH(IH$3,'Standards for Conversions'!$A$47:$A$73,0)))=0,"",II125/(INDEX('Standards for Conversions'!$H$47:$H$73,MATCH(IH$3,'Standards for Conversions'!$A$47:$A$73,0))))</f>
        <v/>
      </c>
      <c r="IK125" s="33" t="s">
        <v>40</v>
      </c>
      <c r="IN125" s="31" t="str">
        <f>IF(IM125/(INDEX('Standards for Conversions'!$H$47:$H$73,MATCH(IL$3,'Standards for Conversions'!$A$47:$A$73,0)))=0,"",IM125/(INDEX('Standards for Conversions'!$H$47:$H$73,MATCH(IL$3,'Standards for Conversions'!$A$47:$A$73,0))))</f>
        <v/>
      </c>
      <c r="IO125" s="33" t="s">
        <v>40</v>
      </c>
      <c r="IR125" s="31" t="str">
        <f>IF(IQ125/(INDEX('Standards for Conversions'!$H$47:$H$73,MATCH(IP$3,'Standards for Conversions'!$A$47:$A$73,0)))=0,"",IQ125/(INDEX('Standards for Conversions'!$H$47:$H$73,MATCH(IP$3,'Standards for Conversions'!$A$47:$A$73,0))))</f>
        <v/>
      </c>
      <c r="IS125" s="33" t="s">
        <v>40</v>
      </c>
      <c r="IV125" s="31" t="str">
        <f>IF(IU125/(INDEX('Standards for Conversions'!$H$47:$H$73,MATCH(IT$3,'Standards for Conversions'!$A$47:$A$73,0)))=0,"",IU125/(INDEX('Standards for Conversions'!$H$47:$H$73,MATCH(IT$3,'Standards for Conversions'!$A$47:$A$73,0))))</f>
        <v/>
      </c>
      <c r="IW125" s="33" t="s">
        <v>40</v>
      </c>
      <c r="IZ125" s="31" t="str">
        <f>IF(IY125/(INDEX('Standards for Conversions'!$H$47:$H$73,MATCH(IX$3,'Standards for Conversions'!$A$47:$A$73,0)))=0,"",IY125/(INDEX('Standards for Conversions'!$H$47:$H$73,MATCH(IX$3,'Standards for Conversions'!$A$47:$A$73,0))))</f>
        <v/>
      </c>
      <c r="JA125" s="48" t="s">
        <v>40</v>
      </c>
      <c r="JB125" s="29">
        <v>11</v>
      </c>
      <c r="JC125" s="29">
        <v>50</v>
      </c>
      <c r="JD125" s="31">
        <f>IF(JC125/(INDEX('Standards for Conversions'!$H$47:$H$73,MATCH(JB$3,'Standards for Conversions'!$A$47:$A$73,0)))=0,"",JC125/(INDEX('Standards for Conversions'!$H$47:$H$73,MATCH(JB$3,'Standards for Conversions'!$A$47:$A$73,0))))</f>
        <v>8.0880098345934339</v>
      </c>
      <c r="JE125" s="33"/>
      <c r="JH125" s="31" t="str">
        <f>IF(JG125/(INDEX('Standards for Conversions'!$H$47:$H$73,MATCH(JF$3,'Standards for Conversions'!$A$47:$A$73,0)))=0,"",JG125/(INDEX('Standards for Conversions'!$H$47:$H$73,MATCH(JF$3,'Standards for Conversions'!$A$47:$A$73,0))))</f>
        <v/>
      </c>
      <c r="JI125" s="33"/>
      <c r="JL125" s="31" t="str">
        <f>IF(JK125/(INDEX('Standards for Conversions'!$H$47:$H$73,MATCH(JJ$3,'Standards for Conversions'!$A$47:$A$73,0)))=0,"",JK125/(INDEX('Standards for Conversions'!$H$47:$H$73,MATCH(JJ$3,'Standards for Conversions'!$A$47:$A$73,0))))</f>
        <v/>
      </c>
      <c r="JM125" s="33" t="s">
        <v>40</v>
      </c>
      <c r="JP125" s="31" t="str">
        <f>IF(JO125/(INDEX('Standards for Conversions'!$H$47:$H$73,MATCH(JN$3,'Standards for Conversions'!$A$47:$A$73,0)))=0,"",JO125/(INDEX('Standards for Conversions'!$H$47:$H$73,MATCH(JN$3,'Standards for Conversions'!$A$47:$A$73,0))))</f>
        <v/>
      </c>
      <c r="JQ125" s="33" t="s">
        <v>40</v>
      </c>
      <c r="JR125" s="29">
        <v>20</v>
      </c>
      <c r="JS125" s="29">
        <v>100</v>
      </c>
      <c r="JT125" s="31">
        <f>IF(JS125/(INDEX('Standards for Conversions'!$H$47:$H$73,MATCH(JR$3,'Standards for Conversions'!$A$47:$A$73,0)))=0,"",JS125/(INDEX('Standards for Conversions'!$H$47:$H$73,MATCH(JR$3,'Standards for Conversions'!$A$47:$A$73,0))))</f>
        <v>15.265589242779756</v>
      </c>
      <c r="JU125" s="33" t="s">
        <v>40</v>
      </c>
      <c r="JX125" s="31" t="str">
        <f>IF(JW125/(INDEX('Standards for Conversions'!$H$47:$H$73,MATCH(JV$3,'Standards for Conversions'!$A$47:$A$73,0)))=0,"",JW125/(INDEX('Standards for Conversions'!$H$47:$H$73,MATCH(JV$3,'Standards for Conversions'!$A$47:$A$73,0))))</f>
        <v/>
      </c>
      <c r="JY125" s="33" t="s">
        <v>40</v>
      </c>
      <c r="KB125" s="31" t="str">
        <f>IF(KA125/(INDEX('Standards for Conversions'!$H$47:$H$73,MATCH(JZ$3,'Standards for Conversions'!$A$47:$A$73,0)))=0,"",KA125/(INDEX('Standards for Conversions'!$H$47:$H$73,MATCH(JZ$3,'Standards for Conversions'!$A$47:$A$73,0))))</f>
        <v/>
      </c>
      <c r="KC125" s="33" t="s">
        <v>40</v>
      </c>
      <c r="KF125" s="31" t="str">
        <f>IF(KE125/(INDEX('Standards for Conversions'!$H$47:$H$73,MATCH(KD$3,'Standards for Conversions'!$A$47:$A$73,0)))=0,"",KE125/(INDEX('Standards for Conversions'!$H$47:$H$73,MATCH(KD$3,'Standards for Conversions'!$A$47:$A$73,0))))</f>
        <v/>
      </c>
      <c r="KG125" s="33" t="s">
        <v>40</v>
      </c>
      <c r="KH125" s="29">
        <v>25</v>
      </c>
      <c r="KI125" s="29">
        <v>100</v>
      </c>
      <c r="KJ125" s="31">
        <f>IF(KI125/(INDEX('Standards for Conversions'!$H$47:$H$73,MATCH(KH$3,'Standards for Conversions'!$A$47:$A$73,0)))=0,"",KI125/(INDEX('Standards for Conversions'!$H$47:$H$73,MATCH(KH$3,'Standards for Conversions'!$A$47:$A$73,0))))</f>
        <v>13.465901190579647</v>
      </c>
      <c r="KK125" s="33" t="s">
        <v>40</v>
      </c>
      <c r="KN125" s="31" t="str">
        <f>IF(KM125/(INDEX('Standards for Conversions'!$H$47:$H$73,MATCH(KL$3,'Standards for Conversions'!$A$47:$A$73,0)))=0,"",KM125/(INDEX('Standards for Conversions'!$H$47:$H$73,MATCH(KL$3,'Standards for Conversions'!$A$47:$A$73,0))))</f>
        <v/>
      </c>
      <c r="KO125" s="33" t="s">
        <v>40</v>
      </c>
      <c r="KR125" s="31" t="str">
        <f>IF(KQ125/(INDEX('Standards for Conversions'!$H$47:$H$73,MATCH(KP$3,'Standards for Conversions'!$A$47:$A$73,0)))=0,"",KQ125/(INDEX('Standards for Conversions'!$H$47:$H$73,MATCH(KP$3,'Standards for Conversions'!$A$47:$A$73,0))))</f>
        <v/>
      </c>
      <c r="KS125" s="33" t="s">
        <v>40</v>
      </c>
      <c r="KV125" s="31" t="str">
        <f>IF(KU125/(INDEX('Standards for Conversions'!$H$47:$H$73,MATCH(KT$3,'Standards for Conversions'!$A$47:$A$73,0)))=0,"",KU125/(INDEX('Standards for Conversions'!$H$47:$H$73,MATCH(KT$3,'Standards for Conversions'!$A$47:$A$73,0))))</f>
        <v/>
      </c>
      <c r="KW125" s="48" t="s">
        <v>40</v>
      </c>
      <c r="KX125" s="29">
        <v>20</v>
      </c>
      <c r="KY125" s="29">
        <v>80</v>
      </c>
      <c r="KZ125" s="31">
        <f>IF(KY125/(INDEX('Standards for Conversions'!$H$47:$H$73,MATCH(KX$3,'Standards for Conversions'!$A$47:$A$73,0)))=0,"",KY125/(INDEX('Standards for Conversions'!$H$47:$H$73,MATCH(KX$3,'Standards for Conversions'!$A$47:$A$73,0))))</f>
        <v>9.7293253381999349</v>
      </c>
      <c r="LD125" s="31" t="str">
        <f>IF(LC125/(INDEX('Standards for Conversions'!$H$47:$H$73,MATCH(LB$3,'Standards for Conversions'!$A$47:$A$73,0)))=0,"",LC125/(INDEX('Standards for Conversions'!$H$47:$H$73,MATCH(LB$3,'Standards for Conversions'!$A$47:$A$73,0))))</f>
        <v/>
      </c>
      <c r="LE125" s="33"/>
      <c r="LH125" s="31" t="str">
        <f>IF(LG125/(INDEX('Standards for Conversions'!$H$47:$H$73,MATCH(LF$3,'Standards for Conversions'!$A$47:$A$73,0)))=0,"",LG125/(INDEX('Standards for Conversions'!$H$47:$H$73,MATCH(LF$3,'Standards for Conversions'!$A$47:$A$73,0))))</f>
        <v/>
      </c>
      <c r="LL125" s="31" t="str">
        <f>IF(LK125/(INDEX('Standards for Conversions'!$H$47:$H$73,MATCH(LJ$3,'Standards for Conversions'!$A$47:$A$73,0)))=0,"",LK125/(INDEX('Standards for Conversions'!$H$47:$H$73,MATCH(LJ$3,'Standards for Conversions'!$A$47:$A$73,0))))</f>
        <v/>
      </c>
      <c r="LO125" s="31" t="str">
        <f>IF(LN125/(INDEX('Standards for Conversions'!$H$47:$H$73,MATCH(LM$3,'Standards for Conversions'!$A$47:$A$73,0)))=0,"",LN125/(INDEX('Standards for Conversions'!$H$47:$H$73,MATCH(LM$3,'Standards for Conversions'!$A$47:$A$73,0))))</f>
        <v/>
      </c>
      <c r="LR125" s="31" t="str">
        <f>IF(LQ125/(INDEX('Standards for Conversions'!$H$47:$H$73,MATCH(LP$3,'Standards for Conversions'!$A$47:$A$73,0)))=0,"",LQ125/(INDEX('Standards for Conversions'!$H$47:$H$73,MATCH(LP$3,'Standards for Conversions'!$A$47:$A$73,0))))</f>
        <v/>
      </c>
      <c r="LV125" s="31" t="str">
        <f>IF(LU125/(INDEX('Standards for Conversions'!$H$47:$H$73,MATCH(LT$3,'Standards for Conversions'!$A$47:$A$73,0)))=0,"",LU125/(INDEX('Standards for Conversions'!$H$47:$H$73,MATCH(LT$3,'Standards for Conversions'!$A$47:$A$73,0))))</f>
        <v/>
      </c>
      <c r="LY125" s="31" t="str">
        <f>IF(LX125/(INDEX('Standards for Conversions'!$H$47:$H$73,MATCH(LW$3,'Standards for Conversions'!$A$47:$A$73,0)))=0,"",LX125/(INDEX('Standards for Conversions'!$H$47:$H$73,MATCH(LW$3,'Standards for Conversions'!$A$47:$A$73,0))))</f>
        <v/>
      </c>
      <c r="MB125" s="31" t="str">
        <f>IF(MA125/(INDEX('Standards for Conversions'!$H$47:$H$73,MATCH(LZ$3,'Standards for Conversions'!$A$47:$A$73,0)))=0,"",MA125/(INDEX('Standards for Conversions'!$H$47:$H$73,MATCH(LZ$3,'Standards for Conversions'!$A$47:$A$73,0))))</f>
        <v/>
      </c>
      <c r="ME125" s="31" t="str">
        <f>IF(MD125/(INDEX('Standards for Conversions'!$H$47:$H$73,MATCH(MC$3,'Standards for Conversions'!$A$47:$A$73,0)))=0,"",MD125/(INDEX('Standards for Conversions'!$H$47:$H$73,MATCH(MC$3,'Standards for Conversions'!$A$47:$A$73,0))))</f>
        <v/>
      </c>
      <c r="MH125" s="31" t="str">
        <f>IF(MG125/(INDEX('Standards for Conversions'!$H$47:$H$73,MATCH(MF$3,'Standards for Conversions'!$A$47:$A$73,0)))=0,"",MG125/(INDEX('Standards for Conversions'!$H$47:$H$73,MATCH(MF$3,'Standards for Conversions'!$A$47:$A$73,0))))</f>
        <v/>
      </c>
      <c r="MK125" s="31" t="str">
        <f>IF(MJ125/(INDEX('Standards for Conversions'!$H$47:$H$73,MATCH(MI$3,'Standards for Conversions'!$A$47:$A$73,0)))=0,"",MJ125/(INDEX('Standards for Conversions'!$H$47:$H$73,MATCH(MI$3,'Standards for Conversions'!$A$47:$A$73,0))))</f>
        <v/>
      </c>
      <c r="MN125" s="31" t="str">
        <f>IF(MM125/(INDEX('Standards for Conversions'!$H$47:$H$73,MATCH(ML$3,'Standards for Conversions'!$A$47:$A$73,0)))=0,"",MM125/(INDEX('Standards for Conversions'!$H$47:$H$73,MATCH(ML$3,'Standards for Conversions'!$A$47:$A$73,0))))</f>
        <v/>
      </c>
      <c r="MR125" s="31" t="str">
        <f>IF(MQ125/(INDEX('Standards for Conversions'!$H$47:$H$73,MATCH(MP$3,'Standards for Conversions'!$A$47:$A$73,0)))=0,"",MQ125/(INDEX('Standards for Conversions'!$H$47:$H$73,MATCH(MP$3,'Standards for Conversions'!$A$47:$A$73,0))))</f>
        <v/>
      </c>
    </row>
    <row r="126" spans="1:356" hidden="1" x14ac:dyDescent="0.3">
      <c r="A126" s="103" t="s">
        <v>291</v>
      </c>
      <c r="B126" s="10" t="s">
        <v>40</v>
      </c>
      <c r="C126" s="7"/>
      <c r="D126" s="7"/>
      <c r="E126" s="31" t="str">
        <f>IF(D126/(INDEX('Standards for Conversions'!$H$34:$H$73,MATCH(C$3,'Standards for Conversions'!$A$34:$A$73,0)))=0,"",D126/(INDEX('Standards for Conversions'!$H$34:$H$73,MATCH(C$3,'Standards for Conversions'!$A$34:$A$73,0))))</f>
        <v/>
      </c>
      <c r="F126" s="10" t="s">
        <v>40</v>
      </c>
      <c r="G126" s="7"/>
      <c r="H126" s="7"/>
      <c r="I126" s="31" t="str">
        <f>IF(H126/(INDEX('Standards for Conversions'!$H$34:$H$73,MATCH(G$3,'Standards for Conversions'!$A$34:$A$73,0)))=0,"",H126/(INDEX('Standards for Conversions'!$H$34:$H$73,MATCH(G$3,'Standards for Conversions'!$A$34:$A$73,0))))</f>
        <v/>
      </c>
      <c r="J126" s="10" t="s">
        <v>40</v>
      </c>
      <c r="K126" s="9"/>
      <c r="L126" s="9"/>
      <c r="M126" s="31" t="str">
        <f>IF(L126/(INDEX('Standards for Conversions'!$H$34:$H$73,MATCH(K$3,'Standards for Conversions'!$A$34:$A$73,0)))=0,"",L126/(INDEX('Standards for Conversions'!$H$34:$H$73,MATCH(K$3,'Standards for Conversions'!$A$34:$A$73,0))))</f>
        <v/>
      </c>
      <c r="N126" s="10" t="s">
        <v>40</v>
      </c>
      <c r="O126" s="7"/>
      <c r="P126" s="7"/>
      <c r="Q126" s="31" t="str">
        <f>IF(P126/(INDEX('Standards for Conversions'!$H$34:$H$73,MATCH(O$3,'Standards for Conversions'!$A$34:$A$73,0)))=0,"",P126/(INDEX('Standards for Conversions'!$H$34:$H$73,MATCH(O$3,'Standards for Conversions'!$A$34:$A$73,0))))</f>
        <v/>
      </c>
      <c r="R126" s="10" t="s">
        <v>40</v>
      </c>
      <c r="S126" s="7"/>
      <c r="T126" s="7"/>
      <c r="U126" s="31" t="str">
        <f>IF(T126/(INDEX('Standards for Conversions'!$H$34:$H$73,MATCH(S$3,'Standards for Conversions'!$A$34:$A$73,0)))=0,"",T126/(INDEX('Standards for Conversions'!$H$34:$H$73,MATCH(S$3,'Standards for Conversions'!$A$34:$A$73,0))))</f>
        <v/>
      </c>
      <c r="V126" s="10" t="s">
        <v>40</v>
      </c>
      <c r="W126" s="7"/>
      <c r="X126" s="7"/>
      <c r="Y126" s="31" t="str">
        <f>IF(X126/(INDEX('Standards for Conversions'!$H$34:$H$73,MATCH(W$3,'Standards for Conversions'!$A$34:$A$73,0)))=0,"",X126/(INDEX('Standards for Conversions'!$H$34:$H$73,MATCH(W$3,'Standards for Conversions'!$A$34:$A$73,0))))</f>
        <v/>
      </c>
      <c r="Z126" s="10" t="s">
        <v>40</v>
      </c>
      <c r="AA126" s="9"/>
      <c r="AB126" s="9"/>
      <c r="AC126" s="31" t="str">
        <f>IF(AB126/(INDEX('Standards for Conversions'!$H$34:$H$73,MATCH(AA$3,'Standards for Conversions'!$A$34:$A$73,0)))=0,"",AB126/(INDEX('Standards for Conversions'!$H$34:$H$73,MATCH(AA$3,'Standards for Conversions'!$A$34:$A$73,0))))</f>
        <v/>
      </c>
      <c r="AD126" s="10" t="s">
        <v>40</v>
      </c>
      <c r="AE126" s="7"/>
      <c r="AF126" s="7"/>
      <c r="AG126" s="31" t="str">
        <f>IF(AF126/(INDEX('Standards for Conversions'!$H$34:$H$73,MATCH(AE$3,'Standards for Conversions'!$A$34:$A$73,0)))=0,"",AF126/(INDEX('Standards for Conversions'!$H$34:$H$73,MATCH(AE$3,'Standards for Conversions'!$A$34:$A$73,0))))</f>
        <v/>
      </c>
      <c r="AH126" s="10" t="s">
        <v>40</v>
      </c>
      <c r="AI126" s="7"/>
      <c r="AJ126" s="7"/>
      <c r="AK126" s="31" t="str">
        <f>IF(AJ126/(INDEX('Standards for Conversions'!$H$34:$H$73,MATCH(AI$3,'Standards for Conversions'!$A$34:$A$73,0)))=0,"",AJ126/(INDEX('Standards for Conversions'!$H$34:$H$73,MATCH(AI$3,'Standards for Conversions'!$A$34:$A$73,0))))</f>
        <v/>
      </c>
      <c r="AL126" s="10" t="s">
        <v>40</v>
      </c>
      <c r="AM126" s="7"/>
      <c r="AN126" s="7"/>
      <c r="AO126" s="31" t="str">
        <f>IF(AN126/(INDEX('Standards for Conversions'!$H$34:$H$73,MATCH(AM$3,'Standards for Conversions'!$A$34:$A$73,0)))=0,"",AN126/(INDEX('Standards for Conversions'!$H$34:$H$73,MATCH(AM$3,'Standards for Conversions'!$A$34:$A$73,0))))</f>
        <v/>
      </c>
      <c r="AP126" s="10" t="s">
        <v>40</v>
      </c>
      <c r="AQ126" s="9"/>
      <c r="AR126" s="9"/>
      <c r="AS126" s="31" t="str">
        <f>IF(AR126/(INDEX('Standards for Conversions'!$H$34:$H$73,MATCH(AQ$3,'Standards for Conversions'!$A$34:$A$73,0)))=0,"",AR126/(INDEX('Standards for Conversions'!$H$34:$H$73,MATCH(AQ$3,'Standards for Conversions'!$A$34:$A$73,0))))</f>
        <v/>
      </c>
      <c r="AT126" s="10" t="s">
        <v>40</v>
      </c>
      <c r="AU126" s="7"/>
      <c r="AV126" s="7"/>
      <c r="AW126" s="31" t="str">
        <f>IF(AV126/(INDEX('Standards for Conversions'!$H$34:$H$73,MATCH(AU$3,'Standards for Conversions'!$A$34:$A$73,0)))=0,"",AV126/(INDEX('Standards for Conversions'!$H$34:$H$73,MATCH(AU$3,'Standards for Conversions'!$A$34:$A$73,0))))</f>
        <v/>
      </c>
      <c r="AX126" s="10" t="s">
        <v>40</v>
      </c>
      <c r="AY126" s="7"/>
      <c r="AZ126" s="7"/>
      <c r="BA126" s="31" t="str">
        <f>IF(AZ126/(INDEX('Standards for Conversions'!$H$34:$H$73,MATCH(AY$3,'Standards for Conversions'!$A$34:$A$73,0)))=0,"",AZ126/(INDEX('Standards for Conversions'!$H$34:$H$73,MATCH(AY$3,'Standards for Conversions'!$A$34:$A$73,0))))</f>
        <v/>
      </c>
      <c r="BB126" s="10" t="s">
        <v>40</v>
      </c>
      <c r="BC126" s="7"/>
      <c r="BD126" s="7"/>
      <c r="BE126" s="31" t="str">
        <f>IF(BD126/(INDEX('Standards for Conversions'!$H$34:$H$73,MATCH(BC$3,'Standards for Conversions'!$A$34:$A$73,0)))=0,"",BD126/(INDEX('Standards for Conversions'!$H$34:$H$73,MATCH(BC$3,'Standards for Conversions'!$A$34:$A$73,0))))</f>
        <v/>
      </c>
      <c r="BF126" s="10" t="s">
        <v>40</v>
      </c>
      <c r="BG126" s="9"/>
      <c r="BH126" s="9"/>
      <c r="BI126" s="31" t="str">
        <f>IF(BH126/(INDEX('Standards for Conversions'!$H$34:$H$73,MATCH(BG$3,'Standards for Conversions'!$A$34:$A$73,0)))=0,"",BH126/(INDEX('Standards for Conversions'!$H$34:$H$73,MATCH(BG$3,'Standards for Conversions'!$A$34:$A$73,0))))</f>
        <v/>
      </c>
      <c r="BJ126" s="10" t="s">
        <v>40</v>
      </c>
      <c r="BK126" s="7"/>
      <c r="BL126" s="7"/>
      <c r="BM126" s="31" t="str">
        <f>IF(BL126/(INDEX('Standards for Conversions'!$H$34:$H$73,MATCH(BK$3,'Standards for Conversions'!$A$34:$A$73,0)))=0,"",BL126/(INDEX('Standards for Conversions'!$H$34:$H$73,MATCH(BK$3,'Standards for Conversions'!$A$34:$A$73,0))))</f>
        <v/>
      </c>
      <c r="BN126" s="10" t="s">
        <v>40</v>
      </c>
      <c r="BO126" s="7"/>
      <c r="BP126" s="7"/>
      <c r="BQ126" s="31" t="str">
        <f>IF(BP126/(INDEX('Standards for Conversions'!$H$34:$H$73,MATCH(BO$3,'Standards for Conversions'!$A$34:$A$73,0)))=0,"",BP126/(INDEX('Standards for Conversions'!$H$34:$H$73,MATCH(BO$3,'Standards for Conversions'!$A$34:$A$73,0))))</f>
        <v/>
      </c>
      <c r="BR126" s="10" t="s">
        <v>40</v>
      </c>
      <c r="BS126" s="7"/>
      <c r="BT126" s="7"/>
      <c r="BU126" s="31" t="str">
        <f>IF(BT126/(INDEX('Standards for Conversions'!$H$34:$H$73,MATCH(BS$3,'Standards for Conversions'!$A$34:$A$73,0)))=0,"",BT126/(INDEX('Standards for Conversions'!$H$34:$H$73,MATCH(BS$3,'Standards for Conversions'!$A$34:$A$73,0))))</f>
        <v/>
      </c>
      <c r="BV126" s="10" t="s">
        <v>40</v>
      </c>
      <c r="BW126" s="9"/>
      <c r="BX126" s="9"/>
      <c r="BY126" s="31" t="str">
        <f>IF(BX126/(INDEX('Standards for Conversions'!$H$34:$H$73,MATCH(BW$3,'Standards for Conversions'!$A$34:$A$73,0)))=0,"",BX126/(INDEX('Standards for Conversions'!$H$34:$H$73,MATCH(BW$3,'Standards for Conversions'!$A$34:$A$73,0))))</f>
        <v/>
      </c>
      <c r="BZ126" s="10" t="s">
        <v>40</v>
      </c>
      <c r="CA126" s="7"/>
      <c r="CB126" s="7"/>
      <c r="CC126" s="31" t="str">
        <f>IF(CB126/(INDEX('Standards for Conversions'!$H$34:$H$73,MATCH(CA$3,'Standards for Conversions'!$A$34:$A$73,0)))=0,"",CB126/(INDEX('Standards for Conversions'!$H$34:$H$73,MATCH(CA$3,'Standards for Conversions'!$A$34:$A$73,0))))</f>
        <v/>
      </c>
      <c r="CD126" s="10" t="s">
        <v>40</v>
      </c>
      <c r="CE126" s="7"/>
      <c r="CF126" s="7"/>
      <c r="CG126" s="31" t="str">
        <f>IF(CF126/(INDEX('Standards for Conversions'!$H$34:$H$73,MATCH(CE$3,'Standards for Conversions'!$A$34:$A$73,0)))=0,"",CF126/(INDEX('Standards for Conversions'!$H$34:$H$73,MATCH(CE$3,'Standards for Conversions'!$A$34:$A$73,0))))</f>
        <v/>
      </c>
      <c r="CH126" s="10" t="s">
        <v>40</v>
      </c>
      <c r="CI126" s="7"/>
      <c r="CJ126" s="7"/>
      <c r="CK126" s="31" t="str">
        <f>IF(CJ126/(INDEX('Standards for Conversions'!$H$34:$H$73,MATCH(CI$3,'Standards for Conversions'!$A$34:$A$73,0)))=0,"",CJ126/(INDEX('Standards for Conversions'!$H$34:$H$73,MATCH(CI$3,'Standards for Conversions'!$A$34:$A$73,0))))</f>
        <v/>
      </c>
      <c r="CL126" s="10" t="s">
        <v>40</v>
      </c>
      <c r="CM126" s="9"/>
      <c r="CN126" s="9"/>
      <c r="CO126" s="31" t="str">
        <f>IF(CN126/(INDEX('Standards for Conversions'!$H$34:$H$73,MATCH(CM$3,'Standards for Conversions'!$A$34:$A$73,0)))=0,"",CN126/(INDEX('Standards for Conversions'!$H$34:$H$73,MATCH(CM$3,'Standards for Conversions'!$A$34:$A$73,0))))</f>
        <v/>
      </c>
      <c r="CP126" s="10" t="s">
        <v>40</v>
      </c>
      <c r="CQ126" s="7"/>
      <c r="CR126" s="7"/>
      <c r="CS126" s="31" t="str">
        <f>IF(CR126/(INDEX('Standards for Conversions'!$H$34:$H$73,MATCH(CQ$3,'Standards for Conversions'!$A$34:$A$73,0)))=0,"",CR126/(INDEX('Standards for Conversions'!$H$34:$H$73,MATCH(CQ$3,'Standards for Conversions'!$A$34:$A$73,0))))</f>
        <v/>
      </c>
      <c r="CT126" s="10" t="s">
        <v>40</v>
      </c>
      <c r="CU126" s="7"/>
      <c r="CV126" s="7"/>
      <c r="CW126" s="31" t="str">
        <f>IF(CV126/(INDEX('Standards for Conversions'!$H$34:$H$73,MATCH(CU$3,'Standards for Conversions'!$A$34:$A$73,0)))=0,"",CV126/(INDEX('Standards for Conversions'!$H$34:$H$73,MATCH(CU$3,'Standards for Conversions'!$A$34:$A$73,0))))</f>
        <v/>
      </c>
      <c r="CX126" s="10" t="s">
        <v>40</v>
      </c>
      <c r="CY126" s="7"/>
      <c r="CZ126" s="7"/>
      <c r="DA126" s="31" t="str">
        <f>IF(CZ126/(INDEX('Standards for Conversions'!$H$34:$H$73,MATCH(CY$3,'Standards for Conversions'!$A$34:$A$73,0)))=0,"",CZ126/(INDEX('Standards for Conversions'!$H$34:$H$73,MATCH(CY$3,'Standards for Conversions'!$A$34:$A$73,0))))</f>
        <v/>
      </c>
      <c r="DB126" s="10" t="s">
        <v>40</v>
      </c>
      <c r="DC126" s="9"/>
      <c r="DD126" s="9"/>
      <c r="DE126" s="31" t="str">
        <f>IF(DD126/(INDEX('Standards for Conversions'!$H$34:$H$73,MATCH(DC$3,'Standards for Conversions'!$A$34:$A$73,0)))=0,"",DD126/(INDEX('Standards for Conversions'!$H$34:$H$73,MATCH(DC$3,'Standards for Conversions'!$A$34:$A$73,0))))</f>
        <v/>
      </c>
      <c r="DF126" s="10" t="s">
        <v>40</v>
      </c>
      <c r="DG126" s="7"/>
      <c r="DH126" s="7"/>
      <c r="DI126" s="31" t="str">
        <f>IF(DH126/(INDEX('Standards for Conversions'!$H$34:$H$73,MATCH(DG$3,'Standards for Conversions'!$A$34:$A$73,0)))=0,"",DH126/(INDEX('Standards for Conversions'!$H$34:$H$73,MATCH(DG$3,'Standards for Conversions'!$A$34:$A$73,0))))</f>
        <v/>
      </c>
      <c r="DJ126" s="10" t="s">
        <v>40</v>
      </c>
      <c r="DK126" s="7"/>
      <c r="DL126" s="7"/>
      <c r="DM126" s="31" t="str">
        <f>IF(DL126/(INDEX('Standards for Conversions'!$H$34:$H$73,MATCH(DK$3,'Standards for Conversions'!$A$34:$A$73,0)))=0,"",DL126/(INDEX('Standards for Conversions'!$H$34:$H$73,MATCH(DK$3,'Standards for Conversions'!$A$34:$A$73,0))))</f>
        <v/>
      </c>
      <c r="DN126" s="10" t="s">
        <v>40</v>
      </c>
      <c r="DO126" s="7"/>
      <c r="DP126" s="7"/>
      <c r="DQ126" s="31" t="str">
        <f>IF(DP126/(INDEX('Standards for Conversions'!$H$34:$H$73,MATCH(DO$3,'Standards for Conversions'!$A$34:$A$73,0)))=0,"",DP126/(INDEX('Standards for Conversions'!$H$34:$H$73,MATCH(DO$3,'Standards for Conversions'!$A$34:$A$73,0))))</f>
        <v/>
      </c>
      <c r="DR126" s="10" t="s">
        <v>40</v>
      </c>
      <c r="DS126" s="9"/>
      <c r="DT126" s="9"/>
      <c r="DU126" s="31" t="str">
        <f>IF(DT126/(INDEX('Standards for Conversions'!$H$34:$H$73,MATCH(DS$3,'Standards for Conversions'!$A$34:$A$73,0)))=0,"",DT126/(INDEX('Standards for Conversions'!$H$34:$H$73,MATCH(DS$3,'Standards for Conversions'!$A$34:$A$73,0))))</f>
        <v/>
      </c>
      <c r="DV126" s="10" t="s">
        <v>40</v>
      </c>
      <c r="DW126" s="7"/>
      <c r="DX126" s="7"/>
      <c r="DY126" s="31" t="str">
        <f>IF(DX126/(INDEX('Standards for Conversions'!$H$34:$H$73,MATCH(DW$3,'Standards for Conversions'!$A$34:$A$73,0)))=0,"",DX126/(INDEX('Standards for Conversions'!$H$34:$H$73,MATCH(DW$3,'Standards for Conversions'!$A$34:$A$73,0))))</f>
        <v/>
      </c>
      <c r="DZ126" s="10" t="s">
        <v>40</v>
      </c>
      <c r="EA126" s="7"/>
      <c r="EB126" s="7"/>
      <c r="EC126" s="31" t="str">
        <f>IF(EB126/(INDEX('Standards for Conversions'!$H$34:$H$73,MATCH(EA$3,'Standards for Conversions'!$A$34:$A$73,0)))=0,"",EB126/(INDEX('Standards for Conversions'!$H$34:$H$73,MATCH(EA$3,'Standards for Conversions'!$A$34:$A$73,0))))</f>
        <v/>
      </c>
      <c r="ED126" s="10" t="s">
        <v>40</v>
      </c>
      <c r="EE126" s="7"/>
      <c r="EF126" s="7"/>
      <c r="EG126" s="31" t="str">
        <f>IF(EF126/(INDEX('Standards for Conversions'!$H$34:$H$73,MATCH(EE$3,'Standards for Conversions'!$A$34:$A$73,0)))=0,"",EF126/(INDEX('Standards for Conversions'!$H$34:$H$73,MATCH(EE$3,'Standards for Conversions'!$A$34:$A$73,0))))</f>
        <v/>
      </c>
      <c r="EH126" s="10" t="s">
        <v>40</v>
      </c>
      <c r="EI126" s="9"/>
      <c r="EJ126" s="9"/>
      <c r="EK126" s="31" t="str">
        <f>IF(EJ126/(INDEX('Standards for Conversions'!$H$34:$H$73,MATCH(EI$3,'Standards for Conversions'!$A$34:$A$73,0)))=0,"",EJ126/(INDEX('Standards for Conversions'!$H$34:$H$73,MATCH(EI$3,'Standards for Conversions'!$A$34:$A$73,0))))</f>
        <v/>
      </c>
      <c r="EL126" s="10" t="s">
        <v>40</v>
      </c>
      <c r="EM126" s="7"/>
      <c r="EN126" s="7"/>
      <c r="EO126" s="31" t="str">
        <f>IF(EN126/(INDEX('Standards for Conversions'!$H$34:$H$73,MATCH(EM$3,'Standards for Conversions'!$A$34:$A$73,0)))=0,"",EN126/(INDEX('Standards for Conversions'!$H$34:$H$73,MATCH(EM$3,'Standards for Conversions'!$A$34:$A$73,0))))</f>
        <v/>
      </c>
      <c r="EP126" s="10" t="s">
        <v>40</v>
      </c>
      <c r="EQ126" s="7"/>
      <c r="ER126" s="7"/>
      <c r="ES126" s="31" t="str">
        <f>IF(ER126/(INDEX('Standards for Conversions'!$H$34:$H$73,MATCH(EQ$3,'Standards for Conversions'!$A$34:$A$73,0)))=0,"",ER126/(INDEX('Standards for Conversions'!$H$34:$H$73,MATCH(EQ$3,'Standards for Conversions'!$A$34:$A$73,0))))</f>
        <v/>
      </c>
      <c r="ET126" s="10" t="s">
        <v>40</v>
      </c>
      <c r="EU126" s="7"/>
      <c r="EV126" s="7"/>
      <c r="EW126" s="31" t="str">
        <f>IF(EV126/(INDEX('Standards for Conversions'!$H$34:$H$73,MATCH(EU$3,'Standards for Conversions'!$A$34:$A$73,0)))=0,"",EV126/(INDEX('Standards for Conversions'!$H$34:$H$73,MATCH(EU$3,'Standards for Conversions'!$A$34:$A$73,0))))</f>
        <v/>
      </c>
      <c r="EX126" s="10" t="s">
        <v>40</v>
      </c>
      <c r="EY126" s="9"/>
      <c r="EZ126" s="9"/>
      <c r="FA126" s="31" t="str">
        <f>IF(EZ126/(INDEX('Standards for Conversions'!$H$34:$H$73,MATCH(EY$3,'Standards for Conversions'!$A$34:$A$73,0)))=0,"",EZ126/(INDEX('Standards for Conversions'!$H$34:$H$73,MATCH(EY$3,'Standards for Conversions'!$A$34:$A$73,0))))</f>
        <v/>
      </c>
      <c r="FB126" s="10" t="s">
        <v>40</v>
      </c>
      <c r="FC126" s="7"/>
      <c r="FD126" s="7"/>
      <c r="FE126" s="31" t="str">
        <f>IF(FD126/(INDEX('Standards for Conversions'!$H$34:$H$73,MATCH(FC$3,'Standards for Conversions'!$A$34:$A$73,0)))=0,"",FD126/(INDEX('Standards for Conversions'!$H$34:$H$73,MATCH(FC$3,'Standards for Conversions'!$A$34:$A$73,0))))</f>
        <v/>
      </c>
      <c r="FF126" s="10" t="s">
        <v>40</v>
      </c>
      <c r="FG126" s="7"/>
      <c r="FH126" s="7"/>
      <c r="FI126" s="31" t="str">
        <f>IF(FH126/(INDEX('Standards for Conversions'!$H$34:$H$73,MATCH(FG$3,'Standards for Conversions'!$A$34:$A$73,0)))=0,"",FH126/(INDEX('Standards for Conversions'!$H$34:$H$73,MATCH(FG$3,'Standards for Conversions'!$A$34:$A$73,0))))</f>
        <v/>
      </c>
      <c r="FJ126" s="10" t="s">
        <v>40</v>
      </c>
      <c r="FK126" s="7"/>
      <c r="FL126" s="7"/>
      <c r="FM126" s="31" t="str">
        <f>IF(FL126/(INDEX('Standards for Conversions'!$H$34:$H$73,MATCH(FK$3,'Standards for Conversions'!$A$34:$A$73,0)))=0,"",FL126/(INDEX('Standards for Conversions'!$H$34:$H$73,MATCH(FK$3,'Standards for Conversions'!$A$34:$A$73,0))))</f>
        <v/>
      </c>
      <c r="FN126" s="10" t="s">
        <v>40</v>
      </c>
      <c r="FO126" s="9"/>
      <c r="FP126" s="9"/>
      <c r="FQ126" s="31" t="str">
        <f>IF(FP126/(INDEX('Standards for Conversions'!$H$34:$H$73,MATCH(FO$3,'Standards for Conversions'!$A$34:$A$73,0)))=0,"",FP126/(INDEX('Standards for Conversions'!$H$34:$H$73,MATCH(FO$3,'Standards for Conversions'!$A$34:$A$73,0))))</f>
        <v/>
      </c>
      <c r="FR126" s="10" t="s">
        <v>40</v>
      </c>
      <c r="FS126" s="7"/>
      <c r="FT126" s="7"/>
      <c r="FU126" s="31" t="str">
        <f>IF(FT126/(INDEX('Standards for Conversions'!$H$34:$H$73,MATCH(FS$3,'Standards for Conversions'!$A$34:$A$73,0)))=0,"",FT126/(INDEX('Standards for Conversions'!$H$34:$H$73,MATCH(FS$3,'Standards for Conversions'!$A$34:$A$73,0))))</f>
        <v/>
      </c>
      <c r="FV126" s="10" t="s">
        <v>40</v>
      </c>
      <c r="FW126" s="7"/>
      <c r="FX126" s="7"/>
      <c r="FY126" s="31" t="str">
        <f>IF(FX126/(INDEX('Standards for Conversions'!$H$34:$H$73,MATCH(FW$3,'Standards for Conversions'!$A$34:$A$73,0)))=0,"",FX126/(INDEX('Standards for Conversions'!$H$34:$H$73,MATCH(FW$3,'Standards for Conversions'!$A$34:$A$73,0))))</f>
        <v/>
      </c>
      <c r="FZ126" s="10" t="s">
        <v>40</v>
      </c>
      <c r="GA126" s="7"/>
      <c r="GB126" s="7"/>
      <c r="GC126" s="31" t="str">
        <f>IF(GB126/(INDEX('Standards for Conversions'!$H$34:$H$73,MATCH(GA$3,'Standards for Conversions'!$A$34:$A$73,0)))=0,"",GB126/(INDEX('Standards for Conversions'!$H$34:$H$73,MATCH(GA$3,'Standards for Conversions'!$A$34:$A$73,0))))</f>
        <v/>
      </c>
      <c r="GD126" s="10" t="s">
        <v>40</v>
      </c>
      <c r="GE126" s="9"/>
      <c r="GF126" s="9"/>
      <c r="GG126" s="31" t="str">
        <f>IF(GF126/(INDEX('Standards for Conversions'!$H$34:$H$73,MATCH(GE$3,'Standards for Conversions'!$A$34:$A$73,0)))=0,"",GF126/(INDEX('Standards for Conversions'!$H$34:$H$73,MATCH(GE$3,'Standards for Conversions'!$A$34:$A$73,0))))</f>
        <v/>
      </c>
      <c r="GH126" s="10" t="s">
        <v>40</v>
      </c>
      <c r="GI126" s="7"/>
      <c r="GJ126" s="7"/>
      <c r="GK126" s="31" t="str">
        <f>IF(GJ126/(INDEX('Standards for Conversions'!$H$34:$H$73,MATCH(GI$3,'Standards for Conversions'!$A$34:$A$73,0)))=0,"",GJ126/(INDEX('Standards for Conversions'!$H$34:$H$73,MATCH(GI$3,'Standards for Conversions'!$A$34:$A$73,0))))</f>
        <v/>
      </c>
      <c r="GL126" s="10" t="s">
        <v>40</v>
      </c>
      <c r="GM126" s="7"/>
      <c r="GN126" s="7"/>
      <c r="GO126" s="31" t="str">
        <f>IF(GN126/(INDEX('Standards for Conversions'!$H$34:$H$73,MATCH(GM$3,'Standards for Conversions'!$A$34:$A$73,0)))=0,"",GN126/(INDEX('Standards for Conversions'!$H$34:$H$73,MATCH(GM$3,'Standards for Conversions'!$A$34:$A$73,0))))</f>
        <v/>
      </c>
      <c r="GP126" s="10" t="s">
        <v>40</v>
      </c>
      <c r="GQ126" s="7"/>
      <c r="GR126" s="7"/>
      <c r="GS126" s="31" t="str">
        <f>IF(GR126/(INDEX('Standards for Conversions'!$H$34:$H$73,MATCH(GQ$3,'Standards for Conversions'!$A$34:$A$73,0)))=0,"",GR126/(INDEX('Standards for Conversions'!$H$34:$H$73,MATCH(GQ$3,'Standards for Conversions'!$A$34:$A$73,0))))</f>
        <v/>
      </c>
      <c r="GT126" s="10" t="s">
        <v>40</v>
      </c>
      <c r="GU126" s="9"/>
      <c r="GV126" s="9"/>
      <c r="GW126" s="31" t="str">
        <f>IF(GV126/(INDEX('Standards for Conversions'!$H$34:$H$73,MATCH(GU$3,'Standards for Conversions'!$A$34:$A$73,0)))=0,"",GV126/(INDEX('Standards for Conversions'!$H$34:$H$73,MATCH(GU$3,'Standards for Conversions'!$A$34:$A$73,0))))</f>
        <v/>
      </c>
      <c r="GX126" s="10" t="s">
        <v>40</v>
      </c>
      <c r="GY126" s="7"/>
      <c r="GZ126" s="7"/>
      <c r="HA126" s="31" t="str">
        <f>IF(GZ126/(INDEX('Standards for Conversions'!$H$34:$H$73,MATCH(GY$3,'Standards for Conversions'!$A$34:$A$73,0)))=0,"",GZ126/(INDEX('Standards for Conversions'!$H$34:$H$73,MATCH(GY$3,'Standards for Conversions'!$A$34:$A$73,0))))</f>
        <v/>
      </c>
      <c r="HB126" s="10" t="s">
        <v>40</v>
      </c>
      <c r="HC126" s="7"/>
      <c r="HD126" s="7"/>
      <c r="HE126" s="31" t="str">
        <f>IF(HD126/(INDEX('Standards for Conversions'!$H$34:$H$73,MATCH(HC$3,'Standards for Conversions'!$A$34:$A$73,0)))=0,"",HD126/(INDEX('Standards for Conversions'!$H$34:$H$73,MATCH(HC$3,'Standards for Conversions'!$A$34:$A$73,0))))</f>
        <v/>
      </c>
      <c r="HF126" s="10" t="s">
        <v>40</v>
      </c>
      <c r="HG126" s="7"/>
      <c r="HH126" s="7"/>
      <c r="HI126" s="31" t="str">
        <f>IF(HH126/(INDEX('Standards for Conversions'!$H$34:$H$73,MATCH(HG$3,'Standards for Conversions'!$A$34:$A$73,0)))=0,"",HH126/(INDEX('Standards for Conversions'!$H$34:$H$73,MATCH(HG$3,'Standards for Conversions'!$A$34:$A$73,0))))</f>
        <v/>
      </c>
      <c r="HJ126" s="10" t="s">
        <v>40</v>
      </c>
      <c r="HK126" s="9"/>
      <c r="HL126" s="9"/>
      <c r="HM126" s="31" t="str">
        <f>IF(HL126/(INDEX('Standards for Conversions'!$H$34:$H$73,MATCH(HK$3,'Standards for Conversions'!$A$34:$A$73,0)))=0,"",HL126/(INDEX('Standards for Conversions'!$H$34:$H$73,MATCH(HK$3,'Standards for Conversions'!$A$34:$A$73,0))))</f>
        <v/>
      </c>
      <c r="HN126" s="10" t="s">
        <v>40</v>
      </c>
      <c r="HO126" s="7"/>
      <c r="HP126" s="7"/>
      <c r="HQ126" s="31" t="str">
        <f>IF(HP126/(INDEX('Standards for Conversions'!$H$34:$H$73,MATCH(HO$3,'Standards for Conversions'!$A$34:$A$73,0)))=0,"",HP126/(INDEX('Standards for Conversions'!$H$34:$H$73,MATCH(HO$3,'Standards for Conversions'!$A$34:$A$73,0))))</f>
        <v/>
      </c>
      <c r="HR126" s="33" t="s">
        <v>40</v>
      </c>
      <c r="HU126" s="31" t="str">
        <f>IF(HT126/(INDEX('Standards for Conversions'!$H$47:$H$73,MATCH(HS$3,'Standards for Conversions'!$A$47:$A$73,0)))=0,"",HT126/(INDEX('Standards for Conversions'!$H$47:$H$73,MATCH(HS$3,'Standards for Conversions'!$A$47:$A$73,0))))</f>
        <v/>
      </c>
      <c r="HV126" s="33" t="s">
        <v>40</v>
      </c>
      <c r="HY126" s="31" t="str">
        <f>IF(HX126/(INDEX('Standards for Conversions'!$H$47:$H$73,MATCH(HW$3,'Standards for Conversions'!$A$47:$A$73,0)))=0,"",HX126/(INDEX('Standards for Conversions'!$H$47:$H$73,MATCH(HW$3,'Standards for Conversions'!$A$47:$A$73,0))))</f>
        <v/>
      </c>
      <c r="HZ126" s="33">
        <v>25</v>
      </c>
      <c r="IA126" s="33">
        <v>300</v>
      </c>
      <c r="IB126" s="31">
        <f>IF(IA126/(INDEX('Standards for Conversions'!$H$47:$H$73,MATCH(HZ$3,'Standards for Conversions'!$A$47:$A$73,0)))=0,"",IA126/(INDEX('Standards for Conversions'!$H$47:$H$73,MATCH(HZ$3,'Standards for Conversions'!$A$47:$A$73,0))))</f>
        <v>43.573623663856786</v>
      </c>
      <c r="IC126" s="33" t="s">
        <v>40</v>
      </c>
      <c r="IF126" s="31" t="str">
        <f>IF(IE126/(INDEX('Standards for Conversions'!$H$47:$H$73,MATCH(ID$3,'Standards for Conversions'!$A$47:$A$73,0)))=0,"",IE126/(INDEX('Standards for Conversions'!$H$47:$H$73,MATCH(ID$3,'Standards for Conversions'!$A$47:$A$73,0))))</f>
        <v/>
      </c>
      <c r="IG126" s="33" t="s">
        <v>40</v>
      </c>
      <c r="IJ126" s="31" t="str">
        <f>IF(II126/(INDEX('Standards for Conversions'!$H$47:$H$73,MATCH(IH$3,'Standards for Conversions'!$A$47:$A$73,0)))=0,"",II126/(INDEX('Standards for Conversions'!$H$47:$H$73,MATCH(IH$3,'Standards for Conversions'!$A$47:$A$73,0))))</f>
        <v/>
      </c>
      <c r="IK126" s="33" t="s">
        <v>40</v>
      </c>
      <c r="IN126" s="31" t="str">
        <f>IF(IM126/(INDEX('Standards for Conversions'!$H$47:$H$73,MATCH(IL$3,'Standards for Conversions'!$A$47:$A$73,0)))=0,"",IM126/(INDEX('Standards for Conversions'!$H$47:$H$73,MATCH(IL$3,'Standards for Conversions'!$A$47:$A$73,0))))</f>
        <v/>
      </c>
      <c r="IO126" s="33" t="s">
        <v>40</v>
      </c>
      <c r="IP126" s="29">
        <v>18</v>
      </c>
      <c r="IQ126" s="29">
        <v>250</v>
      </c>
      <c r="IR126" s="31">
        <f>IF(IQ126/(INDEX('Standards for Conversions'!$H$47:$H$73,MATCH(IP$3,'Standards for Conversions'!$A$47:$A$73,0)))=0,"",IQ126/(INDEX('Standards for Conversions'!$H$47:$H$73,MATCH(IP$3,'Standards for Conversions'!$A$47:$A$73,0))))</f>
        <v>36.152557048608088</v>
      </c>
      <c r="IS126" s="33" t="s">
        <v>40</v>
      </c>
      <c r="IV126" s="31" t="str">
        <f>IF(IU126/(INDEX('Standards for Conversions'!$H$47:$H$73,MATCH(IT$3,'Standards for Conversions'!$A$47:$A$73,0)))=0,"",IU126/(INDEX('Standards for Conversions'!$H$47:$H$73,MATCH(IT$3,'Standards for Conversions'!$A$47:$A$73,0))))</f>
        <v/>
      </c>
      <c r="IW126" s="33" t="s">
        <v>40</v>
      </c>
      <c r="IZ126" s="31" t="str">
        <f>IF(IY126/(INDEX('Standards for Conversions'!$H$47:$H$73,MATCH(IX$3,'Standards for Conversions'!$A$47:$A$73,0)))=0,"",IY126/(INDEX('Standards for Conversions'!$H$47:$H$73,MATCH(IX$3,'Standards for Conversions'!$A$47:$A$73,0))))</f>
        <v/>
      </c>
      <c r="JA126" s="48" t="s">
        <v>40</v>
      </c>
      <c r="JD126" s="31" t="str">
        <f>IF(JC126/(INDEX('Standards for Conversions'!$H$47:$H$73,MATCH(JB$3,'Standards for Conversions'!$A$47:$A$73,0)))=0,"",JC126/(INDEX('Standards for Conversions'!$H$47:$H$73,MATCH(JB$3,'Standards for Conversions'!$A$47:$A$73,0))))</f>
        <v/>
      </c>
      <c r="JE126" s="48" t="s">
        <v>40</v>
      </c>
      <c r="JF126" s="29">
        <v>18</v>
      </c>
      <c r="JG126" s="29">
        <v>300</v>
      </c>
      <c r="JH126" s="31">
        <f>IF(JG126/(INDEX('Standards for Conversions'!$H$47:$H$73,MATCH(JF$3,'Standards for Conversions'!$A$47:$A$73,0)))=0,"",JG126/(INDEX('Standards for Conversions'!$H$47:$H$73,MATCH(JF$3,'Standards for Conversions'!$A$47:$A$73,0))))</f>
        <v>48.528059007560607</v>
      </c>
      <c r="JI126" s="33"/>
      <c r="JL126" s="31" t="str">
        <f>IF(JK126/(INDEX('Standards for Conversions'!$H$47:$H$73,MATCH(JJ$3,'Standards for Conversions'!$A$47:$A$73,0)))=0,"",JK126/(INDEX('Standards for Conversions'!$H$47:$H$73,MATCH(JJ$3,'Standards for Conversions'!$A$47:$A$73,0))))</f>
        <v/>
      </c>
      <c r="JM126" s="33" t="s">
        <v>40</v>
      </c>
      <c r="JP126" s="31" t="str">
        <f>IF(JO126/(INDEX('Standards for Conversions'!$H$47:$H$73,MATCH(JN$3,'Standards for Conversions'!$A$47:$A$73,0)))=0,"",JO126/(INDEX('Standards for Conversions'!$H$47:$H$73,MATCH(JN$3,'Standards for Conversions'!$A$47:$A$73,0))))</f>
        <v/>
      </c>
      <c r="JQ126" s="33" t="s">
        <v>40</v>
      </c>
      <c r="JT126" s="31" t="str">
        <f>IF(JS126/(INDEX('Standards for Conversions'!$H$47:$H$73,MATCH(JR$3,'Standards for Conversions'!$A$47:$A$73,0)))=0,"",JS126/(INDEX('Standards for Conversions'!$H$47:$H$73,MATCH(JR$3,'Standards for Conversions'!$A$47:$A$73,0))))</f>
        <v/>
      </c>
      <c r="JU126" s="33" t="s">
        <v>40</v>
      </c>
      <c r="JV126" s="29">
        <v>25</v>
      </c>
      <c r="JW126" s="29">
        <v>350</v>
      </c>
      <c r="JX126" s="31">
        <f>IF(JW126/(INDEX('Standards for Conversions'!$H$47:$H$73,MATCH(JV$3,'Standards for Conversions'!$A$47:$A$73,0)))=0,"",JW126/(INDEX('Standards for Conversions'!$H$47:$H$73,MATCH(JV$3,'Standards for Conversions'!$A$47:$A$73,0))))</f>
        <v>53.429562349729146</v>
      </c>
      <c r="JY126" s="33" t="s">
        <v>40</v>
      </c>
      <c r="KB126" s="31" t="str">
        <f>IF(KA126/(INDEX('Standards for Conversions'!$H$47:$H$73,MATCH(JZ$3,'Standards for Conversions'!$A$47:$A$73,0)))=0,"",KA126/(INDEX('Standards for Conversions'!$H$47:$H$73,MATCH(JZ$3,'Standards for Conversions'!$A$47:$A$73,0))))</f>
        <v/>
      </c>
      <c r="KC126" s="33" t="s">
        <v>40</v>
      </c>
      <c r="KF126" s="31" t="str">
        <f>IF(KE126/(INDEX('Standards for Conversions'!$H$47:$H$73,MATCH(KD$3,'Standards for Conversions'!$A$47:$A$73,0)))=0,"",KE126/(INDEX('Standards for Conversions'!$H$47:$H$73,MATCH(KD$3,'Standards for Conversions'!$A$47:$A$73,0))))</f>
        <v/>
      </c>
      <c r="KG126" s="33" t="s">
        <v>40</v>
      </c>
      <c r="KJ126" s="31" t="str">
        <f>IF(KI126/(INDEX('Standards for Conversions'!$H$47:$H$73,MATCH(KH$3,'Standards for Conversions'!$A$47:$A$73,0)))=0,"",KI126/(INDEX('Standards for Conversions'!$H$47:$H$73,MATCH(KH$3,'Standards for Conversions'!$A$47:$A$73,0))))</f>
        <v/>
      </c>
      <c r="KK126" s="33" t="s">
        <v>40</v>
      </c>
      <c r="KL126" s="29">
        <v>25</v>
      </c>
      <c r="KM126" s="29">
        <v>360</v>
      </c>
      <c r="KN126" s="31">
        <f>IF(KM126/(INDEX('Standards for Conversions'!$H$47:$H$73,MATCH(KL$3,'Standards for Conversions'!$A$47:$A$73,0)))=0,"",KM126/(INDEX('Standards for Conversions'!$H$47:$H$73,MATCH(KL$3,'Standards for Conversions'!$A$47:$A$73,0))))</f>
        <v>48.47724428608673</v>
      </c>
      <c r="KO126" s="33" t="s">
        <v>40</v>
      </c>
      <c r="KR126" s="31" t="str">
        <f>IF(KQ126/(INDEX('Standards for Conversions'!$H$47:$H$73,MATCH(KP$3,'Standards for Conversions'!$A$47:$A$73,0)))=0,"",KQ126/(INDEX('Standards for Conversions'!$H$47:$H$73,MATCH(KP$3,'Standards for Conversions'!$A$47:$A$73,0))))</f>
        <v/>
      </c>
      <c r="KS126" s="33" t="s">
        <v>40</v>
      </c>
      <c r="KV126" s="31" t="str">
        <f>IF(KU126/(INDEX('Standards for Conversions'!$H$47:$H$73,MATCH(KT$3,'Standards for Conversions'!$A$47:$A$73,0)))=0,"",KU126/(INDEX('Standards for Conversions'!$H$47:$H$73,MATCH(KT$3,'Standards for Conversions'!$A$47:$A$73,0))))</f>
        <v/>
      </c>
      <c r="KW126" s="48" t="s">
        <v>40</v>
      </c>
      <c r="KZ126" s="31" t="str">
        <f>IF(KY126/(INDEX('Standards for Conversions'!$H$47:$H$73,MATCH(KX$3,'Standards for Conversions'!$A$47:$A$73,0)))=0,"",KY126/(INDEX('Standards for Conversions'!$H$47:$H$73,MATCH(KX$3,'Standards for Conversions'!$A$47:$A$73,0))))</f>
        <v/>
      </c>
      <c r="LA126" s="48" t="s">
        <v>40</v>
      </c>
      <c r="LB126" s="29">
        <v>9</v>
      </c>
      <c r="LC126" s="29">
        <v>240</v>
      </c>
      <c r="LD126" s="31">
        <f>IF(LC126/(INDEX('Standards for Conversions'!$H$47:$H$73,MATCH(LB$3,'Standards for Conversions'!$A$47:$A$73,0)))=0,"",LC126/(INDEX('Standards for Conversions'!$H$47:$H$73,MATCH(LB$3,'Standards for Conversions'!$A$47:$A$73,0))))</f>
        <v>29.187976014599801</v>
      </c>
      <c r="LE126" s="33"/>
      <c r="LH126" s="31" t="str">
        <f>IF(LG126/(INDEX('Standards for Conversions'!$H$47:$H$73,MATCH(LF$3,'Standards for Conversions'!$A$47:$A$73,0)))=0,"",LG126/(INDEX('Standards for Conversions'!$H$47:$H$73,MATCH(LF$3,'Standards for Conversions'!$A$47:$A$73,0))))</f>
        <v/>
      </c>
      <c r="LL126" s="31" t="str">
        <f>IF(LK126/(INDEX('Standards for Conversions'!$H$47:$H$73,MATCH(LJ$3,'Standards for Conversions'!$A$47:$A$73,0)))=0,"",LK126/(INDEX('Standards for Conversions'!$H$47:$H$73,MATCH(LJ$3,'Standards for Conversions'!$A$47:$A$73,0))))</f>
        <v/>
      </c>
      <c r="LO126" s="31" t="str">
        <f>IF(LN126/(INDEX('Standards for Conversions'!$H$47:$H$73,MATCH(LM$3,'Standards for Conversions'!$A$47:$A$73,0)))=0,"",LN126/(INDEX('Standards for Conversions'!$H$47:$H$73,MATCH(LM$3,'Standards for Conversions'!$A$47:$A$73,0))))</f>
        <v/>
      </c>
      <c r="LR126" s="31" t="str">
        <f>IF(LQ126/(INDEX('Standards for Conversions'!$H$47:$H$73,MATCH(LP$3,'Standards for Conversions'!$A$47:$A$73,0)))=0,"",LQ126/(INDEX('Standards for Conversions'!$H$47:$H$73,MATCH(LP$3,'Standards for Conversions'!$A$47:$A$73,0))))</f>
        <v/>
      </c>
      <c r="LV126" s="31" t="str">
        <f>IF(LU126/(INDEX('Standards for Conversions'!$H$47:$H$73,MATCH(LT$3,'Standards for Conversions'!$A$47:$A$73,0)))=0,"",LU126/(INDEX('Standards for Conversions'!$H$47:$H$73,MATCH(LT$3,'Standards for Conversions'!$A$47:$A$73,0))))</f>
        <v/>
      </c>
      <c r="LY126" s="31" t="str">
        <f>IF(LX126/(INDEX('Standards for Conversions'!$H$47:$H$73,MATCH(LW$3,'Standards for Conversions'!$A$47:$A$73,0)))=0,"",LX126/(INDEX('Standards for Conversions'!$H$47:$H$73,MATCH(LW$3,'Standards for Conversions'!$A$47:$A$73,0))))</f>
        <v/>
      </c>
      <c r="MB126" s="31" t="str">
        <f>IF(MA126/(INDEX('Standards for Conversions'!$H$47:$H$73,MATCH(LZ$3,'Standards for Conversions'!$A$47:$A$73,0)))=0,"",MA126/(INDEX('Standards for Conversions'!$H$47:$H$73,MATCH(LZ$3,'Standards for Conversions'!$A$47:$A$73,0))))</f>
        <v/>
      </c>
      <c r="ME126" s="31" t="str">
        <f>IF(MD126/(INDEX('Standards for Conversions'!$H$47:$H$73,MATCH(MC$3,'Standards for Conversions'!$A$47:$A$73,0)))=0,"",MD126/(INDEX('Standards for Conversions'!$H$47:$H$73,MATCH(MC$3,'Standards for Conversions'!$A$47:$A$73,0))))</f>
        <v/>
      </c>
      <c r="MH126" s="31" t="str">
        <f>IF(MG126/(INDEX('Standards for Conversions'!$H$47:$H$73,MATCH(MF$3,'Standards for Conversions'!$A$47:$A$73,0)))=0,"",MG126/(INDEX('Standards for Conversions'!$H$47:$H$73,MATCH(MF$3,'Standards for Conversions'!$A$47:$A$73,0))))</f>
        <v/>
      </c>
      <c r="MK126" s="31" t="str">
        <f>IF(MJ126/(INDEX('Standards for Conversions'!$H$47:$H$73,MATCH(MI$3,'Standards for Conversions'!$A$47:$A$73,0)))=0,"",MJ126/(INDEX('Standards for Conversions'!$H$47:$H$73,MATCH(MI$3,'Standards for Conversions'!$A$47:$A$73,0))))</f>
        <v/>
      </c>
      <c r="MN126" s="31" t="str">
        <f>IF(MM126/(INDEX('Standards for Conversions'!$H$47:$H$73,MATCH(ML$3,'Standards for Conversions'!$A$47:$A$73,0)))=0,"",MM126/(INDEX('Standards for Conversions'!$H$47:$H$73,MATCH(ML$3,'Standards for Conversions'!$A$47:$A$73,0))))</f>
        <v/>
      </c>
      <c r="MR126" s="31" t="str">
        <f>IF(MQ126/(INDEX('Standards for Conversions'!$H$47:$H$73,MATCH(MP$3,'Standards for Conversions'!$A$47:$A$73,0)))=0,"",MQ126/(INDEX('Standards for Conversions'!$H$47:$H$73,MATCH(MP$3,'Standards for Conversions'!$A$47:$A$73,0))))</f>
        <v/>
      </c>
    </row>
    <row r="127" spans="1:356" hidden="1" x14ac:dyDescent="0.3">
      <c r="A127" s="103" t="s">
        <v>292</v>
      </c>
      <c r="B127" s="10" t="s">
        <v>40</v>
      </c>
      <c r="C127" s="7"/>
      <c r="D127" s="7"/>
      <c r="E127" s="31" t="str">
        <f>IF(D127/(INDEX('Standards for Conversions'!$H$34:$H$73,MATCH(C$3,'Standards for Conversions'!$A$34:$A$73,0)))=0,"",D127/(INDEX('Standards for Conversions'!$H$34:$H$73,MATCH(C$3,'Standards for Conversions'!$A$34:$A$73,0))))</f>
        <v/>
      </c>
      <c r="F127" s="10" t="s">
        <v>40</v>
      </c>
      <c r="G127" s="7"/>
      <c r="H127" s="7"/>
      <c r="I127" s="31" t="str">
        <f>IF(H127/(INDEX('Standards for Conversions'!$H$34:$H$73,MATCH(G$3,'Standards for Conversions'!$A$34:$A$73,0)))=0,"",H127/(INDEX('Standards for Conversions'!$H$34:$H$73,MATCH(G$3,'Standards for Conversions'!$A$34:$A$73,0))))</f>
        <v/>
      </c>
      <c r="K127" s="9"/>
      <c r="L127" s="9"/>
      <c r="M127" s="31" t="str">
        <f>IF(L127/(INDEX('Standards for Conversions'!$H$34:$H$73,MATCH(K$3,'Standards for Conversions'!$A$34:$A$73,0)))=0,"",L127/(INDEX('Standards for Conversions'!$H$34:$H$73,MATCH(K$3,'Standards for Conversions'!$A$34:$A$73,0))))</f>
        <v/>
      </c>
      <c r="O127" s="7"/>
      <c r="P127" s="7"/>
      <c r="Q127" s="31" t="str">
        <f>IF(P127/(INDEX('Standards for Conversions'!$H$34:$H$73,MATCH(O$3,'Standards for Conversions'!$A$34:$A$73,0)))=0,"",P127/(INDEX('Standards for Conversions'!$H$34:$H$73,MATCH(O$3,'Standards for Conversions'!$A$34:$A$73,0))))</f>
        <v/>
      </c>
      <c r="R127" s="10" t="s">
        <v>40</v>
      </c>
      <c r="S127" s="7"/>
      <c r="T127" s="7"/>
      <c r="U127" s="31" t="str">
        <f>IF(T127/(INDEX('Standards for Conversions'!$H$34:$H$73,MATCH(S$3,'Standards for Conversions'!$A$34:$A$73,0)))=0,"",T127/(INDEX('Standards for Conversions'!$H$34:$H$73,MATCH(S$3,'Standards for Conversions'!$A$34:$A$73,0))))</f>
        <v/>
      </c>
      <c r="V127" s="10" t="s">
        <v>40</v>
      </c>
      <c r="W127" s="7"/>
      <c r="X127" s="7"/>
      <c r="Y127" s="31" t="str">
        <f>IF(X127/(INDEX('Standards for Conversions'!$H$34:$H$73,MATCH(W$3,'Standards for Conversions'!$A$34:$A$73,0)))=0,"",X127/(INDEX('Standards for Conversions'!$H$34:$H$73,MATCH(W$3,'Standards for Conversions'!$A$34:$A$73,0))))</f>
        <v/>
      </c>
      <c r="AA127" s="9"/>
      <c r="AB127" s="9"/>
      <c r="AC127" s="31" t="str">
        <f>IF(AB127/(INDEX('Standards for Conversions'!$H$34:$H$73,MATCH(AA$3,'Standards for Conversions'!$A$34:$A$73,0)))=0,"",AB127/(INDEX('Standards for Conversions'!$H$34:$H$73,MATCH(AA$3,'Standards for Conversions'!$A$34:$A$73,0))))</f>
        <v/>
      </c>
      <c r="AE127" s="7"/>
      <c r="AF127" s="7"/>
      <c r="AG127" s="31" t="str">
        <f>IF(AF127/(INDEX('Standards for Conversions'!$H$34:$H$73,MATCH(AE$3,'Standards for Conversions'!$A$34:$A$73,0)))=0,"",AF127/(INDEX('Standards for Conversions'!$H$34:$H$73,MATCH(AE$3,'Standards for Conversions'!$A$34:$A$73,0))))</f>
        <v/>
      </c>
      <c r="AH127" s="10" t="s">
        <v>40</v>
      </c>
      <c r="AI127" s="7"/>
      <c r="AJ127" s="7"/>
      <c r="AK127" s="31" t="str">
        <f>IF(AJ127/(INDEX('Standards for Conversions'!$H$34:$H$73,MATCH(AI$3,'Standards for Conversions'!$A$34:$A$73,0)))=0,"",AJ127/(INDEX('Standards for Conversions'!$H$34:$H$73,MATCH(AI$3,'Standards for Conversions'!$A$34:$A$73,0))))</f>
        <v/>
      </c>
      <c r="AL127" s="10" t="s">
        <v>40</v>
      </c>
      <c r="AM127" s="7"/>
      <c r="AN127" s="7"/>
      <c r="AO127" s="31" t="str">
        <f>IF(AN127/(INDEX('Standards for Conversions'!$H$34:$H$73,MATCH(AM$3,'Standards for Conversions'!$A$34:$A$73,0)))=0,"",AN127/(INDEX('Standards for Conversions'!$H$34:$H$73,MATCH(AM$3,'Standards for Conversions'!$A$34:$A$73,0))))</f>
        <v/>
      </c>
      <c r="AQ127" s="9"/>
      <c r="AR127" s="9"/>
      <c r="AS127" s="31" t="str">
        <f>IF(AR127/(INDEX('Standards for Conversions'!$H$34:$H$73,MATCH(AQ$3,'Standards for Conversions'!$A$34:$A$73,0)))=0,"",AR127/(INDEX('Standards for Conversions'!$H$34:$H$73,MATCH(AQ$3,'Standards for Conversions'!$A$34:$A$73,0))))</f>
        <v/>
      </c>
      <c r="AU127" s="7"/>
      <c r="AV127" s="7"/>
      <c r="AW127" s="31" t="str">
        <f>IF(AV127/(INDEX('Standards for Conversions'!$H$34:$H$73,MATCH(AU$3,'Standards for Conversions'!$A$34:$A$73,0)))=0,"",AV127/(INDEX('Standards for Conversions'!$H$34:$H$73,MATCH(AU$3,'Standards for Conversions'!$A$34:$A$73,0))))</f>
        <v/>
      </c>
      <c r="AX127" s="10" t="s">
        <v>40</v>
      </c>
      <c r="AY127" s="7"/>
      <c r="AZ127" s="7"/>
      <c r="BA127" s="31" t="str">
        <f>IF(AZ127/(INDEX('Standards for Conversions'!$H$34:$H$73,MATCH(AY$3,'Standards for Conversions'!$A$34:$A$73,0)))=0,"",AZ127/(INDEX('Standards for Conversions'!$H$34:$H$73,MATCH(AY$3,'Standards for Conversions'!$A$34:$A$73,0))))</f>
        <v/>
      </c>
      <c r="BB127" s="10" t="s">
        <v>40</v>
      </c>
      <c r="BC127" s="7"/>
      <c r="BD127" s="7"/>
      <c r="BE127" s="31" t="str">
        <f>IF(BD127/(INDEX('Standards for Conversions'!$H$34:$H$73,MATCH(BC$3,'Standards for Conversions'!$A$34:$A$73,0)))=0,"",BD127/(INDEX('Standards for Conversions'!$H$34:$H$73,MATCH(BC$3,'Standards for Conversions'!$A$34:$A$73,0))))</f>
        <v/>
      </c>
      <c r="BG127" s="9"/>
      <c r="BH127" s="9"/>
      <c r="BI127" s="31" t="str">
        <f>IF(BH127/(INDEX('Standards for Conversions'!$H$34:$H$73,MATCH(BG$3,'Standards for Conversions'!$A$34:$A$73,0)))=0,"",BH127/(INDEX('Standards for Conversions'!$H$34:$H$73,MATCH(BG$3,'Standards for Conversions'!$A$34:$A$73,0))))</f>
        <v/>
      </c>
      <c r="BK127" s="7"/>
      <c r="BL127" s="7"/>
      <c r="BM127" s="31" t="str">
        <f>IF(BL127/(INDEX('Standards for Conversions'!$H$34:$H$73,MATCH(BK$3,'Standards for Conversions'!$A$34:$A$73,0)))=0,"",BL127/(INDEX('Standards for Conversions'!$H$34:$H$73,MATCH(BK$3,'Standards for Conversions'!$A$34:$A$73,0))))</f>
        <v/>
      </c>
      <c r="BN127" s="10" t="s">
        <v>40</v>
      </c>
      <c r="BO127" s="7"/>
      <c r="BP127" s="7"/>
      <c r="BQ127" s="31" t="str">
        <f>IF(BP127/(INDEX('Standards for Conversions'!$H$34:$H$73,MATCH(BO$3,'Standards for Conversions'!$A$34:$A$73,0)))=0,"",BP127/(INDEX('Standards for Conversions'!$H$34:$H$73,MATCH(BO$3,'Standards for Conversions'!$A$34:$A$73,0))))</f>
        <v/>
      </c>
      <c r="BR127" s="10" t="s">
        <v>40</v>
      </c>
      <c r="BS127" s="7"/>
      <c r="BT127" s="7"/>
      <c r="BU127" s="31" t="str">
        <f>IF(BT127/(INDEX('Standards for Conversions'!$H$34:$H$73,MATCH(BS$3,'Standards for Conversions'!$A$34:$A$73,0)))=0,"",BT127/(INDEX('Standards for Conversions'!$H$34:$H$73,MATCH(BS$3,'Standards for Conversions'!$A$34:$A$73,0))))</f>
        <v/>
      </c>
      <c r="BW127" s="9"/>
      <c r="BX127" s="9"/>
      <c r="BY127" s="31" t="str">
        <f>IF(BX127/(INDEX('Standards for Conversions'!$H$34:$H$73,MATCH(BW$3,'Standards for Conversions'!$A$34:$A$73,0)))=0,"",BX127/(INDEX('Standards for Conversions'!$H$34:$H$73,MATCH(BW$3,'Standards for Conversions'!$A$34:$A$73,0))))</f>
        <v/>
      </c>
      <c r="CA127" s="7"/>
      <c r="CB127" s="7"/>
      <c r="CC127" s="31" t="str">
        <f>IF(CB127/(INDEX('Standards for Conversions'!$H$34:$H$73,MATCH(CA$3,'Standards for Conversions'!$A$34:$A$73,0)))=0,"",CB127/(INDEX('Standards for Conversions'!$H$34:$H$73,MATCH(CA$3,'Standards for Conversions'!$A$34:$A$73,0))))</f>
        <v/>
      </c>
      <c r="CD127" s="10" t="s">
        <v>40</v>
      </c>
      <c r="CE127" s="7"/>
      <c r="CF127" s="7"/>
      <c r="CG127" s="31" t="str">
        <f>IF(CF127/(INDEX('Standards for Conversions'!$H$34:$H$73,MATCH(CE$3,'Standards for Conversions'!$A$34:$A$73,0)))=0,"",CF127/(INDEX('Standards for Conversions'!$H$34:$H$73,MATCH(CE$3,'Standards for Conversions'!$A$34:$A$73,0))))</f>
        <v/>
      </c>
      <c r="CH127" s="10" t="s">
        <v>40</v>
      </c>
      <c r="CI127" s="7"/>
      <c r="CJ127" s="7"/>
      <c r="CK127" s="31" t="str">
        <f>IF(CJ127/(INDEX('Standards for Conversions'!$H$34:$H$73,MATCH(CI$3,'Standards for Conversions'!$A$34:$A$73,0)))=0,"",CJ127/(INDEX('Standards for Conversions'!$H$34:$H$73,MATCH(CI$3,'Standards for Conversions'!$A$34:$A$73,0))))</f>
        <v/>
      </c>
      <c r="CM127" s="9"/>
      <c r="CN127" s="9"/>
      <c r="CO127" s="31" t="str">
        <f>IF(CN127/(INDEX('Standards for Conversions'!$H$34:$H$73,MATCH(CM$3,'Standards for Conversions'!$A$34:$A$73,0)))=0,"",CN127/(INDEX('Standards for Conversions'!$H$34:$H$73,MATCH(CM$3,'Standards for Conversions'!$A$34:$A$73,0))))</f>
        <v/>
      </c>
      <c r="CQ127" s="7"/>
      <c r="CR127" s="7"/>
      <c r="CS127" s="31" t="str">
        <f>IF(CR127/(INDEX('Standards for Conversions'!$H$34:$H$73,MATCH(CQ$3,'Standards for Conversions'!$A$34:$A$73,0)))=0,"",CR127/(INDEX('Standards for Conversions'!$H$34:$H$73,MATCH(CQ$3,'Standards for Conversions'!$A$34:$A$73,0))))</f>
        <v/>
      </c>
      <c r="CT127" s="10" t="s">
        <v>40</v>
      </c>
      <c r="CU127" s="7"/>
      <c r="CV127" s="7"/>
      <c r="CW127" s="31" t="str">
        <f>IF(CV127/(INDEX('Standards for Conversions'!$H$34:$H$73,MATCH(CU$3,'Standards for Conversions'!$A$34:$A$73,0)))=0,"",CV127/(INDEX('Standards for Conversions'!$H$34:$H$73,MATCH(CU$3,'Standards for Conversions'!$A$34:$A$73,0))))</f>
        <v/>
      </c>
      <c r="CX127" s="10" t="s">
        <v>40</v>
      </c>
      <c r="CY127" s="7"/>
      <c r="CZ127" s="7"/>
      <c r="DA127" s="31" t="str">
        <f>IF(CZ127/(INDEX('Standards for Conversions'!$H$34:$H$73,MATCH(CY$3,'Standards for Conversions'!$A$34:$A$73,0)))=0,"",CZ127/(INDEX('Standards for Conversions'!$H$34:$H$73,MATCH(CY$3,'Standards for Conversions'!$A$34:$A$73,0))))</f>
        <v/>
      </c>
      <c r="DC127" s="9"/>
      <c r="DD127" s="9"/>
      <c r="DE127" s="31" t="str">
        <f>IF(DD127/(INDEX('Standards for Conversions'!$H$34:$H$73,MATCH(DC$3,'Standards for Conversions'!$A$34:$A$73,0)))=0,"",DD127/(INDEX('Standards for Conversions'!$H$34:$H$73,MATCH(DC$3,'Standards for Conversions'!$A$34:$A$73,0))))</f>
        <v/>
      </c>
      <c r="DG127" s="7"/>
      <c r="DH127" s="7"/>
      <c r="DI127" s="31" t="str">
        <f>IF(DH127/(INDEX('Standards for Conversions'!$H$34:$H$73,MATCH(DG$3,'Standards for Conversions'!$A$34:$A$73,0)))=0,"",DH127/(INDEX('Standards for Conversions'!$H$34:$H$73,MATCH(DG$3,'Standards for Conversions'!$A$34:$A$73,0))))</f>
        <v/>
      </c>
      <c r="DJ127" s="10" t="s">
        <v>40</v>
      </c>
      <c r="DK127" s="7"/>
      <c r="DL127" s="7"/>
      <c r="DM127" s="31" t="str">
        <f>IF(DL127/(INDEX('Standards for Conversions'!$H$34:$H$73,MATCH(DK$3,'Standards for Conversions'!$A$34:$A$73,0)))=0,"",DL127/(INDEX('Standards for Conversions'!$H$34:$H$73,MATCH(DK$3,'Standards for Conversions'!$A$34:$A$73,0))))</f>
        <v/>
      </c>
      <c r="DN127" s="10" t="s">
        <v>40</v>
      </c>
      <c r="DO127" s="7"/>
      <c r="DP127" s="7"/>
      <c r="DQ127" s="31" t="str">
        <f>IF(DP127/(INDEX('Standards for Conversions'!$H$34:$H$73,MATCH(DO$3,'Standards for Conversions'!$A$34:$A$73,0)))=0,"",DP127/(INDEX('Standards for Conversions'!$H$34:$H$73,MATCH(DO$3,'Standards for Conversions'!$A$34:$A$73,0))))</f>
        <v/>
      </c>
      <c r="DS127" s="9"/>
      <c r="DT127" s="9"/>
      <c r="DU127" s="31" t="str">
        <f>IF(DT127/(INDEX('Standards for Conversions'!$H$34:$H$73,MATCH(DS$3,'Standards for Conversions'!$A$34:$A$73,0)))=0,"",DT127/(INDEX('Standards for Conversions'!$H$34:$H$73,MATCH(DS$3,'Standards for Conversions'!$A$34:$A$73,0))))</f>
        <v/>
      </c>
      <c r="DW127" s="7"/>
      <c r="DX127" s="7"/>
      <c r="DY127" s="31" t="str">
        <f>IF(DX127/(INDEX('Standards for Conversions'!$H$34:$H$73,MATCH(DW$3,'Standards for Conversions'!$A$34:$A$73,0)))=0,"",DX127/(INDEX('Standards for Conversions'!$H$34:$H$73,MATCH(DW$3,'Standards for Conversions'!$A$34:$A$73,0))))</f>
        <v/>
      </c>
      <c r="DZ127" s="10" t="s">
        <v>40</v>
      </c>
      <c r="EA127" s="7"/>
      <c r="EB127" s="7"/>
      <c r="EC127" s="31" t="str">
        <f>IF(EB127/(INDEX('Standards for Conversions'!$H$34:$H$73,MATCH(EA$3,'Standards for Conversions'!$A$34:$A$73,0)))=0,"",EB127/(INDEX('Standards for Conversions'!$H$34:$H$73,MATCH(EA$3,'Standards for Conversions'!$A$34:$A$73,0))))</f>
        <v/>
      </c>
      <c r="ED127" s="10" t="s">
        <v>40</v>
      </c>
      <c r="EE127" s="7"/>
      <c r="EF127" s="7"/>
      <c r="EG127" s="31" t="str">
        <f>IF(EF127/(INDEX('Standards for Conversions'!$H$34:$H$73,MATCH(EE$3,'Standards for Conversions'!$A$34:$A$73,0)))=0,"",EF127/(INDEX('Standards for Conversions'!$H$34:$H$73,MATCH(EE$3,'Standards for Conversions'!$A$34:$A$73,0))))</f>
        <v/>
      </c>
      <c r="EI127" s="9"/>
      <c r="EJ127" s="9"/>
      <c r="EK127" s="31" t="str">
        <f>IF(EJ127/(INDEX('Standards for Conversions'!$H$34:$H$73,MATCH(EI$3,'Standards for Conversions'!$A$34:$A$73,0)))=0,"",EJ127/(INDEX('Standards for Conversions'!$H$34:$H$73,MATCH(EI$3,'Standards for Conversions'!$A$34:$A$73,0))))</f>
        <v/>
      </c>
      <c r="EM127" s="7"/>
      <c r="EN127" s="7"/>
      <c r="EO127" s="31" t="str">
        <f>IF(EN127/(INDEX('Standards for Conversions'!$H$34:$H$73,MATCH(EM$3,'Standards for Conversions'!$A$34:$A$73,0)))=0,"",EN127/(INDEX('Standards for Conversions'!$H$34:$H$73,MATCH(EM$3,'Standards for Conversions'!$A$34:$A$73,0))))</f>
        <v/>
      </c>
      <c r="EP127" s="10" t="s">
        <v>40</v>
      </c>
      <c r="EQ127" s="7"/>
      <c r="ER127" s="7"/>
      <c r="ES127" s="31" t="str">
        <f>IF(ER127/(INDEX('Standards for Conversions'!$H$34:$H$73,MATCH(EQ$3,'Standards for Conversions'!$A$34:$A$73,0)))=0,"",ER127/(INDEX('Standards for Conversions'!$H$34:$H$73,MATCH(EQ$3,'Standards for Conversions'!$A$34:$A$73,0))))</f>
        <v/>
      </c>
      <c r="ET127" s="10" t="s">
        <v>40</v>
      </c>
      <c r="EU127" s="7"/>
      <c r="EV127" s="7"/>
      <c r="EW127" s="31" t="str">
        <f>IF(EV127/(INDEX('Standards for Conversions'!$H$34:$H$73,MATCH(EU$3,'Standards for Conversions'!$A$34:$A$73,0)))=0,"",EV127/(INDEX('Standards for Conversions'!$H$34:$H$73,MATCH(EU$3,'Standards for Conversions'!$A$34:$A$73,0))))</f>
        <v/>
      </c>
      <c r="EY127" s="9"/>
      <c r="EZ127" s="9"/>
      <c r="FA127" s="31" t="str">
        <f>IF(EZ127/(INDEX('Standards for Conversions'!$H$34:$H$73,MATCH(EY$3,'Standards for Conversions'!$A$34:$A$73,0)))=0,"",EZ127/(INDEX('Standards for Conversions'!$H$34:$H$73,MATCH(EY$3,'Standards for Conversions'!$A$34:$A$73,0))))</f>
        <v/>
      </c>
      <c r="FC127" s="7"/>
      <c r="FD127" s="7"/>
      <c r="FE127" s="31" t="str">
        <f>IF(FD127/(INDEX('Standards for Conversions'!$H$34:$H$73,MATCH(FC$3,'Standards for Conversions'!$A$34:$A$73,0)))=0,"",FD127/(INDEX('Standards for Conversions'!$H$34:$H$73,MATCH(FC$3,'Standards for Conversions'!$A$34:$A$73,0))))</f>
        <v/>
      </c>
      <c r="FF127" s="10" t="s">
        <v>40</v>
      </c>
      <c r="FG127" s="7"/>
      <c r="FH127" s="7"/>
      <c r="FI127" s="31" t="str">
        <f>IF(FH127/(INDEX('Standards for Conversions'!$H$34:$H$73,MATCH(FG$3,'Standards for Conversions'!$A$34:$A$73,0)))=0,"",FH127/(INDEX('Standards for Conversions'!$H$34:$H$73,MATCH(FG$3,'Standards for Conversions'!$A$34:$A$73,0))))</f>
        <v/>
      </c>
      <c r="FJ127" s="10" t="s">
        <v>40</v>
      </c>
      <c r="FK127" s="7"/>
      <c r="FL127" s="7"/>
      <c r="FM127" s="31" t="str">
        <f>IF(FL127/(INDEX('Standards for Conversions'!$H$34:$H$73,MATCH(FK$3,'Standards for Conversions'!$A$34:$A$73,0)))=0,"",FL127/(INDEX('Standards for Conversions'!$H$34:$H$73,MATCH(FK$3,'Standards for Conversions'!$A$34:$A$73,0))))</f>
        <v/>
      </c>
      <c r="FO127" s="9"/>
      <c r="FP127" s="9"/>
      <c r="FQ127" s="31" t="str">
        <f>IF(FP127/(INDEX('Standards for Conversions'!$H$34:$H$73,MATCH(FO$3,'Standards for Conversions'!$A$34:$A$73,0)))=0,"",FP127/(INDEX('Standards for Conversions'!$H$34:$H$73,MATCH(FO$3,'Standards for Conversions'!$A$34:$A$73,0))))</f>
        <v/>
      </c>
      <c r="FS127" s="7"/>
      <c r="FT127" s="7"/>
      <c r="FU127" s="31" t="str">
        <f>IF(FT127/(INDEX('Standards for Conversions'!$H$34:$H$73,MATCH(FS$3,'Standards for Conversions'!$A$34:$A$73,0)))=0,"",FT127/(INDEX('Standards for Conversions'!$H$34:$H$73,MATCH(FS$3,'Standards for Conversions'!$A$34:$A$73,0))))</f>
        <v/>
      </c>
      <c r="FV127" s="10" t="s">
        <v>40</v>
      </c>
      <c r="FW127" s="7"/>
      <c r="FX127" s="7"/>
      <c r="FY127" s="31" t="str">
        <f>IF(FX127/(INDEX('Standards for Conversions'!$H$34:$H$73,MATCH(FW$3,'Standards for Conversions'!$A$34:$A$73,0)))=0,"",FX127/(INDEX('Standards for Conversions'!$H$34:$H$73,MATCH(FW$3,'Standards for Conversions'!$A$34:$A$73,0))))</f>
        <v/>
      </c>
      <c r="FZ127" s="10" t="s">
        <v>40</v>
      </c>
      <c r="GA127" s="7"/>
      <c r="GB127" s="7"/>
      <c r="GC127" s="31" t="str">
        <f>IF(GB127/(INDEX('Standards for Conversions'!$H$34:$H$73,MATCH(GA$3,'Standards for Conversions'!$A$34:$A$73,0)))=0,"",GB127/(INDEX('Standards for Conversions'!$H$34:$H$73,MATCH(GA$3,'Standards for Conversions'!$A$34:$A$73,0))))</f>
        <v/>
      </c>
      <c r="GE127" s="9"/>
      <c r="GF127" s="9"/>
      <c r="GG127" s="31" t="str">
        <f>IF(GF127/(INDEX('Standards for Conversions'!$H$34:$H$73,MATCH(GE$3,'Standards for Conversions'!$A$34:$A$73,0)))=0,"",GF127/(INDEX('Standards for Conversions'!$H$34:$H$73,MATCH(GE$3,'Standards for Conversions'!$A$34:$A$73,0))))</f>
        <v/>
      </c>
      <c r="GI127" s="7"/>
      <c r="GJ127" s="7"/>
      <c r="GK127" s="31" t="str">
        <f>IF(GJ127/(INDEX('Standards for Conversions'!$H$34:$H$73,MATCH(GI$3,'Standards for Conversions'!$A$34:$A$73,0)))=0,"",GJ127/(INDEX('Standards for Conversions'!$H$34:$H$73,MATCH(GI$3,'Standards for Conversions'!$A$34:$A$73,0))))</f>
        <v/>
      </c>
      <c r="GL127" s="10" t="s">
        <v>40</v>
      </c>
      <c r="GM127" s="7"/>
      <c r="GN127" s="7"/>
      <c r="GO127" s="31" t="str">
        <f>IF(GN127/(INDEX('Standards for Conversions'!$H$34:$H$73,MATCH(GM$3,'Standards for Conversions'!$A$34:$A$73,0)))=0,"",GN127/(INDEX('Standards for Conversions'!$H$34:$H$73,MATCH(GM$3,'Standards for Conversions'!$A$34:$A$73,0))))</f>
        <v/>
      </c>
      <c r="GP127" s="10" t="s">
        <v>40</v>
      </c>
      <c r="GQ127" s="7"/>
      <c r="GR127" s="7"/>
      <c r="GS127" s="31" t="str">
        <f>IF(GR127/(INDEX('Standards for Conversions'!$H$34:$H$73,MATCH(GQ$3,'Standards for Conversions'!$A$34:$A$73,0)))=0,"",GR127/(INDEX('Standards for Conversions'!$H$34:$H$73,MATCH(GQ$3,'Standards for Conversions'!$A$34:$A$73,0))))</f>
        <v/>
      </c>
      <c r="GU127" s="9"/>
      <c r="GV127" s="9"/>
      <c r="GW127" s="31" t="str">
        <f>IF(GV127/(INDEX('Standards for Conversions'!$H$34:$H$73,MATCH(GU$3,'Standards for Conversions'!$A$34:$A$73,0)))=0,"",GV127/(INDEX('Standards for Conversions'!$H$34:$H$73,MATCH(GU$3,'Standards for Conversions'!$A$34:$A$73,0))))</f>
        <v/>
      </c>
      <c r="GY127" s="7"/>
      <c r="GZ127" s="7"/>
      <c r="HA127" s="31" t="str">
        <f>IF(GZ127/(INDEX('Standards for Conversions'!$H$34:$H$73,MATCH(GY$3,'Standards for Conversions'!$A$34:$A$73,0)))=0,"",GZ127/(INDEX('Standards for Conversions'!$H$34:$H$73,MATCH(GY$3,'Standards for Conversions'!$A$34:$A$73,0))))</f>
        <v/>
      </c>
      <c r="HB127" s="10" t="s">
        <v>40</v>
      </c>
      <c r="HC127" s="7"/>
      <c r="HD127" s="7"/>
      <c r="HE127" s="31" t="str">
        <f>IF(HD127/(INDEX('Standards for Conversions'!$H$34:$H$73,MATCH(HC$3,'Standards for Conversions'!$A$34:$A$73,0)))=0,"",HD127/(INDEX('Standards for Conversions'!$H$34:$H$73,MATCH(HC$3,'Standards for Conversions'!$A$34:$A$73,0))))</f>
        <v/>
      </c>
      <c r="HF127" s="10" t="s">
        <v>40</v>
      </c>
      <c r="HG127" s="7"/>
      <c r="HH127" s="7"/>
      <c r="HI127" s="31" t="str">
        <f>IF(HH127/(INDEX('Standards for Conversions'!$H$34:$H$73,MATCH(HG$3,'Standards for Conversions'!$A$34:$A$73,0)))=0,"",HH127/(INDEX('Standards for Conversions'!$H$34:$H$73,MATCH(HG$3,'Standards for Conversions'!$A$34:$A$73,0))))</f>
        <v/>
      </c>
      <c r="HK127" s="9"/>
      <c r="HL127" s="9"/>
      <c r="HM127" s="31" t="str">
        <f>IF(HL127/(INDEX('Standards for Conversions'!$H$34:$H$73,MATCH(HK$3,'Standards for Conversions'!$A$34:$A$73,0)))=0,"",HL127/(INDEX('Standards for Conversions'!$H$34:$H$73,MATCH(HK$3,'Standards for Conversions'!$A$34:$A$73,0))))</f>
        <v/>
      </c>
      <c r="HO127" s="7"/>
      <c r="HP127" s="7"/>
      <c r="HQ127" s="31" t="str">
        <f>IF(HP127/(INDEX('Standards for Conversions'!$H$34:$H$73,MATCH(HO$3,'Standards for Conversions'!$A$34:$A$73,0)))=0,"",HP127/(INDEX('Standards for Conversions'!$H$34:$H$73,MATCH(HO$3,'Standards for Conversions'!$A$34:$A$73,0))))</f>
        <v/>
      </c>
      <c r="HR127" s="33" t="s">
        <v>40</v>
      </c>
      <c r="HU127" s="31" t="str">
        <f>IF(HT127/(INDEX('Standards for Conversions'!$H$47:$H$73,MATCH(HS$3,'Standards for Conversions'!$A$47:$A$73,0)))=0,"",HT127/(INDEX('Standards for Conversions'!$H$47:$H$73,MATCH(HS$3,'Standards for Conversions'!$A$47:$A$73,0))))</f>
        <v/>
      </c>
      <c r="HV127" s="48" t="s">
        <v>40</v>
      </c>
      <c r="HW127" s="29">
        <v>4</v>
      </c>
      <c r="HX127" s="29">
        <v>250</v>
      </c>
      <c r="HY127" s="31">
        <f>IF(HX127/(INDEX('Standards for Conversions'!$H$47:$H$73,MATCH(HW$3,'Standards for Conversions'!$A$47:$A$73,0)))=0,"",HX127/(INDEX('Standards for Conversions'!$H$47:$H$73,MATCH(HW$3,'Standards for Conversions'!$A$47:$A$73,0))))</f>
        <v>36.311353053213992</v>
      </c>
      <c r="HZ127" s="33"/>
      <c r="IA127" s="33"/>
      <c r="IB127" s="31" t="str">
        <f>IF(IA127/(INDEX('Standards for Conversions'!$H$47:$H$73,MATCH(HZ$3,'Standards for Conversions'!$A$47:$A$73,0)))=0,"",IA127/(INDEX('Standards for Conversions'!$H$47:$H$73,MATCH(HZ$3,'Standards for Conversions'!$A$47:$A$73,0))))</f>
        <v/>
      </c>
      <c r="IF127" s="31" t="str">
        <f>IF(IE127/(INDEX('Standards for Conversions'!$H$47:$H$73,MATCH(ID$3,'Standards for Conversions'!$A$47:$A$73,0)))=0,"",IE127/(INDEX('Standards for Conversions'!$H$47:$H$73,MATCH(ID$3,'Standards for Conversions'!$A$47:$A$73,0))))</f>
        <v/>
      </c>
      <c r="IJ127" s="31" t="str">
        <f>IF(II127/(INDEX('Standards for Conversions'!$H$47:$H$73,MATCH(IH$3,'Standards for Conversions'!$A$47:$A$73,0)))=0,"",II127/(INDEX('Standards for Conversions'!$H$47:$H$73,MATCH(IH$3,'Standards for Conversions'!$A$47:$A$73,0))))</f>
        <v/>
      </c>
      <c r="IN127" s="31" t="str">
        <f>IF(IM127/(INDEX('Standards for Conversions'!$H$47:$H$73,MATCH(IL$3,'Standards for Conversions'!$A$47:$A$73,0)))=0,"",IM127/(INDEX('Standards for Conversions'!$H$47:$H$73,MATCH(IL$3,'Standards for Conversions'!$A$47:$A$73,0))))</f>
        <v/>
      </c>
      <c r="IR127" s="31" t="str">
        <f>IF(IQ127/(INDEX('Standards for Conversions'!$H$47:$H$73,MATCH(IP$3,'Standards for Conversions'!$A$47:$A$73,0)))=0,"",IQ127/(INDEX('Standards for Conversions'!$H$47:$H$73,MATCH(IP$3,'Standards for Conversions'!$A$47:$A$73,0))))</f>
        <v/>
      </c>
      <c r="IV127" s="31" t="str">
        <f>IF(IU127/(INDEX('Standards for Conversions'!$H$47:$H$73,MATCH(IT$3,'Standards for Conversions'!$A$47:$A$73,0)))=0,"",IU127/(INDEX('Standards for Conversions'!$H$47:$H$73,MATCH(IT$3,'Standards for Conversions'!$A$47:$A$73,0))))</f>
        <v/>
      </c>
      <c r="IZ127" s="31" t="str">
        <f>IF(IY127/(INDEX('Standards for Conversions'!$H$47:$H$73,MATCH(IX$3,'Standards for Conversions'!$A$47:$A$73,0)))=0,"",IY127/(INDEX('Standards for Conversions'!$H$47:$H$73,MATCH(IX$3,'Standards for Conversions'!$A$47:$A$73,0))))</f>
        <v/>
      </c>
      <c r="JA127" s="48"/>
      <c r="JD127" s="31" t="str">
        <f>IF(JC127/(INDEX('Standards for Conversions'!$H$47:$H$73,MATCH(JB$3,'Standards for Conversions'!$A$47:$A$73,0)))=0,"",JC127/(INDEX('Standards for Conversions'!$H$47:$H$73,MATCH(JB$3,'Standards for Conversions'!$A$47:$A$73,0))))</f>
        <v/>
      </c>
      <c r="JE127" s="48"/>
      <c r="JH127" s="31" t="str">
        <f>IF(JG127/(INDEX('Standards for Conversions'!$H$47:$H$73,MATCH(JF$3,'Standards for Conversions'!$A$47:$A$73,0)))=0,"",JG127/(INDEX('Standards for Conversions'!$H$47:$H$73,MATCH(JF$3,'Standards for Conversions'!$A$47:$A$73,0))))</f>
        <v/>
      </c>
      <c r="JI127" s="33"/>
      <c r="JL127" s="31" t="str">
        <f>IF(JK127/(INDEX('Standards for Conversions'!$H$47:$H$73,MATCH(JJ$3,'Standards for Conversions'!$A$47:$A$73,0)))=0,"",JK127/(INDEX('Standards for Conversions'!$H$47:$H$73,MATCH(JJ$3,'Standards for Conversions'!$A$47:$A$73,0))))</f>
        <v/>
      </c>
      <c r="JM127" s="33" t="s">
        <v>40</v>
      </c>
      <c r="JP127" s="31" t="str">
        <f>IF(JO127/(INDEX('Standards for Conversions'!$H$47:$H$73,MATCH(JN$3,'Standards for Conversions'!$A$47:$A$73,0)))=0,"",JO127/(INDEX('Standards for Conversions'!$H$47:$H$73,MATCH(JN$3,'Standards for Conversions'!$A$47:$A$73,0))))</f>
        <v/>
      </c>
      <c r="JQ127" s="33" t="s">
        <v>40</v>
      </c>
      <c r="JT127" s="31" t="str">
        <f>IF(JS127/(INDEX('Standards for Conversions'!$H$47:$H$73,MATCH(JR$3,'Standards for Conversions'!$A$47:$A$73,0)))=0,"",JS127/(INDEX('Standards for Conversions'!$H$47:$H$73,MATCH(JR$3,'Standards for Conversions'!$A$47:$A$73,0))))</f>
        <v/>
      </c>
      <c r="JU127" s="33" t="s">
        <v>40</v>
      </c>
      <c r="JX127" s="31" t="str">
        <f>IF(JW127/(INDEX('Standards for Conversions'!$H$47:$H$73,MATCH(JV$3,'Standards for Conversions'!$A$47:$A$73,0)))=0,"",JW127/(INDEX('Standards for Conversions'!$H$47:$H$73,MATCH(JV$3,'Standards for Conversions'!$A$47:$A$73,0))))</f>
        <v/>
      </c>
      <c r="JY127" s="33" t="s">
        <v>40</v>
      </c>
      <c r="KB127" s="31" t="str">
        <f>IF(KA127/(INDEX('Standards for Conversions'!$H$47:$H$73,MATCH(JZ$3,'Standards for Conversions'!$A$47:$A$73,0)))=0,"",KA127/(INDEX('Standards for Conversions'!$H$47:$H$73,MATCH(JZ$3,'Standards for Conversions'!$A$47:$A$73,0))))</f>
        <v/>
      </c>
      <c r="KC127" s="33" t="s">
        <v>40</v>
      </c>
      <c r="KF127" s="31" t="str">
        <f>IF(KE127/(INDEX('Standards for Conversions'!$H$47:$H$73,MATCH(KD$3,'Standards for Conversions'!$A$47:$A$73,0)))=0,"",KE127/(INDEX('Standards for Conversions'!$H$47:$H$73,MATCH(KD$3,'Standards for Conversions'!$A$47:$A$73,0))))</f>
        <v/>
      </c>
      <c r="KG127" s="33" t="s">
        <v>40</v>
      </c>
      <c r="KH127" s="29">
        <v>3</v>
      </c>
      <c r="KI127" s="29">
        <v>120</v>
      </c>
      <c r="KJ127" s="31">
        <f>IF(KI127/(INDEX('Standards for Conversions'!$H$47:$H$73,MATCH(KH$3,'Standards for Conversions'!$A$47:$A$73,0)))=0,"",KI127/(INDEX('Standards for Conversions'!$H$47:$H$73,MATCH(KH$3,'Standards for Conversions'!$A$47:$A$73,0))))</f>
        <v>16.159081428695576</v>
      </c>
      <c r="KK127" s="33" t="s">
        <v>40</v>
      </c>
      <c r="KN127" s="31" t="str">
        <f>IF(KM127/(INDEX('Standards for Conversions'!$H$47:$H$73,MATCH(KL$3,'Standards for Conversions'!$A$47:$A$73,0)))=0,"",KM127/(INDEX('Standards for Conversions'!$H$47:$H$73,MATCH(KL$3,'Standards for Conversions'!$A$47:$A$73,0))))</f>
        <v/>
      </c>
      <c r="KO127" s="33" t="s">
        <v>40</v>
      </c>
      <c r="KR127" s="31" t="str">
        <f>IF(KQ127/(INDEX('Standards for Conversions'!$H$47:$H$73,MATCH(KP$3,'Standards for Conversions'!$A$47:$A$73,0)))=0,"",KQ127/(INDEX('Standards for Conversions'!$H$47:$H$73,MATCH(KP$3,'Standards for Conversions'!$A$47:$A$73,0))))</f>
        <v/>
      </c>
      <c r="KS127" s="33" t="s">
        <v>40</v>
      </c>
      <c r="KV127" s="31" t="str">
        <f>IF(KU127/(INDEX('Standards for Conversions'!$H$47:$H$73,MATCH(KT$3,'Standards for Conversions'!$A$47:$A$73,0)))=0,"",KU127/(INDEX('Standards for Conversions'!$H$47:$H$73,MATCH(KT$3,'Standards for Conversions'!$A$47:$A$73,0))))</f>
        <v/>
      </c>
      <c r="KW127" s="48" t="s">
        <v>40</v>
      </c>
      <c r="KX127" s="29">
        <v>5</v>
      </c>
      <c r="KY127" s="29">
        <v>200</v>
      </c>
      <c r="KZ127" s="31">
        <f>IF(KY127/(INDEX('Standards for Conversions'!$H$47:$H$73,MATCH(KX$3,'Standards for Conversions'!$A$47:$A$73,0)))=0,"",KY127/(INDEX('Standards for Conversions'!$H$47:$H$73,MATCH(KX$3,'Standards for Conversions'!$A$47:$A$73,0))))</f>
        <v>24.323313345499837</v>
      </c>
      <c r="LA127" s="48"/>
      <c r="LD127" s="31" t="str">
        <f>IF(LC127/(INDEX('Standards for Conversions'!$H$47:$H$73,MATCH(LB$3,'Standards for Conversions'!$A$47:$A$73,0)))=0,"",LC127/(INDEX('Standards for Conversions'!$H$47:$H$73,MATCH(LB$3,'Standards for Conversions'!$A$47:$A$73,0))))</f>
        <v/>
      </c>
      <c r="LE127" s="33"/>
      <c r="LH127" s="31" t="str">
        <f>IF(LG127/(INDEX('Standards for Conversions'!$H$47:$H$73,MATCH(LF$3,'Standards for Conversions'!$A$47:$A$73,0)))=0,"",LG127/(INDEX('Standards for Conversions'!$H$47:$H$73,MATCH(LF$3,'Standards for Conversions'!$A$47:$A$73,0))))</f>
        <v/>
      </c>
      <c r="LL127" s="31" t="str">
        <f>IF(LK127/(INDEX('Standards for Conversions'!$H$47:$H$73,MATCH(LJ$3,'Standards for Conversions'!$A$47:$A$73,0)))=0,"",LK127/(INDEX('Standards for Conversions'!$H$47:$H$73,MATCH(LJ$3,'Standards for Conversions'!$A$47:$A$73,0))))</f>
        <v/>
      </c>
      <c r="LO127" s="31" t="str">
        <f>IF(LN127/(INDEX('Standards for Conversions'!$H$47:$H$73,MATCH(LM$3,'Standards for Conversions'!$A$47:$A$73,0)))=0,"",LN127/(INDEX('Standards for Conversions'!$H$47:$H$73,MATCH(LM$3,'Standards for Conversions'!$A$47:$A$73,0))))</f>
        <v/>
      </c>
      <c r="LR127" s="31" t="str">
        <f>IF(LQ127/(INDEX('Standards for Conversions'!$H$47:$H$73,MATCH(LP$3,'Standards for Conversions'!$A$47:$A$73,0)))=0,"",LQ127/(INDEX('Standards for Conversions'!$H$47:$H$73,MATCH(LP$3,'Standards for Conversions'!$A$47:$A$73,0))))</f>
        <v/>
      </c>
      <c r="LV127" s="31" t="str">
        <f>IF(LU127/(INDEX('Standards for Conversions'!$H$47:$H$73,MATCH(LT$3,'Standards for Conversions'!$A$47:$A$73,0)))=0,"",LU127/(INDEX('Standards for Conversions'!$H$47:$H$73,MATCH(LT$3,'Standards for Conversions'!$A$47:$A$73,0))))</f>
        <v/>
      </c>
      <c r="LY127" s="31" t="str">
        <f>IF(LX127/(INDEX('Standards for Conversions'!$H$47:$H$73,MATCH(LW$3,'Standards for Conversions'!$A$47:$A$73,0)))=0,"",LX127/(INDEX('Standards for Conversions'!$H$47:$H$73,MATCH(LW$3,'Standards for Conversions'!$A$47:$A$73,0))))</f>
        <v/>
      </c>
      <c r="MB127" s="31" t="str">
        <f>IF(MA127/(INDEX('Standards for Conversions'!$H$47:$H$73,MATCH(LZ$3,'Standards for Conversions'!$A$47:$A$73,0)))=0,"",MA127/(INDEX('Standards for Conversions'!$H$47:$H$73,MATCH(LZ$3,'Standards for Conversions'!$A$47:$A$73,0))))</f>
        <v/>
      </c>
      <c r="ME127" s="31" t="str">
        <f>IF(MD127/(INDEX('Standards for Conversions'!$H$47:$H$73,MATCH(MC$3,'Standards for Conversions'!$A$47:$A$73,0)))=0,"",MD127/(INDEX('Standards for Conversions'!$H$47:$H$73,MATCH(MC$3,'Standards for Conversions'!$A$47:$A$73,0))))</f>
        <v/>
      </c>
      <c r="MH127" s="31" t="str">
        <f>IF(MG127/(INDEX('Standards for Conversions'!$H$47:$H$73,MATCH(MF$3,'Standards for Conversions'!$A$47:$A$73,0)))=0,"",MG127/(INDEX('Standards for Conversions'!$H$47:$H$73,MATCH(MF$3,'Standards for Conversions'!$A$47:$A$73,0))))</f>
        <v/>
      </c>
      <c r="MK127" s="31" t="str">
        <f>IF(MJ127/(INDEX('Standards for Conversions'!$H$47:$H$73,MATCH(MI$3,'Standards for Conversions'!$A$47:$A$73,0)))=0,"",MJ127/(INDEX('Standards for Conversions'!$H$47:$H$73,MATCH(MI$3,'Standards for Conversions'!$A$47:$A$73,0))))</f>
        <v/>
      </c>
      <c r="MN127" s="31" t="str">
        <f>IF(MM127/(INDEX('Standards for Conversions'!$H$47:$H$73,MATCH(ML$3,'Standards for Conversions'!$A$47:$A$73,0)))=0,"",MM127/(INDEX('Standards for Conversions'!$H$47:$H$73,MATCH(ML$3,'Standards for Conversions'!$A$47:$A$73,0))))</f>
        <v/>
      </c>
      <c r="MR127" s="31" t="str">
        <f>IF(MQ127/(INDEX('Standards for Conversions'!$H$47:$H$73,MATCH(MP$3,'Standards for Conversions'!$A$47:$A$73,0)))=0,"",MQ127/(INDEX('Standards for Conversions'!$H$47:$H$73,MATCH(MP$3,'Standards for Conversions'!$A$47:$A$73,0))))</f>
        <v/>
      </c>
    </row>
    <row r="128" spans="1:356" hidden="1" x14ac:dyDescent="0.3">
      <c r="A128" s="103" t="s">
        <v>293</v>
      </c>
      <c r="C128" s="7"/>
      <c r="D128" s="7"/>
      <c r="E128" s="31" t="str">
        <f>IF(D128/(INDEX('Standards for Conversions'!$H$34:$H$73,MATCH(C$3,'Standards for Conversions'!$A$34:$A$73,0)))=0,"",D128/(INDEX('Standards for Conversions'!$H$34:$H$73,MATCH(C$3,'Standards for Conversions'!$A$34:$A$73,0))))</f>
        <v/>
      </c>
      <c r="G128" s="7"/>
      <c r="H128" s="7"/>
      <c r="I128" s="31" t="str">
        <f>IF(H128/(INDEX('Standards for Conversions'!$H$34:$H$73,MATCH(G$3,'Standards for Conversions'!$A$34:$A$73,0)))=0,"",H128/(INDEX('Standards for Conversions'!$H$34:$H$73,MATCH(G$3,'Standards for Conversions'!$A$34:$A$73,0))))</f>
        <v/>
      </c>
      <c r="K128" s="9"/>
      <c r="L128" s="9"/>
      <c r="M128" s="31" t="str">
        <f>IF(L128/(INDEX('Standards for Conversions'!$H$34:$H$73,MATCH(K$3,'Standards for Conversions'!$A$34:$A$73,0)))=0,"",L128/(INDEX('Standards for Conversions'!$H$34:$H$73,MATCH(K$3,'Standards for Conversions'!$A$34:$A$73,0))))</f>
        <v/>
      </c>
      <c r="O128" s="7"/>
      <c r="P128" s="7"/>
      <c r="Q128" s="31" t="str">
        <f>IF(P128/(INDEX('Standards for Conversions'!$H$34:$H$73,MATCH(O$3,'Standards for Conversions'!$A$34:$A$73,0)))=0,"",P128/(INDEX('Standards for Conversions'!$H$34:$H$73,MATCH(O$3,'Standards for Conversions'!$A$34:$A$73,0))))</f>
        <v/>
      </c>
      <c r="S128" s="7"/>
      <c r="T128" s="7"/>
      <c r="U128" s="31" t="str">
        <f>IF(T128/(INDEX('Standards for Conversions'!$H$34:$H$73,MATCH(S$3,'Standards for Conversions'!$A$34:$A$73,0)))=0,"",T128/(INDEX('Standards for Conversions'!$H$34:$H$73,MATCH(S$3,'Standards for Conversions'!$A$34:$A$73,0))))</f>
        <v/>
      </c>
      <c r="W128" s="7"/>
      <c r="X128" s="7"/>
      <c r="Y128" s="31" t="str">
        <f>IF(X128/(INDEX('Standards for Conversions'!$H$34:$H$73,MATCH(W$3,'Standards for Conversions'!$A$34:$A$73,0)))=0,"",X128/(INDEX('Standards for Conversions'!$H$34:$H$73,MATCH(W$3,'Standards for Conversions'!$A$34:$A$73,0))))</f>
        <v/>
      </c>
      <c r="AA128" s="9"/>
      <c r="AB128" s="9"/>
      <c r="AC128" s="31" t="str">
        <f>IF(AB128/(INDEX('Standards for Conversions'!$H$34:$H$73,MATCH(AA$3,'Standards for Conversions'!$A$34:$A$73,0)))=0,"",AB128/(INDEX('Standards for Conversions'!$H$34:$H$73,MATCH(AA$3,'Standards for Conversions'!$A$34:$A$73,0))))</f>
        <v/>
      </c>
      <c r="AE128" s="7"/>
      <c r="AF128" s="7"/>
      <c r="AG128" s="31" t="str">
        <f>IF(AF128/(INDEX('Standards for Conversions'!$H$34:$H$73,MATCH(AE$3,'Standards for Conversions'!$A$34:$A$73,0)))=0,"",AF128/(INDEX('Standards for Conversions'!$H$34:$H$73,MATCH(AE$3,'Standards for Conversions'!$A$34:$A$73,0))))</f>
        <v/>
      </c>
      <c r="AI128" s="7"/>
      <c r="AJ128" s="7"/>
      <c r="AK128" s="31" t="str">
        <f>IF(AJ128/(INDEX('Standards for Conversions'!$H$34:$H$73,MATCH(AI$3,'Standards for Conversions'!$A$34:$A$73,0)))=0,"",AJ128/(INDEX('Standards for Conversions'!$H$34:$H$73,MATCH(AI$3,'Standards for Conversions'!$A$34:$A$73,0))))</f>
        <v/>
      </c>
      <c r="AM128" s="7"/>
      <c r="AN128" s="7"/>
      <c r="AO128" s="31" t="str">
        <f>IF(AN128/(INDEX('Standards for Conversions'!$H$34:$H$73,MATCH(AM$3,'Standards for Conversions'!$A$34:$A$73,0)))=0,"",AN128/(INDEX('Standards for Conversions'!$H$34:$H$73,MATCH(AM$3,'Standards for Conversions'!$A$34:$A$73,0))))</f>
        <v/>
      </c>
      <c r="AQ128" s="9"/>
      <c r="AR128" s="9"/>
      <c r="AS128" s="31" t="str">
        <f>IF(AR128/(INDEX('Standards for Conversions'!$H$34:$H$73,MATCH(AQ$3,'Standards for Conversions'!$A$34:$A$73,0)))=0,"",AR128/(INDEX('Standards for Conversions'!$H$34:$H$73,MATCH(AQ$3,'Standards for Conversions'!$A$34:$A$73,0))))</f>
        <v/>
      </c>
      <c r="AU128" s="7"/>
      <c r="AV128" s="7"/>
      <c r="AW128" s="31" t="str">
        <f>IF(AV128/(INDEX('Standards for Conversions'!$H$34:$H$73,MATCH(AU$3,'Standards for Conversions'!$A$34:$A$73,0)))=0,"",AV128/(INDEX('Standards for Conversions'!$H$34:$H$73,MATCH(AU$3,'Standards for Conversions'!$A$34:$A$73,0))))</f>
        <v/>
      </c>
      <c r="AY128" s="7"/>
      <c r="AZ128" s="7"/>
      <c r="BA128" s="31" t="str">
        <f>IF(AZ128/(INDEX('Standards for Conversions'!$H$34:$H$73,MATCH(AY$3,'Standards for Conversions'!$A$34:$A$73,0)))=0,"",AZ128/(INDEX('Standards for Conversions'!$H$34:$H$73,MATCH(AY$3,'Standards for Conversions'!$A$34:$A$73,0))))</f>
        <v/>
      </c>
      <c r="BC128" s="7"/>
      <c r="BD128" s="7"/>
      <c r="BE128" s="31" t="str">
        <f>IF(BD128/(INDEX('Standards for Conversions'!$H$34:$H$73,MATCH(BC$3,'Standards for Conversions'!$A$34:$A$73,0)))=0,"",BD128/(INDEX('Standards for Conversions'!$H$34:$H$73,MATCH(BC$3,'Standards for Conversions'!$A$34:$A$73,0))))</f>
        <v/>
      </c>
      <c r="BG128" s="9"/>
      <c r="BH128" s="9"/>
      <c r="BI128" s="31" t="str">
        <f>IF(BH128/(INDEX('Standards for Conversions'!$H$34:$H$73,MATCH(BG$3,'Standards for Conversions'!$A$34:$A$73,0)))=0,"",BH128/(INDEX('Standards for Conversions'!$H$34:$H$73,MATCH(BG$3,'Standards for Conversions'!$A$34:$A$73,0))))</f>
        <v/>
      </c>
      <c r="BK128" s="7"/>
      <c r="BL128" s="7"/>
      <c r="BM128" s="31" t="str">
        <f>IF(BL128/(INDEX('Standards for Conversions'!$H$34:$H$73,MATCH(BK$3,'Standards for Conversions'!$A$34:$A$73,0)))=0,"",BL128/(INDEX('Standards for Conversions'!$H$34:$H$73,MATCH(BK$3,'Standards for Conversions'!$A$34:$A$73,0))))</f>
        <v/>
      </c>
      <c r="BO128" s="7"/>
      <c r="BP128" s="7"/>
      <c r="BQ128" s="31" t="str">
        <f>IF(BP128/(INDEX('Standards for Conversions'!$H$34:$H$73,MATCH(BO$3,'Standards for Conversions'!$A$34:$A$73,0)))=0,"",BP128/(INDEX('Standards for Conversions'!$H$34:$H$73,MATCH(BO$3,'Standards for Conversions'!$A$34:$A$73,0))))</f>
        <v/>
      </c>
      <c r="BS128" s="7"/>
      <c r="BT128" s="7"/>
      <c r="BU128" s="31" t="str">
        <f>IF(BT128/(INDEX('Standards for Conversions'!$H$34:$H$73,MATCH(BS$3,'Standards for Conversions'!$A$34:$A$73,0)))=0,"",BT128/(INDEX('Standards for Conversions'!$H$34:$H$73,MATCH(BS$3,'Standards for Conversions'!$A$34:$A$73,0))))</f>
        <v/>
      </c>
      <c r="BW128" s="9"/>
      <c r="BX128" s="9"/>
      <c r="BY128" s="31" t="str">
        <f>IF(BX128/(INDEX('Standards for Conversions'!$H$34:$H$73,MATCH(BW$3,'Standards for Conversions'!$A$34:$A$73,0)))=0,"",BX128/(INDEX('Standards for Conversions'!$H$34:$H$73,MATCH(BW$3,'Standards for Conversions'!$A$34:$A$73,0))))</f>
        <v/>
      </c>
      <c r="CA128" s="7"/>
      <c r="CB128" s="7"/>
      <c r="CC128" s="31" t="str">
        <f>IF(CB128/(INDEX('Standards for Conversions'!$H$34:$H$73,MATCH(CA$3,'Standards for Conversions'!$A$34:$A$73,0)))=0,"",CB128/(INDEX('Standards for Conversions'!$H$34:$H$73,MATCH(CA$3,'Standards for Conversions'!$A$34:$A$73,0))))</f>
        <v/>
      </c>
      <c r="CE128" s="7"/>
      <c r="CF128" s="7"/>
      <c r="CG128" s="31" t="str">
        <f>IF(CF128/(INDEX('Standards for Conversions'!$H$34:$H$73,MATCH(CE$3,'Standards for Conversions'!$A$34:$A$73,0)))=0,"",CF128/(INDEX('Standards for Conversions'!$H$34:$H$73,MATCH(CE$3,'Standards for Conversions'!$A$34:$A$73,0))))</f>
        <v/>
      </c>
      <c r="CI128" s="7"/>
      <c r="CJ128" s="7"/>
      <c r="CK128" s="31" t="str">
        <f>IF(CJ128/(INDEX('Standards for Conversions'!$H$34:$H$73,MATCH(CI$3,'Standards for Conversions'!$A$34:$A$73,0)))=0,"",CJ128/(INDEX('Standards for Conversions'!$H$34:$H$73,MATCH(CI$3,'Standards for Conversions'!$A$34:$A$73,0))))</f>
        <v/>
      </c>
      <c r="CM128" s="9"/>
      <c r="CN128" s="9"/>
      <c r="CO128" s="31" t="str">
        <f>IF(CN128/(INDEX('Standards for Conversions'!$H$34:$H$73,MATCH(CM$3,'Standards for Conversions'!$A$34:$A$73,0)))=0,"",CN128/(INDEX('Standards for Conversions'!$H$34:$H$73,MATCH(CM$3,'Standards for Conversions'!$A$34:$A$73,0))))</f>
        <v/>
      </c>
      <c r="CQ128" s="7"/>
      <c r="CR128" s="7"/>
      <c r="CS128" s="31" t="str">
        <f>IF(CR128/(INDEX('Standards for Conversions'!$H$34:$H$73,MATCH(CQ$3,'Standards for Conversions'!$A$34:$A$73,0)))=0,"",CR128/(INDEX('Standards for Conversions'!$H$34:$H$73,MATCH(CQ$3,'Standards for Conversions'!$A$34:$A$73,0))))</f>
        <v/>
      </c>
      <c r="CU128" s="7"/>
      <c r="CV128" s="7"/>
      <c r="CW128" s="31" t="str">
        <f>IF(CV128/(INDEX('Standards for Conversions'!$H$34:$H$73,MATCH(CU$3,'Standards for Conversions'!$A$34:$A$73,0)))=0,"",CV128/(INDEX('Standards for Conversions'!$H$34:$H$73,MATCH(CU$3,'Standards for Conversions'!$A$34:$A$73,0))))</f>
        <v/>
      </c>
      <c r="CY128" s="7"/>
      <c r="CZ128" s="7"/>
      <c r="DA128" s="31" t="str">
        <f>IF(CZ128/(INDEX('Standards for Conversions'!$H$34:$H$73,MATCH(CY$3,'Standards for Conversions'!$A$34:$A$73,0)))=0,"",CZ128/(INDEX('Standards for Conversions'!$H$34:$H$73,MATCH(CY$3,'Standards for Conversions'!$A$34:$A$73,0))))</f>
        <v/>
      </c>
      <c r="DC128" s="9"/>
      <c r="DD128" s="9"/>
      <c r="DE128" s="31" t="str">
        <f>IF(DD128/(INDEX('Standards for Conversions'!$H$34:$H$73,MATCH(DC$3,'Standards for Conversions'!$A$34:$A$73,0)))=0,"",DD128/(INDEX('Standards for Conversions'!$H$34:$H$73,MATCH(DC$3,'Standards for Conversions'!$A$34:$A$73,0))))</f>
        <v/>
      </c>
      <c r="DG128" s="7"/>
      <c r="DH128" s="7"/>
      <c r="DI128" s="31" t="str">
        <f>IF(DH128/(INDEX('Standards for Conversions'!$H$34:$H$73,MATCH(DG$3,'Standards for Conversions'!$A$34:$A$73,0)))=0,"",DH128/(INDEX('Standards for Conversions'!$H$34:$H$73,MATCH(DG$3,'Standards for Conversions'!$A$34:$A$73,0))))</f>
        <v/>
      </c>
      <c r="DK128" s="7"/>
      <c r="DL128" s="7"/>
      <c r="DM128" s="31" t="str">
        <f>IF(DL128/(INDEX('Standards for Conversions'!$H$34:$H$73,MATCH(DK$3,'Standards for Conversions'!$A$34:$A$73,0)))=0,"",DL128/(INDEX('Standards for Conversions'!$H$34:$H$73,MATCH(DK$3,'Standards for Conversions'!$A$34:$A$73,0))))</f>
        <v/>
      </c>
      <c r="DO128" s="7"/>
      <c r="DP128" s="7"/>
      <c r="DQ128" s="31" t="str">
        <f>IF(DP128/(INDEX('Standards for Conversions'!$H$34:$H$73,MATCH(DO$3,'Standards for Conversions'!$A$34:$A$73,0)))=0,"",DP128/(INDEX('Standards for Conversions'!$H$34:$H$73,MATCH(DO$3,'Standards for Conversions'!$A$34:$A$73,0))))</f>
        <v/>
      </c>
      <c r="DS128" s="9"/>
      <c r="DT128" s="9"/>
      <c r="DU128" s="31" t="str">
        <f>IF(DT128/(INDEX('Standards for Conversions'!$H$34:$H$73,MATCH(DS$3,'Standards for Conversions'!$A$34:$A$73,0)))=0,"",DT128/(INDEX('Standards for Conversions'!$H$34:$H$73,MATCH(DS$3,'Standards for Conversions'!$A$34:$A$73,0))))</f>
        <v/>
      </c>
      <c r="DW128" s="7"/>
      <c r="DX128" s="7"/>
      <c r="DY128" s="31" t="str">
        <f>IF(DX128/(INDEX('Standards for Conversions'!$H$34:$H$73,MATCH(DW$3,'Standards for Conversions'!$A$34:$A$73,0)))=0,"",DX128/(INDEX('Standards for Conversions'!$H$34:$H$73,MATCH(DW$3,'Standards for Conversions'!$A$34:$A$73,0))))</f>
        <v/>
      </c>
      <c r="EA128" s="7"/>
      <c r="EB128" s="7"/>
      <c r="EC128" s="31" t="str">
        <f>IF(EB128/(INDEX('Standards for Conversions'!$H$34:$H$73,MATCH(EA$3,'Standards for Conversions'!$A$34:$A$73,0)))=0,"",EB128/(INDEX('Standards for Conversions'!$H$34:$H$73,MATCH(EA$3,'Standards for Conversions'!$A$34:$A$73,0))))</f>
        <v/>
      </c>
      <c r="EE128" s="7"/>
      <c r="EF128" s="7"/>
      <c r="EG128" s="31" t="str">
        <f>IF(EF128/(INDEX('Standards for Conversions'!$H$34:$H$73,MATCH(EE$3,'Standards for Conversions'!$A$34:$A$73,0)))=0,"",EF128/(INDEX('Standards for Conversions'!$H$34:$H$73,MATCH(EE$3,'Standards for Conversions'!$A$34:$A$73,0))))</f>
        <v/>
      </c>
      <c r="EI128" s="9"/>
      <c r="EJ128" s="9"/>
      <c r="EK128" s="31" t="str">
        <f>IF(EJ128/(INDEX('Standards for Conversions'!$H$34:$H$73,MATCH(EI$3,'Standards for Conversions'!$A$34:$A$73,0)))=0,"",EJ128/(INDEX('Standards for Conversions'!$H$34:$H$73,MATCH(EI$3,'Standards for Conversions'!$A$34:$A$73,0))))</f>
        <v/>
      </c>
      <c r="EM128" s="7"/>
      <c r="EN128" s="7"/>
      <c r="EO128" s="31" t="str">
        <f>IF(EN128/(INDEX('Standards for Conversions'!$H$34:$H$73,MATCH(EM$3,'Standards for Conversions'!$A$34:$A$73,0)))=0,"",EN128/(INDEX('Standards for Conversions'!$H$34:$H$73,MATCH(EM$3,'Standards for Conversions'!$A$34:$A$73,0))))</f>
        <v/>
      </c>
      <c r="EQ128" s="7"/>
      <c r="ER128" s="7"/>
      <c r="ES128" s="31" t="str">
        <f>IF(ER128/(INDEX('Standards for Conversions'!$H$34:$H$73,MATCH(EQ$3,'Standards for Conversions'!$A$34:$A$73,0)))=0,"",ER128/(INDEX('Standards for Conversions'!$H$34:$H$73,MATCH(EQ$3,'Standards for Conversions'!$A$34:$A$73,0))))</f>
        <v/>
      </c>
      <c r="EU128" s="7"/>
      <c r="EV128" s="7"/>
      <c r="EW128" s="31" t="str">
        <f>IF(EV128/(INDEX('Standards for Conversions'!$H$34:$H$73,MATCH(EU$3,'Standards for Conversions'!$A$34:$A$73,0)))=0,"",EV128/(INDEX('Standards for Conversions'!$H$34:$H$73,MATCH(EU$3,'Standards for Conversions'!$A$34:$A$73,0))))</f>
        <v/>
      </c>
      <c r="EY128" s="9"/>
      <c r="EZ128" s="9"/>
      <c r="FA128" s="31" t="str">
        <f>IF(EZ128/(INDEX('Standards for Conversions'!$H$34:$H$73,MATCH(EY$3,'Standards for Conversions'!$A$34:$A$73,0)))=0,"",EZ128/(INDEX('Standards for Conversions'!$H$34:$H$73,MATCH(EY$3,'Standards for Conversions'!$A$34:$A$73,0))))</f>
        <v/>
      </c>
      <c r="FC128" s="7"/>
      <c r="FD128" s="7"/>
      <c r="FE128" s="31" t="str">
        <f>IF(FD128/(INDEX('Standards for Conversions'!$H$34:$H$73,MATCH(FC$3,'Standards for Conversions'!$A$34:$A$73,0)))=0,"",FD128/(INDEX('Standards for Conversions'!$H$34:$H$73,MATCH(FC$3,'Standards for Conversions'!$A$34:$A$73,0))))</f>
        <v/>
      </c>
      <c r="FG128" s="7"/>
      <c r="FH128" s="7"/>
      <c r="FI128" s="31" t="str">
        <f>IF(FH128/(INDEX('Standards for Conversions'!$H$34:$H$73,MATCH(FG$3,'Standards for Conversions'!$A$34:$A$73,0)))=0,"",FH128/(INDEX('Standards for Conversions'!$H$34:$H$73,MATCH(FG$3,'Standards for Conversions'!$A$34:$A$73,0))))</f>
        <v/>
      </c>
      <c r="FK128" s="7"/>
      <c r="FL128" s="7"/>
      <c r="FM128" s="31" t="str">
        <f>IF(FL128/(INDEX('Standards for Conversions'!$H$34:$H$73,MATCH(FK$3,'Standards for Conversions'!$A$34:$A$73,0)))=0,"",FL128/(INDEX('Standards for Conversions'!$H$34:$H$73,MATCH(FK$3,'Standards for Conversions'!$A$34:$A$73,0))))</f>
        <v/>
      </c>
      <c r="FO128" s="9"/>
      <c r="FP128" s="9"/>
      <c r="FQ128" s="31" t="str">
        <f>IF(FP128/(INDEX('Standards for Conversions'!$H$34:$H$73,MATCH(FO$3,'Standards for Conversions'!$A$34:$A$73,0)))=0,"",FP128/(INDEX('Standards for Conversions'!$H$34:$H$73,MATCH(FO$3,'Standards for Conversions'!$A$34:$A$73,0))))</f>
        <v/>
      </c>
      <c r="FS128" s="7"/>
      <c r="FT128" s="7"/>
      <c r="FU128" s="31" t="str">
        <f>IF(FT128/(INDEX('Standards for Conversions'!$H$34:$H$73,MATCH(FS$3,'Standards for Conversions'!$A$34:$A$73,0)))=0,"",FT128/(INDEX('Standards for Conversions'!$H$34:$H$73,MATCH(FS$3,'Standards for Conversions'!$A$34:$A$73,0))))</f>
        <v/>
      </c>
      <c r="FW128" s="7"/>
      <c r="FX128" s="7"/>
      <c r="FY128" s="31" t="str">
        <f>IF(FX128/(INDEX('Standards for Conversions'!$H$34:$H$73,MATCH(FW$3,'Standards for Conversions'!$A$34:$A$73,0)))=0,"",FX128/(INDEX('Standards for Conversions'!$H$34:$H$73,MATCH(FW$3,'Standards for Conversions'!$A$34:$A$73,0))))</f>
        <v/>
      </c>
      <c r="GA128" s="7"/>
      <c r="GB128" s="7"/>
      <c r="GC128" s="31" t="str">
        <f>IF(GB128/(INDEX('Standards for Conversions'!$H$34:$H$73,MATCH(GA$3,'Standards for Conversions'!$A$34:$A$73,0)))=0,"",GB128/(INDEX('Standards for Conversions'!$H$34:$H$73,MATCH(GA$3,'Standards for Conversions'!$A$34:$A$73,0))))</f>
        <v/>
      </c>
      <c r="GE128" s="9"/>
      <c r="GF128" s="9"/>
      <c r="GG128" s="31" t="str">
        <f>IF(GF128/(INDEX('Standards for Conversions'!$H$34:$H$73,MATCH(GE$3,'Standards for Conversions'!$A$34:$A$73,0)))=0,"",GF128/(INDEX('Standards for Conversions'!$H$34:$H$73,MATCH(GE$3,'Standards for Conversions'!$A$34:$A$73,0))))</f>
        <v/>
      </c>
      <c r="GI128" s="7"/>
      <c r="GJ128" s="7"/>
      <c r="GK128" s="31" t="str">
        <f>IF(GJ128/(INDEX('Standards for Conversions'!$H$34:$H$73,MATCH(GI$3,'Standards for Conversions'!$A$34:$A$73,0)))=0,"",GJ128/(INDEX('Standards for Conversions'!$H$34:$H$73,MATCH(GI$3,'Standards for Conversions'!$A$34:$A$73,0))))</f>
        <v/>
      </c>
      <c r="GM128" s="7"/>
      <c r="GN128" s="7"/>
      <c r="GO128" s="31" t="str">
        <f>IF(GN128/(INDEX('Standards for Conversions'!$H$34:$H$73,MATCH(GM$3,'Standards for Conversions'!$A$34:$A$73,0)))=0,"",GN128/(INDEX('Standards for Conversions'!$H$34:$H$73,MATCH(GM$3,'Standards for Conversions'!$A$34:$A$73,0))))</f>
        <v/>
      </c>
      <c r="GQ128" s="7"/>
      <c r="GR128" s="7"/>
      <c r="GS128" s="31" t="str">
        <f>IF(GR128/(INDEX('Standards for Conversions'!$H$34:$H$73,MATCH(GQ$3,'Standards for Conversions'!$A$34:$A$73,0)))=0,"",GR128/(INDEX('Standards for Conversions'!$H$34:$H$73,MATCH(GQ$3,'Standards for Conversions'!$A$34:$A$73,0))))</f>
        <v/>
      </c>
      <c r="GU128" s="9"/>
      <c r="GV128" s="9"/>
      <c r="GW128" s="31" t="str">
        <f>IF(GV128/(INDEX('Standards for Conversions'!$H$34:$H$73,MATCH(GU$3,'Standards for Conversions'!$A$34:$A$73,0)))=0,"",GV128/(INDEX('Standards for Conversions'!$H$34:$H$73,MATCH(GU$3,'Standards for Conversions'!$A$34:$A$73,0))))</f>
        <v/>
      </c>
      <c r="GY128" s="7"/>
      <c r="GZ128" s="7"/>
      <c r="HA128" s="31" t="str">
        <f>IF(GZ128/(INDEX('Standards for Conversions'!$H$34:$H$73,MATCH(GY$3,'Standards for Conversions'!$A$34:$A$73,0)))=0,"",GZ128/(INDEX('Standards for Conversions'!$H$34:$H$73,MATCH(GY$3,'Standards for Conversions'!$A$34:$A$73,0))))</f>
        <v/>
      </c>
      <c r="HC128" s="7"/>
      <c r="HD128" s="7"/>
      <c r="HE128" s="31" t="str">
        <f>IF(HD128/(INDEX('Standards for Conversions'!$H$34:$H$73,MATCH(HC$3,'Standards for Conversions'!$A$34:$A$73,0)))=0,"",HD128/(INDEX('Standards for Conversions'!$H$34:$H$73,MATCH(HC$3,'Standards for Conversions'!$A$34:$A$73,0))))</f>
        <v/>
      </c>
      <c r="HG128" s="7"/>
      <c r="HH128" s="7"/>
      <c r="HI128" s="31" t="str">
        <f>IF(HH128/(INDEX('Standards for Conversions'!$H$34:$H$73,MATCH(HG$3,'Standards for Conversions'!$A$34:$A$73,0)))=0,"",HH128/(INDEX('Standards for Conversions'!$H$34:$H$73,MATCH(HG$3,'Standards for Conversions'!$A$34:$A$73,0))))</f>
        <v/>
      </c>
      <c r="HK128" s="9"/>
      <c r="HL128" s="9"/>
      <c r="HM128" s="31" t="str">
        <f>IF(HL128/(INDEX('Standards for Conversions'!$H$34:$H$73,MATCH(HK$3,'Standards for Conversions'!$A$34:$A$73,0)))=0,"",HL128/(INDEX('Standards for Conversions'!$H$34:$H$73,MATCH(HK$3,'Standards for Conversions'!$A$34:$A$73,0))))</f>
        <v/>
      </c>
      <c r="HO128" s="7"/>
      <c r="HP128" s="7"/>
      <c r="HQ128" s="31" t="str">
        <f>IF(HP128/(INDEX('Standards for Conversions'!$H$34:$H$73,MATCH(HO$3,'Standards for Conversions'!$A$34:$A$73,0)))=0,"",HP128/(INDEX('Standards for Conversions'!$H$34:$H$73,MATCH(HO$3,'Standards for Conversions'!$A$34:$A$73,0))))</f>
        <v/>
      </c>
      <c r="HU128" s="31" t="str">
        <f>IF(HT128/(INDEX('Standards for Conversions'!$H$47:$H$73,MATCH(HS$3,'Standards for Conversions'!$A$47:$A$73,0)))=0,"",HT128/(INDEX('Standards for Conversions'!$H$47:$H$73,MATCH(HS$3,'Standards for Conversions'!$A$47:$A$73,0))))</f>
        <v/>
      </c>
      <c r="HW128" s="29">
        <v>4</v>
      </c>
      <c r="HX128" s="29">
        <v>200</v>
      </c>
      <c r="HY128" s="31">
        <f>IF(HX128/(INDEX('Standards for Conversions'!$H$47:$H$73,MATCH(HW$3,'Standards for Conversions'!$A$47:$A$73,0)))=0,"",HX128/(INDEX('Standards for Conversions'!$H$47:$H$73,MATCH(HW$3,'Standards for Conversions'!$A$47:$A$73,0))))</f>
        <v>29.049082442571191</v>
      </c>
      <c r="HZ128" s="33"/>
      <c r="IA128" s="33"/>
      <c r="IB128" s="31" t="str">
        <f>IF(IA128/(INDEX('Standards for Conversions'!$H$47:$H$73,MATCH(HZ$3,'Standards for Conversions'!$A$47:$A$73,0)))=0,"",IA128/(INDEX('Standards for Conversions'!$H$47:$H$73,MATCH(HZ$3,'Standards for Conversions'!$A$47:$A$73,0))))</f>
        <v/>
      </c>
      <c r="IF128" s="31" t="str">
        <f>IF(IE128/(INDEX('Standards for Conversions'!$H$47:$H$73,MATCH(ID$3,'Standards for Conversions'!$A$47:$A$73,0)))=0,"",IE128/(INDEX('Standards for Conversions'!$H$47:$H$73,MATCH(ID$3,'Standards for Conversions'!$A$47:$A$73,0))))</f>
        <v/>
      </c>
      <c r="IJ128" s="31" t="str">
        <f>IF(II128/(INDEX('Standards for Conversions'!$H$47:$H$73,MATCH(IH$3,'Standards for Conversions'!$A$47:$A$73,0)))=0,"",II128/(INDEX('Standards for Conversions'!$H$47:$H$73,MATCH(IH$3,'Standards for Conversions'!$A$47:$A$73,0))))</f>
        <v/>
      </c>
      <c r="IN128" s="31" t="str">
        <f>IF(IM128/(INDEX('Standards for Conversions'!$H$47:$H$73,MATCH(IL$3,'Standards for Conversions'!$A$47:$A$73,0)))=0,"",IM128/(INDEX('Standards for Conversions'!$H$47:$H$73,MATCH(IL$3,'Standards for Conversions'!$A$47:$A$73,0))))</f>
        <v/>
      </c>
      <c r="IR128" s="31" t="str">
        <f>IF(IQ128/(INDEX('Standards for Conversions'!$H$47:$H$73,MATCH(IP$3,'Standards for Conversions'!$A$47:$A$73,0)))=0,"",IQ128/(INDEX('Standards for Conversions'!$H$47:$H$73,MATCH(IP$3,'Standards for Conversions'!$A$47:$A$73,0))))</f>
        <v/>
      </c>
      <c r="IV128" s="31" t="str">
        <f>IF(IU128/(INDEX('Standards for Conversions'!$H$47:$H$73,MATCH(IT$3,'Standards for Conversions'!$A$47:$A$73,0)))=0,"",IU128/(INDEX('Standards for Conversions'!$H$47:$H$73,MATCH(IT$3,'Standards for Conversions'!$A$47:$A$73,0))))</f>
        <v/>
      </c>
      <c r="IZ128" s="31" t="str">
        <f>IF(IY128/(INDEX('Standards for Conversions'!$H$47:$H$73,MATCH(IX$3,'Standards for Conversions'!$A$47:$A$73,0)))=0,"",IY128/(INDEX('Standards for Conversions'!$H$47:$H$73,MATCH(IX$3,'Standards for Conversions'!$A$47:$A$73,0))))</f>
        <v/>
      </c>
      <c r="JA128" s="48"/>
      <c r="JD128" s="31" t="str">
        <f>IF(JC128/(INDEX('Standards for Conversions'!$H$47:$H$73,MATCH(JB$3,'Standards for Conversions'!$A$47:$A$73,0)))=0,"",JC128/(INDEX('Standards for Conversions'!$H$47:$H$73,MATCH(JB$3,'Standards for Conversions'!$A$47:$A$73,0))))</f>
        <v/>
      </c>
      <c r="JE128" s="48"/>
      <c r="JH128" s="31" t="str">
        <f>IF(JG128/(INDEX('Standards for Conversions'!$H$47:$H$73,MATCH(JF$3,'Standards for Conversions'!$A$47:$A$73,0)))=0,"",JG128/(INDEX('Standards for Conversions'!$H$47:$H$73,MATCH(JF$3,'Standards for Conversions'!$A$47:$A$73,0))))</f>
        <v/>
      </c>
      <c r="JI128" s="33"/>
      <c r="JL128" s="31" t="str">
        <f>IF(JK128/(INDEX('Standards for Conversions'!$H$47:$H$73,MATCH(JJ$3,'Standards for Conversions'!$A$47:$A$73,0)))=0,"",JK128/(INDEX('Standards for Conversions'!$H$47:$H$73,MATCH(JJ$3,'Standards for Conversions'!$A$47:$A$73,0))))</f>
        <v/>
      </c>
      <c r="JM128" s="33" t="s">
        <v>40</v>
      </c>
      <c r="JP128" s="31" t="str">
        <f>IF(JO128/(INDEX('Standards for Conversions'!$H$47:$H$73,MATCH(JN$3,'Standards for Conversions'!$A$47:$A$73,0)))=0,"",JO128/(INDEX('Standards for Conversions'!$H$47:$H$73,MATCH(JN$3,'Standards for Conversions'!$A$47:$A$73,0))))</f>
        <v/>
      </c>
      <c r="JQ128" s="33" t="s">
        <v>40</v>
      </c>
      <c r="JR128" s="29">
        <v>2</v>
      </c>
      <c r="JT128" s="31" t="str">
        <f>IF(JS128/(INDEX('Standards for Conversions'!$H$47:$H$73,MATCH(JR$3,'Standards for Conversions'!$A$47:$A$73,0)))=0,"",JS128/(INDEX('Standards for Conversions'!$H$47:$H$73,MATCH(JR$3,'Standards for Conversions'!$A$47:$A$73,0))))</f>
        <v/>
      </c>
      <c r="JU128" s="33" t="s">
        <v>40</v>
      </c>
      <c r="JX128" s="31" t="str">
        <f>IF(JW128/(INDEX('Standards for Conversions'!$H$47:$H$73,MATCH(JV$3,'Standards for Conversions'!$A$47:$A$73,0)))=0,"",JW128/(INDEX('Standards for Conversions'!$H$47:$H$73,MATCH(JV$3,'Standards for Conversions'!$A$47:$A$73,0))))</f>
        <v/>
      </c>
      <c r="JY128" s="33" t="s">
        <v>40</v>
      </c>
      <c r="KB128" s="31" t="str">
        <f>IF(KA128/(INDEX('Standards for Conversions'!$H$47:$H$73,MATCH(JZ$3,'Standards for Conversions'!$A$47:$A$73,0)))=0,"",KA128/(INDEX('Standards for Conversions'!$H$47:$H$73,MATCH(JZ$3,'Standards for Conversions'!$A$47:$A$73,0))))</f>
        <v/>
      </c>
      <c r="KC128" s="33" t="s">
        <v>40</v>
      </c>
      <c r="KF128" s="31" t="str">
        <f>IF(KE128/(INDEX('Standards for Conversions'!$H$47:$H$73,MATCH(KD$3,'Standards for Conversions'!$A$47:$A$73,0)))=0,"",KE128/(INDEX('Standards for Conversions'!$H$47:$H$73,MATCH(KD$3,'Standards for Conversions'!$A$47:$A$73,0))))</f>
        <v/>
      </c>
      <c r="KG128" s="33" t="s">
        <v>40</v>
      </c>
      <c r="KH128" s="29">
        <v>4</v>
      </c>
      <c r="KI128" s="29">
        <v>180</v>
      </c>
      <c r="KJ128" s="31">
        <f>IF(KI128/(INDEX('Standards for Conversions'!$H$47:$H$73,MATCH(KH$3,'Standards for Conversions'!$A$47:$A$73,0)))=0,"",KI128/(INDEX('Standards for Conversions'!$H$47:$H$73,MATCH(KH$3,'Standards for Conversions'!$A$47:$A$73,0))))</f>
        <v>24.238622143043365</v>
      </c>
      <c r="KK128" s="33" t="s">
        <v>40</v>
      </c>
      <c r="KN128" s="31" t="str">
        <f>IF(KM128/(INDEX('Standards for Conversions'!$H$47:$H$73,MATCH(KL$3,'Standards for Conversions'!$A$47:$A$73,0)))=0,"",KM128/(INDEX('Standards for Conversions'!$H$47:$H$73,MATCH(KL$3,'Standards for Conversions'!$A$47:$A$73,0))))</f>
        <v/>
      </c>
      <c r="KO128" s="33" t="s">
        <v>40</v>
      </c>
      <c r="KR128" s="31" t="str">
        <f>IF(KQ128/(INDEX('Standards for Conversions'!$H$47:$H$73,MATCH(KP$3,'Standards for Conversions'!$A$47:$A$73,0)))=0,"",KQ128/(INDEX('Standards for Conversions'!$H$47:$H$73,MATCH(KP$3,'Standards for Conversions'!$A$47:$A$73,0))))</f>
        <v/>
      </c>
      <c r="KS128" s="33" t="s">
        <v>40</v>
      </c>
      <c r="KV128" s="31" t="str">
        <f>IF(KU128/(INDEX('Standards for Conversions'!$H$47:$H$73,MATCH(KT$3,'Standards for Conversions'!$A$47:$A$73,0)))=0,"",KU128/(INDEX('Standards for Conversions'!$H$47:$H$73,MATCH(KT$3,'Standards for Conversions'!$A$47:$A$73,0))))</f>
        <v/>
      </c>
      <c r="KW128" s="48" t="s">
        <v>40</v>
      </c>
      <c r="KX128" s="29">
        <v>5</v>
      </c>
      <c r="KY128" s="29">
        <v>200</v>
      </c>
      <c r="KZ128" s="31">
        <f>IF(KY128/(INDEX('Standards for Conversions'!$H$47:$H$73,MATCH(KX$3,'Standards for Conversions'!$A$47:$A$73,0)))=0,"",KY128/(INDEX('Standards for Conversions'!$H$47:$H$73,MATCH(KX$3,'Standards for Conversions'!$A$47:$A$73,0))))</f>
        <v>24.323313345499837</v>
      </c>
      <c r="LA128" s="48"/>
      <c r="LD128" s="31" t="str">
        <f>IF(LC128/(INDEX('Standards for Conversions'!$H$47:$H$73,MATCH(LB$3,'Standards for Conversions'!$A$47:$A$73,0)))=0,"",LC128/(INDEX('Standards for Conversions'!$H$47:$H$73,MATCH(LB$3,'Standards for Conversions'!$A$47:$A$73,0))))</f>
        <v/>
      </c>
      <c r="LE128" s="33"/>
      <c r="LH128" s="31" t="str">
        <f>IF(LG128/(INDEX('Standards for Conversions'!$H$47:$H$73,MATCH(LF$3,'Standards for Conversions'!$A$47:$A$73,0)))=0,"",LG128/(INDEX('Standards for Conversions'!$H$47:$H$73,MATCH(LF$3,'Standards for Conversions'!$A$47:$A$73,0))))</f>
        <v/>
      </c>
      <c r="LL128" s="31" t="str">
        <f>IF(LK128/(INDEX('Standards for Conversions'!$H$47:$H$73,MATCH(LJ$3,'Standards for Conversions'!$A$47:$A$73,0)))=0,"",LK128/(INDEX('Standards for Conversions'!$H$47:$H$73,MATCH(LJ$3,'Standards for Conversions'!$A$47:$A$73,0))))</f>
        <v/>
      </c>
      <c r="LO128" s="31" t="str">
        <f>IF(LN128/(INDEX('Standards for Conversions'!$H$47:$H$73,MATCH(LM$3,'Standards for Conversions'!$A$47:$A$73,0)))=0,"",LN128/(INDEX('Standards for Conversions'!$H$47:$H$73,MATCH(LM$3,'Standards for Conversions'!$A$47:$A$73,0))))</f>
        <v/>
      </c>
      <c r="LR128" s="31" t="str">
        <f>IF(LQ128/(INDEX('Standards for Conversions'!$H$47:$H$73,MATCH(LP$3,'Standards for Conversions'!$A$47:$A$73,0)))=0,"",LQ128/(INDEX('Standards for Conversions'!$H$47:$H$73,MATCH(LP$3,'Standards for Conversions'!$A$47:$A$73,0))))</f>
        <v/>
      </c>
      <c r="LV128" s="31" t="str">
        <f>IF(LU128/(INDEX('Standards for Conversions'!$H$47:$H$73,MATCH(LT$3,'Standards for Conversions'!$A$47:$A$73,0)))=0,"",LU128/(INDEX('Standards for Conversions'!$H$47:$H$73,MATCH(LT$3,'Standards for Conversions'!$A$47:$A$73,0))))</f>
        <v/>
      </c>
      <c r="LY128" s="31" t="str">
        <f>IF(LX128/(INDEX('Standards for Conversions'!$H$47:$H$73,MATCH(LW$3,'Standards for Conversions'!$A$47:$A$73,0)))=0,"",LX128/(INDEX('Standards for Conversions'!$H$47:$H$73,MATCH(LW$3,'Standards for Conversions'!$A$47:$A$73,0))))</f>
        <v/>
      </c>
      <c r="MB128" s="31" t="str">
        <f>IF(MA128/(INDEX('Standards for Conversions'!$H$47:$H$73,MATCH(LZ$3,'Standards for Conversions'!$A$47:$A$73,0)))=0,"",MA128/(INDEX('Standards for Conversions'!$H$47:$H$73,MATCH(LZ$3,'Standards for Conversions'!$A$47:$A$73,0))))</f>
        <v/>
      </c>
      <c r="ME128" s="31" t="str">
        <f>IF(MD128/(INDEX('Standards for Conversions'!$H$47:$H$73,MATCH(MC$3,'Standards for Conversions'!$A$47:$A$73,0)))=0,"",MD128/(INDEX('Standards for Conversions'!$H$47:$H$73,MATCH(MC$3,'Standards for Conversions'!$A$47:$A$73,0))))</f>
        <v/>
      </c>
      <c r="MH128" s="31" t="str">
        <f>IF(MG128/(INDEX('Standards for Conversions'!$H$47:$H$73,MATCH(MF$3,'Standards for Conversions'!$A$47:$A$73,0)))=0,"",MG128/(INDEX('Standards for Conversions'!$H$47:$H$73,MATCH(MF$3,'Standards for Conversions'!$A$47:$A$73,0))))</f>
        <v/>
      </c>
      <c r="MK128" s="31" t="str">
        <f>IF(MJ128/(INDEX('Standards for Conversions'!$H$47:$H$73,MATCH(MI$3,'Standards for Conversions'!$A$47:$A$73,0)))=0,"",MJ128/(INDEX('Standards for Conversions'!$H$47:$H$73,MATCH(MI$3,'Standards for Conversions'!$A$47:$A$73,0))))</f>
        <v/>
      </c>
      <c r="MN128" s="31" t="str">
        <f>IF(MM128/(INDEX('Standards for Conversions'!$H$47:$H$73,MATCH(ML$3,'Standards for Conversions'!$A$47:$A$73,0)))=0,"",MM128/(INDEX('Standards for Conversions'!$H$47:$H$73,MATCH(ML$3,'Standards for Conversions'!$A$47:$A$73,0))))</f>
        <v/>
      </c>
      <c r="MR128" s="31" t="str">
        <f>IF(MQ128/(INDEX('Standards for Conversions'!$H$47:$H$73,MATCH(MP$3,'Standards for Conversions'!$A$47:$A$73,0)))=0,"",MQ128/(INDEX('Standards for Conversions'!$H$47:$H$73,MATCH(MP$3,'Standards for Conversions'!$A$47:$A$73,0))))</f>
        <v/>
      </c>
    </row>
    <row r="129" spans="1:356" hidden="1" x14ac:dyDescent="0.3">
      <c r="A129" s="103" t="s">
        <v>294</v>
      </c>
      <c r="B129" s="10" t="s">
        <v>38</v>
      </c>
      <c r="C129" s="7"/>
      <c r="D129" s="7"/>
      <c r="E129" s="31" t="str">
        <f>IF(D129/(INDEX('Standards for Conversions'!$H$34:$H$73,MATCH(C$3,'Standards for Conversions'!$A$34:$A$73,0)))=0,"",D129/(INDEX('Standards for Conversions'!$H$34:$H$73,MATCH(C$3,'Standards for Conversions'!$A$34:$A$73,0))))</f>
        <v/>
      </c>
      <c r="F129" s="10" t="s">
        <v>38</v>
      </c>
      <c r="G129" s="7"/>
      <c r="H129" s="7"/>
      <c r="I129" s="31" t="str">
        <f>IF(H129/(INDEX('Standards for Conversions'!$H$34:$H$73,MATCH(G$3,'Standards for Conversions'!$A$34:$A$73,0)))=0,"",H129/(INDEX('Standards for Conversions'!$H$34:$H$73,MATCH(G$3,'Standards for Conversions'!$A$34:$A$73,0))))</f>
        <v/>
      </c>
      <c r="J129" s="10" t="s">
        <v>38</v>
      </c>
      <c r="K129" s="9"/>
      <c r="L129" s="9"/>
      <c r="M129" s="31" t="str">
        <f>IF(L129/(INDEX('Standards for Conversions'!$H$34:$H$73,MATCH(K$3,'Standards for Conversions'!$A$34:$A$73,0)))=0,"",L129/(INDEX('Standards for Conversions'!$H$34:$H$73,MATCH(K$3,'Standards for Conversions'!$A$34:$A$73,0))))</f>
        <v/>
      </c>
      <c r="N129" s="10" t="s">
        <v>38</v>
      </c>
      <c r="O129" s="7"/>
      <c r="P129" s="7"/>
      <c r="Q129" s="31" t="str">
        <f>IF(P129/(INDEX('Standards for Conversions'!$H$34:$H$73,MATCH(O$3,'Standards for Conversions'!$A$34:$A$73,0)))=0,"",P129/(INDEX('Standards for Conversions'!$H$34:$H$73,MATCH(O$3,'Standards for Conversions'!$A$34:$A$73,0))))</f>
        <v/>
      </c>
      <c r="R129" s="10" t="s">
        <v>38</v>
      </c>
      <c r="S129" s="7"/>
      <c r="T129" s="7"/>
      <c r="U129" s="31" t="str">
        <f>IF(T129/(INDEX('Standards for Conversions'!$H$34:$H$73,MATCH(S$3,'Standards for Conversions'!$A$34:$A$73,0)))=0,"",T129/(INDEX('Standards for Conversions'!$H$34:$H$73,MATCH(S$3,'Standards for Conversions'!$A$34:$A$73,0))))</f>
        <v/>
      </c>
      <c r="V129" s="10" t="s">
        <v>38</v>
      </c>
      <c r="W129" s="7"/>
      <c r="X129" s="7"/>
      <c r="Y129" s="31" t="str">
        <f>IF(X129/(INDEX('Standards for Conversions'!$H$34:$H$73,MATCH(W$3,'Standards for Conversions'!$A$34:$A$73,0)))=0,"",X129/(INDEX('Standards for Conversions'!$H$34:$H$73,MATCH(W$3,'Standards for Conversions'!$A$34:$A$73,0))))</f>
        <v/>
      </c>
      <c r="Z129" s="10" t="s">
        <v>38</v>
      </c>
      <c r="AA129" s="9"/>
      <c r="AB129" s="9"/>
      <c r="AC129" s="31" t="str">
        <f>IF(AB129/(INDEX('Standards for Conversions'!$H$34:$H$73,MATCH(AA$3,'Standards for Conversions'!$A$34:$A$73,0)))=0,"",AB129/(INDEX('Standards for Conversions'!$H$34:$H$73,MATCH(AA$3,'Standards for Conversions'!$A$34:$A$73,0))))</f>
        <v/>
      </c>
      <c r="AD129" s="10" t="s">
        <v>38</v>
      </c>
      <c r="AE129" s="7"/>
      <c r="AF129" s="7"/>
      <c r="AG129" s="31" t="str">
        <f>IF(AF129/(INDEX('Standards for Conversions'!$H$34:$H$73,MATCH(AE$3,'Standards for Conversions'!$A$34:$A$73,0)))=0,"",AF129/(INDEX('Standards for Conversions'!$H$34:$H$73,MATCH(AE$3,'Standards for Conversions'!$A$34:$A$73,0))))</f>
        <v/>
      </c>
      <c r="AH129" s="10" t="s">
        <v>38</v>
      </c>
      <c r="AI129" s="7"/>
      <c r="AJ129" s="7"/>
      <c r="AK129" s="31" t="str">
        <f>IF(AJ129/(INDEX('Standards for Conversions'!$H$34:$H$73,MATCH(AI$3,'Standards for Conversions'!$A$34:$A$73,0)))=0,"",AJ129/(INDEX('Standards for Conversions'!$H$34:$H$73,MATCH(AI$3,'Standards for Conversions'!$A$34:$A$73,0))))</f>
        <v/>
      </c>
      <c r="AL129" s="10" t="s">
        <v>38</v>
      </c>
      <c r="AM129" s="7"/>
      <c r="AN129" s="7"/>
      <c r="AO129" s="31" t="str">
        <f>IF(AN129/(INDEX('Standards for Conversions'!$H$34:$H$73,MATCH(AM$3,'Standards for Conversions'!$A$34:$A$73,0)))=0,"",AN129/(INDEX('Standards for Conversions'!$H$34:$H$73,MATCH(AM$3,'Standards for Conversions'!$A$34:$A$73,0))))</f>
        <v/>
      </c>
      <c r="AP129" s="10" t="s">
        <v>38</v>
      </c>
      <c r="AQ129" s="9"/>
      <c r="AR129" s="9"/>
      <c r="AS129" s="31" t="str">
        <f>IF(AR129/(INDEX('Standards for Conversions'!$H$34:$H$73,MATCH(AQ$3,'Standards for Conversions'!$A$34:$A$73,0)))=0,"",AR129/(INDEX('Standards for Conversions'!$H$34:$H$73,MATCH(AQ$3,'Standards for Conversions'!$A$34:$A$73,0))))</f>
        <v/>
      </c>
      <c r="AT129" s="10" t="s">
        <v>38</v>
      </c>
      <c r="AU129" s="7"/>
      <c r="AV129" s="7"/>
      <c r="AW129" s="31" t="str">
        <f>IF(AV129/(INDEX('Standards for Conversions'!$H$34:$H$73,MATCH(AU$3,'Standards for Conversions'!$A$34:$A$73,0)))=0,"",AV129/(INDEX('Standards for Conversions'!$H$34:$H$73,MATCH(AU$3,'Standards for Conversions'!$A$34:$A$73,0))))</f>
        <v/>
      </c>
      <c r="AX129" s="10" t="s">
        <v>38</v>
      </c>
      <c r="AY129" s="7"/>
      <c r="AZ129" s="7"/>
      <c r="BA129" s="31" t="str">
        <f>IF(AZ129/(INDEX('Standards for Conversions'!$H$34:$H$73,MATCH(AY$3,'Standards for Conversions'!$A$34:$A$73,0)))=0,"",AZ129/(INDEX('Standards for Conversions'!$H$34:$H$73,MATCH(AY$3,'Standards for Conversions'!$A$34:$A$73,0))))</f>
        <v/>
      </c>
      <c r="BB129" s="10" t="s">
        <v>38</v>
      </c>
      <c r="BC129" s="7"/>
      <c r="BD129" s="7"/>
      <c r="BE129" s="31" t="str">
        <f>IF(BD129/(INDEX('Standards for Conversions'!$H$34:$H$73,MATCH(BC$3,'Standards for Conversions'!$A$34:$A$73,0)))=0,"",BD129/(INDEX('Standards for Conversions'!$H$34:$H$73,MATCH(BC$3,'Standards for Conversions'!$A$34:$A$73,0))))</f>
        <v/>
      </c>
      <c r="BF129" s="10" t="s">
        <v>38</v>
      </c>
      <c r="BG129" s="9"/>
      <c r="BH129" s="9"/>
      <c r="BI129" s="31" t="str">
        <f>IF(BH129/(INDEX('Standards for Conversions'!$H$34:$H$73,MATCH(BG$3,'Standards for Conversions'!$A$34:$A$73,0)))=0,"",BH129/(INDEX('Standards for Conversions'!$H$34:$H$73,MATCH(BG$3,'Standards for Conversions'!$A$34:$A$73,0))))</f>
        <v/>
      </c>
      <c r="BJ129" s="10" t="s">
        <v>38</v>
      </c>
      <c r="BK129" s="7"/>
      <c r="BL129" s="7"/>
      <c r="BM129" s="31" t="str">
        <f>IF(BL129/(INDEX('Standards for Conversions'!$H$34:$H$73,MATCH(BK$3,'Standards for Conversions'!$A$34:$A$73,0)))=0,"",BL129/(INDEX('Standards for Conversions'!$H$34:$H$73,MATCH(BK$3,'Standards for Conversions'!$A$34:$A$73,0))))</f>
        <v/>
      </c>
      <c r="BN129" s="10" t="s">
        <v>38</v>
      </c>
      <c r="BO129" s="7"/>
      <c r="BP129" s="7"/>
      <c r="BQ129" s="31" t="str">
        <f>IF(BP129/(INDEX('Standards for Conversions'!$H$34:$H$73,MATCH(BO$3,'Standards for Conversions'!$A$34:$A$73,0)))=0,"",BP129/(INDEX('Standards for Conversions'!$H$34:$H$73,MATCH(BO$3,'Standards for Conversions'!$A$34:$A$73,0))))</f>
        <v/>
      </c>
      <c r="BR129" s="10" t="s">
        <v>38</v>
      </c>
      <c r="BS129" s="7"/>
      <c r="BT129" s="7"/>
      <c r="BU129" s="31" t="str">
        <f>IF(BT129/(INDEX('Standards for Conversions'!$H$34:$H$73,MATCH(BS$3,'Standards for Conversions'!$A$34:$A$73,0)))=0,"",BT129/(INDEX('Standards for Conversions'!$H$34:$H$73,MATCH(BS$3,'Standards for Conversions'!$A$34:$A$73,0))))</f>
        <v/>
      </c>
      <c r="BV129" s="10" t="s">
        <v>38</v>
      </c>
      <c r="BW129" s="9"/>
      <c r="BX129" s="9"/>
      <c r="BY129" s="31" t="str">
        <f>IF(BX129/(INDEX('Standards for Conversions'!$H$34:$H$73,MATCH(BW$3,'Standards for Conversions'!$A$34:$A$73,0)))=0,"",BX129/(INDEX('Standards for Conversions'!$H$34:$H$73,MATCH(BW$3,'Standards for Conversions'!$A$34:$A$73,0))))</f>
        <v/>
      </c>
      <c r="BZ129" s="10" t="s">
        <v>38</v>
      </c>
      <c r="CA129" s="7"/>
      <c r="CB129" s="7"/>
      <c r="CC129" s="31" t="str">
        <f>IF(CB129/(INDEX('Standards for Conversions'!$H$34:$H$73,MATCH(CA$3,'Standards for Conversions'!$A$34:$A$73,0)))=0,"",CB129/(INDEX('Standards for Conversions'!$H$34:$H$73,MATCH(CA$3,'Standards for Conversions'!$A$34:$A$73,0))))</f>
        <v/>
      </c>
      <c r="CD129" s="10" t="s">
        <v>38</v>
      </c>
      <c r="CE129" s="7"/>
      <c r="CF129" s="7"/>
      <c r="CG129" s="31" t="str">
        <f>IF(CF129/(INDEX('Standards for Conversions'!$H$34:$H$73,MATCH(CE$3,'Standards for Conversions'!$A$34:$A$73,0)))=0,"",CF129/(INDEX('Standards for Conversions'!$H$34:$H$73,MATCH(CE$3,'Standards for Conversions'!$A$34:$A$73,0))))</f>
        <v/>
      </c>
      <c r="CH129" s="10" t="s">
        <v>38</v>
      </c>
      <c r="CI129" s="7"/>
      <c r="CJ129" s="7"/>
      <c r="CK129" s="31" t="str">
        <f>IF(CJ129/(INDEX('Standards for Conversions'!$H$34:$H$73,MATCH(CI$3,'Standards for Conversions'!$A$34:$A$73,0)))=0,"",CJ129/(INDEX('Standards for Conversions'!$H$34:$H$73,MATCH(CI$3,'Standards for Conversions'!$A$34:$A$73,0))))</f>
        <v/>
      </c>
      <c r="CL129" s="10" t="s">
        <v>38</v>
      </c>
      <c r="CM129" s="9"/>
      <c r="CN129" s="9"/>
      <c r="CO129" s="31" t="str">
        <f>IF(CN129/(INDEX('Standards for Conversions'!$H$34:$H$73,MATCH(CM$3,'Standards for Conversions'!$A$34:$A$73,0)))=0,"",CN129/(INDEX('Standards for Conversions'!$H$34:$H$73,MATCH(CM$3,'Standards for Conversions'!$A$34:$A$73,0))))</f>
        <v/>
      </c>
      <c r="CP129" s="10" t="s">
        <v>38</v>
      </c>
      <c r="CQ129" s="7"/>
      <c r="CR129" s="7"/>
      <c r="CS129" s="31" t="str">
        <f>IF(CR129/(INDEX('Standards for Conversions'!$H$34:$H$73,MATCH(CQ$3,'Standards for Conversions'!$A$34:$A$73,0)))=0,"",CR129/(INDEX('Standards for Conversions'!$H$34:$H$73,MATCH(CQ$3,'Standards for Conversions'!$A$34:$A$73,0))))</f>
        <v/>
      </c>
      <c r="CT129" s="10" t="s">
        <v>38</v>
      </c>
      <c r="CU129" s="7"/>
      <c r="CV129" s="7"/>
      <c r="CW129" s="31" t="str">
        <f>IF(CV129/(INDEX('Standards for Conversions'!$H$34:$H$73,MATCH(CU$3,'Standards for Conversions'!$A$34:$A$73,0)))=0,"",CV129/(INDEX('Standards for Conversions'!$H$34:$H$73,MATCH(CU$3,'Standards for Conversions'!$A$34:$A$73,0))))</f>
        <v/>
      </c>
      <c r="CX129" s="10" t="s">
        <v>38</v>
      </c>
      <c r="CY129" s="7"/>
      <c r="CZ129" s="7"/>
      <c r="DA129" s="31" t="str">
        <f>IF(CZ129/(INDEX('Standards for Conversions'!$H$34:$H$73,MATCH(CY$3,'Standards for Conversions'!$A$34:$A$73,0)))=0,"",CZ129/(INDEX('Standards for Conversions'!$H$34:$H$73,MATCH(CY$3,'Standards for Conversions'!$A$34:$A$73,0))))</f>
        <v/>
      </c>
      <c r="DB129" s="10" t="s">
        <v>38</v>
      </c>
      <c r="DC129" s="9"/>
      <c r="DD129" s="9"/>
      <c r="DE129" s="31" t="str">
        <f>IF(DD129/(INDEX('Standards for Conversions'!$H$34:$H$73,MATCH(DC$3,'Standards for Conversions'!$A$34:$A$73,0)))=0,"",DD129/(INDEX('Standards for Conversions'!$H$34:$H$73,MATCH(DC$3,'Standards for Conversions'!$A$34:$A$73,0))))</f>
        <v/>
      </c>
      <c r="DF129" s="10" t="s">
        <v>38</v>
      </c>
      <c r="DG129" s="7"/>
      <c r="DH129" s="7"/>
      <c r="DI129" s="31" t="str">
        <f>IF(DH129/(INDEX('Standards for Conversions'!$H$34:$H$73,MATCH(DG$3,'Standards for Conversions'!$A$34:$A$73,0)))=0,"",DH129/(INDEX('Standards for Conversions'!$H$34:$H$73,MATCH(DG$3,'Standards for Conversions'!$A$34:$A$73,0))))</f>
        <v/>
      </c>
      <c r="DJ129" s="10" t="s">
        <v>38</v>
      </c>
      <c r="DK129" s="7"/>
      <c r="DL129" s="7"/>
      <c r="DM129" s="31" t="str">
        <f>IF(DL129/(INDEX('Standards for Conversions'!$H$34:$H$73,MATCH(DK$3,'Standards for Conversions'!$A$34:$A$73,0)))=0,"",DL129/(INDEX('Standards for Conversions'!$H$34:$H$73,MATCH(DK$3,'Standards for Conversions'!$A$34:$A$73,0))))</f>
        <v/>
      </c>
      <c r="DN129" s="10" t="s">
        <v>38</v>
      </c>
      <c r="DO129" s="7"/>
      <c r="DP129" s="7"/>
      <c r="DQ129" s="31" t="str">
        <f>IF(DP129/(INDEX('Standards for Conversions'!$H$34:$H$73,MATCH(DO$3,'Standards for Conversions'!$A$34:$A$73,0)))=0,"",DP129/(INDEX('Standards for Conversions'!$H$34:$H$73,MATCH(DO$3,'Standards for Conversions'!$A$34:$A$73,0))))</f>
        <v/>
      </c>
      <c r="DR129" s="10" t="s">
        <v>38</v>
      </c>
      <c r="DS129" s="9"/>
      <c r="DT129" s="9"/>
      <c r="DU129" s="31" t="str">
        <f>IF(DT129/(INDEX('Standards for Conversions'!$H$34:$H$73,MATCH(DS$3,'Standards for Conversions'!$A$34:$A$73,0)))=0,"",DT129/(INDEX('Standards for Conversions'!$H$34:$H$73,MATCH(DS$3,'Standards for Conversions'!$A$34:$A$73,0))))</f>
        <v/>
      </c>
      <c r="DV129" s="10" t="s">
        <v>38</v>
      </c>
      <c r="DW129" s="7"/>
      <c r="DX129" s="7"/>
      <c r="DY129" s="31" t="str">
        <f>IF(DX129/(INDEX('Standards for Conversions'!$H$34:$H$73,MATCH(DW$3,'Standards for Conversions'!$A$34:$A$73,0)))=0,"",DX129/(INDEX('Standards for Conversions'!$H$34:$H$73,MATCH(DW$3,'Standards for Conversions'!$A$34:$A$73,0))))</f>
        <v/>
      </c>
      <c r="DZ129" s="10" t="s">
        <v>38</v>
      </c>
      <c r="EA129" s="7"/>
      <c r="EB129" s="7"/>
      <c r="EC129" s="31" t="str">
        <f>IF(EB129/(INDEX('Standards for Conversions'!$H$34:$H$73,MATCH(EA$3,'Standards for Conversions'!$A$34:$A$73,0)))=0,"",EB129/(INDEX('Standards for Conversions'!$H$34:$H$73,MATCH(EA$3,'Standards for Conversions'!$A$34:$A$73,0))))</f>
        <v/>
      </c>
      <c r="ED129" s="10" t="s">
        <v>38</v>
      </c>
      <c r="EE129" s="7"/>
      <c r="EF129" s="7"/>
      <c r="EG129" s="31" t="str">
        <f>IF(EF129/(INDEX('Standards for Conversions'!$H$34:$H$73,MATCH(EE$3,'Standards for Conversions'!$A$34:$A$73,0)))=0,"",EF129/(INDEX('Standards for Conversions'!$H$34:$H$73,MATCH(EE$3,'Standards for Conversions'!$A$34:$A$73,0))))</f>
        <v/>
      </c>
      <c r="EH129" s="10" t="s">
        <v>38</v>
      </c>
      <c r="EI129" s="9"/>
      <c r="EJ129" s="9"/>
      <c r="EK129" s="31" t="str">
        <f>IF(EJ129/(INDEX('Standards for Conversions'!$H$34:$H$73,MATCH(EI$3,'Standards for Conversions'!$A$34:$A$73,0)))=0,"",EJ129/(INDEX('Standards for Conversions'!$H$34:$H$73,MATCH(EI$3,'Standards for Conversions'!$A$34:$A$73,0))))</f>
        <v/>
      </c>
      <c r="EL129" s="10" t="s">
        <v>38</v>
      </c>
      <c r="EM129" s="7"/>
      <c r="EN129" s="7"/>
      <c r="EO129" s="31" t="str">
        <f>IF(EN129/(INDEX('Standards for Conversions'!$H$34:$H$73,MATCH(EM$3,'Standards for Conversions'!$A$34:$A$73,0)))=0,"",EN129/(INDEX('Standards for Conversions'!$H$34:$H$73,MATCH(EM$3,'Standards for Conversions'!$A$34:$A$73,0))))</f>
        <v/>
      </c>
      <c r="EP129" s="10" t="s">
        <v>38</v>
      </c>
      <c r="EQ129" s="7"/>
      <c r="ER129" s="7"/>
      <c r="ES129" s="31" t="str">
        <f>IF(ER129/(INDEX('Standards for Conversions'!$H$34:$H$73,MATCH(EQ$3,'Standards for Conversions'!$A$34:$A$73,0)))=0,"",ER129/(INDEX('Standards for Conversions'!$H$34:$H$73,MATCH(EQ$3,'Standards for Conversions'!$A$34:$A$73,0))))</f>
        <v/>
      </c>
      <c r="ET129" s="10" t="s">
        <v>38</v>
      </c>
      <c r="EU129" s="7"/>
      <c r="EV129" s="7"/>
      <c r="EW129" s="31" t="str">
        <f>IF(EV129/(INDEX('Standards for Conversions'!$H$34:$H$73,MATCH(EU$3,'Standards for Conversions'!$A$34:$A$73,0)))=0,"",EV129/(INDEX('Standards for Conversions'!$H$34:$H$73,MATCH(EU$3,'Standards for Conversions'!$A$34:$A$73,0))))</f>
        <v/>
      </c>
      <c r="EX129" s="10" t="s">
        <v>38</v>
      </c>
      <c r="EY129" s="9"/>
      <c r="EZ129" s="9"/>
      <c r="FA129" s="31" t="str">
        <f>IF(EZ129/(INDEX('Standards for Conversions'!$H$34:$H$73,MATCH(EY$3,'Standards for Conversions'!$A$34:$A$73,0)))=0,"",EZ129/(INDEX('Standards for Conversions'!$H$34:$H$73,MATCH(EY$3,'Standards for Conversions'!$A$34:$A$73,0))))</f>
        <v/>
      </c>
      <c r="FB129" s="10" t="s">
        <v>38</v>
      </c>
      <c r="FC129" s="7"/>
      <c r="FD129" s="7"/>
      <c r="FE129" s="31" t="str">
        <f>IF(FD129/(INDEX('Standards for Conversions'!$H$34:$H$73,MATCH(FC$3,'Standards for Conversions'!$A$34:$A$73,0)))=0,"",FD129/(INDEX('Standards for Conversions'!$H$34:$H$73,MATCH(FC$3,'Standards for Conversions'!$A$34:$A$73,0))))</f>
        <v/>
      </c>
      <c r="FF129" s="10" t="s">
        <v>38</v>
      </c>
      <c r="FG129" s="7"/>
      <c r="FH129" s="7"/>
      <c r="FI129" s="31" t="str">
        <f>IF(FH129/(INDEX('Standards for Conversions'!$H$34:$H$73,MATCH(FG$3,'Standards for Conversions'!$A$34:$A$73,0)))=0,"",FH129/(INDEX('Standards for Conversions'!$H$34:$H$73,MATCH(FG$3,'Standards for Conversions'!$A$34:$A$73,0))))</f>
        <v/>
      </c>
      <c r="FJ129" s="10" t="s">
        <v>38</v>
      </c>
      <c r="FK129" s="7"/>
      <c r="FL129" s="7"/>
      <c r="FM129" s="31" t="str">
        <f>IF(FL129/(INDEX('Standards for Conversions'!$H$34:$H$73,MATCH(FK$3,'Standards for Conversions'!$A$34:$A$73,0)))=0,"",FL129/(INDEX('Standards for Conversions'!$H$34:$H$73,MATCH(FK$3,'Standards for Conversions'!$A$34:$A$73,0))))</f>
        <v/>
      </c>
      <c r="FN129" s="10" t="s">
        <v>38</v>
      </c>
      <c r="FO129" s="9"/>
      <c r="FP129" s="9"/>
      <c r="FQ129" s="31" t="str">
        <f>IF(FP129/(INDEX('Standards for Conversions'!$H$34:$H$73,MATCH(FO$3,'Standards for Conversions'!$A$34:$A$73,0)))=0,"",FP129/(INDEX('Standards for Conversions'!$H$34:$H$73,MATCH(FO$3,'Standards for Conversions'!$A$34:$A$73,0))))</f>
        <v/>
      </c>
      <c r="FR129" s="10" t="s">
        <v>38</v>
      </c>
      <c r="FS129" s="7"/>
      <c r="FT129" s="7"/>
      <c r="FU129" s="31" t="str">
        <f>IF(FT129/(INDEX('Standards for Conversions'!$H$34:$H$73,MATCH(FS$3,'Standards for Conversions'!$A$34:$A$73,0)))=0,"",FT129/(INDEX('Standards for Conversions'!$H$34:$H$73,MATCH(FS$3,'Standards for Conversions'!$A$34:$A$73,0))))</f>
        <v/>
      </c>
      <c r="FV129" s="10" t="s">
        <v>38</v>
      </c>
      <c r="FW129" s="7"/>
      <c r="FX129" s="7"/>
      <c r="FY129" s="31" t="str">
        <f>IF(FX129/(INDEX('Standards for Conversions'!$H$34:$H$73,MATCH(FW$3,'Standards for Conversions'!$A$34:$A$73,0)))=0,"",FX129/(INDEX('Standards for Conversions'!$H$34:$H$73,MATCH(FW$3,'Standards for Conversions'!$A$34:$A$73,0))))</f>
        <v/>
      </c>
      <c r="FZ129" s="10" t="s">
        <v>38</v>
      </c>
      <c r="GA129" s="7"/>
      <c r="GB129" s="7"/>
      <c r="GC129" s="31" t="str">
        <f>IF(GB129/(INDEX('Standards for Conversions'!$H$34:$H$73,MATCH(GA$3,'Standards for Conversions'!$A$34:$A$73,0)))=0,"",GB129/(INDEX('Standards for Conversions'!$H$34:$H$73,MATCH(GA$3,'Standards for Conversions'!$A$34:$A$73,0))))</f>
        <v/>
      </c>
      <c r="GD129" s="10" t="s">
        <v>38</v>
      </c>
      <c r="GE129" s="9"/>
      <c r="GF129" s="9"/>
      <c r="GG129" s="31" t="str">
        <f>IF(GF129/(INDEX('Standards for Conversions'!$H$34:$H$73,MATCH(GE$3,'Standards for Conversions'!$A$34:$A$73,0)))=0,"",GF129/(INDEX('Standards for Conversions'!$H$34:$H$73,MATCH(GE$3,'Standards for Conversions'!$A$34:$A$73,0))))</f>
        <v/>
      </c>
      <c r="GH129" s="10" t="s">
        <v>38</v>
      </c>
      <c r="GI129" s="7"/>
      <c r="GJ129" s="7"/>
      <c r="GK129" s="31" t="str">
        <f>IF(GJ129/(INDEX('Standards for Conversions'!$H$34:$H$73,MATCH(GI$3,'Standards for Conversions'!$A$34:$A$73,0)))=0,"",GJ129/(INDEX('Standards for Conversions'!$H$34:$H$73,MATCH(GI$3,'Standards for Conversions'!$A$34:$A$73,0))))</f>
        <v/>
      </c>
      <c r="GL129" s="10" t="s">
        <v>38</v>
      </c>
      <c r="GM129" s="7"/>
      <c r="GN129" s="7"/>
      <c r="GO129" s="31" t="str">
        <f>IF(GN129/(INDEX('Standards for Conversions'!$H$34:$H$73,MATCH(GM$3,'Standards for Conversions'!$A$34:$A$73,0)))=0,"",GN129/(INDEX('Standards for Conversions'!$H$34:$H$73,MATCH(GM$3,'Standards for Conversions'!$A$34:$A$73,0))))</f>
        <v/>
      </c>
      <c r="GP129" s="10" t="s">
        <v>38</v>
      </c>
      <c r="GQ129" s="7"/>
      <c r="GR129" s="7"/>
      <c r="GS129" s="31" t="str">
        <f>IF(GR129/(INDEX('Standards for Conversions'!$H$34:$H$73,MATCH(GQ$3,'Standards for Conversions'!$A$34:$A$73,0)))=0,"",GR129/(INDEX('Standards for Conversions'!$H$34:$H$73,MATCH(GQ$3,'Standards for Conversions'!$A$34:$A$73,0))))</f>
        <v/>
      </c>
      <c r="GT129" s="10" t="s">
        <v>38</v>
      </c>
      <c r="GU129" s="9"/>
      <c r="GV129" s="9"/>
      <c r="GW129" s="31" t="str">
        <f>IF(GV129/(INDEX('Standards for Conversions'!$H$34:$H$73,MATCH(GU$3,'Standards for Conversions'!$A$34:$A$73,0)))=0,"",GV129/(INDEX('Standards for Conversions'!$H$34:$H$73,MATCH(GU$3,'Standards for Conversions'!$A$34:$A$73,0))))</f>
        <v/>
      </c>
      <c r="GX129" s="10" t="s">
        <v>38</v>
      </c>
      <c r="GY129" s="7"/>
      <c r="GZ129" s="7"/>
      <c r="HA129" s="31" t="str">
        <f>IF(GZ129/(INDEX('Standards for Conversions'!$H$34:$H$73,MATCH(GY$3,'Standards for Conversions'!$A$34:$A$73,0)))=0,"",GZ129/(INDEX('Standards for Conversions'!$H$34:$H$73,MATCH(GY$3,'Standards for Conversions'!$A$34:$A$73,0))))</f>
        <v/>
      </c>
      <c r="HB129" s="10" t="s">
        <v>38</v>
      </c>
      <c r="HC129" s="7"/>
      <c r="HD129" s="7"/>
      <c r="HE129" s="31" t="str">
        <f>IF(HD129/(INDEX('Standards for Conversions'!$H$34:$H$73,MATCH(HC$3,'Standards for Conversions'!$A$34:$A$73,0)))=0,"",HD129/(INDEX('Standards for Conversions'!$H$34:$H$73,MATCH(HC$3,'Standards for Conversions'!$A$34:$A$73,0))))</f>
        <v/>
      </c>
      <c r="HF129" s="10" t="s">
        <v>38</v>
      </c>
      <c r="HG129" s="7"/>
      <c r="HH129" s="7"/>
      <c r="HI129" s="31" t="str">
        <f>IF(HH129/(INDEX('Standards for Conversions'!$H$34:$H$73,MATCH(HG$3,'Standards for Conversions'!$A$34:$A$73,0)))=0,"",HH129/(INDEX('Standards for Conversions'!$H$34:$H$73,MATCH(HG$3,'Standards for Conversions'!$A$34:$A$73,0))))</f>
        <v/>
      </c>
      <c r="HJ129" s="10" t="s">
        <v>38</v>
      </c>
      <c r="HK129" s="9"/>
      <c r="HL129" s="9"/>
      <c r="HM129" s="31" t="str">
        <f>IF(HL129/(INDEX('Standards for Conversions'!$H$34:$H$73,MATCH(HK$3,'Standards for Conversions'!$A$34:$A$73,0)))=0,"",HL129/(INDEX('Standards for Conversions'!$H$34:$H$73,MATCH(HK$3,'Standards for Conversions'!$A$34:$A$73,0))))</f>
        <v/>
      </c>
      <c r="HN129" s="10" t="s">
        <v>38</v>
      </c>
      <c r="HO129" s="7"/>
      <c r="HP129" s="7"/>
      <c r="HQ129" s="31" t="str">
        <f>IF(HP129/(INDEX('Standards for Conversions'!$H$34:$H$73,MATCH(HO$3,'Standards for Conversions'!$A$34:$A$73,0)))=0,"",HP129/(INDEX('Standards for Conversions'!$H$34:$H$73,MATCH(HO$3,'Standards for Conversions'!$A$34:$A$73,0))))</f>
        <v/>
      </c>
      <c r="HR129" s="33" t="s">
        <v>38</v>
      </c>
      <c r="HU129" s="31" t="str">
        <f>IF(HT129/(INDEX('Standards for Conversions'!$H$47:$H$73,MATCH(HS$3,'Standards for Conversions'!$A$47:$A$73,0)))=0,"",HT129/(INDEX('Standards for Conversions'!$H$47:$H$73,MATCH(HS$3,'Standards for Conversions'!$A$47:$A$73,0))))</f>
        <v/>
      </c>
      <c r="HV129" s="33" t="s">
        <v>38</v>
      </c>
      <c r="HY129" s="31" t="str">
        <f>IF(HX129/(INDEX('Standards for Conversions'!$H$47:$H$73,MATCH(HW$3,'Standards for Conversions'!$A$47:$A$73,0)))=0,"",HX129/(INDEX('Standards for Conversions'!$H$47:$H$73,MATCH(HW$3,'Standards for Conversions'!$A$47:$A$73,0))))</f>
        <v/>
      </c>
      <c r="HZ129" s="33"/>
      <c r="IA129" s="33"/>
      <c r="IB129" s="31" t="str">
        <f>IF(IA129/(INDEX('Standards for Conversions'!$H$47:$H$73,MATCH(HZ$3,'Standards for Conversions'!$A$47:$A$73,0)))=0,"",IA129/(INDEX('Standards for Conversions'!$H$47:$H$73,MATCH(HZ$3,'Standards for Conversions'!$A$47:$A$73,0))))</f>
        <v/>
      </c>
      <c r="IC129" s="33" t="s">
        <v>38</v>
      </c>
      <c r="ID129" s="29">
        <v>150</v>
      </c>
      <c r="IE129" s="29">
        <v>2500</v>
      </c>
      <c r="IF129" s="31">
        <f>IF(IE129/(INDEX('Standards for Conversions'!$H$47:$H$73,MATCH(ID$3,'Standards for Conversions'!$A$47:$A$73,0)))=0,"",IE129/(INDEX('Standards for Conversions'!$H$47:$H$73,MATCH(ID$3,'Standards for Conversions'!$A$47:$A$73,0))))</f>
        <v>363.11353053213992</v>
      </c>
      <c r="IG129" s="33" t="s">
        <v>38</v>
      </c>
      <c r="IJ129" s="31" t="str">
        <f>IF(II129/(INDEX('Standards for Conversions'!$H$47:$H$73,MATCH(IH$3,'Standards for Conversions'!$A$47:$A$73,0)))=0,"",II129/(INDEX('Standards for Conversions'!$H$47:$H$73,MATCH(IH$3,'Standards for Conversions'!$A$47:$A$73,0))))</f>
        <v/>
      </c>
      <c r="IK129" s="33" t="s">
        <v>38</v>
      </c>
      <c r="IN129" s="31" t="str">
        <f>IF(IM129/(INDEX('Standards for Conversions'!$H$47:$H$73,MATCH(IL$3,'Standards for Conversions'!$A$47:$A$73,0)))=0,"",IM129/(INDEX('Standards for Conversions'!$H$47:$H$73,MATCH(IL$3,'Standards for Conversions'!$A$47:$A$73,0))))</f>
        <v/>
      </c>
      <c r="IO129" s="33" t="s">
        <v>38</v>
      </c>
      <c r="IR129" s="31" t="str">
        <f>IF(IQ129/(INDEX('Standards for Conversions'!$H$47:$H$73,MATCH(IP$3,'Standards for Conversions'!$A$47:$A$73,0)))=0,"",IQ129/(INDEX('Standards for Conversions'!$H$47:$H$73,MATCH(IP$3,'Standards for Conversions'!$A$47:$A$73,0))))</f>
        <v/>
      </c>
      <c r="IS129" s="33" t="s">
        <v>38</v>
      </c>
      <c r="IT129" s="29">
        <v>340</v>
      </c>
      <c r="IU129" s="29">
        <v>8241</v>
      </c>
      <c r="IV129" s="31">
        <f>IF(IU129/(INDEX('Standards for Conversions'!$H$47:$H$73,MATCH(IT$3,'Standards for Conversions'!$A$47:$A$73,0)))=0,"",IU129/(INDEX('Standards for Conversions'!$H$47:$H$73,MATCH(IT$3,'Standards for Conversions'!$A$47:$A$73,0))))</f>
        <v>1191.7328905503171</v>
      </c>
      <c r="IW129" s="33" t="s">
        <v>38</v>
      </c>
      <c r="IZ129" s="31" t="str">
        <f>IF(IY129/(INDEX('Standards for Conversions'!$H$47:$H$73,MATCH(IX$3,'Standards for Conversions'!$A$47:$A$73,0)))=0,"",IY129/(INDEX('Standards for Conversions'!$H$47:$H$73,MATCH(IX$3,'Standards for Conversions'!$A$47:$A$73,0))))</f>
        <v/>
      </c>
      <c r="JA129" s="33" t="s">
        <v>38</v>
      </c>
      <c r="JD129" s="31" t="str">
        <f>IF(JC129/(INDEX('Standards for Conversions'!$H$47:$H$73,MATCH(JB$3,'Standards for Conversions'!$A$47:$A$73,0)))=0,"",JC129/(INDEX('Standards for Conversions'!$H$47:$H$73,MATCH(JB$3,'Standards for Conversions'!$A$47:$A$73,0))))</f>
        <v/>
      </c>
      <c r="JE129" s="33" t="s">
        <v>38</v>
      </c>
      <c r="JH129" s="31" t="str">
        <f>IF(JG129/(INDEX('Standards for Conversions'!$H$47:$H$73,MATCH(JF$3,'Standards for Conversions'!$A$47:$A$73,0)))=0,"",JG129/(INDEX('Standards for Conversions'!$H$47:$H$73,MATCH(JF$3,'Standards for Conversions'!$A$47:$A$73,0))))</f>
        <v/>
      </c>
      <c r="JI129" s="48" t="s">
        <v>38</v>
      </c>
      <c r="JJ129" s="29">
        <v>400</v>
      </c>
      <c r="JK129" s="29">
        <v>6300</v>
      </c>
      <c r="JL129" s="31">
        <f>IF(JK129/(INDEX('Standards for Conversions'!$H$47:$H$73,MATCH(JJ$3,'Standards for Conversions'!$A$47:$A$73,0)))=0,"",JK129/(INDEX('Standards for Conversions'!$H$47:$H$73,MATCH(JJ$3,'Standards for Conversions'!$A$47:$A$73,0))))</f>
        <v>1019.0892391587728</v>
      </c>
      <c r="JM129" s="33" t="s">
        <v>38</v>
      </c>
      <c r="JP129" s="31" t="str">
        <f>IF(JO129/(INDEX('Standards for Conversions'!$H$47:$H$73,MATCH(JN$3,'Standards for Conversions'!$A$47:$A$73,0)))=0,"",JO129/(INDEX('Standards for Conversions'!$H$47:$H$73,MATCH(JN$3,'Standards for Conversions'!$A$47:$A$73,0))))</f>
        <v/>
      </c>
      <c r="JQ129" s="33" t="s">
        <v>38</v>
      </c>
      <c r="JT129" s="31" t="str">
        <f>IF(JS129/(INDEX('Standards for Conversions'!$H$47:$H$73,MATCH(JR$3,'Standards for Conversions'!$A$47:$A$73,0)))=0,"",JS129/(INDEX('Standards for Conversions'!$H$47:$H$73,MATCH(JR$3,'Standards for Conversions'!$A$47:$A$73,0))))</f>
        <v/>
      </c>
      <c r="JU129" s="33" t="s">
        <v>38</v>
      </c>
      <c r="JX129" s="31" t="str">
        <f>IF(JW129/(INDEX('Standards for Conversions'!$H$47:$H$73,MATCH(JV$3,'Standards for Conversions'!$A$47:$A$73,0)))=0,"",JW129/(INDEX('Standards for Conversions'!$H$47:$H$73,MATCH(JV$3,'Standards for Conversions'!$A$47:$A$73,0))))</f>
        <v/>
      </c>
      <c r="JY129" s="33" t="s">
        <v>38</v>
      </c>
      <c r="JZ129" s="29">
        <v>350</v>
      </c>
      <c r="KA129" s="29">
        <v>3500</v>
      </c>
      <c r="KB129" s="31">
        <f>IF(KA129/(INDEX('Standards for Conversions'!$H$47:$H$73,MATCH(JZ$3,'Standards for Conversions'!$A$47:$A$73,0)))=0,"",KA129/(INDEX('Standards for Conversions'!$H$47:$H$73,MATCH(JZ$3,'Standards for Conversions'!$A$47:$A$73,0))))</f>
        <v>534.29562349729144</v>
      </c>
      <c r="KC129" s="33" t="s">
        <v>38</v>
      </c>
      <c r="KF129" s="31" t="str">
        <f>IF(KE129/(INDEX('Standards for Conversions'!$H$47:$H$73,MATCH(KD$3,'Standards for Conversions'!$A$47:$A$73,0)))=0,"",KE129/(INDEX('Standards for Conversions'!$H$47:$H$73,MATCH(KD$3,'Standards for Conversions'!$A$47:$A$73,0))))</f>
        <v/>
      </c>
      <c r="KG129" s="33" t="s">
        <v>38</v>
      </c>
      <c r="KJ129" s="31" t="str">
        <f>IF(KI129/(INDEX('Standards for Conversions'!$H$47:$H$73,MATCH(KH$3,'Standards for Conversions'!$A$47:$A$73,0)))=0,"",KI129/(INDEX('Standards for Conversions'!$H$47:$H$73,MATCH(KH$3,'Standards for Conversions'!$A$47:$A$73,0))))</f>
        <v/>
      </c>
      <c r="KK129" s="33" t="s">
        <v>38</v>
      </c>
      <c r="KN129" s="31" t="str">
        <f>IF(KM129/(INDEX('Standards for Conversions'!$H$47:$H$73,MATCH(KL$3,'Standards for Conversions'!$A$47:$A$73,0)))=0,"",KM129/(INDEX('Standards for Conversions'!$H$47:$H$73,MATCH(KL$3,'Standards for Conversions'!$A$47:$A$73,0))))</f>
        <v/>
      </c>
      <c r="KO129" s="33" t="s">
        <v>38</v>
      </c>
      <c r="KP129" s="29">
        <v>334</v>
      </c>
      <c r="KQ129" s="29">
        <v>3500</v>
      </c>
      <c r="KR129" s="31">
        <f>IF(KQ129/(INDEX('Standards for Conversions'!$H$47:$H$73,MATCH(KP$3,'Standards for Conversions'!$A$47:$A$73,0)))=0,"",KQ129/(INDEX('Standards for Conversions'!$H$47:$H$73,MATCH(KP$3,'Standards for Conversions'!$A$47:$A$73,0))))</f>
        <v>471.30654167028763</v>
      </c>
      <c r="KS129" s="33" t="s">
        <v>38</v>
      </c>
      <c r="KV129" s="31" t="str">
        <f>IF(KU129/(INDEX('Standards for Conversions'!$H$47:$H$73,MATCH(KT$3,'Standards for Conversions'!$A$47:$A$73,0)))=0,"",KU129/(INDEX('Standards for Conversions'!$H$47:$H$73,MATCH(KT$3,'Standards for Conversions'!$A$47:$A$73,0))))</f>
        <v/>
      </c>
      <c r="KW129" s="33" t="s">
        <v>38</v>
      </c>
      <c r="KZ129" s="31" t="str">
        <f>IF(KY129/(INDEX('Standards for Conversions'!$H$47:$H$73,MATCH(KX$3,'Standards for Conversions'!$A$47:$A$73,0)))=0,"",KY129/(INDEX('Standards for Conversions'!$H$47:$H$73,MATCH(KX$3,'Standards for Conversions'!$A$47:$A$73,0))))</f>
        <v/>
      </c>
      <c r="LA129" s="33" t="s">
        <v>38</v>
      </c>
      <c r="LD129" s="31" t="str">
        <f>IF(LC129/(INDEX('Standards for Conversions'!$H$47:$H$73,MATCH(LB$3,'Standards for Conversions'!$A$47:$A$73,0)))=0,"",LC129/(INDEX('Standards for Conversions'!$H$47:$H$73,MATCH(LB$3,'Standards for Conversions'!$A$47:$A$73,0))))</f>
        <v/>
      </c>
      <c r="LE129" s="48" t="s">
        <v>38</v>
      </c>
      <c r="LF129" s="29">
        <v>10</v>
      </c>
      <c r="LG129" s="29">
        <v>100</v>
      </c>
      <c r="LH129" s="31">
        <f>IF(LG129/(INDEX('Standards for Conversions'!$H$47:$H$73,MATCH(LF$3,'Standards for Conversions'!$A$47:$A$73,0)))=0,"",LG129/(INDEX('Standards for Conversions'!$H$47:$H$73,MATCH(LF$3,'Standards for Conversions'!$A$47:$A$73,0))))</f>
        <v>12.161656672749919</v>
      </c>
      <c r="LL129" s="31" t="str">
        <f>IF(LK129/(INDEX('Standards for Conversions'!$H$47:$H$73,MATCH(LJ$3,'Standards for Conversions'!$A$47:$A$73,0)))=0,"",LK129/(INDEX('Standards for Conversions'!$H$47:$H$73,MATCH(LJ$3,'Standards for Conversions'!$A$47:$A$73,0))))</f>
        <v/>
      </c>
      <c r="LO129" s="31" t="str">
        <f>IF(LN129/(INDEX('Standards for Conversions'!$H$47:$H$73,MATCH(LM$3,'Standards for Conversions'!$A$47:$A$73,0)))=0,"",LN129/(INDEX('Standards for Conversions'!$H$47:$H$73,MATCH(LM$3,'Standards for Conversions'!$A$47:$A$73,0))))</f>
        <v/>
      </c>
      <c r="LR129" s="31" t="str">
        <f>IF(LQ129/(INDEX('Standards for Conversions'!$H$47:$H$73,MATCH(LP$3,'Standards for Conversions'!$A$47:$A$73,0)))=0,"",LQ129/(INDEX('Standards for Conversions'!$H$47:$H$73,MATCH(LP$3,'Standards for Conversions'!$A$47:$A$73,0))))</f>
        <v/>
      </c>
      <c r="LV129" s="31" t="str">
        <f>IF(LU129/(INDEX('Standards for Conversions'!$H$47:$H$73,MATCH(LT$3,'Standards for Conversions'!$A$47:$A$73,0)))=0,"",LU129/(INDEX('Standards for Conversions'!$H$47:$H$73,MATCH(LT$3,'Standards for Conversions'!$A$47:$A$73,0))))</f>
        <v/>
      </c>
      <c r="LY129" s="31" t="str">
        <f>IF(LX129/(INDEX('Standards for Conversions'!$H$47:$H$73,MATCH(LW$3,'Standards for Conversions'!$A$47:$A$73,0)))=0,"",LX129/(INDEX('Standards for Conversions'!$H$47:$H$73,MATCH(LW$3,'Standards for Conversions'!$A$47:$A$73,0))))</f>
        <v/>
      </c>
      <c r="MB129" s="31" t="str">
        <f>IF(MA129/(INDEX('Standards for Conversions'!$H$47:$H$73,MATCH(LZ$3,'Standards for Conversions'!$A$47:$A$73,0)))=0,"",MA129/(INDEX('Standards for Conversions'!$H$47:$H$73,MATCH(LZ$3,'Standards for Conversions'!$A$47:$A$73,0))))</f>
        <v/>
      </c>
      <c r="ME129" s="31" t="str">
        <f>IF(MD129/(INDEX('Standards for Conversions'!$H$47:$H$73,MATCH(MC$3,'Standards for Conversions'!$A$47:$A$73,0)))=0,"",MD129/(INDEX('Standards for Conversions'!$H$47:$H$73,MATCH(MC$3,'Standards for Conversions'!$A$47:$A$73,0))))</f>
        <v/>
      </c>
      <c r="MH129" s="31" t="str">
        <f>IF(MG129/(INDEX('Standards for Conversions'!$H$47:$H$73,MATCH(MF$3,'Standards for Conversions'!$A$47:$A$73,0)))=0,"",MG129/(INDEX('Standards for Conversions'!$H$47:$H$73,MATCH(MF$3,'Standards for Conversions'!$A$47:$A$73,0))))</f>
        <v/>
      </c>
      <c r="MK129" s="31" t="str">
        <f>IF(MJ129/(INDEX('Standards for Conversions'!$H$47:$H$73,MATCH(MI$3,'Standards for Conversions'!$A$47:$A$73,0)))=0,"",MJ129/(INDEX('Standards for Conversions'!$H$47:$H$73,MATCH(MI$3,'Standards for Conversions'!$A$47:$A$73,0))))</f>
        <v/>
      </c>
      <c r="MN129" s="31" t="str">
        <f>IF(MM129/(INDEX('Standards for Conversions'!$H$47:$H$73,MATCH(ML$3,'Standards for Conversions'!$A$47:$A$73,0)))=0,"",MM129/(INDEX('Standards for Conversions'!$H$47:$H$73,MATCH(ML$3,'Standards for Conversions'!$A$47:$A$73,0))))</f>
        <v/>
      </c>
      <c r="MR129" s="31" t="str">
        <f>IF(MQ129/(INDEX('Standards for Conversions'!$H$47:$H$73,MATCH(MP$3,'Standards for Conversions'!$A$47:$A$73,0)))=0,"",MQ129/(INDEX('Standards for Conversions'!$H$47:$H$73,MATCH(MP$3,'Standards for Conversions'!$A$47:$A$73,0))))</f>
        <v/>
      </c>
    </row>
    <row r="130" spans="1:356" hidden="1" x14ac:dyDescent="0.3">
      <c r="A130" s="103" t="s">
        <v>295</v>
      </c>
      <c r="B130" s="10" t="s">
        <v>38</v>
      </c>
      <c r="C130" s="7"/>
      <c r="D130" s="7"/>
      <c r="E130" s="31" t="str">
        <f>IF(D130/(INDEX('Standards for Conversions'!$H$34:$H$73,MATCH(C$3,'Standards for Conversions'!$A$34:$A$73,0)))=0,"",D130/(INDEX('Standards for Conversions'!$H$34:$H$73,MATCH(C$3,'Standards for Conversions'!$A$34:$A$73,0))))</f>
        <v/>
      </c>
      <c r="F130" s="10" t="s">
        <v>38</v>
      </c>
      <c r="G130" s="7"/>
      <c r="H130" s="7"/>
      <c r="I130" s="31" t="str">
        <f>IF(H130/(INDEX('Standards for Conversions'!$H$34:$H$73,MATCH(G$3,'Standards for Conversions'!$A$34:$A$73,0)))=0,"",H130/(INDEX('Standards for Conversions'!$H$34:$H$73,MATCH(G$3,'Standards for Conversions'!$A$34:$A$73,0))))</f>
        <v/>
      </c>
      <c r="J130" s="10" t="s">
        <v>38</v>
      </c>
      <c r="K130" s="9"/>
      <c r="L130" s="9"/>
      <c r="M130" s="31" t="str">
        <f>IF(L130/(INDEX('Standards for Conversions'!$H$34:$H$73,MATCH(K$3,'Standards for Conversions'!$A$34:$A$73,0)))=0,"",L130/(INDEX('Standards for Conversions'!$H$34:$H$73,MATCH(K$3,'Standards for Conversions'!$A$34:$A$73,0))))</f>
        <v/>
      </c>
      <c r="N130" s="10" t="s">
        <v>38</v>
      </c>
      <c r="O130" s="7"/>
      <c r="P130" s="7"/>
      <c r="Q130" s="31" t="str">
        <f>IF(P130/(INDEX('Standards for Conversions'!$H$34:$H$73,MATCH(O$3,'Standards for Conversions'!$A$34:$A$73,0)))=0,"",P130/(INDEX('Standards for Conversions'!$H$34:$H$73,MATCH(O$3,'Standards for Conversions'!$A$34:$A$73,0))))</f>
        <v/>
      </c>
      <c r="R130" s="10" t="s">
        <v>38</v>
      </c>
      <c r="S130" s="7"/>
      <c r="T130" s="7"/>
      <c r="U130" s="31" t="str">
        <f>IF(T130/(INDEX('Standards for Conversions'!$H$34:$H$73,MATCH(S$3,'Standards for Conversions'!$A$34:$A$73,0)))=0,"",T130/(INDEX('Standards for Conversions'!$H$34:$H$73,MATCH(S$3,'Standards for Conversions'!$A$34:$A$73,0))))</f>
        <v/>
      </c>
      <c r="V130" s="10" t="s">
        <v>38</v>
      </c>
      <c r="W130" s="7"/>
      <c r="X130" s="7"/>
      <c r="Y130" s="31" t="str">
        <f>IF(X130/(INDEX('Standards for Conversions'!$H$34:$H$73,MATCH(W$3,'Standards for Conversions'!$A$34:$A$73,0)))=0,"",X130/(INDEX('Standards for Conversions'!$H$34:$H$73,MATCH(W$3,'Standards for Conversions'!$A$34:$A$73,0))))</f>
        <v/>
      </c>
      <c r="Z130" s="10" t="s">
        <v>38</v>
      </c>
      <c r="AA130" s="9"/>
      <c r="AB130" s="9"/>
      <c r="AC130" s="31" t="str">
        <f>IF(AB130/(INDEX('Standards for Conversions'!$H$34:$H$73,MATCH(AA$3,'Standards for Conversions'!$A$34:$A$73,0)))=0,"",AB130/(INDEX('Standards for Conversions'!$H$34:$H$73,MATCH(AA$3,'Standards for Conversions'!$A$34:$A$73,0))))</f>
        <v/>
      </c>
      <c r="AD130" s="10" t="s">
        <v>38</v>
      </c>
      <c r="AE130" s="7"/>
      <c r="AF130" s="7"/>
      <c r="AG130" s="31" t="str">
        <f>IF(AF130/(INDEX('Standards for Conversions'!$H$34:$H$73,MATCH(AE$3,'Standards for Conversions'!$A$34:$A$73,0)))=0,"",AF130/(INDEX('Standards for Conversions'!$H$34:$H$73,MATCH(AE$3,'Standards for Conversions'!$A$34:$A$73,0))))</f>
        <v/>
      </c>
      <c r="AH130" s="10" t="s">
        <v>38</v>
      </c>
      <c r="AI130" s="7"/>
      <c r="AJ130" s="7"/>
      <c r="AK130" s="31" t="str">
        <f>IF(AJ130/(INDEX('Standards for Conversions'!$H$34:$H$73,MATCH(AI$3,'Standards for Conversions'!$A$34:$A$73,0)))=0,"",AJ130/(INDEX('Standards for Conversions'!$H$34:$H$73,MATCH(AI$3,'Standards for Conversions'!$A$34:$A$73,0))))</f>
        <v/>
      </c>
      <c r="AL130" s="10" t="s">
        <v>38</v>
      </c>
      <c r="AM130" s="7"/>
      <c r="AN130" s="7"/>
      <c r="AO130" s="31" t="str">
        <f>IF(AN130/(INDEX('Standards for Conversions'!$H$34:$H$73,MATCH(AM$3,'Standards for Conversions'!$A$34:$A$73,0)))=0,"",AN130/(INDEX('Standards for Conversions'!$H$34:$H$73,MATCH(AM$3,'Standards for Conversions'!$A$34:$A$73,0))))</f>
        <v/>
      </c>
      <c r="AP130" s="10" t="s">
        <v>38</v>
      </c>
      <c r="AQ130" s="9"/>
      <c r="AR130" s="9"/>
      <c r="AS130" s="31" t="str">
        <f>IF(AR130/(INDEX('Standards for Conversions'!$H$34:$H$73,MATCH(AQ$3,'Standards for Conversions'!$A$34:$A$73,0)))=0,"",AR130/(INDEX('Standards for Conversions'!$H$34:$H$73,MATCH(AQ$3,'Standards for Conversions'!$A$34:$A$73,0))))</f>
        <v/>
      </c>
      <c r="AT130" s="10" t="s">
        <v>38</v>
      </c>
      <c r="AU130" s="7"/>
      <c r="AV130" s="7"/>
      <c r="AW130" s="31" t="str">
        <f>IF(AV130/(INDEX('Standards for Conversions'!$H$34:$H$73,MATCH(AU$3,'Standards for Conversions'!$A$34:$A$73,0)))=0,"",AV130/(INDEX('Standards for Conversions'!$H$34:$H$73,MATCH(AU$3,'Standards for Conversions'!$A$34:$A$73,0))))</f>
        <v/>
      </c>
      <c r="AX130" s="10" t="s">
        <v>38</v>
      </c>
      <c r="AY130" s="7"/>
      <c r="AZ130" s="7"/>
      <c r="BA130" s="31" t="str">
        <f>IF(AZ130/(INDEX('Standards for Conversions'!$H$34:$H$73,MATCH(AY$3,'Standards for Conversions'!$A$34:$A$73,0)))=0,"",AZ130/(INDEX('Standards for Conversions'!$H$34:$H$73,MATCH(AY$3,'Standards for Conversions'!$A$34:$A$73,0))))</f>
        <v/>
      </c>
      <c r="BB130" s="10" t="s">
        <v>38</v>
      </c>
      <c r="BC130" s="7"/>
      <c r="BD130" s="7"/>
      <c r="BE130" s="31" t="str">
        <f>IF(BD130/(INDEX('Standards for Conversions'!$H$34:$H$73,MATCH(BC$3,'Standards for Conversions'!$A$34:$A$73,0)))=0,"",BD130/(INDEX('Standards for Conversions'!$H$34:$H$73,MATCH(BC$3,'Standards for Conversions'!$A$34:$A$73,0))))</f>
        <v/>
      </c>
      <c r="BF130" s="10" t="s">
        <v>38</v>
      </c>
      <c r="BG130" s="9"/>
      <c r="BH130" s="9"/>
      <c r="BI130" s="31" t="str">
        <f>IF(BH130/(INDEX('Standards for Conversions'!$H$34:$H$73,MATCH(BG$3,'Standards for Conversions'!$A$34:$A$73,0)))=0,"",BH130/(INDEX('Standards for Conversions'!$H$34:$H$73,MATCH(BG$3,'Standards for Conversions'!$A$34:$A$73,0))))</f>
        <v/>
      </c>
      <c r="BJ130" s="10" t="s">
        <v>38</v>
      </c>
      <c r="BK130" s="7"/>
      <c r="BL130" s="7"/>
      <c r="BM130" s="31" t="str">
        <f>IF(BL130/(INDEX('Standards for Conversions'!$H$34:$H$73,MATCH(BK$3,'Standards for Conversions'!$A$34:$A$73,0)))=0,"",BL130/(INDEX('Standards for Conversions'!$H$34:$H$73,MATCH(BK$3,'Standards for Conversions'!$A$34:$A$73,0))))</f>
        <v/>
      </c>
      <c r="BN130" s="10" t="s">
        <v>38</v>
      </c>
      <c r="BO130" s="7"/>
      <c r="BP130" s="7"/>
      <c r="BQ130" s="31" t="str">
        <f>IF(BP130/(INDEX('Standards for Conversions'!$H$34:$H$73,MATCH(BO$3,'Standards for Conversions'!$A$34:$A$73,0)))=0,"",BP130/(INDEX('Standards for Conversions'!$H$34:$H$73,MATCH(BO$3,'Standards for Conversions'!$A$34:$A$73,0))))</f>
        <v/>
      </c>
      <c r="BR130" s="10" t="s">
        <v>38</v>
      </c>
      <c r="BS130" s="7"/>
      <c r="BT130" s="7"/>
      <c r="BU130" s="31" t="str">
        <f>IF(BT130/(INDEX('Standards for Conversions'!$H$34:$H$73,MATCH(BS$3,'Standards for Conversions'!$A$34:$A$73,0)))=0,"",BT130/(INDEX('Standards for Conversions'!$H$34:$H$73,MATCH(BS$3,'Standards for Conversions'!$A$34:$A$73,0))))</f>
        <v/>
      </c>
      <c r="BV130" s="10" t="s">
        <v>38</v>
      </c>
      <c r="BW130" s="9"/>
      <c r="BX130" s="9"/>
      <c r="BY130" s="31" t="str">
        <f>IF(BX130/(INDEX('Standards for Conversions'!$H$34:$H$73,MATCH(BW$3,'Standards for Conversions'!$A$34:$A$73,0)))=0,"",BX130/(INDEX('Standards for Conversions'!$H$34:$H$73,MATCH(BW$3,'Standards for Conversions'!$A$34:$A$73,0))))</f>
        <v/>
      </c>
      <c r="BZ130" s="10" t="s">
        <v>38</v>
      </c>
      <c r="CA130" s="7"/>
      <c r="CB130" s="7"/>
      <c r="CC130" s="31" t="str">
        <f>IF(CB130/(INDEX('Standards for Conversions'!$H$34:$H$73,MATCH(CA$3,'Standards for Conversions'!$A$34:$A$73,0)))=0,"",CB130/(INDEX('Standards for Conversions'!$H$34:$H$73,MATCH(CA$3,'Standards for Conversions'!$A$34:$A$73,0))))</f>
        <v/>
      </c>
      <c r="CD130" s="10" t="s">
        <v>38</v>
      </c>
      <c r="CE130" s="7"/>
      <c r="CF130" s="7"/>
      <c r="CG130" s="31" t="str">
        <f>IF(CF130/(INDEX('Standards for Conversions'!$H$34:$H$73,MATCH(CE$3,'Standards for Conversions'!$A$34:$A$73,0)))=0,"",CF130/(INDEX('Standards for Conversions'!$H$34:$H$73,MATCH(CE$3,'Standards for Conversions'!$A$34:$A$73,0))))</f>
        <v/>
      </c>
      <c r="CH130" s="10" t="s">
        <v>38</v>
      </c>
      <c r="CI130" s="7"/>
      <c r="CJ130" s="7"/>
      <c r="CK130" s="31" t="str">
        <f>IF(CJ130/(INDEX('Standards for Conversions'!$H$34:$H$73,MATCH(CI$3,'Standards for Conversions'!$A$34:$A$73,0)))=0,"",CJ130/(INDEX('Standards for Conversions'!$H$34:$H$73,MATCH(CI$3,'Standards for Conversions'!$A$34:$A$73,0))))</f>
        <v/>
      </c>
      <c r="CL130" s="10" t="s">
        <v>38</v>
      </c>
      <c r="CM130" s="9"/>
      <c r="CN130" s="9"/>
      <c r="CO130" s="31" t="str">
        <f>IF(CN130/(INDEX('Standards for Conversions'!$H$34:$H$73,MATCH(CM$3,'Standards for Conversions'!$A$34:$A$73,0)))=0,"",CN130/(INDEX('Standards for Conversions'!$H$34:$H$73,MATCH(CM$3,'Standards for Conversions'!$A$34:$A$73,0))))</f>
        <v/>
      </c>
      <c r="CP130" s="10" t="s">
        <v>38</v>
      </c>
      <c r="CQ130" s="7"/>
      <c r="CR130" s="7"/>
      <c r="CS130" s="31" t="str">
        <f>IF(CR130/(INDEX('Standards for Conversions'!$H$34:$H$73,MATCH(CQ$3,'Standards for Conversions'!$A$34:$A$73,0)))=0,"",CR130/(INDEX('Standards for Conversions'!$H$34:$H$73,MATCH(CQ$3,'Standards for Conversions'!$A$34:$A$73,0))))</f>
        <v/>
      </c>
      <c r="CT130" s="10" t="s">
        <v>38</v>
      </c>
      <c r="CU130" s="7"/>
      <c r="CV130" s="7"/>
      <c r="CW130" s="31" t="str">
        <f>IF(CV130/(INDEX('Standards for Conversions'!$H$34:$H$73,MATCH(CU$3,'Standards for Conversions'!$A$34:$A$73,0)))=0,"",CV130/(INDEX('Standards for Conversions'!$H$34:$H$73,MATCH(CU$3,'Standards for Conversions'!$A$34:$A$73,0))))</f>
        <v/>
      </c>
      <c r="CX130" s="10" t="s">
        <v>38</v>
      </c>
      <c r="CY130" s="7"/>
      <c r="CZ130" s="7"/>
      <c r="DA130" s="31" t="str">
        <f>IF(CZ130/(INDEX('Standards for Conversions'!$H$34:$H$73,MATCH(CY$3,'Standards for Conversions'!$A$34:$A$73,0)))=0,"",CZ130/(INDEX('Standards for Conversions'!$H$34:$H$73,MATCH(CY$3,'Standards for Conversions'!$A$34:$A$73,0))))</f>
        <v/>
      </c>
      <c r="DB130" s="10" t="s">
        <v>38</v>
      </c>
      <c r="DC130" s="9"/>
      <c r="DD130" s="9"/>
      <c r="DE130" s="31" t="str">
        <f>IF(DD130/(INDEX('Standards for Conversions'!$H$34:$H$73,MATCH(DC$3,'Standards for Conversions'!$A$34:$A$73,0)))=0,"",DD130/(INDEX('Standards for Conversions'!$H$34:$H$73,MATCH(DC$3,'Standards for Conversions'!$A$34:$A$73,0))))</f>
        <v/>
      </c>
      <c r="DF130" s="10" t="s">
        <v>38</v>
      </c>
      <c r="DG130" s="7"/>
      <c r="DH130" s="7"/>
      <c r="DI130" s="31" t="str">
        <f>IF(DH130/(INDEX('Standards for Conversions'!$H$34:$H$73,MATCH(DG$3,'Standards for Conversions'!$A$34:$A$73,0)))=0,"",DH130/(INDEX('Standards for Conversions'!$H$34:$H$73,MATCH(DG$3,'Standards for Conversions'!$A$34:$A$73,0))))</f>
        <v/>
      </c>
      <c r="DJ130" s="10" t="s">
        <v>38</v>
      </c>
      <c r="DK130" s="7"/>
      <c r="DL130" s="7"/>
      <c r="DM130" s="31" t="str">
        <f>IF(DL130/(INDEX('Standards for Conversions'!$H$34:$H$73,MATCH(DK$3,'Standards for Conversions'!$A$34:$A$73,0)))=0,"",DL130/(INDEX('Standards for Conversions'!$H$34:$H$73,MATCH(DK$3,'Standards for Conversions'!$A$34:$A$73,0))))</f>
        <v/>
      </c>
      <c r="DN130" s="10" t="s">
        <v>38</v>
      </c>
      <c r="DO130" s="7"/>
      <c r="DP130" s="7"/>
      <c r="DQ130" s="31" t="str">
        <f>IF(DP130/(INDEX('Standards for Conversions'!$H$34:$H$73,MATCH(DO$3,'Standards for Conversions'!$A$34:$A$73,0)))=0,"",DP130/(INDEX('Standards for Conversions'!$H$34:$H$73,MATCH(DO$3,'Standards for Conversions'!$A$34:$A$73,0))))</f>
        <v/>
      </c>
      <c r="DR130" s="10" t="s">
        <v>38</v>
      </c>
      <c r="DS130" s="9"/>
      <c r="DT130" s="9"/>
      <c r="DU130" s="31" t="str">
        <f>IF(DT130/(INDEX('Standards for Conversions'!$H$34:$H$73,MATCH(DS$3,'Standards for Conversions'!$A$34:$A$73,0)))=0,"",DT130/(INDEX('Standards for Conversions'!$H$34:$H$73,MATCH(DS$3,'Standards for Conversions'!$A$34:$A$73,0))))</f>
        <v/>
      </c>
      <c r="DV130" s="10" t="s">
        <v>38</v>
      </c>
      <c r="DW130" s="7"/>
      <c r="DX130" s="7"/>
      <c r="DY130" s="31" t="str">
        <f>IF(DX130/(INDEX('Standards for Conversions'!$H$34:$H$73,MATCH(DW$3,'Standards for Conversions'!$A$34:$A$73,0)))=0,"",DX130/(INDEX('Standards for Conversions'!$H$34:$H$73,MATCH(DW$3,'Standards for Conversions'!$A$34:$A$73,0))))</f>
        <v/>
      </c>
      <c r="DZ130" s="10" t="s">
        <v>38</v>
      </c>
      <c r="EA130" s="7"/>
      <c r="EB130" s="7"/>
      <c r="EC130" s="31" t="str">
        <f>IF(EB130/(INDEX('Standards for Conversions'!$H$34:$H$73,MATCH(EA$3,'Standards for Conversions'!$A$34:$A$73,0)))=0,"",EB130/(INDEX('Standards for Conversions'!$H$34:$H$73,MATCH(EA$3,'Standards for Conversions'!$A$34:$A$73,0))))</f>
        <v/>
      </c>
      <c r="ED130" s="10" t="s">
        <v>38</v>
      </c>
      <c r="EE130" s="7"/>
      <c r="EF130" s="7"/>
      <c r="EG130" s="31" t="str">
        <f>IF(EF130/(INDEX('Standards for Conversions'!$H$34:$H$73,MATCH(EE$3,'Standards for Conversions'!$A$34:$A$73,0)))=0,"",EF130/(INDEX('Standards for Conversions'!$H$34:$H$73,MATCH(EE$3,'Standards for Conversions'!$A$34:$A$73,0))))</f>
        <v/>
      </c>
      <c r="EH130" s="10" t="s">
        <v>38</v>
      </c>
      <c r="EI130" s="9"/>
      <c r="EJ130" s="9"/>
      <c r="EK130" s="31" t="str">
        <f>IF(EJ130/(INDEX('Standards for Conversions'!$H$34:$H$73,MATCH(EI$3,'Standards for Conversions'!$A$34:$A$73,0)))=0,"",EJ130/(INDEX('Standards for Conversions'!$H$34:$H$73,MATCH(EI$3,'Standards for Conversions'!$A$34:$A$73,0))))</f>
        <v/>
      </c>
      <c r="EL130" s="10" t="s">
        <v>38</v>
      </c>
      <c r="EM130" s="7"/>
      <c r="EN130" s="7"/>
      <c r="EO130" s="31" t="str">
        <f>IF(EN130/(INDEX('Standards for Conversions'!$H$34:$H$73,MATCH(EM$3,'Standards for Conversions'!$A$34:$A$73,0)))=0,"",EN130/(INDEX('Standards for Conversions'!$H$34:$H$73,MATCH(EM$3,'Standards for Conversions'!$A$34:$A$73,0))))</f>
        <v/>
      </c>
      <c r="EP130" s="10" t="s">
        <v>38</v>
      </c>
      <c r="EQ130" s="7"/>
      <c r="ER130" s="7"/>
      <c r="ES130" s="31" t="str">
        <f>IF(ER130/(INDEX('Standards for Conversions'!$H$34:$H$73,MATCH(EQ$3,'Standards for Conversions'!$A$34:$A$73,0)))=0,"",ER130/(INDEX('Standards for Conversions'!$H$34:$H$73,MATCH(EQ$3,'Standards for Conversions'!$A$34:$A$73,0))))</f>
        <v/>
      </c>
      <c r="ET130" s="10" t="s">
        <v>38</v>
      </c>
      <c r="EU130" s="7"/>
      <c r="EV130" s="7"/>
      <c r="EW130" s="31" t="str">
        <f>IF(EV130/(INDEX('Standards for Conversions'!$H$34:$H$73,MATCH(EU$3,'Standards for Conversions'!$A$34:$A$73,0)))=0,"",EV130/(INDEX('Standards for Conversions'!$H$34:$H$73,MATCH(EU$3,'Standards for Conversions'!$A$34:$A$73,0))))</f>
        <v/>
      </c>
      <c r="EX130" s="10" t="s">
        <v>38</v>
      </c>
      <c r="EY130" s="9"/>
      <c r="EZ130" s="9"/>
      <c r="FA130" s="31" t="str">
        <f>IF(EZ130/(INDEX('Standards for Conversions'!$H$34:$H$73,MATCH(EY$3,'Standards for Conversions'!$A$34:$A$73,0)))=0,"",EZ130/(INDEX('Standards for Conversions'!$H$34:$H$73,MATCH(EY$3,'Standards for Conversions'!$A$34:$A$73,0))))</f>
        <v/>
      </c>
      <c r="FB130" s="10" t="s">
        <v>38</v>
      </c>
      <c r="FC130" s="7"/>
      <c r="FD130" s="7"/>
      <c r="FE130" s="31" t="str">
        <f>IF(FD130/(INDEX('Standards for Conversions'!$H$34:$H$73,MATCH(FC$3,'Standards for Conversions'!$A$34:$A$73,0)))=0,"",FD130/(INDEX('Standards for Conversions'!$H$34:$H$73,MATCH(FC$3,'Standards for Conversions'!$A$34:$A$73,0))))</f>
        <v/>
      </c>
      <c r="FF130" s="10" t="s">
        <v>38</v>
      </c>
      <c r="FG130" s="7"/>
      <c r="FH130" s="7"/>
      <c r="FI130" s="31" t="str">
        <f>IF(FH130/(INDEX('Standards for Conversions'!$H$34:$H$73,MATCH(FG$3,'Standards for Conversions'!$A$34:$A$73,0)))=0,"",FH130/(INDEX('Standards for Conversions'!$H$34:$H$73,MATCH(FG$3,'Standards for Conversions'!$A$34:$A$73,0))))</f>
        <v/>
      </c>
      <c r="FJ130" s="10" t="s">
        <v>38</v>
      </c>
      <c r="FK130" s="7"/>
      <c r="FL130" s="7"/>
      <c r="FM130" s="31" t="str">
        <f>IF(FL130/(INDEX('Standards for Conversions'!$H$34:$H$73,MATCH(FK$3,'Standards for Conversions'!$A$34:$A$73,0)))=0,"",FL130/(INDEX('Standards for Conversions'!$H$34:$H$73,MATCH(FK$3,'Standards for Conversions'!$A$34:$A$73,0))))</f>
        <v/>
      </c>
      <c r="FN130" s="10" t="s">
        <v>38</v>
      </c>
      <c r="FO130" s="9"/>
      <c r="FP130" s="9"/>
      <c r="FQ130" s="31" t="str">
        <f>IF(FP130/(INDEX('Standards for Conversions'!$H$34:$H$73,MATCH(FO$3,'Standards for Conversions'!$A$34:$A$73,0)))=0,"",FP130/(INDEX('Standards for Conversions'!$H$34:$H$73,MATCH(FO$3,'Standards for Conversions'!$A$34:$A$73,0))))</f>
        <v/>
      </c>
      <c r="FR130" s="10" t="s">
        <v>38</v>
      </c>
      <c r="FS130" s="7"/>
      <c r="FT130" s="7"/>
      <c r="FU130" s="31" t="str">
        <f>IF(FT130/(INDEX('Standards for Conversions'!$H$34:$H$73,MATCH(FS$3,'Standards for Conversions'!$A$34:$A$73,0)))=0,"",FT130/(INDEX('Standards for Conversions'!$H$34:$H$73,MATCH(FS$3,'Standards for Conversions'!$A$34:$A$73,0))))</f>
        <v/>
      </c>
      <c r="FV130" s="10" t="s">
        <v>38</v>
      </c>
      <c r="FW130" s="7"/>
      <c r="FX130" s="7"/>
      <c r="FY130" s="31" t="str">
        <f>IF(FX130/(INDEX('Standards for Conversions'!$H$34:$H$73,MATCH(FW$3,'Standards for Conversions'!$A$34:$A$73,0)))=0,"",FX130/(INDEX('Standards for Conversions'!$H$34:$H$73,MATCH(FW$3,'Standards for Conversions'!$A$34:$A$73,0))))</f>
        <v/>
      </c>
      <c r="FZ130" s="10" t="s">
        <v>38</v>
      </c>
      <c r="GA130" s="7"/>
      <c r="GB130" s="7"/>
      <c r="GC130" s="31" t="str">
        <f>IF(GB130/(INDEX('Standards for Conversions'!$H$34:$H$73,MATCH(GA$3,'Standards for Conversions'!$A$34:$A$73,0)))=0,"",GB130/(INDEX('Standards for Conversions'!$H$34:$H$73,MATCH(GA$3,'Standards for Conversions'!$A$34:$A$73,0))))</f>
        <v/>
      </c>
      <c r="GD130" s="10" t="s">
        <v>38</v>
      </c>
      <c r="GE130" s="9"/>
      <c r="GF130" s="9"/>
      <c r="GG130" s="31" t="str">
        <f>IF(GF130/(INDEX('Standards for Conversions'!$H$34:$H$73,MATCH(GE$3,'Standards for Conversions'!$A$34:$A$73,0)))=0,"",GF130/(INDEX('Standards for Conversions'!$H$34:$H$73,MATCH(GE$3,'Standards for Conversions'!$A$34:$A$73,0))))</f>
        <v/>
      </c>
      <c r="GH130" s="10" t="s">
        <v>38</v>
      </c>
      <c r="GI130" s="7"/>
      <c r="GJ130" s="7"/>
      <c r="GK130" s="31" t="str">
        <f>IF(GJ130/(INDEX('Standards for Conversions'!$H$34:$H$73,MATCH(GI$3,'Standards for Conversions'!$A$34:$A$73,0)))=0,"",GJ130/(INDEX('Standards for Conversions'!$H$34:$H$73,MATCH(GI$3,'Standards for Conversions'!$A$34:$A$73,0))))</f>
        <v/>
      </c>
      <c r="GL130" s="10" t="s">
        <v>38</v>
      </c>
      <c r="GM130" s="7"/>
      <c r="GN130" s="7"/>
      <c r="GO130" s="31" t="str">
        <f>IF(GN130/(INDEX('Standards for Conversions'!$H$34:$H$73,MATCH(GM$3,'Standards for Conversions'!$A$34:$A$73,0)))=0,"",GN130/(INDEX('Standards for Conversions'!$H$34:$H$73,MATCH(GM$3,'Standards for Conversions'!$A$34:$A$73,0))))</f>
        <v/>
      </c>
      <c r="GP130" s="10" t="s">
        <v>38</v>
      </c>
      <c r="GQ130" s="7"/>
      <c r="GR130" s="7"/>
      <c r="GS130" s="31" t="str">
        <f>IF(GR130/(INDEX('Standards for Conversions'!$H$34:$H$73,MATCH(GQ$3,'Standards for Conversions'!$A$34:$A$73,0)))=0,"",GR130/(INDEX('Standards for Conversions'!$H$34:$H$73,MATCH(GQ$3,'Standards for Conversions'!$A$34:$A$73,0))))</f>
        <v/>
      </c>
      <c r="GT130" s="10" t="s">
        <v>38</v>
      </c>
      <c r="GU130" s="9"/>
      <c r="GV130" s="9"/>
      <c r="GW130" s="31" t="str">
        <f>IF(GV130/(INDEX('Standards for Conversions'!$H$34:$H$73,MATCH(GU$3,'Standards for Conversions'!$A$34:$A$73,0)))=0,"",GV130/(INDEX('Standards for Conversions'!$H$34:$H$73,MATCH(GU$3,'Standards for Conversions'!$A$34:$A$73,0))))</f>
        <v/>
      </c>
      <c r="GX130" s="10" t="s">
        <v>38</v>
      </c>
      <c r="GY130" s="7"/>
      <c r="GZ130" s="7"/>
      <c r="HA130" s="31" t="str">
        <f>IF(GZ130/(INDEX('Standards for Conversions'!$H$34:$H$73,MATCH(GY$3,'Standards for Conversions'!$A$34:$A$73,0)))=0,"",GZ130/(INDEX('Standards for Conversions'!$H$34:$H$73,MATCH(GY$3,'Standards for Conversions'!$A$34:$A$73,0))))</f>
        <v/>
      </c>
      <c r="HB130" s="10" t="s">
        <v>38</v>
      </c>
      <c r="HC130" s="7"/>
      <c r="HD130" s="7"/>
      <c r="HE130" s="31" t="str">
        <f>IF(HD130/(INDEX('Standards for Conversions'!$H$34:$H$73,MATCH(HC$3,'Standards for Conversions'!$A$34:$A$73,0)))=0,"",HD130/(INDEX('Standards for Conversions'!$H$34:$H$73,MATCH(HC$3,'Standards for Conversions'!$A$34:$A$73,0))))</f>
        <v/>
      </c>
      <c r="HF130" s="10" t="s">
        <v>38</v>
      </c>
      <c r="HG130" s="7"/>
      <c r="HH130" s="7"/>
      <c r="HI130" s="31" t="str">
        <f>IF(HH130/(INDEX('Standards for Conversions'!$H$34:$H$73,MATCH(HG$3,'Standards for Conversions'!$A$34:$A$73,0)))=0,"",HH130/(INDEX('Standards for Conversions'!$H$34:$H$73,MATCH(HG$3,'Standards for Conversions'!$A$34:$A$73,0))))</f>
        <v/>
      </c>
      <c r="HJ130" s="10" t="s">
        <v>38</v>
      </c>
      <c r="HK130" s="9"/>
      <c r="HL130" s="9"/>
      <c r="HM130" s="31" t="str">
        <f>IF(HL130/(INDEX('Standards for Conversions'!$H$34:$H$73,MATCH(HK$3,'Standards for Conversions'!$A$34:$A$73,0)))=0,"",HL130/(INDEX('Standards for Conversions'!$H$34:$H$73,MATCH(HK$3,'Standards for Conversions'!$A$34:$A$73,0))))</f>
        <v/>
      </c>
      <c r="HN130" s="10" t="s">
        <v>38</v>
      </c>
      <c r="HO130" s="7"/>
      <c r="HP130" s="7"/>
      <c r="HQ130" s="31" t="str">
        <f>IF(HP130/(INDEX('Standards for Conversions'!$H$34:$H$73,MATCH(HO$3,'Standards for Conversions'!$A$34:$A$73,0)))=0,"",HP130/(INDEX('Standards for Conversions'!$H$34:$H$73,MATCH(HO$3,'Standards for Conversions'!$A$34:$A$73,0))))</f>
        <v/>
      </c>
      <c r="HR130" s="33" t="s">
        <v>38</v>
      </c>
      <c r="HU130" s="31" t="str">
        <f>IF(HT130/(INDEX('Standards for Conversions'!$H$47:$H$73,MATCH(HS$3,'Standards for Conversions'!$A$47:$A$73,0)))=0,"",HT130/(INDEX('Standards for Conversions'!$H$47:$H$73,MATCH(HS$3,'Standards for Conversions'!$A$47:$A$73,0))))</f>
        <v/>
      </c>
      <c r="HV130" s="33" t="s">
        <v>38</v>
      </c>
      <c r="HY130" s="31" t="str">
        <f>IF(HX130/(INDEX('Standards for Conversions'!$H$47:$H$73,MATCH(HW$3,'Standards for Conversions'!$A$47:$A$73,0)))=0,"",HX130/(INDEX('Standards for Conversions'!$H$47:$H$73,MATCH(HW$3,'Standards for Conversions'!$A$47:$A$73,0))))</f>
        <v/>
      </c>
      <c r="HZ130" s="33"/>
      <c r="IA130" s="33"/>
      <c r="IB130" s="31" t="str">
        <f>IF(IA130/(INDEX('Standards for Conversions'!$H$47:$H$73,MATCH(HZ$3,'Standards for Conversions'!$A$47:$A$73,0)))=0,"",IA130/(INDEX('Standards for Conversions'!$H$47:$H$73,MATCH(HZ$3,'Standards for Conversions'!$A$47:$A$73,0))))</f>
        <v/>
      </c>
      <c r="IC130" s="33" t="s">
        <v>38</v>
      </c>
      <c r="ID130" s="29">
        <v>450</v>
      </c>
      <c r="IE130" s="29">
        <v>1400</v>
      </c>
      <c r="IF130" s="31">
        <f>IF(IE130/(INDEX('Standards for Conversions'!$H$47:$H$73,MATCH(ID$3,'Standards for Conversions'!$A$47:$A$73,0)))=0,"",IE130/(INDEX('Standards for Conversions'!$H$47:$H$73,MATCH(ID$3,'Standards for Conversions'!$A$47:$A$73,0))))</f>
        <v>203.34357709799835</v>
      </c>
      <c r="IG130" s="33" t="s">
        <v>38</v>
      </c>
      <c r="IJ130" s="31" t="str">
        <f>IF(II130/(INDEX('Standards for Conversions'!$H$47:$H$73,MATCH(IH$3,'Standards for Conversions'!$A$47:$A$73,0)))=0,"",II130/(INDEX('Standards for Conversions'!$H$47:$H$73,MATCH(IH$3,'Standards for Conversions'!$A$47:$A$73,0))))</f>
        <v/>
      </c>
      <c r="IK130" s="33" t="s">
        <v>38</v>
      </c>
      <c r="IN130" s="31" t="str">
        <f>IF(IM130/(INDEX('Standards for Conversions'!$H$47:$H$73,MATCH(IL$3,'Standards for Conversions'!$A$47:$A$73,0)))=0,"",IM130/(INDEX('Standards for Conversions'!$H$47:$H$73,MATCH(IL$3,'Standards for Conversions'!$A$47:$A$73,0))))</f>
        <v/>
      </c>
      <c r="IO130" s="33" t="s">
        <v>38</v>
      </c>
      <c r="IR130" s="31" t="str">
        <f>IF(IQ130/(INDEX('Standards for Conversions'!$H$47:$H$73,MATCH(IP$3,'Standards for Conversions'!$A$47:$A$73,0)))=0,"",IQ130/(INDEX('Standards for Conversions'!$H$47:$H$73,MATCH(IP$3,'Standards for Conversions'!$A$47:$A$73,0))))</f>
        <v/>
      </c>
      <c r="IS130" s="33" t="s">
        <v>38</v>
      </c>
      <c r="IT130" s="29">
        <v>306</v>
      </c>
      <c r="IU130" s="29">
        <v>1786</v>
      </c>
      <c r="IV130" s="31">
        <f>IF(IU130/(INDEX('Standards for Conversions'!$H$47:$H$73,MATCH(IT$3,'Standards for Conversions'!$A$47:$A$73,0)))=0,"",IU130/(INDEX('Standards for Conversions'!$H$47:$H$73,MATCH(IT$3,'Standards for Conversions'!$A$47:$A$73,0))))</f>
        <v>258.27386755525617</v>
      </c>
      <c r="IW130" s="33" t="s">
        <v>38</v>
      </c>
      <c r="IZ130" s="31" t="str">
        <f>IF(IY130/(INDEX('Standards for Conversions'!$H$47:$H$73,MATCH(IX$3,'Standards for Conversions'!$A$47:$A$73,0)))=0,"",IY130/(INDEX('Standards for Conversions'!$H$47:$H$73,MATCH(IX$3,'Standards for Conversions'!$A$47:$A$73,0))))</f>
        <v/>
      </c>
      <c r="JA130" s="33" t="s">
        <v>38</v>
      </c>
      <c r="JD130" s="31" t="str">
        <f>IF(JC130/(INDEX('Standards for Conversions'!$H$47:$H$73,MATCH(JB$3,'Standards for Conversions'!$A$47:$A$73,0)))=0,"",JC130/(INDEX('Standards for Conversions'!$H$47:$H$73,MATCH(JB$3,'Standards for Conversions'!$A$47:$A$73,0))))</f>
        <v/>
      </c>
      <c r="JE130" s="33" t="s">
        <v>38</v>
      </c>
      <c r="JH130" s="31" t="str">
        <f>IF(JG130/(INDEX('Standards for Conversions'!$H$47:$H$73,MATCH(JF$3,'Standards for Conversions'!$A$47:$A$73,0)))=0,"",JG130/(INDEX('Standards for Conversions'!$H$47:$H$73,MATCH(JF$3,'Standards for Conversions'!$A$47:$A$73,0))))</f>
        <v/>
      </c>
      <c r="JI130" s="48" t="s">
        <v>38</v>
      </c>
      <c r="JJ130" s="29">
        <v>460</v>
      </c>
      <c r="JK130" s="29">
        <v>4100</v>
      </c>
      <c r="JL130" s="31">
        <f>IF(JK130/(INDEX('Standards for Conversions'!$H$47:$H$73,MATCH(JJ$3,'Standards for Conversions'!$A$47:$A$73,0)))=0,"",JK130/(INDEX('Standards for Conversions'!$H$47:$H$73,MATCH(JJ$3,'Standards for Conversions'!$A$47:$A$73,0))))</f>
        <v>663.21680643666161</v>
      </c>
      <c r="JM130" s="33" t="s">
        <v>38</v>
      </c>
      <c r="JP130" s="31" t="str">
        <f>IF(JO130/(INDEX('Standards for Conversions'!$H$47:$H$73,MATCH(JN$3,'Standards for Conversions'!$A$47:$A$73,0)))=0,"",JO130/(INDEX('Standards for Conversions'!$H$47:$H$73,MATCH(JN$3,'Standards for Conversions'!$A$47:$A$73,0))))</f>
        <v/>
      </c>
      <c r="JQ130" s="33" t="s">
        <v>38</v>
      </c>
      <c r="JT130" s="31" t="str">
        <f>IF(JS130/(INDEX('Standards for Conversions'!$H$47:$H$73,MATCH(JR$3,'Standards for Conversions'!$A$47:$A$73,0)))=0,"",JS130/(INDEX('Standards for Conversions'!$H$47:$H$73,MATCH(JR$3,'Standards for Conversions'!$A$47:$A$73,0))))</f>
        <v/>
      </c>
      <c r="JU130" s="33" t="s">
        <v>38</v>
      </c>
      <c r="JX130" s="31" t="str">
        <f>IF(JW130/(INDEX('Standards for Conversions'!$H$47:$H$73,MATCH(JV$3,'Standards for Conversions'!$A$47:$A$73,0)))=0,"",JW130/(INDEX('Standards for Conversions'!$H$47:$H$73,MATCH(JV$3,'Standards for Conversions'!$A$47:$A$73,0))))</f>
        <v/>
      </c>
      <c r="JY130" s="33" t="s">
        <v>38</v>
      </c>
      <c r="JZ130" s="29">
        <v>400</v>
      </c>
      <c r="KA130" s="29">
        <v>3500</v>
      </c>
      <c r="KB130" s="31">
        <f>IF(KA130/(INDEX('Standards for Conversions'!$H$47:$H$73,MATCH(JZ$3,'Standards for Conversions'!$A$47:$A$73,0)))=0,"",KA130/(INDEX('Standards for Conversions'!$H$47:$H$73,MATCH(JZ$3,'Standards for Conversions'!$A$47:$A$73,0))))</f>
        <v>534.29562349729144</v>
      </c>
      <c r="KC130" s="33" t="s">
        <v>38</v>
      </c>
      <c r="KF130" s="31" t="str">
        <f>IF(KE130/(INDEX('Standards for Conversions'!$H$47:$H$73,MATCH(KD$3,'Standards for Conversions'!$A$47:$A$73,0)))=0,"",KE130/(INDEX('Standards for Conversions'!$H$47:$H$73,MATCH(KD$3,'Standards for Conversions'!$A$47:$A$73,0))))</f>
        <v/>
      </c>
      <c r="KG130" s="33" t="s">
        <v>38</v>
      </c>
      <c r="KJ130" s="31" t="str">
        <f>IF(KI130/(INDEX('Standards for Conversions'!$H$47:$H$73,MATCH(KH$3,'Standards for Conversions'!$A$47:$A$73,0)))=0,"",KI130/(INDEX('Standards for Conversions'!$H$47:$H$73,MATCH(KH$3,'Standards for Conversions'!$A$47:$A$73,0))))</f>
        <v/>
      </c>
      <c r="KK130" s="33" t="s">
        <v>38</v>
      </c>
      <c r="KN130" s="31" t="str">
        <f>IF(KM130/(INDEX('Standards for Conversions'!$H$47:$H$73,MATCH(KL$3,'Standards for Conversions'!$A$47:$A$73,0)))=0,"",KM130/(INDEX('Standards for Conversions'!$H$47:$H$73,MATCH(KL$3,'Standards for Conversions'!$A$47:$A$73,0))))</f>
        <v/>
      </c>
      <c r="KO130" s="33" t="s">
        <v>38</v>
      </c>
      <c r="KP130" s="29">
        <v>350</v>
      </c>
      <c r="KQ130" s="29">
        <v>3300</v>
      </c>
      <c r="KR130" s="31">
        <f>IF(KQ130/(INDEX('Standards for Conversions'!$H$47:$H$73,MATCH(KP$3,'Standards for Conversions'!$A$47:$A$73,0)))=0,"",KQ130/(INDEX('Standards for Conversions'!$H$47:$H$73,MATCH(KP$3,'Standards for Conversions'!$A$47:$A$73,0))))</f>
        <v>444.37473928912834</v>
      </c>
      <c r="KS130" s="33" t="s">
        <v>38</v>
      </c>
      <c r="KV130" s="31" t="str">
        <f>IF(KU130/(INDEX('Standards for Conversions'!$H$47:$H$73,MATCH(KT$3,'Standards for Conversions'!$A$47:$A$73,0)))=0,"",KU130/(INDEX('Standards for Conversions'!$H$47:$H$73,MATCH(KT$3,'Standards for Conversions'!$A$47:$A$73,0))))</f>
        <v/>
      </c>
      <c r="KW130" s="33" t="s">
        <v>38</v>
      </c>
      <c r="KZ130" s="31" t="str">
        <f>IF(KY130/(INDEX('Standards for Conversions'!$H$47:$H$73,MATCH(KX$3,'Standards for Conversions'!$A$47:$A$73,0)))=0,"",KY130/(INDEX('Standards for Conversions'!$H$47:$H$73,MATCH(KX$3,'Standards for Conversions'!$A$47:$A$73,0))))</f>
        <v/>
      </c>
      <c r="LA130" s="33" t="s">
        <v>38</v>
      </c>
      <c r="LD130" s="31" t="str">
        <f>IF(LC130/(INDEX('Standards for Conversions'!$H$47:$H$73,MATCH(LB$3,'Standards for Conversions'!$A$47:$A$73,0)))=0,"",LC130/(INDEX('Standards for Conversions'!$H$47:$H$73,MATCH(LB$3,'Standards for Conversions'!$A$47:$A$73,0))))</f>
        <v/>
      </c>
      <c r="LE130" s="48" t="s">
        <v>38</v>
      </c>
      <c r="LH130" s="31" t="str">
        <f>IF(LG130/(INDEX('Standards for Conversions'!$H$47:$H$73,MATCH(LF$3,'Standards for Conversions'!$A$47:$A$73,0)))=0,"",LG130/(INDEX('Standards for Conversions'!$H$47:$H$73,MATCH(LF$3,'Standards for Conversions'!$A$47:$A$73,0))))</f>
        <v/>
      </c>
      <c r="LL130" s="31" t="str">
        <f>IF(LK130/(INDEX('Standards for Conversions'!$H$47:$H$73,MATCH(LJ$3,'Standards for Conversions'!$A$47:$A$73,0)))=0,"",LK130/(INDEX('Standards for Conversions'!$H$47:$H$73,MATCH(LJ$3,'Standards for Conversions'!$A$47:$A$73,0))))</f>
        <v/>
      </c>
      <c r="LO130" s="31" t="str">
        <f>IF(LN130/(INDEX('Standards for Conversions'!$H$47:$H$73,MATCH(LM$3,'Standards for Conversions'!$A$47:$A$73,0)))=0,"",LN130/(INDEX('Standards for Conversions'!$H$47:$H$73,MATCH(LM$3,'Standards for Conversions'!$A$47:$A$73,0))))</f>
        <v/>
      </c>
      <c r="LR130" s="31" t="str">
        <f>IF(LQ130/(INDEX('Standards for Conversions'!$H$47:$H$73,MATCH(LP$3,'Standards for Conversions'!$A$47:$A$73,0)))=0,"",LQ130/(INDEX('Standards for Conversions'!$H$47:$H$73,MATCH(LP$3,'Standards for Conversions'!$A$47:$A$73,0))))</f>
        <v/>
      </c>
      <c r="LV130" s="31" t="str">
        <f>IF(LU130/(INDEX('Standards for Conversions'!$H$47:$H$73,MATCH(LT$3,'Standards for Conversions'!$A$47:$A$73,0)))=0,"",LU130/(INDEX('Standards for Conversions'!$H$47:$H$73,MATCH(LT$3,'Standards for Conversions'!$A$47:$A$73,0))))</f>
        <v/>
      </c>
      <c r="LY130" s="31" t="str">
        <f>IF(LX130/(INDEX('Standards for Conversions'!$H$47:$H$73,MATCH(LW$3,'Standards for Conversions'!$A$47:$A$73,0)))=0,"",LX130/(INDEX('Standards for Conversions'!$H$47:$H$73,MATCH(LW$3,'Standards for Conversions'!$A$47:$A$73,0))))</f>
        <v/>
      </c>
      <c r="MB130" s="31" t="str">
        <f>IF(MA130/(INDEX('Standards for Conversions'!$H$47:$H$73,MATCH(LZ$3,'Standards for Conversions'!$A$47:$A$73,0)))=0,"",MA130/(INDEX('Standards for Conversions'!$H$47:$H$73,MATCH(LZ$3,'Standards for Conversions'!$A$47:$A$73,0))))</f>
        <v/>
      </c>
      <c r="ME130" s="31" t="str">
        <f>IF(MD130/(INDEX('Standards for Conversions'!$H$47:$H$73,MATCH(MC$3,'Standards for Conversions'!$A$47:$A$73,0)))=0,"",MD130/(INDEX('Standards for Conversions'!$H$47:$H$73,MATCH(MC$3,'Standards for Conversions'!$A$47:$A$73,0))))</f>
        <v/>
      </c>
      <c r="MH130" s="31" t="str">
        <f>IF(MG130/(INDEX('Standards for Conversions'!$H$47:$H$73,MATCH(MF$3,'Standards for Conversions'!$A$47:$A$73,0)))=0,"",MG130/(INDEX('Standards for Conversions'!$H$47:$H$73,MATCH(MF$3,'Standards for Conversions'!$A$47:$A$73,0))))</f>
        <v/>
      </c>
      <c r="MK130" s="31" t="str">
        <f>IF(MJ130/(INDEX('Standards for Conversions'!$H$47:$H$73,MATCH(MI$3,'Standards for Conversions'!$A$47:$A$73,0)))=0,"",MJ130/(INDEX('Standards for Conversions'!$H$47:$H$73,MATCH(MI$3,'Standards for Conversions'!$A$47:$A$73,0))))</f>
        <v/>
      </c>
      <c r="MN130" s="31" t="str">
        <f>IF(MM130/(INDEX('Standards for Conversions'!$H$47:$H$73,MATCH(ML$3,'Standards for Conversions'!$A$47:$A$73,0)))=0,"",MM130/(INDEX('Standards for Conversions'!$H$47:$H$73,MATCH(ML$3,'Standards for Conversions'!$A$47:$A$73,0))))</f>
        <v/>
      </c>
      <c r="MR130" s="31" t="str">
        <f>IF(MQ130/(INDEX('Standards for Conversions'!$H$47:$H$73,MATCH(MP$3,'Standards for Conversions'!$A$47:$A$73,0)))=0,"",MQ130/(INDEX('Standards for Conversions'!$H$47:$H$73,MATCH(MP$3,'Standards for Conversions'!$A$47:$A$73,0))))</f>
        <v/>
      </c>
    </row>
    <row r="131" spans="1:356" hidden="1" x14ac:dyDescent="0.3">
      <c r="A131" s="103" t="s">
        <v>296</v>
      </c>
      <c r="B131" s="10" t="s">
        <v>38</v>
      </c>
      <c r="C131" s="7"/>
      <c r="D131" s="7"/>
      <c r="E131" s="31" t="str">
        <f>IF(D131/(INDEX('Standards for Conversions'!$H$34:$H$73,MATCH(C$3,'Standards for Conversions'!$A$34:$A$73,0)))=0,"",D131/(INDEX('Standards for Conversions'!$H$34:$H$73,MATCH(C$3,'Standards for Conversions'!$A$34:$A$73,0))))</f>
        <v/>
      </c>
      <c r="F131" s="10" t="s">
        <v>38</v>
      </c>
      <c r="G131" s="7"/>
      <c r="H131" s="7"/>
      <c r="I131" s="31" t="str">
        <f>IF(H131/(INDEX('Standards for Conversions'!$H$34:$H$73,MATCH(G$3,'Standards for Conversions'!$A$34:$A$73,0)))=0,"",H131/(INDEX('Standards for Conversions'!$H$34:$H$73,MATCH(G$3,'Standards for Conversions'!$A$34:$A$73,0))))</f>
        <v/>
      </c>
      <c r="J131" s="10" t="s">
        <v>38</v>
      </c>
      <c r="K131" s="9"/>
      <c r="L131" s="9"/>
      <c r="M131" s="31" t="str">
        <f>IF(L131/(INDEX('Standards for Conversions'!$H$34:$H$73,MATCH(K$3,'Standards for Conversions'!$A$34:$A$73,0)))=0,"",L131/(INDEX('Standards for Conversions'!$H$34:$H$73,MATCH(K$3,'Standards for Conversions'!$A$34:$A$73,0))))</f>
        <v/>
      </c>
      <c r="N131" s="10" t="s">
        <v>38</v>
      </c>
      <c r="O131" s="7"/>
      <c r="P131" s="7"/>
      <c r="Q131" s="31" t="str">
        <f>IF(P131/(INDEX('Standards for Conversions'!$H$34:$H$73,MATCH(O$3,'Standards for Conversions'!$A$34:$A$73,0)))=0,"",P131/(INDEX('Standards for Conversions'!$H$34:$H$73,MATCH(O$3,'Standards for Conversions'!$A$34:$A$73,0))))</f>
        <v/>
      </c>
      <c r="R131" s="10" t="s">
        <v>38</v>
      </c>
      <c r="S131" s="7"/>
      <c r="T131" s="7"/>
      <c r="U131" s="31" t="str">
        <f>IF(T131/(INDEX('Standards for Conversions'!$H$34:$H$73,MATCH(S$3,'Standards for Conversions'!$A$34:$A$73,0)))=0,"",T131/(INDEX('Standards for Conversions'!$H$34:$H$73,MATCH(S$3,'Standards for Conversions'!$A$34:$A$73,0))))</f>
        <v/>
      </c>
      <c r="V131" s="10" t="s">
        <v>38</v>
      </c>
      <c r="W131" s="7"/>
      <c r="X131" s="7"/>
      <c r="Y131" s="31" t="str">
        <f>IF(X131/(INDEX('Standards for Conversions'!$H$34:$H$73,MATCH(W$3,'Standards for Conversions'!$A$34:$A$73,0)))=0,"",X131/(INDEX('Standards for Conversions'!$H$34:$H$73,MATCH(W$3,'Standards for Conversions'!$A$34:$A$73,0))))</f>
        <v/>
      </c>
      <c r="Z131" s="10" t="s">
        <v>38</v>
      </c>
      <c r="AA131" s="9"/>
      <c r="AB131" s="9"/>
      <c r="AC131" s="31" t="str">
        <f>IF(AB131/(INDEX('Standards for Conversions'!$H$34:$H$73,MATCH(AA$3,'Standards for Conversions'!$A$34:$A$73,0)))=0,"",AB131/(INDEX('Standards for Conversions'!$H$34:$H$73,MATCH(AA$3,'Standards for Conversions'!$A$34:$A$73,0))))</f>
        <v/>
      </c>
      <c r="AD131" s="10" t="s">
        <v>38</v>
      </c>
      <c r="AE131" s="7"/>
      <c r="AF131" s="7"/>
      <c r="AG131" s="31" t="str">
        <f>IF(AF131/(INDEX('Standards for Conversions'!$H$34:$H$73,MATCH(AE$3,'Standards for Conversions'!$A$34:$A$73,0)))=0,"",AF131/(INDEX('Standards for Conversions'!$H$34:$H$73,MATCH(AE$3,'Standards for Conversions'!$A$34:$A$73,0))))</f>
        <v/>
      </c>
      <c r="AH131" s="10" t="s">
        <v>38</v>
      </c>
      <c r="AI131" s="7"/>
      <c r="AJ131" s="7"/>
      <c r="AK131" s="31" t="str">
        <f>IF(AJ131/(INDEX('Standards for Conversions'!$H$34:$H$73,MATCH(AI$3,'Standards for Conversions'!$A$34:$A$73,0)))=0,"",AJ131/(INDEX('Standards for Conversions'!$H$34:$H$73,MATCH(AI$3,'Standards for Conversions'!$A$34:$A$73,0))))</f>
        <v/>
      </c>
      <c r="AL131" s="10" t="s">
        <v>38</v>
      </c>
      <c r="AM131" s="7"/>
      <c r="AN131" s="7"/>
      <c r="AO131" s="31" t="str">
        <f>IF(AN131/(INDEX('Standards for Conversions'!$H$34:$H$73,MATCH(AM$3,'Standards for Conversions'!$A$34:$A$73,0)))=0,"",AN131/(INDEX('Standards for Conversions'!$H$34:$H$73,MATCH(AM$3,'Standards for Conversions'!$A$34:$A$73,0))))</f>
        <v/>
      </c>
      <c r="AP131" s="10" t="s">
        <v>38</v>
      </c>
      <c r="AQ131" s="9"/>
      <c r="AR131" s="9"/>
      <c r="AS131" s="31" t="str">
        <f>IF(AR131/(INDEX('Standards for Conversions'!$H$34:$H$73,MATCH(AQ$3,'Standards for Conversions'!$A$34:$A$73,0)))=0,"",AR131/(INDEX('Standards for Conversions'!$H$34:$H$73,MATCH(AQ$3,'Standards for Conversions'!$A$34:$A$73,0))))</f>
        <v/>
      </c>
      <c r="AT131" s="10" t="s">
        <v>38</v>
      </c>
      <c r="AU131" s="7"/>
      <c r="AV131" s="7"/>
      <c r="AW131" s="31" t="str">
        <f>IF(AV131/(INDEX('Standards for Conversions'!$H$34:$H$73,MATCH(AU$3,'Standards for Conversions'!$A$34:$A$73,0)))=0,"",AV131/(INDEX('Standards for Conversions'!$H$34:$H$73,MATCH(AU$3,'Standards for Conversions'!$A$34:$A$73,0))))</f>
        <v/>
      </c>
      <c r="AX131" s="10" t="s">
        <v>38</v>
      </c>
      <c r="AY131" s="7"/>
      <c r="AZ131" s="7"/>
      <c r="BA131" s="31" t="str">
        <f>IF(AZ131/(INDEX('Standards for Conversions'!$H$34:$H$73,MATCH(AY$3,'Standards for Conversions'!$A$34:$A$73,0)))=0,"",AZ131/(INDEX('Standards for Conversions'!$H$34:$H$73,MATCH(AY$3,'Standards for Conversions'!$A$34:$A$73,0))))</f>
        <v/>
      </c>
      <c r="BB131" s="10" t="s">
        <v>38</v>
      </c>
      <c r="BC131" s="7"/>
      <c r="BD131" s="7"/>
      <c r="BE131" s="31" t="str">
        <f>IF(BD131/(INDEX('Standards for Conversions'!$H$34:$H$73,MATCH(BC$3,'Standards for Conversions'!$A$34:$A$73,0)))=0,"",BD131/(INDEX('Standards for Conversions'!$H$34:$H$73,MATCH(BC$3,'Standards for Conversions'!$A$34:$A$73,0))))</f>
        <v/>
      </c>
      <c r="BF131" s="10" t="s">
        <v>38</v>
      </c>
      <c r="BG131" s="9"/>
      <c r="BH131" s="9"/>
      <c r="BI131" s="31" t="str">
        <f>IF(BH131/(INDEX('Standards for Conversions'!$H$34:$H$73,MATCH(BG$3,'Standards for Conversions'!$A$34:$A$73,0)))=0,"",BH131/(INDEX('Standards for Conversions'!$H$34:$H$73,MATCH(BG$3,'Standards for Conversions'!$A$34:$A$73,0))))</f>
        <v/>
      </c>
      <c r="BJ131" s="10" t="s">
        <v>38</v>
      </c>
      <c r="BK131" s="7"/>
      <c r="BL131" s="7"/>
      <c r="BM131" s="31" t="str">
        <f>IF(BL131/(INDEX('Standards for Conversions'!$H$34:$H$73,MATCH(BK$3,'Standards for Conversions'!$A$34:$A$73,0)))=0,"",BL131/(INDEX('Standards for Conversions'!$H$34:$H$73,MATCH(BK$3,'Standards for Conversions'!$A$34:$A$73,0))))</f>
        <v/>
      </c>
      <c r="BN131" s="10" t="s">
        <v>38</v>
      </c>
      <c r="BO131" s="7"/>
      <c r="BP131" s="7"/>
      <c r="BQ131" s="31" t="str">
        <f>IF(BP131/(INDEX('Standards for Conversions'!$H$34:$H$73,MATCH(BO$3,'Standards for Conversions'!$A$34:$A$73,0)))=0,"",BP131/(INDEX('Standards for Conversions'!$H$34:$H$73,MATCH(BO$3,'Standards for Conversions'!$A$34:$A$73,0))))</f>
        <v/>
      </c>
      <c r="BR131" s="10" t="s">
        <v>38</v>
      </c>
      <c r="BS131" s="7"/>
      <c r="BT131" s="7"/>
      <c r="BU131" s="31" t="str">
        <f>IF(BT131/(INDEX('Standards for Conversions'!$H$34:$H$73,MATCH(BS$3,'Standards for Conversions'!$A$34:$A$73,0)))=0,"",BT131/(INDEX('Standards for Conversions'!$H$34:$H$73,MATCH(BS$3,'Standards for Conversions'!$A$34:$A$73,0))))</f>
        <v/>
      </c>
      <c r="BV131" s="10" t="s">
        <v>38</v>
      </c>
      <c r="BW131" s="9"/>
      <c r="BX131" s="9"/>
      <c r="BY131" s="31" t="str">
        <f>IF(BX131/(INDEX('Standards for Conversions'!$H$34:$H$73,MATCH(BW$3,'Standards for Conversions'!$A$34:$A$73,0)))=0,"",BX131/(INDEX('Standards for Conversions'!$H$34:$H$73,MATCH(BW$3,'Standards for Conversions'!$A$34:$A$73,0))))</f>
        <v/>
      </c>
      <c r="BZ131" s="10" t="s">
        <v>38</v>
      </c>
      <c r="CA131" s="7"/>
      <c r="CB131" s="7"/>
      <c r="CC131" s="31" t="str">
        <f>IF(CB131/(INDEX('Standards for Conversions'!$H$34:$H$73,MATCH(CA$3,'Standards for Conversions'!$A$34:$A$73,0)))=0,"",CB131/(INDEX('Standards for Conversions'!$H$34:$H$73,MATCH(CA$3,'Standards for Conversions'!$A$34:$A$73,0))))</f>
        <v/>
      </c>
      <c r="CD131" s="10" t="s">
        <v>38</v>
      </c>
      <c r="CE131" s="7"/>
      <c r="CF131" s="7"/>
      <c r="CG131" s="31" t="str">
        <f>IF(CF131/(INDEX('Standards for Conversions'!$H$34:$H$73,MATCH(CE$3,'Standards for Conversions'!$A$34:$A$73,0)))=0,"",CF131/(INDEX('Standards for Conversions'!$H$34:$H$73,MATCH(CE$3,'Standards for Conversions'!$A$34:$A$73,0))))</f>
        <v/>
      </c>
      <c r="CH131" s="10" t="s">
        <v>38</v>
      </c>
      <c r="CI131" s="7"/>
      <c r="CJ131" s="7"/>
      <c r="CK131" s="31" t="str">
        <f>IF(CJ131/(INDEX('Standards for Conversions'!$H$34:$H$73,MATCH(CI$3,'Standards for Conversions'!$A$34:$A$73,0)))=0,"",CJ131/(INDEX('Standards for Conversions'!$H$34:$H$73,MATCH(CI$3,'Standards for Conversions'!$A$34:$A$73,0))))</f>
        <v/>
      </c>
      <c r="CL131" s="10" t="s">
        <v>38</v>
      </c>
      <c r="CM131" s="9"/>
      <c r="CN131" s="9"/>
      <c r="CO131" s="31" t="str">
        <f>IF(CN131/(INDEX('Standards for Conversions'!$H$34:$H$73,MATCH(CM$3,'Standards for Conversions'!$A$34:$A$73,0)))=0,"",CN131/(INDEX('Standards for Conversions'!$H$34:$H$73,MATCH(CM$3,'Standards for Conversions'!$A$34:$A$73,0))))</f>
        <v/>
      </c>
      <c r="CP131" s="10" t="s">
        <v>38</v>
      </c>
      <c r="CQ131" s="7"/>
      <c r="CR131" s="7"/>
      <c r="CS131" s="31" t="str">
        <f>IF(CR131/(INDEX('Standards for Conversions'!$H$34:$H$73,MATCH(CQ$3,'Standards for Conversions'!$A$34:$A$73,0)))=0,"",CR131/(INDEX('Standards for Conversions'!$H$34:$H$73,MATCH(CQ$3,'Standards for Conversions'!$A$34:$A$73,0))))</f>
        <v/>
      </c>
      <c r="CT131" s="10" t="s">
        <v>38</v>
      </c>
      <c r="CU131" s="7"/>
      <c r="CV131" s="7"/>
      <c r="CW131" s="31" t="str">
        <f>IF(CV131/(INDEX('Standards for Conversions'!$H$34:$H$73,MATCH(CU$3,'Standards for Conversions'!$A$34:$A$73,0)))=0,"",CV131/(INDEX('Standards for Conversions'!$H$34:$H$73,MATCH(CU$3,'Standards for Conversions'!$A$34:$A$73,0))))</f>
        <v/>
      </c>
      <c r="CX131" s="10" t="s">
        <v>38</v>
      </c>
      <c r="CY131" s="7"/>
      <c r="CZ131" s="7"/>
      <c r="DA131" s="31" t="str">
        <f>IF(CZ131/(INDEX('Standards for Conversions'!$H$34:$H$73,MATCH(CY$3,'Standards for Conversions'!$A$34:$A$73,0)))=0,"",CZ131/(INDEX('Standards for Conversions'!$H$34:$H$73,MATCH(CY$3,'Standards for Conversions'!$A$34:$A$73,0))))</f>
        <v/>
      </c>
      <c r="DB131" s="10" t="s">
        <v>38</v>
      </c>
      <c r="DC131" s="9"/>
      <c r="DD131" s="9"/>
      <c r="DE131" s="31" t="str">
        <f>IF(DD131/(INDEX('Standards for Conversions'!$H$34:$H$73,MATCH(DC$3,'Standards for Conversions'!$A$34:$A$73,0)))=0,"",DD131/(INDEX('Standards for Conversions'!$H$34:$H$73,MATCH(DC$3,'Standards for Conversions'!$A$34:$A$73,0))))</f>
        <v/>
      </c>
      <c r="DF131" s="10" t="s">
        <v>38</v>
      </c>
      <c r="DG131" s="7"/>
      <c r="DH131" s="7"/>
      <c r="DI131" s="31" t="str">
        <f>IF(DH131/(INDEX('Standards for Conversions'!$H$34:$H$73,MATCH(DG$3,'Standards for Conversions'!$A$34:$A$73,0)))=0,"",DH131/(INDEX('Standards for Conversions'!$H$34:$H$73,MATCH(DG$3,'Standards for Conversions'!$A$34:$A$73,0))))</f>
        <v/>
      </c>
      <c r="DJ131" s="10" t="s">
        <v>38</v>
      </c>
      <c r="DK131" s="7"/>
      <c r="DL131" s="7"/>
      <c r="DM131" s="31" t="str">
        <f>IF(DL131/(INDEX('Standards for Conversions'!$H$34:$H$73,MATCH(DK$3,'Standards for Conversions'!$A$34:$A$73,0)))=0,"",DL131/(INDEX('Standards for Conversions'!$H$34:$H$73,MATCH(DK$3,'Standards for Conversions'!$A$34:$A$73,0))))</f>
        <v/>
      </c>
      <c r="DN131" s="10" t="s">
        <v>38</v>
      </c>
      <c r="DO131" s="7"/>
      <c r="DP131" s="7"/>
      <c r="DQ131" s="31" t="str">
        <f>IF(DP131/(INDEX('Standards for Conversions'!$H$34:$H$73,MATCH(DO$3,'Standards for Conversions'!$A$34:$A$73,0)))=0,"",DP131/(INDEX('Standards for Conversions'!$H$34:$H$73,MATCH(DO$3,'Standards for Conversions'!$A$34:$A$73,0))))</f>
        <v/>
      </c>
      <c r="DR131" s="10" t="s">
        <v>38</v>
      </c>
      <c r="DS131" s="9"/>
      <c r="DT131" s="9"/>
      <c r="DU131" s="31" t="str">
        <f>IF(DT131/(INDEX('Standards for Conversions'!$H$34:$H$73,MATCH(DS$3,'Standards for Conversions'!$A$34:$A$73,0)))=0,"",DT131/(INDEX('Standards for Conversions'!$H$34:$H$73,MATCH(DS$3,'Standards for Conversions'!$A$34:$A$73,0))))</f>
        <v/>
      </c>
      <c r="DV131" s="10" t="s">
        <v>38</v>
      </c>
      <c r="DW131" s="7"/>
      <c r="DX131" s="7"/>
      <c r="DY131" s="31" t="str">
        <f>IF(DX131/(INDEX('Standards for Conversions'!$H$34:$H$73,MATCH(DW$3,'Standards for Conversions'!$A$34:$A$73,0)))=0,"",DX131/(INDEX('Standards for Conversions'!$H$34:$H$73,MATCH(DW$3,'Standards for Conversions'!$A$34:$A$73,0))))</f>
        <v/>
      </c>
      <c r="DZ131" s="10" t="s">
        <v>38</v>
      </c>
      <c r="EA131" s="7"/>
      <c r="EB131" s="7"/>
      <c r="EC131" s="31" t="str">
        <f>IF(EB131/(INDEX('Standards for Conversions'!$H$34:$H$73,MATCH(EA$3,'Standards for Conversions'!$A$34:$A$73,0)))=0,"",EB131/(INDEX('Standards for Conversions'!$H$34:$H$73,MATCH(EA$3,'Standards for Conversions'!$A$34:$A$73,0))))</f>
        <v/>
      </c>
      <c r="ED131" s="10" t="s">
        <v>38</v>
      </c>
      <c r="EE131" s="7"/>
      <c r="EF131" s="7"/>
      <c r="EG131" s="31" t="str">
        <f>IF(EF131/(INDEX('Standards for Conversions'!$H$34:$H$73,MATCH(EE$3,'Standards for Conversions'!$A$34:$A$73,0)))=0,"",EF131/(INDEX('Standards for Conversions'!$H$34:$H$73,MATCH(EE$3,'Standards for Conversions'!$A$34:$A$73,0))))</f>
        <v/>
      </c>
      <c r="EH131" s="10" t="s">
        <v>38</v>
      </c>
      <c r="EI131" s="9"/>
      <c r="EJ131" s="9"/>
      <c r="EK131" s="31" t="str">
        <f>IF(EJ131/(INDEX('Standards for Conversions'!$H$34:$H$73,MATCH(EI$3,'Standards for Conversions'!$A$34:$A$73,0)))=0,"",EJ131/(INDEX('Standards for Conversions'!$H$34:$H$73,MATCH(EI$3,'Standards for Conversions'!$A$34:$A$73,0))))</f>
        <v/>
      </c>
      <c r="EL131" s="10" t="s">
        <v>38</v>
      </c>
      <c r="EM131" s="7"/>
      <c r="EN131" s="7"/>
      <c r="EO131" s="31" t="str">
        <f>IF(EN131/(INDEX('Standards for Conversions'!$H$34:$H$73,MATCH(EM$3,'Standards for Conversions'!$A$34:$A$73,0)))=0,"",EN131/(INDEX('Standards for Conversions'!$H$34:$H$73,MATCH(EM$3,'Standards for Conversions'!$A$34:$A$73,0))))</f>
        <v/>
      </c>
      <c r="EP131" s="10" t="s">
        <v>38</v>
      </c>
      <c r="EQ131" s="7"/>
      <c r="ER131" s="7"/>
      <c r="ES131" s="31" t="str">
        <f>IF(ER131/(INDEX('Standards for Conversions'!$H$34:$H$73,MATCH(EQ$3,'Standards for Conversions'!$A$34:$A$73,0)))=0,"",ER131/(INDEX('Standards for Conversions'!$H$34:$H$73,MATCH(EQ$3,'Standards for Conversions'!$A$34:$A$73,0))))</f>
        <v/>
      </c>
      <c r="ET131" s="10" t="s">
        <v>38</v>
      </c>
      <c r="EU131" s="7"/>
      <c r="EV131" s="7"/>
      <c r="EW131" s="31" t="str">
        <f>IF(EV131/(INDEX('Standards for Conversions'!$H$34:$H$73,MATCH(EU$3,'Standards for Conversions'!$A$34:$A$73,0)))=0,"",EV131/(INDEX('Standards for Conversions'!$H$34:$H$73,MATCH(EU$3,'Standards for Conversions'!$A$34:$A$73,0))))</f>
        <v/>
      </c>
      <c r="EX131" s="10" t="s">
        <v>38</v>
      </c>
      <c r="EY131" s="9"/>
      <c r="EZ131" s="9"/>
      <c r="FA131" s="31" t="str">
        <f>IF(EZ131/(INDEX('Standards for Conversions'!$H$34:$H$73,MATCH(EY$3,'Standards for Conversions'!$A$34:$A$73,0)))=0,"",EZ131/(INDEX('Standards for Conversions'!$H$34:$H$73,MATCH(EY$3,'Standards for Conversions'!$A$34:$A$73,0))))</f>
        <v/>
      </c>
      <c r="FB131" s="10" t="s">
        <v>38</v>
      </c>
      <c r="FC131" s="7"/>
      <c r="FD131" s="7"/>
      <c r="FE131" s="31" t="str">
        <f>IF(FD131/(INDEX('Standards for Conversions'!$H$34:$H$73,MATCH(FC$3,'Standards for Conversions'!$A$34:$A$73,0)))=0,"",FD131/(INDEX('Standards for Conversions'!$H$34:$H$73,MATCH(FC$3,'Standards for Conversions'!$A$34:$A$73,0))))</f>
        <v/>
      </c>
      <c r="FF131" s="10" t="s">
        <v>38</v>
      </c>
      <c r="FG131" s="7"/>
      <c r="FH131" s="7"/>
      <c r="FI131" s="31" t="str">
        <f>IF(FH131/(INDEX('Standards for Conversions'!$H$34:$H$73,MATCH(FG$3,'Standards for Conversions'!$A$34:$A$73,0)))=0,"",FH131/(INDEX('Standards for Conversions'!$H$34:$H$73,MATCH(FG$3,'Standards for Conversions'!$A$34:$A$73,0))))</f>
        <v/>
      </c>
      <c r="FJ131" s="10" t="s">
        <v>38</v>
      </c>
      <c r="FK131" s="7"/>
      <c r="FL131" s="7"/>
      <c r="FM131" s="31" t="str">
        <f>IF(FL131/(INDEX('Standards for Conversions'!$H$34:$H$73,MATCH(FK$3,'Standards for Conversions'!$A$34:$A$73,0)))=0,"",FL131/(INDEX('Standards for Conversions'!$H$34:$H$73,MATCH(FK$3,'Standards for Conversions'!$A$34:$A$73,0))))</f>
        <v/>
      </c>
      <c r="FN131" s="10" t="s">
        <v>38</v>
      </c>
      <c r="FO131" s="9"/>
      <c r="FP131" s="9"/>
      <c r="FQ131" s="31" t="str">
        <f>IF(FP131/(INDEX('Standards for Conversions'!$H$34:$H$73,MATCH(FO$3,'Standards for Conversions'!$A$34:$A$73,0)))=0,"",FP131/(INDEX('Standards for Conversions'!$H$34:$H$73,MATCH(FO$3,'Standards for Conversions'!$A$34:$A$73,0))))</f>
        <v/>
      </c>
      <c r="FR131" s="10" t="s">
        <v>38</v>
      </c>
      <c r="FS131" s="7"/>
      <c r="FT131" s="7"/>
      <c r="FU131" s="31" t="str">
        <f>IF(FT131/(INDEX('Standards for Conversions'!$H$34:$H$73,MATCH(FS$3,'Standards for Conversions'!$A$34:$A$73,0)))=0,"",FT131/(INDEX('Standards for Conversions'!$H$34:$H$73,MATCH(FS$3,'Standards for Conversions'!$A$34:$A$73,0))))</f>
        <v/>
      </c>
      <c r="FV131" s="10" t="s">
        <v>38</v>
      </c>
      <c r="FW131" s="7"/>
      <c r="FX131" s="7"/>
      <c r="FY131" s="31" t="str">
        <f>IF(FX131/(INDEX('Standards for Conversions'!$H$34:$H$73,MATCH(FW$3,'Standards for Conversions'!$A$34:$A$73,0)))=0,"",FX131/(INDEX('Standards for Conversions'!$H$34:$H$73,MATCH(FW$3,'Standards for Conversions'!$A$34:$A$73,0))))</f>
        <v/>
      </c>
      <c r="FZ131" s="10" t="s">
        <v>38</v>
      </c>
      <c r="GA131" s="7"/>
      <c r="GB131" s="7"/>
      <c r="GC131" s="31" t="str">
        <f>IF(GB131/(INDEX('Standards for Conversions'!$H$34:$H$73,MATCH(GA$3,'Standards for Conversions'!$A$34:$A$73,0)))=0,"",GB131/(INDEX('Standards for Conversions'!$H$34:$H$73,MATCH(GA$3,'Standards for Conversions'!$A$34:$A$73,0))))</f>
        <v/>
      </c>
      <c r="GD131" s="10" t="s">
        <v>38</v>
      </c>
      <c r="GE131" s="9"/>
      <c r="GF131" s="9"/>
      <c r="GG131" s="31" t="str">
        <f>IF(GF131/(INDEX('Standards for Conversions'!$H$34:$H$73,MATCH(GE$3,'Standards for Conversions'!$A$34:$A$73,0)))=0,"",GF131/(INDEX('Standards for Conversions'!$H$34:$H$73,MATCH(GE$3,'Standards for Conversions'!$A$34:$A$73,0))))</f>
        <v/>
      </c>
      <c r="GH131" s="10" t="s">
        <v>38</v>
      </c>
      <c r="GI131" s="7"/>
      <c r="GJ131" s="7"/>
      <c r="GK131" s="31" t="str">
        <f>IF(GJ131/(INDEX('Standards for Conversions'!$H$34:$H$73,MATCH(GI$3,'Standards for Conversions'!$A$34:$A$73,0)))=0,"",GJ131/(INDEX('Standards for Conversions'!$H$34:$H$73,MATCH(GI$3,'Standards for Conversions'!$A$34:$A$73,0))))</f>
        <v/>
      </c>
      <c r="GL131" s="10" t="s">
        <v>38</v>
      </c>
      <c r="GM131" s="7"/>
      <c r="GN131" s="7"/>
      <c r="GO131" s="31" t="str">
        <f>IF(GN131/(INDEX('Standards for Conversions'!$H$34:$H$73,MATCH(GM$3,'Standards for Conversions'!$A$34:$A$73,0)))=0,"",GN131/(INDEX('Standards for Conversions'!$H$34:$H$73,MATCH(GM$3,'Standards for Conversions'!$A$34:$A$73,0))))</f>
        <v/>
      </c>
      <c r="GP131" s="10" t="s">
        <v>38</v>
      </c>
      <c r="GQ131" s="7"/>
      <c r="GR131" s="7"/>
      <c r="GS131" s="31" t="str">
        <f>IF(GR131/(INDEX('Standards for Conversions'!$H$34:$H$73,MATCH(GQ$3,'Standards for Conversions'!$A$34:$A$73,0)))=0,"",GR131/(INDEX('Standards for Conversions'!$H$34:$H$73,MATCH(GQ$3,'Standards for Conversions'!$A$34:$A$73,0))))</f>
        <v/>
      </c>
      <c r="GT131" s="10" t="s">
        <v>38</v>
      </c>
      <c r="GU131" s="9"/>
      <c r="GV131" s="9"/>
      <c r="GW131" s="31" t="str">
        <f>IF(GV131/(INDEX('Standards for Conversions'!$H$34:$H$73,MATCH(GU$3,'Standards for Conversions'!$A$34:$A$73,0)))=0,"",GV131/(INDEX('Standards for Conversions'!$H$34:$H$73,MATCH(GU$3,'Standards for Conversions'!$A$34:$A$73,0))))</f>
        <v/>
      </c>
      <c r="GX131" s="10" t="s">
        <v>38</v>
      </c>
      <c r="GY131" s="7"/>
      <c r="GZ131" s="7"/>
      <c r="HA131" s="31" t="str">
        <f>IF(GZ131/(INDEX('Standards for Conversions'!$H$34:$H$73,MATCH(GY$3,'Standards for Conversions'!$A$34:$A$73,0)))=0,"",GZ131/(INDEX('Standards for Conversions'!$H$34:$H$73,MATCH(GY$3,'Standards for Conversions'!$A$34:$A$73,0))))</f>
        <v/>
      </c>
      <c r="HB131" s="10" t="s">
        <v>38</v>
      </c>
      <c r="HC131" s="7"/>
      <c r="HD131" s="7"/>
      <c r="HE131" s="31" t="str">
        <f>IF(HD131/(INDEX('Standards for Conversions'!$H$34:$H$73,MATCH(HC$3,'Standards for Conversions'!$A$34:$A$73,0)))=0,"",HD131/(INDEX('Standards for Conversions'!$H$34:$H$73,MATCH(HC$3,'Standards for Conversions'!$A$34:$A$73,0))))</f>
        <v/>
      </c>
      <c r="HF131" s="10" t="s">
        <v>38</v>
      </c>
      <c r="HG131" s="7"/>
      <c r="HH131" s="7"/>
      <c r="HI131" s="31" t="str">
        <f>IF(HH131/(INDEX('Standards for Conversions'!$H$34:$H$73,MATCH(HG$3,'Standards for Conversions'!$A$34:$A$73,0)))=0,"",HH131/(INDEX('Standards for Conversions'!$H$34:$H$73,MATCH(HG$3,'Standards for Conversions'!$A$34:$A$73,0))))</f>
        <v/>
      </c>
      <c r="HJ131" s="10" t="s">
        <v>38</v>
      </c>
      <c r="HK131" s="9"/>
      <c r="HL131" s="9"/>
      <c r="HM131" s="31" t="str">
        <f>IF(HL131/(INDEX('Standards for Conversions'!$H$34:$H$73,MATCH(HK$3,'Standards for Conversions'!$A$34:$A$73,0)))=0,"",HL131/(INDEX('Standards for Conversions'!$H$34:$H$73,MATCH(HK$3,'Standards for Conversions'!$A$34:$A$73,0))))</f>
        <v/>
      </c>
      <c r="HN131" s="10" t="s">
        <v>38</v>
      </c>
      <c r="HO131" s="7"/>
      <c r="HP131" s="7"/>
      <c r="HQ131" s="31" t="str">
        <f>IF(HP131/(INDEX('Standards for Conversions'!$H$34:$H$73,MATCH(HO$3,'Standards for Conversions'!$A$34:$A$73,0)))=0,"",HP131/(INDEX('Standards for Conversions'!$H$34:$H$73,MATCH(HO$3,'Standards for Conversions'!$A$34:$A$73,0))))</f>
        <v/>
      </c>
      <c r="HR131" s="33" t="s">
        <v>38</v>
      </c>
      <c r="HU131" s="31" t="str">
        <f>IF(HT131/(INDEX('Standards for Conversions'!$H$47:$H$73,MATCH(HS$3,'Standards for Conversions'!$A$47:$A$73,0)))=0,"",HT131/(INDEX('Standards for Conversions'!$H$47:$H$73,MATCH(HS$3,'Standards for Conversions'!$A$47:$A$73,0))))</f>
        <v/>
      </c>
      <c r="HV131" s="33" t="s">
        <v>38</v>
      </c>
      <c r="HY131" s="31" t="str">
        <f>IF(HX131/(INDEX('Standards for Conversions'!$H$47:$H$73,MATCH(HW$3,'Standards for Conversions'!$A$47:$A$73,0)))=0,"",HX131/(INDEX('Standards for Conversions'!$H$47:$H$73,MATCH(HW$3,'Standards for Conversions'!$A$47:$A$73,0))))</f>
        <v/>
      </c>
      <c r="HZ131" s="33"/>
      <c r="IA131" s="33"/>
      <c r="IB131" s="31" t="str">
        <f>IF(IA131/(INDEX('Standards for Conversions'!$H$47:$H$73,MATCH(HZ$3,'Standards for Conversions'!$A$47:$A$73,0)))=0,"",IA131/(INDEX('Standards for Conversions'!$H$47:$H$73,MATCH(HZ$3,'Standards for Conversions'!$A$47:$A$73,0))))</f>
        <v/>
      </c>
      <c r="IC131" s="33" t="s">
        <v>38</v>
      </c>
      <c r="ID131" s="29">
        <v>30</v>
      </c>
      <c r="IE131" s="29">
        <v>1200</v>
      </c>
      <c r="IF131" s="31">
        <f>IF(IE131/(INDEX('Standards for Conversions'!$H$47:$H$73,MATCH(ID$3,'Standards for Conversions'!$A$47:$A$73,0)))=0,"",IE131/(INDEX('Standards for Conversions'!$H$47:$H$73,MATCH(ID$3,'Standards for Conversions'!$A$47:$A$73,0))))</f>
        <v>174.29449465542714</v>
      </c>
      <c r="IG131" s="33" t="s">
        <v>38</v>
      </c>
      <c r="IJ131" s="31" t="str">
        <f>IF(II131/(INDEX('Standards for Conversions'!$H$47:$H$73,MATCH(IH$3,'Standards for Conversions'!$A$47:$A$73,0)))=0,"",II131/(INDEX('Standards for Conversions'!$H$47:$H$73,MATCH(IH$3,'Standards for Conversions'!$A$47:$A$73,0))))</f>
        <v/>
      </c>
      <c r="IK131" s="33" t="s">
        <v>38</v>
      </c>
      <c r="IN131" s="31" t="str">
        <f>IF(IM131/(INDEX('Standards for Conversions'!$H$47:$H$73,MATCH(IL$3,'Standards for Conversions'!$A$47:$A$73,0)))=0,"",IM131/(INDEX('Standards for Conversions'!$H$47:$H$73,MATCH(IL$3,'Standards for Conversions'!$A$47:$A$73,0))))</f>
        <v/>
      </c>
      <c r="IO131" s="33" t="s">
        <v>38</v>
      </c>
      <c r="IR131" s="31" t="str">
        <f>IF(IQ131/(INDEX('Standards for Conversions'!$H$47:$H$73,MATCH(IP$3,'Standards for Conversions'!$A$47:$A$73,0)))=0,"",IQ131/(INDEX('Standards for Conversions'!$H$47:$H$73,MATCH(IP$3,'Standards for Conversions'!$A$47:$A$73,0))))</f>
        <v/>
      </c>
      <c r="IS131" s="33" t="s">
        <v>38</v>
      </c>
      <c r="IT131" s="29">
        <v>25</v>
      </c>
      <c r="IU131" s="29">
        <v>1651</v>
      </c>
      <c r="IV131" s="31">
        <f>IF(IU131/(INDEX('Standards for Conversions'!$H$47:$H$73,MATCH(IT$3,'Standards for Conversions'!$A$47:$A$73,0)))=0,"",IU131/(INDEX('Standards for Conversions'!$H$47:$H$73,MATCH(IT$3,'Standards for Conversions'!$A$47:$A$73,0))))</f>
        <v>238.75148674900782</v>
      </c>
      <c r="IW131" s="33" t="s">
        <v>38</v>
      </c>
      <c r="IZ131" s="31" t="str">
        <f>IF(IY131/(INDEX('Standards for Conversions'!$H$47:$H$73,MATCH(IX$3,'Standards for Conversions'!$A$47:$A$73,0)))=0,"",IY131/(INDEX('Standards for Conversions'!$H$47:$H$73,MATCH(IX$3,'Standards for Conversions'!$A$47:$A$73,0))))</f>
        <v/>
      </c>
      <c r="JA131" s="33" t="s">
        <v>38</v>
      </c>
      <c r="JD131" s="31" t="str">
        <f>IF(JC131/(INDEX('Standards for Conversions'!$H$47:$H$73,MATCH(JB$3,'Standards for Conversions'!$A$47:$A$73,0)))=0,"",JC131/(INDEX('Standards for Conversions'!$H$47:$H$73,MATCH(JB$3,'Standards for Conversions'!$A$47:$A$73,0))))</f>
        <v/>
      </c>
      <c r="JE131" s="33" t="s">
        <v>38</v>
      </c>
      <c r="JH131" s="31" t="str">
        <f>IF(JG131/(INDEX('Standards for Conversions'!$H$47:$H$73,MATCH(JF$3,'Standards for Conversions'!$A$47:$A$73,0)))=0,"",JG131/(INDEX('Standards for Conversions'!$H$47:$H$73,MATCH(JF$3,'Standards for Conversions'!$A$47:$A$73,0))))</f>
        <v/>
      </c>
      <c r="JI131" s="48" t="s">
        <v>38</v>
      </c>
      <c r="JJ131" s="29">
        <v>30</v>
      </c>
      <c r="JK131" s="29">
        <v>3400</v>
      </c>
      <c r="JL131" s="31">
        <f>IF(JK131/(INDEX('Standards for Conversions'!$H$47:$H$73,MATCH(JJ$3,'Standards for Conversions'!$A$47:$A$73,0)))=0,"",JK131/(INDEX('Standards for Conversions'!$H$47:$H$73,MATCH(JJ$3,'Standards for Conversions'!$A$47:$A$73,0))))</f>
        <v>549.98466875235351</v>
      </c>
      <c r="JM131" s="33" t="s">
        <v>38</v>
      </c>
      <c r="JP131" s="31" t="str">
        <f>IF(JO131/(INDEX('Standards for Conversions'!$H$47:$H$73,MATCH(JN$3,'Standards for Conversions'!$A$47:$A$73,0)))=0,"",JO131/(INDEX('Standards for Conversions'!$H$47:$H$73,MATCH(JN$3,'Standards for Conversions'!$A$47:$A$73,0))))</f>
        <v/>
      </c>
      <c r="JQ131" s="33" t="s">
        <v>38</v>
      </c>
      <c r="JT131" s="31" t="str">
        <f>IF(JS131/(INDEX('Standards for Conversions'!$H$47:$H$73,MATCH(JR$3,'Standards for Conversions'!$A$47:$A$73,0)))=0,"",JS131/(INDEX('Standards for Conversions'!$H$47:$H$73,MATCH(JR$3,'Standards for Conversions'!$A$47:$A$73,0))))</f>
        <v/>
      </c>
      <c r="JU131" s="33" t="s">
        <v>38</v>
      </c>
      <c r="JX131" s="31" t="str">
        <f>IF(JW131/(INDEX('Standards for Conversions'!$H$47:$H$73,MATCH(JV$3,'Standards for Conversions'!$A$47:$A$73,0)))=0,"",JW131/(INDEX('Standards for Conversions'!$H$47:$H$73,MATCH(JV$3,'Standards for Conversions'!$A$47:$A$73,0))))</f>
        <v/>
      </c>
      <c r="JY131" s="33" t="s">
        <v>38</v>
      </c>
      <c r="JZ131" s="29">
        <v>25</v>
      </c>
      <c r="KA131" s="29">
        <v>3000</v>
      </c>
      <c r="KB131" s="31">
        <f>IF(KA131/(INDEX('Standards for Conversions'!$H$47:$H$73,MATCH(JZ$3,'Standards for Conversions'!$A$47:$A$73,0)))=0,"",KA131/(INDEX('Standards for Conversions'!$H$47:$H$73,MATCH(JZ$3,'Standards for Conversions'!$A$47:$A$73,0))))</f>
        <v>457.96767728339267</v>
      </c>
      <c r="KC131" s="33" t="s">
        <v>38</v>
      </c>
      <c r="KF131" s="31" t="str">
        <f>IF(KE131/(INDEX('Standards for Conversions'!$H$47:$H$73,MATCH(KD$3,'Standards for Conversions'!$A$47:$A$73,0)))=0,"",KE131/(INDEX('Standards for Conversions'!$H$47:$H$73,MATCH(KD$3,'Standards for Conversions'!$A$47:$A$73,0))))</f>
        <v/>
      </c>
      <c r="KG131" s="33" t="s">
        <v>38</v>
      </c>
      <c r="KJ131" s="31" t="str">
        <f>IF(KI131/(INDEX('Standards for Conversions'!$H$47:$H$73,MATCH(KH$3,'Standards for Conversions'!$A$47:$A$73,0)))=0,"",KI131/(INDEX('Standards for Conversions'!$H$47:$H$73,MATCH(KH$3,'Standards for Conversions'!$A$47:$A$73,0))))</f>
        <v/>
      </c>
      <c r="KK131" s="33" t="s">
        <v>38</v>
      </c>
      <c r="KN131" s="31" t="str">
        <f>IF(KM131/(INDEX('Standards for Conversions'!$H$47:$H$73,MATCH(KL$3,'Standards for Conversions'!$A$47:$A$73,0)))=0,"",KM131/(INDEX('Standards for Conversions'!$H$47:$H$73,MATCH(KL$3,'Standards for Conversions'!$A$47:$A$73,0))))</f>
        <v/>
      </c>
      <c r="KO131" s="33" t="s">
        <v>38</v>
      </c>
      <c r="KP131" s="29">
        <v>37</v>
      </c>
      <c r="KQ131" s="29">
        <v>3500</v>
      </c>
      <c r="KR131" s="31">
        <f>IF(KQ131/(INDEX('Standards for Conversions'!$H$47:$H$73,MATCH(KP$3,'Standards for Conversions'!$A$47:$A$73,0)))=0,"",KQ131/(INDEX('Standards for Conversions'!$H$47:$H$73,MATCH(KP$3,'Standards for Conversions'!$A$47:$A$73,0))))</f>
        <v>471.30654167028763</v>
      </c>
      <c r="KS131" s="33" t="s">
        <v>38</v>
      </c>
      <c r="KV131" s="31" t="str">
        <f>IF(KU131/(INDEX('Standards for Conversions'!$H$47:$H$73,MATCH(KT$3,'Standards for Conversions'!$A$47:$A$73,0)))=0,"",KU131/(INDEX('Standards for Conversions'!$H$47:$H$73,MATCH(KT$3,'Standards for Conversions'!$A$47:$A$73,0))))</f>
        <v/>
      </c>
      <c r="KW131" s="33" t="s">
        <v>38</v>
      </c>
      <c r="KZ131" s="31" t="str">
        <f>IF(KY131/(INDEX('Standards for Conversions'!$H$47:$H$73,MATCH(KX$3,'Standards for Conversions'!$A$47:$A$73,0)))=0,"",KY131/(INDEX('Standards for Conversions'!$H$47:$H$73,MATCH(KX$3,'Standards for Conversions'!$A$47:$A$73,0))))</f>
        <v/>
      </c>
      <c r="LA131" s="33" t="s">
        <v>38</v>
      </c>
      <c r="LD131" s="31" t="str">
        <f>IF(LC131/(INDEX('Standards for Conversions'!$H$47:$H$73,MATCH(LB$3,'Standards for Conversions'!$A$47:$A$73,0)))=0,"",LC131/(INDEX('Standards for Conversions'!$H$47:$H$73,MATCH(LB$3,'Standards for Conversions'!$A$47:$A$73,0))))</f>
        <v/>
      </c>
      <c r="LE131" s="48" t="s">
        <v>38</v>
      </c>
      <c r="LF131" s="29">
        <v>31</v>
      </c>
      <c r="LG131" s="29">
        <v>2665</v>
      </c>
      <c r="LH131" s="31">
        <f>IF(LG131/(INDEX('Standards for Conversions'!$H$47:$H$73,MATCH(LF$3,'Standards for Conversions'!$A$47:$A$73,0)))=0,"",LG131/(INDEX('Standards for Conversions'!$H$47:$H$73,MATCH(LF$3,'Standards for Conversions'!$A$47:$A$73,0))))</f>
        <v>324.10815032878531</v>
      </c>
      <c r="LL131" s="31" t="str">
        <f>IF(LK131/(INDEX('Standards for Conversions'!$H$47:$H$73,MATCH(LJ$3,'Standards for Conversions'!$A$47:$A$73,0)))=0,"",LK131/(INDEX('Standards for Conversions'!$H$47:$H$73,MATCH(LJ$3,'Standards for Conversions'!$A$47:$A$73,0))))</f>
        <v/>
      </c>
      <c r="LO131" s="31" t="str">
        <f>IF(LN131/(INDEX('Standards for Conversions'!$H$47:$H$73,MATCH(LM$3,'Standards for Conversions'!$A$47:$A$73,0)))=0,"",LN131/(INDEX('Standards for Conversions'!$H$47:$H$73,MATCH(LM$3,'Standards for Conversions'!$A$47:$A$73,0))))</f>
        <v/>
      </c>
      <c r="LR131" s="31" t="str">
        <f>IF(LQ131/(INDEX('Standards for Conversions'!$H$47:$H$73,MATCH(LP$3,'Standards for Conversions'!$A$47:$A$73,0)))=0,"",LQ131/(INDEX('Standards for Conversions'!$H$47:$H$73,MATCH(LP$3,'Standards for Conversions'!$A$47:$A$73,0))))</f>
        <v/>
      </c>
      <c r="LV131" s="31" t="str">
        <f>IF(LU131/(INDEX('Standards for Conversions'!$H$47:$H$73,MATCH(LT$3,'Standards for Conversions'!$A$47:$A$73,0)))=0,"",LU131/(INDEX('Standards for Conversions'!$H$47:$H$73,MATCH(LT$3,'Standards for Conversions'!$A$47:$A$73,0))))</f>
        <v/>
      </c>
      <c r="LY131" s="31" t="str">
        <f>IF(LX131/(INDEX('Standards for Conversions'!$H$47:$H$73,MATCH(LW$3,'Standards for Conversions'!$A$47:$A$73,0)))=0,"",LX131/(INDEX('Standards for Conversions'!$H$47:$H$73,MATCH(LW$3,'Standards for Conversions'!$A$47:$A$73,0))))</f>
        <v/>
      </c>
      <c r="MB131" s="31" t="str">
        <f>IF(MA131/(INDEX('Standards for Conversions'!$H$47:$H$73,MATCH(LZ$3,'Standards for Conversions'!$A$47:$A$73,0)))=0,"",MA131/(INDEX('Standards for Conversions'!$H$47:$H$73,MATCH(LZ$3,'Standards for Conversions'!$A$47:$A$73,0))))</f>
        <v/>
      </c>
      <c r="ME131" s="31" t="str">
        <f>IF(MD131/(INDEX('Standards for Conversions'!$H$47:$H$73,MATCH(MC$3,'Standards for Conversions'!$A$47:$A$73,0)))=0,"",MD131/(INDEX('Standards for Conversions'!$H$47:$H$73,MATCH(MC$3,'Standards for Conversions'!$A$47:$A$73,0))))</f>
        <v/>
      </c>
      <c r="MH131" s="31" t="str">
        <f>IF(MG131/(INDEX('Standards for Conversions'!$H$47:$H$73,MATCH(MF$3,'Standards for Conversions'!$A$47:$A$73,0)))=0,"",MG131/(INDEX('Standards for Conversions'!$H$47:$H$73,MATCH(MF$3,'Standards for Conversions'!$A$47:$A$73,0))))</f>
        <v/>
      </c>
      <c r="MK131" s="31" t="str">
        <f>IF(MJ131/(INDEX('Standards for Conversions'!$H$47:$H$73,MATCH(MI$3,'Standards for Conversions'!$A$47:$A$73,0)))=0,"",MJ131/(INDEX('Standards for Conversions'!$H$47:$H$73,MATCH(MI$3,'Standards for Conversions'!$A$47:$A$73,0))))</f>
        <v/>
      </c>
      <c r="MN131" s="31" t="str">
        <f>IF(MM131/(INDEX('Standards for Conversions'!$H$47:$H$73,MATCH(ML$3,'Standards for Conversions'!$A$47:$A$73,0)))=0,"",MM131/(INDEX('Standards for Conversions'!$H$47:$H$73,MATCH(ML$3,'Standards for Conversions'!$A$47:$A$73,0))))</f>
        <v/>
      </c>
      <c r="MR131" s="31" t="str">
        <f>IF(MQ131/(INDEX('Standards for Conversions'!$H$47:$H$73,MATCH(MP$3,'Standards for Conversions'!$A$47:$A$73,0)))=0,"",MQ131/(INDEX('Standards for Conversions'!$H$47:$H$73,MATCH(MP$3,'Standards for Conversions'!$A$47:$A$73,0))))</f>
        <v/>
      </c>
    </row>
    <row r="132" spans="1:356" hidden="1" x14ac:dyDescent="0.3">
      <c r="A132" s="103" t="s">
        <v>297</v>
      </c>
      <c r="B132" s="10" t="s">
        <v>38</v>
      </c>
      <c r="C132" s="7"/>
      <c r="D132" s="7"/>
      <c r="E132" s="31" t="str">
        <f>IF(D132/(INDEX('Standards for Conversions'!$H$34:$H$73,MATCH(C$3,'Standards for Conversions'!$A$34:$A$73,0)))=0,"",D132/(INDEX('Standards for Conversions'!$H$34:$H$73,MATCH(C$3,'Standards for Conversions'!$A$34:$A$73,0))))</f>
        <v/>
      </c>
      <c r="F132" s="10" t="s">
        <v>38</v>
      </c>
      <c r="G132" s="7"/>
      <c r="H132" s="7"/>
      <c r="I132" s="31" t="str">
        <f>IF(H132/(INDEX('Standards for Conversions'!$H$34:$H$73,MATCH(G$3,'Standards for Conversions'!$A$34:$A$73,0)))=0,"",H132/(INDEX('Standards for Conversions'!$H$34:$H$73,MATCH(G$3,'Standards for Conversions'!$A$34:$A$73,0))))</f>
        <v/>
      </c>
      <c r="J132" s="10" t="s">
        <v>38</v>
      </c>
      <c r="K132" s="9"/>
      <c r="L132" s="9"/>
      <c r="M132" s="31" t="str">
        <f>IF(L132/(INDEX('Standards for Conversions'!$H$34:$H$73,MATCH(K$3,'Standards for Conversions'!$A$34:$A$73,0)))=0,"",L132/(INDEX('Standards for Conversions'!$H$34:$H$73,MATCH(K$3,'Standards for Conversions'!$A$34:$A$73,0))))</f>
        <v/>
      </c>
      <c r="N132" s="10" t="s">
        <v>38</v>
      </c>
      <c r="O132" s="7"/>
      <c r="P132" s="7"/>
      <c r="Q132" s="31" t="str">
        <f>IF(P132/(INDEX('Standards for Conversions'!$H$34:$H$73,MATCH(O$3,'Standards for Conversions'!$A$34:$A$73,0)))=0,"",P132/(INDEX('Standards for Conversions'!$H$34:$H$73,MATCH(O$3,'Standards for Conversions'!$A$34:$A$73,0))))</f>
        <v/>
      </c>
      <c r="R132" s="10" t="s">
        <v>38</v>
      </c>
      <c r="S132" s="7"/>
      <c r="T132" s="7"/>
      <c r="U132" s="31" t="str">
        <f>IF(T132/(INDEX('Standards for Conversions'!$H$34:$H$73,MATCH(S$3,'Standards for Conversions'!$A$34:$A$73,0)))=0,"",T132/(INDEX('Standards for Conversions'!$H$34:$H$73,MATCH(S$3,'Standards for Conversions'!$A$34:$A$73,0))))</f>
        <v/>
      </c>
      <c r="V132" s="10" t="s">
        <v>38</v>
      </c>
      <c r="W132" s="7"/>
      <c r="X132" s="7"/>
      <c r="Y132" s="31" t="str">
        <f>IF(X132/(INDEX('Standards for Conversions'!$H$34:$H$73,MATCH(W$3,'Standards for Conversions'!$A$34:$A$73,0)))=0,"",X132/(INDEX('Standards for Conversions'!$H$34:$H$73,MATCH(W$3,'Standards for Conversions'!$A$34:$A$73,0))))</f>
        <v/>
      </c>
      <c r="Z132" s="10" t="s">
        <v>38</v>
      </c>
      <c r="AA132" s="9"/>
      <c r="AB132" s="9"/>
      <c r="AC132" s="31" t="str">
        <f>IF(AB132/(INDEX('Standards for Conversions'!$H$34:$H$73,MATCH(AA$3,'Standards for Conversions'!$A$34:$A$73,0)))=0,"",AB132/(INDEX('Standards for Conversions'!$H$34:$H$73,MATCH(AA$3,'Standards for Conversions'!$A$34:$A$73,0))))</f>
        <v/>
      </c>
      <c r="AD132" s="10" t="s">
        <v>38</v>
      </c>
      <c r="AE132" s="7"/>
      <c r="AF132" s="7"/>
      <c r="AG132" s="31" t="str">
        <f>IF(AF132/(INDEX('Standards for Conversions'!$H$34:$H$73,MATCH(AE$3,'Standards for Conversions'!$A$34:$A$73,0)))=0,"",AF132/(INDEX('Standards for Conversions'!$H$34:$H$73,MATCH(AE$3,'Standards for Conversions'!$A$34:$A$73,0))))</f>
        <v/>
      </c>
      <c r="AH132" s="10" t="s">
        <v>38</v>
      </c>
      <c r="AI132" s="7"/>
      <c r="AJ132" s="7"/>
      <c r="AK132" s="31" t="str">
        <f>IF(AJ132/(INDEX('Standards for Conversions'!$H$34:$H$73,MATCH(AI$3,'Standards for Conversions'!$A$34:$A$73,0)))=0,"",AJ132/(INDEX('Standards for Conversions'!$H$34:$H$73,MATCH(AI$3,'Standards for Conversions'!$A$34:$A$73,0))))</f>
        <v/>
      </c>
      <c r="AL132" s="10" t="s">
        <v>38</v>
      </c>
      <c r="AM132" s="7"/>
      <c r="AN132" s="7"/>
      <c r="AO132" s="31" t="str">
        <f>IF(AN132/(INDEX('Standards for Conversions'!$H$34:$H$73,MATCH(AM$3,'Standards for Conversions'!$A$34:$A$73,0)))=0,"",AN132/(INDEX('Standards for Conversions'!$H$34:$H$73,MATCH(AM$3,'Standards for Conversions'!$A$34:$A$73,0))))</f>
        <v/>
      </c>
      <c r="AP132" s="10" t="s">
        <v>38</v>
      </c>
      <c r="AQ132" s="9"/>
      <c r="AR132" s="9"/>
      <c r="AS132" s="31" t="str">
        <f>IF(AR132/(INDEX('Standards for Conversions'!$H$34:$H$73,MATCH(AQ$3,'Standards for Conversions'!$A$34:$A$73,0)))=0,"",AR132/(INDEX('Standards for Conversions'!$H$34:$H$73,MATCH(AQ$3,'Standards for Conversions'!$A$34:$A$73,0))))</f>
        <v/>
      </c>
      <c r="AT132" s="10" t="s">
        <v>38</v>
      </c>
      <c r="AU132" s="7"/>
      <c r="AV132" s="7"/>
      <c r="AW132" s="31" t="str">
        <f>IF(AV132/(INDEX('Standards for Conversions'!$H$34:$H$73,MATCH(AU$3,'Standards for Conversions'!$A$34:$A$73,0)))=0,"",AV132/(INDEX('Standards for Conversions'!$H$34:$H$73,MATCH(AU$3,'Standards for Conversions'!$A$34:$A$73,0))))</f>
        <v/>
      </c>
      <c r="AX132" s="10" t="s">
        <v>38</v>
      </c>
      <c r="AY132" s="7"/>
      <c r="AZ132" s="7"/>
      <c r="BA132" s="31" t="str">
        <f>IF(AZ132/(INDEX('Standards for Conversions'!$H$34:$H$73,MATCH(AY$3,'Standards for Conversions'!$A$34:$A$73,0)))=0,"",AZ132/(INDEX('Standards for Conversions'!$H$34:$H$73,MATCH(AY$3,'Standards for Conversions'!$A$34:$A$73,0))))</f>
        <v/>
      </c>
      <c r="BB132" s="10" t="s">
        <v>38</v>
      </c>
      <c r="BC132" s="7"/>
      <c r="BD132" s="7"/>
      <c r="BE132" s="31" t="str">
        <f>IF(BD132/(INDEX('Standards for Conversions'!$H$34:$H$73,MATCH(BC$3,'Standards for Conversions'!$A$34:$A$73,0)))=0,"",BD132/(INDEX('Standards for Conversions'!$H$34:$H$73,MATCH(BC$3,'Standards for Conversions'!$A$34:$A$73,0))))</f>
        <v/>
      </c>
      <c r="BF132" s="10" t="s">
        <v>38</v>
      </c>
      <c r="BG132" s="9"/>
      <c r="BH132" s="9"/>
      <c r="BI132" s="31" t="str">
        <f>IF(BH132/(INDEX('Standards for Conversions'!$H$34:$H$73,MATCH(BG$3,'Standards for Conversions'!$A$34:$A$73,0)))=0,"",BH132/(INDEX('Standards for Conversions'!$H$34:$H$73,MATCH(BG$3,'Standards for Conversions'!$A$34:$A$73,0))))</f>
        <v/>
      </c>
      <c r="BJ132" s="10" t="s">
        <v>38</v>
      </c>
      <c r="BK132" s="7"/>
      <c r="BL132" s="7"/>
      <c r="BM132" s="31" t="str">
        <f>IF(BL132/(INDEX('Standards for Conversions'!$H$34:$H$73,MATCH(BK$3,'Standards for Conversions'!$A$34:$A$73,0)))=0,"",BL132/(INDEX('Standards for Conversions'!$H$34:$H$73,MATCH(BK$3,'Standards for Conversions'!$A$34:$A$73,0))))</f>
        <v/>
      </c>
      <c r="BN132" s="10" t="s">
        <v>38</v>
      </c>
      <c r="BO132" s="7"/>
      <c r="BP132" s="7"/>
      <c r="BQ132" s="31" t="str">
        <f>IF(BP132/(INDEX('Standards for Conversions'!$H$34:$H$73,MATCH(BO$3,'Standards for Conversions'!$A$34:$A$73,0)))=0,"",BP132/(INDEX('Standards for Conversions'!$H$34:$H$73,MATCH(BO$3,'Standards for Conversions'!$A$34:$A$73,0))))</f>
        <v/>
      </c>
      <c r="BR132" s="10" t="s">
        <v>38</v>
      </c>
      <c r="BS132" s="7"/>
      <c r="BT132" s="7"/>
      <c r="BU132" s="31" t="str">
        <f>IF(BT132/(INDEX('Standards for Conversions'!$H$34:$H$73,MATCH(BS$3,'Standards for Conversions'!$A$34:$A$73,0)))=0,"",BT132/(INDEX('Standards for Conversions'!$H$34:$H$73,MATCH(BS$3,'Standards for Conversions'!$A$34:$A$73,0))))</f>
        <v/>
      </c>
      <c r="BV132" s="10" t="s">
        <v>38</v>
      </c>
      <c r="BW132" s="9"/>
      <c r="BX132" s="9"/>
      <c r="BY132" s="31" t="str">
        <f>IF(BX132/(INDEX('Standards for Conversions'!$H$34:$H$73,MATCH(BW$3,'Standards for Conversions'!$A$34:$A$73,0)))=0,"",BX132/(INDEX('Standards for Conversions'!$H$34:$H$73,MATCH(BW$3,'Standards for Conversions'!$A$34:$A$73,0))))</f>
        <v/>
      </c>
      <c r="BZ132" s="10" t="s">
        <v>38</v>
      </c>
      <c r="CA132" s="7"/>
      <c r="CB132" s="7"/>
      <c r="CC132" s="31" t="str">
        <f>IF(CB132/(INDEX('Standards for Conversions'!$H$34:$H$73,MATCH(CA$3,'Standards for Conversions'!$A$34:$A$73,0)))=0,"",CB132/(INDEX('Standards for Conversions'!$H$34:$H$73,MATCH(CA$3,'Standards for Conversions'!$A$34:$A$73,0))))</f>
        <v/>
      </c>
      <c r="CD132" s="10" t="s">
        <v>38</v>
      </c>
      <c r="CE132" s="7"/>
      <c r="CF132" s="7"/>
      <c r="CG132" s="31" t="str">
        <f>IF(CF132/(INDEX('Standards for Conversions'!$H$34:$H$73,MATCH(CE$3,'Standards for Conversions'!$A$34:$A$73,0)))=0,"",CF132/(INDEX('Standards for Conversions'!$H$34:$H$73,MATCH(CE$3,'Standards for Conversions'!$A$34:$A$73,0))))</f>
        <v/>
      </c>
      <c r="CH132" s="10" t="s">
        <v>38</v>
      </c>
      <c r="CI132" s="7"/>
      <c r="CJ132" s="7"/>
      <c r="CK132" s="31" t="str">
        <f>IF(CJ132/(INDEX('Standards for Conversions'!$H$34:$H$73,MATCH(CI$3,'Standards for Conversions'!$A$34:$A$73,0)))=0,"",CJ132/(INDEX('Standards for Conversions'!$H$34:$H$73,MATCH(CI$3,'Standards for Conversions'!$A$34:$A$73,0))))</f>
        <v/>
      </c>
      <c r="CL132" s="10" t="s">
        <v>38</v>
      </c>
      <c r="CM132" s="9"/>
      <c r="CN132" s="9"/>
      <c r="CO132" s="31" t="str">
        <f>IF(CN132/(INDEX('Standards for Conversions'!$H$34:$H$73,MATCH(CM$3,'Standards for Conversions'!$A$34:$A$73,0)))=0,"",CN132/(INDEX('Standards for Conversions'!$H$34:$H$73,MATCH(CM$3,'Standards for Conversions'!$A$34:$A$73,0))))</f>
        <v/>
      </c>
      <c r="CP132" s="10" t="s">
        <v>38</v>
      </c>
      <c r="CQ132" s="7"/>
      <c r="CR132" s="7"/>
      <c r="CS132" s="31" t="str">
        <f>IF(CR132/(INDEX('Standards for Conversions'!$H$34:$H$73,MATCH(CQ$3,'Standards for Conversions'!$A$34:$A$73,0)))=0,"",CR132/(INDEX('Standards for Conversions'!$H$34:$H$73,MATCH(CQ$3,'Standards for Conversions'!$A$34:$A$73,0))))</f>
        <v/>
      </c>
      <c r="CT132" s="10" t="s">
        <v>38</v>
      </c>
      <c r="CU132" s="7"/>
      <c r="CV132" s="7"/>
      <c r="CW132" s="31" t="str">
        <f>IF(CV132/(INDEX('Standards for Conversions'!$H$34:$H$73,MATCH(CU$3,'Standards for Conversions'!$A$34:$A$73,0)))=0,"",CV132/(INDEX('Standards for Conversions'!$H$34:$H$73,MATCH(CU$3,'Standards for Conversions'!$A$34:$A$73,0))))</f>
        <v/>
      </c>
      <c r="CX132" s="10" t="s">
        <v>38</v>
      </c>
      <c r="CY132" s="7"/>
      <c r="CZ132" s="7"/>
      <c r="DA132" s="31" t="str">
        <f>IF(CZ132/(INDEX('Standards for Conversions'!$H$34:$H$73,MATCH(CY$3,'Standards for Conversions'!$A$34:$A$73,0)))=0,"",CZ132/(INDEX('Standards for Conversions'!$H$34:$H$73,MATCH(CY$3,'Standards for Conversions'!$A$34:$A$73,0))))</f>
        <v/>
      </c>
      <c r="DB132" s="10" t="s">
        <v>38</v>
      </c>
      <c r="DC132" s="9"/>
      <c r="DD132" s="9"/>
      <c r="DE132" s="31" t="str">
        <f>IF(DD132/(INDEX('Standards for Conversions'!$H$34:$H$73,MATCH(DC$3,'Standards for Conversions'!$A$34:$A$73,0)))=0,"",DD132/(INDEX('Standards for Conversions'!$H$34:$H$73,MATCH(DC$3,'Standards for Conversions'!$A$34:$A$73,0))))</f>
        <v/>
      </c>
      <c r="DF132" s="10" t="s">
        <v>38</v>
      </c>
      <c r="DG132" s="7"/>
      <c r="DH132" s="7"/>
      <c r="DI132" s="31" t="str">
        <f>IF(DH132/(INDEX('Standards for Conversions'!$H$34:$H$73,MATCH(DG$3,'Standards for Conversions'!$A$34:$A$73,0)))=0,"",DH132/(INDEX('Standards for Conversions'!$H$34:$H$73,MATCH(DG$3,'Standards for Conversions'!$A$34:$A$73,0))))</f>
        <v/>
      </c>
      <c r="DJ132" s="10" t="s">
        <v>38</v>
      </c>
      <c r="DK132" s="7"/>
      <c r="DL132" s="7"/>
      <c r="DM132" s="31" t="str">
        <f>IF(DL132/(INDEX('Standards for Conversions'!$H$34:$H$73,MATCH(DK$3,'Standards for Conversions'!$A$34:$A$73,0)))=0,"",DL132/(INDEX('Standards for Conversions'!$H$34:$H$73,MATCH(DK$3,'Standards for Conversions'!$A$34:$A$73,0))))</f>
        <v/>
      </c>
      <c r="DN132" s="10" t="s">
        <v>38</v>
      </c>
      <c r="DO132" s="7"/>
      <c r="DP132" s="7"/>
      <c r="DQ132" s="31" t="str">
        <f>IF(DP132/(INDEX('Standards for Conversions'!$H$34:$H$73,MATCH(DO$3,'Standards for Conversions'!$A$34:$A$73,0)))=0,"",DP132/(INDEX('Standards for Conversions'!$H$34:$H$73,MATCH(DO$3,'Standards for Conversions'!$A$34:$A$73,0))))</f>
        <v/>
      </c>
      <c r="DR132" s="10" t="s">
        <v>38</v>
      </c>
      <c r="DS132" s="9"/>
      <c r="DT132" s="9"/>
      <c r="DU132" s="31" t="str">
        <f>IF(DT132/(INDEX('Standards for Conversions'!$H$34:$H$73,MATCH(DS$3,'Standards for Conversions'!$A$34:$A$73,0)))=0,"",DT132/(INDEX('Standards for Conversions'!$H$34:$H$73,MATCH(DS$3,'Standards for Conversions'!$A$34:$A$73,0))))</f>
        <v/>
      </c>
      <c r="DV132" s="10" t="s">
        <v>38</v>
      </c>
      <c r="DW132" s="7"/>
      <c r="DX132" s="7"/>
      <c r="DY132" s="31" t="str">
        <f>IF(DX132/(INDEX('Standards for Conversions'!$H$34:$H$73,MATCH(DW$3,'Standards for Conversions'!$A$34:$A$73,0)))=0,"",DX132/(INDEX('Standards for Conversions'!$H$34:$H$73,MATCH(DW$3,'Standards for Conversions'!$A$34:$A$73,0))))</f>
        <v/>
      </c>
      <c r="DZ132" s="10" t="s">
        <v>38</v>
      </c>
      <c r="EA132" s="7"/>
      <c r="EB132" s="7"/>
      <c r="EC132" s="31" t="str">
        <f>IF(EB132/(INDEX('Standards for Conversions'!$H$34:$H$73,MATCH(EA$3,'Standards for Conversions'!$A$34:$A$73,0)))=0,"",EB132/(INDEX('Standards for Conversions'!$H$34:$H$73,MATCH(EA$3,'Standards for Conversions'!$A$34:$A$73,0))))</f>
        <v/>
      </c>
      <c r="ED132" s="10" t="s">
        <v>38</v>
      </c>
      <c r="EE132" s="7"/>
      <c r="EF132" s="7"/>
      <c r="EG132" s="31" t="str">
        <f>IF(EF132/(INDEX('Standards for Conversions'!$H$34:$H$73,MATCH(EE$3,'Standards for Conversions'!$A$34:$A$73,0)))=0,"",EF132/(INDEX('Standards for Conversions'!$H$34:$H$73,MATCH(EE$3,'Standards for Conversions'!$A$34:$A$73,0))))</f>
        <v/>
      </c>
      <c r="EH132" s="10" t="s">
        <v>38</v>
      </c>
      <c r="EI132" s="9"/>
      <c r="EJ132" s="9"/>
      <c r="EK132" s="31" t="str">
        <f>IF(EJ132/(INDEX('Standards for Conversions'!$H$34:$H$73,MATCH(EI$3,'Standards for Conversions'!$A$34:$A$73,0)))=0,"",EJ132/(INDEX('Standards for Conversions'!$H$34:$H$73,MATCH(EI$3,'Standards for Conversions'!$A$34:$A$73,0))))</f>
        <v/>
      </c>
      <c r="EL132" s="10" t="s">
        <v>38</v>
      </c>
      <c r="EM132" s="7"/>
      <c r="EN132" s="7"/>
      <c r="EO132" s="31" t="str">
        <f>IF(EN132/(INDEX('Standards for Conversions'!$H$34:$H$73,MATCH(EM$3,'Standards for Conversions'!$A$34:$A$73,0)))=0,"",EN132/(INDEX('Standards for Conversions'!$H$34:$H$73,MATCH(EM$3,'Standards for Conversions'!$A$34:$A$73,0))))</f>
        <v/>
      </c>
      <c r="EP132" s="10" t="s">
        <v>38</v>
      </c>
      <c r="EQ132" s="7"/>
      <c r="ER132" s="7"/>
      <c r="ES132" s="31" t="str">
        <f>IF(ER132/(INDEX('Standards for Conversions'!$H$34:$H$73,MATCH(EQ$3,'Standards for Conversions'!$A$34:$A$73,0)))=0,"",ER132/(INDEX('Standards for Conversions'!$H$34:$H$73,MATCH(EQ$3,'Standards for Conversions'!$A$34:$A$73,0))))</f>
        <v/>
      </c>
      <c r="ET132" s="10" t="s">
        <v>38</v>
      </c>
      <c r="EU132" s="7"/>
      <c r="EV132" s="7"/>
      <c r="EW132" s="31" t="str">
        <f>IF(EV132/(INDEX('Standards for Conversions'!$H$34:$H$73,MATCH(EU$3,'Standards for Conversions'!$A$34:$A$73,0)))=0,"",EV132/(INDEX('Standards for Conversions'!$H$34:$H$73,MATCH(EU$3,'Standards for Conversions'!$A$34:$A$73,0))))</f>
        <v/>
      </c>
      <c r="EX132" s="10" t="s">
        <v>38</v>
      </c>
      <c r="EY132" s="9"/>
      <c r="EZ132" s="9"/>
      <c r="FA132" s="31" t="str">
        <f>IF(EZ132/(INDEX('Standards for Conversions'!$H$34:$H$73,MATCH(EY$3,'Standards for Conversions'!$A$34:$A$73,0)))=0,"",EZ132/(INDEX('Standards for Conversions'!$H$34:$H$73,MATCH(EY$3,'Standards for Conversions'!$A$34:$A$73,0))))</f>
        <v/>
      </c>
      <c r="FB132" s="10" t="s">
        <v>38</v>
      </c>
      <c r="FC132" s="7"/>
      <c r="FD132" s="7"/>
      <c r="FE132" s="31" t="str">
        <f>IF(FD132/(INDEX('Standards for Conversions'!$H$34:$H$73,MATCH(FC$3,'Standards for Conversions'!$A$34:$A$73,0)))=0,"",FD132/(INDEX('Standards for Conversions'!$H$34:$H$73,MATCH(FC$3,'Standards for Conversions'!$A$34:$A$73,0))))</f>
        <v/>
      </c>
      <c r="FF132" s="10" t="s">
        <v>38</v>
      </c>
      <c r="FG132" s="7"/>
      <c r="FH132" s="7"/>
      <c r="FI132" s="31" t="str">
        <f>IF(FH132/(INDEX('Standards for Conversions'!$H$34:$H$73,MATCH(FG$3,'Standards for Conversions'!$A$34:$A$73,0)))=0,"",FH132/(INDEX('Standards for Conversions'!$H$34:$H$73,MATCH(FG$3,'Standards for Conversions'!$A$34:$A$73,0))))</f>
        <v/>
      </c>
      <c r="FJ132" s="10" t="s">
        <v>38</v>
      </c>
      <c r="FK132" s="7"/>
      <c r="FL132" s="7"/>
      <c r="FM132" s="31" t="str">
        <f>IF(FL132/(INDEX('Standards for Conversions'!$H$34:$H$73,MATCH(FK$3,'Standards for Conversions'!$A$34:$A$73,0)))=0,"",FL132/(INDEX('Standards for Conversions'!$H$34:$H$73,MATCH(FK$3,'Standards for Conversions'!$A$34:$A$73,0))))</f>
        <v/>
      </c>
      <c r="FN132" s="10" t="s">
        <v>38</v>
      </c>
      <c r="FO132" s="9"/>
      <c r="FP132" s="9"/>
      <c r="FQ132" s="31" t="str">
        <f>IF(FP132/(INDEX('Standards for Conversions'!$H$34:$H$73,MATCH(FO$3,'Standards for Conversions'!$A$34:$A$73,0)))=0,"",FP132/(INDEX('Standards for Conversions'!$H$34:$H$73,MATCH(FO$3,'Standards for Conversions'!$A$34:$A$73,0))))</f>
        <v/>
      </c>
      <c r="FR132" s="10" t="s">
        <v>38</v>
      </c>
      <c r="FS132" s="7"/>
      <c r="FT132" s="7"/>
      <c r="FU132" s="31" t="str">
        <f>IF(FT132/(INDEX('Standards for Conversions'!$H$34:$H$73,MATCH(FS$3,'Standards for Conversions'!$A$34:$A$73,0)))=0,"",FT132/(INDEX('Standards for Conversions'!$H$34:$H$73,MATCH(FS$3,'Standards for Conversions'!$A$34:$A$73,0))))</f>
        <v/>
      </c>
      <c r="FV132" s="10" t="s">
        <v>38</v>
      </c>
      <c r="FW132" s="7"/>
      <c r="FX132" s="7"/>
      <c r="FY132" s="31" t="str">
        <f>IF(FX132/(INDEX('Standards for Conversions'!$H$34:$H$73,MATCH(FW$3,'Standards for Conversions'!$A$34:$A$73,0)))=0,"",FX132/(INDEX('Standards for Conversions'!$H$34:$H$73,MATCH(FW$3,'Standards for Conversions'!$A$34:$A$73,0))))</f>
        <v/>
      </c>
      <c r="FZ132" s="10" t="s">
        <v>38</v>
      </c>
      <c r="GA132" s="7"/>
      <c r="GB132" s="7"/>
      <c r="GC132" s="31" t="str">
        <f>IF(GB132/(INDEX('Standards for Conversions'!$H$34:$H$73,MATCH(GA$3,'Standards for Conversions'!$A$34:$A$73,0)))=0,"",GB132/(INDEX('Standards for Conversions'!$H$34:$H$73,MATCH(GA$3,'Standards for Conversions'!$A$34:$A$73,0))))</f>
        <v/>
      </c>
      <c r="GD132" s="10" t="s">
        <v>38</v>
      </c>
      <c r="GE132" s="9"/>
      <c r="GF132" s="9"/>
      <c r="GG132" s="31" t="str">
        <f>IF(GF132/(INDEX('Standards for Conversions'!$H$34:$H$73,MATCH(GE$3,'Standards for Conversions'!$A$34:$A$73,0)))=0,"",GF132/(INDEX('Standards for Conversions'!$H$34:$H$73,MATCH(GE$3,'Standards for Conversions'!$A$34:$A$73,0))))</f>
        <v/>
      </c>
      <c r="GH132" s="10" t="s">
        <v>38</v>
      </c>
      <c r="GI132" s="7"/>
      <c r="GJ132" s="7"/>
      <c r="GK132" s="31" t="str">
        <f>IF(GJ132/(INDEX('Standards for Conversions'!$H$34:$H$73,MATCH(GI$3,'Standards for Conversions'!$A$34:$A$73,0)))=0,"",GJ132/(INDEX('Standards for Conversions'!$H$34:$H$73,MATCH(GI$3,'Standards for Conversions'!$A$34:$A$73,0))))</f>
        <v/>
      </c>
      <c r="GL132" s="10" t="s">
        <v>38</v>
      </c>
      <c r="GM132" s="7"/>
      <c r="GN132" s="7"/>
      <c r="GO132" s="31" t="str">
        <f>IF(GN132/(INDEX('Standards for Conversions'!$H$34:$H$73,MATCH(GM$3,'Standards for Conversions'!$A$34:$A$73,0)))=0,"",GN132/(INDEX('Standards for Conversions'!$H$34:$H$73,MATCH(GM$3,'Standards for Conversions'!$A$34:$A$73,0))))</f>
        <v/>
      </c>
      <c r="GP132" s="10" t="s">
        <v>38</v>
      </c>
      <c r="GQ132" s="7"/>
      <c r="GR132" s="7"/>
      <c r="GS132" s="31" t="str">
        <f>IF(GR132/(INDEX('Standards for Conversions'!$H$34:$H$73,MATCH(GQ$3,'Standards for Conversions'!$A$34:$A$73,0)))=0,"",GR132/(INDEX('Standards for Conversions'!$H$34:$H$73,MATCH(GQ$3,'Standards for Conversions'!$A$34:$A$73,0))))</f>
        <v/>
      </c>
      <c r="GT132" s="10" t="s">
        <v>38</v>
      </c>
      <c r="GU132" s="9"/>
      <c r="GV132" s="9"/>
      <c r="GW132" s="31" t="str">
        <f>IF(GV132/(INDEX('Standards for Conversions'!$H$34:$H$73,MATCH(GU$3,'Standards for Conversions'!$A$34:$A$73,0)))=0,"",GV132/(INDEX('Standards for Conversions'!$H$34:$H$73,MATCH(GU$3,'Standards for Conversions'!$A$34:$A$73,0))))</f>
        <v/>
      </c>
      <c r="GX132" s="10" t="s">
        <v>38</v>
      </c>
      <c r="GY132" s="7"/>
      <c r="GZ132" s="7"/>
      <c r="HA132" s="31" t="str">
        <f>IF(GZ132/(INDEX('Standards for Conversions'!$H$34:$H$73,MATCH(GY$3,'Standards for Conversions'!$A$34:$A$73,0)))=0,"",GZ132/(INDEX('Standards for Conversions'!$H$34:$H$73,MATCH(GY$3,'Standards for Conversions'!$A$34:$A$73,0))))</f>
        <v/>
      </c>
      <c r="HB132" s="10" t="s">
        <v>38</v>
      </c>
      <c r="HC132" s="7"/>
      <c r="HD132" s="7"/>
      <c r="HE132" s="31" t="str">
        <f>IF(HD132/(INDEX('Standards for Conversions'!$H$34:$H$73,MATCH(HC$3,'Standards for Conversions'!$A$34:$A$73,0)))=0,"",HD132/(INDEX('Standards for Conversions'!$H$34:$H$73,MATCH(HC$3,'Standards for Conversions'!$A$34:$A$73,0))))</f>
        <v/>
      </c>
      <c r="HF132" s="10" t="s">
        <v>38</v>
      </c>
      <c r="HG132" s="7"/>
      <c r="HH132" s="7"/>
      <c r="HI132" s="31" t="str">
        <f>IF(HH132/(INDEX('Standards for Conversions'!$H$34:$H$73,MATCH(HG$3,'Standards for Conversions'!$A$34:$A$73,0)))=0,"",HH132/(INDEX('Standards for Conversions'!$H$34:$H$73,MATCH(HG$3,'Standards for Conversions'!$A$34:$A$73,0))))</f>
        <v/>
      </c>
      <c r="HJ132" s="10" t="s">
        <v>38</v>
      </c>
      <c r="HK132" s="9"/>
      <c r="HL132" s="9"/>
      <c r="HM132" s="31" t="str">
        <f>IF(HL132/(INDEX('Standards for Conversions'!$H$34:$H$73,MATCH(HK$3,'Standards for Conversions'!$A$34:$A$73,0)))=0,"",HL132/(INDEX('Standards for Conversions'!$H$34:$H$73,MATCH(HK$3,'Standards for Conversions'!$A$34:$A$73,0))))</f>
        <v/>
      </c>
      <c r="HN132" s="10" t="s">
        <v>38</v>
      </c>
      <c r="HO132" s="7"/>
      <c r="HP132" s="7"/>
      <c r="HQ132" s="31" t="str">
        <f>IF(HP132/(INDEX('Standards for Conversions'!$H$34:$H$73,MATCH(HO$3,'Standards for Conversions'!$A$34:$A$73,0)))=0,"",HP132/(INDEX('Standards for Conversions'!$H$34:$H$73,MATCH(HO$3,'Standards for Conversions'!$A$34:$A$73,0))))</f>
        <v/>
      </c>
      <c r="HR132" s="33" t="s">
        <v>38</v>
      </c>
      <c r="HU132" s="31" t="str">
        <f>IF(HT132/(INDEX('Standards for Conversions'!$H$47:$H$73,MATCH(HS$3,'Standards for Conversions'!$A$47:$A$73,0)))=0,"",HT132/(INDEX('Standards for Conversions'!$H$47:$H$73,MATCH(HS$3,'Standards for Conversions'!$A$47:$A$73,0))))</f>
        <v/>
      </c>
      <c r="HV132" s="33" t="s">
        <v>38</v>
      </c>
      <c r="HY132" s="31" t="str">
        <f>IF(HX132/(INDEX('Standards for Conversions'!$H$47:$H$73,MATCH(HW$3,'Standards for Conversions'!$A$47:$A$73,0)))=0,"",HX132/(INDEX('Standards for Conversions'!$H$47:$H$73,MATCH(HW$3,'Standards for Conversions'!$A$47:$A$73,0))))</f>
        <v/>
      </c>
      <c r="HZ132" s="33"/>
      <c r="IA132" s="33"/>
      <c r="IB132" s="31" t="str">
        <f>IF(IA132/(INDEX('Standards for Conversions'!$H$47:$H$73,MATCH(HZ$3,'Standards for Conversions'!$A$47:$A$73,0)))=0,"",IA132/(INDEX('Standards for Conversions'!$H$47:$H$73,MATCH(HZ$3,'Standards for Conversions'!$A$47:$A$73,0))))</f>
        <v/>
      </c>
      <c r="IC132" s="33" t="s">
        <v>38</v>
      </c>
      <c r="ID132" s="29">
        <v>500</v>
      </c>
      <c r="IE132" s="29">
        <v>2500</v>
      </c>
      <c r="IF132" s="31">
        <f>IF(IE132/(INDEX('Standards for Conversions'!$H$47:$H$73,MATCH(ID$3,'Standards for Conversions'!$A$47:$A$73,0)))=0,"",IE132/(INDEX('Standards for Conversions'!$H$47:$H$73,MATCH(ID$3,'Standards for Conversions'!$A$47:$A$73,0))))</f>
        <v>363.11353053213992</v>
      </c>
      <c r="IG132" s="33" t="s">
        <v>38</v>
      </c>
      <c r="IJ132" s="31" t="str">
        <f>IF(II132/(INDEX('Standards for Conversions'!$H$47:$H$73,MATCH(IH$3,'Standards for Conversions'!$A$47:$A$73,0)))=0,"",II132/(INDEX('Standards for Conversions'!$H$47:$H$73,MATCH(IH$3,'Standards for Conversions'!$A$47:$A$73,0))))</f>
        <v/>
      </c>
      <c r="IK132" s="33" t="s">
        <v>38</v>
      </c>
      <c r="IN132" s="31" t="str">
        <f>IF(IM132/(INDEX('Standards for Conversions'!$H$47:$H$73,MATCH(IL$3,'Standards for Conversions'!$A$47:$A$73,0)))=0,"",IM132/(INDEX('Standards for Conversions'!$H$47:$H$73,MATCH(IL$3,'Standards for Conversions'!$A$47:$A$73,0))))</f>
        <v/>
      </c>
      <c r="IO132" s="33" t="s">
        <v>38</v>
      </c>
      <c r="IR132" s="31" t="str">
        <f>IF(IQ132/(INDEX('Standards for Conversions'!$H$47:$H$73,MATCH(IP$3,'Standards for Conversions'!$A$47:$A$73,0)))=0,"",IQ132/(INDEX('Standards for Conversions'!$H$47:$H$73,MATCH(IP$3,'Standards for Conversions'!$A$47:$A$73,0))))</f>
        <v/>
      </c>
      <c r="IS132" s="33" t="s">
        <v>38</v>
      </c>
      <c r="IT132" s="29">
        <v>714</v>
      </c>
      <c r="IU132" s="29">
        <v>3760</v>
      </c>
      <c r="IV132" s="31">
        <f>IF(IU132/(INDEX('Standards for Conversions'!$H$47:$H$73,MATCH(IT$3,'Standards for Conversions'!$A$47:$A$73,0)))=0,"",IU132/(INDEX('Standards for Conversions'!$H$47:$H$73,MATCH(IT$3,'Standards for Conversions'!$A$47:$A$73,0))))</f>
        <v>543.73445801106573</v>
      </c>
      <c r="IW132" s="33" t="s">
        <v>38</v>
      </c>
      <c r="IZ132" s="31" t="str">
        <f>IF(IY132/(INDEX('Standards for Conversions'!$H$47:$H$73,MATCH(IX$3,'Standards for Conversions'!$A$47:$A$73,0)))=0,"",IY132/(INDEX('Standards for Conversions'!$H$47:$H$73,MATCH(IX$3,'Standards for Conversions'!$A$47:$A$73,0))))</f>
        <v/>
      </c>
      <c r="JA132" s="33" t="s">
        <v>38</v>
      </c>
      <c r="JD132" s="31" t="str">
        <f>IF(JC132/(INDEX('Standards for Conversions'!$H$47:$H$73,MATCH(JB$3,'Standards for Conversions'!$A$47:$A$73,0)))=0,"",JC132/(INDEX('Standards for Conversions'!$H$47:$H$73,MATCH(JB$3,'Standards for Conversions'!$A$47:$A$73,0))))</f>
        <v/>
      </c>
      <c r="JE132" s="33" t="s">
        <v>38</v>
      </c>
      <c r="JH132" s="31" t="str">
        <f>IF(JG132/(INDEX('Standards for Conversions'!$H$47:$H$73,MATCH(JF$3,'Standards for Conversions'!$A$47:$A$73,0)))=0,"",JG132/(INDEX('Standards for Conversions'!$H$47:$H$73,MATCH(JF$3,'Standards for Conversions'!$A$47:$A$73,0))))</f>
        <v/>
      </c>
      <c r="JI132" s="48" t="s">
        <v>38</v>
      </c>
      <c r="JJ132" s="29">
        <v>780</v>
      </c>
      <c r="JK132" s="29">
        <v>4580</v>
      </c>
      <c r="JL132" s="31">
        <f>IF(JK132/(INDEX('Standards for Conversions'!$H$47:$H$73,MATCH(JJ$3,'Standards for Conversions'!$A$47:$A$73,0)))=0,"",JK132/(INDEX('Standards for Conversions'!$H$47:$H$73,MATCH(JJ$3,'Standards for Conversions'!$A$47:$A$73,0))))</f>
        <v>740.86170084875857</v>
      </c>
      <c r="JM132" s="33" t="s">
        <v>38</v>
      </c>
      <c r="JP132" s="31" t="str">
        <f>IF(JO132/(INDEX('Standards for Conversions'!$H$47:$H$73,MATCH(JN$3,'Standards for Conversions'!$A$47:$A$73,0)))=0,"",JO132/(INDEX('Standards for Conversions'!$H$47:$H$73,MATCH(JN$3,'Standards for Conversions'!$A$47:$A$73,0))))</f>
        <v/>
      </c>
      <c r="JQ132" s="33" t="s">
        <v>38</v>
      </c>
      <c r="JT132" s="31" t="str">
        <f>IF(JS132/(INDEX('Standards for Conversions'!$H$47:$H$73,MATCH(JR$3,'Standards for Conversions'!$A$47:$A$73,0)))=0,"",JS132/(INDEX('Standards for Conversions'!$H$47:$H$73,MATCH(JR$3,'Standards for Conversions'!$A$47:$A$73,0))))</f>
        <v/>
      </c>
      <c r="JU132" s="33" t="s">
        <v>38</v>
      </c>
      <c r="JX132" s="31" t="str">
        <f>IF(JW132/(INDEX('Standards for Conversions'!$H$47:$H$73,MATCH(JV$3,'Standards for Conversions'!$A$47:$A$73,0)))=0,"",JW132/(INDEX('Standards for Conversions'!$H$47:$H$73,MATCH(JV$3,'Standards for Conversions'!$A$47:$A$73,0))))</f>
        <v/>
      </c>
      <c r="JY132" s="33" t="s">
        <v>38</v>
      </c>
      <c r="JZ132" s="29">
        <v>700</v>
      </c>
      <c r="KA132" s="29">
        <v>4000</v>
      </c>
      <c r="KB132" s="31">
        <f>IF(KA132/(INDEX('Standards for Conversions'!$H$47:$H$73,MATCH(JZ$3,'Standards for Conversions'!$A$47:$A$73,0)))=0,"",KA132/(INDEX('Standards for Conversions'!$H$47:$H$73,MATCH(JZ$3,'Standards for Conversions'!$A$47:$A$73,0))))</f>
        <v>610.62356971119027</v>
      </c>
      <c r="KC132" s="33" t="s">
        <v>38</v>
      </c>
      <c r="KF132" s="31" t="str">
        <f>IF(KE132/(INDEX('Standards for Conversions'!$H$47:$H$73,MATCH(KD$3,'Standards for Conversions'!$A$47:$A$73,0)))=0,"",KE132/(INDEX('Standards for Conversions'!$H$47:$H$73,MATCH(KD$3,'Standards for Conversions'!$A$47:$A$73,0))))</f>
        <v/>
      </c>
      <c r="KG132" s="33" t="s">
        <v>38</v>
      </c>
      <c r="KJ132" s="31" t="str">
        <f>IF(KI132/(INDEX('Standards for Conversions'!$H$47:$H$73,MATCH(KH$3,'Standards for Conversions'!$A$47:$A$73,0)))=0,"",KI132/(INDEX('Standards for Conversions'!$H$47:$H$73,MATCH(KH$3,'Standards for Conversions'!$A$47:$A$73,0))))</f>
        <v/>
      </c>
      <c r="KK132" s="33" t="s">
        <v>38</v>
      </c>
      <c r="KN132" s="31" t="str">
        <f>IF(KM132/(INDEX('Standards for Conversions'!$H$47:$H$73,MATCH(KL$3,'Standards for Conversions'!$A$47:$A$73,0)))=0,"",KM132/(INDEX('Standards for Conversions'!$H$47:$H$73,MATCH(KL$3,'Standards for Conversions'!$A$47:$A$73,0))))</f>
        <v/>
      </c>
      <c r="KO132" s="33" t="s">
        <v>38</v>
      </c>
      <c r="KP132" s="29">
        <v>775</v>
      </c>
      <c r="KQ132" s="29">
        <v>3900</v>
      </c>
      <c r="KR132" s="31">
        <f>IF(KQ132/(INDEX('Standards for Conversions'!$H$47:$H$73,MATCH(KP$3,'Standards for Conversions'!$A$47:$A$73,0)))=0,"",KQ132/(INDEX('Standards for Conversions'!$H$47:$H$73,MATCH(KP$3,'Standards for Conversions'!$A$47:$A$73,0))))</f>
        <v>525.1701464326062</v>
      </c>
      <c r="KS132" s="33" t="s">
        <v>38</v>
      </c>
      <c r="KV132" s="31" t="str">
        <f>IF(KU132/(INDEX('Standards for Conversions'!$H$47:$H$73,MATCH(KT$3,'Standards for Conversions'!$A$47:$A$73,0)))=0,"",KU132/(INDEX('Standards for Conversions'!$H$47:$H$73,MATCH(KT$3,'Standards for Conversions'!$A$47:$A$73,0))))</f>
        <v/>
      </c>
      <c r="KW132" s="33" t="s">
        <v>38</v>
      </c>
      <c r="KZ132" s="31" t="str">
        <f>IF(KY132/(INDEX('Standards for Conversions'!$H$47:$H$73,MATCH(KX$3,'Standards for Conversions'!$A$47:$A$73,0)))=0,"",KY132/(INDEX('Standards for Conversions'!$H$47:$H$73,MATCH(KX$3,'Standards for Conversions'!$A$47:$A$73,0))))</f>
        <v/>
      </c>
      <c r="LA132" s="33" t="s">
        <v>38</v>
      </c>
      <c r="LD132" s="31" t="str">
        <f>IF(LC132/(INDEX('Standards for Conversions'!$H$47:$H$73,MATCH(LB$3,'Standards for Conversions'!$A$47:$A$73,0)))=0,"",LC132/(INDEX('Standards for Conversions'!$H$47:$H$73,MATCH(LB$3,'Standards for Conversions'!$A$47:$A$73,0))))</f>
        <v/>
      </c>
      <c r="LE132" s="48" t="s">
        <v>38</v>
      </c>
      <c r="LF132" s="29">
        <v>670</v>
      </c>
      <c r="LG132" s="29">
        <v>4450</v>
      </c>
      <c r="LH132" s="31">
        <f>IF(LG132/(INDEX('Standards for Conversions'!$H$47:$H$73,MATCH(LF$3,'Standards for Conversions'!$A$47:$A$73,0)))=0,"",LG132/(INDEX('Standards for Conversions'!$H$47:$H$73,MATCH(LF$3,'Standards for Conversions'!$A$47:$A$73,0))))</f>
        <v>541.19372193737138</v>
      </c>
      <c r="LL132" s="31" t="str">
        <f>IF(LK132/(INDEX('Standards for Conversions'!$H$47:$H$73,MATCH(LJ$3,'Standards for Conversions'!$A$47:$A$73,0)))=0,"",LK132/(INDEX('Standards for Conversions'!$H$47:$H$73,MATCH(LJ$3,'Standards for Conversions'!$A$47:$A$73,0))))</f>
        <v/>
      </c>
      <c r="LO132" s="31" t="str">
        <f>IF(LN132/(INDEX('Standards for Conversions'!$H$47:$H$73,MATCH(LM$3,'Standards for Conversions'!$A$47:$A$73,0)))=0,"",LN132/(INDEX('Standards for Conversions'!$H$47:$H$73,MATCH(LM$3,'Standards for Conversions'!$A$47:$A$73,0))))</f>
        <v/>
      </c>
      <c r="LR132" s="31" t="str">
        <f>IF(LQ132/(INDEX('Standards for Conversions'!$H$47:$H$73,MATCH(LP$3,'Standards for Conversions'!$A$47:$A$73,0)))=0,"",LQ132/(INDEX('Standards for Conversions'!$H$47:$H$73,MATCH(LP$3,'Standards for Conversions'!$A$47:$A$73,0))))</f>
        <v/>
      </c>
      <c r="LV132" s="31" t="str">
        <f>IF(LU132/(INDEX('Standards for Conversions'!$H$47:$H$73,MATCH(LT$3,'Standards for Conversions'!$A$47:$A$73,0)))=0,"",LU132/(INDEX('Standards for Conversions'!$H$47:$H$73,MATCH(LT$3,'Standards for Conversions'!$A$47:$A$73,0))))</f>
        <v/>
      </c>
      <c r="LY132" s="31" t="str">
        <f>IF(LX132/(INDEX('Standards for Conversions'!$H$47:$H$73,MATCH(LW$3,'Standards for Conversions'!$A$47:$A$73,0)))=0,"",LX132/(INDEX('Standards for Conversions'!$H$47:$H$73,MATCH(LW$3,'Standards for Conversions'!$A$47:$A$73,0))))</f>
        <v/>
      </c>
      <c r="MB132" s="31" t="str">
        <f>IF(MA132/(INDEX('Standards for Conversions'!$H$47:$H$73,MATCH(LZ$3,'Standards for Conversions'!$A$47:$A$73,0)))=0,"",MA132/(INDEX('Standards for Conversions'!$H$47:$H$73,MATCH(LZ$3,'Standards for Conversions'!$A$47:$A$73,0))))</f>
        <v/>
      </c>
      <c r="ME132" s="31" t="str">
        <f>IF(MD132/(INDEX('Standards for Conversions'!$H$47:$H$73,MATCH(MC$3,'Standards for Conversions'!$A$47:$A$73,0)))=0,"",MD132/(INDEX('Standards for Conversions'!$H$47:$H$73,MATCH(MC$3,'Standards for Conversions'!$A$47:$A$73,0))))</f>
        <v/>
      </c>
      <c r="MH132" s="31" t="str">
        <f>IF(MG132/(INDEX('Standards for Conversions'!$H$47:$H$73,MATCH(MF$3,'Standards for Conversions'!$A$47:$A$73,0)))=0,"",MG132/(INDEX('Standards for Conversions'!$H$47:$H$73,MATCH(MF$3,'Standards for Conversions'!$A$47:$A$73,0))))</f>
        <v/>
      </c>
      <c r="MK132" s="31" t="str">
        <f>IF(MJ132/(INDEX('Standards for Conversions'!$H$47:$H$73,MATCH(MI$3,'Standards for Conversions'!$A$47:$A$73,0)))=0,"",MJ132/(INDEX('Standards for Conversions'!$H$47:$H$73,MATCH(MI$3,'Standards for Conversions'!$A$47:$A$73,0))))</f>
        <v/>
      </c>
      <c r="MN132" s="31" t="str">
        <f>IF(MM132/(INDEX('Standards for Conversions'!$H$47:$H$73,MATCH(ML$3,'Standards for Conversions'!$A$47:$A$73,0)))=0,"",MM132/(INDEX('Standards for Conversions'!$H$47:$H$73,MATCH(ML$3,'Standards for Conversions'!$A$47:$A$73,0))))</f>
        <v/>
      </c>
      <c r="MR132" s="31" t="str">
        <f>IF(MQ132/(INDEX('Standards for Conversions'!$H$47:$H$73,MATCH(MP$3,'Standards for Conversions'!$A$47:$A$73,0)))=0,"",MQ132/(INDEX('Standards for Conversions'!$H$47:$H$73,MATCH(MP$3,'Standards for Conversions'!$A$47:$A$73,0))))</f>
        <v/>
      </c>
    </row>
    <row r="133" spans="1:356" hidden="1" x14ac:dyDescent="0.3">
      <c r="A133" s="103" t="s">
        <v>298</v>
      </c>
      <c r="B133" s="10" t="s">
        <v>38</v>
      </c>
      <c r="C133" s="7"/>
      <c r="D133" s="7"/>
      <c r="E133" s="31" t="str">
        <f>IF(D133/(INDEX('Standards for Conversions'!$H$34:$H$73,MATCH(C$3,'Standards for Conversions'!$A$34:$A$73,0)))=0,"",D133/(INDEX('Standards for Conversions'!$H$34:$H$73,MATCH(C$3,'Standards for Conversions'!$A$34:$A$73,0))))</f>
        <v/>
      </c>
      <c r="F133" s="10" t="s">
        <v>38</v>
      </c>
      <c r="G133" s="7"/>
      <c r="H133" s="7"/>
      <c r="I133" s="31" t="str">
        <f>IF(H133/(INDEX('Standards for Conversions'!$H$34:$H$73,MATCH(G$3,'Standards for Conversions'!$A$34:$A$73,0)))=0,"",H133/(INDEX('Standards for Conversions'!$H$34:$H$73,MATCH(G$3,'Standards for Conversions'!$A$34:$A$73,0))))</f>
        <v/>
      </c>
      <c r="J133" s="10" t="s">
        <v>38</v>
      </c>
      <c r="K133" s="9"/>
      <c r="L133" s="9"/>
      <c r="M133" s="31" t="str">
        <f>IF(L133/(INDEX('Standards for Conversions'!$H$34:$H$73,MATCH(K$3,'Standards for Conversions'!$A$34:$A$73,0)))=0,"",L133/(INDEX('Standards for Conversions'!$H$34:$H$73,MATCH(K$3,'Standards for Conversions'!$A$34:$A$73,0))))</f>
        <v/>
      </c>
      <c r="N133" s="10" t="s">
        <v>38</v>
      </c>
      <c r="O133" s="7"/>
      <c r="P133" s="7"/>
      <c r="Q133" s="31" t="str">
        <f>IF(P133/(INDEX('Standards for Conversions'!$H$34:$H$73,MATCH(O$3,'Standards for Conversions'!$A$34:$A$73,0)))=0,"",P133/(INDEX('Standards for Conversions'!$H$34:$H$73,MATCH(O$3,'Standards for Conversions'!$A$34:$A$73,0))))</f>
        <v/>
      </c>
      <c r="R133" s="10" t="s">
        <v>38</v>
      </c>
      <c r="S133" s="7"/>
      <c r="T133" s="7"/>
      <c r="U133" s="31" t="str">
        <f>IF(T133/(INDEX('Standards for Conversions'!$H$34:$H$73,MATCH(S$3,'Standards for Conversions'!$A$34:$A$73,0)))=0,"",T133/(INDEX('Standards for Conversions'!$H$34:$H$73,MATCH(S$3,'Standards for Conversions'!$A$34:$A$73,0))))</f>
        <v/>
      </c>
      <c r="V133" s="10" t="s">
        <v>38</v>
      </c>
      <c r="W133" s="7"/>
      <c r="X133" s="7"/>
      <c r="Y133" s="31" t="str">
        <f>IF(X133/(INDEX('Standards for Conversions'!$H$34:$H$73,MATCH(W$3,'Standards for Conversions'!$A$34:$A$73,0)))=0,"",X133/(INDEX('Standards for Conversions'!$H$34:$H$73,MATCH(W$3,'Standards for Conversions'!$A$34:$A$73,0))))</f>
        <v/>
      </c>
      <c r="Z133" s="10" t="s">
        <v>38</v>
      </c>
      <c r="AA133" s="9"/>
      <c r="AB133" s="9"/>
      <c r="AC133" s="31" t="str">
        <f>IF(AB133/(INDEX('Standards for Conversions'!$H$34:$H$73,MATCH(AA$3,'Standards for Conversions'!$A$34:$A$73,0)))=0,"",AB133/(INDEX('Standards for Conversions'!$H$34:$H$73,MATCH(AA$3,'Standards for Conversions'!$A$34:$A$73,0))))</f>
        <v/>
      </c>
      <c r="AD133" s="10" t="s">
        <v>38</v>
      </c>
      <c r="AE133" s="7"/>
      <c r="AF133" s="7"/>
      <c r="AG133" s="31" t="str">
        <f>IF(AF133/(INDEX('Standards for Conversions'!$H$34:$H$73,MATCH(AE$3,'Standards for Conversions'!$A$34:$A$73,0)))=0,"",AF133/(INDEX('Standards for Conversions'!$H$34:$H$73,MATCH(AE$3,'Standards for Conversions'!$A$34:$A$73,0))))</f>
        <v/>
      </c>
      <c r="AH133" s="10" t="s">
        <v>38</v>
      </c>
      <c r="AI133" s="7"/>
      <c r="AJ133" s="7"/>
      <c r="AK133" s="31" t="str">
        <f>IF(AJ133/(INDEX('Standards for Conversions'!$H$34:$H$73,MATCH(AI$3,'Standards for Conversions'!$A$34:$A$73,0)))=0,"",AJ133/(INDEX('Standards for Conversions'!$H$34:$H$73,MATCH(AI$3,'Standards for Conversions'!$A$34:$A$73,0))))</f>
        <v/>
      </c>
      <c r="AL133" s="10" t="s">
        <v>38</v>
      </c>
      <c r="AM133" s="7"/>
      <c r="AN133" s="7"/>
      <c r="AO133" s="31" t="str">
        <f>IF(AN133/(INDEX('Standards for Conversions'!$H$34:$H$73,MATCH(AM$3,'Standards for Conversions'!$A$34:$A$73,0)))=0,"",AN133/(INDEX('Standards for Conversions'!$H$34:$H$73,MATCH(AM$3,'Standards for Conversions'!$A$34:$A$73,0))))</f>
        <v/>
      </c>
      <c r="AP133" s="10" t="s">
        <v>38</v>
      </c>
      <c r="AQ133" s="9"/>
      <c r="AR133" s="9"/>
      <c r="AS133" s="31" t="str">
        <f>IF(AR133/(INDEX('Standards for Conversions'!$H$34:$H$73,MATCH(AQ$3,'Standards for Conversions'!$A$34:$A$73,0)))=0,"",AR133/(INDEX('Standards for Conversions'!$H$34:$H$73,MATCH(AQ$3,'Standards for Conversions'!$A$34:$A$73,0))))</f>
        <v/>
      </c>
      <c r="AT133" s="10" t="s">
        <v>38</v>
      </c>
      <c r="AU133" s="7"/>
      <c r="AV133" s="7"/>
      <c r="AW133" s="31" t="str">
        <f>IF(AV133/(INDEX('Standards for Conversions'!$H$34:$H$73,MATCH(AU$3,'Standards for Conversions'!$A$34:$A$73,0)))=0,"",AV133/(INDEX('Standards for Conversions'!$H$34:$H$73,MATCH(AU$3,'Standards for Conversions'!$A$34:$A$73,0))))</f>
        <v/>
      </c>
      <c r="AX133" s="10" t="s">
        <v>38</v>
      </c>
      <c r="AY133" s="7"/>
      <c r="AZ133" s="7"/>
      <c r="BA133" s="31" t="str">
        <f>IF(AZ133/(INDEX('Standards for Conversions'!$H$34:$H$73,MATCH(AY$3,'Standards for Conversions'!$A$34:$A$73,0)))=0,"",AZ133/(INDEX('Standards for Conversions'!$H$34:$H$73,MATCH(AY$3,'Standards for Conversions'!$A$34:$A$73,0))))</f>
        <v/>
      </c>
      <c r="BB133" s="10" t="s">
        <v>38</v>
      </c>
      <c r="BC133" s="7"/>
      <c r="BD133" s="7"/>
      <c r="BE133" s="31" t="str">
        <f>IF(BD133/(INDEX('Standards for Conversions'!$H$34:$H$73,MATCH(BC$3,'Standards for Conversions'!$A$34:$A$73,0)))=0,"",BD133/(INDEX('Standards for Conversions'!$H$34:$H$73,MATCH(BC$3,'Standards for Conversions'!$A$34:$A$73,0))))</f>
        <v/>
      </c>
      <c r="BF133" s="10" t="s">
        <v>38</v>
      </c>
      <c r="BG133" s="9"/>
      <c r="BH133" s="9"/>
      <c r="BI133" s="31" t="str">
        <f>IF(BH133/(INDEX('Standards for Conversions'!$H$34:$H$73,MATCH(BG$3,'Standards for Conversions'!$A$34:$A$73,0)))=0,"",BH133/(INDEX('Standards for Conversions'!$H$34:$H$73,MATCH(BG$3,'Standards for Conversions'!$A$34:$A$73,0))))</f>
        <v/>
      </c>
      <c r="BJ133" s="10" t="s">
        <v>38</v>
      </c>
      <c r="BK133" s="7"/>
      <c r="BL133" s="7"/>
      <c r="BM133" s="31" t="str">
        <f>IF(BL133/(INDEX('Standards for Conversions'!$H$34:$H$73,MATCH(BK$3,'Standards for Conversions'!$A$34:$A$73,0)))=0,"",BL133/(INDEX('Standards for Conversions'!$H$34:$H$73,MATCH(BK$3,'Standards for Conversions'!$A$34:$A$73,0))))</f>
        <v/>
      </c>
      <c r="BN133" s="10" t="s">
        <v>38</v>
      </c>
      <c r="BO133" s="7"/>
      <c r="BP133" s="7"/>
      <c r="BQ133" s="31" t="str">
        <f>IF(BP133/(INDEX('Standards for Conversions'!$H$34:$H$73,MATCH(BO$3,'Standards for Conversions'!$A$34:$A$73,0)))=0,"",BP133/(INDEX('Standards for Conversions'!$H$34:$H$73,MATCH(BO$3,'Standards for Conversions'!$A$34:$A$73,0))))</f>
        <v/>
      </c>
      <c r="BR133" s="10" t="s">
        <v>38</v>
      </c>
      <c r="BS133" s="7"/>
      <c r="BT133" s="7"/>
      <c r="BU133" s="31" t="str">
        <f>IF(BT133/(INDEX('Standards for Conversions'!$H$34:$H$73,MATCH(BS$3,'Standards for Conversions'!$A$34:$A$73,0)))=0,"",BT133/(INDEX('Standards for Conversions'!$H$34:$H$73,MATCH(BS$3,'Standards for Conversions'!$A$34:$A$73,0))))</f>
        <v/>
      </c>
      <c r="BV133" s="10" t="s">
        <v>38</v>
      </c>
      <c r="BW133" s="9"/>
      <c r="BX133" s="9"/>
      <c r="BY133" s="31" t="str">
        <f>IF(BX133/(INDEX('Standards for Conversions'!$H$34:$H$73,MATCH(BW$3,'Standards for Conversions'!$A$34:$A$73,0)))=0,"",BX133/(INDEX('Standards for Conversions'!$H$34:$H$73,MATCH(BW$3,'Standards for Conversions'!$A$34:$A$73,0))))</f>
        <v/>
      </c>
      <c r="BZ133" s="10" t="s">
        <v>38</v>
      </c>
      <c r="CA133" s="7"/>
      <c r="CB133" s="7"/>
      <c r="CC133" s="31" t="str">
        <f>IF(CB133/(INDEX('Standards for Conversions'!$H$34:$H$73,MATCH(CA$3,'Standards for Conversions'!$A$34:$A$73,0)))=0,"",CB133/(INDEX('Standards for Conversions'!$H$34:$H$73,MATCH(CA$3,'Standards for Conversions'!$A$34:$A$73,0))))</f>
        <v/>
      </c>
      <c r="CD133" s="10" t="s">
        <v>38</v>
      </c>
      <c r="CE133" s="7"/>
      <c r="CF133" s="7"/>
      <c r="CG133" s="31" t="str">
        <f>IF(CF133/(INDEX('Standards for Conversions'!$H$34:$H$73,MATCH(CE$3,'Standards for Conversions'!$A$34:$A$73,0)))=0,"",CF133/(INDEX('Standards for Conversions'!$H$34:$H$73,MATCH(CE$3,'Standards for Conversions'!$A$34:$A$73,0))))</f>
        <v/>
      </c>
      <c r="CH133" s="10" t="s">
        <v>38</v>
      </c>
      <c r="CI133" s="7"/>
      <c r="CJ133" s="7"/>
      <c r="CK133" s="31" t="str">
        <f>IF(CJ133/(INDEX('Standards for Conversions'!$H$34:$H$73,MATCH(CI$3,'Standards for Conversions'!$A$34:$A$73,0)))=0,"",CJ133/(INDEX('Standards for Conversions'!$H$34:$H$73,MATCH(CI$3,'Standards for Conversions'!$A$34:$A$73,0))))</f>
        <v/>
      </c>
      <c r="CL133" s="10" t="s">
        <v>38</v>
      </c>
      <c r="CM133" s="9"/>
      <c r="CN133" s="9"/>
      <c r="CO133" s="31" t="str">
        <f>IF(CN133/(INDEX('Standards for Conversions'!$H$34:$H$73,MATCH(CM$3,'Standards for Conversions'!$A$34:$A$73,0)))=0,"",CN133/(INDEX('Standards for Conversions'!$H$34:$H$73,MATCH(CM$3,'Standards for Conversions'!$A$34:$A$73,0))))</f>
        <v/>
      </c>
      <c r="CP133" s="10" t="s">
        <v>38</v>
      </c>
      <c r="CQ133" s="7"/>
      <c r="CR133" s="7"/>
      <c r="CS133" s="31" t="str">
        <f>IF(CR133/(INDEX('Standards for Conversions'!$H$34:$H$73,MATCH(CQ$3,'Standards for Conversions'!$A$34:$A$73,0)))=0,"",CR133/(INDEX('Standards for Conversions'!$H$34:$H$73,MATCH(CQ$3,'Standards for Conversions'!$A$34:$A$73,0))))</f>
        <v/>
      </c>
      <c r="CT133" s="10" t="s">
        <v>38</v>
      </c>
      <c r="CU133" s="7"/>
      <c r="CV133" s="7"/>
      <c r="CW133" s="31" t="str">
        <f>IF(CV133/(INDEX('Standards for Conversions'!$H$34:$H$73,MATCH(CU$3,'Standards for Conversions'!$A$34:$A$73,0)))=0,"",CV133/(INDEX('Standards for Conversions'!$H$34:$H$73,MATCH(CU$3,'Standards for Conversions'!$A$34:$A$73,0))))</f>
        <v/>
      </c>
      <c r="CX133" s="10" t="s">
        <v>38</v>
      </c>
      <c r="CY133" s="7"/>
      <c r="CZ133" s="7"/>
      <c r="DA133" s="31" t="str">
        <f>IF(CZ133/(INDEX('Standards for Conversions'!$H$34:$H$73,MATCH(CY$3,'Standards for Conversions'!$A$34:$A$73,0)))=0,"",CZ133/(INDEX('Standards for Conversions'!$H$34:$H$73,MATCH(CY$3,'Standards for Conversions'!$A$34:$A$73,0))))</f>
        <v/>
      </c>
      <c r="DB133" s="10" t="s">
        <v>38</v>
      </c>
      <c r="DC133" s="9"/>
      <c r="DD133" s="9"/>
      <c r="DE133" s="31" t="str">
        <f>IF(DD133/(INDEX('Standards for Conversions'!$H$34:$H$73,MATCH(DC$3,'Standards for Conversions'!$A$34:$A$73,0)))=0,"",DD133/(INDEX('Standards for Conversions'!$H$34:$H$73,MATCH(DC$3,'Standards for Conversions'!$A$34:$A$73,0))))</f>
        <v/>
      </c>
      <c r="DF133" s="10" t="s">
        <v>38</v>
      </c>
      <c r="DG133" s="7"/>
      <c r="DH133" s="7"/>
      <c r="DI133" s="31" t="str">
        <f>IF(DH133/(INDEX('Standards for Conversions'!$H$34:$H$73,MATCH(DG$3,'Standards for Conversions'!$A$34:$A$73,0)))=0,"",DH133/(INDEX('Standards for Conversions'!$H$34:$H$73,MATCH(DG$3,'Standards for Conversions'!$A$34:$A$73,0))))</f>
        <v/>
      </c>
      <c r="DJ133" s="10" t="s">
        <v>38</v>
      </c>
      <c r="DK133" s="7"/>
      <c r="DL133" s="7"/>
      <c r="DM133" s="31" t="str">
        <f>IF(DL133/(INDEX('Standards for Conversions'!$H$34:$H$73,MATCH(DK$3,'Standards for Conversions'!$A$34:$A$73,0)))=0,"",DL133/(INDEX('Standards for Conversions'!$H$34:$H$73,MATCH(DK$3,'Standards for Conversions'!$A$34:$A$73,0))))</f>
        <v/>
      </c>
      <c r="DN133" s="10" t="s">
        <v>38</v>
      </c>
      <c r="DO133" s="7"/>
      <c r="DP133" s="7"/>
      <c r="DQ133" s="31" t="str">
        <f>IF(DP133/(INDEX('Standards for Conversions'!$H$34:$H$73,MATCH(DO$3,'Standards for Conversions'!$A$34:$A$73,0)))=0,"",DP133/(INDEX('Standards for Conversions'!$H$34:$H$73,MATCH(DO$3,'Standards for Conversions'!$A$34:$A$73,0))))</f>
        <v/>
      </c>
      <c r="DR133" s="10" t="s">
        <v>38</v>
      </c>
      <c r="DS133" s="9"/>
      <c r="DT133" s="9"/>
      <c r="DU133" s="31" t="str">
        <f>IF(DT133/(INDEX('Standards for Conversions'!$H$34:$H$73,MATCH(DS$3,'Standards for Conversions'!$A$34:$A$73,0)))=0,"",DT133/(INDEX('Standards for Conversions'!$H$34:$H$73,MATCH(DS$3,'Standards for Conversions'!$A$34:$A$73,0))))</f>
        <v/>
      </c>
      <c r="DV133" s="10" t="s">
        <v>38</v>
      </c>
      <c r="DW133" s="7"/>
      <c r="DX133" s="7"/>
      <c r="DY133" s="31" t="str">
        <f>IF(DX133/(INDEX('Standards for Conversions'!$H$34:$H$73,MATCH(DW$3,'Standards for Conversions'!$A$34:$A$73,0)))=0,"",DX133/(INDEX('Standards for Conversions'!$H$34:$H$73,MATCH(DW$3,'Standards for Conversions'!$A$34:$A$73,0))))</f>
        <v/>
      </c>
      <c r="DZ133" s="10" t="s">
        <v>38</v>
      </c>
      <c r="EA133" s="7"/>
      <c r="EB133" s="7"/>
      <c r="EC133" s="31" t="str">
        <f>IF(EB133/(INDEX('Standards for Conversions'!$H$34:$H$73,MATCH(EA$3,'Standards for Conversions'!$A$34:$A$73,0)))=0,"",EB133/(INDEX('Standards for Conversions'!$H$34:$H$73,MATCH(EA$3,'Standards for Conversions'!$A$34:$A$73,0))))</f>
        <v/>
      </c>
      <c r="ED133" s="10" t="s">
        <v>38</v>
      </c>
      <c r="EE133" s="7"/>
      <c r="EF133" s="7"/>
      <c r="EG133" s="31" t="str">
        <f>IF(EF133/(INDEX('Standards for Conversions'!$H$34:$H$73,MATCH(EE$3,'Standards for Conversions'!$A$34:$A$73,0)))=0,"",EF133/(INDEX('Standards for Conversions'!$H$34:$H$73,MATCH(EE$3,'Standards for Conversions'!$A$34:$A$73,0))))</f>
        <v/>
      </c>
      <c r="EH133" s="10" t="s">
        <v>38</v>
      </c>
      <c r="EI133" s="9"/>
      <c r="EJ133" s="9"/>
      <c r="EK133" s="31" t="str">
        <f>IF(EJ133/(INDEX('Standards for Conversions'!$H$34:$H$73,MATCH(EI$3,'Standards for Conversions'!$A$34:$A$73,0)))=0,"",EJ133/(INDEX('Standards for Conversions'!$H$34:$H$73,MATCH(EI$3,'Standards for Conversions'!$A$34:$A$73,0))))</f>
        <v/>
      </c>
      <c r="EL133" s="10" t="s">
        <v>38</v>
      </c>
      <c r="EM133" s="7"/>
      <c r="EN133" s="7"/>
      <c r="EO133" s="31" t="str">
        <f>IF(EN133/(INDEX('Standards for Conversions'!$H$34:$H$73,MATCH(EM$3,'Standards for Conversions'!$A$34:$A$73,0)))=0,"",EN133/(INDEX('Standards for Conversions'!$H$34:$H$73,MATCH(EM$3,'Standards for Conversions'!$A$34:$A$73,0))))</f>
        <v/>
      </c>
      <c r="EP133" s="10" t="s">
        <v>38</v>
      </c>
      <c r="EQ133" s="7"/>
      <c r="ER133" s="7"/>
      <c r="ES133" s="31" t="str">
        <f>IF(ER133/(INDEX('Standards for Conversions'!$H$34:$H$73,MATCH(EQ$3,'Standards for Conversions'!$A$34:$A$73,0)))=0,"",ER133/(INDEX('Standards for Conversions'!$H$34:$H$73,MATCH(EQ$3,'Standards for Conversions'!$A$34:$A$73,0))))</f>
        <v/>
      </c>
      <c r="ET133" s="10" t="s">
        <v>38</v>
      </c>
      <c r="EU133" s="7"/>
      <c r="EV133" s="7"/>
      <c r="EW133" s="31" t="str">
        <f>IF(EV133/(INDEX('Standards for Conversions'!$H$34:$H$73,MATCH(EU$3,'Standards for Conversions'!$A$34:$A$73,0)))=0,"",EV133/(INDEX('Standards for Conversions'!$H$34:$H$73,MATCH(EU$3,'Standards for Conversions'!$A$34:$A$73,0))))</f>
        <v/>
      </c>
      <c r="EX133" s="10" t="s">
        <v>38</v>
      </c>
      <c r="EY133" s="9"/>
      <c r="EZ133" s="9"/>
      <c r="FA133" s="31" t="str">
        <f>IF(EZ133/(INDEX('Standards for Conversions'!$H$34:$H$73,MATCH(EY$3,'Standards for Conversions'!$A$34:$A$73,0)))=0,"",EZ133/(INDEX('Standards for Conversions'!$H$34:$H$73,MATCH(EY$3,'Standards for Conversions'!$A$34:$A$73,0))))</f>
        <v/>
      </c>
      <c r="FB133" s="10" t="s">
        <v>38</v>
      </c>
      <c r="FC133" s="7"/>
      <c r="FD133" s="7"/>
      <c r="FE133" s="31" t="str">
        <f>IF(FD133/(INDEX('Standards for Conversions'!$H$34:$H$73,MATCH(FC$3,'Standards for Conversions'!$A$34:$A$73,0)))=0,"",FD133/(INDEX('Standards for Conversions'!$H$34:$H$73,MATCH(FC$3,'Standards for Conversions'!$A$34:$A$73,0))))</f>
        <v/>
      </c>
      <c r="FF133" s="10" t="s">
        <v>38</v>
      </c>
      <c r="FG133" s="7"/>
      <c r="FH133" s="7"/>
      <c r="FI133" s="31" t="str">
        <f>IF(FH133/(INDEX('Standards for Conversions'!$H$34:$H$73,MATCH(FG$3,'Standards for Conversions'!$A$34:$A$73,0)))=0,"",FH133/(INDEX('Standards for Conversions'!$H$34:$H$73,MATCH(FG$3,'Standards for Conversions'!$A$34:$A$73,0))))</f>
        <v/>
      </c>
      <c r="FJ133" s="10" t="s">
        <v>38</v>
      </c>
      <c r="FK133" s="7"/>
      <c r="FL133" s="7"/>
      <c r="FM133" s="31" t="str">
        <f>IF(FL133/(INDEX('Standards for Conversions'!$H$34:$H$73,MATCH(FK$3,'Standards for Conversions'!$A$34:$A$73,0)))=0,"",FL133/(INDEX('Standards for Conversions'!$H$34:$H$73,MATCH(FK$3,'Standards for Conversions'!$A$34:$A$73,0))))</f>
        <v/>
      </c>
      <c r="FN133" s="10" t="s">
        <v>38</v>
      </c>
      <c r="FO133" s="9"/>
      <c r="FP133" s="9"/>
      <c r="FQ133" s="31" t="str">
        <f>IF(FP133/(INDEX('Standards for Conversions'!$H$34:$H$73,MATCH(FO$3,'Standards for Conversions'!$A$34:$A$73,0)))=0,"",FP133/(INDEX('Standards for Conversions'!$H$34:$H$73,MATCH(FO$3,'Standards for Conversions'!$A$34:$A$73,0))))</f>
        <v/>
      </c>
      <c r="FR133" s="10" t="s">
        <v>38</v>
      </c>
      <c r="FS133" s="7"/>
      <c r="FT133" s="7"/>
      <c r="FU133" s="31" t="str">
        <f>IF(FT133/(INDEX('Standards for Conversions'!$H$34:$H$73,MATCH(FS$3,'Standards for Conversions'!$A$34:$A$73,0)))=0,"",FT133/(INDEX('Standards for Conversions'!$H$34:$H$73,MATCH(FS$3,'Standards for Conversions'!$A$34:$A$73,0))))</f>
        <v/>
      </c>
      <c r="FV133" s="10" t="s">
        <v>38</v>
      </c>
      <c r="FW133" s="7"/>
      <c r="FX133" s="7"/>
      <c r="FY133" s="31" t="str">
        <f>IF(FX133/(INDEX('Standards for Conversions'!$H$34:$H$73,MATCH(FW$3,'Standards for Conversions'!$A$34:$A$73,0)))=0,"",FX133/(INDEX('Standards for Conversions'!$H$34:$H$73,MATCH(FW$3,'Standards for Conversions'!$A$34:$A$73,0))))</f>
        <v/>
      </c>
      <c r="FZ133" s="10" t="s">
        <v>38</v>
      </c>
      <c r="GA133" s="7"/>
      <c r="GB133" s="7"/>
      <c r="GC133" s="31" t="str">
        <f>IF(GB133/(INDEX('Standards for Conversions'!$H$34:$H$73,MATCH(GA$3,'Standards for Conversions'!$A$34:$A$73,0)))=0,"",GB133/(INDEX('Standards for Conversions'!$H$34:$H$73,MATCH(GA$3,'Standards for Conversions'!$A$34:$A$73,0))))</f>
        <v/>
      </c>
      <c r="GD133" s="10" t="s">
        <v>38</v>
      </c>
      <c r="GE133" s="9"/>
      <c r="GF133" s="9"/>
      <c r="GG133" s="31" t="str">
        <f>IF(GF133/(INDEX('Standards for Conversions'!$H$34:$H$73,MATCH(GE$3,'Standards for Conversions'!$A$34:$A$73,0)))=0,"",GF133/(INDEX('Standards for Conversions'!$H$34:$H$73,MATCH(GE$3,'Standards for Conversions'!$A$34:$A$73,0))))</f>
        <v/>
      </c>
      <c r="GH133" s="10" t="s">
        <v>38</v>
      </c>
      <c r="GI133" s="7"/>
      <c r="GJ133" s="7"/>
      <c r="GK133" s="31" t="str">
        <f>IF(GJ133/(INDEX('Standards for Conversions'!$H$34:$H$73,MATCH(GI$3,'Standards for Conversions'!$A$34:$A$73,0)))=0,"",GJ133/(INDEX('Standards for Conversions'!$H$34:$H$73,MATCH(GI$3,'Standards for Conversions'!$A$34:$A$73,0))))</f>
        <v/>
      </c>
      <c r="GL133" s="10" t="s">
        <v>38</v>
      </c>
      <c r="GM133" s="7"/>
      <c r="GN133" s="7"/>
      <c r="GO133" s="31" t="str">
        <f>IF(GN133/(INDEX('Standards for Conversions'!$H$34:$H$73,MATCH(GM$3,'Standards for Conversions'!$A$34:$A$73,0)))=0,"",GN133/(INDEX('Standards for Conversions'!$H$34:$H$73,MATCH(GM$3,'Standards for Conversions'!$A$34:$A$73,0))))</f>
        <v/>
      </c>
      <c r="GP133" s="10" t="s">
        <v>38</v>
      </c>
      <c r="GQ133" s="7"/>
      <c r="GR133" s="7"/>
      <c r="GS133" s="31" t="str">
        <f>IF(GR133/(INDEX('Standards for Conversions'!$H$34:$H$73,MATCH(GQ$3,'Standards for Conversions'!$A$34:$A$73,0)))=0,"",GR133/(INDEX('Standards for Conversions'!$H$34:$H$73,MATCH(GQ$3,'Standards for Conversions'!$A$34:$A$73,0))))</f>
        <v/>
      </c>
      <c r="GT133" s="10" t="s">
        <v>38</v>
      </c>
      <c r="GU133" s="9"/>
      <c r="GV133" s="9"/>
      <c r="GW133" s="31" t="str">
        <f>IF(GV133/(INDEX('Standards for Conversions'!$H$34:$H$73,MATCH(GU$3,'Standards for Conversions'!$A$34:$A$73,0)))=0,"",GV133/(INDEX('Standards for Conversions'!$H$34:$H$73,MATCH(GU$3,'Standards for Conversions'!$A$34:$A$73,0))))</f>
        <v/>
      </c>
      <c r="GX133" s="10" t="s">
        <v>38</v>
      </c>
      <c r="GY133" s="7"/>
      <c r="GZ133" s="7"/>
      <c r="HA133" s="31" t="str">
        <f>IF(GZ133/(INDEX('Standards for Conversions'!$H$34:$H$73,MATCH(GY$3,'Standards for Conversions'!$A$34:$A$73,0)))=0,"",GZ133/(INDEX('Standards for Conversions'!$H$34:$H$73,MATCH(GY$3,'Standards for Conversions'!$A$34:$A$73,0))))</f>
        <v/>
      </c>
      <c r="HB133" s="10" t="s">
        <v>38</v>
      </c>
      <c r="HC133" s="7"/>
      <c r="HD133" s="7"/>
      <c r="HE133" s="31" t="str">
        <f>IF(HD133/(INDEX('Standards for Conversions'!$H$34:$H$73,MATCH(HC$3,'Standards for Conversions'!$A$34:$A$73,0)))=0,"",HD133/(INDEX('Standards for Conversions'!$H$34:$H$73,MATCH(HC$3,'Standards for Conversions'!$A$34:$A$73,0))))</f>
        <v/>
      </c>
      <c r="HF133" s="10" t="s">
        <v>38</v>
      </c>
      <c r="HG133" s="7"/>
      <c r="HH133" s="7"/>
      <c r="HI133" s="31" t="str">
        <f>IF(HH133/(INDEX('Standards for Conversions'!$H$34:$H$73,MATCH(HG$3,'Standards for Conversions'!$A$34:$A$73,0)))=0,"",HH133/(INDEX('Standards for Conversions'!$H$34:$H$73,MATCH(HG$3,'Standards for Conversions'!$A$34:$A$73,0))))</f>
        <v/>
      </c>
      <c r="HJ133" s="10" t="s">
        <v>38</v>
      </c>
      <c r="HK133" s="9"/>
      <c r="HL133" s="9"/>
      <c r="HM133" s="31" t="str">
        <f>IF(HL133/(INDEX('Standards for Conversions'!$H$34:$H$73,MATCH(HK$3,'Standards for Conversions'!$A$34:$A$73,0)))=0,"",HL133/(INDEX('Standards for Conversions'!$H$34:$H$73,MATCH(HK$3,'Standards for Conversions'!$A$34:$A$73,0))))</f>
        <v/>
      </c>
      <c r="HN133" s="10" t="s">
        <v>38</v>
      </c>
      <c r="HO133" s="7"/>
      <c r="HP133" s="7"/>
      <c r="HQ133" s="31" t="str">
        <f>IF(HP133/(INDEX('Standards for Conversions'!$H$34:$H$73,MATCH(HO$3,'Standards for Conversions'!$A$34:$A$73,0)))=0,"",HP133/(INDEX('Standards for Conversions'!$H$34:$H$73,MATCH(HO$3,'Standards for Conversions'!$A$34:$A$73,0))))</f>
        <v/>
      </c>
      <c r="HR133" s="33" t="s">
        <v>38</v>
      </c>
      <c r="HU133" s="31" t="str">
        <f>IF(HT133/(INDEX('Standards for Conversions'!$H$47:$H$73,MATCH(HS$3,'Standards for Conversions'!$A$47:$A$73,0)))=0,"",HT133/(INDEX('Standards for Conversions'!$H$47:$H$73,MATCH(HS$3,'Standards for Conversions'!$A$47:$A$73,0))))</f>
        <v/>
      </c>
      <c r="HV133" s="33" t="s">
        <v>38</v>
      </c>
      <c r="HW133" s="29">
        <v>25</v>
      </c>
      <c r="HX133" s="29">
        <v>1000</v>
      </c>
      <c r="HY133" s="31">
        <f>IF(HX133/(INDEX('Standards for Conversions'!$H$47:$H$73,MATCH(HW$3,'Standards for Conversions'!$A$47:$A$73,0)))=0,"",HX133/(INDEX('Standards for Conversions'!$H$47:$H$73,MATCH(HW$3,'Standards for Conversions'!$A$47:$A$73,0))))</f>
        <v>145.24541221285597</v>
      </c>
      <c r="HZ133" s="33"/>
      <c r="IA133" s="33"/>
      <c r="IB133" s="31" t="str">
        <f>IF(IA133/(INDEX('Standards for Conversions'!$H$47:$H$73,MATCH(HZ$3,'Standards for Conversions'!$A$47:$A$73,0)))=0,"",IA133/(INDEX('Standards for Conversions'!$H$47:$H$73,MATCH(HZ$3,'Standards for Conversions'!$A$47:$A$73,0))))</f>
        <v/>
      </c>
      <c r="IC133" s="33" t="s">
        <v>38</v>
      </c>
      <c r="IF133" s="31" t="str">
        <f>IF(IE133/(INDEX('Standards for Conversions'!$H$47:$H$73,MATCH(ID$3,'Standards for Conversions'!$A$47:$A$73,0)))=0,"",IE133/(INDEX('Standards for Conversions'!$H$47:$H$73,MATCH(ID$3,'Standards for Conversions'!$A$47:$A$73,0))))</f>
        <v/>
      </c>
      <c r="IG133" s="33" t="s">
        <v>38</v>
      </c>
      <c r="IJ133" s="31" t="str">
        <f>IF(II133/(INDEX('Standards for Conversions'!$H$47:$H$73,MATCH(IH$3,'Standards for Conversions'!$A$47:$A$73,0)))=0,"",II133/(INDEX('Standards for Conversions'!$H$47:$H$73,MATCH(IH$3,'Standards for Conversions'!$A$47:$A$73,0))))</f>
        <v/>
      </c>
      <c r="IK133" s="33" t="s">
        <v>38</v>
      </c>
      <c r="IL133" s="29">
        <v>26</v>
      </c>
      <c r="IM133" s="29">
        <v>455</v>
      </c>
      <c r="IN133" s="31">
        <f>IF(IM133/(INDEX('Standards for Conversions'!$H$47:$H$73,MATCH(IL$3,'Standards for Conversions'!$A$47:$A$73,0)))=0,"",IM133/(INDEX('Standards for Conversions'!$H$47:$H$73,MATCH(IL$3,'Standards for Conversions'!$A$47:$A$73,0))))</f>
        <v>65.797653828466721</v>
      </c>
      <c r="IO133" s="33" t="s">
        <v>38</v>
      </c>
      <c r="IR133" s="31" t="str">
        <f>IF(IQ133/(INDEX('Standards for Conversions'!$H$47:$H$73,MATCH(IP$3,'Standards for Conversions'!$A$47:$A$73,0)))=0,"",IQ133/(INDEX('Standards for Conversions'!$H$47:$H$73,MATCH(IP$3,'Standards for Conversions'!$A$47:$A$73,0))))</f>
        <v/>
      </c>
      <c r="IS133" s="33" t="s">
        <v>38</v>
      </c>
      <c r="IV133" s="31" t="str">
        <f>IF(IU133/(INDEX('Standards for Conversions'!$H$47:$H$73,MATCH(IT$3,'Standards for Conversions'!$A$47:$A$73,0)))=0,"",IU133/(INDEX('Standards for Conversions'!$H$47:$H$73,MATCH(IT$3,'Standards for Conversions'!$A$47:$A$73,0))))</f>
        <v/>
      </c>
      <c r="IW133" s="33" t="s">
        <v>38</v>
      </c>
      <c r="IZ133" s="31" t="str">
        <f>IF(IY133/(INDEX('Standards for Conversions'!$H$47:$H$73,MATCH(IX$3,'Standards for Conversions'!$A$47:$A$73,0)))=0,"",IY133/(INDEX('Standards for Conversions'!$H$47:$H$73,MATCH(IX$3,'Standards for Conversions'!$A$47:$A$73,0))))</f>
        <v/>
      </c>
      <c r="JA133" s="48" t="s">
        <v>38</v>
      </c>
      <c r="JB133" s="29">
        <v>50</v>
      </c>
      <c r="JC133" s="29">
        <v>600</v>
      </c>
      <c r="JD133" s="31">
        <f>IF(JC133/(INDEX('Standards for Conversions'!$H$47:$H$73,MATCH(JB$3,'Standards for Conversions'!$A$47:$A$73,0)))=0,"",JC133/(INDEX('Standards for Conversions'!$H$47:$H$73,MATCH(JB$3,'Standards for Conversions'!$A$47:$A$73,0))))</f>
        <v>97.056118015121214</v>
      </c>
      <c r="JE133" s="33"/>
      <c r="JH133" s="31" t="str">
        <f>IF(JG133/(INDEX('Standards for Conversions'!$H$47:$H$73,MATCH(JF$3,'Standards for Conversions'!$A$47:$A$73,0)))=0,"",JG133/(INDEX('Standards for Conversions'!$H$47:$H$73,MATCH(JF$3,'Standards for Conversions'!$A$47:$A$73,0))))</f>
        <v/>
      </c>
      <c r="JI133" s="48"/>
      <c r="JL133" s="31" t="str">
        <f>IF(JK133/(INDEX('Standards for Conversions'!$H$47:$H$73,MATCH(JJ$3,'Standards for Conversions'!$A$47:$A$73,0)))=0,"",JK133/(INDEX('Standards for Conversions'!$H$47:$H$73,MATCH(JJ$3,'Standards for Conversions'!$A$47:$A$73,0))))</f>
        <v/>
      </c>
      <c r="JM133" s="33" t="s">
        <v>38</v>
      </c>
      <c r="JP133" s="31" t="str">
        <f>IF(JO133/(INDEX('Standards for Conversions'!$H$47:$H$73,MATCH(JN$3,'Standards for Conversions'!$A$47:$A$73,0)))=0,"",JO133/(INDEX('Standards for Conversions'!$H$47:$H$73,MATCH(JN$3,'Standards for Conversions'!$A$47:$A$73,0))))</f>
        <v/>
      </c>
      <c r="JQ133" s="33" t="s">
        <v>38</v>
      </c>
      <c r="JR133" s="29">
        <v>100</v>
      </c>
      <c r="JS133" s="29">
        <v>800</v>
      </c>
      <c r="JT133" s="31">
        <f>IF(JS133/(INDEX('Standards for Conversions'!$H$47:$H$73,MATCH(JR$3,'Standards for Conversions'!$A$47:$A$73,0)))=0,"",JS133/(INDEX('Standards for Conversions'!$H$47:$H$73,MATCH(JR$3,'Standards for Conversions'!$A$47:$A$73,0))))</f>
        <v>122.12471394223805</v>
      </c>
      <c r="JU133" s="33" t="s">
        <v>38</v>
      </c>
      <c r="JX133" s="31" t="str">
        <f>IF(JW133/(INDEX('Standards for Conversions'!$H$47:$H$73,MATCH(JV$3,'Standards for Conversions'!$A$47:$A$73,0)))=0,"",JW133/(INDEX('Standards for Conversions'!$H$47:$H$73,MATCH(JV$3,'Standards for Conversions'!$A$47:$A$73,0))))</f>
        <v/>
      </c>
      <c r="JY133" s="33" t="s">
        <v>38</v>
      </c>
      <c r="KB133" s="31" t="str">
        <f>IF(KA133/(INDEX('Standards for Conversions'!$H$47:$H$73,MATCH(JZ$3,'Standards for Conversions'!$A$47:$A$73,0)))=0,"",KA133/(INDEX('Standards for Conversions'!$H$47:$H$73,MATCH(JZ$3,'Standards for Conversions'!$A$47:$A$73,0))))</f>
        <v/>
      </c>
      <c r="KC133" s="33" t="s">
        <v>38</v>
      </c>
      <c r="KF133" s="31" t="str">
        <f>IF(KE133/(INDEX('Standards for Conversions'!$H$47:$H$73,MATCH(KD$3,'Standards for Conversions'!$A$47:$A$73,0)))=0,"",KE133/(INDEX('Standards for Conversions'!$H$47:$H$73,MATCH(KD$3,'Standards for Conversions'!$A$47:$A$73,0))))</f>
        <v/>
      </c>
      <c r="KG133" s="33" t="s">
        <v>38</v>
      </c>
      <c r="KH133" s="29">
        <v>50</v>
      </c>
      <c r="KI133" s="29">
        <v>500</v>
      </c>
      <c r="KJ133" s="31">
        <f>IF(KI133/(INDEX('Standards for Conversions'!$H$47:$H$73,MATCH(KH$3,'Standards for Conversions'!$A$47:$A$73,0)))=0,"",KI133/(INDEX('Standards for Conversions'!$H$47:$H$73,MATCH(KH$3,'Standards for Conversions'!$A$47:$A$73,0))))</f>
        <v>67.329505952898231</v>
      </c>
      <c r="KK133" s="33" t="s">
        <v>38</v>
      </c>
      <c r="KN133" s="31" t="str">
        <f>IF(KM133/(INDEX('Standards for Conversions'!$H$47:$H$73,MATCH(KL$3,'Standards for Conversions'!$A$47:$A$73,0)))=0,"",KM133/(INDEX('Standards for Conversions'!$H$47:$H$73,MATCH(KL$3,'Standards for Conversions'!$A$47:$A$73,0))))</f>
        <v/>
      </c>
      <c r="KO133" s="33" t="s">
        <v>38</v>
      </c>
      <c r="KR133" s="31" t="str">
        <f>IF(KQ133/(INDEX('Standards for Conversions'!$H$47:$H$73,MATCH(KP$3,'Standards for Conversions'!$A$47:$A$73,0)))=0,"",KQ133/(INDEX('Standards for Conversions'!$H$47:$H$73,MATCH(KP$3,'Standards for Conversions'!$A$47:$A$73,0))))</f>
        <v/>
      </c>
      <c r="KS133" s="33" t="s">
        <v>38</v>
      </c>
      <c r="KV133" s="31" t="str">
        <f>IF(KU133/(INDEX('Standards for Conversions'!$H$47:$H$73,MATCH(KT$3,'Standards for Conversions'!$A$47:$A$73,0)))=0,"",KU133/(INDEX('Standards for Conversions'!$H$47:$H$73,MATCH(KT$3,'Standards for Conversions'!$A$47:$A$73,0))))</f>
        <v/>
      </c>
      <c r="KW133" s="48" t="s">
        <v>38</v>
      </c>
      <c r="KX133" s="29">
        <v>60</v>
      </c>
      <c r="KY133" s="29">
        <v>600</v>
      </c>
      <c r="KZ133" s="31">
        <f>IF(KY133/(INDEX('Standards for Conversions'!$H$47:$H$73,MATCH(KX$3,'Standards for Conversions'!$A$47:$A$73,0)))=0,"",KY133/(INDEX('Standards for Conversions'!$H$47:$H$73,MATCH(KX$3,'Standards for Conversions'!$A$47:$A$73,0))))</f>
        <v>72.969940036499509</v>
      </c>
      <c r="LD133" s="31" t="str">
        <f>IF(LC133/(INDEX('Standards for Conversions'!$H$47:$H$73,MATCH(LB$3,'Standards for Conversions'!$A$47:$A$73,0)))=0,"",LC133/(INDEX('Standards for Conversions'!$H$47:$H$73,MATCH(LB$3,'Standards for Conversions'!$A$47:$A$73,0))))</f>
        <v/>
      </c>
      <c r="LE133" s="48"/>
      <c r="LH133" s="31" t="str">
        <f>IF(LG133/(INDEX('Standards for Conversions'!$H$47:$H$73,MATCH(LF$3,'Standards for Conversions'!$A$47:$A$73,0)))=0,"",LG133/(INDEX('Standards for Conversions'!$H$47:$H$73,MATCH(LF$3,'Standards for Conversions'!$A$47:$A$73,0))))</f>
        <v/>
      </c>
      <c r="LL133" s="31" t="str">
        <f>IF(LK133/(INDEX('Standards for Conversions'!$H$47:$H$73,MATCH(LJ$3,'Standards for Conversions'!$A$47:$A$73,0)))=0,"",LK133/(INDEX('Standards for Conversions'!$H$47:$H$73,MATCH(LJ$3,'Standards for Conversions'!$A$47:$A$73,0))))</f>
        <v/>
      </c>
      <c r="LO133" s="31" t="str">
        <f>IF(LN133/(INDEX('Standards for Conversions'!$H$47:$H$73,MATCH(LM$3,'Standards for Conversions'!$A$47:$A$73,0)))=0,"",LN133/(INDEX('Standards for Conversions'!$H$47:$H$73,MATCH(LM$3,'Standards for Conversions'!$A$47:$A$73,0))))</f>
        <v/>
      </c>
      <c r="LR133" s="31" t="str">
        <f>IF(LQ133/(INDEX('Standards for Conversions'!$H$47:$H$73,MATCH(LP$3,'Standards for Conversions'!$A$47:$A$73,0)))=0,"",LQ133/(INDEX('Standards for Conversions'!$H$47:$H$73,MATCH(LP$3,'Standards for Conversions'!$A$47:$A$73,0))))</f>
        <v/>
      </c>
      <c r="LV133" s="31" t="str">
        <f>IF(LU133/(INDEX('Standards for Conversions'!$H$47:$H$73,MATCH(LT$3,'Standards for Conversions'!$A$47:$A$73,0)))=0,"",LU133/(INDEX('Standards for Conversions'!$H$47:$H$73,MATCH(LT$3,'Standards for Conversions'!$A$47:$A$73,0))))</f>
        <v/>
      </c>
      <c r="LY133" s="31" t="str">
        <f>IF(LX133/(INDEX('Standards for Conversions'!$H$47:$H$73,MATCH(LW$3,'Standards for Conversions'!$A$47:$A$73,0)))=0,"",LX133/(INDEX('Standards for Conversions'!$H$47:$H$73,MATCH(LW$3,'Standards for Conversions'!$A$47:$A$73,0))))</f>
        <v/>
      </c>
      <c r="MB133" s="31" t="str">
        <f>IF(MA133/(INDEX('Standards for Conversions'!$H$47:$H$73,MATCH(LZ$3,'Standards for Conversions'!$A$47:$A$73,0)))=0,"",MA133/(INDEX('Standards for Conversions'!$H$47:$H$73,MATCH(LZ$3,'Standards for Conversions'!$A$47:$A$73,0))))</f>
        <v/>
      </c>
      <c r="ME133" s="31" t="str">
        <f>IF(MD133/(INDEX('Standards for Conversions'!$H$47:$H$73,MATCH(MC$3,'Standards for Conversions'!$A$47:$A$73,0)))=0,"",MD133/(INDEX('Standards for Conversions'!$H$47:$H$73,MATCH(MC$3,'Standards for Conversions'!$A$47:$A$73,0))))</f>
        <v/>
      </c>
      <c r="MH133" s="31" t="str">
        <f>IF(MG133/(INDEX('Standards for Conversions'!$H$47:$H$73,MATCH(MF$3,'Standards for Conversions'!$A$47:$A$73,0)))=0,"",MG133/(INDEX('Standards for Conversions'!$H$47:$H$73,MATCH(MF$3,'Standards for Conversions'!$A$47:$A$73,0))))</f>
        <v/>
      </c>
      <c r="MK133" s="31" t="str">
        <f>IF(MJ133/(INDEX('Standards for Conversions'!$H$47:$H$73,MATCH(MI$3,'Standards for Conversions'!$A$47:$A$73,0)))=0,"",MJ133/(INDEX('Standards for Conversions'!$H$47:$H$73,MATCH(MI$3,'Standards for Conversions'!$A$47:$A$73,0))))</f>
        <v/>
      </c>
      <c r="MN133" s="31" t="str">
        <f>IF(MM133/(INDEX('Standards for Conversions'!$H$47:$H$73,MATCH(ML$3,'Standards for Conversions'!$A$47:$A$73,0)))=0,"",MM133/(INDEX('Standards for Conversions'!$H$47:$H$73,MATCH(ML$3,'Standards for Conversions'!$A$47:$A$73,0))))</f>
        <v/>
      </c>
      <c r="MR133" s="31" t="str">
        <f>IF(MQ133/(INDEX('Standards for Conversions'!$H$47:$H$73,MATCH(MP$3,'Standards for Conversions'!$A$47:$A$73,0)))=0,"",MQ133/(INDEX('Standards for Conversions'!$H$47:$H$73,MATCH(MP$3,'Standards for Conversions'!$A$47:$A$73,0))))</f>
        <v/>
      </c>
    </row>
    <row r="134" spans="1:356" hidden="1" x14ac:dyDescent="0.3">
      <c r="A134" s="103" t="s">
        <v>299</v>
      </c>
      <c r="B134" s="10" t="s">
        <v>38</v>
      </c>
      <c r="C134" s="7"/>
      <c r="D134" s="7"/>
      <c r="E134" s="31" t="str">
        <f>IF(D134/(INDEX('Standards for Conversions'!$H$34:$H$73,MATCH(C$3,'Standards for Conversions'!$A$34:$A$73,0)))=0,"",D134/(INDEX('Standards for Conversions'!$H$34:$H$73,MATCH(C$3,'Standards for Conversions'!$A$34:$A$73,0))))</f>
        <v/>
      </c>
      <c r="F134" s="10" t="s">
        <v>38</v>
      </c>
      <c r="G134" s="7"/>
      <c r="H134" s="7"/>
      <c r="I134" s="31" t="str">
        <f>IF(H134/(INDEX('Standards for Conversions'!$H$34:$H$73,MATCH(G$3,'Standards for Conversions'!$A$34:$A$73,0)))=0,"",H134/(INDEX('Standards for Conversions'!$H$34:$H$73,MATCH(G$3,'Standards for Conversions'!$A$34:$A$73,0))))</f>
        <v/>
      </c>
      <c r="J134" s="10" t="s">
        <v>38</v>
      </c>
      <c r="K134" s="9"/>
      <c r="L134" s="9"/>
      <c r="M134" s="31" t="str">
        <f>IF(L134/(INDEX('Standards for Conversions'!$H$34:$H$73,MATCH(K$3,'Standards for Conversions'!$A$34:$A$73,0)))=0,"",L134/(INDEX('Standards for Conversions'!$H$34:$H$73,MATCH(K$3,'Standards for Conversions'!$A$34:$A$73,0))))</f>
        <v/>
      </c>
      <c r="N134" s="10" t="s">
        <v>38</v>
      </c>
      <c r="O134" s="7"/>
      <c r="P134" s="7"/>
      <c r="Q134" s="31" t="str">
        <f>IF(P134/(INDEX('Standards for Conversions'!$H$34:$H$73,MATCH(O$3,'Standards for Conversions'!$A$34:$A$73,0)))=0,"",P134/(INDEX('Standards for Conversions'!$H$34:$H$73,MATCH(O$3,'Standards for Conversions'!$A$34:$A$73,0))))</f>
        <v/>
      </c>
      <c r="R134" s="10" t="s">
        <v>38</v>
      </c>
      <c r="S134" s="7"/>
      <c r="T134" s="7"/>
      <c r="U134" s="31" t="str">
        <f>IF(T134/(INDEX('Standards for Conversions'!$H$34:$H$73,MATCH(S$3,'Standards for Conversions'!$A$34:$A$73,0)))=0,"",T134/(INDEX('Standards for Conversions'!$H$34:$H$73,MATCH(S$3,'Standards for Conversions'!$A$34:$A$73,0))))</f>
        <v/>
      </c>
      <c r="V134" s="10" t="s">
        <v>38</v>
      </c>
      <c r="W134" s="7"/>
      <c r="X134" s="7"/>
      <c r="Y134" s="31" t="str">
        <f>IF(X134/(INDEX('Standards for Conversions'!$H$34:$H$73,MATCH(W$3,'Standards for Conversions'!$A$34:$A$73,0)))=0,"",X134/(INDEX('Standards for Conversions'!$H$34:$H$73,MATCH(W$3,'Standards for Conversions'!$A$34:$A$73,0))))</f>
        <v/>
      </c>
      <c r="Z134" s="10" t="s">
        <v>38</v>
      </c>
      <c r="AA134" s="9"/>
      <c r="AB134" s="9"/>
      <c r="AC134" s="31" t="str">
        <f>IF(AB134/(INDEX('Standards for Conversions'!$H$34:$H$73,MATCH(AA$3,'Standards for Conversions'!$A$34:$A$73,0)))=0,"",AB134/(INDEX('Standards for Conversions'!$H$34:$H$73,MATCH(AA$3,'Standards for Conversions'!$A$34:$A$73,0))))</f>
        <v/>
      </c>
      <c r="AD134" s="10" t="s">
        <v>38</v>
      </c>
      <c r="AE134" s="7"/>
      <c r="AF134" s="7"/>
      <c r="AG134" s="31" t="str">
        <f>IF(AF134/(INDEX('Standards for Conversions'!$H$34:$H$73,MATCH(AE$3,'Standards for Conversions'!$A$34:$A$73,0)))=0,"",AF134/(INDEX('Standards for Conversions'!$H$34:$H$73,MATCH(AE$3,'Standards for Conversions'!$A$34:$A$73,0))))</f>
        <v/>
      </c>
      <c r="AH134" s="10" t="s">
        <v>38</v>
      </c>
      <c r="AI134" s="7"/>
      <c r="AJ134" s="7"/>
      <c r="AK134" s="31" t="str">
        <f>IF(AJ134/(INDEX('Standards for Conversions'!$H$34:$H$73,MATCH(AI$3,'Standards for Conversions'!$A$34:$A$73,0)))=0,"",AJ134/(INDEX('Standards for Conversions'!$H$34:$H$73,MATCH(AI$3,'Standards for Conversions'!$A$34:$A$73,0))))</f>
        <v/>
      </c>
      <c r="AL134" s="10" t="s">
        <v>38</v>
      </c>
      <c r="AM134" s="7"/>
      <c r="AN134" s="7"/>
      <c r="AO134" s="31" t="str">
        <f>IF(AN134/(INDEX('Standards for Conversions'!$H$34:$H$73,MATCH(AM$3,'Standards for Conversions'!$A$34:$A$73,0)))=0,"",AN134/(INDEX('Standards for Conversions'!$H$34:$H$73,MATCH(AM$3,'Standards for Conversions'!$A$34:$A$73,0))))</f>
        <v/>
      </c>
      <c r="AP134" s="10" t="s">
        <v>38</v>
      </c>
      <c r="AQ134" s="9"/>
      <c r="AR134" s="9"/>
      <c r="AS134" s="31" t="str">
        <f>IF(AR134/(INDEX('Standards for Conversions'!$H$34:$H$73,MATCH(AQ$3,'Standards for Conversions'!$A$34:$A$73,0)))=0,"",AR134/(INDEX('Standards for Conversions'!$H$34:$H$73,MATCH(AQ$3,'Standards for Conversions'!$A$34:$A$73,0))))</f>
        <v/>
      </c>
      <c r="AT134" s="10" t="s">
        <v>38</v>
      </c>
      <c r="AU134" s="7"/>
      <c r="AV134" s="7"/>
      <c r="AW134" s="31" t="str">
        <f>IF(AV134/(INDEX('Standards for Conversions'!$H$34:$H$73,MATCH(AU$3,'Standards for Conversions'!$A$34:$A$73,0)))=0,"",AV134/(INDEX('Standards for Conversions'!$H$34:$H$73,MATCH(AU$3,'Standards for Conversions'!$A$34:$A$73,0))))</f>
        <v/>
      </c>
      <c r="AX134" s="10" t="s">
        <v>38</v>
      </c>
      <c r="AY134" s="7"/>
      <c r="AZ134" s="7"/>
      <c r="BA134" s="31" t="str">
        <f>IF(AZ134/(INDEX('Standards for Conversions'!$H$34:$H$73,MATCH(AY$3,'Standards for Conversions'!$A$34:$A$73,0)))=0,"",AZ134/(INDEX('Standards for Conversions'!$H$34:$H$73,MATCH(AY$3,'Standards for Conversions'!$A$34:$A$73,0))))</f>
        <v/>
      </c>
      <c r="BB134" s="10" t="s">
        <v>38</v>
      </c>
      <c r="BC134" s="7"/>
      <c r="BD134" s="7"/>
      <c r="BE134" s="31" t="str">
        <f>IF(BD134/(INDEX('Standards for Conversions'!$H$34:$H$73,MATCH(BC$3,'Standards for Conversions'!$A$34:$A$73,0)))=0,"",BD134/(INDEX('Standards for Conversions'!$H$34:$H$73,MATCH(BC$3,'Standards for Conversions'!$A$34:$A$73,0))))</f>
        <v/>
      </c>
      <c r="BF134" s="10" t="s">
        <v>38</v>
      </c>
      <c r="BG134" s="9"/>
      <c r="BH134" s="9"/>
      <c r="BI134" s="31" t="str">
        <f>IF(BH134/(INDEX('Standards for Conversions'!$H$34:$H$73,MATCH(BG$3,'Standards for Conversions'!$A$34:$A$73,0)))=0,"",BH134/(INDEX('Standards for Conversions'!$H$34:$H$73,MATCH(BG$3,'Standards for Conversions'!$A$34:$A$73,0))))</f>
        <v/>
      </c>
      <c r="BJ134" s="10" t="s">
        <v>38</v>
      </c>
      <c r="BK134" s="7"/>
      <c r="BL134" s="7"/>
      <c r="BM134" s="31" t="str">
        <f>IF(BL134/(INDEX('Standards for Conversions'!$H$34:$H$73,MATCH(BK$3,'Standards for Conversions'!$A$34:$A$73,0)))=0,"",BL134/(INDEX('Standards for Conversions'!$H$34:$H$73,MATCH(BK$3,'Standards for Conversions'!$A$34:$A$73,0))))</f>
        <v/>
      </c>
      <c r="BN134" s="10" t="s">
        <v>38</v>
      </c>
      <c r="BO134" s="7"/>
      <c r="BP134" s="7"/>
      <c r="BQ134" s="31" t="str">
        <f>IF(BP134/(INDEX('Standards for Conversions'!$H$34:$H$73,MATCH(BO$3,'Standards for Conversions'!$A$34:$A$73,0)))=0,"",BP134/(INDEX('Standards for Conversions'!$H$34:$H$73,MATCH(BO$3,'Standards for Conversions'!$A$34:$A$73,0))))</f>
        <v/>
      </c>
      <c r="BR134" s="10" t="s">
        <v>38</v>
      </c>
      <c r="BS134" s="7"/>
      <c r="BT134" s="7"/>
      <c r="BU134" s="31" t="str">
        <f>IF(BT134/(INDEX('Standards for Conversions'!$H$34:$H$73,MATCH(BS$3,'Standards for Conversions'!$A$34:$A$73,0)))=0,"",BT134/(INDEX('Standards for Conversions'!$H$34:$H$73,MATCH(BS$3,'Standards for Conversions'!$A$34:$A$73,0))))</f>
        <v/>
      </c>
      <c r="BV134" s="10" t="s">
        <v>38</v>
      </c>
      <c r="BW134" s="9"/>
      <c r="BX134" s="9"/>
      <c r="BY134" s="31" t="str">
        <f>IF(BX134/(INDEX('Standards for Conversions'!$H$34:$H$73,MATCH(BW$3,'Standards for Conversions'!$A$34:$A$73,0)))=0,"",BX134/(INDEX('Standards for Conversions'!$H$34:$H$73,MATCH(BW$3,'Standards for Conversions'!$A$34:$A$73,0))))</f>
        <v/>
      </c>
      <c r="BZ134" s="10" t="s">
        <v>38</v>
      </c>
      <c r="CA134" s="7"/>
      <c r="CB134" s="7"/>
      <c r="CC134" s="31" t="str">
        <f>IF(CB134/(INDEX('Standards for Conversions'!$H$34:$H$73,MATCH(CA$3,'Standards for Conversions'!$A$34:$A$73,0)))=0,"",CB134/(INDEX('Standards for Conversions'!$H$34:$H$73,MATCH(CA$3,'Standards for Conversions'!$A$34:$A$73,0))))</f>
        <v/>
      </c>
      <c r="CD134" s="10" t="s">
        <v>38</v>
      </c>
      <c r="CE134" s="7"/>
      <c r="CF134" s="7"/>
      <c r="CG134" s="31" t="str">
        <f>IF(CF134/(INDEX('Standards for Conversions'!$H$34:$H$73,MATCH(CE$3,'Standards for Conversions'!$A$34:$A$73,0)))=0,"",CF134/(INDEX('Standards for Conversions'!$H$34:$H$73,MATCH(CE$3,'Standards for Conversions'!$A$34:$A$73,0))))</f>
        <v/>
      </c>
      <c r="CH134" s="10" t="s">
        <v>38</v>
      </c>
      <c r="CI134" s="7"/>
      <c r="CJ134" s="7"/>
      <c r="CK134" s="31" t="str">
        <f>IF(CJ134/(INDEX('Standards for Conversions'!$H$34:$H$73,MATCH(CI$3,'Standards for Conversions'!$A$34:$A$73,0)))=0,"",CJ134/(INDEX('Standards for Conversions'!$H$34:$H$73,MATCH(CI$3,'Standards for Conversions'!$A$34:$A$73,0))))</f>
        <v/>
      </c>
      <c r="CL134" s="10" t="s">
        <v>38</v>
      </c>
      <c r="CM134" s="9"/>
      <c r="CN134" s="9"/>
      <c r="CO134" s="31" t="str">
        <f>IF(CN134/(INDEX('Standards for Conversions'!$H$34:$H$73,MATCH(CM$3,'Standards for Conversions'!$A$34:$A$73,0)))=0,"",CN134/(INDEX('Standards for Conversions'!$H$34:$H$73,MATCH(CM$3,'Standards for Conversions'!$A$34:$A$73,0))))</f>
        <v/>
      </c>
      <c r="CP134" s="10" t="s">
        <v>38</v>
      </c>
      <c r="CQ134" s="7"/>
      <c r="CR134" s="7"/>
      <c r="CS134" s="31" t="str">
        <f>IF(CR134/(INDEX('Standards for Conversions'!$H$34:$H$73,MATCH(CQ$3,'Standards for Conversions'!$A$34:$A$73,0)))=0,"",CR134/(INDEX('Standards for Conversions'!$H$34:$H$73,MATCH(CQ$3,'Standards for Conversions'!$A$34:$A$73,0))))</f>
        <v/>
      </c>
      <c r="CT134" s="10" t="s">
        <v>38</v>
      </c>
      <c r="CU134" s="7"/>
      <c r="CV134" s="7"/>
      <c r="CW134" s="31" t="str">
        <f>IF(CV134/(INDEX('Standards for Conversions'!$H$34:$H$73,MATCH(CU$3,'Standards for Conversions'!$A$34:$A$73,0)))=0,"",CV134/(INDEX('Standards for Conversions'!$H$34:$H$73,MATCH(CU$3,'Standards for Conversions'!$A$34:$A$73,0))))</f>
        <v/>
      </c>
      <c r="CX134" s="10" t="s">
        <v>38</v>
      </c>
      <c r="CY134" s="7"/>
      <c r="CZ134" s="7"/>
      <c r="DA134" s="31" t="str">
        <f>IF(CZ134/(INDEX('Standards for Conversions'!$H$34:$H$73,MATCH(CY$3,'Standards for Conversions'!$A$34:$A$73,0)))=0,"",CZ134/(INDEX('Standards for Conversions'!$H$34:$H$73,MATCH(CY$3,'Standards for Conversions'!$A$34:$A$73,0))))</f>
        <v/>
      </c>
      <c r="DB134" s="10" t="s">
        <v>38</v>
      </c>
      <c r="DC134" s="9"/>
      <c r="DD134" s="9"/>
      <c r="DE134" s="31" t="str">
        <f>IF(DD134/(INDEX('Standards for Conversions'!$H$34:$H$73,MATCH(DC$3,'Standards for Conversions'!$A$34:$A$73,0)))=0,"",DD134/(INDEX('Standards for Conversions'!$H$34:$H$73,MATCH(DC$3,'Standards for Conversions'!$A$34:$A$73,0))))</f>
        <v/>
      </c>
      <c r="DF134" s="10" t="s">
        <v>38</v>
      </c>
      <c r="DG134" s="7"/>
      <c r="DH134" s="7"/>
      <c r="DI134" s="31" t="str">
        <f>IF(DH134/(INDEX('Standards for Conversions'!$H$34:$H$73,MATCH(DG$3,'Standards for Conversions'!$A$34:$A$73,0)))=0,"",DH134/(INDEX('Standards for Conversions'!$H$34:$H$73,MATCH(DG$3,'Standards for Conversions'!$A$34:$A$73,0))))</f>
        <v/>
      </c>
      <c r="DJ134" s="10" t="s">
        <v>38</v>
      </c>
      <c r="DK134" s="7"/>
      <c r="DL134" s="7"/>
      <c r="DM134" s="31" t="str">
        <f>IF(DL134/(INDEX('Standards for Conversions'!$H$34:$H$73,MATCH(DK$3,'Standards for Conversions'!$A$34:$A$73,0)))=0,"",DL134/(INDEX('Standards for Conversions'!$H$34:$H$73,MATCH(DK$3,'Standards for Conversions'!$A$34:$A$73,0))))</f>
        <v/>
      </c>
      <c r="DN134" s="10" t="s">
        <v>38</v>
      </c>
      <c r="DO134" s="7"/>
      <c r="DP134" s="7"/>
      <c r="DQ134" s="31" t="str">
        <f>IF(DP134/(INDEX('Standards for Conversions'!$H$34:$H$73,MATCH(DO$3,'Standards for Conversions'!$A$34:$A$73,0)))=0,"",DP134/(INDEX('Standards for Conversions'!$H$34:$H$73,MATCH(DO$3,'Standards for Conversions'!$A$34:$A$73,0))))</f>
        <v/>
      </c>
      <c r="DR134" s="10" t="s">
        <v>38</v>
      </c>
      <c r="DS134" s="9"/>
      <c r="DT134" s="9"/>
      <c r="DU134" s="31" t="str">
        <f>IF(DT134/(INDEX('Standards for Conversions'!$H$34:$H$73,MATCH(DS$3,'Standards for Conversions'!$A$34:$A$73,0)))=0,"",DT134/(INDEX('Standards for Conversions'!$H$34:$H$73,MATCH(DS$3,'Standards for Conversions'!$A$34:$A$73,0))))</f>
        <v/>
      </c>
      <c r="DV134" s="10" t="s">
        <v>38</v>
      </c>
      <c r="DW134" s="7"/>
      <c r="DX134" s="7"/>
      <c r="DY134" s="31" t="str">
        <f>IF(DX134/(INDEX('Standards for Conversions'!$H$34:$H$73,MATCH(DW$3,'Standards for Conversions'!$A$34:$A$73,0)))=0,"",DX134/(INDEX('Standards for Conversions'!$H$34:$H$73,MATCH(DW$3,'Standards for Conversions'!$A$34:$A$73,0))))</f>
        <v/>
      </c>
      <c r="DZ134" s="10" t="s">
        <v>38</v>
      </c>
      <c r="EA134" s="7"/>
      <c r="EB134" s="7"/>
      <c r="EC134" s="31" t="str">
        <f>IF(EB134/(INDEX('Standards for Conversions'!$H$34:$H$73,MATCH(EA$3,'Standards for Conversions'!$A$34:$A$73,0)))=0,"",EB134/(INDEX('Standards for Conversions'!$H$34:$H$73,MATCH(EA$3,'Standards for Conversions'!$A$34:$A$73,0))))</f>
        <v/>
      </c>
      <c r="ED134" s="10" t="s">
        <v>38</v>
      </c>
      <c r="EE134" s="7"/>
      <c r="EF134" s="7"/>
      <c r="EG134" s="31" t="str">
        <f>IF(EF134/(INDEX('Standards for Conversions'!$H$34:$H$73,MATCH(EE$3,'Standards for Conversions'!$A$34:$A$73,0)))=0,"",EF134/(INDEX('Standards for Conversions'!$H$34:$H$73,MATCH(EE$3,'Standards for Conversions'!$A$34:$A$73,0))))</f>
        <v/>
      </c>
      <c r="EH134" s="10" t="s">
        <v>38</v>
      </c>
      <c r="EI134" s="9"/>
      <c r="EJ134" s="9"/>
      <c r="EK134" s="31" t="str">
        <f>IF(EJ134/(INDEX('Standards for Conversions'!$H$34:$H$73,MATCH(EI$3,'Standards for Conversions'!$A$34:$A$73,0)))=0,"",EJ134/(INDEX('Standards for Conversions'!$H$34:$H$73,MATCH(EI$3,'Standards for Conversions'!$A$34:$A$73,0))))</f>
        <v/>
      </c>
      <c r="EL134" s="10" t="s">
        <v>38</v>
      </c>
      <c r="EM134" s="7"/>
      <c r="EN134" s="7"/>
      <c r="EO134" s="31" t="str">
        <f>IF(EN134/(INDEX('Standards for Conversions'!$H$34:$H$73,MATCH(EM$3,'Standards for Conversions'!$A$34:$A$73,0)))=0,"",EN134/(INDEX('Standards for Conversions'!$H$34:$H$73,MATCH(EM$3,'Standards for Conversions'!$A$34:$A$73,0))))</f>
        <v/>
      </c>
      <c r="EP134" s="10" t="s">
        <v>38</v>
      </c>
      <c r="EQ134" s="7"/>
      <c r="ER134" s="7"/>
      <c r="ES134" s="31" t="str">
        <f>IF(ER134/(INDEX('Standards for Conversions'!$H$34:$H$73,MATCH(EQ$3,'Standards for Conversions'!$A$34:$A$73,0)))=0,"",ER134/(INDEX('Standards for Conversions'!$H$34:$H$73,MATCH(EQ$3,'Standards for Conversions'!$A$34:$A$73,0))))</f>
        <v/>
      </c>
      <c r="ET134" s="10" t="s">
        <v>38</v>
      </c>
      <c r="EU134" s="7"/>
      <c r="EV134" s="7"/>
      <c r="EW134" s="31" t="str">
        <f>IF(EV134/(INDEX('Standards for Conversions'!$H$34:$H$73,MATCH(EU$3,'Standards for Conversions'!$A$34:$A$73,0)))=0,"",EV134/(INDEX('Standards for Conversions'!$H$34:$H$73,MATCH(EU$3,'Standards for Conversions'!$A$34:$A$73,0))))</f>
        <v/>
      </c>
      <c r="EX134" s="10" t="s">
        <v>38</v>
      </c>
      <c r="EY134" s="9"/>
      <c r="EZ134" s="9"/>
      <c r="FA134" s="31" t="str">
        <f>IF(EZ134/(INDEX('Standards for Conversions'!$H$34:$H$73,MATCH(EY$3,'Standards for Conversions'!$A$34:$A$73,0)))=0,"",EZ134/(INDEX('Standards for Conversions'!$H$34:$H$73,MATCH(EY$3,'Standards for Conversions'!$A$34:$A$73,0))))</f>
        <v/>
      </c>
      <c r="FB134" s="10" t="s">
        <v>38</v>
      </c>
      <c r="FC134" s="7"/>
      <c r="FD134" s="7"/>
      <c r="FE134" s="31" t="str">
        <f>IF(FD134/(INDEX('Standards for Conversions'!$H$34:$H$73,MATCH(FC$3,'Standards for Conversions'!$A$34:$A$73,0)))=0,"",FD134/(INDEX('Standards for Conversions'!$H$34:$H$73,MATCH(FC$3,'Standards for Conversions'!$A$34:$A$73,0))))</f>
        <v/>
      </c>
      <c r="FF134" s="10" t="s">
        <v>38</v>
      </c>
      <c r="FG134" s="7"/>
      <c r="FH134" s="7"/>
      <c r="FI134" s="31" t="str">
        <f>IF(FH134/(INDEX('Standards for Conversions'!$H$34:$H$73,MATCH(FG$3,'Standards for Conversions'!$A$34:$A$73,0)))=0,"",FH134/(INDEX('Standards for Conversions'!$H$34:$H$73,MATCH(FG$3,'Standards for Conversions'!$A$34:$A$73,0))))</f>
        <v/>
      </c>
      <c r="FJ134" s="10" t="s">
        <v>38</v>
      </c>
      <c r="FK134" s="7"/>
      <c r="FL134" s="7"/>
      <c r="FM134" s="31" t="str">
        <f>IF(FL134/(INDEX('Standards for Conversions'!$H$34:$H$73,MATCH(FK$3,'Standards for Conversions'!$A$34:$A$73,0)))=0,"",FL134/(INDEX('Standards for Conversions'!$H$34:$H$73,MATCH(FK$3,'Standards for Conversions'!$A$34:$A$73,0))))</f>
        <v/>
      </c>
      <c r="FN134" s="10" t="s">
        <v>38</v>
      </c>
      <c r="FO134" s="9"/>
      <c r="FP134" s="9"/>
      <c r="FQ134" s="31" t="str">
        <f>IF(FP134/(INDEX('Standards for Conversions'!$H$34:$H$73,MATCH(FO$3,'Standards for Conversions'!$A$34:$A$73,0)))=0,"",FP134/(INDEX('Standards for Conversions'!$H$34:$H$73,MATCH(FO$3,'Standards for Conversions'!$A$34:$A$73,0))))</f>
        <v/>
      </c>
      <c r="FR134" s="10" t="s">
        <v>38</v>
      </c>
      <c r="FS134" s="7"/>
      <c r="FT134" s="7"/>
      <c r="FU134" s="31" t="str">
        <f>IF(FT134/(INDEX('Standards for Conversions'!$H$34:$H$73,MATCH(FS$3,'Standards for Conversions'!$A$34:$A$73,0)))=0,"",FT134/(INDEX('Standards for Conversions'!$H$34:$H$73,MATCH(FS$3,'Standards for Conversions'!$A$34:$A$73,0))))</f>
        <v/>
      </c>
      <c r="FV134" s="10" t="s">
        <v>38</v>
      </c>
      <c r="FW134" s="7"/>
      <c r="FX134" s="7"/>
      <c r="FY134" s="31" t="str">
        <f>IF(FX134/(INDEX('Standards for Conversions'!$H$34:$H$73,MATCH(FW$3,'Standards for Conversions'!$A$34:$A$73,0)))=0,"",FX134/(INDEX('Standards for Conversions'!$H$34:$H$73,MATCH(FW$3,'Standards for Conversions'!$A$34:$A$73,0))))</f>
        <v/>
      </c>
      <c r="FZ134" s="10" t="s">
        <v>38</v>
      </c>
      <c r="GA134" s="7"/>
      <c r="GB134" s="7"/>
      <c r="GC134" s="31" t="str">
        <f>IF(GB134/(INDEX('Standards for Conversions'!$H$34:$H$73,MATCH(GA$3,'Standards for Conversions'!$A$34:$A$73,0)))=0,"",GB134/(INDEX('Standards for Conversions'!$H$34:$H$73,MATCH(GA$3,'Standards for Conversions'!$A$34:$A$73,0))))</f>
        <v/>
      </c>
      <c r="GD134" s="10" t="s">
        <v>38</v>
      </c>
      <c r="GE134" s="9"/>
      <c r="GF134" s="9"/>
      <c r="GG134" s="31" t="str">
        <f>IF(GF134/(INDEX('Standards for Conversions'!$H$34:$H$73,MATCH(GE$3,'Standards for Conversions'!$A$34:$A$73,0)))=0,"",GF134/(INDEX('Standards for Conversions'!$H$34:$H$73,MATCH(GE$3,'Standards for Conversions'!$A$34:$A$73,0))))</f>
        <v/>
      </c>
      <c r="GH134" s="10" t="s">
        <v>38</v>
      </c>
      <c r="GI134" s="7"/>
      <c r="GJ134" s="7"/>
      <c r="GK134" s="31" t="str">
        <f>IF(GJ134/(INDEX('Standards for Conversions'!$H$34:$H$73,MATCH(GI$3,'Standards for Conversions'!$A$34:$A$73,0)))=0,"",GJ134/(INDEX('Standards for Conversions'!$H$34:$H$73,MATCH(GI$3,'Standards for Conversions'!$A$34:$A$73,0))))</f>
        <v/>
      </c>
      <c r="GL134" s="10" t="s">
        <v>38</v>
      </c>
      <c r="GM134" s="7"/>
      <c r="GN134" s="7"/>
      <c r="GO134" s="31" t="str">
        <f>IF(GN134/(INDEX('Standards for Conversions'!$H$34:$H$73,MATCH(GM$3,'Standards for Conversions'!$A$34:$A$73,0)))=0,"",GN134/(INDEX('Standards for Conversions'!$H$34:$H$73,MATCH(GM$3,'Standards for Conversions'!$A$34:$A$73,0))))</f>
        <v/>
      </c>
      <c r="GP134" s="10" t="s">
        <v>38</v>
      </c>
      <c r="GQ134" s="7"/>
      <c r="GR134" s="7"/>
      <c r="GS134" s="31" t="str">
        <f>IF(GR134/(INDEX('Standards for Conversions'!$H$34:$H$73,MATCH(GQ$3,'Standards for Conversions'!$A$34:$A$73,0)))=0,"",GR134/(INDEX('Standards for Conversions'!$H$34:$H$73,MATCH(GQ$3,'Standards for Conversions'!$A$34:$A$73,0))))</f>
        <v/>
      </c>
      <c r="GT134" s="10" t="s">
        <v>38</v>
      </c>
      <c r="GU134" s="9"/>
      <c r="GV134" s="9"/>
      <c r="GW134" s="31" t="str">
        <f>IF(GV134/(INDEX('Standards for Conversions'!$H$34:$H$73,MATCH(GU$3,'Standards for Conversions'!$A$34:$A$73,0)))=0,"",GV134/(INDEX('Standards for Conversions'!$H$34:$H$73,MATCH(GU$3,'Standards for Conversions'!$A$34:$A$73,0))))</f>
        <v/>
      </c>
      <c r="GX134" s="10" t="s">
        <v>38</v>
      </c>
      <c r="GY134" s="7"/>
      <c r="GZ134" s="7"/>
      <c r="HA134" s="31" t="str">
        <f>IF(GZ134/(INDEX('Standards for Conversions'!$H$34:$H$73,MATCH(GY$3,'Standards for Conversions'!$A$34:$A$73,0)))=0,"",GZ134/(INDEX('Standards for Conversions'!$H$34:$H$73,MATCH(GY$3,'Standards for Conversions'!$A$34:$A$73,0))))</f>
        <v/>
      </c>
      <c r="HB134" s="10" t="s">
        <v>38</v>
      </c>
      <c r="HC134" s="7"/>
      <c r="HD134" s="7"/>
      <c r="HE134" s="31" t="str">
        <f>IF(HD134/(INDEX('Standards for Conversions'!$H$34:$H$73,MATCH(HC$3,'Standards for Conversions'!$A$34:$A$73,0)))=0,"",HD134/(INDEX('Standards for Conversions'!$H$34:$H$73,MATCH(HC$3,'Standards for Conversions'!$A$34:$A$73,0))))</f>
        <v/>
      </c>
      <c r="HF134" s="10" t="s">
        <v>38</v>
      </c>
      <c r="HG134" s="7"/>
      <c r="HH134" s="7"/>
      <c r="HI134" s="31" t="str">
        <f>IF(HH134/(INDEX('Standards for Conversions'!$H$34:$H$73,MATCH(HG$3,'Standards for Conversions'!$A$34:$A$73,0)))=0,"",HH134/(INDEX('Standards for Conversions'!$H$34:$H$73,MATCH(HG$3,'Standards for Conversions'!$A$34:$A$73,0))))</f>
        <v/>
      </c>
      <c r="HJ134" s="10" t="s">
        <v>38</v>
      </c>
      <c r="HK134" s="9"/>
      <c r="HL134" s="9"/>
      <c r="HM134" s="31" t="str">
        <f>IF(HL134/(INDEX('Standards for Conversions'!$H$34:$H$73,MATCH(HK$3,'Standards for Conversions'!$A$34:$A$73,0)))=0,"",HL134/(INDEX('Standards for Conversions'!$H$34:$H$73,MATCH(HK$3,'Standards for Conversions'!$A$34:$A$73,0))))</f>
        <v/>
      </c>
      <c r="HN134" s="10" t="s">
        <v>38</v>
      </c>
      <c r="HO134" s="7"/>
      <c r="HP134" s="7"/>
      <c r="HQ134" s="31" t="str">
        <f>IF(HP134/(INDEX('Standards for Conversions'!$H$34:$H$73,MATCH(HO$3,'Standards for Conversions'!$A$34:$A$73,0)))=0,"",HP134/(INDEX('Standards for Conversions'!$H$34:$H$73,MATCH(HO$3,'Standards for Conversions'!$A$34:$A$73,0))))</f>
        <v/>
      </c>
      <c r="HR134" s="33" t="s">
        <v>38</v>
      </c>
      <c r="HU134" s="31" t="str">
        <f>IF(HT134/(INDEX('Standards for Conversions'!$H$47:$H$73,MATCH(HS$3,'Standards for Conversions'!$A$47:$A$73,0)))=0,"",HT134/(INDEX('Standards for Conversions'!$H$47:$H$73,MATCH(HS$3,'Standards for Conversions'!$A$47:$A$73,0))))</f>
        <v/>
      </c>
      <c r="HV134" s="33" t="s">
        <v>38</v>
      </c>
      <c r="HY134" s="31" t="str">
        <f>IF(HX134/(INDEX('Standards for Conversions'!$H$47:$H$73,MATCH(HW$3,'Standards for Conversions'!$A$47:$A$73,0)))=0,"",HX134/(INDEX('Standards for Conversions'!$H$47:$H$73,MATCH(HW$3,'Standards for Conversions'!$A$47:$A$73,0))))</f>
        <v/>
      </c>
      <c r="HZ134" s="33"/>
      <c r="IA134" s="33"/>
      <c r="IB134" s="31" t="str">
        <f>IF(IA134/(INDEX('Standards for Conversions'!$H$47:$H$73,MATCH(HZ$3,'Standards for Conversions'!$A$47:$A$73,0)))=0,"",IA134/(INDEX('Standards for Conversions'!$H$47:$H$73,MATCH(HZ$3,'Standards for Conversions'!$A$47:$A$73,0))))</f>
        <v/>
      </c>
      <c r="IC134" s="33" t="s">
        <v>38</v>
      </c>
      <c r="ID134" s="29">
        <v>500</v>
      </c>
      <c r="IE134" s="29">
        <v>4000</v>
      </c>
      <c r="IF134" s="31">
        <f>IF(IE134/(INDEX('Standards for Conversions'!$H$47:$H$73,MATCH(ID$3,'Standards for Conversions'!$A$47:$A$73,0)))=0,"",IE134/(INDEX('Standards for Conversions'!$H$47:$H$73,MATCH(ID$3,'Standards for Conversions'!$A$47:$A$73,0))))</f>
        <v>580.98164885142387</v>
      </c>
      <c r="IG134" s="33" t="s">
        <v>38</v>
      </c>
      <c r="IJ134" s="31" t="str">
        <f>IF(II134/(INDEX('Standards for Conversions'!$H$47:$H$73,MATCH(IH$3,'Standards for Conversions'!$A$47:$A$73,0)))=0,"",II134/(INDEX('Standards for Conversions'!$H$47:$H$73,MATCH(IH$3,'Standards for Conversions'!$A$47:$A$73,0))))</f>
        <v/>
      </c>
      <c r="IK134" s="33" t="s">
        <v>38</v>
      </c>
      <c r="IN134" s="31" t="str">
        <f>IF(IM134/(INDEX('Standards for Conversions'!$H$47:$H$73,MATCH(IL$3,'Standards for Conversions'!$A$47:$A$73,0)))=0,"",IM134/(INDEX('Standards for Conversions'!$H$47:$H$73,MATCH(IL$3,'Standards for Conversions'!$A$47:$A$73,0))))</f>
        <v/>
      </c>
      <c r="IO134" s="33" t="s">
        <v>38</v>
      </c>
      <c r="IR134" s="31" t="str">
        <f>IF(IQ134/(INDEX('Standards for Conversions'!$H$47:$H$73,MATCH(IP$3,'Standards for Conversions'!$A$47:$A$73,0)))=0,"",IQ134/(INDEX('Standards for Conversions'!$H$47:$H$73,MATCH(IP$3,'Standards for Conversions'!$A$47:$A$73,0))))</f>
        <v/>
      </c>
      <c r="IS134" s="33" t="s">
        <v>38</v>
      </c>
      <c r="IT134" s="29">
        <v>1465</v>
      </c>
      <c r="IU134" s="29">
        <v>10973</v>
      </c>
      <c r="IV134" s="31">
        <f>IF(IU134/(INDEX('Standards for Conversions'!$H$47:$H$73,MATCH(IT$3,'Standards for Conversions'!$A$47:$A$73,0)))=0,"",IU134/(INDEX('Standards for Conversions'!$H$47:$H$73,MATCH(IT$3,'Standards for Conversions'!$A$47:$A$73,0))))</f>
        <v>1586.8080339775063</v>
      </c>
      <c r="IW134" s="33" t="s">
        <v>38</v>
      </c>
      <c r="IZ134" s="31" t="str">
        <f>IF(IY134/(INDEX('Standards for Conversions'!$H$47:$H$73,MATCH(IX$3,'Standards for Conversions'!$A$47:$A$73,0)))=0,"",IY134/(INDEX('Standards for Conversions'!$H$47:$H$73,MATCH(IX$3,'Standards for Conversions'!$A$47:$A$73,0))))</f>
        <v/>
      </c>
      <c r="JA134" s="33" t="s">
        <v>38</v>
      </c>
      <c r="JD134" s="31" t="str">
        <f>IF(JC134/(INDEX('Standards for Conversions'!$H$47:$H$73,MATCH(JB$3,'Standards for Conversions'!$A$47:$A$73,0)))=0,"",JC134/(INDEX('Standards for Conversions'!$H$47:$H$73,MATCH(JB$3,'Standards for Conversions'!$A$47:$A$73,0))))</f>
        <v/>
      </c>
      <c r="JE134" s="33" t="s">
        <v>38</v>
      </c>
      <c r="JH134" s="31" t="str">
        <f>IF(JG134/(INDEX('Standards for Conversions'!$H$47:$H$73,MATCH(JF$3,'Standards for Conversions'!$A$47:$A$73,0)))=0,"",JG134/(INDEX('Standards for Conversions'!$H$47:$H$73,MATCH(JF$3,'Standards for Conversions'!$A$47:$A$73,0))))</f>
        <v/>
      </c>
      <c r="JI134" s="48" t="s">
        <v>38</v>
      </c>
      <c r="JJ134" s="29">
        <v>1050</v>
      </c>
      <c r="JK134" s="29">
        <v>9300</v>
      </c>
      <c r="JL134" s="31">
        <f>IF(JK134/(INDEX('Standards for Conversions'!$H$47:$H$73,MATCH(JJ$3,'Standards for Conversions'!$A$47:$A$73,0)))=0,"",JK134/(INDEX('Standards for Conversions'!$H$47:$H$73,MATCH(JJ$3,'Standards for Conversions'!$A$47:$A$73,0))))</f>
        <v>1504.3698292343788</v>
      </c>
      <c r="JM134" s="33" t="s">
        <v>38</v>
      </c>
      <c r="JP134" s="31" t="str">
        <f>IF(JO134/(INDEX('Standards for Conversions'!$H$47:$H$73,MATCH(JN$3,'Standards for Conversions'!$A$47:$A$73,0)))=0,"",JO134/(INDEX('Standards for Conversions'!$H$47:$H$73,MATCH(JN$3,'Standards for Conversions'!$A$47:$A$73,0))))</f>
        <v/>
      </c>
      <c r="JQ134" s="33" t="s">
        <v>38</v>
      </c>
      <c r="JT134" s="31" t="str">
        <f>IF(JS134/(INDEX('Standards for Conversions'!$H$47:$H$73,MATCH(JR$3,'Standards for Conversions'!$A$47:$A$73,0)))=0,"",JS134/(INDEX('Standards for Conversions'!$H$47:$H$73,MATCH(JR$3,'Standards for Conversions'!$A$47:$A$73,0))))</f>
        <v/>
      </c>
      <c r="JU134" s="33" t="s">
        <v>38</v>
      </c>
      <c r="JX134" s="31" t="str">
        <f>IF(JW134/(INDEX('Standards for Conversions'!$H$47:$H$73,MATCH(JV$3,'Standards for Conversions'!$A$47:$A$73,0)))=0,"",JW134/(INDEX('Standards for Conversions'!$H$47:$H$73,MATCH(JV$3,'Standards for Conversions'!$A$47:$A$73,0))))</f>
        <v/>
      </c>
      <c r="JY134" s="33" t="s">
        <v>38</v>
      </c>
      <c r="JZ134" s="29">
        <v>1100</v>
      </c>
      <c r="KA134" s="29">
        <v>9000</v>
      </c>
      <c r="KB134" s="31">
        <f>IF(KA134/(INDEX('Standards for Conversions'!$H$47:$H$73,MATCH(JZ$3,'Standards for Conversions'!$A$47:$A$73,0)))=0,"",KA134/(INDEX('Standards for Conversions'!$H$47:$H$73,MATCH(JZ$3,'Standards for Conversions'!$A$47:$A$73,0))))</f>
        <v>1373.903031850178</v>
      </c>
      <c r="KC134" s="33" t="s">
        <v>38</v>
      </c>
      <c r="KF134" s="31" t="str">
        <f>IF(KE134/(INDEX('Standards for Conversions'!$H$47:$H$73,MATCH(KD$3,'Standards for Conversions'!$A$47:$A$73,0)))=0,"",KE134/(INDEX('Standards for Conversions'!$H$47:$H$73,MATCH(KD$3,'Standards for Conversions'!$A$47:$A$73,0))))</f>
        <v/>
      </c>
      <c r="KG134" s="33" t="s">
        <v>38</v>
      </c>
      <c r="KJ134" s="31" t="str">
        <f>IF(KI134/(INDEX('Standards for Conversions'!$H$47:$H$73,MATCH(KH$3,'Standards for Conversions'!$A$47:$A$73,0)))=0,"",KI134/(INDEX('Standards for Conversions'!$H$47:$H$73,MATCH(KH$3,'Standards for Conversions'!$A$47:$A$73,0))))</f>
        <v/>
      </c>
      <c r="KK134" s="33" t="s">
        <v>38</v>
      </c>
      <c r="KN134" s="31" t="str">
        <f>IF(KM134/(INDEX('Standards for Conversions'!$H$47:$H$73,MATCH(KL$3,'Standards for Conversions'!$A$47:$A$73,0)))=0,"",KM134/(INDEX('Standards for Conversions'!$H$47:$H$73,MATCH(KL$3,'Standards for Conversions'!$A$47:$A$73,0))))</f>
        <v/>
      </c>
      <c r="KO134" s="33" t="s">
        <v>38</v>
      </c>
      <c r="KP134" s="29">
        <v>1000</v>
      </c>
      <c r="KQ134" s="29">
        <v>8500</v>
      </c>
      <c r="KR134" s="31">
        <f>IF(KQ134/(INDEX('Standards for Conversions'!$H$47:$H$73,MATCH(KP$3,'Standards for Conversions'!$A$47:$A$73,0)))=0,"",KQ134/(INDEX('Standards for Conversions'!$H$47:$H$73,MATCH(KP$3,'Standards for Conversions'!$A$47:$A$73,0))))</f>
        <v>1144.6016011992699</v>
      </c>
      <c r="KS134" s="33" t="s">
        <v>38</v>
      </c>
      <c r="KV134" s="31" t="str">
        <f>IF(KU134/(INDEX('Standards for Conversions'!$H$47:$H$73,MATCH(KT$3,'Standards for Conversions'!$A$47:$A$73,0)))=0,"",KU134/(INDEX('Standards for Conversions'!$H$47:$H$73,MATCH(KT$3,'Standards for Conversions'!$A$47:$A$73,0))))</f>
        <v/>
      </c>
      <c r="KW134" s="33" t="s">
        <v>38</v>
      </c>
      <c r="KZ134" s="31" t="str">
        <f>IF(KY134/(INDEX('Standards for Conversions'!$H$47:$H$73,MATCH(KX$3,'Standards for Conversions'!$A$47:$A$73,0)))=0,"",KY134/(INDEX('Standards for Conversions'!$H$47:$H$73,MATCH(KX$3,'Standards for Conversions'!$A$47:$A$73,0))))</f>
        <v/>
      </c>
      <c r="LA134" s="33" t="s">
        <v>38</v>
      </c>
      <c r="LD134" s="31" t="str">
        <f>IF(LC134/(INDEX('Standards for Conversions'!$H$47:$H$73,MATCH(LB$3,'Standards for Conversions'!$A$47:$A$73,0)))=0,"",LC134/(INDEX('Standards for Conversions'!$H$47:$H$73,MATCH(LB$3,'Standards for Conversions'!$A$47:$A$73,0))))</f>
        <v/>
      </c>
      <c r="LE134" s="48" t="s">
        <v>38</v>
      </c>
      <c r="LF134" s="29">
        <v>945</v>
      </c>
      <c r="LG134" s="29">
        <v>6800</v>
      </c>
      <c r="LH134" s="31">
        <f>IF(LG134/(INDEX('Standards for Conversions'!$H$47:$H$73,MATCH(LF$3,'Standards for Conversions'!$A$47:$A$73,0)))=0,"",LG134/(INDEX('Standards for Conversions'!$H$47:$H$73,MATCH(LF$3,'Standards for Conversions'!$A$47:$A$73,0))))</f>
        <v>826.99265374699439</v>
      </c>
      <c r="LL134" s="31" t="str">
        <f>IF(LK134/(INDEX('Standards for Conversions'!$H$47:$H$73,MATCH(LJ$3,'Standards for Conversions'!$A$47:$A$73,0)))=0,"",LK134/(INDEX('Standards for Conversions'!$H$47:$H$73,MATCH(LJ$3,'Standards for Conversions'!$A$47:$A$73,0))))</f>
        <v/>
      </c>
      <c r="LO134" s="31" t="str">
        <f>IF(LN134/(INDEX('Standards for Conversions'!$H$47:$H$73,MATCH(LM$3,'Standards for Conversions'!$A$47:$A$73,0)))=0,"",LN134/(INDEX('Standards for Conversions'!$H$47:$H$73,MATCH(LM$3,'Standards for Conversions'!$A$47:$A$73,0))))</f>
        <v/>
      </c>
      <c r="LR134" s="31" t="str">
        <f>IF(LQ134/(INDEX('Standards for Conversions'!$H$47:$H$73,MATCH(LP$3,'Standards for Conversions'!$A$47:$A$73,0)))=0,"",LQ134/(INDEX('Standards for Conversions'!$H$47:$H$73,MATCH(LP$3,'Standards for Conversions'!$A$47:$A$73,0))))</f>
        <v/>
      </c>
      <c r="LV134" s="31" t="str">
        <f>IF(LU134/(INDEX('Standards for Conversions'!$H$47:$H$73,MATCH(LT$3,'Standards for Conversions'!$A$47:$A$73,0)))=0,"",LU134/(INDEX('Standards for Conversions'!$H$47:$H$73,MATCH(LT$3,'Standards for Conversions'!$A$47:$A$73,0))))</f>
        <v/>
      </c>
      <c r="LY134" s="31" t="str">
        <f>IF(LX134/(INDEX('Standards for Conversions'!$H$47:$H$73,MATCH(LW$3,'Standards for Conversions'!$A$47:$A$73,0)))=0,"",LX134/(INDEX('Standards for Conversions'!$H$47:$H$73,MATCH(LW$3,'Standards for Conversions'!$A$47:$A$73,0))))</f>
        <v/>
      </c>
      <c r="MB134" s="31" t="str">
        <f>IF(MA134/(INDEX('Standards for Conversions'!$H$47:$H$73,MATCH(LZ$3,'Standards for Conversions'!$A$47:$A$73,0)))=0,"",MA134/(INDEX('Standards for Conversions'!$H$47:$H$73,MATCH(LZ$3,'Standards for Conversions'!$A$47:$A$73,0))))</f>
        <v/>
      </c>
      <c r="ME134" s="31" t="str">
        <f>IF(MD134/(INDEX('Standards for Conversions'!$H$47:$H$73,MATCH(MC$3,'Standards for Conversions'!$A$47:$A$73,0)))=0,"",MD134/(INDEX('Standards for Conversions'!$H$47:$H$73,MATCH(MC$3,'Standards for Conversions'!$A$47:$A$73,0))))</f>
        <v/>
      </c>
      <c r="MH134" s="31" t="str">
        <f>IF(MG134/(INDEX('Standards for Conversions'!$H$47:$H$73,MATCH(MF$3,'Standards for Conversions'!$A$47:$A$73,0)))=0,"",MG134/(INDEX('Standards for Conversions'!$H$47:$H$73,MATCH(MF$3,'Standards for Conversions'!$A$47:$A$73,0))))</f>
        <v/>
      </c>
      <c r="MK134" s="31" t="str">
        <f>IF(MJ134/(INDEX('Standards for Conversions'!$H$47:$H$73,MATCH(MI$3,'Standards for Conversions'!$A$47:$A$73,0)))=0,"",MJ134/(INDEX('Standards for Conversions'!$H$47:$H$73,MATCH(MI$3,'Standards for Conversions'!$A$47:$A$73,0))))</f>
        <v/>
      </c>
      <c r="MN134" s="31" t="str">
        <f>IF(MM134/(INDEX('Standards for Conversions'!$H$47:$H$73,MATCH(ML$3,'Standards for Conversions'!$A$47:$A$73,0)))=0,"",MM134/(INDEX('Standards for Conversions'!$H$47:$H$73,MATCH(ML$3,'Standards for Conversions'!$A$47:$A$73,0))))</f>
        <v/>
      </c>
      <c r="MR134" s="31" t="str">
        <f>IF(MQ134/(INDEX('Standards for Conversions'!$H$47:$H$73,MATCH(MP$3,'Standards for Conversions'!$A$47:$A$73,0)))=0,"",MQ134/(INDEX('Standards for Conversions'!$H$47:$H$73,MATCH(MP$3,'Standards for Conversions'!$A$47:$A$73,0))))</f>
        <v/>
      </c>
    </row>
    <row r="135" spans="1:356" hidden="1" x14ac:dyDescent="0.3">
      <c r="A135" s="103" t="s">
        <v>300</v>
      </c>
      <c r="B135" s="10" t="s">
        <v>38</v>
      </c>
      <c r="C135" s="7"/>
      <c r="D135" s="7"/>
      <c r="E135" s="31" t="str">
        <f>IF(D135/(INDEX('Standards for Conversions'!$H$34:$H$73,MATCH(C$3,'Standards for Conversions'!$A$34:$A$73,0)))=0,"",D135/(INDEX('Standards for Conversions'!$H$34:$H$73,MATCH(C$3,'Standards for Conversions'!$A$34:$A$73,0))))</f>
        <v/>
      </c>
      <c r="F135" s="10" t="s">
        <v>38</v>
      </c>
      <c r="G135" s="7"/>
      <c r="H135" s="7"/>
      <c r="I135" s="31" t="str">
        <f>IF(H135/(INDEX('Standards for Conversions'!$H$34:$H$73,MATCH(G$3,'Standards for Conversions'!$A$34:$A$73,0)))=0,"",H135/(INDEX('Standards for Conversions'!$H$34:$H$73,MATCH(G$3,'Standards for Conversions'!$A$34:$A$73,0))))</f>
        <v/>
      </c>
      <c r="J135" s="10" t="s">
        <v>38</v>
      </c>
      <c r="K135" s="9"/>
      <c r="L135" s="9"/>
      <c r="M135" s="31" t="str">
        <f>IF(L135/(INDEX('Standards for Conversions'!$H$34:$H$73,MATCH(K$3,'Standards for Conversions'!$A$34:$A$73,0)))=0,"",L135/(INDEX('Standards for Conversions'!$H$34:$H$73,MATCH(K$3,'Standards for Conversions'!$A$34:$A$73,0))))</f>
        <v/>
      </c>
      <c r="N135" s="10" t="s">
        <v>38</v>
      </c>
      <c r="O135" s="7"/>
      <c r="P135" s="7"/>
      <c r="Q135" s="31" t="str">
        <f>IF(P135/(INDEX('Standards for Conversions'!$H$34:$H$73,MATCH(O$3,'Standards for Conversions'!$A$34:$A$73,0)))=0,"",P135/(INDEX('Standards for Conversions'!$H$34:$H$73,MATCH(O$3,'Standards for Conversions'!$A$34:$A$73,0))))</f>
        <v/>
      </c>
      <c r="R135" s="10" t="s">
        <v>38</v>
      </c>
      <c r="S135" s="7"/>
      <c r="T135" s="7"/>
      <c r="U135" s="31" t="str">
        <f>IF(T135/(INDEX('Standards for Conversions'!$H$34:$H$73,MATCH(S$3,'Standards for Conversions'!$A$34:$A$73,0)))=0,"",T135/(INDEX('Standards for Conversions'!$H$34:$H$73,MATCH(S$3,'Standards for Conversions'!$A$34:$A$73,0))))</f>
        <v/>
      </c>
      <c r="V135" s="10" t="s">
        <v>38</v>
      </c>
      <c r="W135" s="7"/>
      <c r="X135" s="7"/>
      <c r="Y135" s="31" t="str">
        <f>IF(X135/(INDEX('Standards for Conversions'!$H$34:$H$73,MATCH(W$3,'Standards for Conversions'!$A$34:$A$73,0)))=0,"",X135/(INDEX('Standards for Conversions'!$H$34:$H$73,MATCH(W$3,'Standards for Conversions'!$A$34:$A$73,0))))</f>
        <v/>
      </c>
      <c r="Z135" s="10" t="s">
        <v>38</v>
      </c>
      <c r="AA135" s="9"/>
      <c r="AB135" s="9"/>
      <c r="AC135" s="31" t="str">
        <f>IF(AB135/(INDEX('Standards for Conversions'!$H$34:$H$73,MATCH(AA$3,'Standards for Conversions'!$A$34:$A$73,0)))=0,"",AB135/(INDEX('Standards for Conversions'!$H$34:$H$73,MATCH(AA$3,'Standards for Conversions'!$A$34:$A$73,0))))</f>
        <v/>
      </c>
      <c r="AD135" s="10" t="s">
        <v>38</v>
      </c>
      <c r="AE135" s="7"/>
      <c r="AF135" s="7"/>
      <c r="AG135" s="31" t="str">
        <f>IF(AF135/(INDEX('Standards for Conversions'!$H$34:$H$73,MATCH(AE$3,'Standards for Conversions'!$A$34:$A$73,0)))=0,"",AF135/(INDEX('Standards for Conversions'!$H$34:$H$73,MATCH(AE$3,'Standards for Conversions'!$A$34:$A$73,0))))</f>
        <v/>
      </c>
      <c r="AH135" s="10" t="s">
        <v>38</v>
      </c>
      <c r="AI135" s="7"/>
      <c r="AJ135" s="7"/>
      <c r="AK135" s="31" t="str">
        <f>IF(AJ135/(INDEX('Standards for Conversions'!$H$34:$H$73,MATCH(AI$3,'Standards for Conversions'!$A$34:$A$73,0)))=0,"",AJ135/(INDEX('Standards for Conversions'!$H$34:$H$73,MATCH(AI$3,'Standards for Conversions'!$A$34:$A$73,0))))</f>
        <v/>
      </c>
      <c r="AL135" s="10" t="s">
        <v>38</v>
      </c>
      <c r="AM135" s="7"/>
      <c r="AN135" s="7"/>
      <c r="AO135" s="31" t="str">
        <f>IF(AN135/(INDEX('Standards for Conversions'!$H$34:$H$73,MATCH(AM$3,'Standards for Conversions'!$A$34:$A$73,0)))=0,"",AN135/(INDEX('Standards for Conversions'!$H$34:$H$73,MATCH(AM$3,'Standards for Conversions'!$A$34:$A$73,0))))</f>
        <v/>
      </c>
      <c r="AP135" s="10" t="s">
        <v>38</v>
      </c>
      <c r="AQ135" s="9"/>
      <c r="AR135" s="9"/>
      <c r="AS135" s="31" t="str">
        <f>IF(AR135/(INDEX('Standards for Conversions'!$H$34:$H$73,MATCH(AQ$3,'Standards for Conversions'!$A$34:$A$73,0)))=0,"",AR135/(INDEX('Standards for Conversions'!$H$34:$H$73,MATCH(AQ$3,'Standards for Conversions'!$A$34:$A$73,0))))</f>
        <v/>
      </c>
      <c r="AT135" s="10" t="s">
        <v>38</v>
      </c>
      <c r="AU135" s="7"/>
      <c r="AV135" s="7"/>
      <c r="AW135" s="31" t="str">
        <f>IF(AV135/(INDEX('Standards for Conversions'!$H$34:$H$73,MATCH(AU$3,'Standards for Conversions'!$A$34:$A$73,0)))=0,"",AV135/(INDEX('Standards for Conversions'!$H$34:$H$73,MATCH(AU$3,'Standards for Conversions'!$A$34:$A$73,0))))</f>
        <v/>
      </c>
      <c r="AX135" s="10" t="s">
        <v>38</v>
      </c>
      <c r="AY135" s="7"/>
      <c r="AZ135" s="7"/>
      <c r="BA135" s="31" t="str">
        <f>IF(AZ135/(INDEX('Standards for Conversions'!$H$34:$H$73,MATCH(AY$3,'Standards for Conversions'!$A$34:$A$73,0)))=0,"",AZ135/(INDEX('Standards for Conversions'!$H$34:$H$73,MATCH(AY$3,'Standards for Conversions'!$A$34:$A$73,0))))</f>
        <v/>
      </c>
      <c r="BB135" s="10" t="s">
        <v>38</v>
      </c>
      <c r="BC135" s="7"/>
      <c r="BD135" s="7"/>
      <c r="BE135" s="31" t="str">
        <f>IF(BD135/(INDEX('Standards for Conversions'!$H$34:$H$73,MATCH(BC$3,'Standards for Conversions'!$A$34:$A$73,0)))=0,"",BD135/(INDEX('Standards for Conversions'!$H$34:$H$73,MATCH(BC$3,'Standards for Conversions'!$A$34:$A$73,0))))</f>
        <v/>
      </c>
      <c r="BF135" s="10" t="s">
        <v>38</v>
      </c>
      <c r="BG135" s="9"/>
      <c r="BH135" s="9"/>
      <c r="BI135" s="31" t="str">
        <f>IF(BH135/(INDEX('Standards for Conversions'!$H$34:$H$73,MATCH(BG$3,'Standards for Conversions'!$A$34:$A$73,0)))=0,"",BH135/(INDEX('Standards for Conversions'!$H$34:$H$73,MATCH(BG$3,'Standards for Conversions'!$A$34:$A$73,0))))</f>
        <v/>
      </c>
      <c r="BJ135" s="10" t="s">
        <v>38</v>
      </c>
      <c r="BK135" s="7"/>
      <c r="BL135" s="7"/>
      <c r="BM135" s="31" t="str">
        <f>IF(BL135/(INDEX('Standards for Conversions'!$H$34:$H$73,MATCH(BK$3,'Standards for Conversions'!$A$34:$A$73,0)))=0,"",BL135/(INDEX('Standards for Conversions'!$H$34:$H$73,MATCH(BK$3,'Standards for Conversions'!$A$34:$A$73,0))))</f>
        <v/>
      </c>
      <c r="BN135" s="10" t="s">
        <v>38</v>
      </c>
      <c r="BO135" s="7"/>
      <c r="BP135" s="7"/>
      <c r="BQ135" s="31" t="str">
        <f>IF(BP135/(INDEX('Standards for Conversions'!$H$34:$H$73,MATCH(BO$3,'Standards for Conversions'!$A$34:$A$73,0)))=0,"",BP135/(INDEX('Standards for Conversions'!$H$34:$H$73,MATCH(BO$3,'Standards for Conversions'!$A$34:$A$73,0))))</f>
        <v/>
      </c>
      <c r="BR135" s="10" t="s">
        <v>38</v>
      </c>
      <c r="BS135" s="7"/>
      <c r="BT135" s="7"/>
      <c r="BU135" s="31" t="str">
        <f>IF(BT135/(INDEX('Standards for Conversions'!$H$34:$H$73,MATCH(BS$3,'Standards for Conversions'!$A$34:$A$73,0)))=0,"",BT135/(INDEX('Standards for Conversions'!$H$34:$H$73,MATCH(BS$3,'Standards for Conversions'!$A$34:$A$73,0))))</f>
        <v/>
      </c>
      <c r="BV135" s="10" t="s">
        <v>38</v>
      </c>
      <c r="BW135" s="9"/>
      <c r="BX135" s="9"/>
      <c r="BY135" s="31" t="str">
        <f>IF(BX135/(INDEX('Standards for Conversions'!$H$34:$H$73,MATCH(BW$3,'Standards for Conversions'!$A$34:$A$73,0)))=0,"",BX135/(INDEX('Standards for Conversions'!$H$34:$H$73,MATCH(BW$3,'Standards for Conversions'!$A$34:$A$73,0))))</f>
        <v/>
      </c>
      <c r="BZ135" s="10" t="s">
        <v>38</v>
      </c>
      <c r="CA135" s="7"/>
      <c r="CB135" s="7"/>
      <c r="CC135" s="31" t="str">
        <f>IF(CB135/(INDEX('Standards for Conversions'!$H$34:$H$73,MATCH(CA$3,'Standards for Conversions'!$A$34:$A$73,0)))=0,"",CB135/(INDEX('Standards for Conversions'!$H$34:$H$73,MATCH(CA$3,'Standards for Conversions'!$A$34:$A$73,0))))</f>
        <v/>
      </c>
      <c r="CD135" s="10" t="s">
        <v>38</v>
      </c>
      <c r="CE135" s="7"/>
      <c r="CF135" s="7"/>
      <c r="CG135" s="31" t="str">
        <f>IF(CF135/(INDEX('Standards for Conversions'!$H$34:$H$73,MATCH(CE$3,'Standards for Conversions'!$A$34:$A$73,0)))=0,"",CF135/(INDEX('Standards for Conversions'!$H$34:$H$73,MATCH(CE$3,'Standards for Conversions'!$A$34:$A$73,0))))</f>
        <v/>
      </c>
      <c r="CH135" s="10" t="s">
        <v>38</v>
      </c>
      <c r="CI135" s="7"/>
      <c r="CJ135" s="7"/>
      <c r="CK135" s="31" t="str">
        <f>IF(CJ135/(INDEX('Standards for Conversions'!$H$34:$H$73,MATCH(CI$3,'Standards for Conversions'!$A$34:$A$73,0)))=0,"",CJ135/(INDEX('Standards for Conversions'!$H$34:$H$73,MATCH(CI$3,'Standards for Conversions'!$A$34:$A$73,0))))</f>
        <v/>
      </c>
      <c r="CL135" s="10" t="s">
        <v>38</v>
      </c>
      <c r="CM135" s="9"/>
      <c r="CN135" s="9"/>
      <c r="CO135" s="31" t="str">
        <f>IF(CN135/(INDEX('Standards for Conversions'!$H$34:$H$73,MATCH(CM$3,'Standards for Conversions'!$A$34:$A$73,0)))=0,"",CN135/(INDEX('Standards for Conversions'!$H$34:$H$73,MATCH(CM$3,'Standards for Conversions'!$A$34:$A$73,0))))</f>
        <v/>
      </c>
      <c r="CP135" s="10" t="s">
        <v>38</v>
      </c>
      <c r="CQ135" s="7"/>
      <c r="CR135" s="7"/>
      <c r="CS135" s="31" t="str">
        <f>IF(CR135/(INDEX('Standards for Conversions'!$H$34:$H$73,MATCH(CQ$3,'Standards for Conversions'!$A$34:$A$73,0)))=0,"",CR135/(INDEX('Standards for Conversions'!$H$34:$H$73,MATCH(CQ$3,'Standards for Conversions'!$A$34:$A$73,0))))</f>
        <v/>
      </c>
      <c r="CT135" s="10" t="s">
        <v>38</v>
      </c>
      <c r="CU135" s="7"/>
      <c r="CV135" s="7"/>
      <c r="CW135" s="31" t="str">
        <f>IF(CV135/(INDEX('Standards for Conversions'!$H$34:$H$73,MATCH(CU$3,'Standards for Conversions'!$A$34:$A$73,0)))=0,"",CV135/(INDEX('Standards for Conversions'!$H$34:$H$73,MATCH(CU$3,'Standards for Conversions'!$A$34:$A$73,0))))</f>
        <v/>
      </c>
      <c r="CX135" s="10" t="s">
        <v>38</v>
      </c>
      <c r="CY135" s="7"/>
      <c r="CZ135" s="7"/>
      <c r="DA135" s="31" t="str">
        <f>IF(CZ135/(INDEX('Standards for Conversions'!$H$34:$H$73,MATCH(CY$3,'Standards for Conversions'!$A$34:$A$73,0)))=0,"",CZ135/(INDEX('Standards for Conversions'!$H$34:$H$73,MATCH(CY$3,'Standards for Conversions'!$A$34:$A$73,0))))</f>
        <v/>
      </c>
      <c r="DB135" s="10" t="s">
        <v>38</v>
      </c>
      <c r="DC135" s="9"/>
      <c r="DD135" s="9"/>
      <c r="DE135" s="31" t="str">
        <f>IF(DD135/(INDEX('Standards for Conversions'!$H$34:$H$73,MATCH(DC$3,'Standards for Conversions'!$A$34:$A$73,0)))=0,"",DD135/(INDEX('Standards for Conversions'!$H$34:$H$73,MATCH(DC$3,'Standards for Conversions'!$A$34:$A$73,0))))</f>
        <v/>
      </c>
      <c r="DF135" s="10" t="s">
        <v>38</v>
      </c>
      <c r="DG135" s="7"/>
      <c r="DH135" s="7"/>
      <c r="DI135" s="31" t="str">
        <f>IF(DH135/(INDEX('Standards for Conversions'!$H$34:$H$73,MATCH(DG$3,'Standards for Conversions'!$A$34:$A$73,0)))=0,"",DH135/(INDEX('Standards for Conversions'!$H$34:$H$73,MATCH(DG$3,'Standards for Conversions'!$A$34:$A$73,0))))</f>
        <v/>
      </c>
      <c r="DJ135" s="10" t="s">
        <v>38</v>
      </c>
      <c r="DK135" s="7"/>
      <c r="DL135" s="7"/>
      <c r="DM135" s="31" t="str">
        <f>IF(DL135/(INDEX('Standards for Conversions'!$H$34:$H$73,MATCH(DK$3,'Standards for Conversions'!$A$34:$A$73,0)))=0,"",DL135/(INDEX('Standards for Conversions'!$H$34:$H$73,MATCH(DK$3,'Standards for Conversions'!$A$34:$A$73,0))))</f>
        <v/>
      </c>
      <c r="DN135" s="10" t="s">
        <v>38</v>
      </c>
      <c r="DO135" s="7"/>
      <c r="DP135" s="7"/>
      <c r="DQ135" s="31" t="str">
        <f>IF(DP135/(INDEX('Standards for Conversions'!$H$34:$H$73,MATCH(DO$3,'Standards for Conversions'!$A$34:$A$73,0)))=0,"",DP135/(INDEX('Standards for Conversions'!$H$34:$H$73,MATCH(DO$3,'Standards for Conversions'!$A$34:$A$73,0))))</f>
        <v/>
      </c>
      <c r="DR135" s="10" t="s">
        <v>38</v>
      </c>
      <c r="DS135" s="9"/>
      <c r="DT135" s="9"/>
      <c r="DU135" s="31" t="str">
        <f>IF(DT135/(INDEX('Standards for Conversions'!$H$34:$H$73,MATCH(DS$3,'Standards for Conversions'!$A$34:$A$73,0)))=0,"",DT135/(INDEX('Standards for Conversions'!$H$34:$H$73,MATCH(DS$3,'Standards for Conversions'!$A$34:$A$73,0))))</f>
        <v/>
      </c>
      <c r="DV135" s="10" t="s">
        <v>38</v>
      </c>
      <c r="DW135" s="7"/>
      <c r="DX135" s="7"/>
      <c r="DY135" s="31" t="str">
        <f>IF(DX135/(INDEX('Standards for Conversions'!$H$34:$H$73,MATCH(DW$3,'Standards for Conversions'!$A$34:$A$73,0)))=0,"",DX135/(INDEX('Standards for Conversions'!$H$34:$H$73,MATCH(DW$3,'Standards for Conversions'!$A$34:$A$73,0))))</f>
        <v/>
      </c>
      <c r="DZ135" s="10" t="s">
        <v>38</v>
      </c>
      <c r="EA135" s="7"/>
      <c r="EB135" s="7"/>
      <c r="EC135" s="31" t="str">
        <f>IF(EB135/(INDEX('Standards for Conversions'!$H$34:$H$73,MATCH(EA$3,'Standards for Conversions'!$A$34:$A$73,0)))=0,"",EB135/(INDEX('Standards for Conversions'!$H$34:$H$73,MATCH(EA$3,'Standards for Conversions'!$A$34:$A$73,0))))</f>
        <v/>
      </c>
      <c r="ED135" s="10" t="s">
        <v>38</v>
      </c>
      <c r="EE135" s="7"/>
      <c r="EF135" s="7"/>
      <c r="EG135" s="31" t="str">
        <f>IF(EF135/(INDEX('Standards for Conversions'!$H$34:$H$73,MATCH(EE$3,'Standards for Conversions'!$A$34:$A$73,0)))=0,"",EF135/(INDEX('Standards for Conversions'!$H$34:$H$73,MATCH(EE$3,'Standards for Conversions'!$A$34:$A$73,0))))</f>
        <v/>
      </c>
      <c r="EH135" s="10" t="s">
        <v>38</v>
      </c>
      <c r="EI135" s="9"/>
      <c r="EJ135" s="9"/>
      <c r="EK135" s="31" t="str">
        <f>IF(EJ135/(INDEX('Standards for Conversions'!$H$34:$H$73,MATCH(EI$3,'Standards for Conversions'!$A$34:$A$73,0)))=0,"",EJ135/(INDEX('Standards for Conversions'!$H$34:$H$73,MATCH(EI$3,'Standards for Conversions'!$A$34:$A$73,0))))</f>
        <v/>
      </c>
      <c r="EL135" s="10" t="s">
        <v>38</v>
      </c>
      <c r="EM135" s="7"/>
      <c r="EN135" s="7"/>
      <c r="EO135" s="31" t="str">
        <f>IF(EN135/(INDEX('Standards for Conversions'!$H$34:$H$73,MATCH(EM$3,'Standards for Conversions'!$A$34:$A$73,0)))=0,"",EN135/(INDEX('Standards for Conversions'!$H$34:$H$73,MATCH(EM$3,'Standards for Conversions'!$A$34:$A$73,0))))</f>
        <v/>
      </c>
      <c r="EP135" s="10" t="s">
        <v>38</v>
      </c>
      <c r="EQ135" s="7"/>
      <c r="ER135" s="7"/>
      <c r="ES135" s="31" t="str">
        <f>IF(ER135/(INDEX('Standards for Conversions'!$H$34:$H$73,MATCH(EQ$3,'Standards for Conversions'!$A$34:$A$73,0)))=0,"",ER135/(INDEX('Standards for Conversions'!$H$34:$H$73,MATCH(EQ$3,'Standards for Conversions'!$A$34:$A$73,0))))</f>
        <v/>
      </c>
      <c r="ET135" s="10" t="s">
        <v>38</v>
      </c>
      <c r="EU135" s="7"/>
      <c r="EV135" s="7"/>
      <c r="EW135" s="31" t="str">
        <f>IF(EV135/(INDEX('Standards for Conversions'!$H$34:$H$73,MATCH(EU$3,'Standards for Conversions'!$A$34:$A$73,0)))=0,"",EV135/(INDEX('Standards for Conversions'!$H$34:$H$73,MATCH(EU$3,'Standards for Conversions'!$A$34:$A$73,0))))</f>
        <v/>
      </c>
      <c r="EX135" s="10" t="s">
        <v>38</v>
      </c>
      <c r="EY135" s="9"/>
      <c r="EZ135" s="9"/>
      <c r="FA135" s="31" t="str">
        <f>IF(EZ135/(INDEX('Standards for Conversions'!$H$34:$H$73,MATCH(EY$3,'Standards for Conversions'!$A$34:$A$73,0)))=0,"",EZ135/(INDEX('Standards for Conversions'!$H$34:$H$73,MATCH(EY$3,'Standards for Conversions'!$A$34:$A$73,0))))</f>
        <v/>
      </c>
      <c r="FB135" s="10" t="s">
        <v>38</v>
      </c>
      <c r="FC135" s="7"/>
      <c r="FD135" s="7"/>
      <c r="FE135" s="31" t="str">
        <f>IF(FD135/(INDEX('Standards for Conversions'!$H$34:$H$73,MATCH(FC$3,'Standards for Conversions'!$A$34:$A$73,0)))=0,"",FD135/(INDEX('Standards for Conversions'!$H$34:$H$73,MATCH(FC$3,'Standards for Conversions'!$A$34:$A$73,0))))</f>
        <v/>
      </c>
      <c r="FF135" s="10" t="s">
        <v>38</v>
      </c>
      <c r="FG135" s="7"/>
      <c r="FH135" s="7"/>
      <c r="FI135" s="31" t="str">
        <f>IF(FH135/(INDEX('Standards for Conversions'!$H$34:$H$73,MATCH(FG$3,'Standards for Conversions'!$A$34:$A$73,0)))=0,"",FH135/(INDEX('Standards for Conversions'!$H$34:$H$73,MATCH(FG$3,'Standards for Conversions'!$A$34:$A$73,0))))</f>
        <v/>
      </c>
      <c r="FJ135" s="10" t="s">
        <v>38</v>
      </c>
      <c r="FK135" s="7"/>
      <c r="FL135" s="7"/>
      <c r="FM135" s="31" t="str">
        <f>IF(FL135/(INDEX('Standards for Conversions'!$H$34:$H$73,MATCH(FK$3,'Standards for Conversions'!$A$34:$A$73,0)))=0,"",FL135/(INDEX('Standards for Conversions'!$H$34:$H$73,MATCH(FK$3,'Standards for Conversions'!$A$34:$A$73,0))))</f>
        <v/>
      </c>
      <c r="FN135" s="10" t="s">
        <v>38</v>
      </c>
      <c r="FO135" s="9"/>
      <c r="FP135" s="9"/>
      <c r="FQ135" s="31" t="str">
        <f>IF(FP135/(INDEX('Standards for Conversions'!$H$34:$H$73,MATCH(FO$3,'Standards for Conversions'!$A$34:$A$73,0)))=0,"",FP135/(INDEX('Standards for Conversions'!$H$34:$H$73,MATCH(FO$3,'Standards for Conversions'!$A$34:$A$73,0))))</f>
        <v/>
      </c>
      <c r="FR135" s="10" t="s">
        <v>38</v>
      </c>
      <c r="FS135" s="7"/>
      <c r="FT135" s="7"/>
      <c r="FU135" s="31" t="str">
        <f>IF(FT135/(INDEX('Standards for Conversions'!$H$34:$H$73,MATCH(FS$3,'Standards for Conversions'!$A$34:$A$73,0)))=0,"",FT135/(INDEX('Standards for Conversions'!$H$34:$H$73,MATCH(FS$3,'Standards for Conversions'!$A$34:$A$73,0))))</f>
        <v/>
      </c>
      <c r="FV135" s="10" t="s">
        <v>38</v>
      </c>
      <c r="FW135" s="7"/>
      <c r="FX135" s="7"/>
      <c r="FY135" s="31" t="str">
        <f>IF(FX135/(INDEX('Standards for Conversions'!$H$34:$H$73,MATCH(FW$3,'Standards for Conversions'!$A$34:$A$73,0)))=0,"",FX135/(INDEX('Standards for Conversions'!$H$34:$H$73,MATCH(FW$3,'Standards for Conversions'!$A$34:$A$73,0))))</f>
        <v/>
      </c>
      <c r="FZ135" s="10" t="s">
        <v>38</v>
      </c>
      <c r="GA135" s="7"/>
      <c r="GB135" s="7"/>
      <c r="GC135" s="31" t="str">
        <f>IF(GB135/(INDEX('Standards for Conversions'!$H$34:$H$73,MATCH(GA$3,'Standards for Conversions'!$A$34:$A$73,0)))=0,"",GB135/(INDEX('Standards for Conversions'!$H$34:$H$73,MATCH(GA$3,'Standards for Conversions'!$A$34:$A$73,0))))</f>
        <v/>
      </c>
      <c r="GD135" s="10" t="s">
        <v>38</v>
      </c>
      <c r="GE135" s="9"/>
      <c r="GF135" s="9"/>
      <c r="GG135" s="31" t="str">
        <f>IF(GF135/(INDEX('Standards for Conversions'!$H$34:$H$73,MATCH(GE$3,'Standards for Conversions'!$A$34:$A$73,0)))=0,"",GF135/(INDEX('Standards for Conversions'!$H$34:$H$73,MATCH(GE$3,'Standards for Conversions'!$A$34:$A$73,0))))</f>
        <v/>
      </c>
      <c r="GH135" s="10" t="s">
        <v>38</v>
      </c>
      <c r="GI135" s="7"/>
      <c r="GJ135" s="7"/>
      <c r="GK135" s="31" t="str">
        <f>IF(GJ135/(INDEX('Standards for Conversions'!$H$34:$H$73,MATCH(GI$3,'Standards for Conversions'!$A$34:$A$73,0)))=0,"",GJ135/(INDEX('Standards for Conversions'!$H$34:$H$73,MATCH(GI$3,'Standards for Conversions'!$A$34:$A$73,0))))</f>
        <v/>
      </c>
      <c r="GL135" s="10" t="s">
        <v>38</v>
      </c>
      <c r="GM135" s="7"/>
      <c r="GN135" s="7"/>
      <c r="GO135" s="31" t="str">
        <f>IF(GN135/(INDEX('Standards for Conversions'!$H$34:$H$73,MATCH(GM$3,'Standards for Conversions'!$A$34:$A$73,0)))=0,"",GN135/(INDEX('Standards for Conversions'!$H$34:$H$73,MATCH(GM$3,'Standards for Conversions'!$A$34:$A$73,0))))</f>
        <v/>
      </c>
      <c r="GP135" s="10" t="s">
        <v>38</v>
      </c>
      <c r="GQ135" s="7"/>
      <c r="GR135" s="7"/>
      <c r="GS135" s="31" t="str">
        <f>IF(GR135/(INDEX('Standards for Conversions'!$H$34:$H$73,MATCH(GQ$3,'Standards for Conversions'!$A$34:$A$73,0)))=0,"",GR135/(INDEX('Standards for Conversions'!$H$34:$H$73,MATCH(GQ$3,'Standards for Conversions'!$A$34:$A$73,0))))</f>
        <v/>
      </c>
      <c r="GT135" s="10" t="s">
        <v>38</v>
      </c>
      <c r="GU135" s="9"/>
      <c r="GV135" s="9"/>
      <c r="GW135" s="31" t="str">
        <f>IF(GV135/(INDEX('Standards for Conversions'!$H$34:$H$73,MATCH(GU$3,'Standards for Conversions'!$A$34:$A$73,0)))=0,"",GV135/(INDEX('Standards for Conversions'!$H$34:$H$73,MATCH(GU$3,'Standards for Conversions'!$A$34:$A$73,0))))</f>
        <v/>
      </c>
      <c r="GX135" s="10" t="s">
        <v>38</v>
      </c>
      <c r="GY135" s="7"/>
      <c r="GZ135" s="7"/>
      <c r="HA135" s="31" t="str">
        <f>IF(GZ135/(INDEX('Standards for Conversions'!$H$34:$H$73,MATCH(GY$3,'Standards for Conversions'!$A$34:$A$73,0)))=0,"",GZ135/(INDEX('Standards for Conversions'!$H$34:$H$73,MATCH(GY$3,'Standards for Conversions'!$A$34:$A$73,0))))</f>
        <v/>
      </c>
      <c r="HB135" s="10" t="s">
        <v>38</v>
      </c>
      <c r="HC135" s="7"/>
      <c r="HD135" s="7"/>
      <c r="HE135" s="31" t="str">
        <f>IF(HD135/(INDEX('Standards for Conversions'!$H$34:$H$73,MATCH(HC$3,'Standards for Conversions'!$A$34:$A$73,0)))=0,"",HD135/(INDEX('Standards for Conversions'!$H$34:$H$73,MATCH(HC$3,'Standards for Conversions'!$A$34:$A$73,0))))</f>
        <v/>
      </c>
      <c r="HF135" s="10" t="s">
        <v>38</v>
      </c>
      <c r="HG135" s="7"/>
      <c r="HH135" s="7"/>
      <c r="HI135" s="31" t="str">
        <f>IF(HH135/(INDEX('Standards for Conversions'!$H$34:$H$73,MATCH(HG$3,'Standards for Conversions'!$A$34:$A$73,0)))=0,"",HH135/(INDEX('Standards for Conversions'!$H$34:$H$73,MATCH(HG$3,'Standards for Conversions'!$A$34:$A$73,0))))</f>
        <v/>
      </c>
      <c r="HJ135" s="10" t="s">
        <v>38</v>
      </c>
      <c r="HK135" s="9"/>
      <c r="HL135" s="9"/>
      <c r="HM135" s="31" t="str">
        <f>IF(HL135/(INDEX('Standards for Conversions'!$H$34:$H$73,MATCH(HK$3,'Standards for Conversions'!$A$34:$A$73,0)))=0,"",HL135/(INDEX('Standards for Conversions'!$H$34:$H$73,MATCH(HK$3,'Standards for Conversions'!$A$34:$A$73,0))))</f>
        <v/>
      </c>
      <c r="HN135" s="10" t="s">
        <v>38</v>
      </c>
      <c r="HO135" s="7"/>
      <c r="HP135" s="7"/>
      <c r="HQ135" s="31" t="str">
        <f>IF(HP135/(INDEX('Standards for Conversions'!$H$34:$H$73,MATCH(HO$3,'Standards for Conversions'!$A$34:$A$73,0)))=0,"",HP135/(INDEX('Standards for Conversions'!$H$34:$H$73,MATCH(HO$3,'Standards for Conversions'!$A$34:$A$73,0))))</f>
        <v/>
      </c>
      <c r="HR135" s="33" t="s">
        <v>38</v>
      </c>
      <c r="HU135" s="31" t="str">
        <f>IF(HT135/(INDEX('Standards for Conversions'!$H$47:$H$73,MATCH(HS$3,'Standards for Conversions'!$A$47:$A$73,0)))=0,"",HT135/(INDEX('Standards for Conversions'!$H$47:$H$73,MATCH(HS$3,'Standards for Conversions'!$A$47:$A$73,0))))</f>
        <v/>
      </c>
      <c r="HV135" s="33" t="s">
        <v>38</v>
      </c>
      <c r="HY135" s="31" t="str">
        <f>IF(HX135/(INDEX('Standards for Conversions'!$H$47:$H$73,MATCH(HW$3,'Standards for Conversions'!$A$47:$A$73,0)))=0,"",HX135/(INDEX('Standards for Conversions'!$H$47:$H$73,MATCH(HW$3,'Standards for Conversions'!$A$47:$A$73,0))))</f>
        <v/>
      </c>
      <c r="HZ135" s="33"/>
      <c r="IA135" s="33"/>
      <c r="IB135" s="31" t="str">
        <f>IF(IA135/(INDEX('Standards for Conversions'!$H$47:$H$73,MATCH(HZ$3,'Standards for Conversions'!$A$47:$A$73,0)))=0,"",IA135/(INDEX('Standards for Conversions'!$H$47:$H$73,MATCH(HZ$3,'Standards for Conversions'!$A$47:$A$73,0))))</f>
        <v/>
      </c>
      <c r="IC135" s="33" t="s">
        <v>38</v>
      </c>
      <c r="ID135" s="29">
        <v>10</v>
      </c>
      <c r="IE135" s="29">
        <v>130</v>
      </c>
      <c r="IF135" s="31">
        <f>IF(IE135/(INDEX('Standards for Conversions'!$H$47:$H$73,MATCH(ID$3,'Standards for Conversions'!$A$47:$A$73,0)))=0,"",IE135/(INDEX('Standards for Conversions'!$H$47:$H$73,MATCH(ID$3,'Standards for Conversions'!$A$47:$A$73,0))))</f>
        <v>18.881903587671275</v>
      </c>
      <c r="IG135" s="33" t="s">
        <v>38</v>
      </c>
      <c r="IJ135" s="31" t="str">
        <f>IF(II135/(INDEX('Standards for Conversions'!$H$47:$H$73,MATCH(IH$3,'Standards for Conversions'!$A$47:$A$73,0)))=0,"",II135/(INDEX('Standards for Conversions'!$H$47:$H$73,MATCH(IH$3,'Standards for Conversions'!$A$47:$A$73,0))))</f>
        <v/>
      </c>
      <c r="IK135" s="33" t="s">
        <v>38</v>
      </c>
      <c r="IN135" s="31" t="str">
        <f>IF(IM135/(INDEX('Standards for Conversions'!$H$47:$H$73,MATCH(IL$3,'Standards for Conversions'!$A$47:$A$73,0)))=0,"",IM135/(INDEX('Standards for Conversions'!$H$47:$H$73,MATCH(IL$3,'Standards for Conversions'!$A$47:$A$73,0))))</f>
        <v/>
      </c>
      <c r="IO135" s="33" t="s">
        <v>38</v>
      </c>
      <c r="IR135" s="31" t="str">
        <f>IF(IQ135/(INDEX('Standards for Conversions'!$H$47:$H$73,MATCH(IP$3,'Standards for Conversions'!$A$47:$A$73,0)))=0,"",IQ135/(INDEX('Standards for Conversions'!$H$47:$H$73,MATCH(IP$3,'Standards for Conversions'!$A$47:$A$73,0))))</f>
        <v/>
      </c>
      <c r="IS135" s="33" t="s">
        <v>38</v>
      </c>
      <c r="IT135" s="29">
        <v>15</v>
      </c>
      <c r="IU135" s="29">
        <v>128</v>
      </c>
      <c r="IV135" s="31">
        <f>IF(IU135/(INDEX('Standards for Conversions'!$H$47:$H$73,MATCH(IT$3,'Standards for Conversions'!$A$47:$A$73,0)))=0,"",IU135/(INDEX('Standards for Conversions'!$H$47:$H$73,MATCH(IT$3,'Standards for Conversions'!$A$47:$A$73,0))))</f>
        <v>18.510109208887343</v>
      </c>
      <c r="IW135" s="33" t="s">
        <v>38</v>
      </c>
      <c r="IZ135" s="31" t="str">
        <f>IF(IY135/(INDEX('Standards for Conversions'!$H$47:$H$73,MATCH(IX$3,'Standards for Conversions'!$A$47:$A$73,0)))=0,"",IY135/(INDEX('Standards for Conversions'!$H$47:$H$73,MATCH(IX$3,'Standards for Conversions'!$A$47:$A$73,0))))</f>
        <v/>
      </c>
      <c r="JA135" s="33" t="s">
        <v>38</v>
      </c>
      <c r="JD135" s="31" t="str">
        <f>IF(JC135/(INDEX('Standards for Conversions'!$H$47:$H$73,MATCH(JB$3,'Standards for Conversions'!$A$47:$A$73,0)))=0,"",JC135/(INDEX('Standards for Conversions'!$H$47:$H$73,MATCH(JB$3,'Standards for Conversions'!$A$47:$A$73,0))))</f>
        <v/>
      </c>
      <c r="JE135" s="33" t="s">
        <v>38</v>
      </c>
      <c r="JH135" s="31" t="str">
        <f>IF(JG135/(INDEX('Standards for Conversions'!$H$47:$H$73,MATCH(JF$3,'Standards for Conversions'!$A$47:$A$73,0)))=0,"",JG135/(INDEX('Standards for Conversions'!$H$47:$H$73,MATCH(JF$3,'Standards for Conversions'!$A$47:$A$73,0))))</f>
        <v/>
      </c>
      <c r="JI135" s="48" t="s">
        <v>38</v>
      </c>
      <c r="JJ135" s="29">
        <v>11</v>
      </c>
      <c r="JK135" s="29">
        <v>45</v>
      </c>
      <c r="JL135" s="31">
        <f>IF(JK135/(INDEX('Standards for Conversions'!$H$47:$H$73,MATCH(JJ$3,'Standards for Conversions'!$A$47:$A$73,0)))=0,"",JK135/(INDEX('Standards for Conversions'!$H$47:$H$73,MATCH(JJ$3,'Standards for Conversions'!$A$47:$A$73,0))))</f>
        <v>7.2792088511340909</v>
      </c>
      <c r="JM135" s="33" t="s">
        <v>38</v>
      </c>
      <c r="JP135" s="31" t="str">
        <f>IF(JO135/(INDEX('Standards for Conversions'!$H$47:$H$73,MATCH(JN$3,'Standards for Conversions'!$A$47:$A$73,0)))=0,"",JO135/(INDEX('Standards for Conversions'!$H$47:$H$73,MATCH(JN$3,'Standards for Conversions'!$A$47:$A$73,0))))</f>
        <v/>
      </c>
      <c r="JQ135" s="33" t="s">
        <v>38</v>
      </c>
      <c r="JT135" s="31" t="str">
        <f>IF(JS135/(INDEX('Standards for Conversions'!$H$47:$H$73,MATCH(JR$3,'Standards for Conversions'!$A$47:$A$73,0)))=0,"",JS135/(INDEX('Standards for Conversions'!$H$47:$H$73,MATCH(JR$3,'Standards for Conversions'!$A$47:$A$73,0))))</f>
        <v/>
      </c>
      <c r="JU135" s="33" t="s">
        <v>38</v>
      </c>
      <c r="JX135" s="31" t="str">
        <f>IF(JW135/(INDEX('Standards for Conversions'!$H$47:$H$73,MATCH(JV$3,'Standards for Conversions'!$A$47:$A$73,0)))=0,"",JW135/(INDEX('Standards for Conversions'!$H$47:$H$73,MATCH(JV$3,'Standards for Conversions'!$A$47:$A$73,0))))</f>
        <v/>
      </c>
      <c r="JY135" s="33" t="s">
        <v>38</v>
      </c>
      <c r="JZ135" s="29">
        <v>10</v>
      </c>
      <c r="KA135" s="29">
        <v>50</v>
      </c>
      <c r="KB135" s="31">
        <f>IF(KA135/(INDEX('Standards for Conversions'!$H$47:$H$73,MATCH(JZ$3,'Standards for Conversions'!$A$47:$A$73,0)))=0,"",KA135/(INDEX('Standards for Conversions'!$H$47:$H$73,MATCH(JZ$3,'Standards for Conversions'!$A$47:$A$73,0))))</f>
        <v>7.6327946213898779</v>
      </c>
      <c r="KC135" s="33" t="s">
        <v>38</v>
      </c>
      <c r="KF135" s="31" t="str">
        <f>IF(KE135/(INDEX('Standards for Conversions'!$H$47:$H$73,MATCH(KD$3,'Standards for Conversions'!$A$47:$A$73,0)))=0,"",KE135/(INDEX('Standards for Conversions'!$H$47:$H$73,MATCH(KD$3,'Standards for Conversions'!$A$47:$A$73,0))))</f>
        <v/>
      </c>
      <c r="KG135" s="33" t="s">
        <v>38</v>
      </c>
      <c r="KJ135" s="31" t="str">
        <f>IF(KI135/(INDEX('Standards for Conversions'!$H$47:$H$73,MATCH(KH$3,'Standards for Conversions'!$A$47:$A$73,0)))=0,"",KI135/(INDEX('Standards for Conversions'!$H$47:$H$73,MATCH(KH$3,'Standards for Conversions'!$A$47:$A$73,0))))</f>
        <v/>
      </c>
      <c r="KK135" s="33" t="s">
        <v>38</v>
      </c>
      <c r="KN135" s="31" t="str">
        <f>IF(KM135/(INDEX('Standards for Conversions'!$H$47:$H$73,MATCH(KL$3,'Standards for Conversions'!$A$47:$A$73,0)))=0,"",KM135/(INDEX('Standards for Conversions'!$H$47:$H$73,MATCH(KL$3,'Standards for Conversions'!$A$47:$A$73,0))))</f>
        <v/>
      </c>
      <c r="KO135" s="33" t="s">
        <v>38</v>
      </c>
      <c r="KP135" s="29">
        <v>13</v>
      </c>
      <c r="KQ135" s="29">
        <v>80</v>
      </c>
      <c r="KR135" s="31">
        <f>IF(KQ135/(INDEX('Standards for Conversions'!$H$47:$H$73,MATCH(KP$3,'Standards for Conversions'!$A$47:$A$73,0)))=0,"",KQ135/(INDEX('Standards for Conversions'!$H$47:$H$73,MATCH(KP$3,'Standards for Conversions'!$A$47:$A$73,0))))</f>
        <v>10.772720952463716</v>
      </c>
      <c r="KS135" s="33" t="s">
        <v>38</v>
      </c>
      <c r="KV135" s="31" t="str">
        <f>IF(KU135/(INDEX('Standards for Conversions'!$H$47:$H$73,MATCH(KT$3,'Standards for Conversions'!$A$47:$A$73,0)))=0,"",KU135/(INDEX('Standards for Conversions'!$H$47:$H$73,MATCH(KT$3,'Standards for Conversions'!$A$47:$A$73,0))))</f>
        <v/>
      </c>
      <c r="KW135" s="33" t="s">
        <v>38</v>
      </c>
      <c r="KZ135" s="31" t="str">
        <f>IF(KY135/(INDEX('Standards for Conversions'!$H$47:$H$73,MATCH(KX$3,'Standards for Conversions'!$A$47:$A$73,0)))=0,"",KY135/(INDEX('Standards for Conversions'!$H$47:$H$73,MATCH(KX$3,'Standards for Conversions'!$A$47:$A$73,0))))</f>
        <v/>
      </c>
      <c r="LA135" s="33" t="s">
        <v>38</v>
      </c>
      <c r="LD135" s="31" t="str">
        <f>IF(LC135/(INDEX('Standards for Conversions'!$H$47:$H$73,MATCH(LB$3,'Standards for Conversions'!$A$47:$A$73,0)))=0,"",LC135/(INDEX('Standards for Conversions'!$H$47:$H$73,MATCH(LB$3,'Standards for Conversions'!$A$47:$A$73,0))))</f>
        <v/>
      </c>
      <c r="LE135" s="48" t="s">
        <v>38</v>
      </c>
      <c r="LF135" s="29">
        <v>10</v>
      </c>
      <c r="LG135" s="29">
        <v>170</v>
      </c>
      <c r="LH135" s="31">
        <f>IF(LG135/(INDEX('Standards for Conversions'!$H$47:$H$73,MATCH(LF$3,'Standards for Conversions'!$A$47:$A$73,0)))=0,"",LG135/(INDEX('Standards for Conversions'!$H$47:$H$73,MATCH(LF$3,'Standards for Conversions'!$A$47:$A$73,0))))</f>
        <v>20.674816343674859</v>
      </c>
      <c r="LL135" s="31" t="str">
        <f>IF(LK135/(INDEX('Standards for Conversions'!$H$47:$H$73,MATCH(LJ$3,'Standards for Conversions'!$A$47:$A$73,0)))=0,"",LK135/(INDEX('Standards for Conversions'!$H$47:$H$73,MATCH(LJ$3,'Standards for Conversions'!$A$47:$A$73,0))))</f>
        <v/>
      </c>
      <c r="LO135" s="31" t="str">
        <f>IF(LN135/(INDEX('Standards for Conversions'!$H$47:$H$73,MATCH(LM$3,'Standards for Conversions'!$A$47:$A$73,0)))=0,"",LN135/(INDEX('Standards for Conversions'!$H$47:$H$73,MATCH(LM$3,'Standards for Conversions'!$A$47:$A$73,0))))</f>
        <v/>
      </c>
      <c r="LR135" s="31" t="str">
        <f>IF(LQ135/(INDEX('Standards for Conversions'!$H$47:$H$73,MATCH(LP$3,'Standards for Conversions'!$A$47:$A$73,0)))=0,"",LQ135/(INDEX('Standards for Conversions'!$H$47:$H$73,MATCH(LP$3,'Standards for Conversions'!$A$47:$A$73,0))))</f>
        <v/>
      </c>
      <c r="LV135" s="31" t="str">
        <f>IF(LU135/(INDEX('Standards for Conversions'!$H$47:$H$73,MATCH(LT$3,'Standards for Conversions'!$A$47:$A$73,0)))=0,"",LU135/(INDEX('Standards for Conversions'!$H$47:$H$73,MATCH(LT$3,'Standards for Conversions'!$A$47:$A$73,0))))</f>
        <v/>
      </c>
      <c r="LY135" s="31" t="str">
        <f>IF(LX135/(INDEX('Standards for Conversions'!$H$47:$H$73,MATCH(LW$3,'Standards for Conversions'!$A$47:$A$73,0)))=0,"",LX135/(INDEX('Standards for Conversions'!$H$47:$H$73,MATCH(LW$3,'Standards for Conversions'!$A$47:$A$73,0))))</f>
        <v/>
      </c>
      <c r="MB135" s="31" t="str">
        <f>IF(MA135/(INDEX('Standards for Conversions'!$H$47:$H$73,MATCH(LZ$3,'Standards for Conversions'!$A$47:$A$73,0)))=0,"",MA135/(INDEX('Standards for Conversions'!$H$47:$H$73,MATCH(LZ$3,'Standards for Conversions'!$A$47:$A$73,0))))</f>
        <v/>
      </c>
      <c r="ME135" s="31" t="str">
        <f>IF(MD135/(INDEX('Standards for Conversions'!$H$47:$H$73,MATCH(MC$3,'Standards for Conversions'!$A$47:$A$73,0)))=0,"",MD135/(INDEX('Standards for Conversions'!$H$47:$H$73,MATCH(MC$3,'Standards for Conversions'!$A$47:$A$73,0))))</f>
        <v/>
      </c>
      <c r="MH135" s="31" t="str">
        <f>IF(MG135/(INDEX('Standards for Conversions'!$H$47:$H$73,MATCH(MF$3,'Standards for Conversions'!$A$47:$A$73,0)))=0,"",MG135/(INDEX('Standards for Conversions'!$H$47:$H$73,MATCH(MF$3,'Standards for Conversions'!$A$47:$A$73,0))))</f>
        <v/>
      </c>
      <c r="MK135" s="31" t="str">
        <f>IF(MJ135/(INDEX('Standards for Conversions'!$H$47:$H$73,MATCH(MI$3,'Standards for Conversions'!$A$47:$A$73,0)))=0,"",MJ135/(INDEX('Standards for Conversions'!$H$47:$H$73,MATCH(MI$3,'Standards for Conversions'!$A$47:$A$73,0))))</f>
        <v/>
      </c>
      <c r="MN135" s="31" t="str">
        <f>IF(MM135/(INDEX('Standards for Conversions'!$H$47:$H$73,MATCH(ML$3,'Standards for Conversions'!$A$47:$A$73,0)))=0,"",MM135/(INDEX('Standards for Conversions'!$H$47:$H$73,MATCH(ML$3,'Standards for Conversions'!$A$47:$A$73,0))))</f>
        <v/>
      </c>
      <c r="MR135" s="31" t="str">
        <f>IF(MQ135/(INDEX('Standards for Conversions'!$H$47:$H$73,MATCH(MP$3,'Standards for Conversions'!$A$47:$A$73,0)))=0,"",MQ135/(INDEX('Standards for Conversions'!$H$47:$H$73,MATCH(MP$3,'Standards for Conversions'!$A$47:$A$73,0))))</f>
        <v/>
      </c>
    </row>
    <row r="136" spans="1:356" hidden="1" x14ac:dyDescent="0.3">
      <c r="A136" s="103" t="s">
        <v>301</v>
      </c>
      <c r="B136" s="10" t="s">
        <v>38</v>
      </c>
      <c r="C136" s="7"/>
      <c r="D136" s="7"/>
      <c r="E136" s="31" t="str">
        <f>IF(D136/(INDEX('Standards for Conversions'!$H$34:$H$73,MATCH(C$3,'Standards for Conversions'!$A$34:$A$73,0)))=0,"",D136/(INDEX('Standards for Conversions'!$H$34:$H$73,MATCH(C$3,'Standards for Conversions'!$A$34:$A$73,0))))</f>
        <v/>
      </c>
      <c r="F136" s="10" t="s">
        <v>38</v>
      </c>
      <c r="G136" s="7"/>
      <c r="H136" s="7"/>
      <c r="I136" s="31" t="str">
        <f>IF(H136/(INDEX('Standards for Conversions'!$H$34:$H$73,MATCH(G$3,'Standards for Conversions'!$A$34:$A$73,0)))=0,"",H136/(INDEX('Standards for Conversions'!$H$34:$H$73,MATCH(G$3,'Standards for Conversions'!$A$34:$A$73,0))))</f>
        <v/>
      </c>
      <c r="J136" s="10" t="s">
        <v>38</v>
      </c>
      <c r="K136" s="9"/>
      <c r="L136" s="9"/>
      <c r="M136" s="31" t="str">
        <f>IF(L136/(INDEX('Standards for Conversions'!$H$34:$H$73,MATCH(K$3,'Standards for Conversions'!$A$34:$A$73,0)))=0,"",L136/(INDEX('Standards for Conversions'!$H$34:$H$73,MATCH(K$3,'Standards for Conversions'!$A$34:$A$73,0))))</f>
        <v/>
      </c>
      <c r="N136" s="10" t="s">
        <v>38</v>
      </c>
      <c r="O136" s="7"/>
      <c r="P136" s="7"/>
      <c r="Q136" s="31" t="str">
        <f>IF(P136/(INDEX('Standards for Conversions'!$H$34:$H$73,MATCH(O$3,'Standards for Conversions'!$A$34:$A$73,0)))=0,"",P136/(INDEX('Standards for Conversions'!$H$34:$H$73,MATCH(O$3,'Standards for Conversions'!$A$34:$A$73,0))))</f>
        <v/>
      </c>
      <c r="R136" s="10" t="s">
        <v>38</v>
      </c>
      <c r="S136" s="7"/>
      <c r="T136" s="7"/>
      <c r="U136" s="31" t="str">
        <f>IF(T136/(INDEX('Standards for Conversions'!$H$34:$H$73,MATCH(S$3,'Standards for Conversions'!$A$34:$A$73,0)))=0,"",T136/(INDEX('Standards for Conversions'!$H$34:$H$73,MATCH(S$3,'Standards for Conversions'!$A$34:$A$73,0))))</f>
        <v/>
      </c>
      <c r="V136" s="10" t="s">
        <v>38</v>
      </c>
      <c r="W136" s="7"/>
      <c r="X136" s="7"/>
      <c r="Y136" s="31" t="str">
        <f>IF(X136/(INDEX('Standards for Conversions'!$H$34:$H$73,MATCH(W$3,'Standards for Conversions'!$A$34:$A$73,0)))=0,"",X136/(INDEX('Standards for Conversions'!$H$34:$H$73,MATCH(W$3,'Standards for Conversions'!$A$34:$A$73,0))))</f>
        <v/>
      </c>
      <c r="Z136" s="10" t="s">
        <v>38</v>
      </c>
      <c r="AA136" s="9"/>
      <c r="AB136" s="9"/>
      <c r="AC136" s="31" t="str">
        <f>IF(AB136/(INDEX('Standards for Conversions'!$H$34:$H$73,MATCH(AA$3,'Standards for Conversions'!$A$34:$A$73,0)))=0,"",AB136/(INDEX('Standards for Conversions'!$H$34:$H$73,MATCH(AA$3,'Standards for Conversions'!$A$34:$A$73,0))))</f>
        <v/>
      </c>
      <c r="AD136" s="10" t="s">
        <v>38</v>
      </c>
      <c r="AE136" s="7"/>
      <c r="AF136" s="7"/>
      <c r="AG136" s="31" t="str">
        <f>IF(AF136/(INDEX('Standards for Conversions'!$H$34:$H$73,MATCH(AE$3,'Standards for Conversions'!$A$34:$A$73,0)))=0,"",AF136/(INDEX('Standards for Conversions'!$H$34:$H$73,MATCH(AE$3,'Standards for Conversions'!$A$34:$A$73,0))))</f>
        <v/>
      </c>
      <c r="AH136" s="10" t="s">
        <v>38</v>
      </c>
      <c r="AI136" s="7"/>
      <c r="AJ136" s="7"/>
      <c r="AK136" s="31" t="str">
        <f>IF(AJ136/(INDEX('Standards for Conversions'!$H$34:$H$73,MATCH(AI$3,'Standards for Conversions'!$A$34:$A$73,0)))=0,"",AJ136/(INDEX('Standards for Conversions'!$H$34:$H$73,MATCH(AI$3,'Standards for Conversions'!$A$34:$A$73,0))))</f>
        <v/>
      </c>
      <c r="AL136" s="10" t="s">
        <v>38</v>
      </c>
      <c r="AM136" s="7"/>
      <c r="AN136" s="7"/>
      <c r="AO136" s="31" t="str">
        <f>IF(AN136/(INDEX('Standards for Conversions'!$H$34:$H$73,MATCH(AM$3,'Standards for Conversions'!$A$34:$A$73,0)))=0,"",AN136/(INDEX('Standards for Conversions'!$H$34:$H$73,MATCH(AM$3,'Standards for Conversions'!$A$34:$A$73,0))))</f>
        <v/>
      </c>
      <c r="AP136" s="10" t="s">
        <v>38</v>
      </c>
      <c r="AQ136" s="9"/>
      <c r="AR136" s="9"/>
      <c r="AS136" s="31" t="str">
        <f>IF(AR136/(INDEX('Standards for Conversions'!$H$34:$H$73,MATCH(AQ$3,'Standards for Conversions'!$A$34:$A$73,0)))=0,"",AR136/(INDEX('Standards for Conversions'!$H$34:$H$73,MATCH(AQ$3,'Standards for Conversions'!$A$34:$A$73,0))))</f>
        <v/>
      </c>
      <c r="AT136" s="10" t="s">
        <v>38</v>
      </c>
      <c r="AU136" s="7"/>
      <c r="AV136" s="7"/>
      <c r="AW136" s="31" t="str">
        <f>IF(AV136/(INDEX('Standards for Conversions'!$H$34:$H$73,MATCH(AU$3,'Standards for Conversions'!$A$34:$A$73,0)))=0,"",AV136/(INDEX('Standards for Conversions'!$H$34:$H$73,MATCH(AU$3,'Standards for Conversions'!$A$34:$A$73,0))))</f>
        <v/>
      </c>
      <c r="AX136" s="10" t="s">
        <v>38</v>
      </c>
      <c r="AY136" s="7"/>
      <c r="AZ136" s="7"/>
      <c r="BA136" s="31" t="str">
        <f>IF(AZ136/(INDEX('Standards for Conversions'!$H$34:$H$73,MATCH(AY$3,'Standards for Conversions'!$A$34:$A$73,0)))=0,"",AZ136/(INDEX('Standards for Conversions'!$H$34:$H$73,MATCH(AY$3,'Standards for Conversions'!$A$34:$A$73,0))))</f>
        <v/>
      </c>
      <c r="BB136" s="10" t="s">
        <v>38</v>
      </c>
      <c r="BC136" s="7"/>
      <c r="BD136" s="7"/>
      <c r="BE136" s="31" t="str">
        <f>IF(BD136/(INDEX('Standards for Conversions'!$H$34:$H$73,MATCH(BC$3,'Standards for Conversions'!$A$34:$A$73,0)))=0,"",BD136/(INDEX('Standards for Conversions'!$H$34:$H$73,MATCH(BC$3,'Standards for Conversions'!$A$34:$A$73,0))))</f>
        <v/>
      </c>
      <c r="BF136" s="10" t="s">
        <v>38</v>
      </c>
      <c r="BG136" s="9"/>
      <c r="BH136" s="9"/>
      <c r="BI136" s="31" t="str">
        <f>IF(BH136/(INDEX('Standards for Conversions'!$H$34:$H$73,MATCH(BG$3,'Standards for Conversions'!$A$34:$A$73,0)))=0,"",BH136/(INDEX('Standards for Conversions'!$H$34:$H$73,MATCH(BG$3,'Standards for Conversions'!$A$34:$A$73,0))))</f>
        <v/>
      </c>
      <c r="BJ136" s="10" t="s">
        <v>38</v>
      </c>
      <c r="BK136" s="7"/>
      <c r="BL136" s="7"/>
      <c r="BM136" s="31" t="str">
        <f>IF(BL136/(INDEX('Standards for Conversions'!$H$34:$H$73,MATCH(BK$3,'Standards for Conversions'!$A$34:$A$73,0)))=0,"",BL136/(INDEX('Standards for Conversions'!$H$34:$H$73,MATCH(BK$3,'Standards for Conversions'!$A$34:$A$73,0))))</f>
        <v/>
      </c>
      <c r="BN136" s="10" t="s">
        <v>38</v>
      </c>
      <c r="BO136" s="7"/>
      <c r="BP136" s="7"/>
      <c r="BQ136" s="31" t="str">
        <f>IF(BP136/(INDEX('Standards for Conversions'!$H$34:$H$73,MATCH(BO$3,'Standards for Conversions'!$A$34:$A$73,0)))=0,"",BP136/(INDEX('Standards for Conversions'!$H$34:$H$73,MATCH(BO$3,'Standards for Conversions'!$A$34:$A$73,0))))</f>
        <v/>
      </c>
      <c r="BR136" s="10" t="s">
        <v>38</v>
      </c>
      <c r="BS136" s="7"/>
      <c r="BT136" s="7"/>
      <c r="BU136" s="31" t="str">
        <f>IF(BT136/(INDEX('Standards for Conversions'!$H$34:$H$73,MATCH(BS$3,'Standards for Conversions'!$A$34:$A$73,0)))=0,"",BT136/(INDEX('Standards for Conversions'!$H$34:$H$73,MATCH(BS$3,'Standards for Conversions'!$A$34:$A$73,0))))</f>
        <v/>
      </c>
      <c r="BV136" s="10" t="s">
        <v>38</v>
      </c>
      <c r="BW136" s="9"/>
      <c r="BX136" s="9"/>
      <c r="BY136" s="31" t="str">
        <f>IF(BX136/(INDEX('Standards for Conversions'!$H$34:$H$73,MATCH(BW$3,'Standards for Conversions'!$A$34:$A$73,0)))=0,"",BX136/(INDEX('Standards for Conversions'!$H$34:$H$73,MATCH(BW$3,'Standards for Conversions'!$A$34:$A$73,0))))</f>
        <v/>
      </c>
      <c r="BZ136" s="10" t="s">
        <v>38</v>
      </c>
      <c r="CA136" s="7"/>
      <c r="CB136" s="7"/>
      <c r="CC136" s="31" t="str">
        <f>IF(CB136/(INDEX('Standards for Conversions'!$H$34:$H$73,MATCH(CA$3,'Standards for Conversions'!$A$34:$A$73,0)))=0,"",CB136/(INDEX('Standards for Conversions'!$H$34:$H$73,MATCH(CA$3,'Standards for Conversions'!$A$34:$A$73,0))))</f>
        <v/>
      </c>
      <c r="CD136" s="10" t="s">
        <v>38</v>
      </c>
      <c r="CE136" s="7"/>
      <c r="CF136" s="7"/>
      <c r="CG136" s="31" t="str">
        <f>IF(CF136/(INDEX('Standards for Conversions'!$H$34:$H$73,MATCH(CE$3,'Standards for Conversions'!$A$34:$A$73,0)))=0,"",CF136/(INDEX('Standards for Conversions'!$H$34:$H$73,MATCH(CE$3,'Standards for Conversions'!$A$34:$A$73,0))))</f>
        <v/>
      </c>
      <c r="CH136" s="10" t="s">
        <v>38</v>
      </c>
      <c r="CI136" s="7"/>
      <c r="CJ136" s="7"/>
      <c r="CK136" s="31" t="str">
        <f>IF(CJ136/(INDEX('Standards for Conversions'!$H$34:$H$73,MATCH(CI$3,'Standards for Conversions'!$A$34:$A$73,0)))=0,"",CJ136/(INDEX('Standards for Conversions'!$H$34:$H$73,MATCH(CI$3,'Standards for Conversions'!$A$34:$A$73,0))))</f>
        <v/>
      </c>
      <c r="CL136" s="10" t="s">
        <v>38</v>
      </c>
      <c r="CM136" s="9"/>
      <c r="CN136" s="9"/>
      <c r="CO136" s="31" t="str">
        <f>IF(CN136/(INDEX('Standards for Conversions'!$H$34:$H$73,MATCH(CM$3,'Standards for Conversions'!$A$34:$A$73,0)))=0,"",CN136/(INDEX('Standards for Conversions'!$H$34:$H$73,MATCH(CM$3,'Standards for Conversions'!$A$34:$A$73,0))))</f>
        <v/>
      </c>
      <c r="CP136" s="10" t="s">
        <v>38</v>
      </c>
      <c r="CQ136" s="7"/>
      <c r="CR136" s="7"/>
      <c r="CS136" s="31" t="str">
        <f>IF(CR136/(INDEX('Standards for Conversions'!$H$34:$H$73,MATCH(CQ$3,'Standards for Conversions'!$A$34:$A$73,0)))=0,"",CR136/(INDEX('Standards for Conversions'!$H$34:$H$73,MATCH(CQ$3,'Standards for Conversions'!$A$34:$A$73,0))))</f>
        <v/>
      </c>
      <c r="CT136" s="10" t="s">
        <v>38</v>
      </c>
      <c r="CU136" s="7"/>
      <c r="CV136" s="7"/>
      <c r="CW136" s="31" t="str">
        <f>IF(CV136/(INDEX('Standards for Conversions'!$H$34:$H$73,MATCH(CU$3,'Standards for Conversions'!$A$34:$A$73,0)))=0,"",CV136/(INDEX('Standards for Conversions'!$H$34:$H$73,MATCH(CU$3,'Standards for Conversions'!$A$34:$A$73,0))))</f>
        <v/>
      </c>
      <c r="CX136" s="10" t="s">
        <v>38</v>
      </c>
      <c r="CY136" s="7"/>
      <c r="CZ136" s="7"/>
      <c r="DA136" s="31" t="str">
        <f>IF(CZ136/(INDEX('Standards for Conversions'!$H$34:$H$73,MATCH(CY$3,'Standards for Conversions'!$A$34:$A$73,0)))=0,"",CZ136/(INDEX('Standards for Conversions'!$H$34:$H$73,MATCH(CY$3,'Standards for Conversions'!$A$34:$A$73,0))))</f>
        <v/>
      </c>
      <c r="DB136" s="10" t="s">
        <v>38</v>
      </c>
      <c r="DC136" s="9"/>
      <c r="DD136" s="9"/>
      <c r="DE136" s="31" t="str">
        <f>IF(DD136/(INDEX('Standards for Conversions'!$H$34:$H$73,MATCH(DC$3,'Standards for Conversions'!$A$34:$A$73,0)))=0,"",DD136/(INDEX('Standards for Conversions'!$H$34:$H$73,MATCH(DC$3,'Standards for Conversions'!$A$34:$A$73,0))))</f>
        <v/>
      </c>
      <c r="DF136" s="10" t="s">
        <v>38</v>
      </c>
      <c r="DG136" s="7"/>
      <c r="DH136" s="7"/>
      <c r="DI136" s="31" t="str">
        <f>IF(DH136/(INDEX('Standards for Conversions'!$H$34:$H$73,MATCH(DG$3,'Standards for Conversions'!$A$34:$A$73,0)))=0,"",DH136/(INDEX('Standards for Conversions'!$H$34:$H$73,MATCH(DG$3,'Standards for Conversions'!$A$34:$A$73,0))))</f>
        <v/>
      </c>
      <c r="DJ136" s="10" t="s">
        <v>38</v>
      </c>
      <c r="DK136" s="7"/>
      <c r="DL136" s="7"/>
      <c r="DM136" s="31" t="str">
        <f>IF(DL136/(INDEX('Standards for Conversions'!$H$34:$H$73,MATCH(DK$3,'Standards for Conversions'!$A$34:$A$73,0)))=0,"",DL136/(INDEX('Standards for Conversions'!$H$34:$H$73,MATCH(DK$3,'Standards for Conversions'!$A$34:$A$73,0))))</f>
        <v/>
      </c>
      <c r="DN136" s="10" t="s">
        <v>38</v>
      </c>
      <c r="DO136" s="7"/>
      <c r="DP136" s="7"/>
      <c r="DQ136" s="31" t="str">
        <f>IF(DP136/(INDEX('Standards for Conversions'!$H$34:$H$73,MATCH(DO$3,'Standards for Conversions'!$A$34:$A$73,0)))=0,"",DP136/(INDEX('Standards for Conversions'!$H$34:$H$73,MATCH(DO$3,'Standards for Conversions'!$A$34:$A$73,0))))</f>
        <v/>
      </c>
      <c r="DR136" s="10" t="s">
        <v>38</v>
      </c>
      <c r="DS136" s="9"/>
      <c r="DT136" s="9"/>
      <c r="DU136" s="31" t="str">
        <f>IF(DT136/(INDEX('Standards for Conversions'!$H$34:$H$73,MATCH(DS$3,'Standards for Conversions'!$A$34:$A$73,0)))=0,"",DT136/(INDEX('Standards for Conversions'!$H$34:$H$73,MATCH(DS$3,'Standards for Conversions'!$A$34:$A$73,0))))</f>
        <v/>
      </c>
      <c r="DV136" s="10" t="s">
        <v>38</v>
      </c>
      <c r="DW136" s="7"/>
      <c r="DX136" s="7"/>
      <c r="DY136" s="31" t="str">
        <f>IF(DX136/(INDEX('Standards for Conversions'!$H$34:$H$73,MATCH(DW$3,'Standards for Conversions'!$A$34:$A$73,0)))=0,"",DX136/(INDEX('Standards for Conversions'!$H$34:$H$73,MATCH(DW$3,'Standards for Conversions'!$A$34:$A$73,0))))</f>
        <v/>
      </c>
      <c r="DZ136" s="10" t="s">
        <v>38</v>
      </c>
      <c r="EA136" s="7"/>
      <c r="EB136" s="7"/>
      <c r="EC136" s="31" t="str">
        <f>IF(EB136/(INDEX('Standards for Conversions'!$H$34:$H$73,MATCH(EA$3,'Standards for Conversions'!$A$34:$A$73,0)))=0,"",EB136/(INDEX('Standards for Conversions'!$H$34:$H$73,MATCH(EA$3,'Standards for Conversions'!$A$34:$A$73,0))))</f>
        <v/>
      </c>
      <c r="ED136" s="10" t="s">
        <v>38</v>
      </c>
      <c r="EE136" s="7"/>
      <c r="EF136" s="7"/>
      <c r="EG136" s="31" t="str">
        <f>IF(EF136/(INDEX('Standards for Conversions'!$H$34:$H$73,MATCH(EE$3,'Standards for Conversions'!$A$34:$A$73,0)))=0,"",EF136/(INDEX('Standards for Conversions'!$H$34:$H$73,MATCH(EE$3,'Standards for Conversions'!$A$34:$A$73,0))))</f>
        <v/>
      </c>
      <c r="EH136" s="10" t="s">
        <v>38</v>
      </c>
      <c r="EI136" s="9"/>
      <c r="EJ136" s="9"/>
      <c r="EK136" s="31" t="str">
        <f>IF(EJ136/(INDEX('Standards for Conversions'!$H$34:$H$73,MATCH(EI$3,'Standards for Conversions'!$A$34:$A$73,0)))=0,"",EJ136/(INDEX('Standards for Conversions'!$H$34:$H$73,MATCH(EI$3,'Standards for Conversions'!$A$34:$A$73,0))))</f>
        <v/>
      </c>
      <c r="EL136" s="10" t="s">
        <v>38</v>
      </c>
      <c r="EM136" s="7"/>
      <c r="EN136" s="7"/>
      <c r="EO136" s="31" t="str">
        <f>IF(EN136/(INDEX('Standards for Conversions'!$H$34:$H$73,MATCH(EM$3,'Standards for Conversions'!$A$34:$A$73,0)))=0,"",EN136/(INDEX('Standards for Conversions'!$H$34:$H$73,MATCH(EM$3,'Standards for Conversions'!$A$34:$A$73,0))))</f>
        <v/>
      </c>
      <c r="EP136" s="10" t="s">
        <v>38</v>
      </c>
      <c r="EQ136" s="7"/>
      <c r="ER136" s="7"/>
      <c r="ES136" s="31" t="str">
        <f>IF(ER136/(INDEX('Standards for Conversions'!$H$34:$H$73,MATCH(EQ$3,'Standards for Conversions'!$A$34:$A$73,0)))=0,"",ER136/(INDEX('Standards for Conversions'!$H$34:$H$73,MATCH(EQ$3,'Standards for Conversions'!$A$34:$A$73,0))))</f>
        <v/>
      </c>
      <c r="ET136" s="10" t="s">
        <v>38</v>
      </c>
      <c r="EU136" s="7"/>
      <c r="EV136" s="7"/>
      <c r="EW136" s="31" t="str">
        <f>IF(EV136/(INDEX('Standards for Conversions'!$H$34:$H$73,MATCH(EU$3,'Standards for Conversions'!$A$34:$A$73,0)))=0,"",EV136/(INDEX('Standards for Conversions'!$H$34:$H$73,MATCH(EU$3,'Standards for Conversions'!$A$34:$A$73,0))))</f>
        <v/>
      </c>
      <c r="EX136" s="10" t="s">
        <v>38</v>
      </c>
      <c r="EY136" s="9"/>
      <c r="EZ136" s="9"/>
      <c r="FA136" s="31" t="str">
        <f>IF(EZ136/(INDEX('Standards for Conversions'!$H$34:$H$73,MATCH(EY$3,'Standards for Conversions'!$A$34:$A$73,0)))=0,"",EZ136/(INDEX('Standards for Conversions'!$H$34:$H$73,MATCH(EY$3,'Standards for Conversions'!$A$34:$A$73,0))))</f>
        <v/>
      </c>
      <c r="FB136" s="10" t="s">
        <v>38</v>
      </c>
      <c r="FC136" s="7"/>
      <c r="FD136" s="7"/>
      <c r="FE136" s="31" t="str">
        <f>IF(FD136/(INDEX('Standards for Conversions'!$H$34:$H$73,MATCH(FC$3,'Standards for Conversions'!$A$34:$A$73,0)))=0,"",FD136/(INDEX('Standards for Conversions'!$H$34:$H$73,MATCH(FC$3,'Standards for Conversions'!$A$34:$A$73,0))))</f>
        <v/>
      </c>
      <c r="FF136" s="10" t="s">
        <v>38</v>
      </c>
      <c r="FG136" s="7"/>
      <c r="FH136" s="7"/>
      <c r="FI136" s="31" t="str">
        <f>IF(FH136/(INDEX('Standards for Conversions'!$H$34:$H$73,MATCH(FG$3,'Standards for Conversions'!$A$34:$A$73,0)))=0,"",FH136/(INDEX('Standards for Conversions'!$H$34:$H$73,MATCH(FG$3,'Standards for Conversions'!$A$34:$A$73,0))))</f>
        <v/>
      </c>
      <c r="FJ136" s="10" t="s">
        <v>38</v>
      </c>
      <c r="FK136" s="7"/>
      <c r="FL136" s="7"/>
      <c r="FM136" s="31" t="str">
        <f>IF(FL136/(INDEX('Standards for Conversions'!$H$34:$H$73,MATCH(FK$3,'Standards for Conversions'!$A$34:$A$73,0)))=0,"",FL136/(INDEX('Standards for Conversions'!$H$34:$H$73,MATCH(FK$3,'Standards for Conversions'!$A$34:$A$73,0))))</f>
        <v/>
      </c>
      <c r="FN136" s="10" t="s">
        <v>38</v>
      </c>
      <c r="FO136" s="9"/>
      <c r="FP136" s="9"/>
      <c r="FQ136" s="31" t="str">
        <f>IF(FP136/(INDEX('Standards for Conversions'!$H$34:$H$73,MATCH(FO$3,'Standards for Conversions'!$A$34:$A$73,0)))=0,"",FP136/(INDEX('Standards for Conversions'!$H$34:$H$73,MATCH(FO$3,'Standards for Conversions'!$A$34:$A$73,0))))</f>
        <v/>
      </c>
      <c r="FR136" s="10" t="s">
        <v>38</v>
      </c>
      <c r="FS136" s="7"/>
      <c r="FT136" s="7"/>
      <c r="FU136" s="31" t="str">
        <f>IF(FT136/(INDEX('Standards for Conversions'!$H$34:$H$73,MATCH(FS$3,'Standards for Conversions'!$A$34:$A$73,0)))=0,"",FT136/(INDEX('Standards for Conversions'!$H$34:$H$73,MATCH(FS$3,'Standards for Conversions'!$A$34:$A$73,0))))</f>
        <v/>
      </c>
      <c r="FV136" s="10" t="s">
        <v>38</v>
      </c>
      <c r="FW136" s="7"/>
      <c r="FX136" s="7"/>
      <c r="FY136" s="31" t="str">
        <f>IF(FX136/(INDEX('Standards for Conversions'!$H$34:$H$73,MATCH(FW$3,'Standards for Conversions'!$A$34:$A$73,0)))=0,"",FX136/(INDEX('Standards for Conversions'!$H$34:$H$73,MATCH(FW$3,'Standards for Conversions'!$A$34:$A$73,0))))</f>
        <v/>
      </c>
      <c r="FZ136" s="10" t="s">
        <v>38</v>
      </c>
      <c r="GA136" s="7"/>
      <c r="GB136" s="7"/>
      <c r="GC136" s="31" t="str">
        <f>IF(GB136/(INDEX('Standards for Conversions'!$H$34:$H$73,MATCH(GA$3,'Standards for Conversions'!$A$34:$A$73,0)))=0,"",GB136/(INDEX('Standards for Conversions'!$H$34:$H$73,MATCH(GA$3,'Standards for Conversions'!$A$34:$A$73,0))))</f>
        <v/>
      </c>
      <c r="GD136" s="10" t="s">
        <v>38</v>
      </c>
      <c r="GE136" s="9"/>
      <c r="GF136" s="9"/>
      <c r="GG136" s="31" t="str">
        <f>IF(GF136/(INDEX('Standards for Conversions'!$H$34:$H$73,MATCH(GE$3,'Standards for Conversions'!$A$34:$A$73,0)))=0,"",GF136/(INDEX('Standards for Conversions'!$H$34:$H$73,MATCH(GE$3,'Standards for Conversions'!$A$34:$A$73,0))))</f>
        <v/>
      </c>
      <c r="GH136" s="10" t="s">
        <v>38</v>
      </c>
      <c r="GI136" s="7"/>
      <c r="GJ136" s="7"/>
      <c r="GK136" s="31" t="str">
        <f>IF(GJ136/(INDEX('Standards for Conversions'!$H$34:$H$73,MATCH(GI$3,'Standards for Conversions'!$A$34:$A$73,0)))=0,"",GJ136/(INDEX('Standards for Conversions'!$H$34:$H$73,MATCH(GI$3,'Standards for Conversions'!$A$34:$A$73,0))))</f>
        <v/>
      </c>
      <c r="GL136" s="10" t="s">
        <v>38</v>
      </c>
      <c r="GM136" s="7"/>
      <c r="GN136" s="7"/>
      <c r="GO136" s="31" t="str">
        <f>IF(GN136/(INDEX('Standards for Conversions'!$H$34:$H$73,MATCH(GM$3,'Standards for Conversions'!$A$34:$A$73,0)))=0,"",GN136/(INDEX('Standards for Conversions'!$H$34:$H$73,MATCH(GM$3,'Standards for Conversions'!$A$34:$A$73,0))))</f>
        <v/>
      </c>
      <c r="GP136" s="10" t="s">
        <v>38</v>
      </c>
      <c r="GQ136" s="7"/>
      <c r="GR136" s="7"/>
      <c r="GS136" s="31" t="str">
        <f>IF(GR136/(INDEX('Standards for Conversions'!$H$34:$H$73,MATCH(GQ$3,'Standards for Conversions'!$A$34:$A$73,0)))=0,"",GR136/(INDEX('Standards for Conversions'!$H$34:$H$73,MATCH(GQ$3,'Standards for Conversions'!$A$34:$A$73,0))))</f>
        <v/>
      </c>
      <c r="GT136" s="10" t="s">
        <v>38</v>
      </c>
      <c r="GU136" s="9"/>
      <c r="GV136" s="9"/>
      <c r="GW136" s="31" t="str">
        <f>IF(GV136/(INDEX('Standards for Conversions'!$H$34:$H$73,MATCH(GU$3,'Standards for Conversions'!$A$34:$A$73,0)))=0,"",GV136/(INDEX('Standards for Conversions'!$H$34:$H$73,MATCH(GU$3,'Standards for Conversions'!$A$34:$A$73,0))))</f>
        <v/>
      </c>
      <c r="GX136" s="10" t="s">
        <v>38</v>
      </c>
      <c r="GY136" s="7"/>
      <c r="GZ136" s="7"/>
      <c r="HA136" s="31" t="str">
        <f>IF(GZ136/(INDEX('Standards for Conversions'!$H$34:$H$73,MATCH(GY$3,'Standards for Conversions'!$A$34:$A$73,0)))=0,"",GZ136/(INDEX('Standards for Conversions'!$H$34:$H$73,MATCH(GY$3,'Standards for Conversions'!$A$34:$A$73,0))))</f>
        <v/>
      </c>
      <c r="HB136" s="10" t="s">
        <v>38</v>
      </c>
      <c r="HC136" s="7"/>
      <c r="HD136" s="7"/>
      <c r="HE136" s="31" t="str">
        <f>IF(HD136/(INDEX('Standards for Conversions'!$H$34:$H$73,MATCH(HC$3,'Standards for Conversions'!$A$34:$A$73,0)))=0,"",HD136/(INDEX('Standards for Conversions'!$H$34:$H$73,MATCH(HC$3,'Standards for Conversions'!$A$34:$A$73,0))))</f>
        <v/>
      </c>
      <c r="HF136" s="10" t="s">
        <v>38</v>
      </c>
      <c r="HG136" s="7"/>
      <c r="HH136" s="7"/>
      <c r="HI136" s="31" t="str">
        <f>IF(HH136/(INDEX('Standards for Conversions'!$H$34:$H$73,MATCH(HG$3,'Standards for Conversions'!$A$34:$A$73,0)))=0,"",HH136/(INDEX('Standards for Conversions'!$H$34:$H$73,MATCH(HG$3,'Standards for Conversions'!$A$34:$A$73,0))))</f>
        <v/>
      </c>
      <c r="HJ136" s="10" t="s">
        <v>38</v>
      </c>
      <c r="HK136" s="9"/>
      <c r="HL136" s="9"/>
      <c r="HM136" s="31" t="str">
        <f>IF(HL136/(INDEX('Standards for Conversions'!$H$34:$H$73,MATCH(HK$3,'Standards for Conversions'!$A$34:$A$73,0)))=0,"",HL136/(INDEX('Standards for Conversions'!$H$34:$H$73,MATCH(HK$3,'Standards for Conversions'!$A$34:$A$73,0))))</f>
        <v/>
      </c>
      <c r="HN136" s="10" t="s">
        <v>38</v>
      </c>
      <c r="HO136" s="7"/>
      <c r="HP136" s="7"/>
      <c r="HQ136" s="31" t="str">
        <f>IF(HP136/(INDEX('Standards for Conversions'!$H$34:$H$73,MATCH(HO$3,'Standards for Conversions'!$A$34:$A$73,0)))=0,"",HP136/(INDEX('Standards for Conversions'!$H$34:$H$73,MATCH(HO$3,'Standards for Conversions'!$A$34:$A$73,0))))</f>
        <v/>
      </c>
      <c r="HR136" s="33" t="s">
        <v>38</v>
      </c>
      <c r="HU136" s="31" t="str">
        <f>IF(HT136/(INDEX('Standards for Conversions'!$H$47:$H$73,MATCH(HS$3,'Standards for Conversions'!$A$47:$A$73,0)))=0,"",HT136/(INDEX('Standards for Conversions'!$H$47:$H$73,MATCH(HS$3,'Standards for Conversions'!$A$47:$A$73,0))))</f>
        <v/>
      </c>
      <c r="HV136" s="33" t="s">
        <v>38</v>
      </c>
      <c r="HY136" s="31" t="str">
        <f>IF(HX136/(INDEX('Standards for Conversions'!$H$47:$H$73,MATCH(HW$3,'Standards for Conversions'!$A$47:$A$73,0)))=0,"",HX136/(INDEX('Standards for Conversions'!$H$47:$H$73,MATCH(HW$3,'Standards for Conversions'!$A$47:$A$73,0))))</f>
        <v/>
      </c>
      <c r="HZ136" s="33"/>
      <c r="IA136" s="33"/>
      <c r="IB136" s="31" t="str">
        <f>IF(IA136/(INDEX('Standards for Conversions'!$H$47:$H$73,MATCH(HZ$3,'Standards for Conversions'!$A$47:$A$73,0)))=0,"",IA136/(INDEX('Standards for Conversions'!$H$47:$H$73,MATCH(HZ$3,'Standards for Conversions'!$A$47:$A$73,0))))</f>
        <v/>
      </c>
      <c r="IC136" s="33" t="s">
        <v>38</v>
      </c>
      <c r="ID136" s="29">
        <v>15</v>
      </c>
      <c r="IE136" s="29">
        <v>300</v>
      </c>
      <c r="IF136" s="31">
        <f>IF(IE136/(INDEX('Standards for Conversions'!$H$47:$H$73,MATCH(ID$3,'Standards for Conversions'!$A$47:$A$73,0)))=0,"",IE136/(INDEX('Standards for Conversions'!$H$47:$H$73,MATCH(ID$3,'Standards for Conversions'!$A$47:$A$73,0))))</f>
        <v>43.573623663856786</v>
      </c>
      <c r="IG136" s="33" t="s">
        <v>38</v>
      </c>
      <c r="IJ136" s="31" t="str">
        <f>IF(II136/(INDEX('Standards for Conversions'!$H$47:$H$73,MATCH(IH$3,'Standards for Conversions'!$A$47:$A$73,0)))=0,"",II136/(INDEX('Standards for Conversions'!$H$47:$H$73,MATCH(IH$3,'Standards for Conversions'!$A$47:$A$73,0))))</f>
        <v/>
      </c>
      <c r="IK136" s="33" t="s">
        <v>38</v>
      </c>
      <c r="IN136" s="31" t="str">
        <f>IF(IM136/(INDEX('Standards for Conversions'!$H$47:$H$73,MATCH(IL$3,'Standards for Conversions'!$A$47:$A$73,0)))=0,"",IM136/(INDEX('Standards for Conversions'!$H$47:$H$73,MATCH(IL$3,'Standards for Conversions'!$A$47:$A$73,0))))</f>
        <v/>
      </c>
      <c r="IO136" s="33" t="s">
        <v>38</v>
      </c>
      <c r="IR136" s="31" t="str">
        <f>IF(IQ136/(INDEX('Standards for Conversions'!$H$47:$H$73,MATCH(IP$3,'Standards for Conversions'!$A$47:$A$73,0)))=0,"",IQ136/(INDEX('Standards for Conversions'!$H$47:$H$73,MATCH(IP$3,'Standards for Conversions'!$A$47:$A$73,0))))</f>
        <v/>
      </c>
      <c r="IS136" s="33" t="s">
        <v>38</v>
      </c>
      <c r="IT136" s="29">
        <v>7</v>
      </c>
      <c r="IU136" s="29">
        <v>203</v>
      </c>
      <c r="IV136" s="31">
        <f>IF(IU136/(INDEX('Standards for Conversions'!$H$47:$H$73,MATCH(IT$3,'Standards for Conversions'!$A$47:$A$73,0)))=0,"",IU136/(INDEX('Standards for Conversions'!$H$47:$H$73,MATCH(IT$3,'Standards for Conversions'!$A$47:$A$73,0))))</f>
        <v>29.355876323469769</v>
      </c>
      <c r="IW136" s="33" t="s">
        <v>38</v>
      </c>
      <c r="IZ136" s="31" t="str">
        <f>IF(IY136/(INDEX('Standards for Conversions'!$H$47:$H$73,MATCH(IX$3,'Standards for Conversions'!$A$47:$A$73,0)))=0,"",IY136/(INDEX('Standards for Conversions'!$H$47:$H$73,MATCH(IX$3,'Standards for Conversions'!$A$47:$A$73,0))))</f>
        <v/>
      </c>
      <c r="JA136" s="33" t="s">
        <v>38</v>
      </c>
      <c r="JD136" s="31" t="str">
        <f>IF(JC136/(INDEX('Standards for Conversions'!$H$47:$H$73,MATCH(JB$3,'Standards for Conversions'!$A$47:$A$73,0)))=0,"",JC136/(INDEX('Standards for Conversions'!$H$47:$H$73,MATCH(JB$3,'Standards for Conversions'!$A$47:$A$73,0))))</f>
        <v/>
      </c>
      <c r="JE136" s="33" t="s">
        <v>38</v>
      </c>
      <c r="JH136" s="31" t="str">
        <f>IF(JG136/(INDEX('Standards for Conversions'!$H$47:$H$73,MATCH(JF$3,'Standards for Conversions'!$A$47:$A$73,0)))=0,"",JG136/(INDEX('Standards for Conversions'!$H$47:$H$73,MATCH(JF$3,'Standards for Conversions'!$A$47:$A$73,0))))</f>
        <v/>
      </c>
      <c r="JI136" s="48" t="s">
        <v>38</v>
      </c>
      <c r="JJ136" s="29">
        <v>20</v>
      </c>
      <c r="JK136" s="29">
        <v>200</v>
      </c>
      <c r="JL136" s="31">
        <f>IF(JK136/(INDEX('Standards for Conversions'!$H$47:$H$73,MATCH(JJ$3,'Standards for Conversions'!$A$47:$A$73,0)))=0,"",JK136/(INDEX('Standards for Conversions'!$H$47:$H$73,MATCH(JJ$3,'Standards for Conversions'!$A$47:$A$73,0))))</f>
        <v>32.352039338373736</v>
      </c>
      <c r="JM136" s="33" t="s">
        <v>38</v>
      </c>
      <c r="JP136" s="31" t="str">
        <f>IF(JO136/(INDEX('Standards for Conversions'!$H$47:$H$73,MATCH(JN$3,'Standards for Conversions'!$A$47:$A$73,0)))=0,"",JO136/(INDEX('Standards for Conversions'!$H$47:$H$73,MATCH(JN$3,'Standards for Conversions'!$A$47:$A$73,0))))</f>
        <v/>
      </c>
      <c r="JQ136" s="33" t="s">
        <v>38</v>
      </c>
      <c r="JT136" s="31" t="str">
        <f>IF(JS136/(INDEX('Standards for Conversions'!$H$47:$H$73,MATCH(JR$3,'Standards for Conversions'!$A$47:$A$73,0)))=0,"",JS136/(INDEX('Standards for Conversions'!$H$47:$H$73,MATCH(JR$3,'Standards for Conversions'!$A$47:$A$73,0))))</f>
        <v/>
      </c>
      <c r="JU136" s="33" t="s">
        <v>38</v>
      </c>
      <c r="JX136" s="31" t="str">
        <f>IF(JW136/(INDEX('Standards for Conversions'!$H$47:$H$73,MATCH(JV$3,'Standards for Conversions'!$A$47:$A$73,0)))=0,"",JW136/(INDEX('Standards for Conversions'!$H$47:$H$73,MATCH(JV$3,'Standards for Conversions'!$A$47:$A$73,0))))</f>
        <v/>
      </c>
      <c r="JY136" s="33" t="s">
        <v>38</v>
      </c>
      <c r="JZ136" s="29">
        <v>15</v>
      </c>
      <c r="KA136" s="29">
        <v>200</v>
      </c>
      <c r="KB136" s="31">
        <f>IF(KA136/(INDEX('Standards for Conversions'!$H$47:$H$73,MATCH(JZ$3,'Standards for Conversions'!$A$47:$A$73,0)))=0,"",KA136/(INDEX('Standards for Conversions'!$H$47:$H$73,MATCH(JZ$3,'Standards for Conversions'!$A$47:$A$73,0))))</f>
        <v>30.531178485559511</v>
      </c>
      <c r="KC136" s="33" t="s">
        <v>38</v>
      </c>
      <c r="KF136" s="31" t="str">
        <f>IF(KE136/(INDEX('Standards for Conversions'!$H$47:$H$73,MATCH(KD$3,'Standards for Conversions'!$A$47:$A$73,0)))=0,"",KE136/(INDEX('Standards for Conversions'!$H$47:$H$73,MATCH(KD$3,'Standards for Conversions'!$A$47:$A$73,0))))</f>
        <v/>
      </c>
      <c r="KG136" s="33" t="s">
        <v>38</v>
      </c>
      <c r="KJ136" s="31" t="str">
        <f>IF(KI136/(INDEX('Standards for Conversions'!$H$47:$H$73,MATCH(KH$3,'Standards for Conversions'!$A$47:$A$73,0)))=0,"",KI136/(INDEX('Standards for Conversions'!$H$47:$H$73,MATCH(KH$3,'Standards for Conversions'!$A$47:$A$73,0))))</f>
        <v/>
      </c>
      <c r="KK136" s="33" t="s">
        <v>38</v>
      </c>
      <c r="KN136" s="31" t="str">
        <f>IF(KM136/(INDEX('Standards for Conversions'!$H$47:$H$73,MATCH(KL$3,'Standards for Conversions'!$A$47:$A$73,0)))=0,"",KM136/(INDEX('Standards for Conversions'!$H$47:$H$73,MATCH(KL$3,'Standards for Conversions'!$A$47:$A$73,0))))</f>
        <v/>
      </c>
      <c r="KO136" s="33" t="s">
        <v>38</v>
      </c>
      <c r="KP136" s="29">
        <v>17</v>
      </c>
      <c r="KQ136" s="29">
        <v>250</v>
      </c>
      <c r="KR136" s="31">
        <f>IF(KQ136/(INDEX('Standards for Conversions'!$H$47:$H$73,MATCH(KP$3,'Standards for Conversions'!$A$47:$A$73,0)))=0,"",KQ136/(INDEX('Standards for Conversions'!$H$47:$H$73,MATCH(KP$3,'Standards for Conversions'!$A$47:$A$73,0))))</f>
        <v>33.664752976449115</v>
      </c>
      <c r="KS136" s="33" t="s">
        <v>38</v>
      </c>
      <c r="KV136" s="31" t="str">
        <f>IF(KU136/(INDEX('Standards for Conversions'!$H$47:$H$73,MATCH(KT$3,'Standards for Conversions'!$A$47:$A$73,0)))=0,"",KU136/(INDEX('Standards for Conversions'!$H$47:$H$73,MATCH(KT$3,'Standards for Conversions'!$A$47:$A$73,0))))</f>
        <v/>
      </c>
      <c r="KW136" s="33" t="s">
        <v>38</v>
      </c>
      <c r="KZ136" s="31" t="str">
        <f>IF(KY136/(INDEX('Standards for Conversions'!$H$47:$H$73,MATCH(KX$3,'Standards for Conversions'!$A$47:$A$73,0)))=0,"",KY136/(INDEX('Standards for Conversions'!$H$47:$H$73,MATCH(KX$3,'Standards for Conversions'!$A$47:$A$73,0))))</f>
        <v/>
      </c>
      <c r="LA136" s="33" t="s">
        <v>38</v>
      </c>
      <c r="LD136" s="31" t="str">
        <f>IF(LC136/(INDEX('Standards for Conversions'!$H$47:$H$73,MATCH(LB$3,'Standards for Conversions'!$A$47:$A$73,0)))=0,"",LC136/(INDEX('Standards for Conversions'!$H$47:$H$73,MATCH(LB$3,'Standards for Conversions'!$A$47:$A$73,0))))</f>
        <v/>
      </c>
      <c r="LE136" s="48" t="s">
        <v>38</v>
      </c>
      <c r="LF136" s="29">
        <v>3</v>
      </c>
      <c r="LG136" s="29">
        <v>85</v>
      </c>
      <c r="LH136" s="31">
        <f>IF(LG136/(INDEX('Standards for Conversions'!$H$47:$H$73,MATCH(LF$3,'Standards for Conversions'!$A$47:$A$73,0)))=0,"",LG136/(INDEX('Standards for Conversions'!$H$47:$H$73,MATCH(LF$3,'Standards for Conversions'!$A$47:$A$73,0))))</f>
        <v>10.33740817183743</v>
      </c>
      <c r="LL136" s="31" t="str">
        <f>IF(LK136/(INDEX('Standards for Conversions'!$H$47:$H$73,MATCH(LJ$3,'Standards for Conversions'!$A$47:$A$73,0)))=0,"",LK136/(INDEX('Standards for Conversions'!$H$47:$H$73,MATCH(LJ$3,'Standards for Conversions'!$A$47:$A$73,0))))</f>
        <v/>
      </c>
      <c r="LO136" s="31" t="str">
        <f>IF(LN136/(INDEX('Standards for Conversions'!$H$47:$H$73,MATCH(LM$3,'Standards for Conversions'!$A$47:$A$73,0)))=0,"",LN136/(INDEX('Standards for Conversions'!$H$47:$H$73,MATCH(LM$3,'Standards for Conversions'!$A$47:$A$73,0))))</f>
        <v/>
      </c>
      <c r="LR136" s="31" t="str">
        <f>IF(LQ136/(INDEX('Standards for Conversions'!$H$47:$H$73,MATCH(LP$3,'Standards for Conversions'!$A$47:$A$73,0)))=0,"",LQ136/(INDEX('Standards for Conversions'!$H$47:$H$73,MATCH(LP$3,'Standards for Conversions'!$A$47:$A$73,0))))</f>
        <v/>
      </c>
      <c r="LV136" s="31" t="str">
        <f>IF(LU136/(INDEX('Standards for Conversions'!$H$47:$H$73,MATCH(LT$3,'Standards for Conversions'!$A$47:$A$73,0)))=0,"",LU136/(INDEX('Standards for Conversions'!$H$47:$H$73,MATCH(LT$3,'Standards for Conversions'!$A$47:$A$73,0))))</f>
        <v/>
      </c>
      <c r="LY136" s="31" t="str">
        <f>IF(LX136/(INDEX('Standards for Conversions'!$H$47:$H$73,MATCH(LW$3,'Standards for Conversions'!$A$47:$A$73,0)))=0,"",LX136/(INDEX('Standards for Conversions'!$H$47:$H$73,MATCH(LW$3,'Standards for Conversions'!$A$47:$A$73,0))))</f>
        <v/>
      </c>
      <c r="MB136" s="31" t="str">
        <f>IF(MA136/(INDEX('Standards for Conversions'!$H$47:$H$73,MATCH(LZ$3,'Standards for Conversions'!$A$47:$A$73,0)))=0,"",MA136/(INDEX('Standards for Conversions'!$H$47:$H$73,MATCH(LZ$3,'Standards for Conversions'!$A$47:$A$73,0))))</f>
        <v/>
      </c>
      <c r="ME136" s="31" t="str">
        <f>IF(MD136/(INDEX('Standards for Conversions'!$H$47:$H$73,MATCH(MC$3,'Standards for Conversions'!$A$47:$A$73,0)))=0,"",MD136/(INDEX('Standards for Conversions'!$H$47:$H$73,MATCH(MC$3,'Standards for Conversions'!$A$47:$A$73,0))))</f>
        <v/>
      </c>
      <c r="MH136" s="31" t="str">
        <f>IF(MG136/(INDEX('Standards for Conversions'!$H$47:$H$73,MATCH(MF$3,'Standards for Conversions'!$A$47:$A$73,0)))=0,"",MG136/(INDEX('Standards for Conversions'!$H$47:$H$73,MATCH(MF$3,'Standards for Conversions'!$A$47:$A$73,0))))</f>
        <v/>
      </c>
      <c r="MK136" s="31" t="str">
        <f>IF(MJ136/(INDEX('Standards for Conversions'!$H$47:$H$73,MATCH(MI$3,'Standards for Conversions'!$A$47:$A$73,0)))=0,"",MJ136/(INDEX('Standards for Conversions'!$H$47:$H$73,MATCH(MI$3,'Standards for Conversions'!$A$47:$A$73,0))))</f>
        <v/>
      </c>
      <c r="MN136" s="31" t="str">
        <f>IF(MM136/(INDEX('Standards for Conversions'!$H$47:$H$73,MATCH(ML$3,'Standards for Conversions'!$A$47:$A$73,0)))=0,"",MM136/(INDEX('Standards for Conversions'!$H$47:$H$73,MATCH(ML$3,'Standards for Conversions'!$A$47:$A$73,0))))</f>
        <v/>
      </c>
      <c r="MR136" s="31" t="str">
        <f>IF(MQ136/(INDEX('Standards for Conversions'!$H$47:$H$73,MATCH(MP$3,'Standards for Conversions'!$A$47:$A$73,0)))=0,"",MQ136/(INDEX('Standards for Conversions'!$H$47:$H$73,MATCH(MP$3,'Standards for Conversions'!$A$47:$A$73,0))))</f>
        <v/>
      </c>
    </row>
    <row r="137" spans="1:356" hidden="1" x14ac:dyDescent="0.3">
      <c r="A137" s="103" t="s">
        <v>302</v>
      </c>
      <c r="B137" s="10" t="s">
        <v>38</v>
      </c>
      <c r="C137" s="7"/>
      <c r="D137" s="7"/>
      <c r="E137" s="31" t="str">
        <f>IF(D137/(INDEX('Standards for Conversions'!$H$34:$H$73,MATCH(C$3,'Standards for Conversions'!$A$34:$A$73,0)))=0,"",D137/(INDEX('Standards for Conversions'!$H$34:$H$73,MATCH(C$3,'Standards for Conversions'!$A$34:$A$73,0))))</f>
        <v/>
      </c>
      <c r="F137" s="10" t="s">
        <v>38</v>
      </c>
      <c r="G137" s="7"/>
      <c r="H137" s="7"/>
      <c r="I137" s="31" t="str">
        <f>IF(H137/(INDEX('Standards for Conversions'!$H$34:$H$73,MATCH(G$3,'Standards for Conversions'!$A$34:$A$73,0)))=0,"",H137/(INDEX('Standards for Conversions'!$H$34:$H$73,MATCH(G$3,'Standards for Conversions'!$A$34:$A$73,0))))</f>
        <v/>
      </c>
      <c r="J137" s="10" t="s">
        <v>38</v>
      </c>
      <c r="K137" s="9"/>
      <c r="L137" s="9"/>
      <c r="M137" s="31" t="str">
        <f>IF(L137/(INDEX('Standards for Conversions'!$H$34:$H$73,MATCH(K$3,'Standards for Conversions'!$A$34:$A$73,0)))=0,"",L137/(INDEX('Standards for Conversions'!$H$34:$H$73,MATCH(K$3,'Standards for Conversions'!$A$34:$A$73,0))))</f>
        <v/>
      </c>
      <c r="N137" s="10" t="s">
        <v>38</v>
      </c>
      <c r="O137" s="7"/>
      <c r="P137" s="7"/>
      <c r="Q137" s="31" t="str">
        <f>IF(P137/(INDEX('Standards for Conversions'!$H$34:$H$73,MATCH(O$3,'Standards for Conversions'!$A$34:$A$73,0)))=0,"",P137/(INDEX('Standards for Conversions'!$H$34:$H$73,MATCH(O$3,'Standards for Conversions'!$A$34:$A$73,0))))</f>
        <v/>
      </c>
      <c r="R137" s="10" t="s">
        <v>38</v>
      </c>
      <c r="S137" s="7"/>
      <c r="T137" s="7"/>
      <c r="U137" s="31" t="str">
        <f>IF(T137/(INDEX('Standards for Conversions'!$H$34:$H$73,MATCH(S$3,'Standards for Conversions'!$A$34:$A$73,0)))=0,"",T137/(INDEX('Standards for Conversions'!$H$34:$H$73,MATCH(S$3,'Standards for Conversions'!$A$34:$A$73,0))))</f>
        <v/>
      </c>
      <c r="V137" s="10" t="s">
        <v>38</v>
      </c>
      <c r="W137" s="7"/>
      <c r="X137" s="7"/>
      <c r="Y137" s="31" t="str">
        <f>IF(X137/(INDEX('Standards for Conversions'!$H$34:$H$73,MATCH(W$3,'Standards for Conversions'!$A$34:$A$73,0)))=0,"",X137/(INDEX('Standards for Conversions'!$H$34:$H$73,MATCH(W$3,'Standards for Conversions'!$A$34:$A$73,0))))</f>
        <v/>
      </c>
      <c r="Z137" s="10" t="s">
        <v>38</v>
      </c>
      <c r="AA137" s="9"/>
      <c r="AB137" s="9"/>
      <c r="AC137" s="31" t="str">
        <f>IF(AB137/(INDEX('Standards for Conversions'!$H$34:$H$73,MATCH(AA$3,'Standards for Conversions'!$A$34:$A$73,0)))=0,"",AB137/(INDEX('Standards for Conversions'!$H$34:$H$73,MATCH(AA$3,'Standards for Conversions'!$A$34:$A$73,0))))</f>
        <v/>
      </c>
      <c r="AD137" s="10" t="s">
        <v>38</v>
      </c>
      <c r="AE137" s="7"/>
      <c r="AF137" s="7"/>
      <c r="AG137" s="31" t="str">
        <f>IF(AF137/(INDEX('Standards for Conversions'!$H$34:$H$73,MATCH(AE$3,'Standards for Conversions'!$A$34:$A$73,0)))=0,"",AF137/(INDEX('Standards for Conversions'!$H$34:$H$73,MATCH(AE$3,'Standards for Conversions'!$A$34:$A$73,0))))</f>
        <v/>
      </c>
      <c r="AH137" s="10" t="s">
        <v>38</v>
      </c>
      <c r="AI137" s="7"/>
      <c r="AJ137" s="7"/>
      <c r="AK137" s="31" t="str">
        <f>IF(AJ137/(INDEX('Standards for Conversions'!$H$34:$H$73,MATCH(AI$3,'Standards for Conversions'!$A$34:$A$73,0)))=0,"",AJ137/(INDEX('Standards for Conversions'!$H$34:$H$73,MATCH(AI$3,'Standards for Conversions'!$A$34:$A$73,0))))</f>
        <v/>
      </c>
      <c r="AL137" s="10" t="s">
        <v>38</v>
      </c>
      <c r="AM137" s="7"/>
      <c r="AN137" s="7"/>
      <c r="AO137" s="31" t="str">
        <f>IF(AN137/(INDEX('Standards for Conversions'!$H$34:$H$73,MATCH(AM$3,'Standards for Conversions'!$A$34:$A$73,0)))=0,"",AN137/(INDEX('Standards for Conversions'!$H$34:$H$73,MATCH(AM$3,'Standards for Conversions'!$A$34:$A$73,0))))</f>
        <v/>
      </c>
      <c r="AP137" s="10" t="s">
        <v>38</v>
      </c>
      <c r="AQ137" s="9"/>
      <c r="AR137" s="9"/>
      <c r="AS137" s="31" t="str">
        <f>IF(AR137/(INDEX('Standards for Conversions'!$H$34:$H$73,MATCH(AQ$3,'Standards for Conversions'!$A$34:$A$73,0)))=0,"",AR137/(INDEX('Standards for Conversions'!$H$34:$H$73,MATCH(AQ$3,'Standards for Conversions'!$A$34:$A$73,0))))</f>
        <v/>
      </c>
      <c r="AT137" s="10" t="s">
        <v>38</v>
      </c>
      <c r="AU137" s="7"/>
      <c r="AV137" s="7"/>
      <c r="AW137" s="31" t="str">
        <f>IF(AV137/(INDEX('Standards for Conversions'!$H$34:$H$73,MATCH(AU$3,'Standards for Conversions'!$A$34:$A$73,0)))=0,"",AV137/(INDEX('Standards for Conversions'!$H$34:$H$73,MATCH(AU$3,'Standards for Conversions'!$A$34:$A$73,0))))</f>
        <v/>
      </c>
      <c r="AX137" s="10" t="s">
        <v>38</v>
      </c>
      <c r="AY137" s="7"/>
      <c r="AZ137" s="7"/>
      <c r="BA137" s="31" t="str">
        <f>IF(AZ137/(INDEX('Standards for Conversions'!$H$34:$H$73,MATCH(AY$3,'Standards for Conversions'!$A$34:$A$73,0)))=0,"",AZ137/(INDEX('Standards for Conversions'!$H$34:$H$73,MATCH(AY$3,'Standards for Conversions'!$A$34:$A$73,0))))</f>
        <v/>
      </c>
      <c r="BB137" s="10" t="s">
        <v>38</v>
      </c>
      <c r="BC137" s="7"/>
      <c r="BD137" s="7"/>
      <c r="BE137" s="31" t="str">
        <f>IF(BD137/(INDEX('Standards for Conversions'!$H$34:$H$73,MATCH(BC$3,'Standards for Conversions'!$A$34:$A$73,0)))=0,"",BD137/(INDEX('Standards for Conversions'!$H$34:$H$73,MATCH(BC$3,'Standards for Conversions'!$A$34:$A$73,0))))</f>
        <v/>
      </c>
      <c r="BF137" s="10" t="s">
        <v>38</v>
      </c>
      <c r="BG137" s="9"/>
      <c r="BH137" s="9"/>
      <c r="BI137" s="31" t="str">
        <f>IF(BH137/(INDEX('Standards for Conversions'!$H$34:$H$73,MATCH(BG$3,'Standards for Conversions'!$A$34:$A$73,0)))=0,"",BH137/(INDEX('Standards for Conversions'!$H$34:$H$73,MATCH(BG$3,'Standards for Conversions'!$A$34:$A$73,0))))</f>
        <v/>
      </c>
      <c r="BJ137" s="10" t="s">
        <v>38</v>
      </c>
      <c r="BK137" s="7"/>
      <c r="BL137" s="7"/>
      <c r="BM137" s="31" t="str">
        <f>IF(BL137/(INDEX('Standards for Conversions'!$H$34:$H$73,MATCH(BK$3,'Standards for Conversions'!$A$34:$A$73,0)))=0,"",BL137/(INDEX('Standards for Conversions'!$H$34:$H$73,MATCH(BK$3,'Standards for Conversions'!$A$34:$A$73,0))))</f>
        <v/>
      </c>
      <c r="BN137" s="10" t="s">
        <v>38</v>
      </c>
      <c r="BO137" s="7"/>
      <c r="BP137" s="7"/>
      <c r="BQ137" s="31" t="str">
        <f>IF(BP137/(INDEX('Standards for Conversions'!$H$34:$H$73,MATCH(BO$3,'Standards for Conversions'!$A$34:$A$73,0)))=0,"",BP137/(INDEX('Standards for Conversions'!$H$34:$H$73,MATCH(BO$3,'Standards for Conversions'!$A$34:$A$73,0))))</f>
        <v/>
      </c>
      <c r="BR137" s="10" t="s">
        <v>38</v>
      </c>
      <c r="BS137" s="7"/>
      <c r="BT137" s="7"/>
      <c r="BU137" s="31" t="str">
        <f>IF(BT137/(INDEX('Standards for Conversions'!$H$34:$H$73,MATCH(BS$3,'Standards for Conversions'!$A$34:$A$73,0)))=0,"",BT137/(INDEX('Standards for Conversions'!$H$34:$H$73,MATCH(BS$3,'Standards for Conversions'!$A$34:$A$73,0))))</f>
        <v/>
      </c>
      <c r="BV137" s="10" t="s">
        <v>38</v>
      </c>
      <c r="BW137" s="9"/>
      <c r="BX137" s="9"/>
      <c r="BY137" s="31" t="str">
        <f>IF(BX137/(INDEX('Standards for Conversions'!$H$34:$H$73,MATCH(BW$3,'Standards for Conversions'!$A$34:$A$73,0)))=0,"",BX137/(INDEX('Standards for Conversions'!$H$34:$H$73,MATCH(BW$3,'Standards for Conversions'!$A$34:$A$73,0))))</f>
        <v/>
      </c>
      <c r="BZ137" s="10" t="s">
        <v>38</v>
      </c>
      <c r="CA137" s="7"/>
      <c r="CB137" s="7"/>
      <c r="CC137" s="31" t="str">
        <f>IF(CB137/(INDEX('Standards for Conversions'!$H$34:$H$73,MATCH(CA$3,'Standards for Conversions'!$A$34:$A$73,0)))=0,"",CB137/(INDEX('Standards for Conversions'!$H$34:$H$73,MATCH(CA$3,'Standards for Conversions'!$A$34:$A$73,0))))</f>
        <v/>
      </c>
      <c r="CD137" s="10" t="s">
        <v>38</v>
      </c>
      <c r="CE137" s="7"/>
      <c r="CF137" s="7"/>
      <c r="CG137" s="31" t="str">
        <f>IF(CF137/(INDEX('Standards for Conversions'!$H$34:$H$73,MATCH(CE$3,'Standards for Conversions'!$A$34:$A$73,0)))=0,"",CF137/(INDEX('Standards for Conversions'!$H$34:$H$73,MATCH(CE$3,'Standards for Conversions'!$A$34:$A$73,0))))</f>
        <v/>
      </c>
      <c r="CH137" s="10" t="s">
        <v>38</v>
      </c>
      <c r="CI137" s="7"/>
      <c r="CJ137" s="7"/>
      <c r="CK137" s="31" t="str">
        <f>IF(CJ137/(INDEX('Standards for Conversions'!$H$34:$H$73,MATCH(CI$3,'Standards for Conversions'!$A$34:$A$73,0)))=0,"",CJ137/(INDEX('Standards for Conversions'!$H$34:$H$73,MATCH(CI$3,'Standards for Conversions'!$A$34:$A$73,0))))</f>
        <v/>
      </c>
      <c r="CL137" s="10" t="s">
        <v>38</v>
      </c>
      <c r="CM137" s="9"/>
      <c r="CN137" s="9"/>
      <c r="CO137" s="31" t="str">
        <f>IF(CN137/(INDEX('Standards for Conversions'!$H$34:$H$73,MATCH(CM$3,'Standards for Conversions'!$A$34:$A$73,0)))=0,"",CN137/(INDEX('Standards for Conversions'!$H$34:$H$73,MATCH(CM$3,'Standards for Conversions'!$A$34:$A$73,0))))</f>
        <v/>
      </c>
      <c r="CP137" s="10" t="s">
        <v>38</v>
      </c>
      <c r="CQ137" s="7"/>
      <c r="CR137" s="7"/>
      <c r="CS137" s="31" t="str">
        <f>IF(CR137/(INDEX('Standards for Conversions'!$H$34:$H$73,MATCH(CQ$3,'Standards for Conversions'!$A$34:$A$73,0)))=0,"",CR137/(INDEX('Standards for Conversions'!$H$34:$H$73,MATCH(CQ$3,'Standards for Conversions'!$A$34:$A$73,0))))</f>
        <v/>
      </c>
      <c r="CT137" s="10" t="s">
        <v>38</v>
      </c>
      <c r="CU137" s="7"/>
      <c r="CV137" s="7"/>
      <c r="CW137" s="31" t="str">
        <f>IF(CV137/(INDEX('Standards for Conversions'!$H$34:$H$73,MATCH(CU$3,'Standards for Conversions'!$A$34:$A$73,0)))=0,"",CV137/(INDEX('Standards for Conversions'!$H$34:$H$73,MATCH(CU$3,'Standards for Conversions'!$A$34:$A$73,0))))</f>
        <v/>
      </c>
      <c r="CX137" s="10" t="s">
        <v>38</v>
      </c>
      <c r="CY137" s="7"/>
      <c r="CZ137" s="7"/>
      <c r="DA137" s="31" t="str">
        <f>IF(CZ137/(INDEX('Standards for Conversions'!$H$34:$H$73,MATCH(CY$3,'Standards for Conversions'!$A$34:$A$73,0)))=0,"",CZ137/(INDEX('Standards for Conversions'!$H$34:$H$73,MATCH(CY$3,'Standards for Conversions'!$A$34:$A$73,0))))</f>
        <v/>
      </c>
      <c r="DB137" s="10" t="s">
        <v>38</v>
      </c>
      <c r="DC137" s="9"/>
      <c r="DD137" s="9"/>
      <c r="DE137" s="31" t="str">
        <f>IF(DD137/(INDEX('Standards for Conversions'!$H$34:$H$73,MATCH(DC$3,'Standards for Conversions'!$A$34:$A$73,0)))=0,"",DD137/(INDEX('Standards for Conversions'!$H$34:$H$73,MATCH(DC$3,'Standards for Conversions'!$A$34:$A$73,0))))</f>
        <v/>
      </c>
      <c r="DF137" s="10" t="s">
        <v>38</v>
      </c>
      <c r="DG137" s="7"/>
      <c r="DH137" s="7"/>
      <c r="DI137" s="31" t="str">
        <f>IF(DH137/(INDEX('Standards for Conversions'!$H$34:$H$73,MATCH(DG$3,'Standards for Conversions'!$A$34:$A$73,0)))=0,"",DH137/(INDEX('Standards for Conversions'!$H$34:$H$73,MATCH(DG$3,'Standards for Conversions'!$A$34:$A$73,0))))</f>
        <v/>
      </c>
      <c r="DJ137" s="10" t="s">
        <v>38</v>
      </c>
      <c r="DK137" s="7"/>
      <c r="DL137" s="7"/>
      <c r="DM137" s="31" t="str">
        <f>IF(DL137/(INDEX('Standards for Conversions'!$H$34:$H$73,MATCH(DK$3,'Standards for Conversions'!$A$34:$A$73,0)))=0,"",DL137/(INDEX('Standards for Conversions'!$H$34:$H$73,MATCH(DK$3,'Standards for Conversions'!$A$34:$A$73,0))))</f>
        <v/>
      </c>
      <c r="DN137" s="10" t="s">
        <v>38</v>
      </c>
      <c r="DO137" s="7"/>
      <c r="DP137" s="7"/>
      <c r="DQ137" s="31" t="str">
        <f>IF(DP137/(INDEX('Standards for Conversions'!$H$34:$H$73,MATCH(DO$3,'Standards for Conversions'!$A$34:$A$73,0)))=0,"",DP137/(INDEX('Standards for Conversions'!$H$34:$H$73,MATCH(DO$3,'Standards for Conversions'!$A$34:$A$73,0))))</f>
        <v/>
      </c>
      <c r="DR137" s="10" t="s">
        <v>38</v>
      </c>
      <c r="DS137" s="9"/>
      <c r="DT137" s="9"/>
      <c r="DU137" s="31" t="str">
        <f>IF(DT137/(INDEX('Standards for Conversions'!$H$34:$H$73,MATCH(DS$3,'Standards for Conversions'!$A$34:$A$73,0)))=0,"",DT137/(INDEX('Standards for Conversions'!$H$34:$H$73,MATCH(DS$3,'Standards for Conversions'!$A$34:$A$73,0))))</f>
        <v/>
      </c>
      <c r="DV137" s="10" t="s">
        <v>38</v>
      </c>
      <c r="DW137" s="7"/>
      <c r="DX137" s="7"/>
      <c r="DY137" s="31" t="str">
        <f>IF(DX137/(INDEX('Standards for Conversions'!$H$34:$H$73,MATCH(DW$3,'Standards for Conversions'!$A$34:$A$73,0)))=0,"",DX137/(INDEX('Standards for Conversions'!$H$34:$H$73,MATCH(DW$3,'Standards for Conversions'!$A$34:$A$73,0))))</f>
        <v/>
      </c>
      <c r="DZ137" s="10" t="s">
        <v>38</v>
      </c>
      <c r="EA137" s="7"/>
      <c r="EB137" s="7"/>
      <c r="EC137" s="31" t="str">
        <f>IF(EB137/(INDEX('Standards for Conversions'!$H$34:$H$73,MATCH(EA$3,'Standards for Conversions'!$A$34:$A$73,0)))=0,"",EB137/(INDEX('Standards for Conversions'!$H$34:$H$73,MATCH(EA$3,'Standards for Conversions'!$A$34:$A$73,0))))</f>
        <v/>
      </c>
      <c r="ED137" s="10" t="s">
        <v>38</v>
      </c>
      <c r="EE137" s="7"/>
      <c r="EF137" s="7"/>
      <c r="EG137" s="31" t="str">
        <f>IF(EF137/(INDEX('Standards for Conversions'!$H$34:$H$73,MATCH(EE$3,'Standards for Conversions'!$A$34:$A$73,0)))=0,"",EF137/(INDEX('Standards for Conversions'!$H$34:$H$73,MATCH(EE$3,'Standards for Conversions'!$A$34:$A$73,0))))</f>
        <v/>
      </c>
      <c r="EH137" s="10" t="s">
        <v>38</v>
      </c>
      <c r="EI137" s="9"/>
      <c r="EJ137" s="9"/>
      <c r="EK137" s="31" t="str">
        <f>IF(EJ137/(INDEX('Standards for Conversions'!$H$34:$H$73,MATCH(EI$3,'Standards for Conversions'!$A$34:$A$73,0)))=0,"",EJ137/(INDEX('Standards for Conversions'!$H$34:$H$73,MATCH(EI$3,'Standards for Conversions'!$A$34:$A$73,0))))</f>
        <v/>
      </c>
      <c r="EL137" s="10" t="s">
        <v>38</v>
      </c>
      <c r="EM137" s="7"/>
      <c r="EN137" s="7"/>
      <c r="EO137" s="31" t="str">
        <f>IF(EN137/(INDEX('Standards for Conversions'!$H$34:$H$73,MATCH(EM$3,'Standards for Conversions'!$A$34:$A$73,0)))=0,"",EN137/(INDEX('Standards for Conversions'!$H$34:$H$73,MATCH(EM$3,'Standards for Conversions'!$A$34:$A$73,0))))</f>
        <v/>
      </c>
      <c r="EP137" s="10" t="s">
        <v>38</v>
      </c>
      <c r="EQ137" s="7"/>
      <c r="ER137" s="7"/>
      <c r="ES137" s="31" t="str">
        <f>IF(ER137/(INDEX('Standards for Conversions'!$H$34:$H$73,MATCH(EQ$3,'Standards for Conversions'!$A$34:$A$73,0)))=0,"",ER137/(INDEX('Standards for Conversions'!$H$34:$H$73,MATCH(EQ$3,'Standards for Conversions'!$A$34:$A$73,0))))</f>
        <v/>
      </c>
      <c r="ET137" s="10" t="s">
        <v>38</v>
      </c>
      <c r="EU137" s="7"/>
      <c r="EV137" s="7"/>
      <c r="EW137" s="31" t="str">
        <f>IF(EV137/(INDEX('Standards for Conversions'!$H$34:$H$73,MATCH(EU$3,'Standards for Conversions'!$A$34:$A$73,0)))=0,"",EV137/(INDEX('Standards for Conversions'!$H$34:$H$73,MATCH(EU$3,'Standards for Conversions'!$A$34:$A$73,0))))</f>
        <v/>
      </c>
      <c r="EX137" s="10" t="s">
        <v>38</v>
      </c>
      <c r="EY137" s="9"/>
      <c r="EZ137" s="9"/>
      <c r="FA137" s="31" t="str">
        <f>IF(EZ137/(INDEX('Standards for Conversions'!$H$34:$H$73,MATCH(EY$3,'Standards for Conversions'!$A$34:$A$73,0)))=0,"",EZ137/(INDEX('Standards for Conversions'!$H$34:$H$73,MATCH(EY$3,'Standards for Conversions'!$A$34:$A$73,0))))</f>
        <v/>
      </c>
      <c r="FB137" s="10" t="s">
        <v>38</v>
      </c>
      <c r="FC137" s="7"/>
      <c r="FD137" s="7"/>
      <c r="FE137" s="31" t="str">
        <f>IF(FD137/(INDEX('Standards for Conversions'!$H$34:$H$73,MATCH(FC$3,'Standards for Conversions'!$A$34:$A$73,0)))=0,"",FD137/(INDEX('Standards for Conversions'!$H$34:$H$73,MATCH(FC$3,'Standards for Conversions'!$A$34:$A$73,0))))</f>
        <v/>
      </c>
      <c r="FF137" s="10" t="s">
        <v>38</v>
      </c>
      <c r="FG137" s="7"/>
      <c r="FH137" s="7"/>
      <c r="FI137" s="31" t="str">
        <f>IF(FH137/(INDEX('Standards for Conversions'!$H$34:$H$73,MATCH(FG$3,'Standards for Conversions'!$A$34:$A$73,0)))=0,"",FH137/(INDEX('Standards for Conversions'!$H$34:$H$73,MATCH(FG$3,'Standards for Conversions'!$A$34:$A$73,0))))</f>
        <v/>
      </c>
      <c r="FJ137" s="10" t="s">
        <v>38</v>
      </c>
      <c r="FK137" s="7"/>
      <c r="FL137" s="7"/>
      <c r="FM137" s="31" t="str">
        <f>IF(FL137/(INDEX('Standards for Conversions'!$H$34:$H$73,MATCH(FK$3,'Standards for Conversions'!$A$34:$A$73,0)))=0,"",FL137/(INDEX('Standards for Conversions'!$H$34:$H$73,MATCH(FK$3,'Standards for Conversions'!$A$34:$A$73,0))))</f>
        <v/>
      </c>
      <c r="FN137" s="10" t="s">
        <v>38</v>
      </c>
      <c r="FO137" s="9"/>
      <c r="FP137" s="9"/>
      <c r="FQ137" s="31" t="str">
        <f>IF(FP137/(INDEX('Standards for Conversions'!$H$34:$H$73,MATCH(FO$3,'Standards for Conversions'!$A$34:$A$73,0)))=0,"",FP137/(INDEX('Standards for Conversions'!$H$34:$H$73,MATCH(FO$3,'Standards for Conversions'!$A$34:$A$73,0))))</f>
        <v/>
      </c>
      <c r="FR137" s="10" t="s">
        <v>38</v>
      </c>
      <c r="FS137" s="7"/>
      <c r="FT137" s="7"/>
      <c r="FU137" s="31" t="str">
        <f>IF(FT137/(INDEX('Standards for Conversions'!$H$34:$H$73,MATCH(FS$3,'Standards for Conversions'!$A$34:$A$73,0)))=0,"",FT137/(INDEX('Standards for Conversions'!$H$34:$H$73,MATCH(FS$3,'Standards for Conversions'!$A$34:$A$73,0))))</f>
        <v/>
      </c>
      <c r="FV137" s="10" t="s">
        <v>38</v>
      </c>
      <c r="FW137" s="7"/>
      <c r="FX137" s="7"/>
      <c r="FY137" s="31" t="str">
        <f>IF(FX137/(INDEX('Standards for Conversions'!$H$34:$H$73,MATCH(FW$3,'Standards for Conversions'!$A$34:$A$73,0)))=0,"",FX137/(INDEX('Standards for Conversions'!$H$34:$H$73,MATCH(FW$3,'Standards for Conversions'!$A$34:$A$73,0))))</f>
        <v/>
      </c>
      <c r="FZ137" s="10" t="s">
        <v>38</v>
      </c>
      <c r="GA137" s="7"/>
      <c r="GB137" s="7"/>
      <c r="GC137" s="31" t="str">
        <f>IF(GB137/(INDEX('Standards for Conversions'!$H$34:$H$73,MATCH(GA$3,'Standards for Conversions'!$A$34:$A$73,0)))=0,"",GB137/(INDEX('Standards for Conversions'!$H$34:$H$73,MATCH(GA$3,'Standards for Conversions'!$A$34:$A$73,0))))</f>
        <v/>
      </c>
      <c r="GD137" s="10" t="s">
        <v>38</v>
      </c>
      <c r="GE137" s="9"/>
      <c r="GF137" s="9"/>
      <c r="GG137" s="31" t="str">
        <f>IF(GF137/(INDEX('Standards for Conversions'!$H$34:$H$73,MATCH(GE$3,'Standards for Conversions'!$A$34:$A$73,0)))=0,"",GF137/(INDEX('Standards for Conversions'!$H$34:$H$73,MATCH(GE$3,'Standards for Conversions'!$A$34:$A$73,0))))</f>
        <v/>
      </c>
      <c r="GH137" s="10" t="s">
        <v>38</v>
      </c>
      <c r="GI137" s="7"/>
      <c r="GJ137" s="7"/>
      <c r="GK137" s="31" t="str">
        <f>IF(GJ137/(INDEX('Standards for Conversions'!$H$34:$H$73,MATCH(GI$3,'Standards for Conversions'!$A$34:$A$73,0)))=0,"",GJ137/(INDEX('Standards for Conversions'!$H$34:$H$73,MATCH(GI$3,'Standards for Conversions'!$A$34:$A$73,0))))</f>
        <v/>
      </c>
      <c r="GL137" s="10" t="s">
        <v>38</v>
      </c>
      <c r="GM137" s="7"/>
      <c r="GN137" s="7"/>
      <c r="GO137" s="31" t="str">
        <f>IF(GN137/(INDEX('Standards for Conversions'!$H$34:$H$73,MATCH(GM$3,'Standards for Conversions'!$A$34:$A$73,0)))=0,"",GN137/(INDEX('Standards for Conversions'!$H$34:$H$73,MATCH(GM$3,'Standards for Conversions'!$A$34:$A$73,0))))</f>
        <v/>
      </c>
      <c r="GP137" s="10" t="s">
        <v>38</v>
      </c>
      <c r="GQ137" s="7"/>
      <c r="GR137" s="7"/>
      <c r="GS137" s="31" t="str">
        <f>IF(GR137/(INDEX('Standards for Conversions'!$H$34:$H$73,MATCH(GQ$3,'Standards for Conversions'!$A$34:$A$73,0)))=0,"",GR137/(INDEX('Standards for Conversions'!$H$34:$H$73,MATCH(GQ$3,'Standards for Conversions'!$A$34:$A$73,0))))</f>
        <v/>
      </c>
      <c r="GT137" s="10" t="s">
        <v>38</v>
      </c>
      <c r="GU137" s="9"/>
      <c r="GV137" s="9"/>
      <c r="GW137" s="31" t="str">
        <f>IF(GV137/(INDEX('Standards for Conversions'!$H$34:$H$73,MATCH(GU$3,'Standards for Conversions'!$A$34:$A$73,0)))=0,"",GV137/(INDEX('Standards for Conversions'!$H$34:$H$73,MATCH(GU$3,'Standards for Conversions'!$A$34:$A$73,0))))</f>
        <v/>
      </c>
      <c r="GX137" s="10" t="s">
        <v>38</v>
      </c>
      <c r="GY137" s="7"/>
      <c r="GZ137" s="7"/>
      <c r="HA137" s="31" t="str">
        <f>IF(GZ137/(INDEX('Standards for Conversions'!$H$34:$H$73,MATCH(GY$3,'Standards for Conversions'!$A$34:$A$73,0)))=0,"",GZ137/(INDEX('Standards for Conversions'!$H$34:$H$73,MATCH(GY$3,'Standards for Conversions'!$A$34:$A$73,0))))</f>
        <v/>
      </c>
      <c r="HB137" s="10" t="s">
        <v>38</v>
      </c>
      <c r="HC137" s="7"/>
      <c r="HD137" s="7"/>
      <c r="HE137" s="31" t="str">
        <f>IF(HD137/(INDEX('Standards for Conversions'!$H$34:$H$73,MATCH(HC$3,'Standards for Conversions'!$A$34:$A$73,0)))=0,"",HD137/(INDEX('Standards for Conversions'!$H$34:$H$73,MATCH(HC$3,'Standards for Conversions'!$A$34:$A$73,0))))</f>
        <v/>
      </c>
      <c r="HF137" s="10" t="s">
        <v>38</v>
      </c>
      <c r="HG137" s="7"/>
      <c r="HH137" s="7"/>
      <c r="HI137" s="31" t="str">
        <f>IF(HH137/(INDEX('Standards for Conversions'!$H$34:$H$73,MATCH(HG$3,'Standards for Conversions'!$A$34:$A$73,0)))=0,"",HH137/(INDEX('Standards for Conversions'!$H$34:$H$73,MATCH(HG$3,'Standards for Conversions'!$A$34:$A$73,0))))</f>
        <v/>
      </c>
      <c r="HJ137" s="10" t="s">
        <v>38</v>
      </c>
      <c r="HK137" s="9"/>
      <c r="HL137" s="9"/>
      <c r="HM137" s="31" t="str">
        <f>IF(HL137/(INDEX('Standards for Conversions'!$H$34:$H$73,MATCH(HK$3,'Standards for Conversions'!$A$34:$A$73,0)))=0,"",HL137/(INDEX('Standards for Conversions'!$H$34:$H$73,MATCH(HK$3,'Standards for Conversions'!$A$34:$A$73,0))))</f>
        <v/>
      </c>
      <c r="HN137" s="10" t="s">
        <v>38</v>
      </c>
      <c r="HO137" s="7"/>
      <c r="HP137" s="7"/>
      <c r="HQ137" s="31" t="str">
        <f>IF(HP137/(INDEX('Standards for Conversions'!$H$34:$H$73,MATCH(HO$3,'Standards for Conversions'!$A$34:$A$73,0)))=0,"",HP137/(INDEX('Standards for Conversions'!$H$34:$H$73,MATCH(HO$3,'Standards for Conversions'!$A$34:$A$73,0))))</f>
        <v/>
      </c>
      <c r="HR137" s="33" t="s">
        <v>38</v>
      </c>
      <c r="HU137" s="31" t="str">
        <f>IF(HT137/(INDEX('Standards for Conversions'!$H$47:$H$73,MATCH(HS$3,'Standards for Conversions'!$A$47:$A$73,0)))=0,"",HT137/(INDEX('Standards for Conversions'!$H$47:$H$73,MATCH(HS$3,'Standards for Conversions'!$A$47:$A$73,0))))</f>
        <v/>
      </c>
      <c r="HV137" s="33" t="s">
        <v>38</v>
      </c>
      <c r="HY137" s="31" t="str">
        <f>IF(HX137/(INDEX('Standards for Conversions'!$H$47:$H$73,MATCH(HW$3,'Standards for Conversions'!$A$47:$A$73,0)))=0,"",HX137/(INDEX('Standards for Conversions'!$H$47:$H$73,MATCH(HW$3,'Standards for Conversions'!$A$47:$A$73,0))))</f>
        <v/>
      </c>
      <c r="HZ137" s="33"/>
      <c r="IA137" s="33"/>
      <c r="IB137" s="31" t="str">
        <f>IF(IA137/(INDEX('Standards for Conversions'!$H$47:$H$73,MATCH(HZ$3,'Standards for Conversions'!$A$47:$A$73,0)))=0,"",IA137/(INDEX('Standards for Conversions'!$H$47:$H$73,MATCH(HZ$3,'Standards for Conversions'!$A$47:$A$73,0))))</f>
        <v/>
      </c>
      <c r="IC137" s="33" t="s">
        <v>38</v>
      </c>
      <c r="ID137" s="29">
        <v>45</v>
      </c>
      <c r="IE137" s="29">
        <v>1000</v>
      </c>
      <c r="IF137" s="31">
        <f>IF(IE137/(INDEX('Standards for Conversions'!$H$47:$H$73,MATCH(ID$3,'Standards for Conversions'!$A$47:$A$73,0)))=0,"",IE137/(INDEX('Standards for Conversions'!$H$47:$H$73,MATCH(ID$3,'Standards for Conversions'!$A$47:$A$73,0))))</f>
        <v>145.24541221285597</v>
      </c>
      <c r="IG137" s="33" t="s">
        <v>38</v>
      </c>
      <c r="IJ137" s="31" t="str">
        <f>IF(II137/(INDEX('Standards for Conversions'!$H$47:$H$73,MATCH(IH$3,'Standards for Conversions'!$A$47:$A$73,0)))=0,"",II137/(INDEX('Standards for Conversions'!$H$47:$H$73,MATCH(IH$3,'Standards for Conversions'!$A$47:$A$73,0))))</f>
        <v/>
      </c>
      <c r="IK137" s="33" t="s">
        <v>38</v>
      </c>
      <c r="IN137" s="31" t="str">
        <f>IF(IM137/(INDEX('Standards for Conversions'!$H$47:$H$73,MATCH(IL$3,'Standards for Conversions'!$A$47:$A$73,0)))=0,"",IM137/(INDEX('Standards for Conversions'!$H$47:$H$73,MATCH(IL$3,'Standards for Conversions'!$A$47:$A$73,0))))</f>
        <v/>
      </c>
      <c r="IO137" s="33" t="s">
        <v>38</v>
      </c>
      <c r="IR137" s="31" t="str">
        <f>IF(IQ137/(INDEX('Standards for Conversions'!$H$47:$H$73,MATCH(IP$3,'Standards for Conversions'!$A$47:$A$73,0)))=0,"",IQ137/(INDEX('Standards for Conversions'!$H$47:$H$73,MATCH(IP$3,'Standards for Conversions'!$A$47:$A$73,0))))</f>
        <v/>
      </c>
      <c r="IS137" s="33" t="s">
        <v>38</v>
      </c>
      <c r="IT137" s="29">
        <v>11</v>
      </c>
      <c r="IU137" s="29">
        <v>203</v>
      </c>
      <c r="IV137" s="31">
        <f>IF(IU137/(INDEX('Standards for Conversions'!$H$47:$H$73,MATCH(IT$3,'Standards for Conversions'!$A$47:$A$73,0)))=0,"",IU137/(INDEX('Standards for Conversions'!$H$47:$H$73,MATCH(IT$3,'Standards for Conversions'!$A$47:$A$73,0))))</f>
        <v>29.355876323469769</v>
      </c>
      <c r="IW137" s="33" t="s">
        <v>38</v>
      </c>
      <c r="IZ137" s="31" t="str">
        <f>IF(IY137/(INDEX('Standards for Conversions'!$H$47:$H$73,MATCH(IX$3,'Standards for Conversions'!$A$47:$A$73,0)))=0,"",IY137/(INDEX('Standards for Conversions'!$H$47:$H$73,MATCH(IX$3,'Standards for Conversions'!$A$47:$A$73,0))))</f>
        <v/>
      </c>
      <c r="JA137" s="33" t="s">
        <v>38</v>
      </c>
      <c r="JD137" s="31" t="str">
        <f>IF(JC137/(INDEX('Standards for Conversions'!$H$47:$H$73,MATCH(JB$3,'Standards for Conversions'!$A$47:$A$73,0)))=0,"",JC137/(INDEX('Standards for Conversions'!$H$47:$H$73,MATCH(JB$3,'Standards for Conversions'!$A$47:$A$73,0))))</f>
        <v/>
      </c>
      <c r="JE137" s="33" t="s">
        <v>38</v>
      </c>
      <c r="JH137" s="31" t="str">
        <f>IF(JG137/(INDEX('Standards for Conversions'!$H$47:$H$73,MATCH(JF$3,'Standards for Conversions'!$A$47:$A$73,0)))=0,"",JG137/(INDEX('Standards for Conversions'!$H$47:$H$73,MATCH(JF$3,'Standards for Conversions'!$A$47:$A$73,0))))</f>
        <v/>
      </c>
      <c r="JI137" s="48" t="s">
        <v>38</v>
      </c>
      <c r="JJ137" s="29">
        <v>25</v>
      </c>
      <c r="JK137" s="29">
        <v>220</v>
      </c>
      <c r="JL137" s="31">
        <f>IF(JK137/(INDEX('Standards for Conversions'!$H$47:$H$73,MATCH(JJ$3,'Standards for Conversions'!$A$47:$A$73,0)))=0,"",JK137/(INDEX('Standards for Conversions'!$H$47:$H$73,MATCH(JJ$3,'Standards for Conversions'!$A$47:$A$73,0))))</f>
        <v>35.587243272211111</v>
      </c>
      <c r="JM137" s="33" t="s">
        <v>38</v>
      </c>
      <c r="JP137" s="31" t="str">
        <f>IF(JO137/(INDEX('Standards for Conversions'!$H$47:$H$73,MATCH(JN$3,'Standards for Conversions'!$A$47:$A$73,0)))=0,"",JO137/(INDEX('Standards for Conversions'!$H$47:$H$73,MATCH(JN$3,'Standards for Conversions'!$A$47:$A$73,0))))</f>
        <v/>
      </c>
      <c r="JQ137" s="33" t="s">
        <v>38</v>
      </c>
      <c r="JT137" s="31" t="str">
        <f>IF(JS137/(INDEX('Standards for Conversions'!$H$47:$H$73,MATCH(JR$3,'Standards for Conversions'!$A$47:$A$73,0)))=0,"",JS137/(INDEX('Standards for Conversions'!$H$47:$H$73,MATCH(JR$3,'Standards for Conversions'!$A$47:$A$73,0))))</f>
        <v/>
      </c>
      <c r="JU137" s="33" t="s">
        <v>38</v>
      </c>
      <c r="JX137" s="31" t="str">
        <f>IF(JW137/(INDEX('Standards for Conversions'!$H$47:$H$73,MATCH(JV$3,'Standards for Conversions'!$A$47:$A$73,0)))=0,"",JW137/(INDEX('Standards for Conversions'!$H$47:$H$73,MATCH(JV$3,'Standards for Conversions'!$A$47:$A$73,0))))</f>
        <v/>
      </c>
      <c r="JY137" s="33" t="s">
        <v>38</v>
      </c>
      <c r="JZ137" s="29">
        <v>30</v>
      </c>
      <c r="KA137" s="29">
        <v>250</v>
      </c>
      <c r="KB137" s="31">
        <f>IF(KA137/(INDEX('Standards for Conversions'!$H$47:$H$73,MATCH(JZ$3,'Standards for Conversions'!$A$47:$A$73,0)))=0,"",KA137/(INDEX('Standards for Conversions'!$H$47:$H$73,MATCH(JZ$3,'Standards for Conversions'!$A$47:$A$73,0))))</f>
        <v>38.163973106949392</v>
      </c>
      <c r="KC137" s="33" t="s">
        <v>38</v>
      </c>
      <c r="KF137" s="31" t="str">
        <f>IF(KE137/(INDEX('Standards for Conversions'!$H$47:$H$73,MATCH(KD$3,'Standards for Conversions'!$A$47:$A$73,0)))=0,"",KE137/(INDEX('Standards for Conversions'!$H$47:$H$73,MATCH(KD$3,'Standards for Conversions'!$A$47:$A$73,0))))</f>
        <v/>
      </c>
      <c r="KG137" s="33" t="s">
        <v>38</v>
      </c>
      <c r="KJ137" s="31" t="str">
        <f>IF(KI137/(INDEX('Standards for Conversions'!$H$47:$H$73,MATCH(KH$3,'Standards for Conversions'!$A$47:$A$73,0)))=0,"",KI137/(INDEX('Standards for Conversions'!$H$47:$H$73,MATCH(KH$3,'Standards for Conversions'!$A$47:$A$73,0))))</f>
        <v/>
      </c>
      <c r="KK137" s="33" t="s">
        <v>38</v>
      </c>
      <c r="KN137" s="31" t="str">
        <f>IF(KM137/(INDEX('Standards for Conversions'!$H$47:$H$73,MATCH(KL$3,'Standards for Conversions'!$A$47:$A$73,0)))=0,"",KM137/(INDEX('Standards for Conversions'!$H$47:$H$73,MATCH(KL$3,'Standards for Conversions'!$A$47:$A$73,0))))</f>
        <v/>
      </c>
      <c r="KO137" s="33" t="s">
        <v>38</v>
      </c>
      <c r="KP137" s="29">
        <v>23</v>
      </c>
      <c r="KQ137" s="29">
        <v>270</v>
      </c>
      <c r="KR137" s="31">
        <f>IF(KQ137/(INDEX('Standards for Conversions'!$H$47:$H$73,MATCH(KP$3,'Standards for Conversions'!$A$47:$A$73,0)))=0,"",KQ137/(INDEX('Standards for Conversions'!$H$47:$H$73,MATCH(KP$3,'Standards for Conversions'!$A$47:$A$73,0))))</f>
        <v>36.357933214565044</v>
      </c>
      <c r="KS137" s="33" t="s">
        <v>38</v>
      </c>
      <c r="KV137" s="31" t="str">
        <f>IF(KU137/(INDEX('Standards for Conversions'!$H$47:$H$73,MATCH(KT$3,'Standards for Conversions'!$A$47:$A$73,0)))=0,"",KU137/(INDEX('Standards for Conversions'!$H$47:$H$73,MATCH(KT$3,'Standards for Conversions'!$A$47:$A$73,0))))</f>
        <v/>
      </c>
      <c r="KW137" s="33" t="s">
        <v>38</v>
      </c>
      <c r="KZ137" s="31" t="str">
        <f>IF(KY137/(INDEX('Standards for Conversions'!$H$47:$H$73,MATCH(KX$3,'Standards for Conversions'!$A$47:$A$73,0)))=0,"",KY137/(INDEX('Standards for Conversions'!$H$47:$H$73,MATCH(KX$3,'Standards for Conversions'!$A$47:$A$73,0))))</f>
        <v/>
      </c>
      <c r="LA137" s="33" t="s">
        <v>38</v>
      </c>
      <c r="LD137" s="31" t="str">
        <f>IF(LC137/(INDEX('Standards for Conversions'!$H$47:$H$73,MATCH(LB$3,'Standards for Conversions'!$A$47:$A$73,0)))=0,"",LC137/(INDEX('Standards for Conversions'!$H$47:$H$73,MATCH(LB$3,'Standards for Conversions'!$A$47:$A$73,0))))</f>
        <v/>
      </c>
      <c r="LE137" s="48" t="s">
        <v>38</v>
      </c>
      <c r="LF137" s="29">
        <v>13</v>
      </c>
      <c r="LG137" s="29">
        <v>260</v>
      </c>
      <c r="LH137" s="31">
        <f>IF(LG137/(INDEX('Standards for Conversions'!$H$47:$H$73,MATCH(LF$3,'Standards for Conversions'!$A$47:$A$73,0)))=0,"",LG137/(INDEX('Standards for Conversions'!$H$47:$H$73,MATCH(LF$3,'Standards for Conversions'!$A$47:$A$73,0))))</f>
        <v>31.620307349149787</v>
      </c>
      <c r="LL137" s="31" t="str">
        <f>IF(LK137/(INDEX('Standards for Conversions'!$H$47:$H$73,MATCH(LJ$3,'Standards for Conversions'!$A$47:$A$73,0)))=0,"",LK137/(INDEX('Standards for Conversions'!$H$47:$H$73,MATCH(LJ$3,'Standards for Conversions'!$A$47:$A$73,0))))</f>
        <v/>
      </c>
      <c r="LO137" s="31" t="str">
        <f>IF(LN137/(INDEX('Standards for Conversions'!$H$47:$H$73,MATCH(LM$3,'Standards for Conversions'!$A$47:$A$73,0)))=0,"",LN137/(INDEX('Standards for Conversions'!$H$47:$H$73,MATCH(LM$3,'Standards for Conversions'!$A$47:$A$73,0))))</f>
        <v/>
      </c>
      <c r="LR137" s="31" t="str">
        <f>IF(LQ137/(INDEX('Standards for Conversions'!$H$47:$H$73,MATCH(LP$3,'Standards for Conversions'!$A$47:$A$73,0)))=0,"",LQ137/(INDEX('Standards for Conversions'!$H$47:$H$73,MATCH(LP$3,'Standards for Conversions'!$A$47:$A$73,0))))</f>
        <v/>
      </c>
      <c r="LV137" s="31" t="str">
        <f>IF(LU137/(INDEX('Standards for Conversions'!$H$47:$H$73,MATCH(LT$3,'Standards for Conversions'!$A$47:$A$73,0)))=0,"",LU137/(INDEX('Standards for Conversions'!$H$47:$H$73,MATCH(LT$3,'Standards for Conversions'!$A$47:$A$73,0))))</f>
        <v/>
      </c>
      <c r="LY137" s="31" t="str">
        <f>IF(LX137/(INDEX('Standards for Conversions'!$H$47:$H$73,MATCH(LW$3,'Standards for Conversions'!$A$47:$A$73,0)))=0,"",LX137/(INDEX('Standards for Conversions'!$H$47:$H$73,MATCH(LW$3,'Standards for Conversions'!$A$47:$A$73,0))))</f>
        <v/>
      </c>
      <c r="MB137" s="31" t="str">
        <f>IF(MA137/(INDEX('Standards for Conversions'!$H$47:$H$73,MATCH(LZ$3,'Standards for Conversions'!$A$47:$A$73,0)))=0,"",MA137/(INDEX('Standards for Conversions'!$H$47:$H$73,MATCH(LZ$3,'Standards for Conversions'!$A$47:$A$73,0))))</f>
        <v/>
      </c>
      <c r="ME137" s="31" t="str">
        <f>IF(MD137/(INDEX('Standards for Conversions'!$H$47:$H$73,MATCH(MC$3,'Standards for Conversions'!$A$47:$A$73,0)))=0,"",MD137/(INDEX('Standards for Conversions'!$H$47:$H$73,MATCH(MC$3,'Standards for Conversions'!$A$47:$A$73,0))))</f>
        <v/>
      </c>
      <c r="MH137" s="31" t="str">
        <f>IF(MG137/(INDEX('Standards for Conversions'!$H$47:$H$73,MATCH(MF$3,'Standards for Conversions'!$A$47:$A$73,0)))=0,"",MG137/(INDEX('Standards for Conversions'!$H$47:$H$73,MATCH(MF$3,'Standards for Conversions'!$A$47:$A$73,0))))</f>
        <v/>
      </c>
      <c r="MK137" s="31" t="str">
        <f>IF(MJ137/(INDEX('Standards for Conversions'!$H$47:$H$73,MATCH(MI$3,'Standards for Conversions'!$A$47:$A$73,0)))=0,"",MJ137/(INDEX('Standards for Conversions'!$H$47:$H$73,MATCH(MI$3,'Standards for Conversions'!$A$47:$A$73,0))))</f>
        <v/>
      </c>
      <c r="MN137" s="31" t="str">
        <f>IF(MM137/(INDEX('Standards for Conversions'!$H$47:$H$73,MATCH(ML$3,'Standards for Conversions'!$A$47:$A$73,0)))=0,"",MM137/(INDEX('Standards for Conversions'!$H$47:$H$73,MATCH(ML$3,'Standards for Conversions'!$A$47:$A$73,0))))</f>
        <v/>
      </c>
      <c r="MR137" s="31" t="str">
        <f>IF(MQ137/(INDEX('Standards for Conversions'!$H$47:$H$73,MATCH(MP$3,'Standards for Conversions'!$A$47:$A$73,0)))=0,"",MQ137/(INDEX('Standards for Conversions'!$H$47:$H$73,MATCH(MP$3,'Standards for Conversions'!$A$47:$A$73,0))))</f>
        <v/>
      </c>
    </row>
    <row r="138" spans="1:356" hidden="1" x14ac:dyDescent="0.3">
      <c r="A138" s="103" t="s">
        <v>303</v>
      </c>
      <c r="B138" s="10" t="s">
        <v>48</v>
      </c>
      <c r="C138" s="7"/>
      <c r="D138" s="7"/>
      <c r="E138" s="31" t="str">
        <f>IF(D138/(INDEX('Standards for Conversions'!$H$34:$H$73,MATCH(C$3,'Standards for Conversions'!$A$34:$A$73,0)))=0,"",D138/(INDEX('Standards for Conversions'!$H$34:$H$73,MATCH(C$3,'Standards for Conversions'!$A$34:$A$73,0))))</f>
        <v/>
      </c>
      <c r="F138" s="10" t="s">
        <v>48</v>
      </c>
      <c r="G138" s="7"/>
      <c r="H138" s="7"/>
      <c r="I138" s="31" t="str">
        <f>IF(H138/(INDEX('Standards for Conversions'!$H$34:$H$73,MATCH(G$3,'Standards for Conversions'!$A$34:$A$73,0)))=0,"",H138/(INDEX('Standards for Conversions'!$H$34:$H$73,MATCH(G$3,'Standards for Conversions'!$A$34:$A$73,0))))</f>
        <v/>
      </c>
      <c r="J138" s="10" t="s">
        <v>48</v>
      </c>
      <c r="K138" s="9"/>
      <c r="L138" s="9"/>
      <c r="M138" s="31" t="str">
        <f>IF(L138/(INDEX('Standards for Conversions'!$H$34:$H$73,MATCH(K$3,'Standards for Conversions'!$A$34:$A$73,0)))=0,"",L138/(INDEX('Standards for Conversions'!$H$34:$H$73,MATCH(K$3,'Standards for Conversions'!$A$34:$A$73,0))))</f>
        <v/>
      </c>
      <c r="N138" s="10" t="s">
        <v>48</v>
      </c>
      <c r="O138" s="7"/>
      <c r="P138" s="7"/>
      <c r="Q138" s="31" t="str">
        <f>IF(P138/(INDEX('Standards for Conversions'!$H$34:$H$73,MATCH(O$3,'Standards for Conversions'!$A$34:$A$73,0)))=0,"",P138/(INDEX('Standards for Conversions'!$H$34:$H$73,MATCH(O$3,'Standards for Conversions'!$A$34:$A$73,0))))</f>
        <v/>
      </c>
      <c r="R138" s="10" t="s">
        <v>48</v>
      </c>
      <c r="S138" s="7"/>
      <c r="T138" s="7"/>
      <c r="U138" s="31" t="str">
        <f>IF(T138/(INDEX('Standards for Conversions'!$H$34:$H$73,MATCH(S$3,'Standards for Conversions'!$A$34:$A$73,0)))=0,"",T138/(INDEX('Standards for Conversions'!$H$34:$H$73,MATCH(S$3,'Standards for Conversions'!$A$34:$A$73,0))))</f>
        <v/>
      </c>
      <c r="V138" s="10" t="s">
        <v>48</v>
      </c>
      <c r="W138" s="7"/>
      <c r="X138" s="7"/>
      <c r="Y138" s="31" t="str">
        <f>IF(X138/(INDEX('Standards for Conversions'!$H$34:$H$73,MATCH(W$3,'Standards for Conversions'!$A$34:$A$73,0)))=0,"",X138/(INDEX('Standards for Conversions'!$H$34:$H$73,MATCH(W$3,'Standards for Conversions'!$A$34:$A$73,0))))</f>
        <v/>
      </c>
      <c r="Z138" s="10" t="s">
        <v>48</v>
      </c>
      <c r="AA138" s="9"/>
      <c r="AB138" s="9"/>
      <c r="AC138" s="31" t="str">
        <f>IF(AB138/(INDEX('Standards for Conversions'!$H$34:$H$73,MATCH(AA$3,'Standards for Conversions'!$A$34:$A$73,0)))=0,"",AB138/(INDEX('Standards for Conversions'!$H$34:$H$73,MATCH(AA$3,'Standards for Conversions'!$A$34:$A$73,0))))</f>
        <v/>
      </c>
      <c r="AD138" s="10" t="s">
        <v>48</v>
      </c>
      <c r="AE138" s="7"/>
      <c r="AF138" s="7"/>
      <c r="AG138" s="31" t="str">
        <f>IF(AF138/(INDEX('Standards for Conversions'!$H$34:$H$73,MATCH(AE$3,'Standards for Conversions'!$A$34:$A$73,0)))=0,"",AF138/(INDEX('Standards for Conversions'!$H$34:$H$73,MATCH(AE$3,'Standards for Conversions'!$A$34:$A$73,0))))</f>
        <v/>
      </c>
      <c r="AH138" s="10" t="s">
        <v>48</v>
      </c>
      <c r="AI138" s="7"/>
      <c r="AJ138" s="7"/>
      <c r="AK138" s="31" t="str">
        <f>IF(AJ138/(INDEX('Standards for Conversions'!$H$34:$H$73,MATCH(AI$3,'Standards for Conversions'!$A$34:$A$73,0)))=0,"",AJ138/(INDEX('Standards for Conversions'!$H$34:$H$73,MATCH(AI$3,'Standards for Conversions'!$A$34:$A$73,0))))</f>
        <v/>
      </c>
      <c r="AL138" s="10" t="s">
        <v>48</v>
      </c>
      <c r="AM138" s="7"/>
      <c r="AN138" s="7"/>
      <c r="AO138" s="31" t="str">
        <f>IF(AN138/(INDEX('Standards for Conversions'!$H$34:$H$73,MATCH(AM$3,'Standards for Conversions'!$A$34:$A$73,0)))=0,"",AN138/(INDEX('Standards for Conversions'!$H$34:$H$73,MATCH(AM$3,'Standards for Conversions'!$A$34:$A$73,0))))</f>
        <v/>
      </c>
      <c r="AP138" s="10" t="s">
        <v>48</v>
      </c>
      <c r="AQ138" s="9"/>
      <c r="AR138" s="9"/>
      <c r="AS138" s="31" t="str">
        <f>IF(AR138/(INDEX('Standards for Conversions'!$H$34:$H$73,MATCH(AQ$3,'Standards for Conversions'!$A$34:$A$73,0)))=0,"",AR138/(INDEX('Standards for Conversions'!$H$34:$H$73,MATCH(AQ$3,'Standards for Conversions'!$A$34:$A$73,0))))</f>
        <v/>
      </c>
      <c r="AT138" s="10" t="s">
        <v>48</v>
      </c>
      <c r="AU138" s="7"/>
      <c r="AV138" s="7"/>
      <c r="AW138" s="31" t="str">
        <f>IF(AV138/(INDEX('Standards for Conversions'!$H$34:$H$73,MATCH(AU$3,'Standards for Conversions'!$A$34:$A$73,0)))=0,"",AV138/(INDEX('Standards for Conversions'!$H$34:$H$73,MATCH(AU$3,'Standards for Conversions'!$A$34:$A$73,0))))</f>
        <v/>
      </c>
      <c r="AX138" s="10" t="s">
        <v>48</v>
      </c>
      <c r="AY138" s="7"/>
      <c r="AZ138" s="7"/>
      <c r="BA138" s="31" t="str">
        <f>IF(AZ138/(INDEX('Standards for Conversions'!$H$34:$H$73,MATCH(AY$3,'Standards for Conversions'!$A$34:$A$73,0)))=0,"",AZ138/(INDEX('Standards for Conversions'!$H$34:$H$73,MATCH(AY$3,'Standards for Conversions'!$A$34:$A$73,0))))</f>
        <v/>
      </c>
      <c r="BB138" s="10" t="s">
        <v>48</v>
      </c>
      <c r="BC138" s="7"/>
      <c r="BD138" s="7"/>
      <c r="BE138" s="31" t="str">
        <f>IF(BD138/(INDEX('Standards for Conversions'!$H$34:$H$73,MATCH(BC$3,'Standards for Conversions'!$A$34:$A$73,0)))=0,"",BD138/(INDEX('Standards for Conversions'!$H$34:$H$73,MATCH(BC$3,'Standards for Conversions'!$A$34:$A$73,0))))</f>
        <v/>
      </c>
      <c r="BF138" s="10" t="s">
        <v>48</v>
      </c>
      <c r="BG138" s="9"/>
      <c r="BH138" s="9"/>
      <c r="BI138" s="31" t="str">
        <f>IF(BH138/(INDEX('Standards for Conversions'!$H$34:$H$73,MATCH(BG$3,'Standards for Conversions'!$A$34:$A$73,0)))=0,"",BH138/(INDEX('Standards for Conversions'!$H$34:$H$73,MATCH(BG$3,'Standards for Conversions'!$A$34:$A$73,0))))</f>
        <v/>
      </c>
      <c r="BJ138" s="10" t="s">
        <v>48</v>
      </c>
      <c r="BK138" s="7"/>
      <c r="BL138" s="7"/>
      <c r="BM138" s="31" t="str">
        <f>IF(BL138/(INDEX('Standards for Conversions'!$H$34:$H$73,MATCH(BK$3,'Standards for Conversions'!$A$34:$A$73,0)))=0,"",BL138/(INDEX('Standards for Conversions'!$H$34:$H$73,MATCH(BK$3,'Standards for Conversions'!$A$34:$A$73,0))))</f>
        <v/>
      </c>
      <c r="BN138" s="10" t="s">
        <v>48</v>
      </c>
      <c r="BO138" s="7"/>
      <c r="BP138" s="7"/>
      <c r="BQ138" s="31" t="str">
        <f>IF(BP138/(INDEX('Standards for Conversions'!$H$34:$H$73,MATCH(BO$3,'Standards for Conversions'!$A$34:$A$73,0)))=0,"",BP138/(INDEX('Standards for Conversions'!$H$34:$H$73,MATCH(BO$3,'Standards for Conversions'!$A$34:$A$73,0))))</f>
        <v/>
      </c>
      <c r="BR138" s="10" t="s">
        <v>48</v>
      </c>
      <c r="BS138" s="7"/>
      <c r="BT138" s="7"/>
      <c r="BU138" s="31" t="str">
        <f>IF(BT138/(INDEX('Standards for Conversions'!$H$34:$H$73,MATCH(BS$3,'Standards for Conversions'!$A$34:$A$73,0)))=0,"",BT138/(INDEX('Standards for Conversions'!$H$34:$H$73,MATCH(BS$3,'Standards for Conversions'!$A$34:$A$73,0))))</f>
        <v/>
      </c>
      <c r="BV138" s="10" t="s">
        <v>48</v>
      </c>
      <c r="BW138" s="9"/>
      <c r="BX138" s="9"/>
      <c r="BY138" s="31" t="str">
        <f>IF(BX138/(INDEX('Standards for Conversions'!$H$34:$H$73,MATCH(BW$3,'Standards for Conversions'!$A$34:$A$73,0)))=0,"",BX138/(INDEX('Standards for Conversions'!$H$34:$H$73,MATCH(BW$3,'Standards for Conversions'!$A$34:$A$73,0))))</f>
        <v/>
      </c>
      <c r="BZ138" s="10" t="s">
        <v>48</v>
      </c>
      <c r="CA138" s="7"/>
      <c r="CB138" s="7"/>
      <c r="CC138" s="31" t="str">
        <f>IF(CB138/(INDEX('Standards for Conversions'!$H$34:$H$73,MATCH(CA$3,'Standards for Conversions'!$A$34:$A$73,0)))=0,"",CB138/(INDEX('Standards for Conversions'!$H$34:$H$73,MATCH(CA$3,'Standards for Conversions'!$A$34:$A$73,0))))</f>
        <v/>
      </c>
      <c r="CD138" s="10" t="s">
        <v>48</v>
      </c>
      <c r="CE138" s="7"/>
      <c r="CF138" s="7"/>
      <c r="CG138" s="31" t="str">
        <f>IF(CF138/(INDEX('Standards for Conversions'!$H$34:$H$73,MATCH(CE$3,'Standards for Conversions'!$A$34:$A$73,0)))=0,"",CF138/(INDEX('Standards for Conversions'!$H$34:$H$73,MATCH(CE$3,'Standards for Conversions'!$A$34:$A$73,0))))</f>
        <v/>
      </c>
      <c r="CH138" s="10" t="s">
        <v>48</v>
      </c>
      <c r="CI138" s="7"/>
      <c r="CJ138" s="7"/>
      <c r="CK138" s="31" t="str">
        <f>IF(CJ138/(INDEX('Standards for Conversions'!$H$34:$H$73,MATCH(CI$3,'Standards for Conversions'!$A$34:$A$73,0)))=0,"",CJ138/(INDEX('Standards for Conversions'!$H$34:$H$73,MATCH(CI$3,'Standards for Conversions'!$A$34:$A$73,0))))</f>
        <v/>
      </c>
      <c r="CL138" s="10" t="s">
        <v>48</v>
      </c>
      <c r="CM138" s="9"/>
      <c r="CN138" s="9"/>
      <c r="CO138" s="31" t="str">
        <f>IF(CN138/(INDEX('Standards for Conversions'!$H$34:$H$73,MATCH(CM$3,'Standards for Conversions'!$A$34:$A$73,0)))=0,"",CN138/(INDEX('Standards for Conversions'!$H$34:$H$73,MATCH(CM$3,'Standards for Conversions'!$A$34:$A$73,0))))</f>
        <v/>
      </c>
      <c r="CP138" s="10" t="s">
        <v>48</v>
      </c>
      <c r="CQ138" s="7"/>
      <c r="CR138" s="7"/>
      <c r="CS138" s="31" t="str">
        <f>IF(CR138/(INDEX('Standards for Conversions'!$H$34:$H$73,MATCH(CQ$3,'Standards for Conversions'!$A$34:$A$73,0)))=0,"",CR138/(INDEX('Standards for Conversions'!$H$34:$H$73,MATCH(CQ$3,'Standards for Conversions'!$A$34:$A$73,0))))</f>
        <v/>
      </c>
      <c r="CT138" s="10" t="s">
        <v>48</v>
      </c>
      <c r="CU138" s="7"/>
      <c r="CV138" s="7"/>
      <c r="CW138" s="31" t="str">
        <f>IF(CV138/(INDEX('Standards for Conversions'!$H$34:$H$73,MATCH(CU$3,'Standards for Conversions'!$A$34:$A$73,0)))=0,"",CV138/(INDEX('Standards for Conversions'!$H$34:$H$73,MATCH(CU$3,'Standards for Conversions'!$A$34:$A$73,0))))</f>
        <v/>
      </c>
      <c r="CX138" s="10" t="s">
        <v>48</v>
      </c>
      <c r="CY138" s="7"/>
      <c r="CZ138" s="7"/>
      <c r="DA138" s="31" t="str">
        <f>IF(CZ138/(INDEX('Standards for Conversions'!$H$34:$H$73,MATCH(CY$3,'Standards for Conversions'!$A$34:$A$73,0)))=0,"",CZ138/(INDEX('Standards for Conversions'!$H$34:$H$73,MATCH(CY$3,'Standards for Conversions'!$A$34:$A$73,0))))</f>
        <v/>
      </c>
      <c r="DB138" s="10" t="s">
        <v>48</v>
      </c>
      <c r="DC138" s="9"/>
      <c r="DD138" s="9"/>
      <c r="DE138" s="31" t="str">
        <f>IF(DD138/(INDEX('Standards for Conversions'!$H$34:$H$73,MATCH(DC$3,'Standards for Conversions'!$A$34:$A$73,0)))=0,"",DD138/(INDEX('Standards for Conversions'!$H$34:$H$73,MATCH(DC$3,'Standards for Conversions'!$A$34:$A$73,0))))</f>
        <v/>
      </c>
      <c r="DF138" s="10" t="s">
        <v>48</v>
      </c>
      <c r="DG138" s="7"/>
      <c r="DH138" s="7"/>
      <c r="DI138" s="31" t="str">
        <f>IF(DH138/(INDEX('Standards for Conversions'!$H$34:$H$73,MATCH(DG$3,'Standards for Conversions'!$A$34:$A$73,0)))=0,"",DH138/(INDEX('Standards for Conversions'!$H$34:$H$73,MATCH(DG$3,'Standards for Conversions'!$A$34:$A$73,0))))</f>
        <v/>
      </c>
      <c r="DJ138" s="10" t="s">
        <v>48</v>
      </c>
      <c r="DK138" s="7"/>
      <c r="DL138" s="7"/>
      <c r="DM138" s="31" t="str">
        <f>IF(DL138/(INDEX('Standards for Conversions'!$H$34:$H$73,MATCH(DK$3,'Standards for Conversions'!$A$34:$A$73,0)))=0,"",DL138/(INDEX('Standards for Conversions'!$H$34:$H$73,MATCH(DK$3,'Standards for Conversions'!$A$34:$A$73,0))))</f>
        <v/>
      </c>
      <c r="DN138" s="10" t="s">
        <v>48</v>
      </c>
      <c r="DO138" s="7"/>
      <c r="DP138" s="7"/>
      <c r="DQ138" s="31" t="str">
        <f>IF(DP138/(INDEX('Standards for Conversions'!$H$34:$H$73,MATCH(DO$3,'Standards for Conversions'!$A$34:$A$73,0)))=0,"",DP138/(INDEX('Standards for Conversions'!$H$34:$H$73,MATCH(DO$3,'Standards for Conversions'!$A$34:$A$73,0))))</f>
        <v/>
      </c>
      <c r="DR138" s="10" t="s">
        <v>48</v>
      </c>
      <c r="DS138" s="9"/>
      <c r="DT138" s="9"/>
      <c r="DU138" s="31" t="str">
        <f>IF(DT138/(INDEX('Standards for Conversions'!$H$34:$H$73,MATCH(DS$3,'Standards for Conversions'!$A$34:$A$73,0)))=0,"",DT138/(INDEX('Standards for Conversions'!$H$34:$H$73,MATCH(DS$3,'Standards for Conversions'!$A$34:$A$73,0))))</f>
        <v/>
      </c>
      <c r="DV138" s="10" t="s">
        <v>48</v>
      </c>
      <c r="DW138" s="7"/>
      <c r="DX138" s="7"/>
      <c r="DY138" s="31" t="str">
        <f>IF(DX138/(INDEX('Standards for Conversions'!$H$34:$H$73,MATCH(DW$3,'Standards for Conversions'!$A$34:$A$73,0)))=0,"",DX138/(INDEX('Standards for Conversions'!$H$34:$H$73,MATCH(DW$3,'Standards for Conversions'!$A$34:$A$73,0))))</f>
        <v/>
      </c>
      <c r="DZ138" s="10" t="s">
        <v>48</v>
      </c>
      <c r="EA138" s="7"/>
      <c r="EB138" s="7"/>
      <c r="EC138" s="31" t="str">
        <f>IF(EB138/(INDEX('Standards for Conversions'!$H$34:$H$73,MATCH(EA$3,'Standards for Conversions'!$A$34:$A$73,0)))=0,"",EB138/(INDEX('Standards for Conversions'!$H$34:$H$73,MATCH(EA$3,'Standards for Conversions'!$A$34:$A$73,0))))</f>
        <v/>
      </c>
      <c r="ED138" s="10" t="s">
        <v>48</v>
      </c>
      <c r="EE138" s="7"/>
      <c r="EF138" s="7"/>
      <c r="EG138" s="31" t="str">
        <f>IF(EF138/(INDEX('Standards for Conversions'!$H$34:$H$73,MATCH(EE$3,'Standards for Conversions'!$A$34:$A$73,0)))=0,"",EF138/(INDEX('Standards for Conversions'!$H$34:$H$73,MATCH(EE$3,'Standards for Conversions'!$A$34:$A$73,0))))</f>
        <v/>
      </c>
      <c r="EH138" s="10" t="s">
        <v>48</v>
      </c>
      <c r="EI138" s="9"/>
      <c r="EJ138" s="9"/>
      <c r="EK138" s="31" t="str">
        <f>IF(EJ138/(INDEX('Standards for Conversions'!$H$34:$H$73,MATCH(EI$3,'Standards for Conversions'!$A$34:$A$73,0)))=0,"",EJ138/(INDEX('Standards for Conversions'!$H$34:$H$73,MATCH(EI$3,'Standards for Conversions'!$A$34:$A$73,0))))</f>
        <v/>
      </c>
      <c r="EL138" s="10" t="s">
        <v>48</v>
      </c>
      <c r="EM138" s="7"/>
      <c r="EN138" s="7"/>
      <c r="EO138" s="31" t="str">
        <f>IF(EN138/(INDEX('Standards for Conversions'!$H$34:$H$73,MATCH(EM$3,'Standards for Conversions'!$A$34:$A$73,0)))=0,"",EN138/(INDEX('Standards for Conversions'!$H$34:$H$73,MATCH(EM$3,'Standards for Conversions'!$A$34:$A$73,0))))</f>
        <v/>
      </c>
      <c r="EP138" s="10" t="s">
        <v>48</v>
      </c>
      <c r="EQ138" s="7"/>
      <c r="ER138" s="7"/>
      <c r="ES138" s="31" t="str">
        <f>IF(ER138/(INDEX('Standards for Conversions'!$H$34:$H$73,MATCH(EQ$3,'Standards for Conversions'!$A$34:$A$73,0)))=0,"",ER138/(INDEX('Standards for Conversions'!$H$34:$H$73,MATCH(EQ$3,'Standards for Conversions'!$A$34:$A$73,0))))</f>
        <v/>
      </c>
      <c r="ET138" s="10" t="s">
        <v>48</v>
      </c>
      <c r="EU138" s="7"/>
      <c r="EV138" s="7"/>
      <c r="EW138" s="31" t="str">
        <f>IF(EV138/(INDEX('Standards for Conversions'!$H$34:$H$73,MATCH(EU$3,'Standards for Conversions'!$A$34:$A$73,0)))=0,"",EV138/(INDEX('Standards for Conversions'!$H$34:$H$73,MATCH(EU$3,'Standards for Conversions'!$A$34:$A$73,0))))</f>
        <v/>
      </c>
      <c r="EX138" s="10" t="s">
        <v>48</v>
      </c>
      <c r="EY138" s="9"/>
      <c r="EZ138" s="9"/>
      <c r="FA138" s="31" t="str">
        <f>IF(EZ138/(INDEX('Standards for Conversions'!$H$34:$H$73,MATCH(EY$3,'Standards for Conversions'!$A$34:$A$73,0)))=0,"",EZ138/(INDEX('Standards for Conversions'!$H$34:$H$73,MATCH(EY$3,'Standards for Conversions'!$A$34:$A$73,0))))</f>
        <v/>
      </c>
      <c r="FB138" s="10" t="s">
        <v>48</v>
      </c>
      <c r="FC138" s="7"/>
      <c r="FD138" s="7"/>
      <c r="FE138" s="31" t="str">
        <f>IF(FD138/(INDEX('Standards for Conversions'!$H$34:$H$73,MATCH(FC$3,'Standards for Conversions'!$A$34:$A$73,0)))=0,"",FD138/(INDEX('Standards for Conversions'!$H$34:$H$73,MATCH(FC$3,'Standards for Conversions'!$A$34:$A$73,0))))</f>
        <v/>
      </c>
      <c r="FF138" s="10" t="s">
        <v>48</v>
      </c>
      <c r="FG138" s="7"/>
      <c r="FH138" s="7"/>
      <c r="FI138" s="31" t="str">
        <f>IF(FH138/(INDEX('Standards for Conversions'!$H$34:$H$73,MATCH(FG$3,'Standards for Conversions'!$A$34:$A$73,0)))=0,"",FH138/(INDEX('Standards for Conversions'!$H$34:$H$73,MATCH(FG$3,'Standards for Conversions'!$A$34:$A$73,0))))</f>
        <v/>
      </c>
      <c r="FJ138" s="10" t="s">
        <v>48</v>
      </c>
      <c r="FK138" s="7"/>
      <c r="FL138" s="7"/>
      <c r="FM138" s="31" t="str">
        <f>IF(FL138/(INDEX('Standards for Conversions'!$H$34:$H$73,MATCH(FK$3,'Standards for Conversions'!$A$34:$A$73,0)))=0,"",FL138/(INDEX('Standards for Conversions'!$H$34:$H$73,MATCH(FK$3,'Standards for Conversions'!$A$34:$A$73,0))))</f>
        <v/>
      </c>
      <c r="FN138" s="10" t="s">
        <v>48</v>
      </c>
      <c r="FO138" s="9"/>
      <c r="FP138" s="9"/>
      <c r="FQ138" s="31" t="str">
        <f>IF(FP138/(INDEX('Standards for Conversions'!$H$34:$H$73,MATCH(FO$3,'Standards for Conversions'!$A$34:$A$73,0)))=0,"",FP138/(INDEX('Standards for Conversions'!$H$34:$H$73,MATCH(FO$3,'Standards for Conversions'!$A$34:$A$73,0))))</f>
        <v/>
      </c>
      <c r="FR138" s="10" t="s">
        <v>48</v>
      </c>
      <c r="FS138" s="7"/>
      <c r="FT138" s="7"/>
      <c r="FU138" s="31" t="str">
        <f>IF(FT138/(INDEX('Standards for Conversions'!$H$34:$H$73,MATCH(FS$3,'Standards for Conversions'!$A$34:$A$73,0)))=0,"",FT138/(INDEX('Standards for Conversions'!$H$34:$H$73,MATCH(FS$3,'Standards for Conversions'!$A$34:$A$73,0))))</f>
        <v/>
      </c>
      <c r="FV138" s="10" t="s">
        <v>48</v>
      </c>
      <c r="FW138" s="7"/>
      <c r="FX138" s="7"/>
      <c r="FY138" s="31" t="str">
        <f>IF(FX138/(INDEX('Standards for Conversions'!$H$34:$H$73,MATCH(FW$3,'Standards for Conversions'!$A$34:$A$73,0)))=0,"",FX138/(INDEX('Standards for Conversions'!$H$34:$H$73,MATCH(FW$3,'Standards for Conversions'!$A$34:$A$73,0))))</f>
        <v/>
      </c>
      <c r="FZ138" s="10" t="s">
        <v>48</v>
      </c>
      <c r="GA138" s="7"/>
      <c r="GB138" s="7"/>
      <c r="GC138" s="31" t="str">
        <f>IF(GB138/(INDEX('Standards for Conversions'!$H$34:$H$73,MATCH(GA$3,'Standards for Conversions'!$A$34:$A$73,0)))=0,"",GB138/(INDEX('Standards for Conversions'!$H$34:$H$73,MATCH(GA$3,'Standards for Conversions'!$A$34:$A$73,0))))</f>
        <v/>
      </c>
      <c r="GD138" s="10" t="s">
        <v>48</v>
      </c>
      <c r="GE138" s="9"/>
      <c r="GF138" s="9"/>
      <c r="GG138" s="31" t="str">
        <f>IF(GF138/(INDEX('Standards for Conversions'!$H$34:$H$73,MATCH(GE$3,'Standards for Conversions'!$A$34:$A$73,0)))=0,"",GF138/(INDEX('Standards for Conversions'!$H$34:$H$73,MATCH(GE$3,'Standards for Conversions'!$A$34:$A$73,0))))</f>
        <v/>
      </c>
      <c r="GH138" s="10" t="s">
        <v>48</v>
      </c>
      <c r="GI138" s="7"/>
      <c r="GJ138" s="7"/>
      <c r="GK138" s="31" t="str">
        <f>IF(GJ138/(INDEX('Standards for Conversions'!$H$34:$H$73,MATCH(GI$3,'Standards for Conversions'!$A$34:$A$73,0)))=0,"",GJ138/(INDEX('Standards for Conversions'!$H$34:$H$73,MATCH(GI$3,'Standards for Conversions'!$A$34:$A$73,0))))</f>
        <v/>
      </c>
      <c r="GL138" s="10" t="s">
        <v>48</v>
      </c>
      <c r="GM138" s="7"/>
      <c r="GN138" s="7"/>
      <c r="GO138" s="31" t="str">
        <f>IF(GN138/(INDEX('Standards for Conversions'!$H$34:$H$73,MATCH(GM$3,'Standards for Conversions'!$A$34:$A$73,0)))=0,"",GN138/(INDEX('Standards for Conversions'!$H$34:$H$73,MATCH(GM$3,'Standards for Conversions'!$A$34:$A$73,0))))</f>
        <v/>
      </c>
      <c r="GP138" s="10" t="s">
        <v>48</v>
      </c>
      <c r="GQ138" s="7"/>
      <c r="GR138" s="7"/>
      <c r="GS138" s="31" t="str">
        <f>IF(GR138/(INDEX('Standards for Conversions'!$H$34:$H$73,MATCH(GQ$3,'Standards for Conversions'!$A$34:$A$73,0)))=0,"",GR138/(INDEX('Standards for Conversions'!$H$34:$H$73,MATCH(GQ$3,'Standards for Conversions'!$A$34:$A$73,0))))</f>
        <v/>
      </c>
      <c r="GT138" s="10" t="s">
        <v>48</v>
      </c>
      <c r="GU138" s="9"/>
      <c r="GV138" s="9"/>
      <c r="GW138" s="31" t="str">
        <f>IF(GV138/(INDEX('Standards for Conversions'!$H$34:$H$73,MATCH(GU$3,'Standards for Conversions'!$A$34:$A$73,0)))=0,"",GV138/(INDEX('Standards for Conversions'!$H$34:$H$73,MATCH(GU$3,'Standards for Conversions'!$A$34:$A$73,0))))</f>
        <v/>
      </c>
      <c r="GX138" s="10" t="s">
        <v>48</v>
      </c>
      <c r="GY138" s="7"/>
      <c r="GZ138" s="7"/>
      <c r="HA138" s="31" t="str">
        <f>IF(GZ138/(INDEX('Standards for Conversions'!$H$34:$H$73,MATCH(GY$3,'Standards for Conversions'!$A$34:$A$73,0)))=0,"",GZ138/(INDEX('Standards for Conversions'!$H$34:$H$73,MATCH(GY$3,'Standards for Conversions'!$A$34:$A$73,0))))</f>
        <v/>
      </c>
      <c r="HB138" s="10" t="s">
        <v>48</v>
      </c>
      <c r="HC138" s="7"/>
      <c r="HD138" s="7"/>
      <c r="HE138" s="31" t="str">
        <f>IF(HD138/(INDEX('Standards for Conversions'!$H$34:$H$73,MATCH(HC$3,'Standards for Conversions'!$A$34:$A$73,0)))=0,"",HD138/(INDEX('Standards for Conversions'!$H$34:$H$73,MATCH(HC$3,'Standards for Conversions'!$A$34:$A$73,0))))</f>
        <v/>
      </c>
      <c r="HF138" s="10" t="s">
        <v>48</v>
      </c>
      <c r="HG138" s="7"/>
      <c r="HH138" s="7"/>
      <c r="HI138" s="31" t="str">
        <f>IF(HH138/(INDEX('Standards for Conversions'!$H$34:$H$73,MATCH(HG$3,'Standards for Conversions'!$A$34:$A$73,0)))=0,"",HH138/(INDEX('Standards for Conversions'!$H$34:$H$73,MATCH(HG$3,'Standards for Conversions'!$A$34:$A$73,0))))</f>
        <v/>
      </c>
      <c r="HJ138" s="10" t="s">
        <v>48</v>
      </c>
      <c r="HK138" s="9"/>
      <c r="HL138" s="9"/>
      <c r="HM138" s="31" t="str">
        <f>IF(HL138/(INDEX('Standards for Conversions'!$H$34:$H$73,MATCH(HK$3,'Standards for Conversions'!$A$34:$A$73,0)))=0,"",HL138/(INDEX('Standards for Conversions'!$H$34:$H$73,MATCH(HK$3,'Standards for Conversions'!$A$34:$A$73,0))))</f>
        <v/>
      </c>
      <c r="HN138" s="10" t="s">
        <v>48</v>
      </c>
      <c r="HO138" s="7"/>
      <c r="HP138" s="7"/>
      <c r="HQ138" s="31" t="str">
        <f>IF(HP138/(INDEX('Standards for Conversions'!$H$34:$H$73,MATCH(HO$3,'Standards for Conversions'!$A$34:$A$73,0)))=0,"",HP138/(INDEX('Standards for Conversions'!$H$34:$H$73,MATCH(HO$3,'Standards for Conversions'!$A$34:$A$73,0))))</f>
        <v/>
      </c>
      <c r="HR138" s="33" t="s">
        <v>48</v>
      </c>
      <c r="HU138" s="31" t="str">
        <f>IF(HT138/(INDEX('Standards for Conversions'!$H$47:$H$73,MATCH(HS$3,'Standards for Conversions'!$A$47:$A$73,0)))=0,"",HT138/(INDEX('Standards for Conversions'!$H$47:$H$73,MATCH(HS$3,'Standards for Conversions'!$A$47:$A$73,0))))</f>
        <v/>
      </c>
      <c r="HV138" s="33" t="s">
        <v>48</v>
      </c>
      <c r="HY138" s="31" t="str">
        <f>IF(HX138/(INDEX('Standards for Conversions'!$H$47:$H$73,MATCH(HW$3,'Standards for Conversions'!$A$47:$A$73,0)))=0,"",HX138/(INDEX('Standards for Conversions'!$H$47:$H$73,MATCH(HW$3,'Standards for Conversions'!$A$47:$A$73,0))))</f>
        <v/>
      </c>
      <c r="HZ138" s="33">
        <v>30</v>
      </c>
      <c r="IA138" s="33">
        <v>2000</v>
      </c>
      <c r="IB138" s="31">
        <f>IF(IA138/(INDEX('Standards for Conversions'!$H$47:$H$73,MATCH(HZ$3,'Standards for Conversions'!$A$47:$A$73,0)))=0,"",IA138/(INDEX('Standards for Conversions'!$H$47:$H$73,MATCH(HZ$3,'Standards for Conversions'!$A$47:$A$73,0))))</f>
        <v>290.49082442571193</v>
      </c>
      <c r="IC138" s="48" t="s">
        <v>48</v>
      </c>
      <c r="ID138" s="29">
        <v>20</v>
      </c>
      <c r="IE138" s="29">
        <v>900</v>
      </c>
      <c r="IF138" s="31">
        <f>IF(IE138/(INDEX('Standards for Conversions'!$H$47:$H$73,MATCH(ID$3,'Standards for Conversions'!$A$47:$A$73,0)))=0,"",IE138/(INDEX('Standards for Conversions'!$H$47:$H$73,MATCH(ID$3,'Standards for Conversions'!$A$47:$A$73,0))))</f>
        <v>130.72087099157037</v>
      </c>
      <c r="IG138" s="33" t="s">
        <v>40</v>
      </c>
      <c r="IJ138" s="31" t="str">
        <f>IF(II138/(INDEX('Standards for Conversions'!$H$47:$H$73,MATCH(IH$3,'Standards for Conversions'!$A$47:$A$73,0)))=0,"",II138/(INDEX('Standards for Conversions'!$H$47:$H$73,MATCH(IH$3,'Standards for Conversions'!$A$47:$A$73,0))))</f>
        <v/>
      </c>
      <c r="IK138" s="33" t="s">
        <v>40</v>
      </c>
      <c r="IN138" s="31" t="str">
        <f>IF(IM138/(INDEX('Standards for Conversions'!$H$47:$H$73,MATCH(IL$3,'Standards for Conversions'!$A$47:$A$73,0)))=0,"",IM138/(INDEX('Standards for Conversions'!$H$47:$H$73,MATCH(IL$3,'Standards for Conversions'!$A$47:$A$73,0))))</f>
        <v/>
      </c>
      <c r="IO138" s="33" t="s">
        <v>40</v>
      </c>
      <c r="IP138" s="29">
        <v>10</v>
      </c>
      <c r="IQ138" s="29">
        <v>3100</v>
      </c>
      <c r="IR138" s="31">
        <f>IF(IQ138/(INDEX('Standards for Conversions'!$H$47:$H$73,MATCH(IP$3,'Standards for Conversions'!$A$47:$A$73,0)))=0,"",IQ138/(INDEX('Standards for Conversions'!$H$47:$H$73,MATCH(IP$3,'Standards for Conversions'!$A$47:$A$73,0))))</f>
        <v>448.29170740274031</v>
      </c>
      <c r="IS138" s="33" t="s">
        <v>40</v>
      </c>
      <c r="IT138" s="29">
        <v>9</v>
      </c>
      <c r="IU138" s="29">
        <v>1961</v>
      </c>
      <c r="IV138" s="31">
        <f>IF(IU138/(INDEX('Standards for Conversions'!$H$47:$H$73,MATCH(IT$3,'Standards for Conversions'!$A$47:$A$73,0)))=0,"",IU138/(INDEX('Standards for Conversions'!$H$47:$H$73,MATCH(IT$3,'Standards for Conversions'!$A$47:$A$73,0))))</f>
        <v>283.58065748928186</v>
      </c>
      <c r="IW138" s="33" t="s">
        <v>40</v>
      </c>
      <c r="IZ138" s="31" t="str">
        <f>IF(IY138/(INDEX('Standards for Conversions'!$H$47:$H$73,MATCH(IX$3,'Standards for Conversions'!$A$47:$A$73,0)))=0,"",IY138/(INDEX('Standards for Conversions'!$H$47:$H$73,MATCH(IX$3,'Standards for Conversions'!$A$47:$A$73,0))))</f>
        <v/>
      </c>
      <c r="JA138" s="33" t="s">
        <v>40</v>
      </c>
      <c r="JD138" s="31" t="str">
        <f>IF(JC138/(INDEX('Standards for Conversions'!$H$47:$H$73,MATCH(JB$3,'Standards for Conversions'!$A$47:$A$73,0)))=0,"",JC138/(INDEX('Standards for Conversions'!$H$47:$H$73,MATCH(JB$3,'Standards for Conversions'!$A$47:$A$73,0))))</f>
        <v/>
      </c>
      <c r="JE138" s="33" t="s">
        <v>40</v>
      </c>
      <c r="JF138" s="29">
        <v>32</v>
      </c>
      <c r="JG138" s="29">
        <v>4800</v>
      </c>
      <c r="JH138" s="31">
        <f>IF(JG138/(INDEX('Standards for Conversions'!$H$47:$H$73,MATCH(JF$3,'Standards for Conversions'!$A$47:$A$73,0)))=0,"",JG138/(INDEX('Standards for Conversions'!$H$47:$H$73,MATCH(JF$3,'Standards for Conversions'!$A$47:$A$73,0))))</f>
        <v>776.44894412096971</v>
      </c>
      <c r="JI138" s="48" t="s">
        <v>40</v>
      </c>
      <c r="JJ138" s="29">
        <v>45</v>
      </c>
      <c r="JK138" s="29">
        <v>1300</v>
      </c>
      <c r="JL138" s="31">
        <f>IF(JK138/(INDEX('Standards for Conversions'!$H$47:$H$73,MATCH(JJ$3,'Standards for Conversions'!$A$47:$A$73,0)))=0,"",JK138/(INDEX('Standards for Conversions'!$H$47:$H$73,MATCH(JJ$3,'Standards for Conversions'!$A$47:$A$73,0))))</f>
        <v>210.2882556994293</v>
      </c>
      <c r="JM138" s="33" t="s">
        <v>40</v>
      </c>
      <c r="JP138" s="31" t="str">
        <f>IF(JO138/(INDEX('Standards for Conversions'!$H$47:$H$73,MATCH(JN$3,'Standards for Conversions'!$A$47:$A$73,0)))=0,"",JO138/(INDEX('Standards for Conversions'!$H$47:$H$73,MATCH(JN$3,'Standards for Conversions'!$A$47:$A$73,0))))</f>
        <v/>
      </c>
      <c r="JQ138" s="33" t="s">
        <v>40</v>
      </c>
      <c r="JT138" s="31" t="str">
        <f>IF(JS138/(INDEX('Standards for Conversions'!$H$47:$H$73,MATCH(JR$3,'Standards for Conversions'!$A$47:$A$73,0)))=0,"",JS138/(INDEX('Standards for Conversions'!$H$47:$H$73,MATCH(JR$3,'Standards for Conversions'!$A$47:$A$73,0))))</f>
        <v/>
      </c>
      <c r="JU138" s="33" t="s">
        <v>40</v>
      </c>
      <c r="JV138" s="29">
        <v>30</v>
      </c>
      <c r="JW138" s="29">
        <v>4500</v>
      </c>
      <c r="JX138" s="31">
        <f>IF(JW138/(INDEX('Standards for Conversions'!$H$47:$H$73,MATCH(JV$3,'Standards for Conversions'!$A$47:$A$73,0)))=0,"",JW138/(INDEX('Standards for Conversions'!$H$47:$H$73,MATCH(JV$3,'Standards for Conversions'!$A$47:$A$73,0))))</f>
        <v>686.95151592508898</v>
      </c>
      <c r="JY138" s="33" t="s">
        <v>40</v>
      </c>
      <c r="JZ138" s="29">
        <v>40</v>
      </c>
      <c r="KA138" s="29">
        <v>1200</v>
      </c>
      <c r="KB138" s="31">
        <f>IF(KA138/(INDEX('Standards for Conversions'!$H$47:$H$73,MATCH(JZ$3,'Standards for Conversions'!$A$47:$A$73,0)))=0,"",KA138/(INDEX('Standards for Conversions'!$H$47:$H$73,MATCH(JZ$3,'Standards for Conversions'!$A$47:$A$73,0))))</f>
        <v>183.18707091335708</v>
      </c>
      <c r="KC138" s="33" t="s">
        <v>40</v>
      </c>
      <c r="KF138" s="31" t="str">
        <f>IF(KE138/(INDEX('Standards for Conversions'!$H$47:$H$73,MATCH(KD$3,'Standards for Conversions'!$A$47:$A$73,0)))=0,"",KE138/(INDEX('Standards for Conversions'!$H$47:$H$73,MATCH(KD$3,'Standards for Conversions'!$A$47:$A$73,0))))</f>
        <v/>
      </c>
      <c r="KG138" s="33" t="s">
        <v>40</v>
      </c>
      <c r="KJ138" s="31" t="str">
        <f>IF(KI138/(INDEX('Standards for Conversions'!$H$47:$H$73,MATCH(KH$3,'Standards for Conversions'!$A$47:$A$73,0)))=0,"",KI138/(INDEX('Standards for Conversions'!$H$47:$H$73,MATCH(KH$3,'Standards for Conversions'!$A$47:$A$73,0))))</f>
        <v/>
      </c>
      <c r="KK138" s="33" t="s">
        <v>40</v>
      </c>
      <c r="KL138" s="29">
        <v>20</v>
      </c>
      <c r="KM138" s="29">
        <v>3000</v>
      </c>
      <c r="KN138" s="31">
        <f>IF(KM138/(INDEX('Standards for Conversions'!$H$47:$H$73,MATCH(KL$3,'Standards for Conversions'!$A$47:$A$73,0)))=0,"",KM138/(INDEX('Standards for Conversions'!$H$47:$H$73,MATCH(KL$3,'Standards for Conversions'!$A$47:$A$73,0))))</f>
        <v>403.97703571738941</v>
      </c>
      <c r="KO138" s="33" t="s">
        <v>40</v>
      </c>
      <c r="KP138" s="29">
        <v>35</v>
      </c>
      <c r="KQ138" s="29">
        <v>1000</v>
      </c>
      <c r="KR138" s="31">
        <f>IF(KQ138/(INDEX('Standards for Conversions'!$H$47:$H$73,MATCH(KP$3,'Standards for Conversions'!$A$47:$A$73,0)))=0,"",KQ138/(INDEX('Standards for Conversions'!$H$47:$H$73,MATCH(KP$3,'Standards for Conversions'!$A$47:$A$73,0))))</f>
        <v>134.65901190579646</v>
      </c>
      <c r="KS138" s="33" t="s">
        <v>40</v>
      </c>
      <c r="KV138" s="31" t="str">
        <f>IF(KU138/(INDEX('Standards for Conversions'!$H$47:$H$73,MATCH(KT$3,'Standards for Conversions'!$A$47:$A$73,0)))=0,"",KU138/(INDEX('Standards for Conversions'!$H$47:$H$73,MATCH(KT$3,'Standards for Conversions'!$A$47:$A$73,0))))</f>
        <v/>
      </c>
      <c r="KW138" s="33" t="s">
        <v>40</v>
      </c>
      <c r="KZ138" s="31" t="str">
        <f>IF(KY138/(INDEX('Standards for Conversions'!$H$47:$H$73,MATCH(KX$3,'Standards for Conversions'!$A$47:$A$73,0)))=0,"",KY138/(INDEX('Standards for Conversions'!$H$47:$H$73,MATCH(KX$3,'Standards for Conversions'!$A$47:$A$73,0))))</f>
        <v/>
      </c>
      <c r="LA138" s="48" t="s">
        <v>40</v>
      </c>
      <c r="LB138" s="29">
        <v>3</v>
      </c>
      <c r="LC138" s="29">
        <v>420</v>
      </c>
      <c r="LD138" s="31">
        <f>IF(LC138/(INDEX('Standards for Conversions'!$H$47:$H$73,MATCH(LB$3,'Standards for Conversions'!$A$47:$A$73,0)))=0,"",LC138/(INDEX('Standards for Conversions'!$H$47:$H$73,MATCH(LB$3,'Standards for Conversions'!$A$47:$A$73,0))))</f>
        <v>51.078958025549653</v>
      </c>
      <c r="LE138" s="48" t="s">
        <v>38</v>
      </c>
      <c r="LF138" s="29">
        <v>150</v>
      </c>
      <c r="LG138" s="29">
        <v>3000</v>
      </c>
      <c r="LH138" s="31">
        <f>IF(LG138/(INDEX('Standards for Conversions'!$H$47:$H$73,MATCH(LF$3,'Standards for Conversions'!$A$47:$A$73,0)))=0,"",LG138/(INDEX('Standards for Conversions'!$H$47:$H$73,MATCH(LF$3,'Standards for Conversions'!$A$47:$A$73,0))))</f>
        <v>364.84970018249754</v>
      </c>
      <c r="LL138" s="31" t="str">
        <f>IF(LK138/(INDEX('Standards for Conversions'!$H$47:$H$73,MATCH(LJ$3,'Standards for Conversions'!$A$47:$A$73,0)))=0,"",LK138/(INDEX('Standards for Conversions'!$H$47:$H$73,MATCH(LJ$3,'Standards for Conversions'!$A$47:$A$73,0))))</f>
        <v/>
      </c>
      <c r="LO138" s="31" t="str">
        <f>IF(LN138/(INDEX('Standards for Conversions'!$H$47:$H$73,MATCH(LM$3,'Standards for Conversions'!$A$47:$A$73,0)))=0,"",LN138/(INDEX('Standards for Conversions'!$H$47:$H$73,MATCH(LM$3,'Standards for Conversions'!$A$47:$A$73,0))))</f>
        <v/>
      </c>
      <c r="LR138" s="31" t="str">
        <f>IF(LQ138/(INDEX('Standards for Conversions'!$H$47:$H$73,MATCH(LP$3,'Standards for Conversions'!$A$47:$A$73,0)))=0,"",LQ138/(INDEX('Standards for Conversions'!$H$47:$H$73,MATCH(LP$3,'Standards for Conversions'!$A$47:$A$73,0))))</f>
        <v/>
      </c>
      <c r="LV138" s="31" t="str">
        <f>IF(LU138/(INDEX('Standards for Conversions'!$H$47:$H$73,MATCH(LT$3,'Standards for Conversions'!$A$47:$A$73,0)))=0,"",LU138/(INDEX('Standards for Conversions'!$H$47:$H$73,MATCH(LT$3,'Standards for Conversions'!$A$47:$A$73,0))))</f>
        <v/>
      </c>
      <c r="LY138" s="31" t="str">
        <f>IF(LX138/(INDEX('Standards for Conversions'!$H$47:$H$73,MATCH(LW$3,'Standards for Conversions'!$A$47:$A$73,0)))=0,"",LX138/(INDEX('Standards for Conversions'!$H$47:$H$73,MATCH(LW$3,'Standards for Conversions'!$A$47:$A$73,0))))</f>
        <v/>
      </c>
      <c r="MB138" s="31" t="str">
        <f>IF(MA138/(INDEX('Standards for Conversions'!$H$47:$H$73,MATCH(LZ$3,'Standards for Conversions'!$A$47:$A$73,0)))=0,"",MA138/(INDEX('Standards for Conversions'!$H$47:$H$73,MATCH(LZ$3,'Standards for Conversions'!$A$47:$A$73,0))))</f>
        <v/>
      </c>
      <c r="ME138" s="31" t="str">
        <f>IF(MD138/(INDEX('Standards for Conversions'!$H$47:$H$73,MATCH(MC$3,'Standards for Conversions'!$A$47:$A$73,0)))=0,"",MD138/(INDEX('Standards for Conversions'!$H$47:$H$73,MATCH(MC$3,'Standards for Conversions'!$A$47:$A$73,0))))</f>
        <v/>
      </c>
      <c r="MH138" s="31" t="str">
        <f>IF(MG138/(INDEX('Standards for Conversions'!$H$47:$H$73,MATCH(MF$3,'Standards for Conversions'!$A$47:$A$73,0)))=0,"",MG138/(INDEX('Standards for Conversions'!$H$47:$H$73,MATCH(MF$3,'Standards for Conversions'!$A$47:$A$73,0))))</f>
        <v/>
      </c>
      <c r="MK138" s="31" t="str">
        <f>IF(MJ138/(INDEX('Standards for Conversions'!$H$47:$H$73,MATCH(MI$3,'Standards for Conversions'!$A$47:$A$73,0)))=0,"",MJ138/(INDEX('Standards for Conversions'!$H$47:$H$73,MATCH(MI$3,'Standards for Conversions'!$A$47:$A$73,0))))</f>
        <v/>
      </c>
      <c r="MN138" s="31" t="str">
        <f>IF(MM138/(INDEX('Standards for Conversions'!$H$47:$H$73,MATCH(ML$3,'Standards for Conversions'!$A$47:$A$73,0)))=0,"",MM138/(INDEX('Standards for Conversions'!$H$47:$H$73,MATCH(ML$3,'Standards for Conversions'!$A$47:$A$73,0))))</f>
        <v/>
      </c>
      <c r="MR138" s="31" t="str">
        <f>IF(MQ138/(INDEX('Standards for Conversions'!$H$47:$H$73,MATCH(MP$3,'Standards for Conversions'!$A$47:$A$73,0)))=0,"",MQ138/(INDEX('Standards for Conversions'!$H$47:$H$73,MATCH(MP$3,'Standards for Conversions'!$A$47:$A$73,0))))</f>
        <v/>
      </c>
    </row>
    <row r="139" spans="1:356" hidden="1" x14ac:dyDescent="0.3">
      <c r="A139" s="103" t="s">
        <v>304</v>
      </c>
      <c r="B139" s="10" t="s">
        <v>42</v>
      </c>
      <c r="C139" s="7"/>
      <c r="D139" s="7"/>
      <c r="E139" s="31" t="str">
        <f>IF(D139/(INDEX('Standards for Conversions'!$H$34:$H$73,MATCH(C$3,'Standards for Conversions'!$A$34:$A$73,0)))=0,"",D139/(INDEX('Standards for Conversions'!$H$34:$H$73,MATCH(C$3,'Standards for Conversions'!$A$34:$A$73,0))))</f>
        <v/>
      </c>
      <c r="F139" s="10" t="s">
        <v>42</v>
      </c>
      <c r="G139" s="7"/>
      <c r="H139" s="7"/>
      <c r="I139" s="31" t="str">
        <f>IF(H139/(INDEX('Standards for Conversions'!$H$34:$H$73,MATCH(G$3,'Standards for Conversions'!$A$34:$A$73,0)))=0,"",H139/(INDEX('Standards for Conversions'!$H$34:$H$73,MATCH(G$3,'Standards for Conversions'!$A$34:$A$73,0))))</f>
        <v/>
      </c>
      <c r="J139" s="10" t="s">
        <v>42</v>
      </c>
      <c r="K139" s="9"/>
      <c r="L139" s="9"/>
      <c r="M139" s="31" t="str">
        <f>IF(L139/(INDEX('Standards for Conversions'!$H$34:$H$73,MATCH(K$3,'Standards for Conversions'!$A$34:$A$73,0)))=0,"",L139/(INDEX('Standards for Conversions'!$H$34:$H$73,MATCH(K$3,'Standards for Conversions'!$A$34:$A$73,0))))</f>
        <v/>
      </c>
      <c r="N139" s="10" t="s">
        <v>42</v>
      </c>
      <c r="O139" s="7"/>
      <c r="P139" s="7"/>
      <c r="Q139" s="31" t="str">
        <f>IF(P139/(INDEX('Standards for Conversions'!$H$34:$H$73,MATCH(O$3,'Standards for Conversions'!$A$34:$A$73,0)))=0,"",P139/(INDEX('Standards for Conversions'!$H$34:$H$73,MATCH(O$3,'Standards for Conversions'!$A$34:$A$73,0))))</f>
        <v/>
      </c>
      <c r="R139" s="10" t="s">
        <v>42</v>
      </c>
      <c r="S139" s="7"/>
      <c r="T139" s="7"/>
      <c r="U139" s="31" t="str">
        <f>IF(T139/(INDEX('Standards for Conversions'!$H$34:$H$73,MATCH(S$3,'Standards for Conversions'!$A$34:$A$73,0)))=0,"",T139/(INDEX('Standards for Conversions'!$H$34:$H$73,MATCH(S$3,'Standards for Conversions'!$A$34:$A$73,0))))</f>
        <v/>
      </c>
      <c r="V139" s="10" t="s">
        <v>42</v>
      </c>
      <c r="W139" s="7"/>
      <c r="X139" s="7"/>
      <c r="Y139" s="31" t="str">
        <f>IF(X139/(INDEX('Standards for Conversions'!$H$34:$H$73,MATCH(W$3,'Standards for Conversions'!$A$34:$A$73,0)))=0,"",X139/(INDEX('Standards for Conversions'!$H$34:$H$73,MATCH(W$3,'Standards for Conversions'!$A$34:$A$73,0))))</f>
        <v/>
      </c>
      <c r="Z139" s="10" t="s">
        <v>42</v>
      </c>
      <c r="AA139" s="9"/>
      <c r="AB139" s="9"/>
      <c r="AC139" s="31" t="str">
        <f>IF(AB139/(INDEX('Standards for Conversions'!$H$34:$H$73,MATCH(AA$3,'Standards for Conversions'!$A$34:$A$73,0)))=0,"",AB139/(INDEX('Standards for Conversions'!$H$34:$H$73,MATCH(AA$3,'Standards for Conversions'!$A$34:$A$73,0))))</f>
        <v/>
      </c>
      <c r="AD139" s="10" t="s">
        <v>42</v>
      </c>
      <c r="AE139" s="7"/>
      <c r="AF139" s="7"/>
      <c r="AG139" s="31" t="str">
        <f>IF(AF139/(INDEX('Standards for Conversions'!$H$34:$H$73,MATCH(AE$3,'Standards for Conversions'!$A$34:$A$73,0)))=0,"",AF139/(INDEX('Standards for Conversions'!$H$34:$H$73,MATCH(AE$3,'Standards for Conversions'!$A$34:$A$73,0))))</f>
        <v/>
      </c>
      <c r="AH139" s="10" t="s">
        <v>42</v>
      </c>
      <c r="AI139" s="7"/>
      <c r="AJ139" s="7"/>
      <c r="AK139" s="31" t="str">
        <f>IF(AJ139/(INDEX('Standards for Conversions'!$H$34:$H$73,MATCH(AI$3,'Standards for Conversions'!$A$34:$A$73,0)))=0,"",AJ139/(INDEX('Standards for Conversions'!$H$34:$H$73,MATCH(AI$3,'Standards for Conversions'!$A$34:$A$73,0))))</f>
        <v/>
      </c>
      <c r="AL139" s="10" t="s">
        <v>42</v>
      </c>
      <c r="AM139" s="7"/>
      <c r="AN139" s="7"/>
      <c r="AO139" s="31" t="str">
        <f>IF(AN139/(INDEX('Standards for Conversions'!$H$34:$H$73,MATCH(AM$3,'Standards for Conversions'!$A$34:$A$73,0)))=0,"",AN139/(INDEX('Standards for Conversions'!$H$34:$H$73,MATCH(AM$3,'Standards for Conversions'!$A$34:$A$73,0))))</f>
        <v/>
      </c>
      <c r="AP139" s="10" t="s">
        <v>42</v>
      </c>
      <c r="AQ139" s="9"/>
      <c r="AR139" s="9"/>
      <c r="AS139" s="31" t="str">
        <f>IF(AR139/(INDEX('Standards for Conversions'!$H$34:$H$73,MATCH(AQ$3,'Standards for Conversions'!$A$34:$A$73,0)))=0,"",AR139/(INDEX('Standards for Conversions'!$H$34:$H$73,MATCH(AQ$3,'Standards for Conversions'!$A$34:$A$73,0))))</f>
        <v/>
      </c>
      <c r="AT139" s="10" t="s">
        <v>42</v>
      </c>
      <c r="AU139" s="7"/>
      <c r="AV139" s="7"/>
      <c r="AW139" s="31" t="str">
        <f>IF(AV139/(INDEX('Standards for Conversions'!$H$34:$H$73,MATCH(AU$3,'Standards for Conversions'!$A$34:$A$73,0)))=0,"",AV139/(INDEX('Standards for Conversions'!$H$34:$H$73,MATCH(AU$3,'Standards for Conversions'!$A$34:$A$73,0))))</f>
        <v/>
      </c>
      <c r="AX139" s="10" t="s">
        <v>42</v>
      </c>
      <c r="AY139" s="7"/>
      <c r="AZ139" s="7"/>
      <c r="BA139" s="31" t="str">
        <f>IF(AZ139/(INDEX('Standards for Conversions'!$H$34:$H$73,MATCH(AY$3,'Standards for Conversions'!$A$34:$A$73,0)))=0,"",AZ139/(INDEX('Standards for Conversions'!$H$34:$H$73,MATCH(AY$3,'Standards for Conversions'!$A$34:$A$73,0))))</f>
        <v/>
      </c>
      <c r="BB139" s="10" t="s">
        <v>42</v>
      </c>
      <c r="BC139" s="7"/>
      <c r="BD139" s="7"/>
      <c r="BE139" s="31" t="str">
        <f>IF(BD139/(INDEX('Standards for Conversions'!$H$34:$H$73,MATCH(BC$3,'Standards for Conversions'!$A$34:$A$73,0)))=0,"",BD139/(INDEX('Standards for Conversions'!$H$34:$H$73,MATCH(BC$3,'Standards for Conversions'!$A$34:$A$73,0))))</f>
        <v/>
      </c>
      <c r="BF139" s="10" t="s">
        <v>42</v>
      </c>
      <c r="BG139" s="9"/>
      <c r="BH139" s="9"/>
      <c r="BI139" s="31" t="str">
        <f>IF(BH139/(INDEX('Standards for Conversions'!$H$34:$H$73,MATCH(BG$3,'Standards for Conversions'!$A$34:$A$73,0)))=0,"",BH139/(INDEX('Standards for Conversions'!$H$34:$H$73,MATCH(BG$3,'Standards for Conversions'!$A$34:$A$73,0))))</f>
        <v/>
      </c>
      <c r="BJ139" s="10" t="s">
        <v>42</v>
      </c>
      <c r="BK139" s="7"/>
      <c r="BL139" s="7"/>
      <c r="BM139" s="31" t="str">
        <f>IF(BL139/(INDEX('Standards for Conversions'!$H$34:$H$73,MATCH(BK$3,'Standards for Conversions'!$A$34:$A$73,0)))=0,"",BL139/(INDEX('Standards for Conversions'!$H$34:$H$73,MATCH(BK$3,'Standards for Conversions'!$A$34:$A$73,0))))</f>
        <v/>
      </c>
      <c r="BN139" s="10" t="s">
        <v>42</v>
      </c>
      <c r="BO139" s="7"/>
      <c r="BP139" s="7"/>
      <c r="BQ139" s="31" t="str">
        <f>IF(BP139/(INDEX('Standards for Conversions'!$H$34:$H$73,MATCH(BO$3,'Standards for Conversions'!$A$34:$A$73,0)))=0,"",BP139/(INDEX('Standards for Conversions'!$H$34:$H$73,MATCH(BO$3,'Standards for Conversions'!$A$34:$A$73,0))))</f>
        <v/>
      </c>
      <c r="BR139" s="10" t="s">
        <v>42</v>
      </c>
      <c r="BS139" s="7"/>
      <c r="BT139" s="7"/>
      <c r="BU139" s="31" t="str">
        <f>IF(BT139/(INDEX('Standards for Conversions'!$H$34:$H$73,MATCH(BS$3,'Standards for Conversions'!$A$34:$A$73,0)))=0,"",BT139/(INDEX('Standards for Conversions'!$H$34:$H$73,MATCH(BS$3,'Standards for Conversions'!$A$34:$A$73,0))))</f>
        <v/>
      </c>
      <c r="BV139" s="10" t="s">
        <v>42</v>
      </c>
      <c r="BW139" s="9"/>
      <c r="BX139" s="9"/>
      <c r="BY139" s="31" t="str">
        <f>IF(BX139/(INDEX('Standards for Conversions'!$H$34:$H$73,MATCH(BW$3,'Standards for Conversions'!$A$34:$A$73,0)))=0,"",BX139/(INDEX('Standards for Conversions'!$H$34:$H$73,MATCH(BW$3,'Standards for Conversions'!$A$34:$A$73,0))))</f>
        <v/>
      </c>
      <c r="BZ139" s="10" t="s">
        <v>42</v>
      </c>
      <c r="CA139" s="7"/>
      <c r="CB139" s="7"/>
      <c r="CC139" s="31" t="str">
        <f>IF(CB139/(INDEX('Standards for Conversions'!$H$34:$H$73,MATCH(CA$3,'Standards for Conversions'!$A$34:$A$73,0)))=0,"",CB139/(INDEX('Standards for Conversions'!$H$34:$H$73,MATCH(CA$3,'Standards for Conversions'!$A$34:$A$73,0))))</f>
        <v/>
      </c>
      <c r="CD139" s="10" t="s">
        <v>42</v>
      </c>
      <c r="CE139" s="7"/>
      <c r="CF139" s="7"/>
      <c r="CG139" s="31" t="str">
        <f>IF(CF139/(INDEX('Standards for Conversions'!$H$34:$H$73,MATCH(CE$3,'Standards for Conversions'!$A$34:$A$73,0)))=0,"",CF139/(INDEX('Standards for Conversions'!$H$34:$H$73,MATCH(CE$3,'Standards for Conversions'!$A$34:$A$73,0))))</f>
        <v/>
      </c>
      <c r="CH139" s="10" t="s">
        <v>42</v>
      </c>
      <c r="CI139" s="7"/>
      <c r="CJ139" s="7"/>
      <c r="CK139" s="31" t="str">
        <f>IF(CJ139/(INDEX('Standards for Conversions'!$H$34:$H$73,MATCH(CI$3,'Standards for Conversions'!$A$34:$A$73,0)))=0,"",CJ139/(INDEX('Standards for Conversions'!$H$34:$H$73,MATCH(CI$3,'Standards for Conversions'!$A$34:$A$73,0))))</f>
        <v/>
      </c>
      <c r="CL139" s="10" t="s">
        <v>42</v>
      </c>
      <c r="CM139" s="9"/>
      <c r="CN139" s="9"/>
      <c r="CO139" s="31" t="str">
        <f>IF(CN139/(INDEX('Standards for Conversions'!$H$34:$H$73,MATCH(CM$3,'Standards for Conversions'!$A$34:$A$73,0)))=0,"",CN139/(INDEX('Standards for Conversions'!$H$34:$H$73,MATCH(CM$3,'Standards for Conversions'!$A$34:$A$73,0))))</f>
        <v/>
      </c>
      <c r="CP139" s="10" t="s">
        <v>42</v>
      </c>
      <c r="CQ139" s="7"/>
      <c r="CR139" s="7"/>
      <c r="CS139" s="31" t="str">
        <f>IF(CR139/(INDEX('Standards for Conversions'!$H$34:$H$73,MATCH(CQ$3,'Standards for Conversions'!$A$34:$A$73,0)))=0,"",CR139/(INDEX('Standards for Conversions'!$H$34:$H$73,MATCH(CQ$3,'Standards for Conversions'!$A$34:$A$73,0))))</f>
        <v/>
      </c>
      <c r="CT139" s="10" t="s">
        <v>42</v>
      </c>
      <c r="CU139" s="7"/>
      <c r="CV139" s="7"/>
      <c r="CW139" s="31" t="str">
        <f>IF(CV139/(INDEX('Standards for Conversions'!$H$34:$H$73,MATCH(CU$3,'Standards for Conversions'!$A$34:$A$73,0)))=0,"",CV139/(INDEX('Standards for Conversions'!$H$34:$H$73,MATCH(CU$3,'Standards for Conversions'!$A$34:$A$73,0))))</f>
        <v/>
      </c>
      <c r="CX139" s="10" t="s">
        <v>42</v>
      </c>
      <c r="CY139" s="7"/>
      <c r="CZ139" s="7"/>
      <c r="DA139" s="31" t="str">
        <f>IF(CZ139/(INDEX('Standards for Conversions'!$H$34:$H$73,MATCH(CY$3,'Standards for Conversions'!$A$34:$A$73,0)))=0,"",CZ139/(INDEX('Standards for Conversions'!$H$34:$H$73,MATCH(CY$3,'Standards for Conversions'!$A$34:$A$73,0))))</f>
        <v/>
      </c>
      <c r="DB139" s="10" t="s">
        <v>42</v>
      </c>
      <c r="DC139" s="9"/>
      <c r="DD139" s="9"/>
      <c r="DE139" s="31" t="str">
        <f>IF(DD139/(INDEX('Standards for Conversions'!$H$34:$H$73,MATCH(DC$3,'Standards for Conversions'!$A$34:$A$73,0)))=0,"",DD139/(INDEX('Standards for Conversions'!$H$34:$H$73,MATCH(DC$3,'Standards for Conversions'!$A$34:$A$73,0))))</f>
        <v/>
      </c>
      <c r="DF139" s="10" t="s">
        <v>42</v>
      </c>
      <c r="DG139" s="7"/>
      <c r="DH139" s="7"/>
      <c r="DI139" s="31" t="str">
        <f>IF(DH139/(INDEX('Standards for Conversions'!$H$34:$H$73,MATCH(DG$3,'Standards for Conversions'!$A$34:$A$73,0)))=0,"",DH139/(INDEX('Standards for Conversions'!$H$34:$H$73,MATCH(DG$3,'Standards for Conversions'!$A$34:$A$73,0))))</f>
        <v/>
      </c>
      <c r="DJ139" s="10" t="s">
        <v>42</v>
      </c>
      <c r="DK139" s="7"/>
      <c r="DL139" s="7"/>
      <c r="DM139" s="31" t="str">
        <f>IF(DL139/(INDEX('Standards for Conversions'!$H$34:$H$73,MATCH(DK$3,'Standards for Conversions'!$A$34:$A$73,0)))=0,"",DL139/(INDEX('Standards for Conversions'!$H$34:$H$73,MATCH(DK$3,'Standards for Conversions'!$A$34:$A$73,0))))</f>
        <v/>
      </c>
      <c r="DN139" s="10" t="s">
        <v>42</v>
      </c>
      <c r="DO139" s="7"/>
      <c r="DP139" s="7"/>
      <c r="DQ139" s="31" t="str">
        <f>IF(DP139/(INDEX('Standards for Conversions'!$H$34:$H$73,MATCH(DO$3,'Standards for Conversions'!$A$34:$A$73,0)))=0,"",DP139/(INDEX('Standards for Conversions'!$H$34:$H$73,MATCH(DO$3,'Standards for Conversions'!$A$34:$A$73,0))))</f>
        <v/>
      </c>
      <c r="DR139" s="10" t="s">
        <v>42</v>
      </c>
      <c r="DS139" s="9"/>
      <c r="DT139" s="9"/>
      <c r="DU139" s="31" t="str">
        <f>IF(DT139/(INDEX('Standards for Conversions'!$H$34:$H$73,MATCH(DS$3,'Standards for Conversions'!$A$34:$A$73,0)))=0,"",DT139/(INDEX('Standards for Conversions'!$H$34:$H$73,MATCH(DS$3,'Standards for Conversions'!$A$34:$A$73,0))))</f>
        <v/>
      </c>
      <c r="DV139" s="10" t="s">
        <v>42</v>
      </c>
      <c r="DW139" s="7"/>
      <c r="DX139" s="7"/>
      <c r="DY139" s="31" t="str">
        <f>IF(DX139/(INDEX('Standards for Conversions'!$H$34:$H$73,MATCH(DW$3,'Standards for Conversions'!$A$34:$A$73,0)))=0,"",DX139/(INDEX('Standards for Conversions'!$H$34:$H$73,MATCH(DW$3,'Standards for Conversions'!$A$34:$A$73,0))))</f>
        <v/>
      </c>
      <c r="DZ139" s="10" t="s">
        <v>42</v>
      </c>
      <c r="EA139" s="7"/>
      <c r="EB139" s="7"/>
      <c r="EC139" s="31" t="str">
        <f>IF(EB139/(INDEX('Standards for Conversions'!$H$34:$H$73,MATCH(EA$3,'Standards for Conversions'!$A$34:$A$73,0)))=0,"",EB139/(INDEX('Standards for Conversions'!$H$34:$H$73,MATCH(EA$3,'Standards for Conversions'!$A$34:$A$73,0))))</f>
        <v/>
      </c>
      <c r="ED139" s="10" t="s">
        <v>42</v>
      </c>
      <c r="EE139" s="7"/>
      <c r="EF139" s="7"/>
      <c r="EG139" s="31" t="str">
        <f>IF(EF139/(INDEX('Standards for Conversions'!$H$34:$H$73,MATCH(EE$3,'Standards for Conversions'!$A$34:$A$73,0)))=0,"",EF139/(INDEX('Standards for Conversions'!$H$34:$H$73,MATCH(EE$3,'Standards for Conversions'!$A$34:$A$73,0))))</f>
        <v/>
      </c>
      <c r="EH139" s="10" t="s">
        <v>42</v>
      </c>
      <c r="EI139" s="9"/>
      <c r="EJ139" s="9"/>
      <c r="EK139" s="31" t="str">
        <f>IF(EJ139/(INDEX('Standards for Conversions'!$H$34:$H$73,MATCH(EI$3,'Standards for Conversions'!$A$34:$A$73,0)))=0,"",EJ139/(INDEX('Standards for Conversions'!$H$34:$H$73,MATCH(EI$3,'Standards for Conversions'!$A$34:$A$73,0))))</f>
        <v/>
      </c>
      <c r="EL139" s="10" t="s">
        <v>42</v>
      </c>
      <c r="EM139" s="7"/>
      <c r="EN139" s="7"/>
      <c r="EO139" s="31" t="str">
        <f>IF(EN139/(INDEX('Standards for Conversions'!$H$34:$H$73,MATCH(EM$3,'Standards for Conversions'!$A$34:$A$73,0)))=0,"",EN139/(INDEX('Standards for Conversions'!$H$34:$H$73,MATCH(EM$3,'Standards for Conversions'!$A$34:$A$73,0))))</f>
        <v/>
      </c>
      <c r="EP139" s="10" t="s">
        <v>42</v>
      </c>
      <c r="EQ139" s="7"/>
      <c r="ER139" s="7"/>
      <c r="ES139" s="31" t="str">
        <f>IF(ER139/(INDEX('Standards for Conversions'!$H$34:$H$73,MATCH(EQ$3,'Standards for Conversions'!$A$34:$A$73,0)))=0,"",ER139/(INDEX('Standards for Conversions'!$H$34:$H$73,MATCH(EQ$3,'Standards for Conversions'!$A$34:$A$73,0))))</f>
        <v/>
      </c>
      <c r="ET139" s="10" t="s">
        <v>42</v>
      </c>
      <c r="EU139" s="7"/>
      <c r="EV139" s="7"/>
      <c r="EW139" s="31" t="str">
        <f>IF(EV139/(INDEX('Standards for Conversions'!$H$34:$H$73,MATCH(EU$3,'Standards for Conversions'!$A$34:$A$73,0)))=0,"",EV139/(INDEX('Standards for Conversions'!$H$34:$H$73,MATCH(EU$3,'Standards for Conversions'!$A$34:$A$73,0))))</f>
        <v/>
      </c>
      <c r="EX139" s="10" t="s">
        <v>42</v>
      </c>
      <c r="EY139" s="9"/>
      <c r="EZ139" s="9"/>
      <c r="FA139" s="31" t="str">
        <f>IF(EZ139/(INDEX('Standards for Conversions'!$H$34:$H$73,MATCH(EY$3,'Standards for Conversions'!$A$34:$A$73,0)))=0,"",EZ139/(INDEX('Standards for Conversions'!$H$34:$H$73,MATCH(EY$3,'Standards for Conversions'!$A$34:$A$73,0))))</f>
        <v/>
      </c>
      <c r="FB139" s="10" t="s">
        <v>42</v>
      </c>
      <c r="FC139" s="7"/>
      <c r="FD139" s="7"/>
      <c r="FE139" s="31" t="str">
        <f>IF(FD139/(INDEX('Standards for Conversions'!$H$34:$H$73,MATCH(FC$3,'Standards for Conversions'!$A$34:$A$73,0)))=0,"",FD139/(INDEX('Standards for Conversions'!$H$34:$H$73,MATCH(FC$3,'Standards for Conversions'!$A$34:$A$73,0))))</f>
        <v/>
      </c>
      <c r="FF139" s="10" t="s">
        <v>42</v>
      </c>
      <c r="FG139" s="7"/>
      <c r="FH139" s="7"/>
      <c r="FI139" s="31" t="str">
        <f>IF(FH139/(INDEX('Standards for Conversions'!$H$34:$H$73,MATCH(FG$3,'Standards for Conversions'!$A$34:$A$73,0)))=0,"",FH139/(INDEX('Standards for Conversions'!$H$34:$H$73,MATCH(FG$3,'Standards for Conversions'!$A$34:$A$73,0))))</f>
        <v/>
      </c>
      <c r="FJ139" s="10" t="s">
        <v>42</v>
      </c>
      <c r="FK139" s="7"/>
      <c r="FL139" s="7"/>
      <c r="FM139" s="31" t="str">
        <f>IF(FL139/(INDEX('Standards for Conversions'!$H$34:$H$73,MATCH(FK$3,'Standards for Conversions'!$A$34:$A$73,0)))=0,"",FL139/(INDEX('Standards for Conversions'!$H$34:$H$73,MATCH(FK$3,'Standards for Conversions'!$A$34:$A$73,0))))</f>
        <v/>
      </c>
      <c r="FN139" s="10" t="s">
        <v>42</v>
      </c>
      <c r="FO139" s="9"/>
      <c r="FP139" s="9"/>
      <c r="FQ139" s="31" t="str">
        <f>IF(FP139/(INDEX('Standards for Conversions'!$H$34:$H$73,MATCH(FO$3,'Standards for Conversions'!$A$34:$A$73,0)))=0,"",FP139/(INDEX('Standards for Conversions'!$H$34:$H$73,MATCH(FO$3,'Standards for Conversions'!$A$34:$A$73,0))))</f>
        <v/>
      </c>
      <c r="FR139" s="10" t="s">
        <v>42</v>
      </c>
      <c r="FS139" s="7"/>
      <c r="FT139" s="7"/>
      <c r="FU139" s="31" t="str">
        <f>IF(FT139/(INDEX('Standards for Conversions'!$H$34:$H$73,MATCH(FS$3,'Standards for Conversions'!$A$34:$A$73,0)))=0,"",FT139/(INDEX('Standards for Conversions'!$H$34:$H$73,MATCH(FS$3,'Standards for Conversions'!$A$34:$A$73,0))))</f>
        <v/>
      </c>
      <c r="FV139" s="10" t="s">
        <v>42</v>
      </c>
      <c r="FW139" s="7"/>
      <c r="FX139" s="7"/>
      <c r="FY139" s="31" t="str">
        <f>IF(FX139/(INDEX('Standards for Conversions'!$H$34:$H$73,MATCH(FW$3,'Standards for Conversions'!$A$34:$A$73,0)))=0,"",FX139/(INDEX('Standards for Conversions'!$H$34:$H$73,MATCH(FW$3,'Standards for Conversions'!$A$34:$A$73,0))))</f>
        <v/>
      </c>
      <c r="FZ139" s="10" t="s">
        <v>42</v>
      </c>
      <c r="GA139" s="7"/>
      <c r="GB139" s="7"/>
      <c r="GC139" s="31" t="str">
        <f>IF(GB139/(INDEX('Standards for Conversions'!$H$34:$H$73,MATCH(GA$3,'Standards for Conversions'!$A$34:$A$73,0)))=0,"",GB139/(INDEX('Standards for Conversions'!$H$34:$H$73,MATCH(GA$3,'Standards for Conversions'!$A$34:$A$73,0))))</f>
        <v/>
      </c>
      <c r="GD139" s="10" t="s">
        <v>42</v>
      </c>
      <c r="GE139" s="9"/>
      <c r="GF139" s="9"/>
      <c r="GG139" s="31" t="str">
        <f>IF(GF139/(INDEX('Standards for Conversions'!$H$34:$H$73,MATCH(GE$3,'Standards for Conversions'!$A$34:$A$73,0)))=0,"",GF139/(INDEX('Standards for Conversions'!$H$34:$H$73,MATCH(GE$3,'Standards for Conversions'!$A$34:$A$73,0))))</f>
        <v/>
      </c>
      <c r="GH139" s="10" t="s">
        <v>42</v>
      </c>
      <c r="GI139" s="7"/>
      <c r="GJ139" s="7"/>
      <c r="GK139" s="31" t="str">
        <f>IF(GJ139/(INDEX('Standards for Conversions'!$H$34:$H$73,MATCH(GI$3,'Standards for Conversions'!$A$34:$A$73,0)))=0,"",GJ139/(INDEX('Standards for Conversions'!$H$34:$H$73,MATCH(GI$3,'Standards for Conversions'!$A$34:$A$73,0))))</f>
        <v/>
      </c>
      <c r="GL139" s="10" t="s">
        <v>42</v>
      </c>
      <c r="GM139" s="7"/>
      <c r="GN139" s="7"/>
      <c r="GO139" s="31" t="str">
        <f>IF(GN139/(INDEX('Standards for Conversions'!$H$34:$H$73,MATCH(GM$3,'Standards for Conversions'!$A$34:$A$73,0)))=0,"",GN139/(INDEX('Standards for Conversions'!$H$34:$H$73,MATCH(GM$3,'Standards for Conversions'!$A$34:$A$73,0))))</f>
        <v/>
      </c>
      <c r="GP139" s="10" t="s">
        <v>42</v>
      </c>
      <c r="GQ139" s="7"/>
      <c r="GR139" s="7"/>
      <c r="GS139" s="31" t="str">
        <f>IF(GR139/(INDEX('Standards for Conversions'!$H$34:$H$73,MATCH(GQ$3,'Standards for Conversions'!$A$34:$A$73,0)))=0,"",GR139/(INDEX('Standards for Conversions'!$H$34:$H$73,MATCH(GQ$3,'Standards for Conversions'!$A$34:$A$73,0))))</f>
        <v/>
      </c>
      <c r="GT139" s="10" t="s">
        <v>42</v>
      </c>
      <c r="GU139" s="9"/>
      <c r="GV139" s="9"/>
      <c r="GW139" s="31" t="str">
        <f>IF(GV139/(INDEX('Standards for Conversions'!$H$34:$H$73,MATCH(GU$3,'Standards for Conversions'!$A$34:$A$73,0)))=0,"",GV139/(INDEX('Standards for Conversions'!$H$34:$H$73,MATCH(GU$3,'Standards for Conversions'!$A$34:$A$73,0))))</f>
        <v/>
      </c>
      <c r="GX139" s="10" t="s">
        <v>42</v>
      </c>
      <c r="GY139" s="7"/>
      <c r="GZ139" s="7"/>
      <c r="HA139" s="31" t="str">
        <f>IF(GZ139/(INDEX('Standards for Conversions'!$H$34:$H$73,MATCH(GY$3,'Standards for Conversions'!$A$34:$A$73,0)))=0,"",GZ139/(INDEX('Standards for Conversions'!$H$34:$H$73,MATCH(GY$3,'Standards for Conversions'!$A$34:$A$73,0))))</f>
        <v/>
      </c>
      <c r="HB139" s="10" t="s">
        <v>42</v>
      </c>
      <c r="HC139" s="7"/>
      <c r="HD139" s="7"/>
      <c r="HE139" s="31" t="str">
        <f>IF(HD139/(INDEX('Standards for Conversions'!$H$34:$H$73,MATCH(HC$3,'Standards for Conversions'!$A$34:$A$73,0)))=0,"",HD139/(INDEX('Standards for Conversions'!$H$34:$H$73,MATCH(HC$3,'Standards for Conversions'!$A$34:$A$73,0))))</f>
        <v/>
      </c>
      <c r="HF139" s="10" t="s">
        <v>42</v>
      </c>
      <c r="HG139" s="7"/>
      <c r="HH139" s="7"/>
      <c r="HI139" s="31" t="str">
        <f>IF(HH139/(INDEX('Standards for Conversions'!$H$34:$H$73,MATCH(HG$3,'Standards for Conversions'!$A$34:$A$73,0)))=0,"",HH139/(INDEX('Standards for Conversions'!$H$34:$H$73,MATCH(HG$3,'Standards for Conversions'!$A$34:$A$73,0))))</f>
        <v/>
      </c>
      <c r="HJ139" s="10" t="s">
        <v>42</v>
      </c>
      <c r="HK139" s="9"/>
      <c r="HL139" s="9"/>
      <c r="HM139" s="31" t="str">
        <f>IF(HL139/(INDEX('Standards for Conversions'!$H$34:$H$73,MATCH(HK$3,'Standards for Conversions'!$A$34:$A$73,0)))=0,"",HL139/(INDEX('Standards for Conversions'!$H$34:$H$73,MATCH(HK$3,'Standards for Conversions'!$A$34:$A$73,0))))</f>
        <v/>
      </c>
      <c r="HN139" s="10" t="s">
        <v>42</v>
      </c>
      <c r="HO139" s="7"/>
      <c r="HP139" s="7"/>
      <c r="HQ139" s="31" t="str">
        <f>IF(HP139/(INDEX('Standards for Conversions'!$H$34:$H$73,MATCH(HO$3,'Standards for Conversions'!$A$34:$A$73,0)))=0,"",HP139/(INDEX('Standards for Conversions'!$H$34:$H$73,MATCH(HO$3,'Standards for Conversions'!$A$34:$A$73,0))))</f>
        <v/>
      </c>
      <c r="HR139" s="33" t="s">
        <v>42</v>
      </c>
      <c r="HU139" s="31" t="str">
        <f>IF(HT139/(INDEX('Standards for Conversions'!$H$47:$H$73,MATCH(HS$3,'Standards for Conversions'!$A$47:$A$73,0)))=0,"",HT139/(INDEX('Standards for Conversions'!$H$47:$H$73,MATCH(HS$3,'Standards for Conversions'!$A$47:$A$73,0))))</f>
        <v/>
      </c>
      <c r="HV139" s="33" t="s">
        <v>42</v>
      </c>
      <c r="HY139" s="31" t="str">
        <f>IF(HX139/(INDEX('Standards for Conversions'!$H$47:$H$73,MATCH(HW$3,'Standards for Conversions'!$A$47:$A$73,0)))=0,"",HX139/(INDEX('Standards for Conversions'!$H$47:$H$73,MATCH(HW$3,'Standards for Conversions'!$A$47:$A$73,0))))</f>
        <v/>
      </c>
      <c r="HZ139" s="33"/>
      <c r="IA139" s="33"/>
      <c r="IB139" s="31" t="str">
        <f>IF(IA139/(INDEX('Standards for Conversions'!$H$47:$H$73,MATCH(HZ$3,'Standards for Conversions'!$A$47:$A$73,0)))=0,"",IA139/(INDEX('Standards for Conversions'!$H$47:$H$73,MATCH(HZ$3,'Standards for Conversions'!$A$47:$A$73,0))))</f>
        <v/>
      </c>
      <c r="IC139" s="48" t="s">
        <v>42</v>
      </c>
      <c r="ID139" s="29">
        <v>9</v>
      </c>
      <c r="IE139" s="29">
        <v>150</v>
      </c>
      <c r="IF139" s="31">
        <f>IF(IE139/(INDEX('Standards for Conversions'!$H$47:$H$73,MATCH(ID$3,'Standards for Conversions'!$A$47:$A$73,0)))=0,"",IE139/(INDEX('Standards for Conversions'!$H$47:$H$73,MATCH(ID$3,'Standards for Conversions'!$A$47:$A$73,0))))</f>
        <v>21.786811831928393</v>
      </c>
      <c r="IG139" s="33" t="s">
        <v>42</v>
      </c>
      <c r="IJ139" s="31" t="str">
        <f>IF(II139/(INDEX('Standards for Conversions'!$H$47:$H$73,MATCH(IH$3,'Standards for Conversions'!$A$47:$A$73,0)))=0,"",II139/(INDEX('Standards for Conversions'!$H$47:$H$73,MATCH(IH$3,'Standards for Conversions'!$A$47:$A$73,0))))</f>
        <v/>
      </c>
      <c r="IK139" s="33" t="s">
        <v>42</v>
      </c>
      <c r="IN139" s="31" t="str">
        <f>IF(IM139/(INDEX('Standards for Conversions'!$H$47:$H$73,MATCH(IL$3,'Standards for Conversions'!$A$47:$A$73,0)))=0,"",IM139/(INDEX('Standards for Conversions'!$H$47:$H$73,MATCH(IL$3,'Standards for Conversions'!$A$47:$A$73,0))))</f>
        <v/>
      </c>
      <c r="IO139" s="33" t="s">
        <v>42</v>
      </c>
      <c r="IR139" s="31" t="str">
        <f>IF(IQ139/(INDEX('Standards for Conversions'!$H$47:$H$73,MATCH(IP$3,'Standards for Conversions'!$A$47:$A$73,0)))=0,"",IQ139/(INDEX('Standards for Conversions'!$H$47:$H$73,MATCH(IP$3,'Standards for Conversions'!$A$47:$A$73,0))))</f>
        <v/>
      </c>
      <c r="IS139" s="33" t="s">
        <v>42</v>
      </c>
      <c r="IT139" s="29">
        <v>35</v>
      </c>
      <c r="IU139" s="29">
        <v>172</v>
      </c>
      <c r="IV139" s="31">
        <f>IF(IU139/(INDEX('Standards for Conversions'!$H$47:$H$73,MATCH(IT$3,'Standards for Conversions'!$A$47:$A$73,0)))=0,"",IU139/(INDEX('Standards for Conversions'!$H$47:$H$73,MATCH(IT$3,'Standards for Conversions'!$A$47:$A$73,0))))</f>
        <v>24.872959249442367</v>
      </c>
      <c r="IW139" s="33" t="s">
        <v>42</v>
      </c>
      <c r="IZ139" s="31" t="str">
        <f>IF(IY139/(INDEX('Standards for Conversions'!$H$47:$H$73,MATCH(IX$3,'Standards for Conversions'!$A$47:$A$73,0)))=0,"",IY139/(INDEX('Standards for Conversions'!$H$47:$H$73,MATCH(IX$3,'Standards for Conversions'!$A$47:$A$73,0))))</f>
        <v/>
      </c>
      <c r="JA139" s="33" t="s">
        <v>42</v>
      </c>
      <c r="JD139" s="31" t="str">
        <f>IF(JC139/(INDEX('Standards for Conversions'!$H$47:$H$73,MATCH(JB$3,'Standards for Conversions'!$A$47:$A$73,0)))=0,"",JC139/(INDEX('Standards for Conversions'!$H$47:$H$73,MATCH(JB$3,'Standards for Conversions'!$A$47:$A$73,0))))</f>
        <v/>
      </c>
      <c r="JE139" s="33" t="s">
        <v>42</v>
      </c>
      <c r="JH139" s="31" t="str">
        <f>IF(JG139/(INDEX('Standards for Conversions'!$H$47:$H$73,MATCH(JF$3,'Standards for Conversions'!$A$47:$A$73,0)))=0,"",JG139/(INDEX('Standards for Conversions'!$H$47:$H$73,MATCH(JF$3,'Standards for Conversions'!$A$47:$A$73,0))))</f>
        <v/>
      </c>
      <c r="JI139" s="48" t="s">
        <v>42</v>
      </c>
      <c r="JJ139" s="29">
        <v>20</v>
      </c>
      <c r="JK139" s="29">
        <v>120</v>
      </c>
      <c r="JL139" s="31">
        <f>IF(JK139/(INDEX('Standards for Conversions'!$H$47:$H$73,MATCH(JJ$3,'Standards for Conversions'!$A$47:$A$73,0)))=0,"",JK139/(INDEX('Standards for Conversions'!$H$47:$H$73,MATCH(JJ$3,'Standards for Conversions'!$A$47:$A$73,0))))</f>
        <v>19.411223603024244</v>
      </c>
      <c r="JM139" s="33" t="s">
        <v>42</v>
      </c>
      <c r="JP139" s="31" t="str">
        <f>IF(JO139/(INDEX('Standards for Conversions'!$H$47:$H$73,MATCH(JN$3,'Standards for Conversions'!$A$47:$A$73,0)))=0,"",JO139/(INDEX('Standards for Conversions'!$H$47:$H$73,MATCH(JN$3,'Standards for Conversions'!$A$47:$A$73,0))))</f>
        <v/>
      </c>
      <c r="JQ139" s="33" t="s">
        <v>42</v>
      </c>
      <c r="JT139" s="31" t="str">
        <f>IF(JS139/(INDEX('Standards for Conversions'!$H$47:$H$73,MATCH(JR$3,'Standards for Conversions'!$A$47:$A$73,0)))=0,"",JS139/(INDEX('Standards for Conversions'!$H$47:$H$73,MATCH(JR$3,'Standards for Conversions'!$A$47:$A$73,0))))</f>
        <v/>
      </c>
      <c r="JU139" s="33" t="s">
        <v>42</v>
      </c>
      <c r="JX139" s="31" t="str">
        <f>IF(JW139/(INDEX('Standards for Conversions'!$H$47:$H$73,MATCH(JV$3,'Standards for Conversions'!$A$47:$A$73,0)))=0,"",JW139/(INDEX('Standards for Conversions'!$H$47:$H$73,MATCH(JV$3,'Standards for Conversions'!$A$47:$A$73,0))))</f>
        <v/>
      </c>
      <c r="JY139" s="33" t="s">
        <v>42</v>
      </c>
      <c r="JZ139" s="29">
        <v>25</v>
      </c>
      <c r="KA139" s="29">
        <v>150</v>
      </c>
      <c r="KB139" s="31">
        <f>IF(KA139/(INDEX('Standards for Conversions'!$H$47:$H$73,MATCH(JZ$3,'Standards for Conversions'!$A$47:$A$73,0)))=0,"",KA139/(INDEX('Standards for Conversions'!$H$47:$H$73,MATCH(JZ$3,'Standards for Conversions'!$A$47:$A$73,0))))</f>
        <v>22.898383864169634</v>
      </c>
      <c r="KC139" s="33" t="s">
        <v>42</v>
      </c>
      <c r="KF139" s="31" t="str">
        <f>IF(KE139/(INDEX('Standards for Conversions'!$H$47:$H$73,MATCH(KD$3,'Standards for Conversions'!$A$47:$A$73,0)))=0,"",KE139/(INDEX('Standards for Conversions'!$H$47:$H$73,MATCH(KD$3,'Standards for Conversions'!$A$47:$A$73,0))))</f>
        <v/>
      </c>
      <c r="KG139" s="33" t="s">
        <v>42</v>
      </c>
      <c r="KJ139" s="31" t="str">
        <f>IF(KI139/(INDEX('Standards for Conversions'!$H$47:$H$73,MATCH(KH$3,'Standards for Conversions'!$A$47:$A$73,0)))=0,"",KI139/(INDEX('Standards for Conversions'!$H$47:$H$73,MATCH(KH$3,'Standards for Conversions'!$A$47:$A$73,0))))</f>
        <v/>
      </c>
      <c r="KK139" s="33" t="s">
        <v>42</v>
      </c>
      <c r="KN139" s="31" t="str">
        <f>IF(KM139/(INDEX('Standards for Conversions'!$H$47:$H$73,MATCH(KL$3,'Standards for Conversions'!$A$47:$A$73,0)))=0,"",KM139/(INDEX('Standards for Conversions'!$H$47:$H$73,MATCH(KL$3,'Standards for Conversions'!$A$47:$A$73,0))))</f>
        <v/>
      </c>
      <c r="KO139" s="33" t="s">
        <v>42</v>
      </c>
      <c r="KP139" s="29">
        <v>20</v>
      </c>
      <c r="KQ139" s="29">
        <v>130</v>
      </c>
      <c r="KR139" s="31">
        <f>IF(KQ139/(INDEX('Standards for Conversions'!$H$47:$H$73,MATCH(KP$3,'Standards for Conversions'!$A$47:$A$73,0)))=0,"",KQ139/(INDEX('Standards for Conversions'!$H$47:$H$73,MATCH(KP$3,'Standards for Conversions'!$A$47:$A$73,0))))</f>
        <v>17.50567154775354</v>
      </c>
      <c r="KS139" s="33" t="s">
        <v>42</v>
      </c>
      <c r="KV139" s="31" t="str">
        <f>IF(KU139/(INDEX('Standards for Conversions'!$H$47:$H$73,MATCH(KT$3,'Standards for Conversions'!$A$47:$A$73,0)))=0,"",KU139/(INDEX('Standards for Conversions'!$H$47:$H$73,MATCH(KT$3,'Standards for Conversions'!$A$47:$A$73,0))))</f>
        <v/>
      </c>
      <c r="KW139" s="33" t="s">
        <v>42</v>
      </c>
      <c r="KZ139" s="31" t="str">
        <f>IF(KY139/(INDEX('Standards for Conversions'!$H$47:$H$73,MATCH(KX$3,'Standards for Conversions'!$A$47:$A$73,0)))=0,"",KY139/(INDEX('Standards for Conversions'!$H$47:$H$73,MATCH(KX$3,'Standards for Conversions'!$A$47:$A$73,0))))</f>
        <v/>
      </c>
      <c r="LA139" s="33" t="s">
        <v>40</v>
      </c>
      <c r="LD139" s="31" t="str">
        <f>IF(LC139/(INDEX('Standards for Conversions'!$H$47:$H$73,MATCH(LB$3,'Standards for Conversions'!$A$47:$A$73,0)))=0,"",LC139/(INDEX('Standards for Conversions'!$H$47:$H$73,MATCH(LB$3,'Standards for Conversions'!$A$47:$A$73,0))))</f>
        <v/>
      </c>
      <c r="LE139" s="48" t="s">
        <v>40</v>
      </c>
      <c r="LF139" s="29">
        <v>20</v>
      </c>
      <c r="LG139" s="29">
        <v>120</v>
      </c>
      <c r="LH139" s="31">
        <f>IF(LG139/(INDEX('Standards for Conversions'!$H$47:$H$73,MATCH(LF$3,'Standards for Conversions'!$A$47:$A$73,0)))=0,"",LG139/(INDEX('Standards for Conversions'!$H$47:$H$73,MATCH(LF$3,'Standards for Conversions'!$A$47:$A$73,0))))</f>
        <v>14.593988007299901</v>
      </c>
      <c r="LL139" s="31" t="str">
        <f>IF(LK139/(INDEX('Standards for Conversions'!$H$47:$H$73,MATCH(LJ$3,'Standards for Conversions'!$A$47:$A$73,0)))=0,"",LK139/(INDEX('Standards for Conversions'!$H$47:$H$73,MATCH(LJ$3,'Standards for Conversions'!$A$47:$A$73,0))))</f>
        <v/>
      </c>
      <c r="LO139" s="31" t="str">
        <f>IF(LN139/(INDEX('Standards for Conversions'!$H$47:$H$73,MATCH(LM$3,'Standards for Conversions'!$A$47:$A$73,0)))=0,"",LN139/(INDEX('Standards for Conversions'!$H$47:$H$73,MATCH(LM$3,'Standards for Conversions'!$A$47:$A$73,0))))</f>
        <v/>
      </c>
      <c r="LR139" s="31" t="str">
        <f>IF(LQ139/(INDEX('Standards for Conversions'!$H$47:$H$73,MATCH(LP$3,'Standards for Conversions'!$A$47:$A$73,0)))=0,"",LQ139/(INDEX('Standards for Conversions'!$H$47:$H$73,MATCH(LP$3,'Standards for Conversions'!$A$47:$A$73,0))))</f>
        <v/>
      </c>
      <c r="LV139" s="31" t="str">
        <f>IF(LU139/(INDEX('Standards for Conversions'!$H$47:$H$73,MATCH(LT$3,'Standards for Conversions'!$A$47:$A$73,0)))=0,"",LU139/(INDEX('Standards for Conversions'!$H$47:$H$73,MATCH(LT$3,'Standards for Conversions'!$A$47:$A$73,0))))</f>
        <v/>
      </c>
      <c r="LY139" s="31" t="str">
        <f>IF(LX139/(INDEX('Standards for Conversions'!$H$47:$H$73,MATCH(LW$3,'Standards for Conversions'!$A$47:$A$73,0)))=0,"",LX139/(INDEX('Standards for Conversions'!$H$47:$H$73,MATCH(LW$3,'Standards for Conversions'!$A$47:$A$73,0))))</f>
        <v/>
      </c>
      <c r="MB139" s="31" t="str">
        <f>IF(MA139/(INDEX('Standards for Conversions'!$H$47:$H$73,MATCH(LZ$3,'Standards for Conversions'!$A$47:$A$73,0)))=0,"",MA139/(INDEX('Standards for Conversions'!$H$47:$H$73,MATCH(LZ$3,'Standards for Conversions'!$A$47:$A$73,0))))</f>
        <v/>
      </c>
      <c r="ME139" s="31" t="str">
        <f>IF(MD139/(INDEX('Standards for Conversions'!$H$47:$H$73,MATCH(MC$3,'Standards for Conversions'!$A$47:$A$73,0)))=0,"",MD139/(INDEX('Standards for Conversions'!$H$47:$H$73,MATCH(MC$3,'Standards for Conversions'!$A$47:$A$73,0))))</f>
        <v/>
      </c>
      <c r="MH139" s="31" t="str">
        <f>IF(MG139/(INDEX('Standards for Conversions'!$H$47:$H$73,MATCH(MF$3,'Standards for Conversions'!$A$47:$A$73,0)))=0,"",MG139/(INDEX('Standards for Conversions'!$H$47:$H$73,MATCH(MF$3,'Standards for Conversions'!$A$47:$A$73,0))))</f>
        <v/>
      </c>
      <c r="MK139" s="31" t="str">
        <f>IF(MJ139/(INDEX('Standards for Conversions'!$H$47:$H$73,MATCH(MI$3,'Standards for Conversions'!$A$47:$A$73,0)))=0,"",MJ139/(INDEX('Standards for Conversions'!$H$47:$H$73,MATCH(MI$3,'Standards for Conversions'!$A$47:$A$73,0))))</f>
        <v/>
      </c>
      <c r="MN139" s="31" t="str">
        <f>IF(MM139/(INDEX('Standards for Conversions'!$H$47:$H$73,MATCH(ML$3,'Standards for Conversions'!$A$47:$A$73,0)))=0,"",MM139/(INDEX('Standards for Conversions'!$H$47:$H$73,MATCH(ML$3,'Standards for Conversions'!$A$47:$A$73,0))))</f>
        <v/>
      </c>
      <c r="MR139" s="31" t="str">
        <f>IF(MQ139/(INDEX('Standards for Conversions'!$H$47:$H$73,MATCH(MP$3,'Standards for Conversions'!$A$47:$A$73,0)))=0,"",MQ139/(INDEX('Standards for Conversions'!$H$47:$H$73,MATCH(MP$3,'Standards for Conversions'!$A$47:$A$73,0))))</f>
        <v/>
      </c>
    </row>
    <row r="140" spans="1:356" hidden="1" x14ac:dyDescent="0.3">
      <c r="A140" s="103" t="s">
        <v>142</v>
      </c>
      <c r="B140" s="10" t="s">
        <v>44</v>
      </c>
      <c r="C140" s="7"/>
      <c r="D140" s="7"/>
      <c r="E140" s="31" t="str">
        <f>IF(D140/(INDEX('Standards for Conversions'!$H$34:$H$73,MATCH(C$3,'Standards for Conversions'!$A$34:$A$73,0)))=0,"",D140/(INDEX('Standards for Conversions'!$H$34:$H$73,MATCH(C$3,'Standards for Conversions'!$A$34:$A$73,0))))</f>
        <v/>
      </c>
      <c r="F140" s="6" t="s">
        <v>44</v>
      </c>
      <c r="G140" s="7"/>
      <c r="H140" s="7"/>
      <c r="I140" s="31" t="str">
        <f>IF(H140/(INDEX('Standards for Conversions'!$H$34:$H$73,MATCH(G$3,'Standards for Conversions'!$A$34:$A$73,0)))=0,"",H140/(INDEX('Standards for Conversions'!$H$34:$H$73,MATCH(G$3,'Standards for Conversions'!$A$34:$A$73,0))))</f>
        <v/>
      </c>
      <c r="J140" s="6" t="s">
        <v>44</v>
      </c>
      <c r="K140" s="7"/>
      <c r="L140" s="7"/>
      <c r="M140" s="31" t="str">
        <f>IF(L140/(INDEX('Standards for Conversions'!$H$34:$H$73,MATCH(K$3,'Standards for Conversions'!$A$34:$A$73,0)))=0,"",L140/(INDEX('Standards for Conversions'!$H$34:$H$73,MATCH(K$3,'Standards for Conversions'!$A$34:$A$73,0))))</f>
        <v/>
      </c>
      <c r="N140" s="10" t="s">
        <v>44</v>
      </c>
      <c r="O140" s="7"/>
      <c r="P140" s="7"/>
      <c r="Q140" s="31" t="str">
        <f>IF(P140/(INDEX('Standards for Conversions'!$H$34:$H$73,MATCH(O$3,'Standards for Conversions'!$A$34:$A$73,0)))=0,"",P140/(INDEX('Standards for Conversions'!$H$34:$H$73,MATCH(O$3,'Standards for Conversions'!$A$34:$A$73,0))))</f>
        <v/>
      </c>
      <c r="R140" s="10" t="s">
        <v>44</v>
      </c>
      <c r="S140" s="7"/>
      <c r="T140" s="7"/>
      <c r="U140" s="31" t="str">
        <f>IF(T140/(INDEX('Standards for Conversions'!$H$34:$H$73,MATCH(S$3,'Standards for Conversions'!$A$34:$A$73,0)))=0,"",T140/(INDEX('Standards for Conversions'!$H$34:$H$73,MATCH(S$3,'Standards for Conversions'!$A$34:$A$73,0))))</f>
        <v/>
      </c>
      <c r="V140" s="6" t="s">
        <v>44</v>
      </c>
      <c r="W140" s="7"/>
      <c r="X140" s="7"/>
      <c r="Y140" s="31" t="str">
        <f>IF(X140/(INDEX('Standards for Conversions'!$H$34:$H$73,MATCH(W$3,'Standards for Conversions'!$A$34:$A$73,0)))=0,"",X140/(INDEX('Standards for Conversions'!$H$34:$H$73,MATCH(W$3,'Standards for Conversions'!$A$34:$A$73,0))))</f>
        <v/>
      </c>
      <c r="Z140" s="6" t="s">
        <v>44</v>
      </c>
      <c r="AA140" s="7">
        <v>10000</v>
      </c>
      <c r="AB140" s="7">
        <v>50000</v>
      </c>
      <c r="AC140" s="31">
        <f>IF(AB140/(INDEX('Standards for Conversions'!$H$34:$H$73,MATCH(AA$3,'Standards for Conversions'!$A$34:$A$73,0)))=0,"",AB140/(INDEX('Standards for Conversions'!$H$34:$H$73,MATCH(AA$3,'Standards for Conversions'!$A$34:$A$73,0))))</f>
        <v>9633.624279424117</v>
      </c>
      <c r="AD140" s="10" t="s">
        <v>44</v>
      </c>
      <c r="AE140" s="7"/>
      <c r="AF140" s="7"/>
      <c r="AG140" s="31" t="str">
        <f>IF(AF140/(INDEX('Standards for Conversions'!$H$34:$H$73,MATCH(AE$3,'Standards for Conversions'!$A$34:$A$73,0)))=0,"",AF140/(INDEX('Standards for Conversions'!$H$34:$H$73,MATCH(AE$3,'Standards for Conversions'!$A$34:$A$73,0))))</f>
        <v/>
      </c>
      <c r="AH140" s="10" t="s">
        <v>44</v>
      </c>
      <c r="AI140" s="7"/>
      <c r="AJ140" s="7"/>
      <c r="AK140" s="31" t="str">
        <f>IF(AJ140/(INDEX('Standards for Conversions'!$H$34:$H$73,MATCH(AI$3,'Standards for Conversions'!$A$34:$A$73,0)))=0,"",AJ140/(INDEX('Standards for Conversions'!$H$34:$H$73,MATCH(AI$3,'Standards for Conversions'!$A$34:$A$73,0))))</f>
        <v/>
      </c>
      <c r="AL140" s="6" t="s">
        <v>44</v>
      </c>
      <c r="AM140" s="7">
        <v>838</v>
      </c>
      <c r="AN140" s="7">
        <v>60000</v>
      </c>
      <c r="AO140" s="31">
        <f>IF(AN140/(INDEX('Standards for Conversions'!$H$34:$H$73,MATCH(AM$3,'Standards for Conversions'!$A$34:$A$73,0)))=0,"",AN140/(INDEX('Standards for Conversions'!$H$34:$H$73,MATCH(AM$3,'Standards for Conversions'!$A$34:$A$73,0))))</f>
        <v>10721.906230989831</v>
      </c>
      <c r="AP140" s="6" t="s">
        <v>44</v>
      </c>
      <c r="AQ140" s="7">
        <v>11000</v>
      </c>
      <c r="AR140" s="7">
        <v>53000</v>
      </c>
      <c r="AS140" s="31">
        <f>IF(AR140/(INDEX('Standards for Conversions'!$H$34:$H$73,MATCH(AQ$3,'Standards for Conversions'!$A$34:$A$73,0)))=0,"",AR140/(INDEX('Standards for Conversions'!$H$34:$H$73,MATCH(AQ$3,'Standards for Conversions'!$A$34:$A$73,0))))</f>
        <v>9471.0171707076843</v>
      </c>
      <c r="AT140" s="10" t="s">
        <v>44</v>
      </c>
      <c r="AU140" s="7"/>
      <c r="AV140" s="7"/>
      <c r="AW140" s="31" t="str">
        <f>IF(AV140/(INDEX('Standards for Conversions'!$H$34:$H$73,MATCH(AU$3,'Standards for Conversions'!$A$34:$A$73,0)))=0,"",AV140/(INDEX('Standards for Conversions'!$H$34:$H$73,MATCH(AU$3,'Standards for Conversions'!$A$34:$A$73,0))))</f>
        <v/>
      </c>
      <c r="AX140" s="10" t="s">
        <v>44</v>
      </c>
      <c r="AY140" s="7"/>
      <c r="AZ140" s="7"/>
      <c r="BA140" s="31" t="str">
        <f>IF(AZ140/(INDEX('Standards for Conversions'!$H$34:$H$73,MATCH(AY$3,'Standards for Conversions'!$A$34:$A$73,0)))=0,"",AZ140/(INDEX('Standards for Conversions'!$H$34:$H$73,MATCH(AY$3,'Standards for Conversions'!$A$34:$A$73,0))))</f>
        <v/>
      </c>
      <c r="BB140" s="6" t="s">
        <v>44</v>
      </c>
      <c r="BC140" s="7">
        <v>800</v>
      </c>
      <c r="BD140" s="7">
        <v>50000</v>
      </c>
      <c r="BE140" s="31">
        <f>IF(BD140/(INDEX('Standards for Conversions'!$H$34:$H$73,MATCH(BC$3,'Standards for Conversions'!$A$34:$A$73,0)))=0,"",BD140/(INDEX('Standards for Conversions'!$H$34:$H$73,MATCH(BC$3,'Standards for Conversions'!$A$34:$A$73,0))))</f>
        <v>9284.2730692911555</v>
      </c>
      <c r="BF140" s="6" t="s">
        <v>44</v>
      </c>
      <c r="BG140" s="7">
        <v>13000</v>
      </c>
      <c r="BH140" s="7">
        <v>40000</v>
      </c>
      <c r="BI140" s="31">
        <f>IF(BH140/(INDEX('Standards for Conversions'!$H$34:$H$73,MATCH(BG$3,'Standards for Conversions'!$A$34:$A$73,0)))=0,"",BH140/(INDEX('Standards for Conversions'!$H$34:$H$73,MATCH(BG$3,'Standards for Conversions'!$A$34:$A$73,0))))</f>
        <v>7427.4184554329249</v>
      </c>
      <c r="BJ140" s="10" t="s">
        <v>44</v>
      </c>
      <c r="BK140" s="7"/>
      <c r="BL140" s="7"/>
      <c r="BM140" s="31" t="str">
        <f>IF(BL140/(INDEX('Standards for Conversions'!$H$34:$H$73,MATCH(BK$3,'Standards for Conversions'!$A$34:$A$73,0)))=0,"",BL140/(INDEX('Standards for Conversions'!$H$34:$H$73,MATCH(BK$3,'Standards for Conversions'!$A$34:$A$73,0))))</f>
        <v/>
      </c>
      <c r="BN140" s="10" t="s">
        <v>44</v>
      </c>
      <c r="BO140" s="7"/>
      <c r="BP140" s="7"/>
      <c r="BQ140" s="31" t="str">
        <f>IF(BP140/(INDEX('Standards for Conversions'!$H$34:$H$73,MATCH(BO$3,'Standards for Conversions'!$A$34:$A$73,0)))=0,"",BP140/(INDEX('Standards for Conversions'!$H$34:$H$73,MATCH(BO$3,'Standards for Conversions'!$A$34:$A$73,0))))</f>
        <v/>
      </c>
      <c r="BR140" s="6" t="s">
        <v>44</v>
      </c>
      <c r="BS140" s="7">
        <v>500</v>
      </c>
      <c r="BT140" s="7">
        <v>30000</v>
      </c>
      <c r="BU140" s="31">
        <f>IF(BT140/(INDEX('Standards for Conversions'!$H$34:$H$73,MATCH(BS$3,'Standards for Conversions'!$A$34:$A$73,0)))=0,"",BT140/(INDEX('Standards for Conversions'!$H$34:$H$73,MATCH(BS$3,'Standards for Conversions'!$A$34:$A$73,0))))</f>
        <v>5341.8975949422083</v>
      </c>
      <c r="BV140" s="6" t="s">
        <v>44</v>
      </c>
      <c r="BW140" s="7">
        <v>2000</v>
      </c>
      <c r="BX140" s="7">
        <v>12000</v>
      </c>
      <c r="BY140" s="31">
        <f>IF(BX140/(INDEX('Standards for Conversions'!$H$34:$H$73,MATCH(BW$3,'Standards for Conversions'!$A$34:$A$73,0)))=0,"",BX140/(INDEX('Standards for Conversions'!$H$34:$H$73,MATCH(BW$3,'Standards for Conversions'!$A$34:$A$73,0))))</f>
        <v>2136.7590379768831</v>
      </c>
      <c r="BZ140" s="10" t="s">
        <v>44</v>
      </c>
      <c r="CA140" s="7"/>
      <c r="CB140" s="7"/>
      <c r="CC140" s="31" t="str">
        <f>IF(CB140/(INDEX('Standards for Conversions'!$H$34:$H$73,MATCH(CA$3,'Standards for Conversions'!$A$34:$A$73,0)))=0,"",CB140/(INDEX('Standards for Conversions'!$H$34:$H$73,MATCH(CA$3,'Standards for Conversions'!$A$34:$A$73,0))))</f>
        <v/>
      </c>
      <c r="CD140" s="10" t="s">
        <v>44</v>
      </c>
      <c r="CE140" s="7"/>
      <c r="CF140" s="7"/>
      <c r="CG140" s="31" t="str">
        <f>IF(CF140/(INDEX('Standards for Conversions'!$H$34:$H$73,MATCH(CE$3,'Standards for Conversions'!$A$34:$A$73,0)))=0,"",CF140/(INDEX('Standards for Conversions'!$H$34:$H$73,MATCH(CE$3,'Standards for Conversions'!$A$34:$A$73,0))))</f>
        <v/>
      </c>
      <c r="CH140" s="6" t="s">
        <v>44</v>
      </c>
      <c r="CI140" s="7">
        <v>950</v>
      </c>
      <c r="CJ140" s="7">
        <v>61000</v>
      </c>
      <c r="CK140" s="31">
        <f>IF(CJ140/(INDEX('Standards for Conversions'!$H$34:$H$73,MATCH(CI$3,'Standards for Conversions'!$A$34:$A$73,0)))=0,"",CJ140/(INDEX('Standards for Conversions'!$H$34:$H$73,MATCH(CI$3,'Standards for Conversions'!$A$34:$A$73,0))))</f>
        <v>10590.634867182294</v>
      </c>
      <c r="CL140" s="6" t="s">
        <v>44</v>
      </c>
      <c r="CM140" s="7">
        <v>2000</v>
      </c>
      <c r="CN140" s="7">
        <v>14000</v>
      </c>
      <c r="CO140" s="31">
        <f>IF(CN140/(INDEX('Standards for Conversions'!$H$34:$H$73,MATCH(CM$3,'Standards for Conversions'!$A$34:$A$73,0)))=0,"",CN140/(INDEX('Standards for Conversions'!$H$34:$H$73,MATCH(CM$3,'Standards for Conversions'!$A$34:$A$73,0))))</f>
        <v>2430.6375105008547</v>
      </c>
      <c r="CP140" s="10" t="s">
        <v>44</v>
      </c>
      <c r="CQ140" s="7"/>
      <c r="CR140" s="7"/>
      <c r="CS140" s="31" t="str">
        <f>IF(CR140/(INDEX('Standards for Conversions'!$H$34:$H$73,MATCH(CQ$3,'Standards for Conversions'!$A$34:$A$73,0)))=0,"",CR140/(INDEX('Standards for Conversions'!$H$34:$H$73,MATCH(CQ$3,'Standards for Conversions'!$A$34:$A$73,0))))</f>
        <v/>
      </c>
      <c r="CT140" s="10" t="s">
        <v>44</v>
      </c>
      <c r="CU140" s="7"/>
      <c r="CV140" s="7"/>
      <c r="CW140" s="31" t="str">
        <f>IF(CV140/(INDEX('Standards for Conversions'!$H$34:$H$73,MATCH(CU$3,'Standards for Conversions'!$A$34:$A$73,0)))=0,"",CV140/(INDEX('Standards for Conversions'!$H$34:$H$73,MATCH(CU$3,'Standards for Conversions'!$A$34:$A$73,0))))</f>
        <v/>
      </c>
      <c r="CX140" s="6" t="s">
        <v>44</v>
      </c>
      <c r="CY140" s="7">
        <f>410+117</f>
        <v>527</v>
      </c>
      <c r="CZ140" s="7">
        <f>27000+1100</f>
        <v>28100</v>
      </c>
      <c r="DA140" s="31">
        <f>IF(CZ140/(INDEX('Standards for Conversions'!$H$34:$H$73,MATCH(CY$3,'Standards for Conversions'!$A$34:$A$73,0)))=0,"",CZ140/(INDEX('Standards for Conversions'!$H$34:$H$73,MATCH(CY$3,'Standards for Conversions'!$A$34:$A$73,0))))</f>
        <v>4973.8296290663657</v>
      </c>
      <c r="DB140" s="6" t="s">
        <v>44</v>
      </c>
      <c r="DC140" s="7">
        <v>1990</v>
      </c>
      <c r="DD140" s="7">
        <v>15000</v>
      </c>
      <c r="DE140" s="31">
        <f>IF(DD140/(INDEX('Standards for Conversions'!$H$34:$H$73,MATCH(DC$3,'Standards for Conversions'!$A$34:$A$73,0)))=0,"",DD140/(INDEX('Standards for Conversions'!$H$34:$H$73,MATCH(DC$3,'Standards for Conversions'!$A$34:$A$73,0))))</f>
        <v>2655.0691970105154</v>
      </c>
      <c r="DF140" s="10" t="s">
        <v>44</v>
      </c>
      <c r="DG140" s="7"/>
      <c r="DH140" s="7"/>
      <c r="DI140" s="31" t="str">
        <f>IF(DH140/(INDEX('Standards for Conversions'!$H$34:$H$73,MATCH(DG$3,'Standards for Conversions'!$A$34:$A$73,0)))=0,"",DH140/(INDEX('Standards for Conversions'!$H$34:$H$73,MATCH(DG$3,'Standards for Conversions'!$A$34:$A$73,0))))</f>
        <v/>
      </c>
      <c r="DJ140" s="10" t="s">
        <v>44</v>
      </c>
      <c r="DK140" s="7"/>
      <c r="DL140" s="7"/>
      <c r="DM140" s="31" t="str">
        <f>IF(DL140/(INDEX('Standards for Conversions'!$H$34:$H$73,MATCH(DK$3,'Standards for Conversions'!$A$34:$A$73,0)))=0,"",DL140/(INDEX('Standards for Conversions'!$H$34:$H$73,MATCH(DK$3,'Standards for Conversions'!$A$34:$A$73,0))))</f>
        <v/>
      </c>
      <c r="DN140" s="6" t="s">
        <v>44</v>
      </c>
      <c r="DO140" s="7">
        <f>200+500</f>
        <v>700</v>
      </c>
      <c r="DP140" s="7">
        <f>1800+3000</f>
        <v>4800</v>
      </c>
      <c r="DQ140" s="31">
        <f>IF(DP140/(INDEX('Standards for Conversions'!$H$34:$H$73,MATCH(DO$3,'Standards for Conversions'!$A$34:$A$73,0)))=0,"",DP140/(INDEX('Standards for Conversions'!$H$34:$H$73,MATCH(DO$3,'Standards for Conversions'!$A$34:$A$73,0))))</f>
        <v>840.47549317806556</v>
      </c>
      <c r="DR140" s="6" t="s">
        <v>44</v>
      </c>
      <c r="DS140" s="7">
        <v>8000</v>
      </c>
      <c r="DT140" s="7">
        <v>56000</v>
      </c>
      <c r="DU140" s="31">
        <f>IF(DT140/(INDEX('Standards for Conversions'!$H$34:$H$73,MATCH(DS$3,'Standards for Conversions'!$A$34:$A$73,0)))=0,"",DT140/(INDEX('Standards for Conversions'!$H$34:$H$73,MATCH(DS$3,'Standards for Conversions'!$A$34:$A$73,0))))</f>
        <v>9805.547420410765</v>
      </c>
      <c r="DV140" s="10" t="s">
        <v>44</v>
      </c>
      <c r="DW140" s="7"/>
      <c r="DX140" s="7"/>
      <c r="DY140" s="31" t="str">
        <f>IF(DX140/(INDEX('Standards for Conversions'!$H$34:$H$73,MATCH(DW$3,'Standards for Conversions'!$A$34:$A$73,0)))=0,"",DX140/(INDEX('Standards for Conversions'!$H$34:$H$73,MATCH(DW$3,'Standards for Conversions'!$A$34:$A$73,0))))</f>
        <v/>
      </c>
      <c r="DZ140" s="10" t="s">
        <v>44</v>
      </c>
      <c r="EA140" s="7"/>
      <c r="EB140" s="7"/>
      <c r="EC140" s="31" t="str">
        <f>IF(EB140/(INDEX('Standards for Conversions'!$H$34:$H$73,MATCH(EA$3,'Standards for Conversions'!$A$34:$A$73,0)))=0,"",EB140/(INDEX('Standards for Conversions'!$H$34:$H$73,MATCH(EA$3,'Standards for Conversions'!$A$34:$A$73,0))))</f>
        <v/>
      </c>
      <c r="ED140" s="6" t="s">
        <v>395</v>
      </c>
      <c r="EE140" s="7"/>
      <c r="EF140" s="7"/>
      <c r="EG140" s="31" t="str">
        <f>IF(EF140/(INDEX('Standards for Conversions'!$H$34:$H$73,MATCH(EE$3,'Standards for Conversions'!$A$34:$A$73,0)))=0,"",EF140/(INDEX('Standards for Conversions'!$H$34:$H$73,MATCH(EE$3,'Standards for Conversions'!$A$34:$A$73,0))))</f>
        <v/>
      </c>
      <c r="EH140" s="6" t="s">
        <v>44</v>
      </c>
      <c r="EI140" s="7">
        <v>2683</v>
      </c>
      <c r="EJ140" s="7">
        <v>18630</v>
      </c>
      <c r="EK140" s="31">
        <f>IF(EJ140/(INDEX('Standards for Conversions'!$H$34:$H$73,MATCH(EI$3,'Standards for Conversions'!$A$34:$A$73,0)))=0,"",EJ140/(INDEX('Standards for Conversions'!$H$34:$H$73,MATCH(EI$3,'Standards for Conversions'!$A$34:$A$73,0))))</f>
        <v>3258.1510151429561</v>
      </c>
      <c r="EL140" s="10" t="s">
        <v>44</v>
      </c>
      <c r="EM140" s="7"/>
      <c r="EN140" s="7"/>
      <c r="EO140" s="31" t="str">
        <f>IF(EN140/(INDEX('Standards for Conversions'!$H$34:$H$73,MATCH(EM$3,'Standards for Conversions'!$A$34:$A$73,0)))=0,"",EN140/(INDEX('Standards for Conversions'!$H$34:$H$73,MATCH(EM$3,'Standards for Conversions'!$A$34:$A$73,0))))</f>
        <v/>
      </c>
      <c r="EP140" s="10" t="s">
        <v>44</v>
      </c>
      <c r="EQ140" s="7"/>
      <c r="ER140" s="7"/>
      <c r="ES140" s="31" t="str">
        <f>IF(ER140/(INDEX('Standards for Conversions'!$H$34:$H$73,MATCH(EQ$3,'Standards for Conversions'!$A$34:$A$73,0)))=0,"",ER140/(INDEX('Standards for Conversions'!$H$34:$H$73,MATCH(EQ$3,'Standards for Conversions'!$A$34:$A$73,0))))</f>
        <v/>
      </c>
      <c r="ET140" s="6" t="s">
        <v>395</v>
      </c>
      <c r="EU140" s="7"/>
      <c r="EV140" s="7"/>
      <c r="EW140" s="31" t="str">
        <f>IF(EV140/(INDEX('Standards for Conversions'!$H$34:$H$73,MATCH(EU$3,'Standards for Conversions'!$A$34:$A$73,0)))=0,"",EV140/(INDEX('Standards for Conversions'!$H$34:$H$73,MATCH(EU$3,'Standards for Conversions'!$A$34:$A$73,0))))</f>
        <v/>
      </c>
      <c r="EX140" s="6" t="s">
        <v>44</v>
      </c>
      <c r="EY140" s="7">
        <v>468</v>
      </c>
      <c r="EZ140" s="7">
        <v>3150</v>
      </c>
      <c r="FA140" s="31">
        <f>IF(EZ140/(INDEX('Standards for Conversions'!$H$34:$H$73,MATCH(EY$3,'Standards for Conversions'!$A$34:$A$73,0)))=0,"",EZ140/(INDEX('Standards for Conversions'!$H$34:$H$73,MATCH(EY$3,'Standards for Conversions'!$A$34:$A$73,0))))</f>
        <v>539.55706444989994</v>
      </c>
      <c r="FB140" s="10" t="s">
        <v>44</v>
      </c>
      <c r="FC140" s="7"/>
      <c r="FD140" s="7"/>
      <c r="FE140" s="31" t="str">
        <f>IF(FD140/(INDEX('Standards for Conversions'!$H$34:$H$73,MATCH(FC$3,'Standards for Conversions'!$A$34:$A$73,0)))=0,"",FD140/(INDEX('Standards for Conversions'!$H$34:$H$73,MATCH(FC$3,'Standards for Conversions'!$A$34:$A$73,0))))</f>
        <v/>
      </c>
      <c r="FF140" s="10" t="s">
        <v>44</v>
      </c>
      <c r="FG140" s="7"/>
      <c r="FH140" s="7"/>
      <c r="FI140" s="31" t="str">
        <f>IF(FH140/(INDEX('Standards for Conversions'!$H$34:$H$73,MATCH(FG$3,'Standards for Conversions'!$A$34:$A$73,0)))=0,"",FH140/(INDEX('Standards for Conversions'!$H$34:$H$73,MATCH(FG$3,'Standards for Conversions'!$A$34:$A$73,0))))</f>
        <v/>
      </c>
      <c r="FJ140" s="6" t="s">
        <v>395</v>
      </c>
      <c r="FK140" s="7">
        <v>200</v>
      </c>
      <c r="FL140" s="7">
        <v>1200</v>
      </c>
      <c r="FM140" s="31">
        <f>IF(FL140/(INDEX('Standards for Conversions'!$H$34:$H$73,MATCH(FK$3,'Standards for Conversions'!$A$34:$A$73,0)))=0,"",FL140/(INDEX('Standards for Conversions'!$H$34:$H$73,MATCH(FK$3,'Standards for Conversions'!$A$34:$A$73,0))))</f>
        <v>205.79962196923609</v>
      </c>
      <c r="FN140" s="6" t="s">
        <v>44</v>
      </c>
      <c r="FO140" s="7">
        <v>2500</v>
      </c>
      <c r="FP140" s="7">
        <v>17000</v>
      </c>
      <c r="FQ140" s="31">
        <f>IF(FP140/(INDEX('Standards for Conversions'!$H$34:$H$73,MATCH(FO$3,'Standards for Conversions'!$A$34:$A$73,0)))=0,"",FP140/(INDEX('Standards for Conversions'!$H$34:$H$73,MATCH(FO$3,'Standards for Conversions'!$A$34:$A$73,0))))</f>
        <v>2915.4946445641776</v>
      </c>
      <c r="FR140" s="10" t="s">
        <v>44</v>
      </c>
      <c r="FS140" s="7"/>
      <c r="FT140" s="7"/>
      <c r="FU140" s="31" t="str">
        <f>IF(FT140/(INDEX('Standards for Conversions'!$H$34:$H$73,MATCH(FS$3,'Standards for Conversions'!$A$34:$A$73,0)))=0,"",FT140/(INDEX('Standards for Conversions'!$H$34:$H$73,MATCH(FS$3,'Standards for Conversions'!$A$34:$A$73,0))))</f>
        <v/>
      </c>
      <c r="FV140" s="10" t="s">
        <v>44</v>
      </c>
      <c r="FW140" s="7"/>
      <c r="FX140" s="7"/>
      <c r="FY140" s="31" t="str">
        <f>IF(FX140/(INDEX('Standards for Conversions'!$H$34:$H$73,MATCH(FW$3,'Standards for Conversions'!$A$34:$A$73,0)))=0,"",FX140/(INDEX('Standards for Conversions'!$H$34:$H$73,MATCH(FW$3,'Standards for Conversions'!$A$34:$A$73,0))))</f>
        <v/>
      </c>
      <c r="FZ140" s="6" t="s">
        <v>395</v>
      </c>
      <c r="GA140" s="7">
        <v>215</v>
      </c>
      <c r="GB140" s="7">
        <v>1500</v>
      </c>
      <c r="GC140" s="31">
        <f>IF(GB140/(INDEX('Standards for Conversions'!$H$34:$H$73,MATCH(GA$3,'Standards for Conversions'!$A$34:$A$73,0)))=0,"",GB140/(INDEX('Standards for Conversions'!$H$34:$H$73,MATCH(GA$3,'Standards for Conversions'!$A$34:$A$73,0))))</f>
        <v>246.76899115755626</v>
      </c>
      <c r="GD140" s="6" t="s">
        <v>44</v>
      </c>
      <c r="GE140" s="7">
        <v>2500</v>
      </c>
      <c r="GF140" s="7">
        <v>17000</v>
      </c>
      <c r="GG140" s="31">
        <f>IF(GF140/(INDEX('Standards for Conversions'!$H$34:$H$73,MATCH(GE$3,'Standards for Conversions'!$A$34:$A$73,0)))=0,"",GF140/(INDEX('Standards for Conversions'!$H$34:$H$73,MATCH(GE$3,'Standards for Conversions'!$A$34:$A$73,0))))</f>
        <v>2796.7152331189709</v>
      </c>
      <c r="GH140" s="10" t="s">
        <v>44</v>
      </c>
      <c r="GK140" s="31" t="str">
        <f>IF(GJ140/(INDEX('Standards for Conversions'!$H$34:$H$73,MATCH(GI$3,'Standards for Conversions'!$A$34:$A$73,0)))=0,"",GJ140/(INDEX('Standards for Conversions'!$H$34:$H$73,MATCH(GI$3,'Standards for Conversions'!$A$34:$A$73,0))))</f>
        <v/>
      </c>
      <c r="GL140" s="10" t="s">
        <v>44</v>
      </c>
      <c r="GM140" s="7"/>
      <c r="GN140" s="7"/>
      <c r="GO140" s="31" t="str">
        <f>IF(GN140/(INDEX('Standards for Conversions'!$H$34:$H$73,MATCH(GM$3,'Standards for Conversions'!$A$34:$A$73,0)))=0,"",GN140/(INDEX('Standards for Conversions'!$H$34:$H$73,MATCH(GM$3,'Standards for Conversions'!$A$34:$A$73,0))))</f>
        <v/>
      </c>
      <c r="GP140" s="6" t="s">
        <v>395</v>
      </c>
      <c r="GQ140" s="7">
        <v>200</v>
      </c>
      <c r="GR140" s="7">
        <v>1500</v>
      </c>
      <c r="GS140" s="31">
        <f>IF(GR140/(INDEX('Standards for Conversions'!$H$34:$H$73,MATCH(GQ$3,'Standards for Conversions'!$A$34:$A$73,0)))=0,"",GR140/(INDEX('Standards for Conversions'!$H$34:$H$73,MATCH(GQ$3,'Standards for Conversions'!$A$34:$A$73,0))))</f>
        <v>230.57179868775529</v>
      </c>
      <c r="GT140" s="6" t="s">
        <v>44</v>
      </c>
      <c r="GU140" s="7">
        <v>3100</v>
      </c>
      <c r="GV140" s="7">
        <v>20000</v>
      </c>
      <c r="GW140" s="31">
        <f>IF(GV140/(INDEX('Standards for Conversions'!$H$34:$H$73,MATCH(GU$3,'Standards for Conversions'!$A$34:$A$73,0)))=0,"",GV140/(INDEX('Standards for Conversions'!$H$34:$H$73,MATCH(GU$3,'Standards for Conversions'!$A$34:$A$73,0))))</f>
        <v>3074.2906491700705</v>
      </c>
      <c r="GX140" s="10" t="s">
        <v>44</v>
      </c>
      <c r="GY140" s="7"/>
      <c r="GZ140" s="7"/>
      <c r="HA140" s="31" t="str">
        <f>IF(GZ140/(INDEX('Standards for Conversions'!$H$34:$H$73,MATCH(GY$3,'Standards for Conversions'!$A$34:$A$73,0)))=0,"",GZ140/(INDEX('Standards for Conversions'!$H$34:$H$73,MATCH(GY$3,'Standards for Conversions'!$A$34:$A$73,0))))</f>
        <v/>
      </c>
      <c r="HB140" s="10" t="s">
        <v>44</v>
      </c>
      <c r="HC140" s="7"/>
      <c r="HD140" s="7"/>
      <c r="HE140" s="31" t="str">
        <f>IF(HD140/(INDEX('Standards for Conversions'!$H$34:$H$73,MATCH(HC$3,'Standards for Conversions'!$A$34:$A$73,0)))=0,"",HD140/(INDEX('Standards for Conversions'!$H$34:$H$73,MATCH(HC$3,'Standards for Conversions'!$A$34:$A$73,0))))</f>
        <v/>
      </c>
      <c r="HF140" s="6" t="s">
        <v>395</v>
      </c>
      <c r="HG140">
        <v>250</v>
      </c>
      <c r="HH140">
        <v>2000</v>
      </c>
      <c r="HI140" s="31">
        <f>IF(HH140/(INDEX('Standards for Conversions'!$H$34:$H$73,MATCH(HG$3,'Standards for Conversions'!$A$34:$A$73,0)))=0,"",HH140/(INDEX('Standards for Conversions'!$H$34:$H$73,MATCH(HG$3,'Standards for Conversions'!$A$34:$A$73,0))))</f>
        <v>302.77104878190079</v>
      </c>
      <c r="HJ140" s="10" t="s">
        <v>44</v>
      </c>
      <c r="HK140" s="7">
        <v>4500</v>
      </c>
      <c r="HL140" s="7">
        <v>30000</v>
      </c>
      <c r="HM140" s="31">
        <f>IF(HL140/(INDEX('Standards for Conversions'!$H$34:$H$73,MATCH(HK$3,'Standards for Conversions'!$A$34:$A$73,0)))=0,"",HL140/(INDEX('Standards for Conversions'!$H$34:$H$73,MATCH(HK$3,'Standards for Conversions'!$A$34:$A$73,0))))</f>
        <v>4541.5657317285122</v>
      </c>
      <c r="HN140" s="10" t="s">
        <v>44</v>
      </c>
      <c r="HQ140" s="31" t="str">
        <f>IF(HP140/(INDEX('Standards for Conversions'!$H$34:$H$73,MATCH(HO$3,'Standards for Conversions'!$A$34:$A$73,0)))=0,"",HP140/(INDEX('Standards for Conversions'!$H$34:$H$73,MATCH(HO$3,'Standards for Conversions'!$A$34:$A$73,0))))</f>
        <v/>
      </c>
      <c r="HR140" s="33" t="s">
        <v>44</v>
      </c>
      <c r="HU140" s="31" t="str">
        <f>IF(HT140/(INDEX('Standards for Conversions'!$H$47:$H$73,MATCH(HS$3,'Standards for Conversions'!$A$47:$A$73,0)))=0,"",HT140/(INDEX('Standards for Conversions'!$H$47:$H$73,MATCH(HS$3,'Standards for Conversions'!$A$47:$A$73,0))))</f>
        <v/>
      </c>
      <c r="HV140" s="33" t="s">
        <v>44</v>
      </c>
      <c r="HW140" s="29">
        <v>300</v>
      </c>
      <c r="HX140" s="29">
        <v>2500</v>
      </c>
      <c r="HY140" s="31">
        <f>IF(HX140/(INDEX('Standards for Conversions'!$H$47:$H$73,MATCH(HW$3,'Standards for Conversions'!$A$47:$A$73,0)))=0,"",HX140/(INDEX('Standards for Conversions'!$H$47:$H$73,MATCH(HW$3,'Standards for Conversions'!$A$47:$A$73,0))))</f>
        <v>363.11353053213992</v>
      </c>
      <c r="IB140" s="31" t="str">
        <f>IF(IA140/(INDEX('Standards for Conversions'!$H$47:$H$73,MATCH(HZ$3,'Standards for Conversions'!$A$47:$A$73,0)))=0,"",IA140/(INDEX('Standards for Conversions'!$H$47:$H$73,MATCH(HZ$3,'Standards for Conversions'!$A$47:$A$73,0))))</f>
        <v/>
      </c>
      <c r="IC140" s="33" t="s">
        <v>44</v>
      </c>
      <c r="IF140" s="31" t="str">
        <f>IF(IE140/(INDEX('Standards for Conversions'!$H$47:$H$73,MATCH(ID$3,'Standards for Conversions'!$A$47:$A$73,0)))=0,"",IE140/(INDEX('Standards for Conversions'!$H$47:$H$73,MATCH(ID$3,'Standards for Conversions'!$A$47:$A$73,0))))</f>
        <v/>
      </c>
      <c r="IG140" s="33" t="s">
        <v>44</v>
      </c>
      <c r="IJ140" s="31" t="str">
        <f>IF(II140/(INDEX('Standards for Conversions'!$H$47:$H$73,MATCH(IH$3,'Standards for Conversions'!$A$47:$A$73,0)))=0,"",II140/(INDEX('Standards for Conversions'!$H$47:$H$73,MATCH(IH$3,'Standards for Conversions'!$A$47:$A$73,0))))</f>
        <v/>
      </c>
      <c r="IK140" s="33" t="s">
        <v>44</v>
      </c>
      <c r="IL140" s="29">
        <v>25</v>
      </c>
      <c r="IM140" s="29">
        <v>150</v>
      </c>
      <c r="IN140" s="31">
        <f>IF(IM140/(INDEX('Standards for Conversions'!$H$47:$H$73,MATCH(IL$3,'Standards for Conversions'!$A$47:$A$73,0)))=0,"",IM140/(INDEX('Standards for Conversions'!$H$47:$H$73,MATCH(IL$3,'Standards for Conversions'!$A$47:$A$73,0))))</f>
        <v>21.691534229164855</v>
      </c>
      <c r="IO140" s="33" t="s">
        <v>44</v>
      </c>
      <c r="IP140" s="29">
        <v>4425</v>
      </c>
      <c r="IQ140" s="29">
        <v>38400</v>
      </c>
      <c r="IR140" s="31">
        <f>IF(IQ140/(INDEX('Standards for Conversions'!$H$47:$H$73,MATCH(IP$3,'Standards for Conversions'!$A$47:$A$73,0)))=0,"",IQ140/(INDEX('Standards for Conversions'!$H$47:$H$73,MATCH(IP$3,'Standards for Conversions'!$A$47:$A$73,0))))</f>
        <v>5553.0327626662029</v>
      </c>
      <c r="IS140" s="33" t="s">
        <v>44</v>
      </c>
      <c r="IV140" s="31" t="str">
        <f>IF(IU140/(INDEX('Standards for Conversions'!$H$47:$H$73,MATCH(IT$3,'Standards for Conversions'!$A$47:$A$73,0)))=0,"",IU140/(INDEX('Standards for Conversions'!$H$47:$H$73,MATCH(IT$3,'Standards for Conversions'!$A$47:$A$73,0))))</f>
        <v/>
      </c>
      <c r="IW140" s="33" t="s">
        <v>44</v>
      </c>
      <c r="IZ140" s="31" t="str">
        <f>IF(IY140/(INDEX('Standards for Conversions'!$H$47:$H$73,MATCH(IX$3,'Standards for Conversions'!$A$47:$A$73,0)))=0,"",IY140/(INDEX('Standards for Conversions'!$H$47:$H$73,MATCH(IX$3,'Standards for Conversions'!$A$47:$A$73,0))))</f>
        <v/>
      </c>
      <c r="JA140" s="33" t="s">
        <v>44</v>
      </c>
      <c r="JB140" s="29">
        <v>20</v>
      </c>
      <c r="JC140" s="29">
        <v>100</v>
      </c>
      <c r="JD140" s="31">
        <f>IF(JC140/(INDEX('Standards for Conversions'!$H$47:$H$73,MATCH(JB$3,'Standards for Conversions'!$A$47:$A$73,0)))=0,"",JC140/(INDEX('Standards for Conversions'!$H$47:$H$73,MATCH(JB$3,'Standards for Conversions'!$A$47:$A$73,0))))</f>
        <v>16.176019669186868</v>
      </c>
      <c r="JE140" s="48" t="s">
        <v>44</v>
      </c>
      <c r="JF140" s="29">
        <v>1600</v>
      </c>
      <c r="JG140" s="29">
        <v>9700</v>
      </c>
      <c r="JH140" s="31">
        <f>IF(JG140/(INDEX('Standards for Conversions'!$H$47:$H$73,MATCH(JF$3,'Standards for Conversions'!$A$47:$A$73,0)))=0,"",JG140/(INDEX('Standards for Conversions'!$H$47:$H$73,MATCH(JF$3,'Standards for Conversions'!$A$47:$A$73,0))))</f>
        <v>1569.0739079111263</v>
      </c>
      <c r="JI140" s="33"/>
      <c r="JL140" s="31" t="str">
        <f>IF(JK140/(INDEX('Standards for Conversions'!$H$47:$H$73,MATCH(JJ$3,'Standards for Conversions'!$A$47:$A$73,0)))=0,"",JK140/(INDEX('Standards for Conversions'!$H$47:$H$73,MATCH(JJ$3,'Standards for Conversions'!$A$47:$A$73,0))))</f>
        <v/>
      </c>
      <c r="JM140" s="33" t="s">
        <v>38</v>
      </c>
      <c r="JP140" s="31" t="str">
        <f>IF(JO140/(INDEX('Standards for Conversions'!$H$47:$H$73,MATCH(JN$3,'Standards for Conversions'!$A$47:$A$73,0)))=0,"",JO140/(INDEX('Standards for Conversions'!$H$47:$H$73,MATCH(JN$3,'Standards for Conversions'!$A$47:$A$73,0))))</f>
        <v/>
      </c>
      <c r="JQ140" s="48" t="s">
        <v>38</v>
      </c>
      <c r="JR140" s="29">
        <v>100</v>
      </c>
      <c r="JS140" s="29">
        <v>500</v>
      </c>
      <c r="JT140" s="31">
        <f>IF(JS140/(INDEX('Standards for Conversions'!$H$47:$H$73,MATCH(JR$3,'Standards for Conversions'!$A$47:$A$73,0)))=0,"",JS140/(INDEX('Standards for Conversions'!$H$47:$H$73,MATCH(JR$3,'Standards for Conversions'!$A$47:$A$73,0))))</f>
        <v>76.327946213898784</v>
      </c>
      <c r="JU140" s="48" t="s">
        <v>44</v>
      </c>
      <c r="JV140" s="29">
        <v>1500</v>
      </c>
      <c r="JW140" s="29">
        <v>9000</v>
      </c>
      <c r="JX140" s="31">
        <f>IF(JW140/(INDEX('Standards for Conversions'!$H$47:$H$73,MATCH(JV$3,'Standards for Conversions'!$A$47:$A$73,0)))=0,"",JW140/(INDEX('Standards for Conversions'!$H$47:$H$73,MATCH(JV$3,'Standards for Conversions'!$A$47:$A$73,0))))</f>
        <v>1373.903031850178</v>
      </c>
      <c r="JY140" s="33" t="s">
        <v>38</v>
      </c>
      <c r="KB140" s="31" t="str">
        <f>IF(KA140/(INDEX('Standards for Conversions'!$H$47:$H$73,MATCH(JZ$3,'Standards for Conversions'!$A$47:$A$73,0)))=0,"",KA140/(INDEX('Standards for Conversions'!$H$47:$H$73,MATCH(JZ$3,'Standards for Conversions'!$A$47:$A$73,0))))</f>
        <v/>
      </c>
      <c r="KC140" s="33" t="s">
        <v>38</v>
      </c>
      <c r="KF140" s="31" t="str">
        <f>IF(KE140/(INDEX('Standards for Conversions'!$H$47:$H$73,MATCH(KD$3,'Standards for Conversions'!$A$47:$A$73,0)))=0,"",KE140/(INDEX('Standards for Conversions'!$H$47:$H$73,MATCH(KD$3,'Standards for Conversions'!$A$47:$A$73,0))))</f>
        <v/>
      </c>
      <c r="KG140" s="48" t="s">
        <v>38</v>
      </c>
      <c r="KH140" s="29">
        <v>120</v>
      </c>
      <c r="KI140" s="29">
        <v>700</v>
      </c>
      <c r="KJ140" s="31">
        <f>IF(KI140/(INDEX('Standards for Conversions'!$H$47:$H$73,MATCH(KH$3,'Standards for Conversions'!$A$47:$A$73,0)))=0,"",KI140/(INDEX('Standards for Conversions'!$H$47:$H$73,MATCH(KH$3,'Standards for Conversions'!$A$47:$A$73,0))))</f>
        <v>94.261308334057517</v>
      </c>
      <c r="KK140" s="48" t="s">
        <v>44</v>
      </c>
      <c r="KL140" s="29">
        <v>1200</v>
      </c>
      <c r="KM140" s="29">
        <v>20000</v>
      </c>
      <c r="KN140" s="31">
        <f>IF(KM140/(INDEX('Standards for Conversions'!$H$47:$H$73,MATCH(KL$3,'Standards for Conversions'!$A$47:$A$73,0)))=0,"",KM140/(INDEX('Standards for Conversions'!$H$47:$H$73,MATCH(KL$3,'Standards for Conversions'!$A$47:$A$73,0))))</f>
        <v>2693.1802381159291</v>
      </c>
      <c r="KO140" s="33" t="s">
        <v>38</v>
      </c>
      <c r="KR140" s="31" t="str">
        <f>IF(KQ140/(INDEX('Standards for Conversions'!$H$47:$H$73,MATCH(KP$3,'Standards for Conversions'!$A$47:$A$73,0)))=0,"",KQ140/(INDEX('Standards for Conversions'!$H$47:$H$73,MATCH(KP$3,'Standards for Conversions'!$A$47:$A$73,0))))</f>
        <v/>
      </c>
      <c r="KS140" s="33" t="s">
        <v>38</v>
      </c>
      <c r="KV140" s="31" t="str">
        <f>IF(KU140/(INDEX('Standards for Conversions'!$H$47:$H$73,MATCH(KT$3,'Standards for Conversions'!$A$47:$A$73,0)))=0,"",KU140/(INDEX('Standards for Conversions'!$H$47:$H$73,MATCH(KT$3,'Standards for Conversions'!$A$47:$A$73,0))))</f>
        <v/>
      </c>
      <c r="KW140" s="48" t="s">
        <v>38</v>
      </c>
      <c r="KX140" s="29">
        <v>150</v>
      </c>
      <c r="KY140" s="29">
        <v>1000</v>
      </c>
      <c r="KZ140" s="31">
        <f>IF(KY140/(INDEX('Standards for Conversions'!$H$47:$H$73,MATCH(KX$3,'Standards for Conversions'!$A$47:$A$73,0)))=0,"",KY140/(INDEX('Standards for Conversions'!$H$47:$H$73,MATCH(KX$3,'Standards for Conversions'!$A$47:$A$73,0))))</f>
        <v>121.61656672749918</v>
      </c>
      <c r="LA140" s="48" t="s">
        <v>44</v>
      </c>
      <c r="LB140" s="29">
        <v>2330</v>
      </c>
      <c r="LC140" s="29">
        <v>20450</v>
      </c>
      <c r="LD140" s="31">
        <f>IF(LC140/(INDEX('Standards for Conversions'!$H$47:$H$73,MATCH(LB$3,'Standards for Conversions'!$A$47:$A$73,0)))=0,"",LC140/(INDEX('Standards for Conversions'!$H$47:$H$73,MATCH(LB$3,'Standards for Conversions'!$A$47:$A$73,0))))</f>
        <v>2487.0587895773583</v>
      </c>
      <c r="LE140" s="33"/>
      <c r="LH140" s="31" t="str">
        <f>IF(LG140/(INDEX('Standards for Conversions'!$H$47:$H$73,MATCH(LF$3,'Standards for Conversions'!$A$47:$A$73,0)))=0,"",LG140/(INDEX('Standards for Conversions'!$H$47:$H$73,MATCH(LF$3,'Standards for Conversions'!$A$47:$A$73,0))))</f>
        <v/>
      </c>
      <c r="LL140" s="31" t="str">
        <f>IF(LK140/(INDEX('Standards for Conversions'!$H$47:$H$73,MATCH(LJ$3,'Standards for Conversions'!$A$47:$A$73,0)))=0,"",LK140/(INDEX('Standards for Conversions'!$H$47:$H$73,MATCH(LJ$3,'Standards for Conversions'!$A$47:$A$73,0))))</f>
        <v/>
      </c>
      <c r="LO140" s="31" t="str">
        <f>IF(LN140/(INDEX('Standards for Conversions'!$H$47:$H$73,MATCH(LM$3,'Standards for Conversions'!$A$47:$A$73,0)))=0,"",LN140/(INDEX('Standards for Conversions'!$H$47:$H$73,MATCH(LM$3,'Standards for Conversions'!$A$47:$A$73,0))))</f>
        <v/>
      </c>
      <c r="LR140" s="31" t="str">
        <f>IF(LQ140/(INDEX('Standards for Conversions'!$H$47:$H$73,MATCH(LP$3,'Standards for Conversions'!$A$47:$A$73,0)))=0,"",LQ140/(INDEX('Standards for Conversions'!$H$47:$H$73,MATCH(LP$3,'Standards for Conversions'!$A$47:$A$73,0))))</f>
        <v/>
      </c>
      <c r="LV140" s="31" t="str">
        <f>IF(LU140/(INDEX('Standards for Conversions'!$H$47:$H$73,MATCH(LT$3,'Standards for Conversions'!$A$47:$A$73,0)))=0,"",LU140/(INDEX('Standards for Conversions'!$H$47:$H$73,MATCH(LT$3,'Standards for Conversions'!$A$47:$A$73,0))))</f>
        <v/>
      </c>
      <c r="LY140" s="31" t="str">
        <f>IF(LX140/(INDEX('Standards for Conversions'!$H$47:$H$73,MATCH(LW$3,'Standards for Conversions'!$A$47:$A$73,0)))=0,"",LX140/(INDEX('Standards for Conversions'!$H$47:$H$73,MATCH(LW$3,'Standards for Conversions'!$A$47:$A$73,0))))</f>
        <v/>
      </c>
      <c r="MB140" s="31" t="str">
        <f>IF(MA140/(INDEX('Standards for Conversions'!$H$47:$H$73,MATCH(LZ$3,'Standards for Conversions'!$A$47:$A$73,0)))=0,"",MA140/(INDEX('Standards for Conversions'!$H$47:$H$73,MATCH(LZ$3,'Standards for Conversions'!$A$47:$A$73,0))))</f>
        <v/>
      </c>
      <c r="ME140" s="31" t="str">
        <f>IF(MD140/(INDEX('Standards for Conversions'!$H$47:$H$73,MATCH(MC$3,'Standards for Conversions'!$A$47:$A$73,0)))=0,"",MD140/(INDEX('Standards for Conversions'!$H$47:$H$73,MATCH(MC$3,'Standards for Conversions'!$A$47:$A$73,0))))</f>
        <v/>
      </c>
      <c r="MH140" s="31" t="str">
        <f>IF(MG140/(INDEX('Standards for Conversions'!$H$47:$H$73,MATCH(MF$3,'Standards for Conversions'!$A$47:$A$73,0)))=0,"",MG140/(INDEX('Standards for Conversions'!$H$47:$H$73,MATCH(MF$3,'Standards for Conversions'!$A$47:$A$73,0))))</f>
        <v/>
      </c>
      <c r="MK140" s="31" t="str">
        <f>IF(MJ140/(INDEX('Standards for Conversions'!$H$47:$H$73,MATCH(MI$3,'Standards for Conversions'!$A$47:$A$73,0)))=0,"",MJ140/(INDEX('Standards for Conversions'!$H$47:$H$73,MATCH(MI$3,'Standards for Conversions'!$A$47:$A$73,0))))</f>
        <v/>
      </c>
      <c r="MN140" s="31" t="str">
        <f>IF(MM140/(INDEX('Standards for Conversions'!$H$47:$H$73,MATCH(ML$3,'Standards for Conversions'!$A$47:$A$73,0)))=0,"",MM140/(INDEX('Standards for Conversions'!$H$47:$H$73,MATCH(ML$3,'Standards for Conversions'!$A$47:$A$73,0))))</f>
        <v/>
      </c>
      <c r="MR140" s="31" t="str">
        <f>IF(MQ140/(INDEX('Standards for Conversions'!$H$47:$H$73,MATCH(MP$3,'Standards for Conversions'!$A$47:$A$73,0)))=0,"",MQ140/(INDEX('Standards for Conversions'!$H$47:$H$73,MATCH(MP$3,'Standards for Conversions'!$A$47:$A$73,0))))</f>
        <v/>
      </c>
    </row>
    <row r="141" spans="1:356" hidden="1" x14ac:dyDescent="0.3">
      <c r="A141" s="103" t="s">
        <v>305</v>
      </c>
      <c r="B141" s="10" t="s">
        <v>44</v>
      </c>
      <c r="C141" s="7"/>
      <c r="D141" s="7"/>
      <c r="E141" s="31" t="str">
        <f>IF(D141/(INDEX('Standards for Conversions'!$H$34:$H$73,MATCH(C$3,'Standards for Conversions'!$A$34:$A$73,0)))=0,"",D141/(INDEX('Standards for Conversions'!$H$34:$H$73,MATCH(C$3,'Standards for Conversions'!$A$34:$A$73,0))))</f>
        <v/>
      </c>
      <c r="F141" s="10" t="s">
        <v>44</v>
      </c>
      <c r="G141" s="7"/>
      <c r="H141" s="7"/>
      <c r="I141" s="31" t="str">
        <f>IF(H141/(INDEX('Standards for Conversions'!$H$34:$H$73,MATCH(G$3,'Standards for Conversions'!$A$34:$A$73,0)))=0,"",H141/(INDEX('Standards for Conversions'!$H$34:$H$73,MATCH(G$3,'Standards for Conversions'!$A$34:$A$73,0))))</f>
        <v/>
      </c>
      <c r="J141" s="10" t="s">
        <v>44</v>
      </c>
      <c r="K141" s="7"/>
      <c r="L141" s="7"/>
      <c r="M141" s="31" t="str">
        <f>IF(L141/(INDEX('Standards for Conversions'!$H$34:$H$73,MATCH(K$3,'Standards for Conversions'!$A$34:$A$73,0)))=0,"",L141/(INDEX('Standards for Conversions'!$H$34:$H$73,MATCH(K$3,'Standards for Conversions'!$A$34:$A$73,0))))</f>
        <v/>
      </c>
      <c r="N141" s="10" t="s">
        <v>44</v>
      </c>
      <c r="O141" s="7">
        <v>800</v>
      </c>
      <c r="P141" s="7">
        <v>1000</v>
      </c>
      <c r="Q141" s="31">
        <f>IF(P141/(INDEX('Standards for Conversions'!$H$34:$H$73,MATCH(O$3,'Standards for Conversions'!$A$34:$A$73,0)))=0,"",P141/(INDEX('Standards for Conversions'!$H$34:$H$73,MATCH(O$3,'Standards for Conversions'!$A$34:$A$73,0))))</f>
        <v>197.54222972972971</v>
      </c>
      <c r="R141" s="10" t="s">
        <v>44</v>
      </c>
      <c r="S141" s="7"/>
      <c r="T141" s="7"/>
      <c r="U141" s="31" t="str">
        <f>IF(T141/(INDEX('Standards for Conversions'!$H$34:$H$73,MATCH(S$3,'Standards for Conversions'!$A$34:$A$73,0)))=0,"",T141/(INDEX('Standards for Conversions'!$H$34:$H$73,MATCH(S$3,'Standards for Conversions'!$A$34:$A$73,0))))</f>
        <v/>
      </c>
      <c r="V141" s="10" t="s">
        <v>44</v>
      </c>
      <c r="W141" s="7"/>
      <c r="X141" s="7"/>
      <c r="Y141" s="31" t="str">
        <f>IF(X141/(INDEX('Standards for Conversions'!$H$34:$H$73,MATCH(W$3,'Standards for Conversions'!$A$34:$A$73,0)))=0,"",X141/(INDEX('Standards for Conversions'!$H$34:$H$73,MATCH(W$3,'Standards for Conversions'!$A$34:$A$73,0))))</f>
        <v/>
      </c>
      <c r="Z141" s="10" t="s">
        <v>44</v>
      </c>
      <c r="AA141" s="7"/>
      <c r="AB141" s="7"/>
      <c r="AC141" s="31" t="str">
        <f>IF(AB141/(INDEX('Standards for Conversions'!$H$34:$H$73,MATCH(AA$3,'Standards for Conversions'!$A$34:$A$73,0)))=0,"",AB141/(INDEX('Standards for Conversions'!$H$34:$H$73,MATCH(AA$3,'Standards for Conversions'!$A$34:$A$73,0))))</f>
        <v/>
      </c>
      <c r="AD141" s="10" t="s">
        <v>44</v>
      </c>
      <c r="AE141" s="7">
        <v>800</v>
      </c>
      <c r="AF141" s="7">
        <v>1200</v>
      </c>
      <c r="AG141" s="31">
        <f>IF(AF141/(INDEX('Standards for Conversions'!$H$34:$H$73,MATCH(AE$3,'Standards for Conversions'!$A$34:$A$73,0)))=0,"",AF141/(INDEX('Standards for Conversions'!$H$34:$H$73,MATCH(AE$3,'Standards for Conversions'!$A$34:$A$73,0))))</f>
        <v>231.20698270617882</v>
      </c>
      <c r="AH141" s="10" t="s">
        <v>44</v>
      </c>
      <c r="AI141" s="7"/>
      <c r="AJ141" s="7"/>
      <c r="AK141" s="31" t="str">
        <f>IF(AJ141/(INDEX('Standards for Conversions'!$H$34:$H$73,MATCH(AI$3,'Standards for Conversions'!$A$34:$A$73,0)))=0,"",AJ141/(INDEX('Standards for Conversions'!$H$34:$H$73,MATCH(AI$3,'Standards for Conversions'!$A$34:$A$73,0))))</f>
        <v/>
      </c>
      <c r="AL141" s="10" t="s">
        <v>44</v>
      </c>
      <c r="AM141" s="7"/>
      <c r="AN141" s="7"/>
      <c r="AO141" s="31" t="str">
        <f>IF(AN141/(INDEX('Standards for Conversions'!$H$34:$H$73,MATCH(AM$3,'Standards for Conversions'!$A$34:$A$73,0)))=0,"",AN141/(INDEX('Standards for Conversions'!$H$34:$H$73,MATCH(AM$3,'Standards for Conversions'!$A$34:$A$73,0))))</f>
        <v/>
      </c>
      <c r="AP141" s="10" t="s">
        <v>44</v>
      </c>
      <c r="AQ141" s="7"/>
      <c r="AR141" s="7"/>
      <c r="AS141" s="31" t="str">
        <f>IF(AR141/(INDEX('Standards for Conversions'!$H$34:$H$73,MATCH(AQ$3,'Standards for Conversions'!$A$34:$A$73,0)))=0,"",AR141/(INDEX('Standards for Conversions'!$H$34:$H$73,MATCH(AQ$3,'Standards for Conversions'!$A$34:$A$73,0))))</f>
        <v/>
      </c>
      <c r="AT141" s="10" t="s">
        <v>44</v>
      </c>
      <c r="AU141" s="7">
        <v>375</v>
      </c>
      <c r="AV141" s="7">
        <v>600</v>
      </c>
      <c r="AW141" s="31">
        <f>IF(AV141/(INDEX('Standards for Conversions'!$H$34:$H$73,MATCH(AU$3,'Standards for Conversions'!$A$34:$A$73,0)))=0,"",AV141/(INDEX('Standards for Conversions'!$H$34:$H$73,MATCH(AU$3,'Standards for Conversions'!$A$34:$A$73,0))))</f>
        <v>107.21906230989831</v>
      </c>
      <c r="AX141" s="10" t="s">
        <v>44</v>
      </c>
      <c r="AY141" s="7"/>
      <c r="AZ141" s="7"/>
      <c r="BA141" s="31" t="str">
        <f>IF(AZ141/(INDEX('Standards for Conversions'!$H$34:$H$73,MATCH(AY$3,'Standards for Conversions'!$A$34:$A$73,0)))=0,"",AZ141/(INDEX('Standards for Conversions'!$H$34:$H$73,MATCH(AY$3,'Standards for Conversions'!$A$34:$A$73,0))))</f>
        <v/>
      </c>
      <c r="BB141" s="10" t="s">
        <v>44</v>
      </c>
      <c r="BC141" s="7"/>
      <c r="BD141" s="7"/>
      <c r="BE141" s="31" t="str">
        <f>IF(BD141/(INDEX('Standards for Conversions'!$H$34:$H$73,MATCH(BC$3,'Standards for Conversions'!$A$34:$A$73,0)))=0,"",BD141/(INDEX('Standards for Conversions'!$H$34:$H$73,MATCH(BC$3,'Standards for Conversions'!$A$34:$A$73,0))))</f>
        <v/>
      </c>
      <c r="BF141" s="10" t="s">
        <v>44</v>
      </c>
      <c r="BG141" s="7"/>
      <c r="BH141" s="7"/>
      <c r="BI141" s="31" t="str">
        <f>IF(BH141/(INDEX('Standards for Conversions'!$H$34:$H$73,MATCH(BG$3,'Standards for Conversions'!$A$34:$A$73,0)))=0,"",BH141/(INDEX('Standards for Conversions'!$H$34:$H$73,MATCH(BG$3,'Standards for Conversions'!$A$34:$A$73,0))))</f>
        <v/>
      </c>
      <c r="BJ141" s="10" t="s">
        <v>44</v>
      </c>
      <c r="BK141" s="7">
        <v>300</v>
      </c>
      <c r="BL141" s="7">
        <v>500</v>
      </c>
      <c r="BM141" s="31">
        <f>IF(BL141/(INDEX('Standards for Conversions'!$H$34:$H$73,MATCH(BK$3,'Standards for Conversions'!$A$34:$A$73,0)))=0,"",BL141/(INDEX('Standards for Conversions'!$H$34:$H$73,MATCH(BK$3,'Standards for Conversions'!$A$34:$A$73,0))))</f>
        <v>92.842730692911559</v>
      </c>
      <c r="BN141" s="10" t="s">
        <v>44</v>
      </c>
      <c r="BO141" s="7"/>
      <c r="BP141" s="7"/>
      <c r="BQ141" s="31" t="str">
        <f>IF(BP141/(INDEX('Standards for Conversions'!$H$34:$H$73,MATCH(BO$3,'Standards for Conversions'!$A$34:$A$73,0)))=0,"",BP141/(INDEX('Standards for Conversions'!$H$34:$H$73,MATCH(BO$3,'Standards for Conversions'!$A$34:$A$73,0))))</f>
        <v/>
      </c>
      <c r="BR141" s="10" t="s">
        <v>44</v>
      </c>
      <c r="BS141" s="7"/>
      <c r="BT141" s="7"/>
      <c r="BU141" s="31" t="str">
        <f>IF(BT141/(INDEX('Standards for Conversions'!$H$34:$H$73,MATCH(BS$3,'Standards for Conversions'!$A$34:$A$73,0)))=0,"",BT141/(INDEX('Standards for Conversions'!$H$34:$H$73,MATCH(BS$3,'Standards for Conversions'!$A$34:$A$73,0))))</f>
        <v/>
      </c>
      <c r="BV141" s="10" t="s">
        <v>44</v>
      </c>
      <c r="BW141" s="7"/>
      <c r="BX141" s="7"/>
      <c r="BY141" s="31" t="str">
        <f>IF(BX141/(INDEX('Standards for Conversions'!$H$34:$H$73,MATCH(BW$3,'Standards for Conversions'!$A$34:$A$73,0)))=0,"",BX141/(INDEX('Standards for Conversions'!$H$34:$H$73,MATCH(BW$3,'Standards for Conversions'!$A$34:$A$73,0))))</f>
        <v/>
      </c>
      <c r="BZ141" s="10" t="s">
        <v>44</v>
      </c>
      <c r="CA141" s="7">
        <v>300</v>
      </c>
      <c r="CB141" s="7">
        <v>600</v>
      </c>
      <c r="CC141" s="31">
        <f>IF(CB141/(INDEX('Standards for Conversions'!$H$34:$H$73,MATCH(CA$3,'Standards for Conversions'!$A$34:$A$73,0)))=0,"",CB141/(INDEX('Standards for Conversions'!$H$34:$H$73,MATCH(CA$3,'Standards for Conversions'!$A$34:$A$73,0))))</f>
        <v>106.83795189884417</v>
      </c>
      <c r="CD141" s="10" t="s">
        <v>44</v>
      </c>
      <c r="CE141" s="7"/>
      <c r="CF141" s="7"/>
      <c r="CG141" s="31" t="str">
        <f>IF(CF141/(INDEX('Standards for Conversions'!$H$34:$H$73,MATCH(CE$3,'Standards for Conversions'!$A$34:$A$73,0)))=0,"",CF141/(INDEX('Standards for Conversions'!$H$34:$H$73,MATCH(CE$3,'Standards for Conversions'!$A$34:$A$73,0))))</f>
        <v/>
      </c>
      <c r="CH141" s="10" t="s">
        <v>44</v>
      </c>
      <c r="CI141" s="7"/>
      <c r="CJ141" s="7"/>
      <c r="CK141" s="31" t="str">
        <f>IF(CJ141/(INDEX('Standards for Conversions'!$H$34:$H$73,MATCH(CI$3,'Standards for Conversions'!$A$34:$A$73,0)))=0,"",CJ141/(INDEX('Standards for Conversions'!$H$34:$H$73,MATCH(CI$3,'Standards for Conversions'!$A$34:$A$73,0))))</f>
        <v/>
      </c>
      <c r="CL141" s="10" t="s">
        <v>44</v>
      </c>
      <c r="CM141" s="7"/>
      <c r="CN141" s="7"/>
      <c r="CO141" s="31" t="str">
        <f>IF(CN141/(INDEX('Standards for Conversions'!$H$34:$H$73,MATCH(CM$3,'Standards for Conversions'!$A$34:$A$73,0)))=0,"",CN141/(INDEX('Standards for Conversions'!$H$34:$H$73,MATCH(CM$3,'Standards for Conversions'!$A$34:$A$73,0))))</f>
        <v/>
      </c>
      <c r="CP141" s="10" t="s">
        <v>44</v>
      </c>
      <c r="CQ141" s="7">
        <v>250</v>
      </c>
      <c r="CR141" s="7">
        <v>500</v>
      </c>
      <c r="CS141" s="31">
        <f>IF(CR141/(INDEX('Standards for Conversions'!$H$34:$H$73,MATCH(CQ$3,'Standards for Conversions'!$A$34:$A$73,0)))=0,"",CR141/(INDEX('Standards for Conversions'!$H$34:$H$73,MATCH(CQ$3,'Standards for Conversions'!$A$34:$A$73,0))))</f>
        <v>86.808482517887654</v>
      </c>
      <c r="CT141" s="10" t="s">
        <v>44</v>
      </c>
      <c r="CU141" s="7"/>
      <c r="CV141" s="7"/>
      <c r="CW141" s="31" t="str">
        <f>IF(CV141/(INDEX('Standards for Conversions'!$H$34:$H$73,MATCH(CU$3,'Standards for Conversions'!$A$34:$A$73,0)))=0,"",CV141/(INDEX('Standards for Conversions'!$H$34:$H$73,MATCH(CU$3,'Standards for Conversions'!$A$34:$A$73,0))))</f>
        <v/>
      </c>
      <c r="CX141" s="10" t="s">
        <v>44</v>
      </c>
      <c r="CY141" s="7"/>
      <c r="CZ141" s="7"/>
      <c r="DA141" s="31" t="str">
        <f>IF(CZ141/(INDEX('Standards for Conversions'!$H$34:$H$73,MATCH(CY$3,'Standards for Conversions'!$A$34:$A$73,0)))=0,"",CZ141/(INDEX('Standards for Conversions'!$H$34:$H$73,MATCH(CY$3,'Standards for Conversions'!$A$34:$A$73,0))))</f>
        <v/>
      </c>
      <c r="DB141" s="10" t="s">
        <v>44</v>
      </c>
      <c r="DC141" s="7"/>
      <c r="DD141" s="7"/>
      <c r="DE141" s="31" t="str">
        <f>IF(DD141/(INDEX('Standards for Conversions'!$H$34:$H$73,MATCH(DC$3,'Standards for Conversions'!$A$34:$A$73,0)))=0,"",DD141/(INDEX('Standards for Conversions'!$H$34:$H$73,MATCH(DC$3,'Standards for Conversions'!$A$34:$A$73,0))))</f>
        <v/>
      </c>
      <c r="DF141" s="10" t="s">
        <v>44</v>
      </c>
      <c r="DG141" s="7">
        <v>600</v>
      </c>
      <c r="DH141" s="7">
        <v>2400</v>
      </c>
      <c r="DI141" s="31">
        <f>IF(DH141/(INDEX('Standards for Conversions'!$H$34:$H$73,MATCH(DG$3,'Standards for Conversions'!$A$34:$A$73,0)))=0,"",DH141/(INDEX('Standards for Conversions'!$H$34:$H$73,MATCH(DG$3,'Standards for Conversions'!$A$34:$A$73,0))))</f>
        <v>424.81107152168249</v>
      </c>
      <c r="DJ141" s="10" t="s">
        <v>44</v>
      </c>
      <c r="DK141" s="7"/>
      <c r="DL141" s="7"/>
      <c r="DM141" s="31" t="str">
        <f>IF(DL141/(INDEX('Standards for Conversions'!$H$34:$H$73,MATCH(DK$3,'Standards for Conversions'!$A$34:$A$73,0)))=0,"",DL141/(INDEX('Standards for Conversions'!$H$34:$H$73,MATCH(DK$3,'Standards for Conversions'!$A$34:$A$73,0))))</f>
        <v/>
      </c>
      <c r="DN141" s="10" t="s">
        <v>44</v>
      </c>
      <c r="DO141" s="7"/>
      <c r="DP141" s="7"/>
      <c r="DQ141" s="31" t="str">
        <f>IF(DP141/(INDEX('Standards for Conversions'!$H$34:$H$73,MATCH(DO$3,'Standards for Conversions'!$A$34:$A$73,0)))=0,"",DP141/(INDEX('Standards for Conversions'!$H$34:$H$73,MATCH(DO$3,'Standards for Conversions'!$A$34:$A$73,0))))</f>
        <v/>
      </c>
      <c r="DR141" s="10" t="s">
        <v>44</v>
      </c>
      <c r="DS141" s="7"/>
      <c r="DT141" s="7"/>
      <c r="DU141" s="31" t="str">
        <f>IF(DT141/(INDEX('Standards for Conversions'!$H$34:$H$73,MATCH(DS$3,'Standards for Conversions'!$A$34:$A$73,0)))=0,"",DT141/(INDEX('Standards for Conversions'!$H$34:$H$73,MATCH(DS$3,'Standards for Conversions'!$A$34:$A$73,0))))</f>
        <v/>
      </c>
      <c r="DV141" s="10" t="s">
        <v>44</v>
      </c>
      <c r="DW141" s="7">
        <v>1000</v>
      </c>
      <c r="DX141" s="7">
        <v>900</v>
      </c>
      <c r="DY141" s="31">
        <f>IF(DX141/(INDEX('Standards for Conversions'!$H$34:$H$73,MATCH(DW$3,'Standards for Conversions'!$A$34:$A$73,0)))=0,"",DX141/(INDEX('Standards for Conversions'!$H$34:$H$73,MATCH(DW$3,'Standards for Conversions'!$A$34:$A$73,0))))</f>
        <v>157.58915497088728</v>
      </c>
      <c r="DZ141" s="10" t="s">
        <v>44</v>
      </c>
      <c r="EA141" s="7"/>
      <c r="EB141" s="7"/>
      <c r="EC141" s="31" t="str">
        <f>IF(EB141/(INDEX('Standards for Conversions'!$H$34:$H$73,MATCH(EA$3,'Standards for Conversions'!$A$34:$A$73,0)))=0,"",EB141/(INDEX('Standards for Conversions'!$H$34:$H$73,MATCH(EA$3,'Standards for Conversions'!$A$34:$A$73,0))))</f>
        <v/>
      </c>
      <c r="ED141" s="10" t="s">
        <v>44</v>
      </c>
      <c r="EE141" s="7"/>
      <c r="EF141" s="7"/>
      <c r="EG141" s="31" t="str">
        <f>IF(EF141/(INDEX('Standards for Conversions'!$H$34:$H$73,MATCH(EE$3,'Standards for Conversions'!$A$34:$A$73,0)))=0,"",EF141/(INDEX('Standards for Conversions'!$H$34:$H$73,MATCH(EE$3,'Standards for Conversions'!$A$34:$A$73,0))))</f>
        <v/>
      </c>
      <c r="EH141" s="10" t="s">
        <v>44</v>
      </c>
      <c r="EI141" s="7"/>
      <c r="EJ141" s="7"/>
      <c r="EK141" s="31" t="str">
        <f>IF(EJ141/(INDEX('Standards for Conversions'!$H$34:$H$73,MATCH(EI$3,'Standards for Conversions'!$A$34:$A$73,0)))=0,"",EJ141/(INDEX('Standards for Conversions'!$H$34:$H$73,MATCH(EI$3,'Standards for Conversions'!$A$34:$A$73,0))))</f>
        <v/>
      </c>
      <c r="EL141" s="10" t="s">
        <v>44</v>
      </c>
      <c r="EM141" s="7">
        <v>183</v>
      </c>
      <c r="EN141" s="7">
        <v>480</v>
      </c>
      <c r="EO141" s="31">
        <f>IF(EN141/(INDEX('Standards for Conversions'!$H$34:$H$73,MATCH(EM$3,'Standards for Conversions'!$A$34:$A$73,0)))=0,"",EN141/(INDEX('Standards for Conversions'!$H$34:$H$73,MATCH(EM$3,'Standards for Conversions'!$A$34:$A$73,0))))</f>
        <v>83.945919874858774</v>
      </c>
      <c r="EP141" s="10" t="s">
        <v>44</v>
      </c>
      <c r="EQ141" s="7"/>
      <c r="ER141" s="7"/>
      <c r="ES141" s="31" t="str">
        <f>IF(ER141/(INDEX('Standards for Conversions'!$H$34:$H$73,MATCH(EQ$3,'Standards for Conversions'!$A$34:$A$73,0)))=0,"",ER141/(INDEX('Standards for Conversions'!$H$34:$H$73,MATCH(EQ$3,'Standards for Conversions'!$A$34:$A$73,0))))</f>
        <v/>
      </c>
      <c r="ET141" s="10" t="s">
        <v>44</v>
      </c>
      <c r="EU141" s="7"/>
      <c r="EV141" s="7"/>
      <c r="EW141" s="31" t="str">
        <f>IF(EV141/(INDEX('Standards for Conversions'!$H$34:$H$73,MATCH(EU$3,'Standards for Conversions'!$A$34:$A$73,0)))=0,"",EV141/(INDEX('Standards for Conversions'!$H$34:$H$73,MATCH(EU$3,'Standards for Conversions'!$A$34:$A$73,0))))</f>
        <v/>
      </c>
      <c r="EX141" s="10" t="s">
        <v>44</v>
      </c>
      <c r="EY141" s="9"/>
      <c r="EZ141" s="9"/>
      <c r="FA141" s="31" t="str">
        <f>IF(EZ141/(INDEX('Standards for Conversions'!$H$34:$H$73,MATCH(EY$3,'Standards for Conversions'!$A$34:$A$73,0)))=0,"",EZ141/(INDEX('Standards for Conversions'!$H$34:$H$73,MATCH(EY$3,'Standards for Conversions'!$A$34:$A$73,0))))</f>
        <v/>
      </c>
      <c r="FB141" s="10" t="s">
        <v>44</v>
      </c>
      <c r="FC141" s="7">
        <v>209</v>
      </c>
      <c r="FD141" s="7">
        <v>510</v>
      </c>
      <c r="FE141" s="31">
        <f>IF(FD141/(INDEX('Standards for Conversions'!$H$34:$H$73,MATCH(FC$3,'Standards for Conversions'!$A$34:$A$73,0)))=0,"",FD141/(INDEX('Standards for Conversions'!$H$34:$H$73,MATCH(FC$3,'Standards for Conversions'!$A$34:$A$73,0))))</f>
        <v>87.356858053793331</v>
      </c>
      <c r="FF141" s="10" t="s">
        <v>44</v>
      </c>
      <c r="FG141" s="7"/>
      <c r="FH141" s="7"/>
      <c r="FI141" s="31" t="str">
        <f>IF(FH141/(INDEX('Standards for Conversions'!$H$34:$H$73,MATCH(FG$3,'Standards for Conversions'!$A$34:$A$73,0)))=0,"",FH141/(INDEX('Standards for Conversions'!$H$34:$H$73,MATCH(FG$3,'Standards for Conversions'!$A$34:$A$73,0))))</f>
        <v/>
      </c>
      <c r="FJ141" s="10" t="s">
        <v>44</v>
      </c>
      <c r="FK141" s="7"/>
      <c r="FL141" s="7"/>
      <c r="FM141" s="31" t="str">
        <f>IF(FL141/(INDEX('Standards for Conversions'!$H$34:$H$73,MATCH(FK$3,'Standards for Conversions'!$A$34:$A$73,0)))=0,"",FL141/(INDEX('Standards for Conversions'!$H$34:$H$73,MATCH(FK$3,'Standards for Conversions'!$A$34:$A$73,0))))</f>
        <v/>
      </c>
      <c r="FN141" s="10" t="s">
        <v>44</v>
      </c>
      <c r="FO141" s="9"/>
      <c r="FP141" s="9"/>
      <c r="FQ141" s="31" t="str">
        <f>IF(FP141/(INDEX('Standards for Conversions'!$H$34:$H$73,MATCH(FO$3,'Standards for Conversions'!$A$34:$A$73,0)))=0,"",FP141/(INDEX('Standards for Conversions'!$H$34:$H$73,MATCH(FO$3,'Standards for Conversions'!$A$34:$A$73,0))))</f>
        <v/>
      </c>
      <c r="FR141" s="10" t="s">
        <v>44</v>
      </c>
      <c r="FS141" s="7">
        <v>500</v>
      </c>
      <c r="FT141" s="7">
        <v>1250</v>
      </c>
      <c r="FU141" s="31">
        <f>IF(FT141/(INDEX('Standards for Conversions'!$H$34:$H$73,MATCH(FS$3,'Standards for Conversions'!$A$34:$A$73,0)))=0,"",FT141/(INDEX('Standards for Conversions'!$H$34:$H$73,MATCH(FS$3,'Standards for Conversions'!$A$34:$A$73,0))))</f>
        <v>214.37460621795427</v>
      </c>
      <c r="FV141" s="10" t="s">
        <v>44</v>
      </c>
      <c r="FW141" s="7"/>
      <c r="FX141" s="7"/>
      <c r="FY141" s="31" t="str">
        <f>IF(FX141/(INDEX('Standards for Conversions'!$H$34:$H$73,MATCH(FW$3,'Standards for Conversions'!$A$34:$A$73,0)))=0,"",FX141/(INDEX('Standards for Conversions'!$H$34:$H$73,MATCH(FW$3,'Standards for Conversions'!$A$34:$A$73,0))))</f>
        <v/>
      </c>
      <c r="FZ141" s="10" t="s">
        <v>44</v>
      </c>
      <c r="GA141" s="7"/>
      <c r="GB141" s="7"/>
      <c r="GC141" s="31" t="str">
        <f>IF(GB141/(INDEX('Standards for Conversions'!$H$34:$H$73,MATCH(GA$3,'Standards for Conversions'!$A$34:$A$73,0)))=0,"",GB141/(INDEX('Standards for Conversions'!$H$34:$H$73,MATCH(GA$3,'Standards for Conversions'!$A$34:$A$73,0))))</f>
        <v/>
      </c>
      <c r="GD141" s="10" t="s">
        <v>44</v>
      </c>
      <c r="GE141" s="9"/>
      <c r="GF141" s="9"/>
      <c r="GG141" s="31" t="str">
        <f>IF(GF141/(INDEX('Standards for Conversions'!$H$34:$H$73,MATCH(GE$3,'Standards for Conversions'!$A$34:$A$73,0)))=0,"",GF141/(INDEX('Standards for Conversions'!$H$34:$H$73,MATCH(GE$3,'Standards for Conversions'!$A$34:$A$73,0))))</f>
        <v/>
      </c>
      <c r="GH141" s="10" t="s">
        <v>44</v>
      </c>
      <c r="GI141" s="7">
        <v>250</v>
      </c>
      <c r="GJ141" s="7">
        <v>1500</v>
      </c>
      <c r="GK141" s="31">
        <f>IF(GJ141/(INDEX('Standards for Conversions'!$H$34:$H$73,MATCH(GI$3,'Standards for Conversions'!$A$34:$A$73,0)))=0,"",GJ141/(INDEX('Standards for Conversions'!$H$34:$H$73,MATCH(GI$3,'Standards for Conversions'!$A$34:$A$73,0))))</f>
        <v>246.76899115755626</v>
      </c>
      <c r="GL141" s="10" t="s">
        <v>44</v>
      </c>
      <c r="GM141" s="7"/>
      <c r="GN141" s="7"/>
      <c r="GO141" s="31" t="str">
        <f>IF(GN141/(INDEX('Standards for Conversions'!$H$34:$H$73,MATCH(GM$3,'Standards for Conversions'!$A$34:$A$73,0)))=0,"",GN141/(INDEX('Standards for Conversions'!$H$34:$H$73,MATCH(GM$3,'Standards for Conversions'!$A$34:$A$73,0))))</f>
        <v/>
      </c>
      <c r="GP141" s="10" t="s">
        <v>44</v>
      </c>
      <c r="GQ141" s="7"/>
      <c r="GR141" s="7"/>
      <c r="GS141" s="31" t="str">
        <f>IF(GR141/(INDEX('Standards for Conversions'!$H$34:$H$73,MATCH(GQ$3,'Standards for Conversions'!$A$34:$A$73,0)))=0,"",GR141/(INDEX('Standards for Conversions'!$H$34:$H$73,MATCH(GQ$3,'Standards for Conversions'!$A$34:$A$73,0))))</f>
        <v/>
      </c>
      <c r="GT141" s="10" t="s">
        <v>44</v>
      </c>
      <c r="GU141" s="9"/>
      <c r="GV141" s="9"/>
      <c r="GW141" s="31" t="str">
        <f>IF(GV141/(INDEX('Standards for Conversions'!$H$34:$H$73,MATCH(GU$3,'Standards for Conversions'!$A$34:$A$73,0)))=0,"",GV141/(INDEX('Standards for Conversions'!$H$34:$H$73,MATCH(GU$3,'Standards for Conversions'!$A$34:$A$73,0))))</f>
        <v/>
      </c>
      <c r="GX141" s="10" t="s">
        <v>44</v>
      </c>
      <c r="GY141" s="7">
        <v>500</v>
      </c>
      <c r="GZ141" s="7">
        <v>1500</v>
      </c>
      <c r="HA141" s="31">
        <f>IF(GZ141/(INDEX('Standards for Conversions'!$H$34:$H$73,MATCH(GY$3,'Standards for Conversions'!$A$34:$A$73,0)))=0,"",GZ141/(INDEX('Standards for Conversions'!$H$34:$H$73,MATCH(GY$3,'Standards for Conversions'!$A$34:$A$73,0))))</f>
        <v>230.57179868775529</v>
      </c>
      <c r="HB141" s="10" t="s">
        <v>44</v>
      </c>
      <c r="HC141" s="7"/>
      <c r="HD141" s="7"/>
      <c r="HE141" s="31" t="str">
        <f>IF(HD141/(INDEX('Standards for Conversions'!$H$34:$H$73,MATCH(HC$3,'Standards for Conversions'!$A$34:$A$73,0)))=0,"",HD141/(INDEX('Standards for Conversions'!$H$34:$H$73,MATCH(HC$3,'Standards for Conversions'!$A$34:$A$73,0))))</f>
        <v/>
      </c>
      <c r="HF141" s="10" t="s">
        <v>44</v>
      </c>
      <c r="HG141" s="7"/>
      <c r="HH141" s="7"/>
      <c r="HI141" s="31" t="str">
        <f>IF(HH141/(INDEX('Standards for Conversions'!$H$34:$H$73,MATCH(HG$3,'Standards for Conversions'!$A$34:$A$73,0)))=0,"",HH141/(INDEX('Standards for Conversions'!$H$34:$H$73,MATCH(HG$3,'Standards for Conversions'!$A$34:$A$73,0))))</f>
        <v/>
      </c>
      <c r="HJ141" s="10" t="s">
        <v>44</v>
      </c>
      <c r="HK141" s="9"/>
      <c r="HL141" s="9"/>
      <c r="HM141" s="31" t="str">
        <f>IF(HL141/(INDEX('Standards for Conversions'!$H$34:$H$73,MATCH(HK$3,'Standards for Conversions'!$A$34:$A$73,0)))=0,"",HL141/(INDEX('Standards for Conversions'!$H$34:$H$73,MATCH(HK$3,'Standards for Conversions'!$A$34:$A$73,0))))</f>
        <v/>
      </c>
      <c r="HN141" s="10" t="s">
        <v>44</v>
      </c>
      <c r="HO141" s="7">
        <v>550</v>
      </c>
      <c r="HP141" s="7">
        <v>1600</v>
      </c>
      <c r="HQ141" s="31">
        <f>IF(HP141/(INDEX('Standards for Conversions'!$H$34:$H$73,MATCH(HO$3,'Standards for Conversions'!$A$34:$A$73,0)))=0,"",HP141/(INDEX('Standards for Conversions'!$H$34:$H$73,MATCH(HO$3,'Standards for Conversions'!$A$34:$A$73,0))))</f>
        <v>242.21683902552064</v>
      </c>
      <c r="HR141" s="33" t="s">
        <v>44</v>
      </c>
      <c r="HU141" s="31" t="str">
        <f>IF(HT141/(INDEX('Standards for Conversions'!$H$47:$H$73,MATCH(HS$3,'Standards for Conversions'!$A$47:$A$73,0)))=0,"",HT141/(INDEX('Standards for Conversions'!$H$47:$H$73,MATCH(HS$3,'Standards for Conversions'!$A$47:$A$73,0))))</f>
        <v/>
      </c>
      <c r="HV141" s="33" t="s">
        <v>44</v>
      </c>
      <c r="HY141" s="31" t="str">
        <f>IF(HX141/(INDEX('Standards for Conversions'!$H$47:$H$73,MATCH(HW$3,'Standards for Conversions'!$A$47:$A$73,0)))=0,"",HX141/(INDEX('Standards for Conversions'!$H$47:$H$73,MATCH(HW$3,'Standards for Conversions'!$A$47:$A$73,0))))</f>
        <v/>
      </c>
      <c r="HZ141" s="33"/>
      <c r="IA141" s="33"/>
      <c r="IB141" s="31" t="str">
        <f>IF(IA141/(INDEX('Standards for Conversions'!$H$47:$H$73,MATCH(HZ$3,'Standards for Conversions'!$A$47:$A$73,0)))=0,"",IA141/(INDEX('Standards for Conversions'!$H$47:$H$73,MATCH(HZ$3,'Standards for Conversions'!$A$47:$A$73,0))))</f>
        <v/>
      </c>
      <c r="IC141" s="33" t="s">
        <v>44</v>
      </c>
      <c r="ID141" s="29">
        <v>600</v>
      </c>
      <c r="IE141" s="29">
        <v>1700</v>
      </c>
      <c r="IF141" s="31">
        <f>IF(IE141/(INDEX('Standards for Conversions'!$H$47:$H$73,MATCH(ID$3,'Standards for Conversions'!$A$47:$A$73,0)))=0,"",IE141/(INDEX('Standards for Conversions'!$H$47:$H$73,MATCH(ID$3,'Standards for Conversions'!$A$47:$A$73,0))))</f>
        <v>246.91720076185513</v>
      </c>
      <c r="IG141" s="33" t="s">
        <v>44</v>
      </c>
      <c r="IJ141" s="31" t="str">
        <f>IF(II141/(INDEX('Standards for Conversions'!$H$47:$H$73,MATCH(IH$3,'Standards for Conversions'!$A$47:$A$73,0)))=0,"",II141/(INDEX('Standards for Conversions'!$H$47:$H$73,MATCH(IH$3,'Standards for Conversions'!$A$47:$A$73,0))))</f>
        <v/>
      </c>
      <c r="IK141" s="33" t="s">
        <v>44</v>
      </c>
      <c r="IN141" s="31" t="str">
        <f>IF(IM141/(INDEX('Standards for Conversions'!$H$47:$H$73,MATCH(IL$3,'Standards for Conversions'!$A$47:$A$73,0)))=0,"",IM141/(INDEX('Standards for Conversions'!$H$47:$H$73,MATCH(IL$3,'Standards for Conversions'!$A$47:$A$73,0))))</f>
        <v/>
      </c>
      <c r="IO141" s="33" t="s">
        <v>44</v>
      </c>
      <c r="IR141" s="31" t="str">
        <f>IF(IQ141/(INDEX('Standards for Conversions'!$H$47:$H$73,MATCH(IP$3,'Standards for Conversions'!$A$47:$A$73,0)))=0,"",IQ141/(INDEX('Standards for Conversions'!$H$47:$H$73,MATCH(IP$3,'Standards for Conversions'!$A$47:$A$73,0))))</f>
        <v/>
      </c>
      <c r="IS141" s="33" t="s">
        <v>44</v>
      </c>
      <c r="IT141" s="29">
        <v>550</v>
      </c>
      <c r="IU141" s="29">
        <v>1562</v>
      </c>
      <c r="IV141" s="31">
        <f>IF(IU141/(INDEX('Standards for Conversions'!$H$47:$H$73,MATCH(IT$3,'Standards for Conversions'!$A$47:$A$73,0)))=0,"",IU141/(INDEX('Standards for Conversions'!$H$47:$H$73,MATCH(IT$3,'Standards for Conversions'!$A$47:$A$73,0))))</f>
        <v>225.88117643970335</v>
      </c>
      <c r="IW141" s="33" t="s">
        <v>44</v>
      </c>
      <c r="IZ141" s="31" t="str">
        <f>IF(IY141/(INDEX('Standards for Conversions'!$H$47:$H$73,MATCH(IX$3,'Standards for Conversions'!$A$47:$A$73,0)))=0,"",IY141/(INDEX('Standards for Conversions'!$H$47:$H$73,MATCH(IX$3,'Standards for Conversions'!$A$47:$A$73,0))))</f>
        <v/>
      </c>
      <c r="JA141" s="33" t="s">
        <v>44</v>
      </c>
      <c r="JD141" s="31" t="str">
        <f>IF(JC141/(INDEX('Standards for Conversions'!$H$47:$H$73,MATCH(JB$3,'Standards for Conversions'!$A$47:$A$73,0)))=0,"",JC141/(INDEX('Standards for Conversions'!$H$47:$H$73,MATCH(JB$3,'Standards for Conversions'!$A$47:$A$73,0))))</f>
        <v/>
      </c>
      <c r="JE141" s="33" t="s">
        <v>44</v>
      </c>
      <c r="JH141" s="31" t="str">
        <f>IF(JG141/(INDEX('Standards for Conversions'!$H$47:$H$73,MATCH(JF$3,'Standards for Conversions'!$A$47:$A$73,0)))=0,"",JG141/(INDEX('Standards for Conversions'!$H$47:$H$73,MATCH(JF$3,'Standards for Conversions'!$A$47:$A$73,0))))</f>
        <v/>
      </c>
      <c r="JI141" s="48" t="s">
        <v>44</v>
      </c>
      <c r="JJ141" s="29">
        <v>300</v>
      </c>
      <c r="JK141" s="29">
        <v>450</v>
      </c>
      <c r="JL141" s="31">
        <f>IF(JK141/(INDEX('Standards for Conversions'!$H$47:$H$73,MATCH(JJ$3,'Standards for Conversions'!$A$47:$A$73,0)))=0,"",JK141/(INDEX('Standards for Conversions'!$H$47:$H$73,MATCH(JJ$3,'Standards for Conversions'!$A$47:$A$73,0))))</f>
        <v>72.792088511340907</v>
      </c>
      <c r="JM141" s="33" t="s">
        <v>44</v>
      </c>
      <c r="JP141" s="31" t="str">
        <f>IF(JO141/(INDEX('Standards for Conversions'!$H$47:$H$73,MATCH(JN$3,'Standards for Conversions'!$A$47:$A$73,0)))=0,"",JO141/(INDEX('Standards for Conversions'!$H$47:$H$73,MATCH(JN$3,'Standards for Conversions'!$A$47:$A$73,0))))</f>
        <v/>
      </c>
      <c r="JQ141" s="33" t="s">
        <v>44</v>
      </c>
      <c r="JT141" s="31" t="str">
        <f>IF(JS141/(INDEX('Standards for Conversions'!$H$47:$H$73,MATCH(JR$3,'Standards for Conversions'!$A$47:$A$73,0)))=0,"",JS141/(INDEX('Standards for Conversions'!$H$47:$H$73,MATCH(JR$3,'Standards for Conversions'!$A$47:$A$73,0))))</f>
        <v/>
      </c>
      <c r="JU141" s="33" t="s">
        <v>44</v>
      </c>
      <c r="JX141" s="31" t="str">
        <f>IF(JW141/(INDEX('Standards for Conversions'!$H$47:$H$73,MATCH(JV$3,'Standards for Conversions'!$A$47:$A$73,0)))=0,"",JW141/(INDEX('Standards for Conversions'!$H$47:$H$73,MATCH(JV$3,'Standards for Conversions'!$A$47:$A$73,0))))</f>
        <v/>
      </c>
      <c r="JY141" s="33" t="s">
        <v>44</v>
      </c>
      <c r="JZ141" s="29">
        <v>400</v>
      </c>
      <c r="KA141" s="29">
        <v>600</v>
      </c>
      <c r="KB141" s="31">
        <f>IF(KA141/(INDEX('Standards for Conversions'!$H$47:$H$73,MATCH(JZ$3,'Standards for Conversions'!$A$47:$A$73,0)))=0,"",KA141/(INDEX('Standards for Conversions'!$H$47:$H$73,MATCH(JZ$3,'Standards for Conversions'!$A$47:$A$73,0))))</f>
        <v>91.593535456678538</v>
      </c>
      <c r="KC141" s="33" t="s">
        <v>44</v>
      </c>
      <c r="KF141" s="31" t="str">
        <f>IF(KE141/(INDEX('Standards for Conversions'!$H$47:$H$73,MATCH(KD$3,'Standards for Conversions'!$A$47:$A$73,0)))=0,"",KE141/(INDEX('Standards for Conversions'!$H$47:$H$73,MATCH(KD$3,'Standards for Conversions'!$A$47:$A$73,0))))</f>
        <v/>
      </c>
      <c r="KG141" s="33" t="s">
        <v>44</v>
      </c>
      <c r="KJ141" s="31" t="str">
        <f>IF(KI141/(INDEX('Standards for Conversions'!$H$47:$H$73,MATCH(KH$3,'Standards for Conversions'!$A$47:$A$73,0)))=0,"",KI141/(INDEX('Standards for Conversions'!$H$47:$H$73,MATCH(KH$3,'Standards for Conversions'!$A$47:$A$73,0))))</f>
        <v/>
      </c>
      <c r="KK141" s="33" t="s">
        <v>44</v>
      </c>
      <c r="KN141" s="31" t="str">
        <f>IF(KM141/(INDEX('Standards for Conversions'!$H$47:$H$73,MATCH(KL$3,'Standards for Conversions'!$A$47:$A$73,0)))=0,"",KM141/(INDEX('Standards for Conversions'!$H$47:$H$73,MATCH(KL$3,'Standards for Conversions'!$A$47:$A$73,0))))</f>
        <v/>
      </c>
      <c r="KO141" s="33" t="s">
        <v>44</v>
      </c>
      <c r="KP141" s="29">
        <v>300</v>
      </c>
      <c r="KQ141" s="29">
        <v>500</v>
      </c>
      <c r="KR141" s="31">
        <f>IF(KQ141/(INDEX('Standards for Conversions'!$H$47:$H$73,MATCH(KP$3,'Standards for Conversions'!$A$47:$A$73,0)))=0,"",KQ141/(INDEX('Standards for Conversions'!$H$47:$H$73,MATCH(KP$3,'Standards for Conversions'!$A$47:$A$73,0))))</f>
        <v>67.329505952898231</v>
      </c>
      <c r="KS141" s="33" t="s">
        <v>44</v>
      </c>
      <c r="KV141" s="31" t="str">
        <f>IF(KU141/(INDEX('Standards for Conversions'!$H$47:$H$73,MATCH(KT$3,'Standards for Conversions'!$A$47:$A$73,0)))=0,"",KU141/(INDEX('Standards for Conversions'!$H$47:$H$73,MATCH(KT$3,'Standards for Conversions'!$A$47:$A$73,0))))</f>
        <v/>
      </c>
      <c r="KW141" s="33" t="s">
        <v>44</v>
      </c>
      <c r="KZ141" s="31" t="str">
        <f>IF(KY141/(INDEX('Standards for Conversions'!$H$47:$H$73,MATCH(KX$3,'Standards for Conversions'!$A$47:$A$73,0)))=0,"",KY141/(INDEX('Standards for Conversions'!$H$47:$H$73,MATCH(KX$3,'Standards for Conversions'!$A$47:$A$73,0))))</f>
        <v/>
      </c>
      <c r="LA141" s="33" t="s">
        <v>38</v>
      </c>
      <c r="LD141" s="31" t="str">
        <f>IF(LC141/(INDEX('Standards for Conversions'!$H$47:$H$73,MATCH(LB$3,'Standards for Conversions'!$A$47:$A$73,0)))=0,"",LC141/(INDEX('Standards for Conversions'!$H$47:$H$73,MATCH(LB$3,'Standards for Conversions'!$A$47:$A$73,0))))</f>
        <v/>
      </c>
      <c r="LE141" s="48" t="s">
        <v>38</v>
      </c>
      <c r="LF141" s="29">
        <v>510</v>
      </c>
      <c r="LG141" s="29">
        <v>1200</v>
      </c>
      <c r="LH141" s="31">
        <f>IF(LG141/(INDEX('Standards for Conversions'!$H$47:$H$73,MATCH(LF$3,'Standards for Conversions'!$A$47:$A$73,0)))=0,"",LG141/(INDEX('Standards for Conversions'!$H$47:$H$73,MATCH(LF$3,'Standards for Conversions'!$A$47:$A$73,0))))</f>
        <v>145.93988007299902</v>
      </c>
      <c r="LL141" s="31" t="str">
        <f>IF(LK141/(INDEX('Standards for Conversions'!$H$47:$H$73,MATCH(LJ$3,'Standards for Conversions'!$A$47:$A$73,0)))=0,"",LK141/(INDEX('Standards for Conversions'!$H$47:$H$73,MATCH(LJ$3,'Standards for Conversions'!$A$47:$A$73,0))))</f>
        <v/>
      </c>
      <c r="LO141" s="31" t="str">
        <f>IF(LN141/(INDEX('Standards for Conversions'!$H$47:$H$73,MATCH(LM$3,'Standards for Conversions'!$A$47:$A$73,0)))=0,"",LN141/(INDEX('Standards for Conversions'!$H$47:$H$73,MATCH(LM$3,'Standards for Conversions'!$A$47:$A$73,0))))</f>
        <v/>
      </c>
      <c r="LR141" s="31" t="str">
        <f>IF(LQ141/(INDEX('Standards for Conversions'!$H$47:$H$73,MATCH(LP$3,'Standards for Conversions'!$A$47:$A$73,0)))=0,"",LQ141/(INDEX('Standards for Conversions'!$H$47:$H$73,MATCH(LP$3,'Standards for Conversions'!$A$47:$A$73,0))))</f>
        <v/>
      </c>
      <c r="LV141" s="31" t="str">
        <f>IF(LU141/(INDEX('Standards for Conversions'!$H$47:$H$73,MATCH(LT$3,'Standards for Conversions'!$A$47:$A$73,0)))=0,"",LU141/(INDEX('Standards for Conversions'!$H$47:$H$73,MATCH(LT$3,'Standards for Conversions'!$A$47:$A$73,0))))</f>
        <v/>
      </c>
      <c r="LY141" s="31" t="str">
        <f>IF(LX141/(INDEX('Standards for Conversions'!$H$47:$H$73,MATCH(LW$3,'Standards for Conversions'!$A$47:$A$73,0)))=0,"",LX141/(INDEX('Standards for Conversions'!$H$47:$H$73,MATCH(LW$3,'Standards for Conversions'!$A$47:$A$73,0))))</f>
        <v/>
      </c>
      <c r="MB141" s="31" t="str">
        <f>IF(MA141/(INDEX('Standards for Conversions'!$H$47:$H$73,MATCH(LZ$3,'Standards for Conversions'!$A$47:$A$73,0)))=0,"",MA141/(INDEX('Standards for Conversions'!$H$47:$H$73,MATCH(LZ$3,'Standards for Conversions'!$A$47:$A$73,0))))</f>
        <v/>
      </c>
      <c r="ME141" s="31" t="str">
        <f>IF(MD141/(INDEX('Standards for Conversions'!$H$47:$H$73,MATCH(MC$3,'Standards for Conversions'!$A$47:$A$73,0)))=0,"",MD141/(INDEX('Standards for Conversions'!$H$47:$H$73,MATCH(MC$3,'Standards for Conversions'!$A$47:$A$73,0))))</f>
        <v/>
      </c>
      <c r="MH141" s="31" t="str">
        <f>IF(MG141/(INDEX('Standards for Conversions'!$H$47:$H$73,MATCH(MF$3,'Standards for Conversions'!$A$47:$A$73,0)))=0,"",MG141/(INDEX('Standards for Conversions'!$H$47:$H$73,MATCH(MF$3,'Standards for Conversions'!$A$47:$A$73,0))))</f>
        <v/>
      </c>
      <c r="MK141" s="31" t="str">
        <f>IF(MJ141/(INDEX('Standards for Conversions'!$H$47:$H$73,MATCH(MI$3,'Standards for Conversions'!$A$47:$A$73,0)))=0,"",MJ141/(INDEX('Standards for Conversions'!$H$47:$H$73,MATCH(MI$3,'Standards for Conversions'!$A$47:$A$73,0))))</f>
        <v/>
      </c>
      <c r="MN141" s="31" t="str">
        <f>IF(MM141/(INDEX('Standards for Conversions'!$H$47:$H$73,MATCH(ML$3,'Standards for Conversions'!$A$47:$A$73,0)))=0,"",MM141/(INDEX('Standards for Conversions'!$H$47:$H$73,MATCH(ML$3,'Standards for Conversions'!$A$47:$A$73,0))))</f>
        <v/>
      </c>
      <c r="MR141" s="31" t="str">
        <f>IF(MQ141/(INDEX('Standards for Conversions'!$H$47:$H$73,MATCH(MP$3,'Standards for Conversions'!$A$47:$A$73,0)))=0,"",MQ141/(INDEX('Standards for Conversions'!$H$47:$H$73,MATCH(MP$3,'Standards for Conversions'!$A$47:$A$73,0))))</f>
        <v/>
      </c>
    </row>
    <row r="142" spans="1:356" hidden="1" x14ac:dyDescent="0.3">
      <c r="A142" s="103" t="s">
        <v>306</v>
      </c>
      <c r="B142" s="10" t="s">
        <v>44</v>
      </c>
      <c r="C142" s="7"/>
      <c r="D142" s="7"/>
      <c r="E142" s="31" t="str">
        <f>IF(D142/(INDEX('Standards for Conversions'!$H$34:$H$73,MATCH(C$3,'Standards for Conversions'!$A$34:$A$73,0)))=0,"",D142/(INDEX('Standards for Conversions'!$H$34:$H$73,MATCH(C$3,'Standards for Conversions'!$A$34:$A$73,0))))</f>
        <v/>
      </c>
      <c r="F142" s="10" t="s">
        <v>44</v>
      </c>
      <c r="G142" s="7"/>
      <c r="H142" s="7"/>
      <c r="I142" s="31" t="str">
        <f>IF(H142/(INDEX('Standards for Conversions'!$H$34:$H$73,MATCH(G$3,'Standards for Conversions'!$A$34:$A$73,0)))=0,"",H142/(INDEX('Standards for Conversions'!$H$34:$H$73,MATCH(G$3,'Standards for Conversions'!$A$34:$A$73,0))))</f>
        <v/>
      </c>
      <c r="J142" s="10" t="s">
        <v>44</v>
      </c>
      <c r="K142" s="7"/>
      <c r="L142" s="7"/>
      <c r="M142" s="31" t="str">
        <f>IF(L142/(INDEX('Standards for Conversions'!$H$34:$H$73,MATCH(K$3,'Standards for Conversions'!$A$34:$A$73,0)))=0,"",L142/(INDEX('Standards for Conversions'!$H$34:$H$73,MATCH(K$3,'Standards for Conversions'!$A$34:$A$73,0))))</f>
        <v/>
      </c>
      <c r="N142" s="10" t="s">
        <v>44</v>
      </c>
      <c r="O142" s="7">
        <v>1600</v>
      </c>
      <c r="P142" s="7">
        <v>203000</v>
      </c>
      <c r="Q142" s="31">
        <f>IF(P142/(INDEX('Standards for Conversions'!$H$34:$H$73,MATCH(O$3,'Standards for Conversions'!$A$34:$A$73,0)))=0,"",P142/(INDEX('Standards for Conversions'!$H$34:$H$73,MATCH(O$3,'Standards for Conversions'!$A$34:$A$73,0))))</f>
        <v>40101.072635135133</v>
      </c>
      <c r="R142" s="10" t="s">
        <v>44</v>
      </c>
      <c r="S142" s="7"/>
      <c r="T142" s="7"/>
      <c r="U142" s="31" t="str">
        <f>IF(T142/(INDEX('Standards for Conversions'!$H$34:$H$73,MATCH(S$3,'Standards for Conversions'!$A$34:$A$73,0)))=0,"",T142/(INDEX('Standards for Conversions'!$H$34:$H$73,MATCH(S$3,'Standards for Conversions'!$A$34:$A$73,0))))</f>
        <v/>
      </c>
      <c r="V142" s="10" t="s">
        <v>44</v>
      </c>
      <c r="W142" s="7"/>
      <c r="X142" s="7"/>
      <c r="Y142" s="31" t="str">
        <f>IF(X142/(INDEX('Standards for Conversions'!$H$34:$H$73,MATCH(W$3,'Standards for Conversions'!$A$34:$A$73,0)))=0,"",X142/(INDEX('Standards for Conversions'!$H$34:$H$73,MATCH(W$3,'Standards for Conversions'!$A$34:$A$73,0))))</f>
        <v/>
      </c>
      <c r="Z142" s="10" t="s">
        <v>44</v>
      </c>
      <c r="AA142" s="7"/>
      <c r="AB142" s="7"/>
      <c r="AC142" s="31" t="str">
        <f>IF(AB142/(INDEX('Standards for Conversions'!$H$34:$H$73,MATCH(AA$3,'Standards for Conversions'!$A$34:$A$73,0)))=0,"",AB142/(INDEX('Standards for Conversions'!$H$34:$H$73,MATCH(AA$3,'Standards for Conversions'!$A$34:$A$73,0))))</f>
        <v/>
      </c>
      <c r="AD142" s="10" t="s">
        <v>44</v>
      </c>
      <c r="AE142" s="7">
        <v>1500</v>
      </c>
      <c r="AF142" s="7">
        <v>200000</v>
      </c>
      <c r="AG142" s="31">
        <f>IF(AF142/(INDEX('Standards for Conversions'!$H$34:$H$73,MATCH(AE$3,'Standards for Conversions'!$A$34:$A$73,0)))=0,"",AF142/(INDEX('Standards for Conversions'!$H$34:$H$73,MATCH(AE$3,'Standards for Conversions'!$A$34:$A$73,0))))</f>
        <v>38534.497117696468</v>
      </c>
      <c r="AH142" s="10" t="s">
        <v>44</v>
      </c>
      <c r="AI142" s="7"/>
      <c r="AJ142" s="7"/>
      <c r="AK142" s="31" t="str">
        <f>IF(AJ142/(INDEX('Standards for Conversions'!$H$34:$H$73,MATCH(AI$3,'Standards for Conversions'!$A$34:$A$73,0)))=0,"",AJ142/(INDEX('Standards for Conversions'!$H$34:$H$73,MATCH(AI$3,'Standards for Conversions'!$A$34:$A$73,0))))</f>
        <v/>
      </c>
      <c r="AL142" s="10" t="s">
        <v>44</v>
      </c>
      <c r="AM142" s="7"/>
      <c r="AN142" s="7"/>
      <c r="AO142" s="31" t="str">
        <f>IF(AN142/(INDEX('Standards for Conversions'!$H$34:$H$73,MATCH(AM$3,'Standards for Conversions'!$A$34:$A$73,0)))=0,"",AN142/(INDEX('Standards for Conversions'!$H$34:$H$73,MATCH(AM$3,'Standards for Conversions'!$A$34:$A$73,0))))</f>
        <v/>
      </c>
      <c r="AP142" s="10" t="s">
        <v>44</v>
      </c>
      <c r="AQ142" s="7"/>
      <c r="AR142" s="7"/>
      <c r="AS142" s="31" t="str">
        <f>IF(AR142/(INDEX('Standards for Conversions'!$H$34:$H$73,MATCH(AQ$3,'Standards for Conversions'!$A$34:$A$73,0)))=0,"",AR142/(INDEX('Standards for Conversions'!$H$34:$H$73,MATCH(AQ$3,'Standards for Conversions'!$A$34:$A$73,0))))</f>
        <v/>
      </c>
      <c r="AT142" s="10" t="s">
        <v>44</v>
      </c>
      <c r="AU142" s="7">
        <v>1461</v>
      </c>
      <c r="AV142" s="7">
        <v>194000</v>
      </c>
      <c r="AW142" s="31">
        <f>IF(AV142/(INDEX('Standards for Conversions'!$H$34:$H$73,MATCH(AU$3,'Standards for Conversions'!$A$34:$A$73,0)))=0,"",AV142/(INDEX('Standards for Conversions'!$H$34:$H$73,MATCH(AU$3,'Standards for Conversions'!$A$34:$A$73,0))))</f>
        <v>34667.496813533784</v>
      </c>
      <c r="AX142" s="10" t="s">
        <v>44</v>
      </c>
      <c r="AY142" s="7"/>
      <c r="AZ142" s="7"/>
      <c r="BA142" s="31" t="str">
        <f>IF(AZ142/(INDEX('Standards for Conversions'!$H$34:$H$73,MATCH(AY$3,'Standards for Conversions'!$A$34:$A$73,0)))=0,"",AZ142/(INDEX('Standards for Conversions'!$H$34:$H$73,MATCH(AY$3,'Standards for Conversions'!$A$34:$A$73,0))))</f>
        <v/>
      </c>
      <c r="BB142" s="10" t="s">
        <v>44</v>
      </c>
      <c r="BC142" s="7"/>
      <c r="BD142" s="7"/>
      <c r="BE142" s="31" t="str">
        <f>IF(BD142/(INDEX('Standards for Conversions'!$H$34:$H$73,MATCH(BC$3,'Standards for Conversions'!$A$34:$A$73,0)))=0,"",BD142/(INDEX('Standards for Conversions'!$H$34:$H$73,MATCH(BC$3,'Standards for Conversions'!$A$34:$A$73,0))))</f>
        <v/>
      </c>
      <c r="BF142" s="10" t="s">
        <v>44</v>
      </c>
      <c r="BG142" s="7"/>
      <c r="BH142" s="7"/>
      <c r="BI142" s="31" t="str">
        <f>IF(BH142/(INDEX('Standards for Conversions'!$H$34:$H$73,MATCH(BG$3,'Standards for Conversions'!$A$34:$A$73,0)))=0,"",BH142/(INDEX('Standards for Conversions'!$H$34:$H$73,MATCH(BG$3,'Standards for Conversions'!$A$34:$A$73,0))))</f>
        <v/>
      </c>
      <c r="BJ142" s="10" t="s">
        <v>44</v>
      </c>
      <c r="BK142" s="7">
        <v>1500</v>
      </c>
      <c r="BL142" s="7">
        <v>200000</v>
      </c>
      <c r="BM142" s="31">
        <f>IF(BL142/(INDEX('Standards for Conversions'!$H$34:$H$73,MATCH(BK$3,'Standards for Conversions'!$A$34:$A$73,0)))=0,"",BL142/(INDEX('Standards for Conversions'!$H$34:$H$73,MATCH(BK$3,'Standards for Conversions'!$A$34:$A$73,0))))</f>
        <v>37137.092277164622</v>
      </c>
      <c r="BN142" s="10" t="s">
        <v>44</v>
      </c>
      <c r="BO142" s="7"/>
      <c r="BP142" s="7"/>
      <c r="BQ142" s="31" t="str">
        <f>IF(BP142/(INDEX('Standards for Conversions'!$H$34:$H$73,MATCH(BO$3,'Standards for Conversions'!$A$34:$A$73,0)))=0,"",BP142/(INDEX('Standards for Conversions'!$H$34:$H$73,MATCH(BO$3,'Standards for Conversions'!$A$34:$A$73,0))))</f>
        <v/>
      </c>
      <c r="BR142" s="10" t="s">
        <v>44</v>
      </c>
      <c r="BS142" s="7"/>
      <c r="BT142" s="7"/>
      <c r="BU142" s="31" t="str">
        <f>IF(BT142/(INDEX('Standards for Conversions'!$H$34:$H$73,MATCH(BS$3,'Standards for Conversions'!$A$34:$A$73,0)))=0,"",BT142/(INDEX('Standards for Conversions'!$H$34:$H$73,MATCH(BS$3,'Standards for Conversions'!$A$34:$A$73,0))))</f>
        <v/>
      </c>
      <c r="BV142" s="10" t="s">
        <v>44</v>
      </c>
      <c r="BW142" s="7"/>
      <c r="BX142" s="7"/>
      <c r="BY142" s="31" t="str">
        <f>IF(BX142/(INDEX('Standards for Conversions'!$H$34:$H$73,MATCH(BW$3,'Standards for Conversions'!$A$34:$A$73,0)))=0,"",BX142/(INDEX('Standards for Conversions'!$H$34:$H$73,MATCH(BW$3,'Standards for Conversions'!$A$34:$A$73,0))))</f>
        <v/>
      </c>
      <c r="BZ142" s="10" t="s">
        <v>44</v>
      </c>
      <c r="CA142" s="7">
        <v>800</v>
      </c>
      <c r="CB142" s="7">
        <v>80000</v>
      </c>
      <c r="CC142" s="31">
        <f>IF(CB142/(INDEX('Standards for Conversions'!$H$34:$H$73,MATCH(CA$3,'Standards for Conversions'!$A$34:$A$73,0)))=0,"",CB142/(INDEX('Standards for Conversions'!$H$34:$H$73,MATCH(CA$3,'Standards for Conversions'!$A$34:$A$73,0))))</f>
        <v>14245.060253179221</v>
      </c>
      <c r="CD142" s="10" t="s">
        <v>44</v>
      </c>
      <c r="CE142" s="7"/>
      <c r="CF142" s="7"/>
      <c r="CG142" s="31" t="str">
        <f>IF(CF142/(INDEX('Standards for Conversions'!$H$34:$H$73,MATCH(CE$3,'Standards for Conversions'!$A$34:$A$73,0)))=0,"",CF142/(INDEX('Standards for Conversions'!$H$34:$H$73,MATCH(CE$3,'Standards for Conversions'!$A$34:$A$73,0))))</f>
        <v/>
      </c>
      <c r="CH142" s="10" t="s">
        <v>44</v>
      </c>
      <c r="CI142" s="7"/>
      <c r="CJ142" s="7"/>
      <c r="CK142" s="31" t="str">
        <f>IF(CJ142/(INDEX('Standards for Conversions'!$H$34:$H$73,MATCH(CI$3,'Standards for Conversions'!$A$34:$A$73,0)))=0,"",CJ142/(INDEX('Standards for Conversions'!$H$34:$H$73,MATCH(CI$3,'Standards for Conversions'!$A$34:$A$73,0))))</f>
        <v/>
      </c>
      <c r="CL142" s="10" t="s">
        <v>44</v>
      </c>
      <c r="CM142" s="7"/>
      <c r="CN142" s="7"/>
      <c r="CO142" s="31" t="str">
        <f>IF(CN142/(INDEX('Standards for Conversions'!$H$34:$H$73,MATCH(CM$3,'Standards for Conversions'!$A$34:$A$73,0)))=0,"",CN142/(INDEX('Standards for Conversions'!$H$34:$H$73,MATCH(CM$3,'Standards for Conversions'!$A$34:$A$73,0))))</f>
        <v/>
      </c>
      <c r="CP142" s="10" t="s">
        <v>44</v>
      </c>
      <c r="CQ142" s="7">
        <v>830</v>
      </c>
      <c r="CR142" s="7">
        <v>106000</v>
      </c>
      <c r="CS142" s="31">
        <f>IF(CR142/(INDEX('Standards for Conversions'!$H$34:$H$73,MATCH(CQ$3,'Standards for Conversions'!$A$34:$A$73,0)))=0,"",CR142/(INDEX('Standards for Conversions'!$H$34:$H$73,MATCH(CQ$3,'Standards for Conversions'!$A$34:$A$73,0))))</f>
        <v>18403.398293792183</v>
      </c>
      <c r="CT142" s="10" t="s">
        <v>44</v>
      </c>
      <c r="CU142" s="7"/>
      <c r="CV142" s="7"/>
      <c r="CW142" s="31" t="str">
        <f>IF(CV142/(INDEX('Standards for Conversions'!$H$34:$H$73,MATCH(CU$3,'Standards for Conversions'!$A$34:$A$73,0)))=0,"",CV142/(INDEX('Standards for Conversions'!$H$34:$H$73,MATCH(CU$3,'Standards for Conversions'!$A$34:$A$73,0))))</f>
        <v/>
      </c>
      <c r="CX142" s="10" t="s">
        <v>44</v>
      </c>
      <c r="CY142" s="7"/>
      <c r="CZ142" s="7"/>
      <c r="DA142" s="31" t="str">
        <f>IF(CZ142/(INDEX('Standards for Conversions'!$H$34:$H$73,MATCH(CY$3,'Standards for Conversions'!$A$34:$A$73,0)))=0,"",CZ142/(INDEX('Standards for Conversions'!$H$34:$H$73,MATCH(CY$3,'Standards for Conversions'!$A$34:$A$73,0))))</f>
        <v/>
      </c>
      <c r="DB142" s="10" t="s">
        <v>44</v>
      </c>
      <c r="DC142" s="7"/>
      <c r="DD142" s="7"/>
      <c r="DE142" s="31" t="str">
        <f>IF(DD142/(INDEX('Standards for Conversions'!$H$34:$H$73,MATCH(DC$3,'Standards for Conversions'!$A$34:$A$73,0)))=0,"",DD142/(INDEX('Standards for Conversions'!$H$34:$H$73,MATCH(DC$3,'Standards for Conversions'!$A$34:$A$73,0))))</f>
        <v/>
      </c>
      <c r="DF142" s="10" t="s">
        <v>44</v>
      </c>
      <c r="DG142" s="7">
        <v>1100</v>
      </c>
      <c r="DH142" s="7">
        <v>150000</v>
      </c>
      <c r="DI142" s="31">
        <f>IF(DH142/(INDEX('Standards for Conversions'!$H$34:$H$73,MATCH(DG$3,'Standards for Conversions'!$A$34:$A$73,0)))=0,"",DH142/(INDEX('Standards for Conversions'!$H$34:$H$73,MATCH(DG$3,'Standards for Conversions'!$A$34:$A$73,0))))</f>
        <v>26550.691970105156</v>
      </c>
      <c r="DJ142" s="10" t="s">
        <v>44</v>
      </c>
      <c r="DK142" s="7"/>
      <c r="DL142" s="7"/>
      <c r="DM142" s="31" t="str">
        <f>IF(DL142/(INDEX('Standards for Conversions'!$H$34:$H$73,MATCH(DK$3,'Standards for Conversions'!$A$34:$A$73,0)))=0,"",DL142/(INDEX('Standards for Conversions'!$H$34:$H$73,MATCH(DK$3,'Standards for Conversions'!$A$34:$A$73,0))))</f>
        <v/>
      </c>
      <c r="DN142" s="10" t="s">
        <v>44</v>
      </c>
      <c r="DO142" s="7"/>
      <c r="DP142" s="7"/>
      <c r="DQ142" s="31" t="str">
        <f>IF(DP142/(INDEX('Standards for Conversions'!$H$34:$H$73,MATCH(DO$3,'Standards for Conversions'!$A$34:$A$73,0)))=0,"",DP142/(INDEX('Standards for Conversions'!$H$34:$H$73,MATCH(DO$3,'Standards for Conversions'!$A$34:$A$73,0))))</f>
        <v/>
      </c>
      <c r="DR142" s="10" t="s">
        <v>44</v>
      </c>
      <c r="DS142" s="7"/>
      <c r="DT142" s="7"/>
      <c r="DU142" s="31" t="str">
        <f>IF(DT142/(INDEX('Standards for Conversions'!$H$34:$H$73,MATCH(DS$3,'Standards for Conversions'!$A$34:$A$73,0)))=0,"",DT142/(INDEX('Standards for Conversions'!$H$34:$H$73,MATCH(DS$3,'Standards for Conversions'!$A$34:$A$73,0))))</f>
        <v/>
      </c>
      <c r="DV142" s="10" t="s">
        <v>44</v>
      </c>
      <c r="DW142" s="7">
        <v>1500</v>
      </c>
      <c r="DX142" s="7">
        <v>150000</v>
      </c>
      <c r="DY142" s="31">
        <f>IF(DX142/(INDEX('Standards for Conversions'!$H$34:$H$73,MATCH(DW$3,'Standards for Conversions'!$A$34:$A$73,0)))=0,"",DX142/(INDEX('Standards for Conversions'!$H$34:$H$73,MATCH(DW$3,'Standards for Conversions'!$A$34:$A$73,0))))</f>
        <v>26264.859161814547</v>
      </c>
      <c r="DZ142" s="10" t="s">
        <v>44</v>
      </c>
      <c r="EA142" s="7"/>
      <c r="EB142" s="7"/>
      <c r="EC142" s="31" t="str">
        <f>IF(EB142/(INDEX('Standards for Conversions'!$H$34:$H$73,MATCH(EA$3,'Standards for Conversions'!$A$34:$A$73,0)))=0,"",EB142/(INDEX('Standards for Conversions'!$H$34:$H$73,MATCH(EA$3,'Standards for Conversions'!$A$34:$A$73,0))))</f>
        <v/>
      </c>
      <c r="ED142" s="10" t="s">
        <v>44</v>
      </c>
      <c r="EE142" s="7">
        <v>822</v>
      </c>
      <c r="EF142" s="7">
        <v>53175</v>
      </c>
      <c r="EG142" s="31">
        <f>IF(EF142/(INDEX('Standards for Conversions'!$H$34:$H$73,MATCH(EE$3,'Standards for Conversions'!$A$34:$A$73,0)))=0,"",EF142/(INDEX('Standards for Conversions'!$H$34:$H$73,MATCH(EE$3,'Standards for Conversions'!$A$34:$A$73,0))))</f>
        <v>9299.633936136699</v>
      </c>
      <c r="EH142" s="10" t="s">
        <v>44</v>
      </c>
      <c r="EI142" s="7"/>
      <c r="EJ142" s="7"/>
      <c r="EK142" s="31" t="str">
        <f>IF(EJ142/(INDEX('Standards for Conversions'!$H$34:$H$73,MATCH(EI$3,'Standards for Conversions'!$A$34:$A$73,0)))=0,"",EJ142/(INDEX('Standards for Conversions'!$H$34:$H$73,MATCH(EI$3,'Standards for Conversions'!$A$34:$A$73,0))))</f>
        <v/>
      </c>
      <c r="EL142" s="10" t="s">
        <v>44</v>
      </c>
      <c r="EM142" s="7">
        <v>1342</v>
      </c>
      <c r="EN142" s="7">
        <v>136212</v>
      </c>
      <c r="EO142" s="31">
        <f>IF(EN142/(INDEX('Standards for Conversions'!$H$34:$H$73,MATCH(EM$3,'Standards for Conversions'!$A$34:$A$73,0)))=0,"",EN142/(INDEX('Standards for Conversions'!$H$34:$H$73,MATCH(EM$3,'Standards for Conversions'!$A$34:$A$73,0))))</f>
        <v>23821.753412488048</v>
      </c>
      <c r="EP142" s="10" t="s">
        <v>44</v>
      </c>
      <c r="EQ142" s="7"/>
      <c r="ER142" s="7"/>
      <c r="ES142" s="31" t="str">
        <f>IF(ER142/(INDEX('Standards for Conversions'!$H$34:$H$73,MATCH(EQ$3,'Standards for Conversions'!$A$34:$A$73,0)))=0,"",ER142/(INDEX('Standards for Conversions'!$H$34:$H$73,MATCH(EQ$3,'Standards for Conversions'!$A$34:$A$73,0))))</f>
        <v/>
      </c>
      <c r="ET142" s="10" t="s">
        <v>44</v>
      </c>
      <c r="EU142" s="7">
        <v>4</v>
      </c>
      <c r="EV142" s="7">
        <v>200</v>
      </c>
      <c r="EW142" s="31">
        <f>IF(EV142/(INDEX('Standards for Conversions'!$H$34:$H$73,MATCH(EU$3,'Standards for Conversions'!$A$34:$A$73,0)))=0,"",EV142/(INDEX('Standards for Conversions'!$H$34:$H$73,MATCH(EU$3,'Standards for Conversions'!$A$34:$A$73,0))))</f>
        <v>34.257591393644439</v>
      </c>
      <c r="EX142" s="10" t="s">
        <v>44</v>
      </c>
      <c r="EY142" s="9"/>
      <c r="EZ142" s="9"/>
      <c r="FA142" s="31" t="str">
        <f>IF(EZ142/(INDEX('Standards for Conversions'!$H$34:$H$73,MATCH(EY$3,'Standards for Conversions'!$A$34:$A$73,0)))=0,"",EZ142/(INDEX('Standards for Conversions'!$H$34:$H$73,MATCH(EY$3,'Standards for Conversions'!$A$34:$A$73,0))))</f>
        <v/>
      </c>
      <c r="FB142" s="10" t="s">
        <v>44</v>
      </c>
      <c r="FC142" s="7">
        <v>1144</v>
      </c>
      <c r="FD142" s="7">
        <v>111340</v>
      </c>
      <c r="FE142" s="31">
        <f>IF(FD142/(INDEX('Standards for Conversions'!$H$34:$H$73,MATCH(FC$3,'Standards for Conversions'!$A$34:$A$73,0)))=0,"",FD142/(INDEX('Standards for Conversions'!$H$34:$H$73,MATCH(FC$3,'Standards for Conversions'!$A$34:$A$73,0))))</f>
        <v>19071.201128841862</v>
      </c>
      <c r="FF142" s="10" t="s">
        <v>44</v>
      </c>
      <c r="FG142" s="7"/>
      <c r="FH142" s="7"/>
      <c r="FI142" s="31" t="str">
        <f>IF(FH142/(INDEX('Standards for Conversions'!$H$34:$H$73,MATCH(FG$3,'Standards for Conversions'!$A$34:$A$73,0)))=0,"",FH142/(INDEX('Standards for Conversions'!$H$34:$H$73,MATCH(FG$3,'Standards for Conversions'!$A$34:$A$73,0))))</f>
        <v/>
      </c>
      <c r="FJ142" s="10" t="s">
        <v>44</v>
      </c>
      <c r="FK142" s="7">
        <v>25</v>
      </c>
      <c r="FL142" s="7">
        <v>1500</v>
      </c>
      <c r="FM142" s="31">
        <f>IF(FL142/(INDEX('Standards for Conversions'!$H$34:$H$73,MATCH(FK$3,'Standards for Conversions'!$A$34:$A$73,0)))=0,"",FL142/(INDEX('Standards for Conversions'!$H$34:$H$73,MATCH(FK$3,'Standards for Conversions'!$A$34:$A$73,0))))</f>
        <v>257.24952746154509</v>
      </c>
      <c r="FN142" s="10" t="s">
        <v>44</v>
      </c>
      <c r="FO142" s="9"/>
      <c r="FP142" s="9"/>
      <c r="FQ142" s="31" t="str">
        <f>IF(FP142/(INDEX('Standards for Conversions'!$H$34:$H$73,MATCH(FO$3,'Standards for Conversions'!$A$34:$A$73,0)))=0,"",FP142/(INDEX('Standards for Conversions'!$H$34:$H$73,MATCH(FO$3,'Standards for Conversions'!$A$34:$A$73,0))))</f>
        <v/>
      </c>
      <c r="FR142" s="10" t="s">
        <v>44</v>
      </c>
      <c r="FS142" s="7">
        <v>1050</v>
      </c>
      <c r="FT142" s="7">
        <v>105000</v>
      </c>
      <c r="FU142" s="31">
        <f>IF(FT142/(INDEX('Standards for Conversions'!$H$34:$H$73,MATCH(FS$3,'Standards for Conversions'!$A$34:$A$73,0)))=0,"",FT142/(INDEX('Standards for Conversions'!$H$34:$H$73,MATCH(FS$3,'Standards for Conversions'!$A$34:$A$73,0))))</f>
        <v>18007.466922308158</v>
      </c>
      <c r="FV142" s="10" t="s">
        <v>44</v>
      </c>
      <c r="FW142" s="7"/>
      <c r="FX142" s="7"/>
      <c r="FY142" s="31" t="str">
        <f>IF(FX142/(INDEX('Standards for Conversions'!$H$34:$H$73,MATCH(FW$3,'Standards for Conversions'!$A$34:$A$73,0)))=0,"",FX142/(INDEX('Standards for Conversions'!$H$34:$H$73,MATCH(FW$3,'Standards for Conversions'!$A$34:$A$73,0))))</f>
        <v/>
      </c>
      <c r="FZ142" s="10" t="s">
        <v>44</v>
      </c>
      <c r="GA142" s="7">
        <v>400</v>
      </c>
      <c r="GB142" s="7">
        <v>25000</v>
      </c>
      <c r="GC142" s="31">
        <f>IF(GB142/(INDEX('Standards for Conversions'!$H$34:$H$73,MATCH(GA$3,'Standards for Conversions'!$A$34:$A$73,0)))=0,"",GB142/(INDEX('Standards for Conversions'!$H$34:$H$73,MATCH(GA$3,'Standards for Conversions'!$A$34:$A$73,0))))</f>
        <v>4112.8165192926044</v>
      </c>
      <c r="GD142" s="10" t="s">
        <v>44</v>
      </c>
      <c r="GE142" s="9"/>
      <c r="GF142" s="9"/>
      <c r="GG142" s="31" t="str">
        <f>IF(GF142/(INDEX('Standards for Conversions'!$H$34:$H$73,MATCH(GE$3,'Standards for Conversions'!$A$34:$A$73,0)))=0,"",GF142/(INDEX('Standards for Conversions'!$H$34:$H$73,MATCH(GE$3,'Standards for Conversions'!$A$34:$A$73,0))))</f>
        <v/>
      </c>
      <c r="GH142" s="10" t="s">
        <v>44</v>
      </c>
      <c r="GI142" s="7">
        <v>1200</v>
      </c>
      <c r="GJ142" s="7">
        <v>120000</v>
      </c>
      <c r="GK142" s="31">
        <f>IF(GJ142/(INDEX('Standards for Conversions'!$H$34:$H$73,MATCH(GI$3,'Standards for Conversions'!$A$34:$A$73,0)))=0,"",GJ142/(INDEX('Standards for Conversions'!$H$34:$H$73,MATCH(GI$3,'Standards for Conversions'!$A$34:$A$73,0))))</f>
        <v>19741.519292604502</v>
      </c>
      <c r="GL142" s="10" t="s">
        <v>44</v>
      </c>
      <c r="GM142" s="7"/>
      <c r="GN142" s="7"/>
      <c r="GO142" s="31" t="str">
        <f>IF(GN142/(INDEX('Standards for Conversions'!$H$34:$H$73,MATCH(GM$3,'Standards for Conversions'!$A$34:$A$73,0)))=0,"",GN142/(INDEX('Standards for Conversions'!$H$34:$H$73,MATCH(GM$3,'Standards for Conversions'!$A$34:$A$73,0))))</f>
        <v/>
      </c>
      <c r="GP142" s="10" t="s">
        <v>44</v>
      </c>
      <c r="GQ142" s="7">
        <v>500</v>
      </c>
      <c r="GR142" s="7">
        <v>30000</v>
      </c>
      <c r="GS142" s="31">
        <f>IF(GR142/(INDEX('Standards for Conversions'!$H$34:$H$73,MATCH(GQ$3,'Standards for Conversions'!$A$34:$A$73,0)))=0,"",GR142/(INDEX('Standards for Conversions'!$H$34:$H$73,MATCH(GQ$3,'Standards for Conversions'!$A$34:$A$73,0))))</f>
        <v>4611.4359737551058</v>
      </c>
      <c r="GT142" s="10" t="s">
        <v>44</v>
      </c>
      <c r="GU142" s="9"/>
      <c r="GV142" s="9"/>
      <c r="GW142" s="31" t="str">
        <f>IF(GV142/(INDEX('Standards for Conversions'!$H$34:$H$73,MATCH(GU$3,'Standards for Conversions'!$A$34:$A$73,0)))=0,"",GV142/(INDEX('Standards for Conversions'!$H$34:$H$73,MATCH(GU$3,'Standards for Conversions'!$A$34:$A$73,0))))</f>
        <v/>
      </c>
      <c r="GX142" s="10" t="s">
        <v>44</v>
      </c>
      <c r="GY142" s="7">
        <v>1250</v>
      </c>
      <c r="GZ142" s="7">
        <v>200000</v>
      </c>
      <c r="HA142" s="31">
        <f>IF(GZ142/(INDEX('Standards for Conversions'!$H$34:$H$73,MATCH(GY$3,'Standards for Conversions'!$A$34:$A$73,0)))=0,"",GZ142/(INDEX('Standards for Conversions'!$H$34:$H$73,MATCH(GY$3,'Standards for Conversions'!$A$34:$A$73,0))))</f>
        <v>30742.906491700705</v>
      </c>
      <c r="HB142" s="10" t="s">
        <v>44</v>
      </c>
      <c r="HC142" s="7"/>
      <c r="HD142" s="7"/>
      <c r="HE142" s="31" t="str">
        <f>IF(HD142/(INDEX('Standards for Conversions'!$H$34:$H$73,MATCH(HC$3,'Standards for Conversions'!$A$34:$A$73,0)))=0,"",HD142/(INDEX('Standards for Conversions'!$H$34:$H$73,MATCH(HC$3,'Standards for Conversions'!$A$34:$A$73,0))))</f>
        <v/>
      </c>
      <c r="HF142" s="10" t="s">
        <v>44</v>
      </c>
      <c r="HG142" s="7">
        <v>250</v>
      </c>
      <c r="HH142" s="7">
        <v>20000</v>
      </c>
      <c r="HI142" s="31">
        <f>IF(HH142/(INDEX('Standards for Conversions'!$H$34:$H$73,MATCH(HG$3,'Standards for Conversions'!$A$34:$A$73,0)))=0,"",HH142/(INDEX('Standards for Conversions'!$H$34:$H$73,MATCH(HG$3,'Standards for Conversions'!$A$34:$A$73,0))))</f>
        <v>3027.710487819008</v>
      </c>
      <c r="HJ142" s="10" t="s">
        <v>44</v>
      </c>
      <c r="HK142" s="9"/>
      <c r="HL142" s="9"/>
      <c r="HM142" s="31" t="str">
        <f>IF(HL142/(INDEX('Standards for Conversions'!$H$34:$H$73,MATCH(HK$3,'Standards for Conversions'!$A$34:$A$73,0)))=0,"",HL142/(INDEX('Standards for Conversions'!$H$34:$H$73,MATCH(HK$3,'Standards for Conversions'!$A$34:$A$73,0))))</f>
        <v/>
      </c>
      <c r="HN142" s="10" t="s">
        <v>44</v>
      </c>
      <c r="HO142" s="7">
        <v>150</v>
      </c>
      <c r="HP142" s="7">
        <v>190000</v>
      </c>
      <c r="HQ142" s="31">
        <f>IF(HP142/(INDEX('Standards for Conversions'!$H$34:$H$73,MATCH(HO$3,'Standards for Conversions'!$A$34:$A$73,0)))=0,"",HP142/(INDEX('Standards for Conversions'!$H$34:$H$73,MATCH(HO$3,'Standards for Conversions'!$A$34:$A$73,0))))</f>
        <v>28763.249634280579</v>
      </c>
      <c r="HR142" s="33" t="s">
        <v>44</v>
      </c>
      <c r="HU142" s="31" t="str">
        <f>IF(HT142/(INDEX('Standards for Conversions'!$H$47:$H$73,MATCH(HS$3,'Standards for Conversions'!$A$47:$A$73,0)))=0,"",HT142/(INDEX('Standards for Conversions'!$H$47:$H$73,MATCH(HS$3,'Standards for Conversions'!$A$47:$A$73,0))))</f>
        <v/>
      </c>
      <c r="HV142" s="33" t="s">
        <v>44</v>
      </c>
      <c r="HW142" s="29">
        <v>200</v>
      </c>
      <c r="HX142" s="29">
        <v>14000</v>
      </c>
      <c r="HY142" s="31">
        <f>IF(HX142/(INDEX('Standards for Conversions'!$H$47:$H$73,MATCH(HW$3,'Standards for Conversions'!$A$47:$A$73,0)))=0,"",HX142/(INDEX('Standards for Conversions'!$H$47:$H$73,MATCH(HW$3,'Standards for Conversions'!$A$47:$A$73,0))))</f>
        <v>2033.4357709799833</v>
      </c>
      <c r="HZ142" s="33">
        <v>350</v>
      </c>
      <c r="IA142" s="33">
        <v>25000</v>
      </c>
      <c r="IB142" s="31">
        <f>IF(IA142/(INDEX('Standards for Conversions'!$H$47:$H$73,MATCH(HZ$3,'Standards for Conversions'!$A$47:$A$73,0)))=0,"",IA142/(INDEX('Standards for Conversions'!$H$47:$H$73,MATCH(HZ$3,'Standards for Conversions'!$A$47:$A$73,0))))</f>
        <v>3631.1353053213988</v>
      </c>
      <c r="IC142" s="33" t="s">
        <v>44</v>
      </c>
      <c r="ID142" s="29">
        <v>1600</v>
      </c>
      <c r="IE142" s="29">
        <v>200000</v>
      </c>
      <c r="IF142" s="31">
        <f>IF(IE142/(INDEX('Standards for Conversions'!$H$47:$H$73,MATCH(ID$3,'Standards for Conversions'!$A$47:$A$73,0)))=0,"",IE142/(INDEX('Standards for Conversions'!$H$47:$H$73,MATCH(ID$3,'Standards for Conversions'!$A$47:$A$73,0))))</f>
        <v>29049.082442571191</v>
      </c>
      <c r="IG142" s="33" t="s">
        <v>44</v>
      </c>
      <c r="IJ142" s="31" t="str">
        <f>IF(II142/(INDEX('Standards for Conversions'!$H$47:$H$73,MATCH(IH$3,'Standards for Conversions'!$A$47:$A$73,0)))=0,"",II142/(INDEX('Standards for Conversions'!$H$47:$H$73,MATCH(IH$3,'Standards for Conversions'!$A$47:$A$73,0))))</f>
        <v/>
      </c>
      <c r="IK142" s="33" t="s">
        <v>44</v>
      </c>
      <c r="IL142" s="29">
        <v>150</v>
      </c>
      <c r="IM142" s="29">
        <v>11000</v>
      </c>
      <c r="IN142" s="31">
        <f>IF(IM142/(INDEX('Standards for Conversions'!$H$47:$H$73,MATCH(IL$3,'Standards for Conversions'!$A$47:$A$73,0)))=0,"",IM142/(INDEX('Standards for Conversions'!$H$47:$H$73,MATCH(IL$3,'Standards for Conversions'!$A$47:$A$73,0))))</f>
        <v>1590.712510138756</v>
      </c>
      <c r="IO142" s="33" t="s">
        <v>44</v>
      </c>
      <c r="IR142" s="31" t="str">
        <f>IF(IQ142/(INDEX('Standards for Conversions'!$H$47:$H$73,MATCH(IP$3,'Standards for Conversions'!$A$47:$A$73,0)))=0,"",IQ142/(INDEX('Standards for Conversions'!$H$47:$H$73,MATCH(IP$3,'Standards for Conversions'!$A$47:$A$73,0))))</f>
        <v/>
      </c>
      <c r="IS142" s="33" t="s">
        <v>44</v>
      </c>
      <c r="IT142" s="29">
        <v>2400</v>
      </c>
      <c r="IU142" s="29">
        <v>225765</v>
      </c>
      <c r="IV142" s="31">
        <f>IF(IU142/(INDEX('Standards for Conversions'!$H$47:$H$73,MATCH(IT$3,'Standards for Conversions'!$A$47:$A$73,0)))=0,"",IU142/(INDEX('Standards for Conversions'!$H$47:$H$73,MATCH(IT$3,'Standards for Conversions'!$A$47:$A$73,0))))</f>
        <v>32647.928168316022</v>
      </c>
      <c r="IW142" s="33" t="s">
        <v>44</v>
      </c>
      <c r="IZ142" s="31" t="str">
        <f>IF(IY142/(INDEX('Standards for Conversions'!$H$47:$H$73,MATCH(IX$3,'Standards for Conversions'!$A$47:$A$73,0)))=0,"",IY142/(INDEX('Standards for Conversions'!$H$47:$H$73,MATCH(IX$3,'Standards for Conversions'!$A$47:$A$73,0))))</f>
        <v/>
      </c>
      <c r="JA142" s="33" t="s">
        <v>44</v>
      </c>
      <c r="JB142" s="29">
        <v>154</v>
      </c>
      <c r="JC142" s="29">
        <v>12400</v>
      </c>
      <c r="JD142" s="31">
        <f>IF(JC142/(INDEX('Standards for Conversions'!$H$47:$H$73,MATCH(JB$3,'Standards for Conversions'!$A$47:$A$73,0)))=0,"",JC142/(INDEX('Standards for Conversions'!$H$47:$H$73,MATCH(JB$3,'Standards for Conversions'!$A$47:$A$73,0))))</f>
        <v>2005.8264389791718</v>
      </c>
      <c r="JE142" s="33" t="s">
        <v>44</v>
      </c>
      <c r="JH142" s="31" t="str">
        <f>IF(JG142/(INDEX('Standards for Conversions'!$H$47:$H$73,MATCH(JF$3,'Standards for Conversions'!$A$47:$A$73,0)))=0,"",JG142/(INDEX('Standards for Conversions'!$H$47:$H$73,MATCH(JF$3,'Standards for Conversions'!$A$47:$A$73,0))))</f>
        <v/>
      </c>
      <c r="JI142" s="48" t="s">
        <v>44</v>
      </c>
      <c r="JJ142" s="29">
        <v>2030</v>
      </c>
      <c r="JK142" s="29">
        <v>222000</v>
      </c>
      <c r="JL142" s="31">
        <f>IF(JK142/(INDEX('Standards for Conversions'!$H$47:$H$73,MATCH(JJ$3,'Standards for Conversions'!$A$47:$A$73,0)))=0,"",JK142/(INDEX('Standards for Conversions'!$H$47:$H$73,MATCH(JJ$3,'Standards for Conversions'!$A$47:$A$73,0))))</f>
        <v>35910.763665594852</v>
      </c>
      <c r="JM142" s="33" t="s">
        <v>44</v>
      </c>
      <c r="JP142" s="31" t="str">
        <f>IF(JO142/(INDEX('Standards for Conversions'!$H$47:$H$73,MATCH(JN$3,'Standards for Conversions'!$A$47:$A$73,0)))=0,"",JO142/(INDEX('Standards for Conversions'!$H$47:$H$73,MATCH(JN$3,'Standards for Conversions'!$A$47:$A$73,0))))</f>
        <v/>
      </c>
      <c r="JQ142" s="33" t="s">
        <v>44</v>
      </c>
      <c r="JR142" s="29">
        <v>400</v>
      </c>
      <c r="JS142" s="29">
        <v>25000</v>
      </c>
      <c r="JT142" s="31">
        <f>IF(JS142/(INDEX('Standards for Conversions'!$H$47:$H$73,MATCH(JR$3,'Standards for Conversions'!$A$47:$A$73,0)))=0,"",JS142/(INDEX('Standards for Conversions'!$H$47:$H$73,MATCH(JR$3,'Standards for Conversions'!$A$47:$A$73,0))))</f>
        <v>3816.3973106949393</v>
      </c>
      <c r="JU142" s="33" t="s">
        <v>44</v>
      </c>
      <c r="JX142" s="31" t="str">
        <f>IF(JW142/(INDEX('Standards for Conversions'!$H$47:$H$73,MATCH(JV$3,'Standards for Conversions'!$A$47:$A$73,0)))=0,"",JW142/(INDEX('Standards for Conversions'!$H$47:$H$73,MATCH(JV$3,'Standards for Conversions'!$A$47:$A$73,0))))</f>
        <v/>
      </c>
      <c r="JY142" s="33" t="s">
        <v>44</v>
      </c>
      <c r="JZ142" s="29">
        <v>1900</v>
      </c>
      <c r="KA142" s="29">
        <v>200000</v>
      </c>
      <c r="KB142" s="31">
        <f>IF(KA142/(INDEX('Standards for Conversions'!$H$47:$H$73,MATCH(JZ$3,'Standards for Conversions'!$A$47:$A$73,0)))=0,"",KA142/(INDEX('Standards for Conversions'!$H$47:$H$73,MATCH(JZ$3,'Standards for Conversions'!$A$47:$A$73,0))))</f>
        <v>30531.178485559514</v>
      </c>
      <c r="KC142" s="33" t="s">
        <v>44</v>
      </c>
      <c r="KF142" s="31" t="str">
        <f>IF(KE142/(INDEX('Standards for Conversions'!$H$47:$H$73,MATCH(KD$3,'Standards for Conversions'!$A$47:$A$73,0)))=0,"",KE142/(INDEX('Standards for Conversions'!$H$47:$H$73,MATCH(KD$3,'Standards for Conversions'!$A$47:$A$73,0))))</f>
        <v/>
      </c>
      <c r="KG142" s="33" t="s">
        <v>44</v>
      </c>
      <c r="KH142" s="29">
        <v>350</v>
      </c>
      <c r="KI142" s="29">
        <v>25000</v>
      </c>
      <c r="KJ142" s="31">
        <f>IF(KI142/(INDEX('Standards for Conversions'!$H$47:$H$73,MATCH(KH$3,'Standards for Conversions'!$A$47:$A$73,0)))=0,"",KI142/(INDEX('Standards for Conversions'!$H$47:$H$73,MATCH(KH$3,'Standards for Conversions'!$A$47:$A$73,0))))</f>
        <v>3366.4752976449117</v>
      </c>
      <c r="KK142" s="33" t="s">
        <v>44</v>
      </c>
      <c r="KN142" s="31" t="str">
        <f>IF(KM142/(INDEX('Standards for Conversions'!$H$47:$H$73,MATCH(KL$3,'Standards for Conversions'!$A$47:$A$73,0)))=0,"",KM142/(INDEX('Standards for Conversions'!$H$47:$H$73,MATCH(KL$3,'Standards for Conversions'!$A$47:$A$73,0))))</f>
        <v/>
      </c>
      <c r="KO142" s="33" t="s">
        <v>44</v>
      </c>
      <c r="KP142" s="29">
        <v>1800</v>
      </c>
      <c r="KQ142" s="29">
        <v>200000</v>
      </c>
      <c r="KR142" s="31">
        <f>IF(KQ142/(INDEX('Standards for Conversions'!$H$47:$H$73,MATCH(KP$3,'Standards for Conversions'!$A$47:$A$73,0)))=0,"",KQ142/(INDEX('Standards for Conversions'!$H$47:$H$73,MATCH(KP$3,'Standards for Conversions'!$A$47:$A$73,0))))</f>
        <v>26931.802381159294</v>
      </c>
      <c r="KS142" s="33" t="s">
        <v>44</v>
      </c>
      <c r="KV142" s="31" t="str">
        <f>IF(KU142/(INDEX('Standards for Conversions'!$H$47:$H$73,MATCH(KT$3,'Standards for Conversions'!$A$47:$A$73,0)))=0,"",KU142/(INDEX('Standards for Conversions'!$H$47:$H$73,MATCH(KT$3,'Standards for Conversions'!$A$47:$A$73,0))))</f>
        <v/>
      </c>
      <c r="KW142" s="33" t="s">
        <v>44</v>
      </c>
      <c r="KX142" s="29">
        <v>190</v>
      </c>
      <c r="KY142" s="29">
        <v>12300</v>
      </c>
      <c r="KZ142" s="31">
        <f>IF(KY142/(INDEX('Standards for Conversions'!$H$47:$H$73,MATCH(KX$3,'Standards for Conversions'!$A$47:$A$73,0)))=0,"",KY142/(INDEX('Standards for Conversions'!$H$47:$H$73,MATCH(KX$3,'Standards for Conversions'!$A$47:$A$73,0))))</f>
        <v>1495.8837707482398</v>
      </c>
      <c r="LA142" s="33" t="s">
        <v>44</v>
      </c>
      <c r="LD142" s="31" t="str">
        <f>IF(LC142/(INDEX('Standards for Conversions'!$H$47:$H$73,MATCH(LB$3,'Standards for Conversions'!$A$47:$A$73,0)))=0,"",LC142/(INDEX('Standards for Conversions'!$H$47:$H$73,MATCH(LB$3,'Standards for Conversions'!$A$47:$A$73,0))))</f>
        <v/>
      </c>
      <c r="LE142" s="48" t="s">
        <v>44</v>
      </c>
      <c r="LF142" s="29">
        <v>1335</v>
      </c>
      <c r="LG142" s="29">
        <v>153200</v>
      </c>
      <c r="LH142" s="31">
        <f>IF(LG142/(INDEX('Standards for Conversions'!$H$47:$H$73,MATCH(LF$3,'Standards for Conversions'!$A$47:$A$73,0)))=0,"",LG142/(INDEX('Standards for Conversions'!$H$47:$H$73,MATCH(LF$3,'Standards for Conversions'!$A$47:$A$73,0))))</f>
        <v>18631.658022652875</v>
      </c>
      <c r="LL142" s="31" t="str">
        <f>IF(LK142/(INDEX('Standards for Conversions'!$H$47:$H$73,MATCH(LJ$3,'Standards for Conversions'!$A$47:$A$73,0)))=0,"",LK142/(INDEX('Standards for Conversions'!$H$47:$H$73,MATCH(LJ$3,'Standards for Conversions'!$A$47:$A$73,0))))</f>
        <v/>
      </c>
      <c r="LO142" s="31" t="str">
        <f>IF(LN142/(INDEX('Standards for Conversions'!$H$47:$H$73,MATCH(LM$3,'Standards for Conversions'!$A$47:$A$73,0)))=0,"",LN142/(INDEX('Standards for Conversions'!$H$47:$H$73,MATCH(LM$3,'Standards for Conversions'!$A$47:$A$73,0))))</f>
        <v/>
      </c>
      <c r="LR142" s="31" t="str">
        <f>IF(LQ142/(INDEX('Standards for Conversions'!$H$47:$H$73,MATCH(LP$3,'Standards for Conversions'!$A$47:$A$73,0)))=0,"",LQ142/(INDEX('Standards for Conversions'!$H$47:$H$73,MATCH(LP$3,'Standards for Conversions'!$A$47:$A$73,0))))</f>
        <v/>
      </c>
      <c r="LV142" s="31" t="str">
        <f>IF(LU142/(INDEX('Standards for Conversions'!$H$47:$H$73,MATCH(LT$3,'Standards for Conversions'!$A$47:$A$73,0)))=0,"",LU142/(INDEX('Standards for Conversions'!$H$47:$H$73,MATCH(LT$3,'Standards for Conversions'!$A$47:$A$73,0))))</f>
        <v/>
      </c>
      <c r="LY142" s="31" t="str">
        <f>IF(LX142/(INDEX('Standards for Conversions'!$H$47:$H$73,MATCH(LW$3,'Standards for Conversions'!$A$47:$A$73,0)))=0,"",LX142/(INDEX('Standards for Conversions'!$H$47:$H$73,MATCH(LW$3,'Standards for Conversions'!$A$47:$A$73,0))))</f>
        <v/>
      </c>
      <c r="MB142" s="31" t="str">
        <f>IF(MA142/(INDEX('Standards for Conversions'!$H$47:$H$73,MATCH(LZ$3,'Standards for Conversions'!$A$47:$A$73,0)))=0,"",MA142/(INDEX('Standards for Conversions'!$H$47:$H$73,MATCH(LZ$3,'Standards for Conversions'!$A$47:$A$73,0))))</f>
        <v/>
      </c>
      <c r="ME142" s="31" t="str">
        <f>IF(MD142/(INDEX('Standards for Conversions'!$H$47:$H$73,MATCH(MC$3,'Standards for Conversions'!$A$47:$A$73,0)))=0,"",MD142/(INDEX('Standards for Conversions'!$H$47:$H$73,MATCH(MC$3,'Standards for Conversions'!$A$47:$A$73,0))))</f>
        <v/>
      </c>
      <c r="MH142" s="31" t="str">
        <f>IF(MG142/(INDEX('Standards for Conversions'!$H$47:$H$73,MATCH(MF$3,'Standards for Conversions'!$A$47:$A$73,0)))=0,"",MG142/(INDEX('Standards for Conversions'!$H$47:$H$73,MATCH(MF$3,'Standards for Conversions'!$A$47:$A$73,0))))</f>
        <v/>
      </c>
      <c r="MK142" s="31" t="str">
        <f>IF(MJ142/(INDEX('Standards for Conversions'!$H$47:$H$73,MATCH(MI$3,'Standards for Conversions'!$A$47:$A$73,0)))=0,"",MJ142/(INDEX('Standards for Conversions'!$H$47:$H$73,MATCH(MI$3,'Standards for Conversions'!$A$47:$A$73,0))))</f>
        <v/>
      </c>
      <c r="MN142" s="31" t="str">
        <f>IF(MM142/(INDEX('Standards for Conversions'!$H$47:$H$73,MATCH(ML$3,'Standards for Conversions'!$A$47:$A$73,0)))=0,"",MM142/(INDEX('Standards for Conversions'!$H$47:$H$73,MATCH(ML$3,'Standards for Conversions'!$A$47:$A$73,0))))</f>
        <v/>
      </c>
      <c r="MR142" s="31" t="str">
        <f>IF(MQ142/(INDEX('Standards for Conversions'!$H$47:$H$73,MATCH(MP$3,'Standards for Conversions'!$A$47:$A$73,0)))=0,"",MQ142/(INDEX('Standards for Conversions'!$H$47:$H$73,MATCH(MP$3,'Standards for Conversions'!$A$47:$A$73,0))))</f>
        <v/>
      </c>
    </row>
    <row r="143" spans="1:356" hidden="1" x14ac:dyDescent="0.3">
      <c r="A143" s="103" t="s">
        <v>307</v>
      </c>
      <c r="B143" s="10" t="s">
        <v>44</v>
      </c>
      <c r="C143" s="7"/>
      <c r="D143" s="7"/>
      <c r="E143" s="31" t="str">
        <f>IF(D143/(INDEX('Standards for Conversions'!$H$34:$H$73,MATCH(C$3,'Standards for Conversions'!$A$34:$A$73,0)))=0,"",D143/(INDEX('Standards for Conversions'!$H$34:$H$73,MATCH(C$3,'Standards for Conversions'!$A$34:$A$73,0))))</f>
        <v/>
      </c>
      <c r="F143" s="10" t="s">
        <v>44</v>
      </c>
      <c r="G143" s="7"/>
      <c r="H143" s="7"/>
      <c r="I143" s="31" t="str">
        <f>IF(H143/(INDEX('Standards for Conversions'!$H$34:$H$73,MATCH(G$3,'Standards for Conversions'!$A$34:$A$73,0)))=0,"",H143/(INDEX('Standards for Conversions'!$H$34:$H$73,MATCH(G$3,'Standards for Conversions'!$A$34:$A$73,0))))</f>
        <v/>
      </c>
      <c r="J143" s="10" t="s">
        <v>44</v>
      </c>
      <c r="K143" s="7"/>
      <c r="L143" s="7"/>
      <c r="M143" s="31" t="str">
        <f>IF(L143/(INDEX('Standards for Conversions'!$H$34:$H$73,MATCH(K$3,'Standards for Conversions'!$A$34:$A$73,0)))=0,"",L143/(INDEX('Standards for Conversions'!$H$34:$H$73,MATCH(K$3,'Standards for Conversions'!$A$34:$A$73,0))))</f>
        <v/>
      </c>
      <c r="N143" s="10" t="s">
        <v>44</v>
      </c>
      <c r="O143" s="7"/>
      <c r="P143" s="7"/>
      <c r="Q143" s="31" t="str">
        <f>IF(P143/(INDEX('Standards for Conversions'!$H$34:$H$73,MATCH(O$3,'Standards for Conversions'!$A$34:$A$73,0)))=0,"",P143/(INDEX('Standards for Conversions'!$H$34:$H$73,MATCH(O$3,'Standards for Conversions'!$A$34:$A$73,0))))</f>
        <v/>
      </c>
      <c r="R143" s="10" t="s">
        <v>44</v>
      </c>
      <c r="S143" s="7"/>
      <c r="T143" s="7"/>
      <c r="U143" s="31" t="str">
        <f>IF(T143/(INDEX('Standards for Conversions'!$H$34:$H$73,MATCH(S$3,'Standards for Conversions'!$A$34:$A$73,0)))=0,"",T143/(INDEX('Standards for Conversions'!$H$34:$H$73,MATCH(S$3,'Standards for Conversions'!$A$34:$A$73,0))))</f>
        <v/>
      </c>
      <c r="V143" s="10" t="s">
        <v>44</v>
      </c>
      <c r="W143" s="7"/>
      <c r="X143" s="7"/>
      <c r="Y143" s="31" t="str">
        <f>IF(X143/(INDEX('Standards for Conversions'!$H$34:$H$73,MATCH(W$3,'Standards for Conversions'!$A$34:$A$73,0)))=0,"",X143/(INDEX('Standards for Conversions'!$H$34:$H$73,MATCH(W$3,'Standards for Conversions'!$A$34:$A$73,0))))</f>
        <v/>
      </c>
      <c r="Z143" s="10" t="s">
        <v>44</v>
      </c>
      <c r="AA143" s="7"/>
      <c r="AB143" s="7"/>
      <c r="AC143" s="31" t="str">
        <f>IF(AB143/(INDEX('Standards for Conversions'!$H$34:$H$73,MATCH(AA$3,'Standards for Conversions'!$A$34:$A$73,0)))=0,"",AB143/(INDEX('Standards for Conversions'!$H$34:$H$73,MATCH(AA$3,'Standards for Conversions'!$A$34:$A$73,0))))</f>
        <v/>
      </c>
      <c r="AD143" s="10" t="s">
        <v>44</v>
      </c>
      <c r="AE143" s="7"/>
      <c r="AF143" s="7"/>
      <c r="AG143" s="31" t="str">
        <f>IF(AF143/(INDEX('Standards for Conversions'!$H$34:$H$73,MATCH(AE$3,'Standards for Conversions'!$A$34:$A$73,0)))=0,"",AF143/(INDEX('Standards for Conversions'!$H$34:$H$73,MATCH(AE$3,'Standards for Conversions'!$A$34:$A$73,0))))</f>
        <v/>
      </c>
      <c r="AH143" s="10" t="s">
        <v>44</v>
      </c>
      <c r="AI143" s="7"/>
      <c r="AJ143" s="7"/>
      <c r="AK143" s="31" t="str">
        <f>IF(AJ143/(INDEX('Standards for Conversions'!$H$34:$H$73,MATCH(AI$3,'Standards for Conversions'!$A$34:$A$73,0)))=0,"",AJ143/(INDEX('Standards for Conversions'!$H$34:$H$73,MATCH(AI$3,'Standards for Conversions'!$A$34:$A$73,0))))</f>
        <v/>
      </c>
      <c r="AL143" s="10" t="s">
        <v>44</v>
      </c>
      <c r="AM143" s="7"/>
      <c r="AN143" s="7"/>
      <c r="AO143" s="31" t="str">
        <f>IF(AN143/(INDEX('Standards for Conversions'!$H$34:$H$73,MATCH(AM$3,'Standards for Conversions'!$A$34:$A$73,0)))=0,"",AN143/(INDEX('Standards for Conversions'!$H$34:$H$73,MATCH(AM$3,'Standards for Conversions'!$A$34:$A$73,0))))</f>
        <v/>
      </c>
      <c r="AP143" s="10" t="s">
        <v>44</v>
      </c>
      <c r="AQ143" s="7"/>
      <c r="AR143" s="7"/>
      <c r="AS143" s="31" t="str">
        <f>IF(AR143/(INDEX('Standards for Conversions'!$H$34:$H$73,MATCH(AQ$3,'Standards for Conversions'!$A$34:$A$73,0)))=0,"",AR143/(INDEX('Standards for Conversions'!$H$34:$H$73,MATCH(AQ$3,'Standards for Conversions'!$A$34:$A$73,0))))</f>
        <v/>
      </c>
      <c r="AT143" s="10" t="s">
        <v>44</v>
      </c>
      <c r="AU143" s="7"/>
      <c r="AV143" s="7"/>
      <c r="AW143" s="31" t="str">
        <f>IF(AV143/(INDEX('Standards for Conversions'!$H$34:$H$73,MATCH(AU$3,'Standards for Conversions'!$A$34:$A$73,0)))=0,"",AV143/(INDEX('Standards for Conversions'!$H$34:$H$73,MATCH(AU$3,'Standards for Conversions'!$A$34:$A$73,0))))</f>
        <v/>
      </c>
      <c r="AX143" s="10" t="s">
        <v>44</v>
      </c>
      <c r="AY143" s="7"/>
      <c r="AZ143" s="7"/>
      <c r="BA143" s="31" t="str">
        <f>IF(AZ143/(INDEX('Standards for Conversions'!$H$34:$H$73,MATCH(AY$3,'Standards for Conversions'!$A$34:$A$73,0)))=0,"",AZ143/(INDEX('Standards for Conversions'!$H$34:$H$73,MATCH(AY$3,'Standards for Conversions'!$A$34:$A$73,0))))</f>
        <v/>
      </c>
      <c r="BB143" s="10" t="s">
        <v>44</v>
      </c>
      <c r="BC143" s="7"/>
      <c r="BD143" s="7"/>
      <c r="BE143" s="31" t="str">
        <f>IF(BD143/(INDEX('Standards for Conversions'!$H$34:$H$73,MATCH(BC$3,'Standards for Conversions'!$A$34:$A$73,0)))=0,"",BD143/(INDEX('Standards for Conversions'!$H$34:$H$73,MATCH(BC$3,'Standards for Conversions'!$A$34:$A$73,0))))</f>
        <v/>
      </c>
      <c r="BF143" s="10" t="s">
        <v>44</v>
      </c>
      <c r="BG143" s="7"/>
      <c r="BH143" s="7"/>
      <c r="BI143" s="31" t="str">
        <f>IF(BH143/(INDEX('Standards for Conversions'!$H$34:$H$73,MATCH(BG$3,'Standards for Conversions'!$A$34:$A$73,0)))=0,"",BH143/(INDEX('Standards for Conversions'!$H$34:$H$73,MATCH(BG$3,'Standards for Conversions'!$A$34:$A$73,0))))</f>
        <v/>
      </c>
      <c r="BJ143" s="10" t="s">
        <v>44</v>
      </c>
      <c r="BK143" s="7"/>
      <c r="BL143" s="7"/>
      <c r="BM143" s="31" t="str">
        <f>IF(BL143/(INDEX('Standards for Conversions'!$H$34:$H$73,MATCH(BK$3,'Standards for Conversions'!$A$34:$A$73,0)))=0,"",BL143/(INDEX('Standards for Conversions'!$H$34:$H$73,MATCH(BK$3,'Standards for Conversions'!$A$34:$A$73,0))))</f>
        <v/>
      </c>
      <c r="BN143" s="10" t="s">
        <v>44</v>
      </c>
      <c r="BO143" s="7"/>
      <c r="BP143" s="7"/>
      <c r="BQ143" s="31" t="str">
        <f>IF(BP143/(INDEX('Standards for Conversions'!$H$34:$H$73,MATCH(BO$3,'Standards for Conversions'!$A$34:$A$73,0)))=0,"",BP143/(INDEX('Standards for Conversions'!$H$34:$H$73,MATCH(BO$3,'Standards for Conversions'!$A$34:$A$73,0))))</f>
        <v/>
      </c>
      <c r="BR143" s="10" t="s">
        <v>44</v>
      </c>
      <c r="BS143" s="7"/>
      <c r="BT143" s="7"/>
      <c r="BU143" s="31" t="str">
        <f>IF(BT143/(INDEX('Standards for Conversions'!$H$34:$H$73,MATCH(BS$3,'Standards for Conversions'!$A$34:$A$73,0)))=0,"",BT143/(INDEX('Standards for Conversions'!$H$34:$H$73,MATCH(BS$3,'Standards for Conversions'!$A$34:$A$73,0))))</f>
        <v/>
      </c>
      <c r="BV143" s="10" t="s">
        <v>44</v>
      </c>
      <c r="BW143" s="7"/>
      <c r="BX143" s="7"/>
      <c r="BY143" s="31" t="str">
        <f>IF(BX143/(INDEX('Standards for Conversions'!$H$34:$H$73,MATCH(BW$3,'Standards for Conversions'!$A$34:$A$73,0)))=0,"",BX143/(INDEX('Standards for Conversions'!$H$34:$H$73,MATCH(BW$3,'Standards for Conversions'!$A$34:$A$73,0))))</f>
        <v/>
      </c>
      <c r="BZ143" s="10" t="s">
        <v>44</v>
      </c>
      <c r="CA143" s="7"/>
      <c r="CB143" s="7"/>
      <c r="CC143" s="31" t="str">
        <f>IF(CB143/(INDEX('Standards for Conversions'!$H$34:$H$73,MATCH(CA$3,'Standards for Conversions'!$A$34:$A$73,0)))=0,"",CB143/(INDEX('Standards for Conversions'!$H$34:$H$73,MATCH(CA$3,'Standards for Conversions'!$A$34:$A$73,0))))</f>
        <v/>
      </c>
      <c r="CD143" s="10" t="s">
        <v>44</v>
      </c>
      <c r="CE143" s="7"/>
      <c r="CF143" s="7"/>
      <c r="CG143" s="31" t="str">
        <f>IF(CF143/(INDEX('Standards for Conversions'!$H$34:$H$73,MATCH(CE$3,'Standards for Conversions'!$A$34:$A$73,0)))=0,"",CF143/(INDEX('Standards for Conversions'!$H$34:$H$73,MATCH(CE$3,'Standards for Conversions'!$A$34:$A$73,0))))</f>
        <v/>
      </c>
      <c r="CH143" s="10" t="s">
        <v>44</v>
      </c>
      <c r="CI143" s="7"/>
      <c r="CJ143" s="7"/>
      <c r="CK143" s="31" t="str">
        <f>IF(CJ143/(INDEX('Standards for Conversions'!$H$34:$H$73,MATCH(CI$3,'Standards for Conversions'!$A$34:$A$73,0)))=0,"",CJ143/(INDEX('Standards for Conversions'!$H$34:$H$73,MATCH(CI$3,'Standards for Conversions'!$A$34:$A$73,0))))</f>
        <v/>
      </c>
      <c r="CL143" s="10" t="s">
        <v>44</v>
      </c>
      <c r="CM143" s="7"/>
      <c r="CN143" s="7"/>
      <c r="CO143" s="31" t="str">
        <f>IF(CN143/(INDEX('Standards for Conversions'!$H$34:$H$73,MATCH(CM$3,'Standards for Conversions'!$A$34:$A$73,0)))=0,"",CN143/(INDEX('Standards for Conversions'!$H$34:$H$73,MATCH(CM$3,'Standards for Conversions'!$A$34:$A$73,0))))</f>
        <v/>
      </c>
      <c r="CP143" s="10" t="s">
        <v>44</v>
      </c>
      <c r="CQ143" s="7"/>
      <c r="CR143" s="7"/>
      <c r="CS143" s="31" t="str">
        <f>IF(CR143/(INDEX('Standards for Conversions'!$H$34:$H$73,MATCH(CQ$3,'Standards for Conversions'!$A$34:$A$73,0)))=0,"",CR143/(INDEX('Standards for Conversions'!$H$34:$H$73,MATCH(CQ$3,'Standards for Conversions'!$A$34:$A$73,0))))</f>
        <v/>
      </c>
      <c r="CT143" s="10" t="s">
        <v>44</v>
      </c>
      <c r="CU143" s="7"/>
      <c r="CV143" s="7"/>
      <c r="CW143" s="31" t="str">
        <f>IF(CV143/(INDEX('Standards for Conversions'!$H$34:$H$73,MATCH(CU$3,'Standards for Conversions'!$A$34:$A$73,0)))=0,"",CV143/(INDEX('Standards for Conversions'!$H$34:$H$73,MATCH(CU$3,'Standards for Conversions'!$A$34:$A$73,0))))</f>
        <v/>
      </c>
      <c r="CX143" s="10" t="s">
        <v>44</v>
      </c>
      <c r="CY143" s="7"/>
      <c r="CZ143" s="7"/>
      <c r="DA143" s="31" t="str">
        <f>IF(CZ143/(INDEX('Standards for Conversions'!$H$34:$H$73,MATCH(CY$3,'Standards for Conversions'!$A$34:$A$73,0)))=0,"",CZ143/(INDEX('Standards for Conversions'!$H$34:$H$73,MATCH(CY$3,'Standards for Conversions'!$A$34:$A$73,0))))</f>
        <v/>
      </c>
      <c r="DB143" s="10" t="s">
        <v>44</v>
      </c>
      <c r="DC143" s="7"/>
      <c r="DD143" s="7"/>
      <c r="DE143" s="31" t="str">
        <f>IF(DD143/(INDEX('Standards for Conversions'!$H$34:$H$73,MATCH(DC$3,'Standards for Conversions'!$A$34:$A$73,0)))=0,"",DD143/(INDEX('Standards for Conversions'!$H$34:$H$73,MATCH(DC$3,'Standards for Conversions'!$A$34:$A$73,0))))</f>
        <v/>
      </c>
      <c r="DF143" s="10" t="s">
        <v>44</v>
      </c>
      <c r="DG143" s="7"/>
      <c r="DH143" s="7"/>
      <c r="DI143" s="31" t="str">
        <f>IF(DH143/(INDEX('Standards for Conversions'!$H$34:$H$73,MATCH(DG$3,'Standards for Conversions'!$A$34:$A$73,0)))=0,"",DH143/(INDEX('Standards for Conversions'!$H$34:$H$73,MATCH(DG$3,'Standards for Conversions'!$A$34:$A$73,0))))</f>
        <v/>
      </c>
      <c r="DJ143" s="10" t="s">
        <v>44</v>
      </c>
      <c r="DK143" s="7"/>
      <c r="DL143" s="7"/>
      <c r="DM143" s="31" t="str">
        <f>IF(DL143/(INDEX('Standards for Conversions'!$H$34:$H$73,MATCH(DK$3,'Standards for Conversions'!$A$34:$A$73,0)))=0,"",DL143/(INDEX('Standards for Conversions'!$H$34:$H$73,MATCH(DK$3,'Standards for Conversions'!$A$34:$A$73,0))))</f>
        <v/>
      </c>
      <c r="DN143" s="10" t="s">
        <v>44</v>
      </c>
      <c r="DO143" s="7"/>
      <c r="DP143" s="7"/>
      <c r="DQ143" s="31" t="str">
        <f>IF(DP143/(INDEX('Standards for Conversions'!$H$34:$H$73,MATCH(DO$3,'Standards for Conversions'!$A$34:$A$73,0)))=0,"",DP143/(INDEX('Standards for Conversions'!$H$34:$H$73,MATCH(DO$3,'Standards for Conversions'!$A$34:$A$73,0))))</f>
        <v/>
      </c>
      <c r="DR143" s="10" t="s">
        <v>44</v>
      </c>
      <c r="DS143" s="7"/>
      <c r="DT143" s="7"/>
      <c r="DU143" s="31" t="str">
        <f>IF(DT143/(INDEX('Standards for Conversions'!$H$34:$H$73,MATCH(DS$3,'Standards for Conversions'!$A$34:$A$73,0)))=0,"",DT143/(INDEX('Standards for Conversions'!$H$34:$H$73,MATCH(DS$3,'Standards for Conversions'!$A$34:$A$73,0))))</f>
        <v/>
      </c>
      <c r="DV143" s="10" t="s">
        <v>44</v>
      </c>
      <c r="DW143" s="7"/>
      <c r="DX143" s="7"/>
      <c r="DY143" s="31" t="str">
        <f>IF(DX143/(INDEX('Standards for Conversions'!$H$34:$H$73,MATCH(DW$3,'Standards for Conversions'!$A$34:$A$73,0)))=0,"",DX143/(INDEX('Standards for Conversions'!$H$34:$H$73,MATCH(DW$3,'Standards for Conversions'!$A$34:$A$73,0))))</f>
        <v/>
      </c>
      <c r="DZ143" s="10" t="s">
        <v>44</v>
      </c>
      <c r="EA143" s="7"/>
      <c r="EB143" s="7"/>
      <c r="EC143" s="31" t="str">
        <f>IF(EB143/(INDEX('Standards for Conversions'!$H$34:$H$73,MATCH(EA$3,'Standards for Conversions'!$A$34:$A$73,0)))=0,"",EB143/(INDEX('Standards for Conversions'!$H$34:$H$73,MATCH(EA$3,'Standards for Conversions'!$A$34:$A$73,0))))</f>
        <v/>
      </c>
      <c r="ED143" s="10" t="s">
        <v>44</v>
      </c>
      <c r="EE143" s="7"/>
      <c r="EF143" s="7"/>
      <c r="EG143" s="31" t="str">
        <f>IF(EF143/(INDEX('Standards for Conversions'!$H$34:$H$73,MATCH(EE$3,'Standards for Conversions'!$A$34:$A$73,0)))=0,"",EF143/(INDEX('Standards for Conversions'!$H$34:$H$73,MATCH(EE$3,'Standards for Conversions'!$A$34:$A$73,0))))</f>
        <v/>
      </c>
      <c r="EH143" s="10" t="s">
        <v>44</v>
      </c>
      <c r="EI143" s="7"/>
      <c r="EJ143" s="7"/>
      <c r="EK143" s="31" t="str">
        <f>IF(EJ143/(INDEX('Standards for Conversions'!$H$34:$H$73,MATCH(EI$3,'Standards for Conversions'!$A$34:$A$73,0)))=0,"",EJ143/(INDEX('Standards for Conversions'!$H$34:$H$73,MATCH(EI$3,'Standards for Conversions'!$A$34:$A$73,0))))</f>
        <v/>
      </c>
      <c r="EL143" s="10" t="s">
        <v>44</v>
      </c>
      <c r="EM143" s="7"/>
      <c r="EN143" s="7"/>
      <c r="EO143" s="31" t="str">
        <f>IF(EN143/(INDEX('Standards for Conversions'!$H$34:$H$73,MATCH(EM$3,'Standards for Conversions'!$A$34:$A$73,0)))=0,"",EN143/(INDEX('Standards for Conversions'!$H$34:$H$73,MATCH(EM$3,'Standards for Conversions'!$A$34:$A$73,0))))</f>
        <v/>
      </c>
      <c r="EP143" s="10" t="s">
        <v>44</v>
      </c>
      <c r="EQ143" s="7"/>
      <c r="ER143" s="7"/>
      <c r="ES143" s="31" t="str">
        <f>IF(ER143/(INDEX('Standards for Conversions'!$H$34:$H$73,MATCH(EQ$3,'Standards for Conversions'!$A$34:$A$73,0)))=0,"",ER143/(INDEX('Standards for Conversions'!$H$34:$H$73,MATCH(EQ$3,'Standards for Conversions'!$A$34:$A$73,0))))</f>
        <v/>
      </c>
      <c r="ET143" s="10" t="s">
        <v>44</v>
      </c>
      <c r="EU143" s="7"/>
      <c r="EV143" s="7"/>
      <c r="EW143" s="31" t="str">
        <f>IF(EV143/(INDEX('Standards for Conversions'!$H$34:$H$73,MATCH(EU$3,'Standards for Conversions'!$A$34:$A$73,0)))=0,"",EV143/(INDEX('Standards for Conversions'!$H$34:$H$73,MATCH(EU$3,'Standards for Conversions'!$A$34:$A$73,0))))</f>
        <v/>
      </c>
      <c r="EX143" s="10" t="s">
        <v>44</v>
      </c>
      <c r="EY143" s="9"/>
      <c r="EZ143" s="9"/>
      <c r="FA143" s="31" t="str">
        <f>IF(EZ143/(INDEX('Standards for Conversions'!$H$34:$H$73,MATCH(EY$3,'Standards for Conversions'!$A$34:$A$73,0)))=0,"",EZ143/(INDEX('Standards for Conversions'!$H$34:$H$73,MATCH(EY$3,'Standards for Conversions'!$A$34:$A$73,0))))</f>
        <v/>
      </c>
      <c r="FB143" s="10" t="s">
        <v>44</v>
      </c>
      <c r="FC143" s="7"/>
      <c r="FD143" s="7"/>
      <c r="FE143" s="31" t="str">
        <f>IF(FD143/(INDEX('Standards for Conversions'!$H$34:$H$73,MATCH(FC$3,'Standards for Conversions'!$A$34:$A$73,0)))=0,"",FD143/(INDEX('Standards for Conversions'!$H$34:$H$73,MATCH(FC$3,'Standards for Conversions'!$A$34:$A$73,0))))</f>
        <v/>
      </c>
      <c r="FF143" s="10" t="s">
        <v>44</v>
      </c>
      <c r="FG143" s="7"/>
      <c r="FH143" s="7"/>
      <c r="FI143" s="31" t="str">
        <f>IF(FH143/(INDEX('Standards for Conversions'!$H$34:$H$73,MATCH(FG$3,'Standards for Conversions'!$A$34:$A$73,0)))=0,"",FH143/(INDEX('Standards for Conversions'!$H$34:$H$73,MATCH(FG$3,'Standards for Conversions'!$A$34:$A$73,0))))</f>
        <v/>
      </c>
      <c r="FJ143" s="10" t="s">
        <v>44</v>
      </c>
      <c r="FK143" s="7"/>
      <c r="FL143" s="7"/>
      <c r="FM143" s="31" t="str">
        <f>IF(FL143/(INDEX('Standards for Conversions'!$H$34:$H$73,MATCH(FK$3,'Standards for Conversions'!$A$34:$A$73,0)))=0,"",FL143/(INDEX('Standards for Conversions'!$H$34:$H$73,MATCH(FK$3,'Standards for Conversions'!$A$34:$A$73,0))))</f>
        <v/>
      </c>
      <c r="FN143" s="10" t="s">
        <v>44</v>
      </c>
      <c r="FO143" s="9"/>
      <c r="FP143" s="9"/>
      <c r="FQ143" s="31" t="str">
        <f>IF(FP143/(INDEX('Standards for Conversions'!$H$34:$H$73,MATCH(FO$3,'Standards for Conversions'!$A$34:$A$73,0)))=0,"",FP143/(INDEX('Standards for Conversions'!$H$34:$H$73,MATCH(FO$3,'Standards for Conversions'!$A$34:$A$73,0))))</f>
        <v/>
      </c>
      <c r="FR143" s="10" t="s">
        <v>44</v>
      </c>
      <c r="FS143" s="7"/>
      <c r="FT143" s="7"/>
      <c r="FU143" s="31" t="str">
        <f>IF(FT143/(INDEX('Standards for Conversions'!$H$34:$H$73,MATCH(FS$3,'Standards for Conversions'!$A$34:$A$73,0)))=0,"",FT143/(INDEX('Standards for Conversions'!$H$34:$H$73,MATCH(FS$3,'Standards for Conversions'!$A$34:$A$73,0))))</f>
        <v/>
      </c>
      <c r="FV143" s="10" t="s">
        <v>44</v>
      </c>
      <c r="FW143" s="7"/>
      <c r="FX143" s="7"/>
      <c r="FY143" s="31" t="str">
        <f>IF(FX143/(INDEX('Standards for Conversions'!$H$34:$H$73,MATCH(FW$3,'Standards for Conversions'!$A$34:$A$73,0)))=0,"",FX143/(INDEX('Standards for Conversions'!$H$34:$H$73,MATCH(FW$3,'Standards for Conversions'!$A$34:$A$73,0))))</f>
        <v/>
      </c>
      <c r="FZ143" s="10" t="s">
        <v>44</v>
      </c>
      <c r="GA143" s="7"/>
      <c r="GB143" s="7"/>
      <c r="GC143" s="31" t="str">
        <f>IF(GB143/(INDEX('Standards for Conversions'!$H$34:$H$73,MATCH(GA$3,'Standards for Conversions'!$A$34:$A$73,0)))=0,"",GB143/(INDEX('Standards for Conversions'!$H$34:$H$73,MATCH(GA$3,'Standards for Conversions'!$A$34:$A$73,0))))</f>
        <v/>
      </c>
      <c r="GD143" s="10" t="s">
        <v>44</v>
      </c>
      <c r="GE143" s="9"/>
      <c r="GF143" s="9"/>
      <c r="GG143" s="31" t="str">
        <f>IF(GF143/(INDEX('Standards for Conversions'!$H$34:$H$73,MATCH(GE$3,'Standards for Conversions'!$A$34:$A$73,0)))=0,"",GF143/(INDEX('Standards for Conversions'!$H$34:$H$73,MATCH(GE$3,'Standards for Conversions'!$A$34:$A$73,0))))</f>
        <v/>
      </c>
      <c r="GH143" s="10" t="s">
        <v>44</v>
      </c>
      <c r="GI143" s="7"/>
      <c r="GJ143" s="7"/>
      <c r="GK143" s="31" t="str">
        <f>IF(GJ143/(INDEX('Standards for Conversions'!$H$34:$H$73,MATCH(GI$3,'Standards for Conversions'!$A$34:$A$73,0)))=0,"",GJ143/(INDEX('Standards for Conversions'!$H$34:$H$73,MATCH(GI$3,'Standards for Conversions'!$A$34:$A$73,0))))</f>
        <v/>
      </c>
      <c r="GL143" s="10" t="s">
        <v>44</v>
      </c>
      <c r="GM143" s="7"/>
      <c r="GN143" s="7"/>
      <c r="GO143" s="31" t="str">
        <f>IF(GN143/(INDEX('Standards for Conversions'!$H$34:$H$73,MATCH(GM$3,'Standards for Conversions'!$A$34:$A$73,0)))=0,"",GN143/(INDEX('Standards for Conversions'!$H$34:$H$73,MATCH(GM$3,'Standards for Conversions'!$A$34:$A$73,0))))</f>
        <v/>
      </c>
      <c r="GP143" s="10" t="s">
        <v>44</v>
      </c>
      <c r="GQ143" s="7"/>
      <c r="GR143" s="7"/>
      <c r="GS143" s="31" t="str">
        <f>IF(GR143/(INDEX('Standards for Conversions'!$H$34:$H$73,MATCH(GQ$3,'Standards for Conversions'!$A$34:$A$73,0)))=0,"",GR143/(INDEX('Standards for Conversions'!$H$34:$H$73,MATCH(GQ$3,'Standards for Conversions'!$A$34:$A$73,0))))</f>
        <v/>
      </c>
      <c r="GT143" s="10" t="s">
        <v>44</v>
      </c>
      <c r="GU143" s="9"/>
      <c r="GV143" s="9"/>
      <c r="GW143" s="31" t="str">
        <f>IF(GV143/(INDEX('Standards for Conversions'!$H$34:$H$73,MATCH(GU$3,'Standards for Conversions'!$A$34:$A$73,0)))=0,"",GV143/(INDEX('Standards for Conversions'!$H$34:$H$73,MATCH(GU$3,'Standards for Conversions'!$A$34:$A$73,0))))</f>
        <v/>
      </c>
      <c r="GX143" s="10" t="s">
        <v>44</v>
      </c>
      <c r="GY143" s="7"/>
      <c r="GZ143" s="7"/>
      <c r="HA143" s="31" t="str">
        <f>IF(GZ143/(INDEX('Standards for Conversions'!$H$34:$H$73,MATCH(GY$3,'Standards for Conversions'!$A$34:$A$73,0)))=0,"",GZ143/(INDEX('Standards for Conversions'!$H$34:$H$73,MATCH(GY$3,'Standards for Conversions'!$A$34:$A$73,0))))</f>
        <v/>
      </c>
      <c r="HB143" s="10" t="s">
        <v>44</v>
      </c>
      <c r="HC143" s="7"/>
      <c r="HD143" s="7"/>
      <c r="HE143" s="31" t="str">
        <f>IF(HD143/(INDEX('Standards for Conversions'!$H$34:$H$73,MATCH(HC$3,'Standards for Conversions'!$A$34:$A$73,0)))=0,"",HD143/(INDEX('Standards for Conversions'!$H$34:$H$73,MATCH(HC$3,'Standards for Conversions'!$A$34:$A$73,0))))</f>
        <v/>
      </c>
      <c r="HF143" s="10" t="s">
        <v>44</v>
      </c>
      <c r="HG143" s="7"/>
      <c r="HH143" s="7"/>
      <c r="HI143" s="31" t="str">
        <f>IF(HH143/(INDEX('Standards for Conversions'!$H$34:$H$73,MATCH(HG$3,'Standards for Conversions'!$A$34:$A$73,0)))=0,"",HH143/(INDEX('Standards for Conversions'!$H$34:$H$73,MATCH(HG$3,'Standards for Conversions'!$A$34:$A$73,0))))</f>
        <v/>
      </c>
      <c r="HJ143" s="10" t="s">
        <v>44</v>
      </c>
      <c r="HK143" s="9"/>
      <c r="HL143" s="9"/>
      <c r="HM143" s="31" t="str">
        <f>IF(HL143/(INDEX('Standards for Conversions'!$H$34:$H$73,MATCH(HK$3,'Standards for Conversions'!$A$34:$A$73,0)))=0,"",HL143/(INDEX('Standards for Conversions'!$H$34:$H$73,MATCH(HK$3,'Standards for Conversions'!$A$34:$A$73,0))))</f>
        <v/>
      </c>
      <c r="HN143" s="10" t="s">
        <v>44</v>
      </c>
      <c r="HO143" s="7"/>
      <c r="HP143" s="7"/>
      <c r="HQ143" s="31" t="str">
        <f>IF(HP143/(INDEX('Standards for Conversions'!$H$34:$H$73,MATCH(HO$3,'Standards for Conversions'!$A$34:$A$73,0)))=0,"",HP143/(INDEX('Standards for Conversions'!$H$34:$H$73,MATCH(HO$3,'Standards for Conversions'!$A$34:$A$73,0))))</f>
        <v/>
      </c>
      <c r="HR143" s="33" t="s">
        <v>44</v>
      </c>
      <c r="HU143" s="31" t="str">
        <f>IF(HT143/(INDEX('Standards for Conversions'!$H$47:$H$73,MATCH(HS$3,'Standards for Conversions'!$A$47:$A$73,0)))=0,"",HT143/(INDEX('Standards for Conversions'!$H$47:$H$73,MATCH(HS$3,'Standards for Conversions'!$A$47:$A$73,0))))</f>
        <v/>
      </c>
      <c r="HV143" s="33" t="s">
        <v>44</v>
      </c>
      <c r="HY143" s="31" t="str">
        <f>IF(HX143/(INDEX('Standards for Conversions'!$H$47:$H$73,MATCH(HW$3,'Standards for Conversions'!$A$47:$A$73,0)))=0,"",HX143/(INDEX('Standards for Conversions'!$H$47:$H$73,MATCH(HW$3,'Standards for Conversions'!$A$47:$A$73,0))))</f>
        <v/>
      </c>
      <c r="HZ143" s="33"/>
      <c r="IA143" s="33"/>
      <c r="IB143" s="31" t="str">
        <f>IF(IA143/(INDEX('Standards for Conversions'!$H$47:$H$73,MATCH(HZ$3,'Standards for Conversions'!$A$47:$A$73,0)))=0,"",IA143/(INDEX('Standards for Conversions'!$H$47:$H$73,MATCH(HZ$3,'Standards for Conversions'!$A$47:$A$73,0))))</f>
        <v/>
      </c>
      <c r="IC143" s="33" t="s">
        <v>44</v>
      </c>
      <c r="ID143" s="29">
        <v>250</v>
      </c>
      <c r="IE143" s="29">
        <v>22000</v>
      </c>
      <c r="IF143" s="31">
        <f>IF(IE143/(INDEX('Standards for Conversions'!$H$47:$H$73,MATCH(ID$3,'Standards for Conversions'!$A$47:$A$73,0)))=0,"",IE143/(INDEX('Standards for Conversions'!$H$47:$H$73,MATCH(ID$3,'Standards for Conversions'!$A$47:$A$73,0))))</f>
        <v>3195.3990686828311</v>
      </c>
      <c r="IG143" s="33" t="s">
        <v>44</v>
      </c>
      <c r="IJ143" s="31" t="str">
        <f>IF(II143/(INDEX('Standards for Conversions'!$H$47:$H$73,MATCH(IH$3,'Standards for Conversions'!$A$47:$A$73,0)))=0,"",II143/(INDEX('Standards for Conversions'!$H$47:$H$73,MATCH(IH$3,'Standards for Conversions'!$A$47:$A$73,0))))</f>
        <v/>
      </c>
      <c r="IK143" s="33" t="s">
        <v>44</v>
      </c>
      <c r="IN143" s="31" t="str">
        <f>IF(IM143/(INDEX('Standards for Conversions'!$H$47:$H$73,MATCH(IL$3,'Standards for Conversions'!$A$47:$A$73,0)))=0,"",IM143/(INDEX('Standards for Conversions'!$H$47:$H$73,MATCH(IL$3,'Standards for Conversions'!$A$47:$A$73,0))))</f>
        <v/>
      </c>
      <c r="IO143" s="33" t="s">
        <v>44</v>
      </c>
      <c r="IR143" s="31" t="str">
        <f>IF(IQ143/(INDEX('Standards for Conversions'!$H$47:$H$73,MATCH(IP$3,'Standards for Conversions'!$A$47:$A$73,0)))=0,"",IQ143/(INDEX('Standards for Conversions'!$H$47:$H$73,MATCH(IP$3,'Standards for Conversions'!$A$47:$A$73,0))))</f>
        <v/>
      </c>
      <c r="IS143" s="33" t="s">
        <v>44</v>
      </c>
      <c r="IT143" s="29">
        <v>511</v>
      </c>
      <c r="IU143" s="29">
        <v>50000</v>
      </c>
      <c r="IV143" s="31">
        <f>IF(IU143/(INDEX('Standards for Conversions'!$H$47:$H$73,MATCH(IT$3,'Standards for Conversions'!$A$47:$A$73,0)))=0,"",IU143/(INDEX('Standards for Conversions'!$H$47:$H$73,MATCH(IT$3,'Standards for Conversions'!$A$47:$A$73,0))))</f>
        <v>7230.5114097216183</v>
      </c>
      <c r="IW143" s="33" t="s">
        <v>44</v>
      </c>
      <c r="IZ143" s="31" t="str">
        <f>IF(IY143/(INDEX('Standards for Conversions'!$H$47:$H$73,MATCH(IX$3,'Standards for Conversions'!$A$47:$A$73,0)))=0,"",IY143/(INDEX('Standards for Conversions'!$H$47:$H$73,MATCH(IX$3,'Standards for Conversions'!$A$47:$A$73,0))))</f>
        <v/>
      </c>
      <c r="JA143" s="33" t="s">
        <v>44</v>
      </c>
      <c r="JD143" s="31" t="str">
        <f>IF(JC143/(INDEX('Standards for Conversions'!$H$47:$H$73,MATCH(JB$3,'Standards for Conversions'!$A$47:$A$73,0)))=0,"",JC143/(INDEX('Standards for Conversions'!$H$47:$H$73,MATCH(JB$3,'Standards for Conversions'!$A$47:$A$73,0))))</f>
        <v/>
      </c>
      <c r="JE143" s="33" t="s">
        <v>44</v>
      </c>
      <c r="JH143" s="31" t="str">
        <f>IF(JG143/(INDEX('Standards for Conversions'!$H$47:$H$73,MATCH(JF$3,'Standards for Conversions'!$A$47:$A$73,0)))=0,"",JG143/(INDEX('Standards for Conversions'!$H$47:$H$73,MATCH(JF$3,'Standards for Conversions'!$A$47:$A$73,0))))</f>
        <v/>
      </c>
      <c r="JI143" s="48" t="s">
        <v>44</v>
      </c>
      <c r="JJ143" s="29">
        <v>400</v>
      </c>
      <c r="JK143" s="29">
        <v>40000</v>
      </c>
      <c r="JL143" s="31">
        <f>IF(JK143/(INDEX('Standards for Conversions'!$H$47:$H$73,MATCH(JJ$3,'Standards for Conversions'!$A$47:$A$73,0)))=0,"",JK143/(INDEX('Standards for Conversions'!$H$47:$H$73,MATCH(JJ$3,'Standards for Conversions'!$A$47:$A$73,0))))</f>
        <v>6470.4078676747476</v>
      </c>
      <c r="JM143" s="33" t="s">
        <v>44</v>
      </c>
      <c r="JP143" s="31" t="str">
        <f>IF(JO143/(INDEX('Standards for Conversions'!$H$47:$H$73,MATCH(JN$3,'Standards for Conversions'!$A$47:$A$73,0)))=0,"",JO143/(INDEX('Standards for Conversions'!$H$47:$H$73,MATCH(JN$3,'Standards for Conversions'!$A$47:$A$73,0))))</f>
        <v/>
      </c>
      <c r="JQ143" s="33" t="s">
        <v>44</v>
      </c>
      <c r="JT143" s="31" t="str">
        <f>IF(JS143/(INDEX('Standards for Conversions'!$H$47:$H$73,MATCH(JR$3,'Standards for Conversions'!$A$47:$A$73,0)))=0,"",JS143/(INDEX('Standards for Conversions'!$H$47:$H$73,MATCH(JR$3,'Standards for Conversions'!$A$47:$A$73,0))))</f>
        <v/>
      </c>
      <c r="JU143" s="33" t="s">
        <v>44</v>
      </c>
      <c r="JX143" s="31" t="str">
        <f>IF(JW143/(INDEX('Standards for Conversions'!$H$47:$H$73,MATCH(JV$3,'Standards for Conversions'!$A$47:$A$73,0)))=0,"",JW143/(INDEX('Standards for Conversions'!$H$47:$H$73,MATCH(JV$3,'Standards for Conversions'!$A$47:$A$73,0))))</f>
        <v/>
      </c>
      <c r="JY143" s="33" t="s">
        <v>44</v>
      </c>
      <c r="JZ143" s="29">
        <v>450</v>
      </c>
      <c r="KA143" s="29">
        <v>40500</v>
      </c>
      <c r="KB143" s="31">
        <f>IF(KA143/(INDEX('Standards for Conversions'!$H$47:$H$73,MATCH(JZ$3,'Standards for Conversions'!$A$47:$A$73,0)))=0,"",KA143/(INDEX('Standards for Conversions'!$H$47:$H$73,MATCH(JZ$3,'Standards for Conversions'!$A$47:$A$73,0))))</f>
        <v>6182.5636433258014</v>
      </c>
      <c r="KC143" s="33" t="s">
        <v>44</v>
      </c>
      <c r="KF143" s="31" t="str">
        <f>IF(KE143/(INDEX('Standards for Conversions'!$H$47:$H$73,MATCH(KD$3,'Standards for Conversions'!$A$47:$A$73,0)))=0,"",KE143/(INDEX('Standards for Conversions'!$H$47:$H$73,MATCH(KD$3,'Standards for Conversions'!$A$47:$A$73,0))))</f>
        <v/>
      </c>
      <c r="KG143" s="33" t="s">
        <v>44</v>
      </c>
      <c r="KJ143" s="31" t="str">
        <f>IF(KI143/(INDEX('Standards for Conversions'!$H$47:$H$73,MATCH(KH$3,'Standards for Conversions'!$A$47:$A$73,0)))=0,"",KI143/(INDEX('Standards for Conversions'!$H$47:$H$73,MATCH(KH$3,'Standards for Conversions'!$A$47:$A$73,0))))</f>
        <v/>
      </c>
      <c r="KK143" s="33" t="s">
        <v>44</v>
      </c>
      <c r="KN143" s="31" t="str">
        <f>IF(KM143/(INDEX('Standards for Conversions'!$H$47:$H$73,MATCH(KL$3,'Standards for Conversions'!$A$47:$A$73,0)))=0,"",KM143/(INDEX('Standards for Conversions'!$H$47:$H$73,MATCH(KL$3,'Standards for Conversions'!$A$47:$A$73,0))))</f>
        <v/>
      </c>
      <c r="KO143" s="33" t="s">
        <v>44</v>
      </c>
      <c r="KP143" s="29">
        <v>500</v>
      </c>
      <c r="KQ143" s="29">
        <v>45800</v>
      </c>
      <c r="KR143" s="31">
        <f>IF(KQ143/(INDEX('Standards for Conversions'!$H$47:$H$73,MATCH(KP$3,'Standards for Conversions'!$A$47:$A$73,0)))=0,"",KQ143/(INDEX('Standards for Conversions'!$H$47:$H$73,MATCH(KP$3,'Standards for Conversions'!$A$47:$A$73,0))))</f>
        <v>6167.3827452854784</v>
      </c>
      <c r="KS143" s="33" t="s">
        <v>44</v>
      </c>
      <c r="KV143" s="31" t="str">
        <f>IF(KU143/(INDEX('Standards for Conversions'!$H$47:$H$73,MATCH(KT$3,'Standards for Conversions'!$A$47:$A$73,0)))=0,"",KU143/(INDEX('Standards for Conversions'!$H$47:$H$73,MATCH(KT$3,'Standards for Conversions'!$A$47:$A$73,0))))</f>
        <v/>
      </c>
      <c r="KW143" s="33" t="s">
        <v>44</v>
      </c>
      <c r="KZ143" s="31" t="str">
        <f>IF(KY143/(INDEX('Standards for Conversions'!$H$47:$H$73,MATCH(KX$3,'Standards for Conversions'!$A$47:$A$73,0)))=0,"",KY143/(INDEX('Standards for Conversions'!$H$47:$H$73,MATCH(KX$3,'Standards for Conversions'!$A$47:$A$73,0))))</f>
        <v/>
      </c>
      <c r="LA143" s="33" t="s">
        <v>44</v>
      </c>
      <c r="LD143" s="31" t="str">
        <f>IF(LC143/(INDEX('Standards for Conversions'!$H$47:$H$73,MATCH(LB$3,'Standards for Conversions'!$A$47:$A$73,0)))=0,"",LC143/(INDEX('Standards for Conversions'!$H$47:$H$73,MATCH(LB$3,'Standards for Conversions'!$A$47:$A$73,0))))</f>
        <v/>
      </c>
      <c r="LE143" s="48" t="s">
        <v>44</v>
      </c>
      <c r="LF143" s="29">
        <v>90</v>
      </c>
      <c r="LG143" s="29">
        <v>20500</v>
      </c>
      <c r="LH143" s="31">
        <f>IF(LG143/(INDEX('Standards for Conversions'!$H$47:$H$73,MATCH(LF$3,'Standards for Conversions'!$A$47:$A$73,0)))=0,"",LG143/(INDEX('Standards for Conversions'!$H$47:$H$73,MATCH(LF$3,'Standards for Conversions'!$A$47:$A$73,0))))</f>
        <v>2493.1396179137332</v>
      </c>
      <c r="LL143" s="31" t="str">
        <f>IF(LK143/(INDEX('Standards for Conversions'!$H$47:$H$73,MATCH(LJ$3,'Standards for Conversions'!$A$47:$A$73,0)))=0,"",LK143/(INDEX('Standards for Conversions'!$H$47:$H$73,MATCH(LJ$3,'Standards for Conversions'!$A$47:$A$73,0))))</f>
        <v/>
      </c>
      <c r="LO143" s="31" t="str">
        <f>IF(LN143/(INDEX('Standards for Conversions'!$H$47:$H$73,MATCH(LM$3,'Standards for Conversions'!$A$47:$A$73,0)))=0,"",LN143/(INDEX('Standards for Conversions'!$H$47:$H$73,MATCH(LM$3,'Standards for Conversions'!$A$47:$A$73,0))))</f>
        <v/>
      </c>
      <c r="LR143" s="31" t="str">
        <f>IF(LQ143/(INDEX('Standards for Conversions'!$H$47:$H$73,MATCH(LP$3,'Standards for Conversions'!$A$47:$A$73,0)))=0,"",LQ143/(INDEX('Standards for Conversions'!$H$47:$H$73,MATCH(LP$3,'Standards for Conversions'!$A$47:$A$73,0))))</f>
        <v/>
      </c>
      <c r="LV143" s="31" t="str">
        <f>IF(LU143/(INDEX('Standards for Conversions'!$H$47:$H$73,MATCH(LT$3,'Standards for Conversions'!$A$47:$A$73,0)))=0,"",LU143/(INDEX('Standards for Conversions'!$H$47:$H$73,MATCH(LT$3,'Standards for Conversions'!$A$47:$A$73,0))))</f>
        <v/>
      </c>
      <c r="LY143" s="31" t="str">
        <f>IF(LX143/(INDEX('Standards for Conversions'!$H$47:$H$73,MATCH(LW$3,'Standards for Conversions'!$A$47:$A$73,0)))=0,"",LX143/(INDEX('Standards for Conversions'!$H$47:$H$73,MATCH(LW$3,'Standards for Conversions'!$A$47:$A$73,0))))</f>
        <v/>
      </c>
      <c r="MB143" s="31" t="str">
        <f>IF(MA143/(INDEX('Standards for Conversions'!$H$47:$H$73,MATCH(LZ$3,'Standards for Conversions'!$A$47:$A$73,0)))=0,"",MA143/(INDEX('Standards for Conversions'!$H$47:$H$73,MATCH(LZ$3,'Standards for Conversions'!$A$47:$A$73,0))))</f>
        <v/>
      </c>
      <c r="ME143" s="31" t="str">
        <f>IF(MD143/(INDEX('Standards for Conversions'!$H$47:$H$73,MATCH(MC$3,'Standards for Conversions'!$A$47:$A$73,0)))=0,"",MD143/(INDEX('Standards for Conversions'!$H$47:$H$73,MATCH(MC$3,'Standards for Conversions'!$A$47:$A$73,0))))</f>
        <v/>
      </c>
      <c r="MH143" s="31" t="str">
        <f>IF(MG143/(INDEX('Standards for Conversions'!$H$47:$H$73,MATCH(MF$3,'Standards for Conversions'!$A$47:$A$73,0)))=0,"",MG143/(INDEX('Standards for Conversions'!$H$47:$H$73,MATCH(MF$3,'Standards for Conversions'!$A$47:$A$73,0))))</f>
        <v/>
      </c>
      <c r="MK143" s="31" t="str">
        <f>IF(MJ143/(INDEX('Standards for Conversions'!$H$47:$H$73,MATCH(MI$3,'Standards for Conversions'!$A$47:$A$73,0)))=0,"",MJ143/(INDEX('Standards for Conversions'!$H$47:$H$73,MATCH(MI$3,'Standards for Conversions'!$A$47:$A$73,0))))</f>
        <v/>
      </c>
      <c r="MN143" s="31" t="str">
        <f>IF(MM143/(INDEX('Standards for Conversions'!$H$47:$H$73,MATCH(ML$3,'Standards for Conversions'!$A$47:$A$73,0)))=0,"",MM143/(INDEX('Standards for Conversions'!$H$47:$H$73,MATCH(ML$3,'Standards for Conversions'!$A$47:$A$73,0))))</f>
        <v/>
      </c>
      <c r="MR143" s="31" t="str">
        <f>IF(MQ143/(INDEX('Standards for Conversions'!$H$47:$H$73,MATCH(MP$3,'Standards for Conversions'!$A$47:$A$73,0)))=0,"",MQ143/(INDEX('Standards for Conversions'!$H$47:$H$73,MATCH(MP$3,'Standards for Conversions'!$A$47:$A$73,0))))</f>
        <v/>
      </c>
    </row>
    <row r="144" spans="1:356" hidden="1" x14ac:dyDescent="0.3">
      <c r="A144" s="105" t="s">
        <v>308</v>
      </c>
      <c r="B144" s="10" t="s">
        <v>44</v>
      </c>
      <c r="C144" s="7"/>
      <c r="D144" s="7"/>
      <c r="E144" s="31" t="str">
        <f>IF(D144/(INDEX('Standards for Conversions'!$H$34:$H$73,MATCH(C$3,'Standards for Conversions'!$A$34:$A$73,0)))=0,"",D144/(INDEX('Standards for Conversions'!$H$34:$H$73,MATCH(C$3,'Standards for Conversions'!$A$34:$A$73,0))))</f>
        <v/>
      </c>
      <c r="F144" s="10" t="s">
        <v>44</v>
      </c>
      <c r="G144" s="7"/>
      <c r="H144" s="7"/>
      <c r="I144" s="31" t="str">
        <f>IF(H144/(INDEX('Standards for Conversions'!$H$34:$H$73,MATCH(G$3,'Standards for Conversions'!$A$34:$A$73,0)))=0,"",H144/(INDEX('Standards for Conversions'!$H$34:$H$73,MATCH(G$3,'Standards for Conversions'!$A$34:$A$73,0))))</f>
        <v/>
      </c>
      <c r="J144" s="10" t="s">
        <v>44</v>
      </c>
      <c r="K144" s="7"/>
      <c r="L144" s="7"/>
      <c r="M144" s="31" t="str">
        <f>IF(L144/(INDEX('Standards for Conversions'!$H$34:$H$73,MATCH(K$3,'Standards for Conversions'!$A$34:$A$73,0)))=0,"",L144/(INDEX('Standards for Conversions'!$H$34:$H$73,MATCH(K$3,'Standards for Conversions'!$A$34:$A$73,0))))</f>
        <v/>
      </c>
      <c r="N144" s="10" t="s">
        <v>44</v>
      </c>
      <c r="O144" s="7"/>
      <c r="P144" s="7"/>
      <c r="Q144" s="31" t="str">
        <f>IF(P144/(INDEX('Standards for Conversions'!$H$34:$H$73,MATCH(O$3,'Standards for Conversions'!$A$34:$A$73,0)))=0,"",P144/(INDEX('Standards for Conversions'!$H$34:$H$73,MATCH(O$3,'Standards for Conversions'!$A$34:$A$73,0))))</f>
        <v/>
      </c>
      <c r="R144" s="10" t="s">
        <v>44</v>
      </c>
      <c r="S144" s="7"/>
      <c r="T144" s="7"/>
      <c r="U144" s="31" t="str">
        <f>IF(T144/(INDEX('Standards for Conversions'!$H$34:$H$73,MATCH(S$3,'Standards for Conversions'!$A$34:$A$73,0)))=0,"",T144/(INDEX('Standards for Conversions'!$H$34:$H$73,MATCH(S$3,'Standards for Conversions'!$A$34:$A$73,0))))</f>
        <v/>
      </c>
      <c r="V144" s="10" t="s">
        <v>44</v>
      </c>
      <c r="W144" s="7"/>
      <c r="X144" s="7"/>
      <c r="Y144" s="31" t="str">
        <f>IF(X144/(INDEX('Standards for Conversions'!$H$34:$H$73,MATCH(W$3,'Standards for Conversions'!$A$34:$A$73,0)))=0,"",X144/(INDEX('Standards for Conversions'!$H$34:$H$73,MATCH(W$3,'Standards for Conversions'!$A$34:$A$73,0))))</f>
        <v/>
      </c>
      <c r="Z144" s="10" t="s">
        <v>44</v>
      </c>
      <c r="AA144" s="7"/>
      <c r="AB144" s="7"/>
      <c r="AC144" s="31" t="str">
        <f>IF(AB144/(INDEX('Standards for Conversions'!$H$34:$H$73,MATCH(AA$3,'Standards for Conversions'!$A$34:$A$73,0)))=0,"",AB144/(INDEX('Standards for Conversions'!$H$34:$H$73,MATCH(AA$3,'Standards for Conversions'!$A$34:$A$73,0))))</f>
        <v/>
      </c>
      <c r="AD144" s="10" t="s">
        <v>44</v>
      </c>
      <c r="AE144" s="7"/>
      <c r="AF144" s="7"/>
      <c r="AG144" s="31" t="str">
        <f>IF(AF144/(INDEX('Standards for Conversions'!$H$34:$H$73,MATCH(AE$3,'Standards for Conversions'!$A$34:$A$73,0)))=0,"",AF144/(INDEX('Standards for Conversions'!$H$34:$H$73,MATCH(AE$3,'Standards for Conversions'!$A$34:$A$73,0))))</f>
        <v/>
      </c>
      <c r="AH144" s="10" t="s">
        <v>44</v>
      </c>
      <c r="AI144" s="7"/>
      <c r="AJ144" s="7"/>
      <c r="AK144" s="31" t="str">
        <f>IF(AJ144/(INDEX('Standards for Conversions'!$H$34:$H$73,MATCH(AI$3,'Standards for Conversions'!$A$34:$A$73,0)))=0,"",AJ144/(INDEX('Standards for Conversions'!$H$34:$H$73,MATCH(AI$3,'Standards for Conversions'!$A$34:$A$73,0))))</f>
        <v/>
      </c>
      <c r="AL144" s="10" t="s">
        <v>44</v>
      </c>
      <c r="AM144" s="7"/>
      <c r="AN144" s="7"/>
      <c r="AO144" s="31" t="str">
        <f>IF(AN144/(INDEX('Standards for Conversions'!$H$34:$H$73,MATCH(AM$3,'Standards for Conversions'!$A$34:$A$73,0)))=0,"",AN144/(INDEX('Standards for Conversions'!$H$34:$H$73,MATCH(AM$3,'Standards for Conversions'!$A$34:$A$73,0))))</f>
        <v/>
      </c>
      <c r="AP144" s="10" t="s">
        <v>44</v>
      </c>
      <c r="AQ144" s="7"/>
      <c r="AR144" s="7"/>
      <c r="AS144" s="31" t="str">
        <f>IF(AR144/(INDEX('Standards for Conversions'!$H$34:$H$73,MATCH(AQ$3,'Standards for Conversions'!$A$34:$A$73,0)))=0,"",AR144/(INDEX('Standards for Conversions'!$H$34:$H$73,MATCH(AQ$3,'Standards for Conversions'!$A$34:$A$73,0))))</f>
        <v/>
      </c>
      <c r="AT144" s="10" t="s">
        <v>44</v>
      </c>
      <c r="AU144" s="7"/>
      <c r="AV144" s="7"/>
      <c r="AW144" s="31" t="str">
        <f>IF(AV144/(INDEX('Standards for Conversions'!$H$34:$H$73,MATCH(AU$3,'Standards for Conversions'!$A$34:$A$73,0)))=0,"",AV144/(INDEX('Standards for Conversions'!$H$34:$H$73,MATCH(AU$3,'Standards for Conversions'!$A$34:$A$73,0))))</f>
        <v/>
      </c>
      <c r="AX144" s="10" t="s">
        <v>44</v>
      </c>
      <c r="AY144" s="7"/>
      <c r="AZ144" s="7"/>
      <c r="BA144" s="31" t="str">
        <f>IF(AZ144/(INDEX('Standards for Conversions'!$H$34:$H$73,MATCH(AY$3,'Standards for Conversions'!$A$34:$A$73,0)))=0,"",AZ144/(INDEX('Standards for Conversions'!$H$34:$H$73,MATCH(AY$3,'Standards for Conversions'!$A$34:$A$73,0))))</f>
        <v/>
      </c>
      <c r="BB144" s="10" t="s">
        <v>44</v>
      </c>
      <c r="BC144" s="7"/>
      <c r="BD144" s="7"/>
      <c r="BE144" s="31" t="str">
        <f>IF(BD144/(INDEX('Standards for Conversions'!$H$34:$H$73,MATCH(BC$3,'Standards for Conversions'!$A$34:$A$73,0)))=0,"",BD144/(INDEX('Standards for Conversions'!$H$34:$H$73,MATCH(BC$3,'Standards for Conversions'!$A$34:$A$73,0))))</f>
        <v/>
      </c>
      <c r="BF144" s="10" t="s">
        <v>44</v>
      </c>
      <c r="BG144" s="7"/>
      <c r="BH144" s="7"/>
      <c r="BI144" s="31" t="str">
        <f>IF(BH144/(INDEX('Standards for Conversions'!$H$34:$H$73,MATCH(BG$3,'Standards for Conversions'!$A$34:$A$73,0)))=0,"",BH144/(INDEX('Standards for Conversions'!$H$34:$H$73,MATCH(BG$3,'Standards for Conversions'!$A$34:$A$73,0))))</f>
        <v/>
      </c>
      <c r="BJ144" s="10" t="s">
        <v>44</v>
      </c>
      <c r="BK144" s="7"/>
      <c r="BL144" s="7"/>
      <c r="BM144" s="31" t="str">
        <f>IF(BL144/(INDEX('Standards for Conversions'!$H$34:$H$73,MATCH(BK$3,'Standards for Conversions'!$A$34:$A$73,0)))=0,"",BL144/(INDEX('Standards for Conversions'!$H$34:$H$73,MATCH(BK$3,'Standards for Conversions'!$A$34:$A$73,0))))</f>
        <v/>
      </c>
      <c r="BN144" s="10" t="s">
        <v>44</v>
      </c>
      <c r="BO144" s="7"/>
      <c r="BP144" s="7"/>
      <c r="BQ144" s="31" t="str">
        <f>IF(BP144/(INDEX('Standards for Conversions'!$H$34:$H$73,MATCH(BO$3,'Standards for Conversions'!$A$34:$A$73,0)))=0,"",BP144/(INDEX('Standards for Conversions'!$H$34:$H$73,MATCH(BO$3,'Standards for Conversions'!$A$34:$A$73,0))))</f>
        <v/>
      </c>
      <c r="BR144" s="10" t="s">
        <v>44</v>
      </c>
      <c r="BS144" s="7"/>
      <c r="BT144" s="7"/>
      <c r="BU144" s="31" t="str">
        <f>IF(BT144/(INDEX('Standards for Conversions'!$H$34:$H$73,MATCH(BS$3,'Standards for Conversions'!$A$34:$A$73,0)))=0,"",BT144/(INDEX('Standards for Conversions'!$H$34:$H$73,MATCH(BS$3,'Standards for Conversions'!$A$34:$A$73,0))))</f>
        <v/>
      </c>
      <c r="BV144" s="10" t="s">
        <v>44</v>
      </c>
      <c r="BW144" s="7"/>
      <c r="BX144" s="7"/>
      <c r="BY144" s="31" t="str">
        <f>IF(BX144/(INDEX('Standards for Conversions'!$H$34:$H$73,MATCH(BW$3,'Standards for Conversions'!$A$34:$A$73,0)))=0,"",BX144/(INDEX('Standards for Conversions'!$H$34:$H$73,MATCH(BW$3,'Standards for Conversions'!$A$34:$A$73,0))))</f>
        <v/>
      </c>
      <c r="BZ144" s="10" t="s">
        <v>44</v>
      </c>
      <c r="CA144" s="7"/>
      <c r="CB144" s="7"/>
      <c r="CC144" s="31" t="str">
        <f>IF(CB144/(INDEX('Standards for Conversions'!$H$34:$H$73,MATCH(CA$3,'Standards for Conversions'!$A$34:$A$73,0)))=0,"",CB144/(INDEX('Standards for Conversions'!$H$34:$H$73,MATCH(CA$3,'Standards for Conversions'!$A$34:$A$73,0))))</f>
        <v/>
      </c>
      <c r="CD144" s="10" t="s">
        <v>44</v>
      </c>
      <c r="CE144" s="7"/>
      <c r="CF144" s="7"/>
      <c r="CG144" s="31" t="str">
        <f>IF(CF144/(INDEX('Standards for Conversions'!$H$34:$H$73,MATCH(CE$3,'Standards for Conversions'!$A$34:$A$73,0)))=0,"",CF144/(INDEX('Standards for Conversions'!$H$34:$H$73,MATCH(CE$3,'Standards for Conversions'!$A$34:$A$73,0))))</f>
        <v/>
      </c>
      <c r="CH144" s="10" t="s">
        <v>44</v>
      </c>
      <c r="CI144" s="7"/>
      <c r="CJ144" s="7"/>
      <c r="CK144" s="31" t="str">
        <f>IF(CJ144/(INDEX('Standards for Conversions'!$H$34:$H$73,MATCH(CI$3,'Standards for Conversions'!$A$34:$A$73,0)))=0,"",CJ144/(INDEX('Standards for Conversions'!$H$34:$H$73,MATCH(CI$3,'Standards for Conversions'!$A$34:$A$73,0))))</f>
        <v/>
      </c>
      <c r="CL144" s="10" t="s">
        <v>44</v>
      </c>
      <c r="CM144" s="7"/>
      <c r="CN144" s="7"/>
      <c r="CO144" s="31" t="str">
        <f>IF(CN144/(INDEX('Standards for Conversions'!$H$34:$H$73,MATCH(CM$3,'Standards for Conversions'!$A$34:$A$73,0)))=0,"",CN144/(INDEX('Standards for Conversions'!$H$34:$H$73,MATCH(CM$3,'Standards for Conversions'!$A$34:$A$73,0))))</f>
        <v/>
      </c>
      <c r="CP144" s="10" t="s">
        <v>44</v>
      </c>
      <c r="CQ144" s="7"/>
      <c r="CR144" s="7"/>
      <c r="CS144" s="31" t="str">
        <f>IF(CR144/(INDEX('Standards for Conversions'!$H$34:$H$73,MATCH(CQ$3,'Standards for Conversions'!$A$34:$A$73,0)))=0,"",CR144/(INDEX('Standards for Conversions'!$H$34:$H$73,MATCH(CQ$3,'Standards for Conversions'!$A$34:$A$73,0))))</f>
        <v/>
      </c>
      <c r="CT144" s="10" t="s">
        <v>44</v>
      </c>
      <c r="CU144" s="7"/>
      <c r="CV144" s="7"/>
      <c r="CW144" s="31" t="str">
        <f>IF(CV144/(INDEX('Standards for Conversions'!$H$34:$H$73,MATCH(CU$3,'Standards for Conversions'!$A$34:$A$73,0)))=0,"",CV144/(INDEX('Standards for Conversions'!$H$34:$H$73,MATCH(CU$3,'Standards for Conversions'!$A$34:$A$73,0))))</f>
        <v/>
      </c>
      <c r="CX144" s="10" t="s">
        <v>44</v>
      </c>
      <c r="CY144" s="7"/>
      <c r="CZ144" s="7"/>
      <c r="DA144" s="31" t="str">
        <f>IF(CZ144/(INDEX('Standards for Conversions'!$H$34:$H$73,MATCH(CY$3,'Standards for Conversions'!$A$34:$A$73,0)))=0,"",CZ144/(INDEX('Standards for Conversions'!$H$34:$H$73,MATCH(CY$3,'Standards for Conversions'!$A$34:$A$73,0))))</f>
        <v/>
      </c>
      <c r="DB144" s="10" t="s">
        <v>44</v>
      </c>
      <c r="DC144" s="7"/>
      <c r="DD144" s="7"/>
      <c r="DE144" s="31" t="str">
        <f>IF(DD144/(INDEX('Standards for Conversions'!$H$34:$H$73,MATCH(DC$3,'Standards for Conversions'!$A$34:$A$73,0)))=0,"",DD144/(INDEX('Standards for Conversions'!$H$34:$H$73,MATCH(DC$3,'Standards for Conversions'!$A$34:$A$73,0))))</f>
        <v/>
      </c>
      <c r="DF144" s="10" t="s">
        <v>44</v>
      </c>
      <c r="DG144" s="7"/>
      <c r="DH144" s="7"/>
      <c r="DI144" s="31" t="str">
        <f>IF(DH144/(INDEX('Standards for Conversions'!$H$34:$H$73,MATCH(DG$3,'Standards for Conversions'!$A$34:$A$73,0)))=0,"",DH144/(INDEX('Standards for Conversions'!$H$34:$H$73,MATCH(DG$3,'Standards for Conversions'!$A$34:$A$73,0))))</f>
        <v/>
      </c>
      <c r="DJ144" s="10" t="s">
        <v>44</v>
      </c>
      <c r="DK144" s="7"/>
      <c r="DL144" s="7"/>
      <c r="DM144" s="31" t="str">
        <f>IF(DL144/(INDEX('Standards for Conversions'!$H$34:$H$73,MATCH(DK$3,'Standards for Conversions'!$A$34:$A$73,0)))=0,"",DL144/(INDEX('Standards for Conversions'!$H$34:$H$73,MATCH(DK$3,'Standards for Conversions'!$A$34:$A$73,0))))</f>
        <v/>
      </c>
      <c r="DN144" s="10" t="s">
        <v>44</v>
      </c>
      <c r="DO144" s="7"/>
      <c r="DP144" s="7"/>
      <c r="DQ144" s="31" t="str">
        <f>IF(DP144/(INDEX('Standards for Conversions'!$H$34:$H$73,MATCH(DO$3,'Standards for Conversions'!$A$34:$A$73,0)))=0,"",DP144/(INDEX('Standards for Conversions'!$H$34:$H$73,MATCH(DO$3,'Standards for Conversions'!$A$34:$A$73,0))))</f>
        <v/>
      </c>
      <c r="DR144" s="10" t="s">
        <v>44</v>
      </c>
      <c r="DS144" s="7"/>
      <c r="DT144" s="7"/>
      <c r="DU144" s="31" t="str">
        <f>IF(DT144/(INDEX('Standards for Conversions'!$H$34:$H$73,MATCH(DS$3,'Standards for Conversions'!$A$34:$A$73,0)))=0,"",DT144/(INDEX('Standards for Conversions'!$H$34:$H$73,MATCH(DS$3,'Standards for Conversions'!$A$34:$A$73,0))))</f>
        <v/>
      </c>
      <c r="DV144" s="10" t="s">
        <v>44</v>
      </c>
      <c r="DW144" s="7"/>
      <c r="DX144" s="7"/>
      <c r="DY144" s="31" t="str">
        <f>IF(DX144/(INDEX('Standards for Conversions'!$H$34:$H$73,MATCH(DW$3,'Standards for Conversions'!$A$34:$A$73,0)))=0,"",DX144/(INDEX('Standards for Conversions'!$H$34:$H$73,MATCH(DW$3,'Standards for Conversions'!$A$34:$A$73,0))))</f>
        <v/>
      </c>
      <c r="DZ144" s="10" t="s">
        <v>44</v>
      </c>
      <c r="EA144" s="7"/>
      <c r="EB144" s="7"/>
      <c r="EC144" s="31" t="str">
        <f>IF(EB144/(INDEX('Standards for Conversions'!$H$34:$H$73,MATCH(EA$3,'Standards for Conversions'!$A$34:$A$73,0)))=0,"",EB144/(INDEX('Standards for Conversions'!$H$34:$H$73,MATCH(EA$3,'Standards for Conversions'!$A$34:$A$73,0))))</f>
        <v/>
      </c>
      <c r="ED144" s="10" t="s">
        <v>44</v>
      </c>
      <c r="EE144" s="7"/>
      <c r="EF144" s="7"/>
      <c r="EG144" s="31" t="str">
        <f>IF(EF144/(INDEX('Standards for Conversions'!$H$34:$H$73,MATCH(EE$3,'Standards for Conversions'!$A$34:$A$73,0)))=0,"",EF144/(INDEX('Standards for Conversions'!$H$34:$H$73,MATCH(EE$3,'Standards for Conversions'!$A$34:$A$73,0))))</f>
        <v/>
      </c>
      <c r="EH144" s="10" t="s">
        <v>44</v>
      </c>
      <c r="EI144" s="7"/>
      <c r="EJ144" s="7"/>
      <c r="EK144" s="31" t="str">
        <f>IF(EJ144/(INDEX('Standards for Conversions'!$H$34:$H$73,MATCH(EI$3,'Standards for Conversions'!$A$34:$A$73,0)))=0,"",EJ144/(INDEX('Standards for Conversions'!$H$34:$H$73,MATCH(EI$3,'Standards for Conversions'!$A$34:$A$73,0))))</f>
        <v/>
      </c>
      <c r="EL144" s="10" t="s">
        <v>44</v>
      </c>
      <c r="EM144" s="7"/>
      <c r="EN144" s="7"/>
      <c r="EO144" s="31" t="str">
        <f>IF(EN144/(INDEX('Standards for Conversions'!$H$34:$H$73,MATCH(EM$3,'Standards for Conversions'!$A$34:$A$73,0)))=0,"",EN144/(INDEX('Standards for Conversions'!$H$34:$H$73,MATCH(EM$3,'Standards for Conversions'!$A$34:$A$73,0))))</f>
        <v/>
      </c>
      <c r="EP144" s="10" t="s">
        <v>44</v>
      </c>
      <c r="EQ144" s="7"/>
      <c r="ER144" s="7"/>
      <c r="ES144" s="31" t="str">
        <f>IF(ER144/(INDEX('Standards for Conversions'!$H$34:$H$73,MATCH(EQ$3,'Standards for Conversions'!$A$34:$A$73,0)))=0,"",ER144/(INDEX('Standards for Conversions'!$H$34:$H$73,MATCH(EQ$3,'Standards for Conversions'!$A$34:$A$73,0))))</f>
        <v/>
      </c>
      <c r="ET144" s="10" t="s">
        <v>44</v>
      </c>
      <c r="EU144" s="7"/>
      <c r="EV144" s="7"/>
      <c r="EW144" s="31" t="str">
        <f>IF(EV144/(INDEX('Standards for Conversions'!$H$34:$H$73,MATCH(EU$3,'Standards for Conversions'!$A$34:$A$73,0)))=0,"",EV144/(INDEX('Standards for Conversions'!$H$34:$H$73,MATCH(EU$3,'Standards for Conversions'!$A$34:$A$73,0))))</f>
        <v/>
      </c>
      <c r="EX144" s="10" t="s">
        <v>44</v>
      </c>
      <c r="EY144" s="9"/>
      <c r="EZ144" s="9"/>
      <c r="FA144" s="31" t="str">
        <f>IF(EZ144/(INDEX('Standards for Conversions'!$H$34:$H$73,MATCH(EY$3,'Standards for Conversions'!$A$34:$A$73,0)))=0,"",EZ144/(INDEX('Standards for Conversions'!$H$34:$H$73,MATCH(EY$3,'Standards for Conversions'!$A$34:$A$73,0))))</f>
        <v/>
      </c>
      <c r="FB144" s="10" t="s">
        <v>44</v>
      </c>
      <c r="FC144" s="7"/>
      <c r="FD144" s="7"/>
      <c r="FE144" s="31" t="str">
        <f>IF(FD144/(INDEX('Standards for Conversions'!$H$34:$H$73,MATCH(FC$3,'Standards for Conversions'!$A$34:$A$73,0)))=0,"",FD144/(INDEX('Standards for Conversions'!$H$34:$H$73,MATCH(FC$3,'Standards for Conversions'!$A$34:$A$73,0))))</f>
        <v/>
      </c>
      <c r="FF144" s="10" t="s">
        <v>44</v>
      </c>
      <c r="FG144" s="7"/>
      <c r="FH144" s="7"/>
      <c r="FI144" s="31" t="str">
        <f>IF(FH144/(INDEX('Standards for Conversions'!$H$34:$H$73,MATCH(FG$3,'Standards for Conversions'!$A$34:$A$73,0)))=0,"",FH144/(INDEX('Standards for Conversions'!$H$34:$H$73,MATCH(FG$3,'Standards for Conversions'!$A$34:$A$73,0))))</f>
        <v/>
      </c>
      <c r="FJ144" s="10" t="s">
        <v>44</v>
      </c>
      <c r="FK144" s="7"/>
      <c r="FL144" s="7"/>
      <c r="FM144" s="31" t="str">
        <f>IF(FL144/(INDEX('Standards for Conversions'!$H$34:$H$73,MATCH(FK$3,'Standards for Conversions'!$A$34:$A$73,0)))=0,"",FL144/(INDEX('Standards for Conversions'!$H$34:$H$73,MATCH(FK$3,'Standards for Conversions'!$A$34:$A$73,0))))</f>
        <v/>
      </c>
      <c r="FN144" s="10" t="s">
        <v>44</v>
      </c>
      <c r="FO144" s="9"/>
      <c r="FP144" s="9"/>
      <c r="FQ144" s="31" t="str">
        <f>IF(FP144/(INDEX('Standards for Conversions'!$H$34:$H$73,MATCH(FO$3,'Standards for Conversions'!$A$34:$A$73,0)))=0,"",FP144/(INDEX('Standards for Conversions'!$H$34:$H$73,MATCH(FO$3,'Standards for Conversions'!$A$34:$A$73,0))))</f>
        <v/>
      </c>
      <c r="FR144" s="10" t="s">
        <v>44</v>
      </c>
      <c r="FS144" s="7"/>
      <c r="FT144" s="7"/>
      <c r="FU144" s="31" t="str">
        <f>IF(FT144/(INDEX('Standards for Conversions'!$H$34:$H$73,MATCH(FS$3,'Standards for Conversions'!$A$34:$A$73,0)))=0,"",FT144/(INDEX('Standards for Conversions'!$H$34:$H$73,MATCH(FS$3,'Standards for Conversions'!$A$34:$A$73,0))))</f>
        <v/>
      </c>
      <c r="FV144" s="10" t="s">
        <v>44</v>
      </c>
      <c r="FW144" s="7"/>
      <c r="FX144" s="7"/>
      <c r="FY144" s="31" t="str">
        <f>IF(FX144/(INDEX('Standards for Conversions'!$H$34:$H$73,MATCH(FW$3,'Standards for Conversions'!$A$34:$A$73,0)))=0,"",FX144/(INDEX('Standards for Conversions'!$H$34:$H$73,MATCH(FW$3,'Standards for Conversions'!$A$34:$A$73,0))))</f>
        <v/>
      </c>
      <c r="FZ144" s="10" t="s">
        <v>44</v>
      </c>
      <c r="GA144" s="7"/>
      <c r="GB144" s="7"/>
      <c r="GC144" s="31" t="str">
        <f>IF(GB144/(INDEX('Standards for Conversions'!$H$34:$H$73,MATCH(GA$3,'Standards for Conversions'!$A$34:$A$73,0)))=0,"",GB144/(INDEX('Standards for Conversions'!$H$34:$H$73,MATCH(GA$3,'Standards for Conversions'!$A$34:$A$73,0))))</f>
        <v/>
      </c>
      <c r="GD144" s="10" t="s">
        <v>44</v>
      </c>
      <c r="GE144" s="9"/>
      <c r="GF144" s="9"/>
      <c r="GG144" s="31" t="str">
        <f>IF(GF144/(INDEX('Standards for Conversions'!$H$34:$H$73,MATCH(GE$3,'Standards for Conversions'!$A$34:$A$73,0)))=0,"",GF144/(INDEX('Standards for Conversions'!$H$34:$H$73,MATCH(GE$3,'Standards for Conversions'!$A$34:$A$73,0))))</f>
        <v/>
      </c>
      <c r="GH144" s="10" t="s">
        <v>44</v>
      </c>
      <c r="GI144" s="7"/>
      <c r="GJ144" s="7"/>
      <c r="GK144" s="31" t="str">
        <f>IF(GJ144/(INDEX('Standards for Conversions'!$H$34:$H$73,MATCH(GI$3,'Standards for Conversions'!$A$34:$A$73,0)))=0,"",GJ144/(INDEX('Standards for Conversions'!$H$34:$H$73,MATCH(GI$3,'Standards for Conversions'!$A$34:$A$73,0))))</f>
        <v/>
      </c>
      <c r="GL144" s="10" t="s">
        <v>44</v>
      </c>
      <c r="GM144" s="7"/>
      <c r="GN144" s="7"/>
      <c r="GO144" s="31" t="str">
        <f>IF(GN144/(INDEX('Standards for Conversions'!$H$34:$H$73,MATCH(GM$3,'Standards for Conversions'!$A$34:$A$73,0)))=0,"",GN144/(INDEX('Standards for Conversions'!$H$34:$H$73,MATCH(GM$3,'Standards for Conversions'!$A$34:$A$73,0))))</f>
        <v/>
      </c>
      <c r="GP144" s="10" t="s">
        <v>44</v>
      </c>
      <c r="GQ144" s="7"/>
      <c r="GR144" s="7"/>
      <c r="GS144" s="31" t="str">
        <f>IF(GR144/(INDEX('Standards for Conversions'!$H$34:$H$73,MATCH(GQ$3,'Standards for Conversions'!$A$34:$A$73,0)))=0,"",GR144/(INDEX('Standards for Conversions'!$H$34:$H$73,MATCH(GQ$3,'Standards for Conversions'!$A$34:$A$73,0))))</f>
        <v/>
      </c>
      <c r="GT144" s="10" t="s">
        <v>44</v>
      </c>
      <c r="GU144" s="9"/>
      <c r="GV144" s="9"/>
      <c r="GW144" s="31" t="str">
        <f>IF(GV144/(INDEX('Standards for Conversions'!$H$34:$H$73,MATCH(GU$3,'Standards for Conversions'!$A$34:$A$73,0)))=0,"",GV144/(INDEX('Standards for Conversions'!$H$34:$H$73,MATCH(GU$3,'Standards for Conversions'!$A$34:$A$73,0))))</f>
        <v/>
      </c>
      <c r="GX144" s="10" t="s">
        <v>44</v>
      </c>
      <c r="GY144" s="7"/>
      <c r="GZ144" s="7"/>
      <c r="HA144" s="31" t="str">
        <f>IF(GZ144/(INDEX('Standards for Conversions'!$H$34:$H$73,MATCH(GY$3,'Standards for Conversions'!$A$34:$A$73,0)))=0,"",GZ144/(INDEX('Standards for Conversions'!$H$34:$H$73,MATCH(GY$3,'Standards for Conversions'!$A$34:$A$73,0))))</f>
        <v/>
      </c>
      <c r="HB144" s="10" t="s">
        <v>44</v>
      </c>
      <c r="HC144" s="7"/>
      <c r="HD144" s="7"/>
      <c r="HE144" s="31" t="str">
        <f>IF(HD144/(INDEX('Standards for Conversions'!$H$34:$H$73,MATCH(HC$3,'Standards for Conversions'!$A$34:$A$73,0)))=0,"",HD144/(INDEX('Standards for Conversions'!$H$34:$H$73,MATCH(HC$3,'Standards for Conversions'!$A$34:$A$73,0))))</f>
        <v/>
      </c>
      <c r="HF144" s="10" t="s">
        <v>44</v>
      </c>
      <c r="HG144" s="7"/>
      <c r="HH144" s="7"/>
      <c r="HI144" s="31" t="str">
        <f>IF(HH144/(INDEX('Standards for Conversions'!$H$34:$H$73,MATCH(HG$3,'Standards for Conversions'!$A$34:$A$73,0)))=0,"",HH144/(INDEX('Standards for Conversions'!$H$34:$H$73,MATCH(HG$3,'Standards for Conversions'!$A$34:$A$73,0))))</f>
        <v/>
      </c>
      <c r="HJ144" s="10" t="s">
        <v>44</v>
      </c>
      <c r="HK144" s="9"/>
      <c r="HL144" s="9"/>
      <c r="HM144" s="31" t="str">
        <f>IF(HL144/(INDEX('Standards for Conversions'!$H$34:$H$73,MATCH(HK$3,'Standards for Conversions'!$A$34:$A$73,0)))=0,"",HL144/(INDEX('Standards for Conversions'!$H$34:$H$73,MATCH(HK$3,'Standards for Conversions'!$A$34:$A$73,0))))</f>
        <v/>
      </c>
      <c r="HN144" s="10" t="s">
        <v>44</v>
      </c>
      <c r="HO144" s="7"/>
      <c r="HP144" s="7"/>
      <c r="HQ144" s="31" t="str">
        <f>IF(HP144/(INDEX('Standards for Conversions'!$H$34:$H$73,MATCH(HO$3,'Standards for Conversions'!$A$34:$A$73,0)))=0,"",HP144/(INDEX('Standards for Conversions'!$H$34:$H$73,MATCH(HO$3,'Standards for Conversions'!$A$34:$A$73,0))))</f>
        <v/>
      </c>
      <c r="HR144" s="33" t="s">
        <v>44</v>
      </c>
      <c r="HU144" s="31" t="str">
        <f>IF(HT144/(INDEX('Standards for Conversions'!$H$47:$H$73,MATCH(HS$3,'Standards for Conversions'!$A$47:$A$73,0)))=0,"",HT144/(INDEX('Standards for Conversions'!$H$47:$H$73,MATCH(HS$3,'Standards for Conversions'!$A$47:$A$73,0))))</f>
        <v/>
      </c>
      <c r="HV144" s="33" t="s">
        <v>44</v>
      </c>
      <c r="HY144" s="31" t="str">
        <f>IF(HX144/(INDEX('Standards for Conversions'!$H$47:$H$73,MATCH(HW$3,'Standards for Conversions'!$A$47:$A$73,0)))=0,"",HX144/(INDEX('Standards for Conversions'!$H$47:$H$73,MATCH(HW$3,'Standards for Conversions'!$A$47:$A$73,0))))</f>
        <v/>
      </c>
      <c r="HZ144" s="33"/>
      <c r="IA144" s="33"/>
      <c r="IB144" s="31" t="str">
        <f>IF(IA144/(INDEX('Standards for Conversions'!$H$47:$H$73,MATCH(HZ$3,'Standards for Conversions'!$A$47:$A$73,0)))=0,"",IA144/(INDEX('Standards for Conversions'!$H$47:$H$73,MATCH(HZ$3,'Standards for Conversions'!$A$47:$A$73,0))))</f>
        <v/>
      </c>
      <c r="IC144" s="33" t="s">
        <v>44</v>
      </c>
      <c r="ID144" s="29">
        <v>100</v>
      </c>
      <c r="IE144" s="29">
        <v>20000</v>
      </c>
      <c r="IF144" s="31">
        <f>IF(IE144/(INDEX('Standards for Conversions'!$H$47:$H$73,MATCH(ID$3,'Standards for Conversions'!$A$47:$A$73,0)))=0,"",IE144/(INDEX('Standards for Conversions'!$H$47:$H$73,MATCH(ID$3,'Standards for Conversions'!$A$47:$A$73,0))))</f>
        <v>2904.9082442571193</v>
      </c>
      <c r="IG144" s="33" t="s">
        <v>44</v>
      </c>
      <c r="IJ144" s="31" t="str">
        <f>IF(II144/(INDEX('Standards for Conversions'!$H$47:$H$73,MATCH(IH$3,'Standards for Conversions'!$A$47:$A$73,0)))=0,"",II144/(INDEX('Standards for Conversions'!$H$47:$H$73,MATCH(IH$3,'Standards for Conversions'!$A$47:$A$73,0))))</f>
        <v/>
      </c>
      <c r="IK144" s="33" t="s">
        <v>44</v>
      </c>
      <c r="IN144" s="31" t="str">
        <f>IF(IM144/(INDEX('Standards for Conversions'!$H$47:$H$73,MATCH(IL$3,'Standards for Conversions'!$A$47:$A$73,0)))=0,"",IM144/(INDEX('Standards for Conversions'!$H$47:$H$73,MATCH(IL$3,'Standards for Conversions'!$A$47:$A$73,0))))</f>
        <v/>
      </c>
      <c r="IO144" s="33" t="s">
        <v>44</v>
      </c>
      <c r="IR144" s="31" t="str">
        <f>IF(IQ144/(INDEX('Standards for Conversions'!$H$47:$H$73,MATCH(IP$3,'Standards for Conversions'!$A$47:$A$73,0)))=0,"",IQ144/(INDEX('Standards for Conversions'!$H$47:$H$73,MATCH(IP$3,'Standards for Conversions'!$A$47:$A$73,0))))</f>
        <v/>
      </c>
      <c r="IS144" s="33" t="s">
        <v>44</v>
      </c>
      <c r="IT144" s="29">
        <v>125</v>
      </c>
      <c r="IU144" s="29">
        <v>22000</v>
      </c>
      <c r="IV144" s="31">
        <f>IF(IU144/(INDEX('Standards for Conversions'!$H$47:$H$73,MATCH(IT$3,'Standards for Conversions'!$A$47:$A$73,0)))=0,"",IU144/(INDEX('Standards for Conversions'!$H$47:$H$73,MATCH(IT$3,'Standards for Conversions'!$A$47:$A$73,0))))</f>
        <v>3181.425020277512</v>
      </c>
      <c r="IW144" s="33" t="s">
        <v>44</v>
      </c>
      <c r="IZ144" s="31" t="str">
        <f>IF(IY144/(INDEX('Standards for Conversions'!$H$47:$H$73,MATCH(IX$3,'Standards for Conversions'!$A$47:$A$73,0)))=0,"",IY144/(INDEX('Standards for Conversions'!$H$47:$H$73,MATCH(IX$3,'Standards for Conversions'!$A$47:$A$73,0))))</f>
        <v/>
      </c>
      <c r="JA144" s="33" t="s">
        <v>44</v>
      </c>
      <c r="JD144" s="31" t="str">
        <f>IF(JC144/(INDEX('Standards for Conversions'!$H$47:$H$73,MATCH(JB$3,'Standards for Conversions'!$A$47:$A$73,0)))=0,"",JC144/(INDEX('Standards for Conversions'!$H$47:$H$73,MATCH(JB$3,'Standards for Conversions'!$A$47:$A$73,0))))</f>
        <v/>
      </c>
      <c r="JE144" s="33" t="s">
        <v>44</v>
      </c>
      <c r="JH144" s="31" t="str">
        <f>IF(JG144/(INDEX('Standards for Conversions'!$H$47:$H$73,MATCH(JF$3,'Standards for Conversions'!$A$47:$A$73,0)))=0,"",JG144/(INDEX('Standards for Conversions'!$H$47:$H$73,MATCH(JF$3,'Standards for Conversions'!$A$47:$A$73,0))))</f>
        <v/>
      </c>
      <c r="JI144" s="48" t="s">
        <v>44</v>
      </c>
      <c r="JJ144" s="29">
        <v>100</v>
      </c>
      <c r="JK144" s="29">
        <v>21000</v>
      </c>
      <c r="JL144" s="31">
        <f>IF(JK144/(INDEX('Standards for Conversions'!$H$47:$H$73,MATCH(JJ$3,'Standards for Conversions'!$A$47:$A$73,0)))=0,"",JK144/(INDEX('Standards for Conversions'!$H$47:$H$73,MATCH(JJ$3,'Standards for Conversions'!$A$47:$A$73,0))))</f>
        <v>3396.9641305292425</v>
      </c>
      <c r="JM144" s="33" t="s">
        <v>44</v>
      </c>
      <c r="JP144" s="31" t="str">
        <f>IF(JO144/(INDEX('Standards for Conversions'!$H$47:$H$73,MATCH(JN$3,'Standards for Conversions'!$A$47:$A$73,0)))=0,"",JO144/(INDEX('Standards for Conversions'!$H$47:$H$73,MATCH(JN$3,'Standards for Conversions'!$A$47:$A$73,0))))</f>
        <v/>
      </c>
      <c r="JQ144" s="33" t="s">
        <v>44</v>
      </c>
      <c r="JT144" s="31" t="str">
        <f>IF(JS144/(INDEX('Standards for Conversions'!$H$47:$H$73,MATCH(JR$3,'Standards for Conversions'!$A$47:$A$73,0)))=0,"",JS144/(INDEX('Standards for Conversions'!$H$47:$H$73,MATCH(JR$3,'Standards for Conversions'!$A$47:$A$73,0))))</f>
        <v/>
      </c>
      <c r="JU144" s="33" t="s">
        <v>44</v>
      </c>
      <c r="JX144" s="31" t="str">
        <f>IF(JW144/(INDEX('Standards for Conversions'!$H$47:$H$73,MATCH(JV$3,'Standards for Conversions'!$A$47:$A$73,0)))=0,"",JW144/(INDEX('Standards for Conversions'!$H$47:$H$73,MATCH(JV$3,'Standards for Conversions'!$A$47:$A$73,0))))</f>
        <v/>
      </c>
      <c r="JY144" s="33" t="s">
        <v>44</v>
      </c>
      <c r="JZ144" s="29">
        <v>90</v>
      </c>
      <c r="KA144" s="29">
        <v>20000</v>
      </c>
      <c r="KB144" s="31">
        <f>IF(KA144/(INDEX('Standards for Conversions'!$H$47:$H$73,MATCH(JZ$3,'Standards for Conversions'!$A$47:$A$73,0)))=0,"",KA144/(INDEX('Standards for Conversions'!$H$47:$H$73,MATCH(JZ$3,'Standards for Conversions'!$A$47:$A$73,0))))</f>
        <v>3053.1178485559512</v>
      </c>
      <c r="KC144" s="33" t="s">
        <v>44</v>
      </c>
      <c r="KF144" s="31" t="str">
        <f>IF(KE144/(INDEX('Standards for Conversions'!$H$47:$H$73,MATCH(KD$3,'Standards for Conversions'!$A$47:$A$73,0)))=0,"",KE144/(INDEX('Standards for Conversions'!$H$47:$H$73,MATCH(KD$3,'Standards for Conversions'!$A$47:$A$73,0))))</f>
        <v/>
      </c>
      <c r="KG144" s="33" t="s">
        <v>44</v>
      </c>
      <c r="KJ144" s="31" t="str">
        <f>IF(KI144/(INDEX('Standards for Conversions'!$H$47:$H$73,MATCH(KH$3,'Standards for Conversions'!$A$47:$A$73,0)))=0,"",KI144/(INDEX('Standards for Conversions'!$H$47:$H$73,MATCH(KH$3,'Standards for Conversions'!$A$47:$A$73,0))))</f>
        <v/>
      </c>
      <c r="KK144" s="33" t="s">
        <v>44</v>
      </c>
      <c r="KN144" s="31" t="str">
        <f>IF(KM144/(INDEX('Standards for Conversions'!$H$47:$H$73,MATCH(KL$3,'Standards for Conversions'!$A$47:$A$73,0)))=0,"",KM144/(INDEX('Standards for Conversions'!$H$47:$H$73,MATCH(KL$3,'Standards for Conversions'!$A$47:$A$73,0))))</f>
        <v/>
      </c>
      <c r="KO144" s="33" t="s">
        <v>44</v>
      </c>
      <c r="KP144" s="29">
        <v>85</v>
      </c>
      <c r="KQ144" s="29">
        <v>20000</v>
      </c>
      <c r="KR144" s="31">
        <f>IF(KQ144/(INDEX('Standards for Conversions'!$H$47:$H$73,MATCH(KP$3,'Standards for Conversions'!$A$47:$A$73,0)))=0,"",KQ144/(INDEX('Standards for Conversions'!$H$47:$H$73,MATCH(KP$3,'Standards for Conversions'!$A$47:$A$73,0))))</f>
        <v>2693.1802381159291</v>
      </c>
      <c r="KS144" s="33" t="s">
        <v>44</v>
      </c>
      <c r="KV144" s="31" t="str">
        <f>IF(KU144/(INDEX('Standards for Conversions'!$H$47:$H$73,MATCH(KT$3,'Standards for Conversions'!$A$47:$A$73,0)))=0,"",KU144/(INDEX('Standards for Conversions'!$H$47:$H$73,MATCH(KT$3,'Standards for Conversions'!$A$47:$A$73,0))))</f>
        <v/>
      </c>
      <c r="KW144" s="33" t="s">
        <v>44</v>
      </c>
      <c r="KZ144" s="31" t="str">
        <f>IF(KY144/(INDEX('Standards for Conversions'!$H$47:$H$73,MATCH(KX$3,'Standards for Conversions'!$A$47:$A$73,0)))=0,"",KY144/(INDEX('Standards for Conversions'!$H$47:$H$73,MATCH(KX$3,'Standards for Conversions'!$A$47:$A$73,0))))</f>
        <v/>
      </c>
      <c r="LA144" s="33" t="s">
        <v>44</v>
      </c>
      <c r="LD144" s="31" t="str">
        <f>IF(LC144/(INDEX('Standards for Conversions'!$H$47:$H$73,MATCH(LB$3,'Standards for Conversions'!$A$47:$A$73,0)))=0,"",LC144/(INDEX('Standards for Conversions'!$H$47:$H$73,MATCH(LB$3,'Standards for Conversions'!$A$47:$A$73,0))))</f>
        <v/>
      </c>
      <c r="LE144" s="48" t="s">
        <v>44</v>
      </c>
      <c r="LF144" s="29">
        <v>430</v>
      </c>
      <c r="LG144" s="29">
        <v>77690</v>
      </c>
      <c r="LH144" s="31">
        <f>IF(LG144/(INDEX('Standards for Conversions'!$H$47:$H$73,MATCH(LF$3,'Standards for Conversions'!$A$47:$A$73,0)))=0,"",LG144/(INDEX('Standards for Conversions'!$H$47:$H$73,MATCH(LF$3,'Standards for Conversions'!$A$47:$A$73,0))))</f>
        <v>9448.3910690594112</v>
      </c>
      <c r="LL144" s="31" t="str">
        <f>IF(LK144/(INDEX('Standards for Conversions'!$H$47:$H$73,MATCH(LJ$3,'Standards for Conversions'!$A$47:$A$73,0)))=0,"",LK144/(INDEX('Standards for Conversions'!$H$47:$H$73,MATCH(LJ$3,'Standards for Conversions'!$A$47:$A$73,0))))</f>
        <v/>
      </c>
      <c r="LO144" s="31" t="str">
        <f>IF(LN144/(INDEX('Standards for Conversions'!$H$47:$H$73,MATCH(LM$3,'Standards for Conversions'!$A$47:$A$73,0)))=0,"",LN144/(INDEX('Standards for Conversions'!$H$47:$H$73,MATCH(LM$3,'Standards for Conversions'!$A$47:$A$73,0))))</f>
        <v/>
      </c>
      <c r="LR144" s="31" t="str">
        <f>IF(LQ144/(INDEX('Standards for Conversions'!$H$47:$H$73,MATCH(LP$3,'Standards for Conversions'!$A$47:$A$73,0)))=0,"",LQ144/(INDEX('Standards for Conversions'!$H$47:$H$73,MATCH(LP$3,'Standards for Conversions'!$A$47:$A$73,0))))</f>
        <v/>
      </c>
      <c r="LV144" s="31" t="str">
        <f>IF(LU144/(INDEX('Standards for Conversions'!$H$47:$H$73,MATCH(LT$3,'Standards for Conversions'!$A$47:$A$73,0)))=0,"",LU144/(INDEX('Standards for Conversions'!$H$47:$H$73,MATCH(LT$3,'Standards for Conversions'!$A$47:$A$73,0))))</f>
        <v/>
      </c>
      <c r="LY144" s="31" t="str">
        <f>IF(LX144/(INDEX('Standards for Conversions'!$H$47:$H$73,MATCH(LW$3,'Standards for Conversions'!$A$47:$A$73,0)))=0,"",LX144/(INDEX('Standards for Conversions'!$H$47:$H$73,MATCH(LW$3,'Standards for Conversions'!$A$47:$A$73,0))))</f>
        <v/>
      </c>
      <c r="MB144" s="31" t="str">
        <f>IF(MA144/(INDEX('Standards for Conversions'!$H$47:$H$73,MATCH(LZ$3,'Standards for Conversions'!$A$47:$A$73,0)))=0,"",MA144/(INDEX('Standards for Conversions'!$H$47:$H$73,MATCH(LZ$3,'Standards for Conversions'!$A$47:$A$73,0))))</f>
        <v/>
      </c>
      <c r="ME144" s="31" t="str">
        <f>IF(MD144/(INDEX('Standards for Conversions'!$H$47:$H$73,MATCH(MC$3,'Standards for Conversions'!$A$47:$A$73,0)))=0,"",MD144/(INDEX('Standards for Conversions'!$H$47:$H$73,MATCH(MC$3,'Standards for Conversions'!$A$47:$A$73,0))))</f>
        <v/>
      </c>
      <c r="MH144" s="31" t="str">
        <f>IF(MG144/(INDEX('Standards for Conversions'!$H$47:$H$73,MATCH(MF$3,'Standards for Conversions'!$A$47:$A$73,0)))=0,"",MG144/(INDEX('Standards for Conversions'!$H$47:$H$73,MATCH(MF$3,'Standards for Conversions'!$A$47:$A$73,0))))</f>
        <v/>
      </c>
      <c r="MK144" s="31" t="str">
        <f>IF(MJ144/(INDEX('Standards for Conversions'!$H$47:$H$73,MATCH(MI$3,'Standards for Conversions'!$A$47:$A$73,0)))=0,"",MJ144/(INDEX('Standards for Conversions'!$H$47:$H$73,MATCH(MI$3,'Standards for Conversions'!$A$47:$A$73,0))))</f>
        <v/>
      </c>
      <c r="MN144" s="31" t="str">
        <f>IF(MM144/(INDEX('Standards for Conversions'!$H$47:$H$73,MATCH(ML$3,'Standards for Conversions'!$A$47:$A$73,0)))=0,"",MM144/(INDEX('Standards for Conversions'!$H$47:$H$73,MATCH(ML$3,'Standards for Conversions'!$A$47:$A$73,0))))</f>
        <v/>
      </c>
      <c r="MR144" s="31" t="str">
        <f>IF(MQ144/(INDEX('Standards for Conversions'!$H$47:$H$73,MATCH(MP$3,'Standards for Conversions'!$A$47:$A$73,0)))=0,"",MQ144/(INDEX('Standards for Conversions'!$H$47:$H$73,MATCH(MP$3,'Standards for Conversions'!$A$47:$A$73,0))))</f>
        <v/>
      </c>
    </row>
    <row r="145" spans="1:373" hidden="1" x14ac:dyDescent="0.3">
      <c r="A145" s="103" t="s">
        <v>309</v>
      </c>
      <c r="B145" s="10" t="s">
        <v>44</v>
      </c>
      <c r="C145" s="7"/>
      <c r="D145" s="7"/>
      <c r="E145" s="31" t="str">
        <f>IF(D145/(INDEX('Standards for Conversions'!$H$34:$H$73,MATCH(C$3,'Standards for Conversions'!$A$34:$A$73,0)))=0,"",D145/(INDEX('Standards for Conversions'!$H$34:$H$73,MATCH(C$3,'Standards for Conversions'!$A$34:$A$73,0))))</f>
        <v/>
      </c>
      <c r="F145" s="10" t="s">
        <v>44</v>
      </c>
      <c r="G145" s="7"/>
      <c r="H145" s="7"/>
      <c r="I145" s="31" t="str">
        <f>IF(H145/(INDEX('Standards for Conversions'!$H$34:$H$73,MATCH(G$3,'Standards for Conversions'!$A$34:$A$73,0)))=0,"",H145/(INDEX('Standards for Conversions'!$H$34:$H$73,MATCH(G$3,'Standards for Conversions'!$A$34:$A$73,0))))</f>
        <v/>
      </c>
      <c r="J145" s="10" t="s">
        <v>44</v>
      </c>
      <c r="K145" s="7"/>
      <c r="L145" s="7"/>
      <c r="M145" s="31" t="str">
        <f>IF(L145/(INDEX('Standards for Conversions'!$H$34:$H$73,MATCH(K$3,'Standards for Conversions'!$A$34:$A$73,0)))=0,"",L145/(INDEX('Standards for Conversions'!$H$34:$H$73,MATCH(K$3,'Standards for Conversions'!$A$34:$A$73,0))))</f>
        <v/>
      </c>
      <c r="N145" s="10" t="s">
        <v>44</v>
      </c>
      <c r="O145" s="7"/>
      <c r="P145" s="7"/>
      <c r="Q145" s="31" t="str">
        <f>IF(P145/(INDEX('Standards for Conversions'!$H$34:$H$73,MATCH(O$3,'Standards for Conversions'!$A$34:$A$73,0)))=0,"",P145/(INDEX('Standards for Conversions'!$H$34:$H$73,MATCH(O$3,'Standards for Conversions'!$A$34:$A$73,0))))</f>
        <v/>
      </c>
      <c r="R145" s="10" t="s">
        <v>44</v>
      </c>
      <c r="S145" s="7"/>
      <c r="T145" s="7"/>
      <c r="U145" s="31" t="str">
        <f>IF(T145/(INDEX('Standards for Conversions'!$H$34:$H$73,MATCH(S$3,'Standards for Conversions'!$A$34:$A$73,0)))=0,"",T145/(INDEX('Standards for Conversions'!$H$34:$H$73,MATCH(S$3,'Standards for Conversions'!$A$34:$A$73,0))))</f>
        <v/>
      </c>
      <c r="V145" s="10" t="s">
        <v>44</v>
      </c>
      <c r="W145" s="7"/>
      <c r="X145" s="7"/>
      <c r="Y145" s="31" t="str">
        <f>IF(X145/(INDEX('Standards for Conversions'!$H$34:$H$73,MATCH(W$3,'Standards for Conversions'!$A$34:$A$73,0)))=0,"",X145/(INDEX('Standards for Conversions'!$H$34:$H$73,MATCH(W$3,'Standards for Conversions'!$A$34:$A$73,0))))</f>
        <v/>
      </c>
      <c r="Z145" s="10" t="s">
        <v>44</v>
      </c>
      <c r="AA145" s="7"/>
      <c r="AB145" s="7"/>
      <c r="AC145" s="31" t="str">
        <f>IF(AB145/(INDEX('Standards for Conversions'!$H$34:$H$73,MATCH(AA$3,'Standards for Conversions'!$A$34:$A$73,0)))=0,"",AB145/(INDEX('Standards for Conversions'!$H$34:$H$73,MATCH(AA$3,'Standards for Conversions'!$A$34:$A$73,0))))</f>
        <v/>
      </c>
      <c r="AD145" s="10" t="s">
        <v>44</v>
      </c>
      <c r="AE145" s="7"/>
      <c r="AF145" s="7"/>
      <c r="AG145" s="31" t="str">
        <f>IF(AF145/(INDEX('Standards for Conversions'!$H$34:$H$73,MATCH(AE$3,'Standards for Conversions'!$A$34:$A$73,0)))=0,"",AF145/(INDEX('Standards for Conversions'!$H$34:$H$73,MATCH(AE$3,'Standards for Conversions'!$A$34:$A$73,0))))</f>
        <v/>
      </c>
      <c r="AH145" s="10" t="s">
        <v>44</v>
      </c>
      <c r="AI145" s="7"/>
      <c r="AJ145" s="7"/>
      <c r="AK145" s="31" t="str">
        <f>IF(AJ145/(INDEX('Standards for Conversions'!$H$34:$H$73,MATCH(AI$3,'Standards for Conversions'!$A$34:$A$73,0)))=0,"",AJ145/(INDEX('Standards for Conversions'!$H$34:$H$73,MATCH(AI$3,'Standards for Conversions'!$A$34:$A$73,0))))</f>
        <v/>
      </c>
      <c r="AL145" s="10" t="s">
        <v>44</v>
      </c>
      <c r="AM145" s="7"/>
      <c r="AN145" s="7"/>
      <c r="AO145" s="31" t="str">
        <f>IF(AN145/(INDEX('Standards for Conversions'!$H$34:$H$73,MATCH(AM$3,'Standards for Conversions'!$A$34:$A$73,0)))=0,"",AN145/(INDEX('Standards for Conversions'!$H$34:$H$73,MATCH(AM$3,'Standards for Conversions'!$A$34:$A$73,0))))</f>
        <v/>
      </c>
      <c r="AP145" s="10" t="s">
        <v>44</v>
      </c>
      <c r="AQ145" s="7"/>
      <c r="AR145" s="7"/>
      <c r="AS145" s="31" t="str">
        <f>IF(AR145/(INDEX('Standards for Conversions'!$H$34:$H$73,MATCH(AQ$3,'Standards for Conversions'!$A$34:$A$73,0)))=0,"",AR145/(INDEX('Standards for Conversions'!$H$34:$H$73,MATCH(AQ$3,'Standards for Conversions'!$A$34:$A$73,0))))</f>
        <v/>
      </c>
      <c r="AT145" s="10" t="s">
        <v>44</v>
      </c>
      <c r="AU145" s="7"/>
      <c r="AV145" s="7"/>
      <c r="AW145" s="31" t="str">
        <f>IF(AV145/(INDEX('Standards for Conversions'!$H$34:$H$73,MATCH(AU$3,'Standards for Conversions'!$A$34:$A$73,0)))=0,"",AV145/(INDEX('Standards for Conversions'!$H$34:$H$73,MATCH(AU$3,'Standards for Conversions'!$A$34:$A$73,0))))</f>
        <v/>
      </c>
      <c r="AX145" s="10" t="s">
        <v>44</v>
      </c>
      <c r="AY145" s="7"/>
      <c r="AZ145" s="7"/>
      <c r="BA145" s="31" t="str">
        <f>IF(AZ145/(INDEX('Standards for Conversions'!$H$34:$H$73,MATCH(AY$3,'Standards for Conversions'!$A$34:$A$73,0)))=0,"",AZ145/(INDEX('Standards for Conversions'!$H$34:$H$73,MATCH(AY$3,'Standards for Conversions'!$A$34:$A$73,0))))</f>
        <v/>
      </c>
      <c r="BB145" s="10" t="s">
        <v>44</v>
      </c>
      <c r="BC145" s="7"/>
      <c r="BD145" s="7"/>
      <c r="BE145" s="31" t="str">
        <f>IF(BD145/(INDEX('Standards for Conversions'!$H$34:$H$73,MATCH(BC$3,'Standards for Conversions'!$A$34:$A$73,0)))=0,"",BD145/(INDEX('Standards for Conversions'!$H$34:$H$73,MATCH(BC$3,'Standards for Conversions'!$A$34:$A$73,0))))</f>
        <v/>
      </c>
      <c r="BF145" s="10" t="s">
        <v>44</v>
      </c>
      <c r="BG145" s="7"/>
      <c r="BH145" s="7"/>
      <c r="BI145" s="31" t="str">
        <f>IF(BH145/(INDEX('Standards for Conversions'!$H$34:$H$73,MATCH(BG$3,'Standards for Conversions'!$A$34:$A$73,0)))=0,"",BH145/(INDEX('Standards for Conversions'!$H$34:$H$73,MATCH(BG$3,'Standards for Conversions'!$A$34:$A$73,0))))</f>
        <v/>
      </c>
      <c r="BJ145" s="10" t="s">
        <v>44</v>
      </c>
      <c r="BK145" s="7"/>
      <c r="BL145" s="7"/>
      <c r="BM145" s="31" t="str">
        <f>IF(BL145/(INDEX('Standards for Conversions'!$H$34:$H$73,MATCH(BK$3,'Standards for Conversions'!$A$34:$A$73,0)))=0,"",BL145/(INDEX('Standards for Conversions'!$H$34:$H$73,MATCH(BK$3,'Standards for Conversions'!$A$34:$A$73,0))))</f>
        <v/>
      </c>
      <c r="BN145" s="10" t="s">
        <v>44</v>
      </c>
      <c r="BO145" s="7"/>
      <c r="BP145" s="7"/>
      <c r="BQ145" s="31" t="str">
        <f>IF(BP145/(INDEX('Standards for Conversions'!$H$34:$H$73,MATCH(BO$3,'Standards for Conversions'!$A$34:$A$73,0)))=0,"",BP145/(INDEX('Standards for Conversions'!$H$34:$H$73,MATCH(BO$3,'Standards for Conversions'!$A$34:$A$73,0))))</f>
        <v/>
      </c>
      <c r="BR145" s="10" t="s">
        <v>44</v>
      </c>
      <c r="BS145" s="7"/>
      <c r="BT145" s="7"/>
      <c r="BU145" s="31" t="str">
        <f>IF(BT145/(INDEX('Standards for Conversions'!$H$34:$H$73,MATCH(BS$3,'Standards for Conversions'!$A$34:$A$73,0)))=0,"",BT145/(INDEX('Standards for Conversions'!$H$34:$H$73,MATCH(BS$3,'Standards for Conversions'!$A$34:$A$73,0))))</f>
        <v/>
      </c>
      <c r="BV145" s="10" t="s">
        <v>44</v>
      </c>
      <c r="BW145" s="7"/>
      <c r="BX145" s="7"/>
      <c r="BY145" s="31" t="str">
        <f>IF(BX145/(INDEX('Standards for Conversions'!$H$34:$H$73,MATCH(BW$3,'Standards for Conversions'!$A$34:$A$73,0)))=0,"",BX145/(INDEX('Standards for Conversions'!$H$34:$H$73,MATCH(BW$3,'Standards for Conversions'!$A$34:$A$73,0))))</f>
        <v/>
      </c>
      <c r="BZ145" s="10" t="s">
        <v>44</v>
      </c>
      <c r="CA145" s="7"/>
      <c r="CB145" s="7"/>
      <c r="CC145" s="31" t="str">
        <f>IF(CB145/(INDEX('Standards for Conversions'!$H$34:$H$73,MATCH(CA$3,'Standards for Conversions'!$A$34:$A$73,0)))=0,"",CB145/(INDEX('Standards for Conversions'!$H$34:$H$73,MATCH(CA$3,'Standards for Conversions'!$A$34:$A$73,0))))</f>
        <v/>
      </c>
      <c r="CD145" s="10" t="s">
        <v>44</v>
      </c>
      <c r="CE145" s="7"/>
      <c r="CF145" s="7"/>
      <c r="CG145" s="31" t="str">
        <f>IF(CF145/(INDEX('Standards for Conversions'!$H$34:$H$73,MATCH(CE$3,'Standards for Conversions'!$A$34:$A$73,0)))=0,"",CF145/(INDEX('Standards for Conversions'!$H$34:$H$73,MATCH(CE$3,'Standards for Conversions'!$A$34:$A$73,0))))</f>
        <v/>
      </c>
      <c r="CH145" s="10" t="s">
        <v>44</v>
      </c>
      <c r="CI145" s="7"/>
      <c r="CJ145" s="7"/>
      <c r="CK145" s="31" t="str">
        <f>IF(CJ145/(INDEX('Standards for Conversions'!$H$34:$H$73,MATCH(CI$3,'Standards for Conversions'!$A$34:$A$73,0)))=0,"",CJ145/(INDEX('Standards for Conversions'!$H$34:$H$73,MATCH(CI$3,'Standards for Conversions'!$A$34:$A$73,0))))</f>
        <v/>
      </c>
      <c r="CL145" s="10" t="s">
        <v>44</v>
      </c>
      <c r="CM145" s="7"/>
      <c r="CN145" s="7"/>
      <c r="CO145" s="31" t="str">
        <f>IF(CN145/(INDEX('Standards for Conversions'!$H$34:$H$73,MATCH(CM$3,'Standards for Conversions'!$A$34:$A$73,0)))=0,"",CN145/(INDEX('Standards for Conversions'!$H$34:$H$73,MATCH(CM$3,'Standards for Conversions'!$A$34:$A$73,0))))</f>
        <v/>
      </c>
      <c r="CP145" s="10" t="s">
        <v>44</v>
      </c>
      <c r="CQ145" s="7"/>
      <c r="CR145" s="7"/>
      <c r="CS145" s="31" t="str">
        <f>IF(CR145/(INDEX('Standards for Conversions'!$H$34:$H$73,MATCH(CQ$3,'Standards for Conversions'!$A$34:$A$73,0)))=0,"",CR145/(INDEX('Standards for Conversions'!$H$34:$H$73,MATCH(CQ$3,'Standards for Conversions'!$A$34:$A$73,0))))</f>
        <v/>
      </c>
      <c r="CT145" s="10" t="s">
        <v>44</v>
      </c>
      <c r="CU145" s="7"/>
      <c r="CV145" s="7"/>
      <c r="CW145" s="31" t="str">
        <f>IF(CV145/(INDEX('Standards for Conversions'!$H$34:$H$73,MATCH(CU$3,'Standards for Conversions'!$A$34:$A$73,0)))=0,"",CV145/(INDEX('Standards for Conversions'!$H$34:$H$73,MATCH(CU$3,'Standards for Conversions'!$A$34:$A$73,0))))</f>
        <v/>
      </c>
      <c r="CX145" s="10" t="s">
        <v>44</v>
      </c>
      <c r="CY145" s="7"/>
      <c r="CZ145" s="7"/>
      <c r="DA145" s="31" t="str">
        <f>IF(CZ145/(INDEX('Standards for Conversions'!$H$34:$H$73,MATCH(CY$3,'Standards for Conversions'!$A$34:$A$73,0)))=0,"",CZ145/(INDEX('Standards for Conversions'!$H$34:$H$73,MATCH(CY$3,'Standards for Conversions'!$A$34:$A$73,0))))</f>
        <v/>
      </c>
      <c r="DB145" s="10" t="s">
        <v>44</v>
      </c>
      <c r="DC145" s="7"/>
      <c r="DD145" s="7"/>
      <c r="DE145" s="31" t="str">
        <f>IF(DD145/(INDEX('Standards for Conversions'!$H$34:$H$73,MATCH(DC$3,'Standards for Conversions'!$A$34:$A$73,0)))=0,"",DD145/(INDEX('Standards for Conversions'!$H$34:$H$73,MATCH(DC$3,'Standards for Conversions'!$A$34:$A$73,0))))</f>
        <v/>
      </c>
      <c r="DF145" s="10" t="s">
        <v>44</v>
      </c>
      <c r="DG145" s="7"/>
      <c r="DH145" s="7"/>
      <c r="DI145" s="31" t="str">
        <f>IF(DH145/(INDEX('Standards for Conversions'!$H$34:$H$73,MATCH(DG$3,'Standards for Conversions'!$A$34:$A$73,0)))=0,"",DH145/(INDEX('Standards for Conversions'!$H$34:$H$73,MATCH(DG$3,'Standards for Conversions'!$A$34:$A$73,0))))</f>
        <v/>
      </c>
      <c r="DJ145" s="10" t="s">
        <v>44</v>
      </c>
      <c r="DK145" s="7"/>
      <c r="DL145" s="7"/>
      <c r="DM145" s="31" t="str">
        <f>IF(DL145/(INDEX('Standards for Conversions'!$H$34:$H$73,MATCH(DK$3,'Standards for Conversions'!$A$34:$A$73,0)))=0,"",DL145/(INDEX('Standards for Conversions'!$H$34:$H$73,MATCH(DK$3,'Standards for Conversions'!$A$34:$A$73,0))))</f>
        <v/>
      </c>
      <c r="DN145" s="10" t="s">
        <v>44</v>
      </c>
      <c r="DO145" s="7"/>
      <c r="DP145" s="7"/>
      <c r="DQ145" s="31" t="str">
        <f>IF(DP145/(INDEX('Standards for Conversions'!$H$34:$H$73,MATCH(DO$3,'Standards for Conversions'!$A$34:$A$73,0)))=0,"",DP145/(INDEX('Standards for Conversions'!$H$34:$H$73,MATCH(DO$3,'Standards for Conversions'!$A$34:$A$73,0))))</f>
        <v/>
      </c>
      <c r="DR145" s="10" t="s">
        <v>44</v>
      </c>
      <c r="DS145" s="7"/>
      <c r="DT145" s="7"/>
      <c r="DU145" s="31" t="str">
        <f>IF(DT145/(INDEX('Standards for Conversions'!$H$34:$H$73,MATCH(DS$3,'Standards for Conversions'!$A$34:$A$73,0)))=0,"",DT145/(INDEX('Standards for Conversions'!$H$34:$H$73,MATCH(DS$3,'Standards for Conversions'!$A$34:$A$73,0))))</f>
        <v/>
      </c>
      <c r="DV145" s="10" t="s">
        <v>44</v>
      </c>
      <c r="DW145" s="7"/>
      <c r="DX145" s="7"/>
      <c r="DY145" s="31" t="str">
        <f>IF(DX145/(INDEX('Standards for Conversions'!$H$34:$H$73,MATCH(DW$3,'Standards for Conversions'!$A$34:$A$73,0)))=0,"",DX145/(INDEX('Standards for Conversions'!$H$34:$H$73,MATCH(DW$3,'Standards for Conversions'!$A$34:$A$73,0))))</f>
        <v/>
      </c>
      <c r="DZ145" s="10" t="s">
        <v>44</v>
      </c>
      <c r="EA145" s="7"/>
      <c r="EB145" s="7"/>
      <c r="EC145" s="31" t="str">
        <f>IF(EB145/(INDEX('Standards for Conversions'!$H$34:$H$73,MATCH(EA$3,'Standards for Conversions'!$A$34:$A$73,0)))=0,"",EB145/(INDEX('Standards for Conversions'!$H$34:$H$73,MATCH(EA$3,'Standards for Conversions'!$A$34:$A$73,0))))</f>
        <v/>
      </c>
      <c r="ED145" s="10" t="s">
        <v>44</v>
      </c>
      <c r="EE145" s="7"/>
      <c r="EF145" s="7"/>
      <c r="EG145" s="31" t="str">
        <f>IF(EF145/(INDEX('Standards for Conversions'!$H$34:$H$73,MATCH(EE$3,'Standards for Conversions'!$A$34:$A$73,0)))=0,"",EF145/(INDEX('Standards for Conversions'!$H$34:$H$73,MATCH(EE$3,'Standards for Conversions'!$A$34:$A$73,0))))</f>
        <v/>
      </c>
      <c r="EH145" s="10" t="s">
        <v>44</v>
      </c>
      <c r="EI145" s="7"/>
      <c r="EJ145" s="7"/>
      <c r="EK145" s="31" t="str">
        <f>IF(EJ145/(INDEX('Standards for Conversions'!$H$34:$H$73,MATCH(EI$3,'Standards for Conversions'!$A$34:$A$73,0)))=0,"",EJ145/(INDEX('Standards for Conversions'!$H$34:$H$73,MATCH(EI$3,'Standards for Conversions'!$A$34:$A$73,0))))</f>
        <v/>
      </c>
      <c r="EL145" s="10" t="s">
        <v>44</v>
      </c>
      <c r="EM145" s="7"/>
      <c r="EN145" s="7"/>
      <c r="EO145" s="31" t="str">
        <f>IF(EN145/(INDEX('Standards for Conversions'!$H$34:$H$73,MATCH(EM$3,'Standards for Conversions'!$A$34:$A$73,0)))=0,"",EN145/(INDEX('Standards for Conversions'!$H$34:$H$73,MATCH(EM$3,'Standards for Conversions'!$A$34:$A$73,0))))</f>
        <v/>
      </c>
      <c r="EP145" s="10" t="s">
        <v>44</v>
      </c>
      <c r="EQ145" s="7"/>
      <c r="ER145" s="7"/>
      <c r="ES145" s="31" t="str">
        <f>IF(ER145/(INDEX('Standards for Conversions'!$H$34:$H$73,MATCH(EQ$3,'Standards for Conversions'!$A$34:$A$73,0)))=0,"",ER145/(INDEX('Standards for Conversions'!$H$34:$H$73,MATCH(EQ$3,'Standards for Conversions'!$A$34:$A$73,0))))</f>
        <v/>
      </c>
      <c r="ET145" s="10" t="s">
        <v>44</v>
      </c>
      <c r="EU145" s="7"/>
      <c r="EV145" s="7"/>
      <c r="EW145" s="31" t="str">
        <f>IF(EV145/(INDEX('Standards for Conversions'!$H$34:$H$73,MATCH(EU$3,'Standards for Conversions'!$A$34:$A$73,0)))=0,"",EV145/(INDEX('Standards for Conversions'!$H$34:$H$73,MATCH(EU$3,'Standards for Conversions'!$A$34:$A$73,0))))</f>
        <v/>
      </c>
      <c r="EX145" s="10" t="s">
        <v>44</v>
      </c>
      <c r="EY145" s="9"/>
      <c r="EZ145" s="9"/>
      <c r="FA145" s="31" t="str">
        <f>IF(EZ145/(INDEX('Standards for Conversions'!$H$34:$H$73,MATCH(EY$3,'Standards for Conversions'!$A$34:$A$73,0)))=0,"",EZ145/(INDEX('Standards for Conversions'!$H$34:$H$73,MATCH(EY$3,'Standards for Conversions'!$A$34:$A$73,0))))</f>
        <v/>
      </c>
      <c r="FB145" s="10" t="s">
        <v>44</v>
      </c>
      <c r="FC145" s="7"/>
      <c r="FD145" s="7"/>
      <c r="FE145" s="31" t="str">
        <f>IF(FD145/(INDEX('Standards for Conversions'!$H$34:$H$73,MATCH(FC$3,'Standards for Conversions'!$A$34:$A$73,0)))=0,"",FD145/(INDEX('Standards for Conversions'!$H$34:$H$73,MATCH(FC$3,'Standards for Conversions'!$A$34:$A$73,0))))</f>
        <v/>
      </c>
      <c r="FF145" s="10" t="s">
        <v>44</v>
      </c>
      <c r="FG145" s="7"/>
      <c r="FH145" s="7"/>
      <c r="FI145" s="31" t="str">
        <f>IF(FH145/(INDEX('Standards for Conversions'!$H$34:$H$73,MATCH(FG$3,'Standards for Conversions'!$A$34:$A$73,0)))=0,"",FH145/(INDEX('Standards for Conversions'!$H$34:$H$73,MATCH(FG$3,'Standards for Conversions'!$A$34:$A$73,0))))</f>
        <v/>
      </c>
      <c r="FJ145" s="10" t="s">
        <v>44</v>
      </c>
      <c r="FK145" s="7"/>
      <c r="FL145" s="7"/>
      <c r="FM145" s="31" t="str">
        <f>IF(FL145/(INDEX('Standards for Conversions'!$H$34:$H$73,MATCH(FK$3,'Standards for Conversions'!$A$34:$A$73,0)))=0,"",FL145/(INDEX('Standards for Conversions'!$H$34:$H$73,MATCH(FK$3,'Standards for Conversions'!$A$34:$A$73,0))))</f>
        <v/>
      </c>
      <c r="FN145" s="10" t="s">
        <v>44</v>
      </c>
      <c r="FO145" s="9"/>
      <c r="FP145" s="9"/>
      <c r="FQ145" s="31" t="str">
        <f>IF(FP145/(INDEX('Standards for Conversions'!$H$34:$H$73,MATCH(FO$3,'Standards for Conversions'!$A$34:$A$73,0)))=0,"",FP145/(INDEX('Standards for Conversions'!$H$34:$H$73,MATCH(FO$3,'Standards for Conversions'!$A$34:$A$73,0))))</f>
        <v/>
      </c>
      <c r="FR145" s="10" t="s">
        <v>44</v>
      </c>
      <c r="FS145" s="7"/>
      <c r="FT145" s="7"/>
      <c r="FU145" s="31" t="str">
        <f>IF(FT145/(INDEX('Standards for Conversions'!$H$34:$H$73,MATCH(FS$3,'Standards for Conversions'!$A$34:$A$73,0)))=0,"",FT145/(INDEX('Standards for Conversions'!$H$34:$H$73,MATCH(FS$3,'Standards for Conversions'!$A$34:$A$73,0))))</f>
        <v/>
      </c>
      <c r="FV145" s="10" t="s">
        <v>44</v>
      </c>
      <c r="FW145" s="7"/>
      <c r="FX145" s="7"/>
      <c r="FY145" s="31" t="str">
        <f>IF(FX145/(INDEX('Standards for Conversions'!$H$34:$H$73,MATCH(FW$3,'Standards for Conversions'!$A$34:$A$73,0)))=0,"",FX145/(INDEX('Standards for Conversions'!$H$34:$H$73,MATCH(FW$3,'Standards for Conversions'!$A$34:$A$73,0))))</f>
        <v/>
      </c>
      <c r="FZ145" s="10" t="s">
        <v>44</v>
      </c>
      <c r="GA145" s="7"/>
      <c r="GB145" s="7"/>
      <c r="GC145" s="31" t="str">
        <f>IF(GB145/(INDEX('Standards for Conversions'!$H$34:$H$73,MATCH(GA$3,'Standards for Conversions'!$A$34:$A$73,0)))=0,"",GB145/(INDEX('Standards for Conversions'!$H$34:$H$73,MATCH(GA$3,'Standards for Conversions'!$A$34:$A$73,0))))</f>
        <v/>
      </c>
      <c r="GD145" s="10" t="s">
        <v>44</v>
      </c>
      <c r="GE145" s="9"/>
      <c r="GF145" s="9"/>
      <c r="GG145" s="31" t="str">
        <f>IF(GF145/(INDEX('Standards for Conversions'!$H$34:$H$73,MATCH(GE$3,'Standards for Conversions'!$A$34:$A$73,0)))=0,"",GF145/(INDEX('Standards for Conversions'!$H$34:$H$73,MATCH(GE$3,'Standards for Conversions'!$A$34:$A$73,0))))</f>
        <v/>
      </c>
      <c r="GH145" s="10" t="s">
        <v>44</v>
      </c>
      <c r="GI145" s="7"/>
      <c r="GJ145" s="7"/>
      <c r="GK145" s="31" t="str">
        <f>IF(GJ145/(INDEX('Standards for Conversions'!$H$34:$H$73,MATCH(GI$3,'Standards for Conversions'!$A$34:$A$73,0)))=0,"",GJ145/(INDEX('Standards for Conversions'!$H$34:$H$73,MATCH(GI$3,'Standards for Conversions'!$A$34:$A$73,0))))</f>
        <v/>
      </c>
      <c r="GL145" s="10" t="s">
        <v>44</v>
      </c>
      <c r="GM145" s="7"/>
      <c r="GN145" s="7"/>
      <c r="GO145" s="31" t="str">
        <f>IF(GN145/(INDEX('Standards for Conversions'!$H$34:$H$73,MATCH(GM$3,'Standards for Conversions'!$A$34:$A$73,0)))=0,"",GN145/(INDEX('Standards for Conversions'!$H$34:$H$73,MATCH(GM$3,'Standards for Conversions'!$A$34:$A$73,0))))</f>
        <v/>
      </c>
      <c r="GP145" s="10" t="s">
        <v>44</v>
      </c>
      <c r="GQ145" s="7"/>
      <c r="GR145" s="7"/>
      <c r="GS145" s="31" t="str">
        <f>IF(GR145/(INDEX('Standards for Conversions'!$H$34:$H$73,MATCH(GQ$3,'Standards for Conversions'!$A$34:$A$73,0)))=0,"",GR145/(INDEX('Standards for Conversions'!$H$34:$H$73,MATCH(GQ$3,'Standards for Conversions'!$A$34:$A$73,0))))</f>
        <v/>
      </c>
      <c r="GT145" s="10" t="s">
        <v>44</v>
      </c>
      <c r="GU145" s="9"/>
      <c r="GV145" s="9"/>
      <c r="GW145" s="31" t="str">
        <f>IF(GV145/(INDEX('Standards for Conversions'!$H$34:$H$73,MATCH(GU$3,'Standards for Conversions'!$A$34:$A$73,0)))=0,"",GV145/(INDEX('Standards for Conversions'!$H$34:$H$73,MATCH(GU$3,'Standards for Conversions'!$A$34:$A$73,0))))</f>
        <v/>
      </c>
      <c r="GX145" s="10" t="s">
        <v>44</v>
      </c>
      <c r="GY145" s="7"/>
      <c r="GZ145" s="7"/>
      <c r="HA145" s="31" t="str">
        <f>IF(GZ145/(INDEX('Standards for Conversions'!$H$34:$H$73,MATCH(GY$3,'Standards for Conversions'!$A$34:$A$73,0)))=0,"",GZ145/(INDEX('Standards for Conversions'!$H$34:$H$73,MATCH(GY$3,'Standards for Conversions'!$A$34:$A$73,0))))</f>
        <v/>
      </c>
      <c r="HB145" s="10" t="s">
        <v>44</v>
      </c>
      <c r="HC145" s="7"/>
      <c r="HD145" s="7"/>
      <c r="HE145" s="31" t="str">
        <f>IF(HD145/(INDEX('Standards for Conversions'!$H$34:$H$73,MATCH(HC$3,'Standards for Conversions'!$A$34:$A$73,0)))=0,"",HD145/(INDEX('Standards for Conversions'!$H$34:$H$73,MATCH(HC$3,'Standards for Conversions'!$A$34:$A$73,0))))</f>
        <v/>
      </c>
      <c r="HF145" s="10" t="s">
        <v>44</v>
      </c>
      <c r="HG145" s="7"/>
      <c r="HH145" s="7"/>
      <c r="HI145" s="31" t="str">
        <f>IF(HH145/(INDEX('Standards for Conversions'!$H$34:$H$73,MATCH(HG$3,'Standards for Conversions'!$A$34:$A$73,0)))=0,"",HH145/(INDEX('Standards for Conversions'!$H$34:$H$73,MATCH(HG$3,'Standards for Conversions'!$A$34:$A$73,0))))</f>
        <v/>
      </c>
      <c r="HJ145" s="10" t="s">
        <v>44</v>
      </c>
      <c r="HK145" s="9"/>
      <c r="HL145" s="9"/>
      <c r="HM145" s="31" t="str">
        <f>IF(HL145/(INDEX('Standards for Conversions'!$H$34:$H$73,MATCH(HK$3,'Standards for Conversions'!$A$34:$A$73,0)))=0,"",HL145/(INDEX('Standards for Conversions'!$H$34:$H$73,MATCH(HK$3,'Standards for Conversions'!$A$34:$A$73,0))))</f>
        <v/>
      </c>
      <c r="HN145" s="10" t="s">
        <v>44</v>
      </c>
      <c r="HO145" s="7"/>
      <c r="HP145" s="7"/>
      <c r="HQ145" s="31" t="str">
        <f>IF(HP145/(INDEX('Standards for Conversions'!$H$34:$H$73,MATCH(HO$3,'Standards for Conversions'!$A$34:$A$73,0)))=0,"",HP145/(INDEX('Standards for Conversions'!$H$34:$H$73,MATCH(HO$3,'Standards for Conversions'!$A$34:$A$73,0))))</f>
        <v/>
      </c>
      <c r="HR145" s="33" t="s">
        <v>44</v>
      </c>
      <c r="HU145" s="31" t="str">
        <f>IF(HT145/(INDEX('Standards for Conversions'!$H$47:$H$73,MATCH(HS$3,'Standards for Conversions'!$A$47:$A$73,0)))=0,"",HT145/(INDEX('Standards for Conversions'!$H$47:$H$73,MATCH(HS$3,'Standards for Conversions'!$A$47:$A$73,0))))</f>
        <v/>
      </c>
      <c r="HV145" s="33" t="s">
        <v>44</v>
      </c>
      <c r="HY145" s="31" t="str">
        <f>IF(HX145/(INDEX('Standards for Conversions'!$H$47:$H$73,MATCH(HW$3,'Standards for Conversions'!$A$47:$A$73,0)))=0,"",HX145/(INDEX('Standards for Conversions'!$H$47:$H$73,MATCH(HW$3,'Standards for Conversions'!$A$47:$A$73,0))))</f>
        <v/>
      </c>
      <c r="HZ145" s="33"/>
      <c r="IA145" s="33"/>
      <c r="IB145" s="31" t="str">
        <f>IF(IA145/(INDEX('Standards for Conversions'!$H$47:$H$73,MATCH(HZ$3,'Standards for Conversions'!$A$47:$A$73,0)))=0,"",IA145/(INDEX('Standards for Conversions'!$H$47:$H$73,MATCH(HZ$3,'Standards for Conversions'!$A$47:$A$73,0))))</f>
        <v/>
      </c>
      <c r="IC145" s="33" t="s">
        <v>44</v>
      </c>
      <c r="ID145" s="29">
        <v>3</v>
      </c>
      <c r="IE145" s="29">
        <v>400</v>
      </c>
      <c r="IF145" s="31">
        <f>IF(IE145/(INDEX('Standards for Conversions'!$H$47:$H$73,MATCH(ID$3,'Standards for Conversions'!$A$47:$A$73,0)))=0,"",IE145/(INDEX('Standards for Conversions'!$H$47:$H$73,MATCH(ID$3,'Standards for Conversions'!$A$47:$A$73,0))))</f>
        <v>58.098164885142381</v>
      </c>
      <c r="IG145" s="33" t="s">
        <v>44</v>
      </c>
      <c r="IJ145" s="31" t="str">
        <f>IF(II145/(INDEX('Standards for Conversions'!$H$47:$H$73,MATCH(IH$3,'Standards for Conversions'!$A$47:$A$73,0)))=0,"",II145/(INDEX('Standards for Conversions'!$H$47:$H$73,MATCH(IH$3,'Standards for Conversions'!$A$47:$A$73,0))))</f>
        <v/>
      </c>
      <c r="IK145" s="33" t="s">
        <v>44</v>
      </c>
      <c r="IN145" s="31" t="str">
        <f>IF(IM145/(INDEX('Standards for Conversions'!$H$47:$H$73,MATCH(IL$3,'Standards for Conversions'!$A$47:$A$73,0)))=0,"",IM145/(INDEX('Standards for Conversions'!$H$47:$H$73,MATCH(IL$3,'Standards for Conversions'!$A$47:$A$73,0))))</f>
        <v/>
      </c>
      <c r="IO145" s="33" t="s">
        <v>44</v>
      </c>
      <c r="IR145" s="31" t="str">
        <f>IF(IQ145/(INDEX('Standards for Conversions'!$H$47:$H$73,MATCH(IP$3,'Standards for Conversions'!$A$47:$A$73,0)))=0,"",IQ145/(INDEX('Standards for Conversions'!$H$47:$H$73,MATCH(IP$3,'Standards for Conversions'!$A$47:$A$73,0))))</f>
        <v/>
      </c>
      <c r="IS145" s="33" t="s">
        <v>44</v>
      </c>
      <c r="IT145" s="29">
        <v>4</v>
      </c>
      <c r="IU145" s="29">
        <v>500</v>
      </c>
      <c r="IV145" s="31">
        <f>IF(IU145/(INDEX('Standards for Conversions'!$H$47:$H$73,MATCH(IT$3,'Standards for Conversions'!$A$47:$A$73,0)))=0,"",IU145/(INDEX('Standards for Conversions'!$H$47:$H$73,MATCH(IT$3,'Standards for Conversions'!$A$47:$A$73,0))))</f>
        <v>72.305114097216176</v>
      </c>
      <c r="IW145" s="33" t="s">
        <v>44</v>
      </c>
      <c r="IZ145" s="31" t="str">
        <f>IF(IY145/(INDEX('Standards for Conversions'!$H$47:$H$73,MATCH(IX$3,'Standards for Conversions'!$A$47:$A$73,0)))=0,"",IY145/(INDEX('Standards for Conversions'!$H$47:$H$73,MATCH(IX$3,'Standards for Conversions'!$A$47:$A$73,0))))</f>
        <v/>
      </c>
      <c r="JA145" s="33" t="s">
        <v>44</v>
      </c>
      <c r="JD145" s="31" t="str">
        <f>IF(JC145/(INDEX('Standards for Conversions'!$H$47:$H$73,MATCH(JB$3,'Standards for Conversions'!$A$47:$A$73,0)))=0,"",JC145/(INDEX('Standards for Conversions'!$H$47:$H$73,MATCH(JB$3,'Standards for Conversions'!$A$47:$A$73,0))))</f>
        <v/>
      </c>
      <c r="JE145" s="33" t="s">
        <v>44</v>
      </c>
      <c r="JH145" s="31" t="str">
        <f>IF(JG145/(INDEX('Standards for Conversions'!$H$47:$H$73,MATCH(JF$3,'Standards for Conversions'!$A$47:$A$73,0)))=0,"",JG145/(INDEX('Standards for Conversions'!$H$47:$H$73,MATCH(JF$3,'Standards for Conversions'!$A$47:$A$73,0))))</f>
        <v/>
      </c>
      <c r="JI145" s="48" t="s">
        <v>44</v>
      </c>
      <c r="JJ145" s="29">
        <v>3</v>
      </c>
      <c r="JK145" s="29">
        <v>300</v>
      </c>
      <c r="JL145" s="31">
        <f>IF(JK145/(INDEX('Standards for Conversions'!$H$47:$H$73,MATCH(JJ$3,'Standards for Conversions'!$A$47:$A$73,0)))=0,"",JK145/(INDEX('Standards for Conversions'!$H$47:$H$73,MATCH(JJ$3,'Standards for Conversions'!$A$47:$A$73,0))))</f>
        <v>48.528059007560607</v>
      </c>
      <c r="JM145" s="33" t="s">
        <v>44</v>
      </c>
      <c r="JP145" s="31" t="str">
        <f>IF(JO145/(INDEX('Standards for Conversions'!$H$47:$H$73,MATCH(JN$3,'Standards for Conversions'!$A$47:$A$73,0)))=0,"",JO145/(INDEX('Standards for Conversions'!$H$47:$H$73,MATCH(JN$3,'Standards for Conversions'!$A$47:$A$73,0))))</f>
        <v/>
      </c>
      <c r="JQ145" s="33" t="s">
        <v>44</v>
      </c>
      <c r="JT145" s="31" t="str">
        <f>IF(JS145/(INDEX('Standards for Conversions'!$H$47:$H$73,MATCH(JR$3,'Standards for Conversions'!$A$47:$A$73,0)))=0,"",JS145/(INDEX('Standards for Conversions'!$H$47:$H$73,MATCH(JR$3,'Standards for Conversions'!$A$47:$A$73,0))))</f>
        <v/>
      </c>
      <c r="JU145" s="33" t="s">
        <v>44</v>
      </c>
      <c r="JX145" s="31" t="str">
        <f>IF(JW145/(INDEX('Standards for Conversions'!$H$47:$H$73,MATCH(JV$3,'Standards for Conversions'!$A$47:$A$73,0)))=0,"",JW145/(INDEX('Standards for Conversions'!$H$47:$H$73,MATCH(JV$3,'Standards for Conversions'!$A$47:$A$73,0))))</f>
        <v/>
      </c>
      <c r="JY145" s="33" t="s">
        <v>44</v>
      </c>
      <c r="JZ145" s="29">
        <v>4</v>
      </c>
      <c r="KA145" s="29">
        <v>400</v>
      </c>
      <c r="KB145" s="31">
        <f>IF(KA145/(INDEX('Standards for Conversions'!$H$47:$H$73,MATCH(JZ$3,'Standards for Conversions'!$A$47:$A$73,0)))=0,"",KA145/(INDEX('Standards for Conversions'!$H$47:$H$73,MATCH(JZ$3,'Standards for Conversions'!$A$47:$A$73,0))))</f>
        <v>61.062356971119023</v>
      </c>
      <c r="KC145" s="33" t="s">
        <v>44</v>
      </c>
      <c r="KF145" s="31" t="str">
        <f>IF(KE145/(INDEX('Standards for Conversions'!$H$47:$H$73,MATCH(KD$3,'Standards for Conversions'!$A$47:$A$73,0)))=0,"",KE145/(INDEX('Standards for Conversions'!$H$47:$H$73,MATCH(KD$3,'Standards for Conversions'!$A$47:$A$73,0))))</f>
        <v/>
      </c>
      <c r="KG145" s="33" t="s">
        <v>44</v>
      </c>
      <c r="KJ145" s="31" t="str">
        <f>IF(KI145/(INDEX('Standards for Conversions'!$H$47:$H$73,MATCH(KH$3,'Standards for Conversions'!$A$47:$A$73,0)))=0,"",KI145/(INDEX('Standards for Conversions'!$H$47:$H$73,MATCH(KH$3,'Standards for Conversions'!$A$47:$A$73,0))))</f>
        <v/>
      </c>
      <c r="KK145" s="33" t="s">
        <v>44</v>
      </c>
      <c r="KN145" s="31" t="str">
        <f>IF(KM145/(INDEX('Standards for Conversions'!$H$47:$H$73,MATCH(KL$3,'Standards for Conversions'!$A$47:$A$73,0)))=0,"",KM145/(INDEX('Standards for Conversions'!$H$47:$H$73,MATCH(KL$3,'Standards for Conversions'!$A$47:$A$73,0))))</f>
        <v/>
      </c>
      <c r="KO145" s="33" t="s">
        <v>44</v>
      </c>
      <c r="KP145" s="29">
        <v>4</v>
      </c>
      <c r="KQ145" s="29">
        <v>400</v>
      </c>
      <c r="KR145" s="31">
        <f>IF(KQ145/(INDEX('Standards for Conversions'!$H$47:$H$73,MATCH(KP$3,'Standards for Conversions'!$A$47:$A$73,0)))=0,"",KQ145/(INDEX('Standards for Conversions'!$H$47:$H$73,MATCH(KP$3,'Standards for Conversions'!$A$47:$A$73,0))))</f>
        <v>53.863604762318587</v>
      </c>
      <c r="KS145" s="33" t="s">
        <v>44</v>
      </c>
      <c r="KV145" s="31" t="str">
        <f>IF(KU145/(INDEX('Standards for Conversions'!$H$47:$H$73,MATCH(KT$3,'Standards for Conversions'!$A$47:$A$73,0)))=0,"",KU145/(INDEX('Standards for Conversions'!$H$47:$H$73,MATCH(KT$3,'Standards for Conversions'!$A$47:$A$73,0))))</f>
        <v/>
      </c>
      <c r="KW145" s="33" t="s">
        <v>44</v>
      </c>
      <c r="KZ145" s="31" t="str">
        <f>IF(KY145/(INDEX('Standards for Conversions'!$H$47:$H$73,MATCH(KX$3,'Standards for Conversions'!$A$47:$A$73,0)))=0,"",KY145/(INDEX('Standards for Conversions'!$H$47:$H$73,MATCH(KX$3,'Standards for Conversions'!$A$47:$A$73,0))))</f>
        <v/>
      </c>
      <c r="LA145" s="33" t="s">
        <v>44</v>
      </c>
      <c r="LD145" s="31" t="str">
        <f>IF(LC145/(INDEX('Standards for Conversions'!$H$47:$H$73,MATCH(LB$3,'Standards for Conversions'!$A$47:$A$73,0)))=0,"",LC145/(INDEX('Standards for Conversions'!$H$47:$H$73,MATCH(LB$3,'Standards for Conversions'!$A$47:$A$73,0))))</f>
        <v/>
      </c>
      <c r="LE145" s="48" t="s">
        <v>44</v>
      </c>
      <c r="LF145" s="29">
        <v>2</v>
      </c>
      <c r="LG145" s="29">
        <v>200</v>
      </c>
      <c r="LH145" s="31">
        <f>IF(LG145/(INDEX('Standards for Conversions'!$H$47:$H$73,MATCH(LF$3,'Standards for Conversions'!$A$47:$A$73,0)))=0,"",LG145/(INDEX('Standards for Conversions'!$H$47:$H$73,MATCH(LF$3,'Standards for Conversions'!$A$47:$A$73,0))))</f>
        <v>24.323313345499837</v>
      </c>
      <c r="LL145" s="31" t="str">
        <f>IF(LK145/(INDEX('Standards for Conversions'!$H$47:$H$73,MATCH(LJ$3,'Standards for Conversions'!$A$47:$A$73,0)))=0,"",LK145/(INDEX('Standards for Conversions'!$H$47:$H$73,MATCH(LJ$3,'Standards for Conversions'!$A$47:$A$73,0))))</f>
        <v/>
      </c>
      <c r="LO145" s="31" t="str">
        <f>IF(LN145/(INDEX('Standards for Conversions'!$H$47:$H$73,MATCH(LM$3,'Standards for Conversions'!$A$47:$A$73,0)))=0,"",LN145/(INDEX('Standards for Conversions'!$H$47:$H$73,MATCH(LM$3,'Standards for Conversions'!$A$47:$A$73,0))))</f>
        <v/>
      </c>
      <c r="LR145" s="31" t="str">
        <f>IF(LQ145/(INDEX('Standards for Conversions'!$H$47:$H$73,MATCH(LP$3,'Standards for Conversions'!$A$47:$A$73,0)))=0,"",LQ145/(INDEX('Standards for Conversions'!$H$47:$H$73,MATCH(LP$3,'Standards for Conversions'!$A$47:$A$73,0))))</f>
        <v/>
      </c>
      <c r="LV145" s="31" t="str">
        <f>IF(LU145/(INDEX('Standards for Conversions'!$H$47:$H$73,MATCH(LT$3,'Standards for Conversions'!$A$47:$A$73,0)))=0,"",LU145/(INDEX('Standards for Conversions'!$H$47:$H$73,MATCH(LT$3,'Standards for Conversions'!$A$47:$A$73,0))))</f>
        <v/>
      </c>
      <c r="LY145" s="31" t="str">
        <f>IF(LX145/(INDEX('Standards for Conversions'!$H$47:$H$73,MATCH(LW$3,'Standards for Conversions'!$A$47:$A$73,0)))=0,"",LX145/(INDEX('Standards for Conversions'!$H$47:$H$73,MATCH(LW$3,'Standards for Conversions'!$A$47:$A$73,0))))</f>
        <v/>
      </c>
      <c r="MB145" s="31" t="str">
        <f>IF(MA145/(INDEX('Standards for Conversions'!$H$47:$H$73,MATCH(LZ$3,'Standards for Conversions'!$A$47:$A$73,0)))=0,"",MA145/(INDEX('Standards for Conversions'!$H$47:$H$73,MATCH(LZ$3,'Standards for Conversions'!$A$47:$A$73,0))))</f>
        <v/>
      </c>
      <c r="ME145" s="31" t="str">
        <f>IF(MD145/(INDEX('Standards for Conversions'!$H$47:$H$73,MATCH(MC$3,'Standards for Conversions'!$A$47:$A$73,0)))=0,"",MD145/(INDEX('Standards for Conversions'!$H$47:$H$73,MATCH(MC$3,'Standards for Conversions'!$A$47:$A$73,0))))</f>
        <v/>
      </c>
      <c r="MH145" s="31" t="str">
        <f>IF(MG145/(INDEX('Standards for Conversions'!$H$47:$H$73,MATCH(MF$3,'Standards for Conversions'!$A$47:$A$73,0)))=0,"",MG145/(INDEX('Standards for Conversions'!$H$47:$H$73,MATCH(MF$3,'Standards for Conversions'!$A$47:$A$73,0))))</f>
        <v/>
      </c>
      <c r="MK145" s="31" t="str">
        <f>IF(MJ145/(INDEX('Standards for Conversions'!$H$47:$H$73,MATCH(MI$3,'Standards for Conversions'!$A$47:$A$73,0)))=0,"",MJ145/(INDEX('Standards for Conversions'!$H$47:$H$73,MATCH(MI$3,'Standards for Conversions'!$A$47:$A$73,0))))</f>
        <v/>
      </c>
      <c r="MN145" s="31" t="str">
        <f>IF(MM145/(INDEX('Standards for Conversions'!$H$47:$H$73,MATCH(ML$3,'Standards for Conversions'!$A$47:$A$73,0)))=0,"",MM145/(INDEX('Standards for Conversions'!$H$47:$H$73,MATCH(ML$3,'Standards for Conversions'!$A$47:$A$73,0))))</f>
        <v/>
      </c>
      <c r="MR145" s="31" t="str">
        <f>IF(MQ145/(INDEX('Standards for Conversions'!$H$47:$H$73,MATCH(MP$3,'Standards for Conversions'!$A$47:$A$73,0)))=0,"",MQ145/(INDEX('Standards for Conversions'!$H$47:$H$73,MATCH(MP$3,'Standards for Conversions'!$A$47:$A$73,0))))</f>
        <v/>
      </c>
    </row>
    <row r="146" spans="1:373" hidden="1" x14ac:dyDescent="0.3">
      <c r="A146" s="103" t="s">
        <v>310</v>
      </c>
      <c r="B146" s="10" t="s">
        <v>52</v>
      </c>
      <c r="C146" s="7"/>
      <c r="D146" s="7"/>
      <c r="E146" s="31" t="str">
        <f>IF(D146/(INDEX('Standards for Conversions'!$H$34:$H$73,MATCH(C$3,'Standards for Conversions'!$A$34:$A$73,0)))=0,"",D146/(INDEX('Standards for Conversions'!$H$34:$H$73,MATCH(C$3,'Standards for Conversions'!$A$34:$A$73,0))))</f>
        <v/>
      </c>
      <c r="F146" s="10" t="s">
        <v>52</v>
      </c>
      <c r="G146" s="7"/>
      <c r="H146" s="7"/>
      <c r="I146" s="31" t="str">
        <f>IF(H146/(INDEX('Standards for Conversions'!$H$34:$H$73,MATCH(G$3,'Standards for Conversions'!$A$34:$A$73,0)))=0,"",H146/(INDEX('Standards for Conversions'!$H$34:$H$73,MATCH(G$3,'Standards for Conversions'!$A$34:$A$73,0))))</f>
        <v/>
      </c>
      <c r="J146" s="10" t="s">
        <v>52</v>
      </c>
      <c r="K146" s="7"/>
      <c r="L146" s="7"/>
      <c r="M146" s="31" t="str">
        <f>IF(L146/(INDEX('Standards for Conversions'!$H$34:$H$73,MATCH(K$3,'Standards for Conversions'!$A$34:$A$73,0)))=0,"",L146/(INDEX('Standards for Conversions'!$H$34:$H$73,MATCH(K$3,'Standards for Conversions'!$A$34:$A$73,0))))</f>
        <v/>
      </c>
      <c r="N146" s="10" t="s">
        <v>52</v>
      </c>
      <c r="O146" s="7"/>
      <c r="P146" s="7"/>
      <c r="Q146" s="31" t="str">
        <f>IF(P146/(INDEX('Standards for Conversions'!$H$34:$H$73,MATCH(O$3,'Standards for Conversions'!$A$34:$A$73,0)))=0,"",P146/(INDEX('Standards for Conversions'!$H$34:$H$73,MATCH(O$3,'Standards for Conversions'!$A$34:$A$73,0))))</f>
        <v/>
      </c>
      <c r="R146" s="10" t="s">
        <v>52</v>
      </c>
      <c r="S146" s="7"/>
      <c r="T146" s="7"/>
      <c r="U146" s="31" t="str">
        <f>IF(T146/(INDEX('Standards for Conversions'!$H$34:$H$73,MATCH(S$3,'Standards for Conversions'!$A$34:$A$73,0)))=0,"",T146/(INDEX('Standards for Conversions'!$H$34:$H$73,MATCH(S$3,'Standards for Conversions'!$A$34:$A$73,0))))</f>
        <v/>
      </c>
      <c r="V146" s="10" t="s">
        <v>52</v>
      </c>
      <c r="W146" s="7"/>
      <c r="X146" s="7"/>
      <c r="Y146" s="31" t="str">
        <f>IF(X146/(INDEX('Standards for Conversions'!$H$34:$H$73,MATCH(W$3,'Standards for Conversions'!$A$34:$A$73,0)))=0,"",X146/(INDEX('Standards for Conversions'!$H$34:$H$73,MATCH(W$3,'Standards for Conversions'!$A$34:$A$73,0))))</f>
        <v/>
      </c>
      <c r="Z146" s="10" t="s">
        <v>52</v>
      </c>
      <c r="AA146" s="7"/>
      <c r="AB146" s="7"/>
      <c r="AC146" s="31" t="str">
        <f>IF(AB146/(INDEX('Standards for Conversions'!$H$34:$H$73,MATCH(AA$3,'Standards for Conversions'!$A$34:$A$73,0)))=0,"",AB146/(INDEX('Standards for Conversions'!$H$34:$H$73,MATCH(AA$3,'Standards for Conversions'!$A$34:$A$73,0))))</f>
        <v/>
      </c>
      <c r="AD146" s="10" t="s">
        <v>52</v>
      </c>
      <c r="AE146" s="7"/>
      <c r="AF146" s="7"/>
      <c r="AG146" s="31" t="str">
        <f>IF(AF146/(INDEX('Standards for Conversions'!$H$34:$H$73,MATCH(AE$3,'Standards for Conversions'!$A$34:$A$73,0)))=0,"",AF146/(INDEX('Standards for Conversions'!$H$34:$H$73,MATCH(AE$3,'Standards for Conversions'!$A$34:$A$73,0))))</f>
        <v/>
      </c>
      <c r="AH146" s="10" t="s">
        <v>52</v>
      </c>
      <c r="AI146" s="7"/>
      <c r="AJ146" s="7"/>
      <c r="AK146" s="31" t="str">
        <f>IF(AJ146/(INDEX('Standards for Conversions'!$H$34:$H$73,MATCH(AI$3,'Standards for Conversions'!$A$34:$A$73,0)))=0,"",AJ146/(INDEX('Standards for Conversions'!$H$34:$H$73,MATCH(AI$3,'Standards for Conversions'!$A$34:$A$73,0))))</f>
        <v/>
      </c>
      <c r="AL146" s="10" t="s">
        <v>52</v>
      </c>
      <c r="AM146" s="7"/>
      <c r="AN146" s="7"/>
      <c r="AO146" s="31" t="str">
        <f>IF(AN146/(INDEX('Standards for Conversions'!$H$34:$H$73,MATCH(AM$3,'Standards for Conversions'!$A$34:$A$73,0)))=0,"",AN146/(INDEX('Standards for Conversions'!$H$34:$H$73,MATCH(AM$3,'Standards for Conversions'!$A$34:$A$73,0))))</f>
        <v/>
      </c>
      <c r="AP146" s="10" t="s">
        <v>52</v>
      </c>
      <c r="AQ146" s="7"/>
      <c r="AR146" s="7"/>
      <c r="AS146" s="31" t="str">
        <f>IF(AR146/(INDEX('Standards for Conversions'!$H$34:$H$73,MATCH(AQ$3,'Standards for Conversions'!$A$34:$A$73,0)))=0,"",AR146/(INDEX('Standards for Conversions'!$H$34:$H$73,MATCH(AQ$3,'Standards for Conversions'!$A$34:$A$73,0))))</f>
        <v/>
      </c>
      <c r="AT146" s="10" t="s">
        <v>52</v>
      </c>
      <c r="AU146" s="7"/>
      <c r="AV146" s="7"/>
      <c r="AW146" s="31" t="str">
        <f>IF(AV146/(INDEX('Standards for Conversions'!$H$34:$H$73,MATCH(AU$3,'Standards for Conversions'!$A$34:$A$73,0)))=0,"",AV146/(INDEX('Standards for Conversions'!$H$34:$H$73,MATCH(AU$3,'Standards for Conversions'!$A$34:$A$73,0))))</f>
        <v/>
      </c>
      <c r="AX146" s="10" t="s">
        <v>52</v>
      </c>
      <c r="AY146" s="7"/>
      <c r="AZ146" s="7"/>
      <c r="BA146" s="31" t="str">
        <f>IF(AZ146/(INDEX('Standards for Conversions'!$H$34:$H$73,MATCH(AY$3,'Standards for Conversions'!$A$34:$A$73,0)))=0,"",AZ146/(INDEX('Standards for Conversions'!$H$34:$H$73,MATCH(AY$3,'Standards for Conversions'!$A$34:$A$73,0))))</f>
        <v/>
      </c>
      <c r="BB146" s="10" t="s">
        <v>52</v>
      </c>
      <c r="BC146" s="7"/>
      <c r="BD146" s="7"/>
      <c r="BE146" s="31" t="str">
        <f>IF(BD146/(INDEX('Standards for Conversions'!$H$34:$H$73,MATCH(BC$3,'Standards for Conversions'!$A$34:$A$73,0)))=0,"",BD146/(INDEX('Standards for Conversions'!$H$34:$H$73,MATCH(BC$3,'Standards for Conversions'!$A$34:$A$73,0))))</f>
        <v/>
      </c>
      <c r="BF146" s="10" t="s">
        <v>52</v>
      </c>
      <c r="BG146" s="7"/>
      <c r="BH146" s="7"/>
      <c r="BI146" s="31" t="str">
        <f>IF(BH146/(INDEX('Standards for Conversions'!$H$34:$H$73,MATCH(BG$3,'Standards for Conversions'!$A$34:$A$73,0)))=0,"",BH146/(INDEX('Standards for Conversions'!$H$34:$H$73,MATCH(BG$3,'Standards for Conversions'!$A$34:$A$73,0))))</f>
        <v/>
      </c>
      <c r="BJ146" s="10" t="s">
        <v>52</v>
      </c>
      <c r="BK146" s="7"/>
      <c r="BL146" s="7"/>
      <c r="BM146" s="31" t="str">
        <f>IF(BL146/(INDEX('Standards for Conversions'!$H$34:$H$73,MATCH(BK$3,'Standards for Conversions'!$A$34:$A$73,0)))=0,"",BL146/(INDEX('Standards for Conversions'!$H$34:$H$73,MATCH(BK$3,'Standards for Conversions'!$A$34:$A$73,0))))</f>
        <v/>
      </c>
      <c r="BN146" s="10" t="s">
        <v>52</v>
      </c>
      <c r="BO146" s="7"/>
      <c r="BP146" s="7"/>
      <c r="BQ146" s="31" t="str">
        <f>IF(BP146/(INDEX('Standards for Conversions'!$H$34:$H$73,MATCH(BO$3,'Standards for Conversions'!$A$34:$A$73,0)))=0,"",BP146/(INDEX('Standards for Conversions'!$H$34:$H$73,MATCH(BO$3,'Standards for Conversions'!$A$34:$A$73,0))))</f>
        <v/>
      </c>
      <c r="BR146" s="10" t="s">
        <v>52</v>
      </c>
      <c r="BS146" s="7"/>
      <c r="BT146" s="7"/>
      <c r="BU146" s="31" t="str">
        <f>IF(BT146/(INDEX('Standards for Conversions'!$H$34:$H$73,MATCH(BS$3,'Standards for Conversions'!$A$34:$A$73,0)))=0,"",BT146/(INDEX('Standards for Conversions'!$H$34:$H$73,MATCH(BS$3,'Standards for Conversions'!$A$34:$A$73,0))))</f>
        <v/>
      </c>
      <c r="BV146" s="10" t="s">
        <v>52</v>
      </c>
      <c r="BW146" s="7"/>
      <c r="BX146" s="7"/>
      <c r="BY146" s="31" t="str">
        <f>IF(BX146/(INDEX('Standards for Conversions'!$H$34:$H$73,MATCH(BW$3,'Standards for Conversions'!$A$34:$A$73,0)))=0,"",BX146/(INDEX('Standards for Conversions'!$H$34:$H$73,MATCH(BW$3,'Standards for Conversions'!$A$34:$A$73,0))))</f>
        <v/>
      </c>
      <c r="BZ146" s="10" t="s">
        <v>52</v>
      </c>
      <c r="CA146" s="7"/>
      <c r="CB146" s="7"/>
      <c r="CC146" s="31" t="str">
        <f>IF(CB146/(INDEX('Standards for Conversions'!$H$34:$H$73,MATCH(CA$3,'Standards for Conversions'!$A$34:$A$73,0)))=0,"",CB146/(INDEX('Standards for Conversions'!$H$34:$H$73,MATCH(CA$3,'Standards for Conversions'!$A$34:$A$73,0))))</f>
        <v/>
      </c>
      <c r="CD146" s="10" t="s">
        <v>52</v>
      </c>
      <c r="CE146" s="7"/>
      <c r="CF146" s="7"/>
      <c r="CG146" s="31" t="str">
        <f>IF(CF146/(INDEX('Standards for Conversions'!$H$34:$H$73,MATCH(CE$3,'Standards for Conversions'!$A$34:$A$73,0)))=0,"",CF146/(INDEX('Standards for Conversions'!$H$34:$H$73,MATCH(CE$3,'Standards for Conversions'!$A$34:$A$73,0))))</f>
        <v/>
      </c>
      <c r="CH146" s="10" t="s">
        <v>52</v>
      </c>
      <c r="CI146" s="7"/>
      <c r="CJ146" s="7"/>
      <c r="CK146" s="31" t="str">
        <f>IF(CJ146/(INDEX('Standards for Conversions'!$H$34:$H$73,MATCH(CI$3,'Standards for Conversions'!$A$34:$A$73,0)))=0,"",CJ146/(INDEX('Standards for Conversions'!$H$34:$H$73,MATCH(CI$3,'Standards for Conversions'!$A$34:$A$73,0))))</f>
        <v/>
      </c>
      <c r="CL146" s="10" t="s">
        <v>52</v>
      </c>
      <c r="CM146" s="7"/>
      <c r="CN146" s="7"/>
      <c r="CO146" s="31" t="str">
        <f>IF(CN146/(INDEX('Standards for Conversions'!$H$34:$H$73,MATCH(CM$3,'Standards for Conversions'!$A$34:$A$73,0)))=0,"",CN146/(INDEX('Standards for Conversions'!$H$34:$H$73,MATCH(CM$3,'Standards for Conversions'!$A$34:$A$73,0))))</f>
        <v/>
      </c>
      <c r="CP146" s="10" t="s">
        <v>52</v>
      </c>
      <c r="CQ146" s="7"/>
      <c r="CR146" s="7"/>
      <c r="CS146" s="31" t="str">
        <f>IF(CR146/(INDEX('Standards for Conversions'!$H$34:$H$73,MATCH(CQ$3,'Standards for Conversions'!$A$34:$A$73,0)))=0,"",CR146/(INDEX('Standards for Conversions'!$H$34:$H$73,MATCH(CQ$3,'Standards for Conversions'!$A$34:$A$73,0))))</f>
        <v/>
      </c>
      <c r="CT146" s="10" t="s">
        <v>52</v>
      </c>
      <c r="CU146" s="7"/>
      <c r="CV146" s="7"/>
      <c r="CW146" s="31" t="str">
        <f>IF(CV146/(INDEX('Standards for Conversions'!$H$34:$H$73,MATCH(CU$3,'Standards for Conversions'!$A$34:$A$73,0)))=0,"",CV146/(INDEX('Standards for Conversions'!$H$34:$H$73,MATCH(CU$3,'Standards for Conversions'!$A$34:$A$73,0))))</f>
        <v/>
      </c>
      <c r="CX146" s="10" t="s">
        <v>52</v>
      </c>
      <c r="CY146" s="7"/>
      <c r="CZ146" s="7"/>
      <c r="DA146" s="31" t="str">
        <f>IF(CZ146/(INDEX('Standards for Conversions'!$H$34:$H$73,MATCH(CY$3,'Standards for Conversions'!$A$34:$A$73,0)))=0,"",CZ146/(INDEX('Standards for Conversions'!$H$34:$H$73,MATCH(CY$3,'Standards for Conversions'!$A$34:$A$73,0))))</f>
        <v/>
      </c>
      <c r="DB146" s="10" t="s">
        <v>52</v>
      </c>
      <c r="DC146" s="7"/>
      <c r="DD146" s="7"/>
      <c r="DE146" s="31" t="str">
        <f>IF(DD146/(INDEX('Standards for Conversions'!$H$34:$H$73,MATCH(DC$3,'Standards for Conversions'!$A$34:$A$73,0)))=0,"",DD146/(INDEX('Standards for Conversions'!$H$34:$H$73,MATCH(DC$3,'Standards for Conversions'!$A$34:$A$73,0))))</f>
        <v/>
      </c>
      <c r="DF146" s="10" t="s">
        <v>52</v>
      </c>
      <c r="DG146" s="7"/>
      <c r="DH146" s="7"/>
      <c r="DI146" s="31" t="str">
        <f>IF(DH146/(INDEX('Standards for Conversions'!$H$34:$H$73,MATCH(DG$3,'Standards for Conversions'!$A$34:$A$73,0)))=0,"",DH146/(INDEX('Standards for Conversions'!$H$34:$H$73,MATCH(DG$3,'Standards for Conversions'!$A$34:$A$73,0))))</f>
        <v/>
      </c>
      <c r="DJ146" s="10" t="s">
        <v>52</v>
      </c>
      <c r="DK146" s="7"/>
      <c r="DL146" s="7"/>
      <c r="DM146" s="31" t="str">
        <f>IF(DL146/(INDEX('Standards for Conversions'!$H$34:$H$73,MATCH(DK$3,'Standards for Conversions'!$A$34:$A$73,0)))=0,"",DL146/(INDEX('Standards for Conversions'!$H$34:$H$73,MATCH(DK$3,'Standards for Conversions'!$A$34:$A$73,0))))</f>
        <v/>
      </c>
      <c r="DN146" s="10" t="s">
        <v>52</v>
      </c>
      <c r="DO146" s="7"/>
      <c r="DP146" s="7"/>
      <c r="DQ146" s="31" t="str">
        <f>IF(DP146/(INDEX('Standards for Conversions'!$H$34:$H$73,MATCH(DO$3,'Standards for Conversions'!$A$34:$A$73,0)))=0,"",DP146/(INDEX('Standards for Conversions'!$H$34:$H$73,MATCH(DO$3,'Standards for Conversions'!$A$34:$A$73,0))))</f>
        <v/>
      </c>
      <c r="DR146" s="10" t="s">
        <v>52</v>
      </c>
      <c r="DS146" s="7"/>
      <c r="DT146" s="7"/>
      <c r="DU146" s="31" t="str">
        <f>IF(DT146/(INDEX('Standards for Conversions'!$H$34:$H$73,MATCH(DS$3,'Standards for Conversions'!$A$34:$A$73,0)))=0,"",DT146/(INDEX('Standards for Conversions'!$H$34:$H$73,MATCH(DS$3,'Standards for Conversions'!$A$34:$A$73,0))))</f>
        <v/>
      </c>
      <c r="DV146" s="10" t="s">
        <v>52</v>
      </c>
      <c r="DW146" s="7"/>
      <c r="DX146" s="7"/>
      <c r="DY146" s="31" t="str">
        <f>IF(DX146/(INDEX('Standards for Conversions'!$H$34:$H$73,MATCH(DW$3,'Standards for Conversions'!$A$34:$A$73,0)))=0,"",DX146/(INDEX('Standards for Conversions'!$H$34:$H$73,MATCH(DW$3,'Standards for Conversions'!$A$34:$A$73,0))))</f>
        <v/>
      </c>
      <c r="DZ146" s="10" t="s">
        <v>52</v>
      </c>
      <c r="EA146" s="7"/>
      <c r="EB146" s="7"/>
      <c r="EC146" s="31" t="str">
        <f>IF(EB146/(INDEX('Standards for Conversions'!$H$34:$H$73,MATCH(EA$3,'Standards for Conversions'!$A$34:$A$73,0)))=0,"",EB146/(INDEX('Standards for Conversions'!$H$34:$H$73,MATCH(EA$3,'Standards for Conversions'!$A$34:$A$73,0))))</f>
        <v/>
      </c>
      <c r="ED146" s="10" t="s">
        <v>52</v>
      </c>
      <c r="EE146" s="7"/>
      <c r="EF146" s="7"/>
      <c r="EG146" s="31" t="str">
        <f>IF(EF146/(INDEX('Standards for Conversions'!$H$34:$H$73,MATCH(EE$3,'Standards for Conversions'!$A$34:$A$73,0)))=0,"",EF146/(INDEX('Standards for Conversions'!$H$34:$H$73,MATCH(EE$3,'Standards for Conversions'!$A$34:$A$73,0))))</f>
        <v/>
      </c>
      <c r="EH146" s="10" t="s">
        <v>52</v>
      </c>
      <c r="EI146" s="7"/>
      <c r="EJ146" s="7"/>
      <c r="EK146" s="31" t="str">
        <f>IF(EJ146/(INDEX('Standards for Conversions'!$H$34:$H$73,MATCH(EI$3,'Standards for Conversions'!$A$34:$A$73,0)))=0,"",EJ146/(INDEX('Standards for Conversions'!$H$34:$H$73,MATCH(EI$3,'Standards for Conversions'!$A$34:$A$73,0))))</f>
        <v/>
      </c>
      <c r="EL146" s="10" t="s">
        <v>52</v>
      </c>
      <c r="EM146" s="7"/>
      <c r="EN146" s="7"/>
      <c r="EO146" s="31" t="str">
        <f>IF(EN146/(INDEX('Standards for Conversions'!$H$34:$H$73,MATCH(EM$3,'Standards for Conversions'!$A$34:$A$73,0)))=0,"",EN146/(INDEX('Standards for Conversions'!$H$34:$H$73,MATCH(EM$3,'Standards for Conversions'!$A$34:$A$73,0))))</f>
        <v/>
      </c>
      <c r="EP146" s="10" t="s">
        <v>52</v>
      </c>
      <c r="EQ146" s="7"/>
      <c r="ER146" s="7"/>
      <c r="ES146" s="31" t="str">
        <f>IF(ER146/(INDEX('Standards for Conversions'!$H$34:$H$73,MATCH(EQ$3,'Standards for Conversions'!$A$34:$A$73,0)))=0,"",ER146/(INDEX('Standards for Conversions'!$H$34:$H$73,MATCH(EQ$3,'Standards for Conversions'!$A$34:$A$73,0))))</f>
        <v/>
      </c>
      <c r="ET146" s="10" t="s">
        <v>52</v>
      </c>
      <c r="EU146" s="7"/>
      <c r="EV146" s="7"/>
      <c r="EW146" s="31" t="str">
        <f>IF(EV146/(INDEX('Standards for Conversions'!$H$34:$H$73,MATCH(EU$3,'Standards for Conversions'!$A$34:$A$73,0)))=0,"",EV146/(INDEX('Standards for Conversions'!$H$34:$H$73,MATCH(EU$3,'Standards for Conversions'!$A$34:$A$73,0))))</f>
        <v/>
      </c>
      <c r="EX146" s="10" t="s">
        <v>52</v>
      </c>
      <c r="EY146" s="9"/>
      <c r="EZ146" s="9"/>
      <c r="FA146" s="31" t="str">
        <f>IF(EZ146/(INDEX('Standards for Conversions'!$H$34:$H$73,MATCH(EY$3,'Standards for Conversions'!$A$34:$A$73,0)))=0,"",EZ146/(INDEX('Standards for Conversions'!$H$34:$H$73,MATCH(EY$3,'Standards for Conversions'!$A$34:$A$73,0))))</f>
        <v/>
      </c>
      <c r="FB146" s="10" t="s">
        <v>52</v>
      </c>
      <c r="FC146" s="7"/>
      <c r="FD146" s="7"/>
      <c r="FE146" s="31" t="str">
        <f>IF(FD146/(INDEX('Standards for Conversions'!$H$34:$H$73,MATCH(FC$3,'Standards for Conversions'!$A$34:$A$73,0)))=0,"",FD146/(INDEX('Standards for Conversions'!$H$34:$H$73,MATCH(FC$3,'Standards for Conversions'!$A$34:$A$73,0))))</f>
        <v/>
      </c>
      <c r="FF146" s="10" t="s">
        <v>52</v>
      </c>
      <c r="FG146" s="7"/>
      <c r="FH146" s="7"/>
      <c r="FI146" s="31" t="str">
        <f>IF(FH146/(INDEX('Standards for Conversions'!$H$34:$H$73,MATCH(FG$3,'Standards for Conversions'!$A$34:$A$73,0)))=0,"",FH146/(INDEX('Standards for Conversions'!$H$34:$H$73,MATCH(FG$3,'Standards for Conversions'!$A$34:$A$73,0))))</f>
        <v/>
      </c>
      <c r="FJ146" s="10" t="s">
        <v>52</v>
      </c>
      <c r="FK146" s="7"/>
      <c r="FL146" s="7"/>
      <c r="FM146" s="31" t="str">
        <f>IF(FL146/(INDEX('Standards for Conversions'!$H$34:$H$73,MATCH(FK$3,'Standards for Conversions'!$A$34:$A$73,0)))=0,"",FL146/(INDEX('Standards for Conversions'!$H$34:$H$73,MATCH(FK$3,'Standards for Conversions'!$A$34:$A$73,0))))</f>
        <v/>
      </c>
      <c r="FN146" s="10" t="s">
        <v>52</v>
      </c>
      <c r="FO146" s="9"/>
      <c r="FP146" s="9"/>
      <c r="FQ146" s="31" t="str">
        <f>IF(FP146/(INDEX('Standards for Conversions'!$H$34:$H$73,MATCH(FO$3,'Standards for Conversions'!$A$34:$A$73,0)))=0,"",FP146/(INDEX('Standards for Conversions'!$H$34:$H$73,MATCH(FO$3,'Standards for Conversions'!$A$34:$A$73,0))))</f>
        <v/>
      </c>
      <c r="FR146" s="10" t="s">
        <v>52</v>
      </c>
      <c r="FS146" s="7"/>
      <c r="FT146" s="7"/>
      <c r="FU146" s="31" t="str">
        <f>IF(FT146/(INDEX('Standards for Conversions'!$H$34:$H$73,MATCH(FS$3,'Standards for Conversions'!$A$34:$A$73,0)))=0,"",FT146/(INDEX('Standards for Conversions'!$H$34:$H$73,MATCH(FS$3,'Standards for Conversions'!$A$34:$A$73,0))))</f>
        <v/>
      </c>
      <c r="FV146" s="10" t="s">
        <v>52</v>
      </c>
      <c r="FW146" s="7"/>
      <c r="FX146" s="7"/>
      <c r="FY146" s="31" t="str">
        <f>IF(FX146/(INDEX('Standards for Conversions'!$H$34:$H$73,MATCH(FW$3,'Standards for Conversions'!$A$34:$A$73,0)))=0,"",FX146/(INDEX('Standards for Conversions'!$H$34:$H$73,MATCH(FW$3,'Standards for Conversions'!$A$34:$A$73,0))))</f>
        <v/>
      </c>
      <c r="FZ146" s="10" t="s">
        <v>52</v>
      </c>
      <c r="GA146" s="7"/>
      <c r="GB146" s="7"/>
      <c r="GC146" s="31" t="str">
        <f>IF(GB146/(INDEX('Standards for Conversions'!$H$34:$H$73,MATCH(GA$3,'Standards for Conversions'!$A$34:$A$73,0)))=0,"",GB146/(INDEX('Standards for Conversions'!$H$34:$H$73,MATCH(GA$3,'Standards for Conversions'!$A$34:$A$73,0))))</f>
        <v/>
      </c>
      <c r="GD146" s="10" t="s">
        <v>52</v>
      </c>
      <c r="GE146" s="9"/>
      <c r="GF146" s="9"/>
      <c r="GG146" s="31" t="str">
        <f>IF(GF146/(INDEX('Standards for Conversions'!$H$34:$H$73,MATCH(GE$3,'Standards for Conversions'!$A$34:$A$73,0)))=0,"",GF146/(INDEX('Standards for Conversions'!$H$34:$H$73,MATCH(GE$3,'Standards for Conversions'!$A$34:$A$73,0))))</f>
        <v/>
      </c>
      <c r="GH146" s="10" t="s">
        <v>52</v>
      </c>
      <c r="GI146" s="7"/>
      <c r="GJ146" s="7"/>
      <c r="GK146" s="31" t="str">
        <f>IF(GJ146/(INDEX('Standards for Conversions'!$H$34:$H$73,MATCH(GI$3,'Standards for Conversions'!$A$34:$A$73,0)))=0,"",GJ146/(INDEX('Standards for Conversions'!$H$34:$H$73,MATCH(GI$3,'Standards for Conversions'!$A$34:$A$73,0))))</f>
        <v/>
      </c>
      <c r="GL146" s="10" t="s">
        <v>52</v>
      </c>
      <c r="GM146" s="7"/>
      <c r="GN146" s="7"/>
      <c r="GO146" s="31" t="str">
        <f>IF(GN146/(INDEX('Standards for Conversions'!$H$34:$H$73,MATCH(GM$3,'Standards for Conversions'!$A$34:$A$73,0)))=0,"",GN146/(INDEX('Standards for Conversions'!$H$34:$H$73,MATCH(GM$3,'Standards for Conversions'!$A$34:$A$73,0))))</f>
        <v/>
      </c>
      <c r="GP146" s="10" t="s">
        <v>52</v>
      </c>
      <c r="GQ146" s="7"/>
      <c r="GR146" s="7"/>
      <c r="GS146" s="31" t="str">
        <f>IF(GR146/(INDEX('Standards for Conversions'!$H$34:$H$73,MATCH(GQ$3,'Standards for Conversions'!$A$34:$A$73,0)))=0,"",GR146/(INDEX('Standards for Conversions'!$H$34:$H$73,MATCH(GQ$3,'Standards for Conversions'!$A$34:$A$73,0))))</f>
        <v/>
      </c>
      <c r="GT146" s="10" t="s">
        <v>52</v>
      </c>
      <c r="GU146" s="9"/>
      <c r="GV146" s="9"/>
      <c r="GW146" s="31" t="str">
        <f>IF(GV146/(INDEX('Standards for Conversions'!$H$34:$H$73,MATCH(GU$3,'Standards for Conversions'!$A$34:$A$73,0)))=0,"",GV146/(INDEX('Standards for Conversions'!$H$34:$H$73,MATCH(GU$3,'Standards for Conversions'!$A$34:$A$73,0))))</f>
        <v/>
      </c>
      <c r="GX146" s="10" t="s">
        <v>52</v>
      </c>
      <c r="GY146" s="7"/>
      <c r="GZ146" s="7"/>
      <c r="HA146" s="31" t="str">
        <f>IF(GZ146/(INDEX('Standards for Conversions'!$H$34:$H$73,MATCH(GY$3,'Standards for Conversions'!$A$34:$A$73,0)))=0,"",GZ146/(INDEX('Standards for Conversions'!$H$34:$H$73,MATCH(GY$3,'Standards for Conversions'!$A$34:$A$73,0))))</f>
        <v/>
      </c>
      <c r="HB146" s="10" t="s">
        <v>52</v>
      </c>
      <c r="HC146" s="7"/>
      <c r="HD146" s="7"/>
      <c r="HE146" s="31" t="str">
        <f>IF(HD146/(INDEX('Standards for Conversions'!$H$34:$H$73,MATCH(HC$3,'Standards for Conversions'!$A$34:$A$73,0)))=0,"",HD146/(INDEX('Standards for Conversions'!$H$34:$H$73,MATCH(HC$3,'Standards for Conversions'!$A$34:$A$73,0))))</f>
        <v/>
      </c>
      <c r="HF146" s="10" t="s">
        <v>52</v>
      </c>
      <c r="HG146" s="7"/>
      <c r="HH146" s="7"/>
      <c r="HI146" s="31" t="str">
        <f>IF(HH146/(INDEX('Standards for Conversions'!$H$34:$H$73,MATCH(HG$3,'Standards for Conversions'!$A$34:$A$73,0)))=0,"",HH146/(INDEX('Standards for Conversions'!$H$34:$H$73,MATCH(HG$3,'Standards for Conversions'!$A$34:$A$73,0))))</f>
        <v/>
      </c>
      <c r="HJ146" s="10" t="s">
        <v>52</v>
      </c>
      <c r="HK146" s="9"/>
      <c r="HL146" s="9"/>
      <c r="HM146" s="31" t="str">
        <f>IF(HL146/(INDEX('Standards for Conversions'!$H$34:$H$73,MATCH(HK$3,'Standards for Conversions'!$A$34:$A$73,0)))=0,"",HL146/(INDEX('Standards for Conversions'!$H$34:$H$73,MATCH(HK$3,'Standards for Conversions'!$A$34:$A$73,0))))</f>
        <v/>
      </c>
      <c r="HN146" s="10" t="s">
        <v>52</v>
      </c>
      <c r="HO146" s="7"/>
      <c r="HP146" s="7"/>
      <c r="HQ146" s="31" t="str">
        <f>IF(HP146/(INDEX('Standards for Conversions'!$H$34:$H$73,MATCH(HO$3,'Standards for Conversions'!$A$34:$A$73,0)))=0,"",HP146/(INDEX('Standards for Conversions'!$H$34:$H$73,MATCH(HO$3,'Standards for Conversions'!$A$34:$A$73,0))))</f>
        <v/>
      </c>
      <c r="HR146" s="33" t="s">
        <v>52</v>
      </c>
      <c r="HU146" s="31" t="str">
        <f>IF(HT146/(INDEX('Standards for Conversions'!$H$47:$H$73,MATCH(HS$3,'Standards for Conversions'!$A$47:$A$73,0)))=0,"",HT146/(INDEX('Standards for Conversions'!$H$47:$H$73,MATCH(HS$3,'Standards for Conversions'!$A$47:$A$73,0))))</f>
        <v/>
      </c>
      <c r="HV146" s="33" t="s">
        <v>52</v>
      </c>
      <c r="HY146" s="31" t="str">
        <f>IF(HX146/(INDEX('Standards for Conversions'!$H$47:$H$73,MATCH(HW$3,'Standards for Conversions'!$A$47:$A$73,0)))=0,"",HX146/(INDEX('Standards for Conversions'!$H$47:$H$73,MATCH(HW$3,'Standards for Conversions'!$A$47:$A$73,0))))</f>
        <v/>
      </c>
      <c r="HZ146" s="33">
        <v>50</v>
      </c>
      <c r="IA146" s="33">
        <v>300</v>
      </c>
      <c r="IB146" s="31">
        <f>IF(IA146/(INDEX('Standards for Conversions'!$H$47:$H$73,MATCH(HZ$3,'Standards for Conversions'!$A$47:$A$73,0)))=0,"",IA146/(INDEX('Standards for Conversions'!$H$47:$H$73,MATCH(HZ$3,'Standards for Conversions'!$A$47:$A$73,0))))</f>
        <v>43.573623663856786</v>
      </c>
      <c r="IC146" s="33" t="s">
        <v>52</v>
      </c>
      <c r="IF146" s="31" t="str">
        <f>IF(IE146/(INDEX('Standards for Conversions'!$H$47:$H$73,MATCH(ID$3,'Standards for Conversions'!$A$47:$A$73,0)))=0,"",IE146/(INDEX('Standards for Conversions'!$H$47:$H$73,MATCH(ID$3,'Standards for Conversions'!$A$47:$A$73,0))))</f>
        <v/>
      </c>
      <c r="IG146" s="33" t="s">
        <v>52</v>
      </c>
      <c r="IJ146" s="31" t="str">
        <f>IF(II146/(INDEX('Standards for Conversions'!$H$47:$H$73,MATCH(IH$3,'Standards for Conversions'!$A$47:$A$73,0)))=0,"",II146/(INDEX('Standards for Conversions'!$H$47:$H$73,MATCH(IH$3,'Standards for Conversions'!$A$47:$A$73,0))))</f>
        <v/>
      </c>
      <c r="IK146" s="33" t="s">
        <v>52</v>
      </c>
      <c r="IN146" s="31" t="str">
        <f>IF(IM146/(INDEX('Standards for Conversions'!$H$47:$H$73,MATCH(IL$3,'Standards for Conversions'!$A$47:$A$73,0)))=0,"",IM146/(INDEX('Standards for Conversions'!$H$47:$H$73,MATCH(IL$3,'Standards for Conversions'!$A$47:$A$73,0))))</f>
        <v/>
      </c>
      <c r="IO146" s="33" t="s">
        <v>52</v>
      </c>
      <c r="IP146" s="29">
        <v>200</v>
      </c>
      <c r="IQ146" s="29">
        <v>900</v>
      </c>
      <c r="IR146" s="31">
        <f>IF(IQ146/(INDEX('Standards for Conversions'!$H$47:$H$73,MATCH(IP$3,'Standards for Conversions'!$A$47:$A$73,0)))=0,"",IQ146/(INDEX('Standards for Conversions'!$H$47:$H$73,MATCH(IP$3,'Standards for Conversions'!$A$47:$A$73,0))))</f>
        <v>130.14920537498912</v>
      </c>
      <c r="IS146" s="33" t="s">
        <v>52</v>
      </c>
      <c r="IV146" s="31" t="str">
        <f>IF(IU146/(INDEX('Standards for Conversions'!$H$47:$H$73,MATCH(IT$3,'Standards for Conversions'!$A$47:$A$73,0)))=0,"",IU146/(INDEX('Standards for Conversions'!$H$47:$H$73,MATCH(IT$3,'Standards for Conversions'!$A$47:$A$73,0))))</f>
        <v/>
      </c>
      <c r="IW146" s="33" t="s">
        <v>52</v>
      </c>
      <c r="IZ146" s="31" t="str">
        <f>IF(IY146/(INDEX('Standards for Conversions'!$H$47:$H$73,MATCH(IX$3,'Standards for Conversions'!$A$47:$A$73,0)))=0,"",IY146/(INDEX('Standards for Conversions'!$H$47:$H$73,MATCH(IX$3,'Standards for Conversions'!$A$47:$A$73,0))))</f>
        <v/>
      </c>
      <c r="JA146" s="33" t="s">
        <v>52</v>
      </c>
      <c r="JD146" s="31" t="str">
        <f>IF(JC146/(INDEX('Standards for Conversions'!$H$47:$H$73,MATCH(JB$3,'Standards for Conversions'!$A$47:$A$73,0)))=0,"",JC146/(INDEX('Standards for Conversions'!$H$47:$H$73,MATCH(JB$3,'Standards for Conversions'!$A$47:$A$73,0))))</f>
        <v/>
      </c>
      <c r="JE146" s="33" t="s">
        <v>52</v>
      </c>
      <c r="JF146" s="29">
        <v>150</v>
      </c>
      <c r="JG146" s="29">
        <v>700</v>
      </c>
      <c r="JH146" s="31">
        <f>IF(JG146/(INDEX('Standards for Conversions'!$H$47:$H$73,MATCH(JF$3,'Standards for Conversions'!$A$47:$A$73,0)))=0,"",JG146/(INDEX('Standards for Conversions'!$H$47:$H$73,MATCH(JF$3,'Standards for Conversions'!$A$47:$A$73,0))))</f>
        <v>113.23213768430809</v>
      </c>
      <c r="JI146" s="48"/>
      <c r="JL146" s="31" t="str">
        <f>IF(JK146/(INDEX('Standards for Conversions'!$H$47:$H$73,MATCH(JJ$3,'Standards for Conversions'!$A$47:$A$73,0)))=0,"",JK146/(INDEX('Standards for Conversions'!$H$47:$H$73,MATCH(JJ$3,'Standards for Conversions'!$A$47:$A$73,0))))</f>
        <v/>
      </c>
      <c r="JM146" s="33" t="s">
        <v>52</v>
      </c>
      <c r="JP146" s="31" t="str">
        <f>IF(JO146/(INDEX('Standards for Conversions'!$H$47:$H$73,MATCH(JN$3,'Standards for Conversions'!$A$47:$A$73,0)))=0,"",JO146/(INDEX('Standards for Conversions'!$H$47:$H$73,MATCH(JN$3,'Standards for Conversions'!$A$47:$A$73,0))))</f>
        <v/>
      </c>
      <c r="JQ146" s="33" t="s">
        <v>52</v>
      </c>
      <c r="JT146" s="31" t="str">
        <f>IF(JS146/(INDEX('Standards for Conversions'!$H$47:$H$73,MATCH(JR$3,'Standards for Conversions'!$A$47:$A$73,0)))=0,"",JS146/(INDEX('Standards for Conversions'!$H$47:$H$73,MATCH(JR$3,'Standards for Conversions'!$A$47:$A$73,0))))</f>
        <v/>
      </c>
      <c r="JU146" s="33" t="s">
        <v>52</v>
      </c>
      <c r="JV146" s="29">
        <v>170</v>
      </c>
      <c r="JW146" s="29">
        <v>850</v>
      </c>
      <c r="JX146" s="31">
        <f>IF(JW146/(INDEX('Standards for Conversions'!$H$47:$H$73,MATCH(JV$3,'Standards for Conversions'!$A$47:$A$73,0)))=0,"",JW146/(INDEX('Standards for Conversions'!$H$47:$H$73,MATCH(JV$3,'Standards for Conversions'!$A$47:$A$73,0))))</f>
        <v>129.75750856362794</v>
      </c>
      <c r="JY146" s="33" t="s">
        <v>52</v>
      </c>
      <c r="KB146" s="31" t="str">
        <f>IF(KA146/(INDEX('Standards for Conversions'!$H$47:$H$73,MATCH(JZ$3,'Standards for Conversions'!$A$47:$A$73,0)))=0,"",KA146/(INDEX('Standards for Conversions'!$H$47:$H$73,MATCH(JZ$3,'Standards for Conversions'!$A$47:$A$73,0))))</f>
        <v/>
      </c>
      <c r="KC146" s="33" t="s">
        <v>52</v>
      </c>
      <c r="KF146" s="31" t="str">
        <f>IF(KE146/(INDEX('Standards for Conversions'!$H$47:$H$73,MATCH(KD$3,'Standards for Conversions'!$A$47:$A$73,0)))=0,"",KE146/(INDEX('Standards for Conversions'!$H$47:$H$73,MATCH(KD$3,'Standards for Conversions'!$A$47:$A$73,0))))</f>
        <v/>
      </c>
      <c r="KG146" s="33" t="s">
        <v>52</v>
      </c>
      <c r="KJ146" s="31" t="str">
        <f>IF(KI146/(INDEX('Standards for Conversions'!$H$47:$H$73,MATCH(KH$3,'Standards for Conversions'!$A$47:$A$73,0)))=0,"",KI146/(INDEX('Standards for Conversions'!$H$47:$H$73,MATCH(KH$3,'Standards for Conversions'!$A$47:$A$73,0))))</f>
        <v/>
      </c>
      <c r="KK146" s="33" t="s">
        <v>52</v>
      </c>
      <c r="KL146" s="29">
        <v>150</v>
      </c>
      <c r="KM146" s="29">
        <v>600</v>
      </c>
      <c r="KN146" s="31">
        <f>IF(KM146/(INDEX('Standards for Conversions'!$H$47:$H$73,MATCH(KL$3,'Standards for Conversions'!$A$47:$A$73,0)))=0,"",KM146/(INDEX('Standards for Conversions'!$H$47:$H$73,MATCH(KL$3,'Standards for Conversions'!$A$47:$A$73,0))))</f>
        <v>80.795407143477874</v>
      </c>
      <c r="KO146" s="33" t="s">
        <v>52</v>
      </c>
      <c r="KR146" s="31" t="str">
        <f>IF(KQ146/(INDEX('Standards for Conversions'!$H$47:$H$73,MATCH(KP$3,'Standards for Conversions'!$A$47:$A$73,0)))=0,"",KQ146/(INDEX('Standards for Conversions'!$H$47:$H$73,MATCH(KP$3,'Standards for Conversions'!$A$47:$A$73,0))))</f>
        <v/>
      </c>
      <c r="KS146" s="33" t="s">
        <v>52</v>
      </c>
      <c r="KV146" s="31" t="str">
        <f>IF(KU146/(INDEX('Standards for Conversions'!$H$47:$H$73,MATCH(KT$3,'Standards for Conversions'!$A$47:$A$73,0)))=0,"",KU146/(INDEX('Standards for Conversions'!$H$47:$H$73,MATCH(KT$3,'Standards for Conversions'!$A$47:$A$73,0))))</f>
        <v/>
      </c>
      <c r="KW146" s="33" t="s">
        <v>52</v>
      </c>
      <c r="KZ146" s="31" t="str">
        <f>IF(KY146/(INDEX('Standards for Conversions'!$H$47:$H$73,MATCH(KX$3,'Standards for Conversions'!$A$47:$A$73,0)))=0,"",KY146/(INDEX('Standards for Conversions'!$H$47:$H$73,MATCH(KX$3,'Standards for Conversions'!$A$47:$A$73,0))))</f>
        <v/>
      </c>
      <c r="LA146" s="33" t="s">
        <v>52</v>
      </c>
      <c r="LB146" s="29">
        <v>192</v>
      </c>
      <c r="LC146" s="29">
        <v>1040</v>
      </c>
      <c r="LD146" s="31">
        <f>IF(LC146/(INDEX('Standards for Conversions'!$H$47:$H$73,MATCH(LB$3,'Standards for Conversions'!$A$47:$A$73,0)))=0,"",LC146/(INDEX('Standards for Conversions'!$H$47:$H$73,MATCH(LB$3,'Standards for Conversions'!$A$47:$A$73,0))))</f>
        <v>126.48122939659915</v>
      </c>
      <c r="LE146" s="48"/>
      <c r="LH146" s="31" t="str">
        <f>IF(LG146/(INDEX('Standards for Conversions'!$H$47:$H$73,MATCH(LF$3,'Standards for Conversions'!$A$47:$A$73,0)))=0,"",LG146/(INDEX('Standards for Conversions'!$H$47:$H$73,MATCH(LF$3,'Standards for Conversions'!$A$47:$A$73,0))))</f>
        <v/>
      </c>
      <c r="LL146" s="31" t="str">
        <f>IF(LK146/(INDEX('Standards for Conversions'!$H$47:$H$73,MATCH(LJ$3,'Standards for Conversions'!$A$47:$A$73,0)))=0,"",LK146/(INDEX('Standards for Conversions'!$H$47:$H$73,MATCH(LJ$3,'Standards for Conversions'!$A$47:$A$73,0))))</f>
        <v/>
      </c>
      <c r="LO146" s="31" t="str">
        <f>IF(LN146/(INDEX('Standards for Conversions'!$H$47:$H$73,MATCH(LM$3,'Standards for Conversions'!$A$47:$A$73,0)))=0,"",LN146/(INDEX('Standards for Conversions'!$H$47:$H$73,MATCH(LM$3,'Standards for Conversions'!$A$47:$A$73,0))))</f>
        <v/>
      </c>
      <c r="LR146" s="31" t="str">
        <f>IF(LQ146/(INDEX('Standards for Conversions'!$H$47:$H$73,MATCH(LP$3,'Standards for Conversions'!$A$47:$A$73,0)))=0,"",LQ146/(INDEX('Standards for Conversions'!$H$47:$H$73,MATCH(LP$3,'Standards for Conversions'!$A$47:$A$73,0))))</f>
        <v/>
      </c>
      <c r="LV146" s="31" t="str">
        <f>IF(LU146/(INDEX('Standards for Conversions'!$H$47:$H$73,MATCH(LT$3,'Standards for Conversions'!$A$47:$A$73,0)))=0,"",LU146/(INDEX('Standards for Conversions'!$H$47:$H$73,MATCH(LT$3,'Standards for Conversions'!$A$47:$A$73,0))))</f>
        <v/>
      </c>
      <c r="LY146" s="31" t="str">
        <f>IF(LX146/(INDEX('Standards for Conversions'!$H$47:$H$73,MATCH(LW$3,'Standards for Conversions'!$A$47:$A$73,0)))=0,"",LX146/(INDEX('Standards for Conversions'!$H$47:$H$73,MATCH(LW$3,'Standards for Conversions'!$A$47:$A$73,0))))</f>
        <v/>
      </c>
      <c r="MB146" s="31" t="str">
        <f>IF(MA146/(INDEX('Standards for Conversions'!$H$47:$H$73,MATCH(LZ$3,'Standards for Conversions'!$A$47:$A$73,0)))=0,"",MA146/(INDEX('Standards for Conversions'!$H$47:$H$73,MATCH(LZ$3,'Standards for Conversions'!$A$47:$A$73,0))))</f>
        <v/>
      </c>
      <c r="ME146" s="31" t="str">
        <f>IF(MD146/(INDEX('Standards for Conversions'!$H$47:$H$73,MATCH(MC$3,'Standards for Conversions'!$A$47:$A$73,0)))=0,"",MD146/(INDEX('Standards for Conversions'!$H$47:$H$73,MATCH(MC$3,'Standards for Conversions'!$A$47:$A$73,0))))</f>
        <v/>
      </c>
      <c r="MH146" s="31" t="str">
        <f>IF(MG146/(INDEX('Standards for Conversions'!$H$47:$H$73,MATCH(MF$3,'Standards for Conversions'!$A$47:$A$73,0)))=0,"",MG146/(INDEX('Standards for Conversions'!$H$47:$H$73,MATCH(MF$3,'Standards for Conversions'!$A$47:$A$73,0))))</f>
        <v/>
      </c>
      <c r="MK146" s="31" t="str">
        <f>IF(MJ146/(INDEX('Standards for Conversions'!$H$47:$H$73,MATCH(MI$3,'Standards for Conversions'!$A$47:$A$73,0)))=0,"",MJ146/(INDEX('Standards for Conversions'!$H$47:$H$73,MATCH(MI$3,'Standards for Conversions'!$A$47:$A$73,0))))</f>
        <v/>
      </c>
      <c r="MN146" s="31" t="str">
        <f>IF(MM146/(INDEX('Standards for Conversions'!$H$47:$H$73,MATCH(ML$3,'Standards for Conversions'!$A$47:$A$73,0)))=0,"",MM146/(INDEX('Standards for Conversions'!$H$47:$H$73,MATCH(ML$3,'Standards for Conversions'!$A$47:$A$73,0))))</f>
        <v/>
      </c>
      <c r="MR146" s="31" t="str">
        <f>IF(MQ146/(INDEX('Standards for Conversions'!$H$47:$H$73,MATCH(MP$3,'Standards for Conversions'!$A$47:$A$73,0)))=0,"",MQ146/(INDEX('Standards for Conversions'!$H$47:$H$73,MATCH(MP$3,'Standards for Conversions'!$A$47:$A$73,0))))</f>
        <v/>
      </c>
    </row>
    <row r="147" spans="1:373" hidden="1" x14ac:dyDescent="0.3">
      <c r="A147" s="103" t="s">
        <v>311</v>
      </c>
      <c r="B147" s="10" t="s">
        <v>40</v>
      </c>
      <c r="C147" s="7"/>
      <c r="D147" s="7"/>
      <c r="E147" s="31" t="str">
        <f>IF(D147/(INDEX('Standards for Conversions'!$H$34:$H$73,MATCH(C$3,'Standards for Conversions'!$A$34:$A$73,0)))=0,"",D147/(INDEX('Standards for Conversions'!$H$34:$H$73,MATCH(C$3,'Standards for Conversions'!$A$34:$A$73,0))))</f>
        <v/>
      </c>
      <c r="F147" s="10" t="s">
        <v>40</v>
      </c>
      <c r="G147" s="7"/>
      <c r="H147" s="7"/>
      <c r="I147" s="31" t="str">
        <f>IF(H147/(INDEX('Standards for Conversions'!$H$34:$H$73,MATCH(G$3,'Standards for Conversions'!$A$34:$A$73,0)))=0,"",H147/(INDEX('Standards for Conversions'!$H$34:$H$73,MATCH(G$3,'Standards for Conversions'!$A$34:$A$73,0))))</f>
        <v/>
      </c>
      <c r="J147" s="10" t="s">
        <v>40</v>
      </c>
      <c r="K147" s="7"/>
      <c r="L147" s="7"/>
      <c r="M147" s="31" t="str">
        <f>IF(L147/(INDEX('Standards for Conversions'!$H$34:$H$73,MATCH(K$3,'Standards for Conversions'!$A$34:$A$73,0)))=0,"",L147/(INDEX('Standards for Conversions'!$H$34:$H$73,MATCH(K$3,'Standards for Conversions'!$A$34:$A$73,0))))</f>
        <v/>
      </c>
      <c r="N147" s="10" t="s">
        <v>40</v>
      </c>
      <c r="O147" s="7"/>
      <c r="P147" s="7"/>
      <c r="Q147" s="31" t="str">
        <f>IF(P147/(INDEX('Standards for Conversions'!$H$34:$H$73,MATCH(O$3,'Standards for Conversions'!$A$34:$A$73,0)))=0,"",P147/(INDEX('Standards for Conversions'!$H$34:$H$73,MATCH(O$3,'Standards for Conversions'!$A$34:$A$73,0))))</f>
        <v/>
      </c>
      <c r="R147" s="10" t="s">
        <v>40</v>
      </c>
      <c r="S147" s="7"/>
      <c r="T147" s="7"/>
      <c r="U147" s="31" t="str">
        <f>IF(T147/(INDEX('Standards for Conversions'!$H$34:$H$73,MATCH(S$3,'Standards for Conversions'!$A$34:$A$73,0)))=0,"",T147/(INDEX('Standards for Conversions'!$H$34:$H$73,MATCH(S$3,'Standards for Conversions'!$A$34:$A$73,0))))</f>
        <v/>
      </c>
      <c r="V147" s="10" t="s">
        <v>40</v>
      </c>
      <c r="W147" s="7"/>
      <c r="X147" s="7"/>
      <c r="Y147" s="31" t="str">
        <f>IF(X147/(INDEX('Standards for Conversions'!$H$34:$H$73,MATCH(W$3,'Standards for Conversions'!$A$34:$A$73,0)))=0,"",X147/(INDEX('Standards for Conversions'!$H$34:$H$73,MATCH(W$3,'Standards for Conversions'!$A$34:$A$73,0))))</f>
        <v/>
      </c>
      <c r="Z147" s="10" t="s">
        <v>40</v>
      </c>
      <c r="AA147" s="7"/>
      <c r="AB147" s="7"/>
      <c r="AC147" s="31" t="str">
        <f>IF(AB147/(INDEX('Standards for Conversions'!$H$34:$H$73,MATCH(AA$3,'Standards for Conversions'!$A$34:$A$73,0)))=0,"",AB147/(INDEX('Standards for Conversions'!$H$34:$H$73,MATCH(AA$3,'Standards for Conversions'!$A$34:$A$73,0))))</f>
        <v/>
      </c>
      <c r="AD147" s="10" t="s">
        <v>40</v>
      </c>
      <c r="AE147" s="7"/>
      <c r="AF147" s="7"/>
      <c r="AG147" s="31" t="str">
        <f>IF(AF147/(INDEX('Standards for Conversions'!$H$34:$H$73,MATCH(AE$3,'Standards for Conversions'!$A$34:$A$73,0)))=0,"",AF147/(INDEX('Standards for Conversions'!$H$34:$H$73,MATCH(AE$3,'Standards for Conversions'!$A$34:$A$73,0))))</f>
        <v/>
      </c>
      <c r="AH147" s="10" t="s">
        <v>40</v>
      </c>
      <c r="AI147" s="7"/>
      <c r="AJ147" s="7"/>
      <c r="AK147" s="31" t="str">
        <f>IF(AJ147/(INDEX('Standards for Conversions'!$H$34:$H$73,MATCH(AI$3,'Standards for Conversions'!$A$34:$A$73,0)))=0,"",AJ147/(INDEX('Standards for Conversions'!$H$34:$H$73,MATCH(AI$3,'Standards for Conversions'!$A$34:$A$73,0))))</f>
        <v/>
      </c>
      <c r="AL147" s="10" t="s">
        <v>40</v>
      </c>
      <c r="AM147" s="7"/>
      <c r="AN147" s="7"/>
      <c r="AO147" s="31" t="str">
        <f>IF(AN147/(INDEX('Standards for Conversions'!$H$34:$H$73,MATCH(AM$3,'Standards for Conversions'!$A$34:$A$73,0)))=0,"",AN147/(INDEX('Standards for Conversions'!$H$34:$H$73,MATCH(AM$3,'Standards for Conversions'!$A$34:$A$73,0))))</f>
        <v/>
      </c>
      <c r="AP147" s="10" t="s">
        <v>40</v>
      </c>
      <c r="AQ147" s="7"/>
      <c r="AR147" s="7"/>
      <c r="AS147" s="31" t="str">
        <f>IF(AR147/(INDEX('Standards for Conversions'!$H$34:$H$73,MATCH(AQ$3,'Standards for Conversions'!$A$34:$A$73,0)))=0,"",AR147/(INDEX('Standards for Conversions'!$H$34:$H$73,MATCH(AQ$3,'Standards for Conversions'!$A$34:$A$73,0))))</f>
        <v/>
      </c>
      <c r="AT147" s="10" t="s">
        <v>40</v>
      </c>
      <c r="AU147" s="7"/>
      <c r="AV147" s="7"/>
      <c r="AW147" s="31" t="str">
        <f>IF(AV147/(INDEX('Standards for Conversions'!$H$34:$H$73,MATCH(AU$3,'Standards for Conversions'!$A$34:$A$73,0)))=0,"",AV147/(INDEX('Standards for Conversions'!$H$34:$H$73,MATCH(AU$3,'Standards for Conversions'!$A$34:$A$73,0))))</f>
        <v/>
      </c>
      <c r="AX147" s="10" t="s">
        <v>40</v>
      </c>
      <c r="AY147" s="7"/>
      <c r="AZ147" s="7"/>
      <c r="BA147" s="31" t="str">
        <f>IF(AZ147/(INDEX('Standards for Conversions'!$H$34:$H$73,MATCH(AY$3,'Standards for Conversions'!$A$34:$A$73,0)))=0,"",AZ147/(INDEX('Standards for Conversions'!$H$34:$H$73,MATCH(AY$3,'Standards for Conversions'!$A$34:$A$73,0))))</f>
        <v/>
      </c>
      <c r="BB147" s="10" t="s">
        <v>40</v>
      </c>
      <c r="BC147" s="7"/>
      <c r="BD147" s="7"/>
      <c r="BE147" s="31" t="str">
        <f>IF(BD147/(INDEX('Standards for Conversions'!$H$34:$H$73,MATCH(BC$3,'Standards for Conversions'!$A$34:$A$73,0)))=0,"",BD147/(INDEX('Standards for Conversions'!$H$34:$H$73,MATCH(BC$3,'Standards for Conversions'!$A$34:$A$73,0))))</f>
        <v/>
      </c>
      <c r="BF147" s="10" t="s">
        <v>40</v>
      </c>
      <c r="BG147" s="7"/>
      <c r="BH147" s="7"/>
      <c r="BI147" s="31" t="str">
        <f>IF(BH147/(INDEX('Standards for Conversions'!$H$34:$H$73,MATCH(BG$3,'Standards for Conversions'!$A$34:$A$73,0)))=0,"",BH147/(INDEX('Standards for Conversions'!$H$34:$H$73,MATCH(BG$3,'Standards for Conversions'!$A$34:$A$73,0))))</f>
        <v/>
      </c>
      <c r="BJ147" s="10" t="s">
        <v>40</v>
      </c>
      <c r="BK147" s="7"/>
      <c r="BL147" s="7"/>
      <c r="BM147" s="31" t="str">
        <f>IF(BL147/(INDEX('Standards for Conversions'!$H$34:$H$73,MATCH(BK$3,'Standards for Conversions'!$A$34:$A$73,0)))=0,"",BL147/(INDEX('Standards for Conversions'!$H$34:$H$73,MATCH(BK$3,'Standards for Conversions'!$A$34:$A$73,0))))</f>
        <v/>
      </c>
      <c r="BN147" s="10" t="s">
        <v>40</v>
      </c>
      <c r="BO147" s="7"/>
      <c r="BP147" s="7"/>
      <c r="BQ147" s="31" t="str">
        <f>IF(BP147/(INDEX('Standards for Conversions'!$H$34:$H$73,MATCH(BO$3,'Standards for Conversions'!$A$34:$A$73,0)))=0,"",BP147/(INDEX('Standards for Conversions'!$H$34:$H$73,MATCH(BO$3,'Standards for Conversions'!$A$34:$A$73,0))))</f>
        <v/>
      </c>
      <c r="BR147" s="10" t="s">
        <v>40</v>
      </c>
      <c r="BS147" s="7"/>
      <c r="BT147" s="7"/>
      <c r="BU147" s="31" t="str">
        <f>IF(BT147/(INDEX('Standards for Conversions'!$H$34:$H$73,MATCH(BS$3,'Standards for Conversions'!$A$34:$A$73,0)))=0,"",BT147/(INDEX('Standards for Conversions'!$H$34:$H$73,MATCH(BS$3,'Standards for Conversions'!$A$34:$A$73,0))))</f>
        <v/>
      </c>
      <c r="BV147" s="10" t="s">
        <v>40</v>
      </c>
      <c r="BW147" s="7"/>
      <c r="BX147" s="7"/>
      <c r="BY147" s="31" t="str">
        <f>IF(BX147/(INDEX('Standards for Conversions'!$H$34:$H$73,MATCH(BW$3,'Standards for Conversions'!$A$34:$A$73,0)))=0,"",BX147/(INDEX('Standards for Conversions'!$H$34:$H$73,MATCH(BW$3,'Standards for Conversions'!$A$34:$A$73,0))))</f>
        <v/>
      </c>
      <c r="BZ147" s="10" t="s">
        <v>40</v>
      </c>
      <c r="CA147" s="7"/>
      <c r="CB147" s="7"/>
      <c r="CC147" s="31" t="str">
        <f>IF(CB147/(INDEX('Standards for Conversions'!$H$34:$H$73,MATCH(CA$3,'Standards for Conversions'!$A$34:$A$73,0)))=0,"",CB147/(INDEX('Standards for Conversions'!$H$34:$H$73,MATCH(CA$3,'Standards for Conversions'!$A$34:$A$73,0))))</f>
        <v/>
      </c>
      <c r="CD147" s="10" t="s">
        <v>40</v>
      </c>
      <c r="CE147" s="7"/>
      <c r="CF147" s="7"/>
      <c r="CG147" s="31" t="str">
        <f>IF(CF147/(INDEX('Standards for Conversions'!$H$34:$H$73,MATCH(CE$3,'Standards for Conversions'!$A$34:$A$73,0)))=0,"",CF147/(INDEX('Standards for Conversions'!$H$34:$H$73,MATCH(CE$3,'Standards for Conversions'!$A$34:$A$73,0))))</f>
        <v/>
      </c>
      <c r="CH147" s="10" t="s">
        <v>40</v>
      </c>
      <c r="CI147" s="7"/>
      <c r="CJ147" s="7"/>
      <c r="CK147" s="31" t="str">
        <f>IF(CJ147/(INDEX('Standards for Conversions'!$H$34:$H$73,MATCH(CI$3,'Standards for Conversions'!$A$34:$A$73,0)))=0,"",CJ147/(INDEX('Standards for Conversions'!$H$34:$H$73,MATCH(CI$3,'Standards for Conversions'!$A$34:$A$73,0))))</f>
        <v/>
      </c>
      <c r="CL147" s="10" t="s">
        <v>40</v>
      </c>
      <c r="CM147" s="7"/>
      <c r="CN147" s="7"/>
      <c r="CO147" s="31" t="str">
        <f>IF(CN147/(INDEX('Standards for Conversions'!$H$34:$H$73,MATCH(CM$3,'Standards for Conversions'!$A$34:$A$73,0)))=0,"",CN147/(INDEX('Standards for Conversions'!$H$34:$H$73,MATCH(CM$3,'Standards for Conversions'!$A$34:$A$73,0))))</f>
        <v/>
      </c>
      <c r="CP147" s="10" t="s">
        <v>40</v>
      </c>
      <c r="CQ147" s="7"/>
      <c r="CR147" s="7"/>
      <c r="CS147" s="31" t="str">
        <f>IF(CR147/(INDEX('Standards for Conversions'!$H$34:$H$73,MATCH(CQ$3,'Standards for Conversions'!$A$34:$A$73,0)))=0,"",CR147/(INDEX('Standards for Conversions'!$H$34:$H$73,MATCH(CQ$3,'Standards for Conversions'!$A$34:$A$73,0))))</f>
        <v/>
      </c>
      <c r="CT147" s="10" t="s">
        <v>40</v>
      </c>
      <c r="CU147" s="7"/>
      <c r="CV147" s="7"/>
      <c r="CW147" s="31" t="str">
        <f>IF(CV147/(INDEX('Standards for Conversions'!$H$34:$H$73,MATCH(CU$3,'Standards for Conversions'!$A$34:$A$73,0)))=0,"",CV147/(INDEX('Standards for Conversions'!$H$34:$H$73,MATCH(CU$3,'Standards for Conversions'!$A$34:$A$73,0))))</f>
        <v/>
      </c>
      <c r="CX147" s="10" t="s">
        <v>40</v>
      </c>
      <c r="CY147" s="7"/>
      <c r="CZ147" s="7"/>
      <c r="DA147" s="31" t="str">
        <f>IF(CZ147/(INDEX('Standards for Conversions'!$H$34:$H$73,MATCH(CY$3,'Standards for Conversions'!$A$34:$A$73,0)))=0,"",CZ147/(INDEX('Standards for Conversions'!$H$34:$H$73,MATCH(CY$3,'Standards for Conversions'!$A$34:$A$73,0))))</f>
        <v/>
      </c>
      <c r="DB147" s="10" t="s">
        <v>40</v>
      </c>
      <c r="DC147" s="7"/>
      <c r="DD147" s="7"/>
      <c r="DE147" s="31" t="str">
        <f>IF(DD147/(INDEX('Standards for Conversions'!$H$34:$H$73,MATCH(DC$3,'Standards for Conversions'!$A$34:$A$73,0)))=0,"",DD147/(INDEX('Standards for Conversions'!$H$34:$H$73,MATCH(DC$3,'Standards for Conversions'!$A$34:$A$73,0))))</f>
        <v/>
      </c>
      <c r="DF147" s="10" t="s">
        <v>40</v>
      </c>
      <c r="DG147" s="7"/>
      <c r="DH147" s="7"/>
      <c r="DI147" s="31" t="str">
        <f>IF(DH147/(INDEX('Standards for Conversions'!$H$34:$H$73,MATCH(DG$3,'Standards for Conversions'!$A$34:$A$73,0)))=0,"",DH147/(INDEX('Standards for Conversions'!$H$34:$H$73,MATCH(DG$3,'Standards for Conversions'!$A$34:$A$73,0))))</f>
        <v/>
      </c>
      <c r="DJ147" s="10" t="s">
        <v>40</v>
      </c>
      <c r="DK147" s="7"/>
      <c r="DL147" s="7"/>
      <c r="DM147" s="31" t="str">
        <f>IF(DL147/(INDEX('Standards for Conversions'!$H$34:$H$73,MATCH(DK$3,'Standards for Conversions'!$A$34:$A$73,0)))=0,"",DL147/(INDEX('Standards for Conversions'!$H$34:$H$73,MATCH(DK$3,'Standards for Conversions'!$A$34:$A$73,0))))</f>
        <v/>
      </c>
      <c r="DN147" s="10" t="s">
        <v>40</v>
      </c>
      <c r="DO147" s="7"/>
      <c r="DP147" s="7"/>
      <c r="DQ147" s="31" t="str">
        <f>IF(DP147/(INDEX('Standards for Conversions'!$H$34:$H$73,MATCH(DO$3,'Standards for Conversions'!$A$34:$A$73,0)))=0,"",DP147/(INDEX('Standards for Conversions'!$H$34:$H$73,MATCH(DO$3,'Standards for Conversions'!$A$34:$A$73,0))))</f>
        <v/>
      </c>
      <c r="DR147" s="10" t="s">
        <v>40</v>
      </c>
      <c r="DS147" s="7"/>
      <c r="DT147" s="7"/>
      <c r="DU147" s="31" t="str">
        <f>IF(DT147/(INDEX('Standards for Conversions'!$H$34:$H$73,MATCH(DS$3,'Standards for Conversions'!$A$34:$A$73,0)))=0,"",DT147/(INDEX('Standards for Conversions'!$H$34:$H$73,MATCH(DS$3,'Standards for Conversions'!$A$34:$A$73,0))))</f>
        <v/>
      </c>
      <c r="DV147" s="10" t="s">
        <v>40</v>
      </c>
      <c r="DW147" s="7"/>
      <c r="DX147" s="7"/>
      <c r="DY147" s="31" t="str">
        <f>IF(DX147/(INDEX('Standards for Conversions'!$H$34:$H$73,MATCH(DW$3,'Standards for Conversions'!$A$34:$A$73,0)))=0,"",DX147/(INDEX('Standards for Conversions'!$H$34:$H$73,MATCH(DW$3,'Standards for Conversions'!$A$34:$A$73,0))))</f>
        <v/>
      </c>
      <c r="DZ147" s="10" t="s">
        <v>40</v>
      </c>
      <c r="EA147" s="7"/>
      <c r="EB147" s="7"/>
      <c r="EC147" s="31" t="str">
        <f>IF(EB147/(INDEX('Standards for Conversions'!$H$34:$H$73,MATCH(EA$3,'Standards for Conversions'!$A$34:$A$73,0)))=0,"",EB147/(INDEX('Standards for Conversions'!$H$34:$H$73,MATCH(EA$3,'Standards for Conversions'!$A$34:$A$73,0))))</f>
        <v/>
      </c>
      <c r="ED147" s="10" t="s">
        <v>40</v>
      </c>
      <c r="EE147" s="7"/>
      <c r="EF147" s="7"/>
      <c r="EG147" s="31" t="str">
        <f>IF(EF147/(INDEX('Standards for Conversions'!$H$34:$H$73,MATCH(EE$3,'Standards for Conversions'!$A$34:$A$73,0)))=0,"",EF147/(INDEX('Standards for Conversions'!$H$34:$H$73,MATCH(EE$3,'Standards for Conversions'!$A$34:$A$73,0))))</f>
        <v/>
      </c>
      <c r="EH147" s="10" t="s">
        <v>40</v>
      </c>
      <c r="EI147" s="7"/>
      <c r="EJ147" s="7"/>
      <c r="EK147" s="31" t="str">
        <f>IF(EJ147/(INDEX('Standards for Conversions'!$H$34:$H$73,MATCH(EI$3,'Standards for Conversions'!$A$34:$A$73,0)))=0,"",EJ147/(INDEX('Standards for Conversions'!$H$34:$H$73,MATCH(EI$3,'Standards for Conversions'!$A$34:$A$73,0))))</f>
        <v/>
      </c>
      <c r="EL147" s="10" t="s">
        <v>40</v>
      </c>
      <c r="EM147" s="7"/>
      <c r="EN147" s="7"/>
      <c r="EO147" s="31" t="str">
        <f>IF(EN147/(INDEX('Standards for Conversions'!$H$34:$H$73,MATCH(EM$3,'Standards for Conversions'!$A$34:$A$73,0)))=0,"",EN147/(INDEX('Standards for Conversions'!$H$34:$H$73,MATCH(EM$3,'Standards for Conversions'!$A$34:$A$73,0))))</f>
        <v/>
      </c>
      <c r="EP147" s="10" t="s">
        <v>40</v>
      </c>
      <c r="EQ147" s="7"/>
      <c r="ER147" s="7"/>
      <c r="ES147" s="31" t="str">
        <f>IF(ER147/(INDEX('Standards for Conversions'!$H$34:$H$73,MATCH(EQ$3,'Standards for Conversions'!$A$34:$A$73,0)))=0,"",ER147/(INDEX('Standards for Conversions'!$H$34:$H$73,MATCH(EQ$3,'Standards for Conversions'!$A$34:$A$73,0))))</f>
        <v/>
      </c>
      <c r="ET147" s="10" t="s">
        <v>40</v>
      </c>
      <c r="EU147" s="7"/>
      <c r="EV147" s="7"/>
      <c r="EW147" s="31" t="str">
        <f>IF(EV147/(INDEX('Standards for Conversions'!$H$34:$H$73,MATCH(EU$3,'Standards for Conversions'!$A$34:$A$73,0)))=0,"",EV147/(INDEX('Standards for Conversions'!$H$34:$H$73,MATCH(EU$3,'Standards for Conversions'!$A$34:$A$73,0))))</f>
        <v/>
      </c>
      <c r="EX147" s="10" t="s">
        <v>40</v>
      </c>
      <c r="EY147" s="9"/>
      <c r="EZ147" s="9"/>
      <c r="FA147" s="31" t="str">
        <f>IF(EZ147/(INDEX('Standards for Conversions'!$H$34:$H$73,MATCH(EY$3,'Standards for Conversions'!$A$34:$A$73,0)))=0,"",EZ147/(INDEX('Standards for Conversions'!$H$34:$H$73,MATCH(EY$3,'Standards for Conversions'!$A$34:$A$73,0))))</f>
        <v/>
      </c>
      <c r="FB147" s="10" t="s">
        <v>40</v>
      </c>
      <c r="FC147" s="7"/>
      <c r="FD147" s="7"/>
      <c r="FE147" s="31" t="str">
        <f>IF(FD147/(INDEX('Standards for Conversions'!$H$34:$H$73,MATCH(FC$3,'Standards for Conversions'!$A$34:$A$73,0)))=0,"",FD147/(INDEX('Standards for Conversions'!$H$34:$H$73,MATCH(FC$3,'Standards for Conversions'!$A$34:$A$73,0))))</f>
        <v/>
      </c>
      <c r="FF147" s="10" t="s">
        <v>40</v>
      </c>
      <c r="FG147" s="7"/>
      <c r="FH147" s="7"/>
      <c r="FI147" s="31" t="str">
        <f>IF(FH147/(INDEX('Standards for Conversions'!$H$34:$H$73,MATCH(FG$3,'Standards for Conversions'!$A$34:$A$73,0)))=0,"",FH147/(INDEX('Standards for Conversions'!$H$34:$H$73,MATCH(FG$3,'Standards for Conversions'!$A$34:$A$73,0))))</f>
        <v/>
      </c>
      <c r="FJ147" s="10" t="s">
        <v>40</v>
      </c>
      <c r="FK147" s="7"/>
      <c r="FL147" s="7"/>
      <c r="FM147" s="31" t="str">
        <f>IF(FL147/(INDEX('Standards for Conversions'!$H$34:$H$73,MATCH(FK$3,'Standards for Conversions'!$A$34:$A$73,0)))=0,"",FL147/(INDEX('Standards for Conversions'!$H$34:$H$73,MATCH(FK$3,'Standards for Conversions'!$A$34:$A$73,0))))</f>
        <v/>
      </c>
      <c r="FN147" s="10" t="s">
        <v>40</v>
      </c>
      <c r="FO147" s="9"/>
      <c r="FP147" s="9"/>
      <c r="FQ147" s="31" t="str">
        <f>IF(FP147/(INDEX('Standards for Conversions'!$H$34:$H$73,MATCH(FO$3,'Standards for Conversions'!$A$34:$A$73,0)))=0,"",FP147/(INDEX('Standards for Conversions'!$H$34:$H$73,MATCH(FO$3,'Standards for Conversions'!$A$34:$A$73,0))))</f>
        <v/>
      </c>
      <c r="FR147" s="10" t="s">
        <v>40</v>
      </c>
      <c r="FS147" s="7"/>
      <c r="FT147" s="7"/>
      <c r="FU147" s="31" t="str">
        <f>IF(FT147/(INDEX('Standards for Conversions'!$H$34:$H$73,MATCH(FS$3,'Standards for Conversions'!$A$34:$A$73,0)))=0,"",FT147/(INDEX('Standards for Conversions'!$H$34:$H$73,MATCH(FS$3,'Standards for Conversions'!$A$34:$A$73,0))))</f>
        <v/>
      </c>
      <c r="FV147" s="10" t="s">
        <v>40</v>
      </c>
      <c r="FW147" s="7"/>
      <c r="FX147" s="7"/>
      <c r="FY147" s="31" t="str">
        <f>IF(FX147/(INDEX('Standards for Conversions'!$H$34:$H$73,MATCH(FW$3,'Standards for Conversions'!$A$34:$A$73,0)))=0,"",FX147/(INDEX('Standards for Conversions'!$H$34:$H$73,MATCH(FW$3,'Standards for Conversions'!$A$34:$A$73,0))))</f>
        <v/>
      </c>
      <c r="FZ147" s="10" t="s">
        <v>40</v>
      </c>
      <c r="GA147" s="7"/>
      <c r="GB147" s="7"/>
      <c r="GC147" s="31" t="str">
        <f>IF(GB147/(INDEX('Standards for Conversions'!$H$34:$H$73,MATCH(GA$3,'Standards for Conversions'!$A$34:$A$73,0)))=0,"",GB147/(INDEX('Standards for Conversions'!$H$34:$H$73,MATCH(GA$3,'Standards for Conversions'!$A$34:$A$73,0))))</f>
        <v/>
      </c>
      <c r="GD147" s="10" t="s">
        <v>40</v>
      </c>
      <c r="GE147" s="9"/>
      <c r="GF147" s="9"/>
      <c r="GG147" s="31" t="str">
        <f>IF(GF147/(INDEX('Standards for Conversions'!$H$34:$H$73,MATCH(GE$3,'Standards for Conversions'!$A$34:$A$73,0)))=0,"",GF147/(INDEX('Standards for Conversions'!$H$34:$H$73,MATCH(GE$3,'Standards for Conversions'!$A$34:$A$73,0))))</f>
        <v/>
      </c>
      <c r="GH147" s="10" t="s">
        <v>40</v>
      </c>
      <c r="GI147" s="7"/>
      <c r="GJ147" s="7"/>
      <c r="GK147" s="31" t="str">
        <f>IF(GJ147/(INDEX('Standards for Conversions'!$H$34:$H$73,MATCH(GI$3,'Standards for Conversions'!$A$34:$A$73,0)))=0,"",GJ147/(INDEX('Standards for Conversions'!$H$34:$H$73,MATCH(GI$3,'Standards for Conversions'!$A$34:$A$73,0))))</f>
        <v/>
      </c>
      <c r="GL147" s="10" t="s">
        <v>40</v>
      </c>
      <c r="GM147" s="7"/>
      <c r="GN147" s="7"/>
      <c r="GO147" s="31" t="str">
        <f>IF(GN147/(INDEX('Standards for Conversions'!$H$34:$H$73,MATCH(GM$3,'Standards for Conversions'!$A$34:$A$73,0)))=0,"",GN147/(INDEX('Standards for Conversions'!$H$34:$H$73,MATCH(GM$3,'Standards for Conversions'!$A$34:$A$73,0))))</f>
        <v/>
      </c>
      <c r="GP147" s="10" t="s">
        <v>40</v>
      </c>
      <c r="GQ147" s="7"/>
      <c r="GR147" s="7"/>
      <c r="GS147" s="31" t="str">
        <f>IF(GR147/(INDEX('Standards for Conversions'!$H$34:$H$73,MATCH(GQ$3,'Standards for Conversions'!$A$34:$A$73,0)))=0,"",GR147/(INDEX('Standards for Conversions'!$H$34:$H$73,MATCH(GQ$3,'Standards for Conversions'!$A$34:$A$73,0))))</f>
        <v/>
      </c>
      <c r="GT147" s="10" t="s">
        <v>40</v>
      </c>
      <c r="GU147" s="9"/>
      <c r="GV147" s="9"/>
      <c r="GW147" s="31" t="str">
        <f>IF(GV147/(INDEX('Standards for Conversions'!$H$34:$H$73,MATCH(GU$3,'Standards for Conversions'!$A$34:$A$73,0)))=0,"",GV147/(INDEX('Standards for Conversions'!$H$34:$H$73,MATCH(GU$3,'Standards for Conversions'!$A$34:$A$73,0))))</f>
        <v/>
      </c>
      <c r="GX147" s="10" t="s">
        <v>40</v>
      </c>
      <c r="GY147" s="7"/>
      <c r="GZ147" s="7"/>
      <c r="HA147" s="31" t="str">
        <f>IF(GZ147/(INDEX('Standards for Conversions'!$H$34:$H$73,MATCH(GY$3,'Standards for Conversions'!$A$34:$A$73,0)))=0,"",GZ147/(INDEX('Standards for Conversions'!$H$34:$H$73,MATCH(GY$3,'Standards for Conversions'!$A$34:$A$73,0))))</f>
        <v/>
      </c>
      <c r="HB147" s="10" t="s">
        <v>40</v>
      </c>
      <c r="HC147" s="7"/>
      <c r="HD147" s="7"/>
      <c r="HE147" s="31" t="str">
        <f>IF(HD147/(INDEX('Standards for Conversions'!$H$34:$H$73,MATCH(HC$3,'Standards for Conversions'!$A$34:$A$73,0)))=0,"",HD147/(INDEX('Standards for Conversions'!$H$34:$H$73,MATCH(HC$3,'Standards for Conversions'!$A$34:$A$73,0))))</f>
        <v/>
      </c>
      <c r="HF147" s="10" t="s">
        <v>40</v>
      </c>
      <c r="HG147" s="7"/>
      <c r="HH147" s="7"/>
      <c r="HI147" s="31" t="str">
        <f>IF(HH147/(INDEX('Standards for Conversions'!$H$34:$H$73,MATCH(HG$3,'Standards for Conversions'!$A$34:$A$73,0)))=0,"",HH147/(INDEX('Standards for Conversions'!$H$34:$H$73,MATCH(HG$3,'Standards for Conversions'!$A$34:$A$73,0))))</f>
        <v/>
      </c>
      <c r="HJ147" s="10" t="s">
        <v>40</v>
      </c>
      <c r="HK147" s="9"/>
      <c r="HL147" s="9"/>
      <c r="HM147" s="31" t="str">
        <f>IF(HL147/(INDEX('Standards for Conversions'!$H$34:$H$73,MATCH(HK$3,'Standards for Conversions'!$A$34:$A$73,0)))=0,"",HL147/(INDEX('Standards for Conversions'!$H$34:$H$73,MATCH(HK$3,'Standards for Conversions'!$A$34:$A$73,0))))</f>
        <v/>
      </c>
      <c r="HN147" s="10" t="s">
        <v>40</v>
      </c>
      <c r="HO147" s="7"/>
      <c r="HP147" s="7"/>
      <c r="HQ147" s="31" t="str">
        <f>IF(HP147/(INDEX('Standards for Conversions'!$H$34:$H$73,MATCH(HO$3,'Standards for Conversions'!$A$34:$A$73,0)))=0,"",HP147/(INDEX('Standards for Conversions'!$H$34:$H$73,MATCH(HO$3,'Standards for Conversions'!$A$34:$A$73,0))))</f>
        <v/>
      </c>
      <c r="HR147" s="33" t="s">
        <v>40</v>
      </c>
      <c r="HU147" s="31" t="str">
        <f>IF(HT147/(INDEX('Standards for Conversions'!$H$47:$H$73,MATCH(HS$3,'Standards for Conversions'!$A$47:$A$73,0)))=0,"",HT147/(INDEX('Standards for Conversions'!$H$47:$H$73,MATCH(HS$3,'Standards for Conversions'!$A$47:$A$73,0))))</f>
        <v/>
      </c>
      <c r="HV147" s="33" t="s">
        <v>40</v>
      </c>
      <c r="HW147" s="29">
        <v>25</v>
      </c>
      <c r="HX147" s="29">
        <v>3000</v>
      </c>
      <c r="HY147" s="31">
        <f>IF(HX147/(INDEX('Standards for Conversions'!$H$47:$H$73,MATCH(HW$3,'Standards for Conversions'!$A$47:$A$73,0)))=0,"",HX147/(INDEX('Standards for Conversions'!$H$47:$H$73,MATCH(HW$3,'Standards for Conversions'!$A$47:$A$73,0))))</f>
        <v>435.7362366385679</v>
      </c>
      <c r="HZ147" s="33"/>
      <c r="IA147" s="33"/>
      <c r="IB147" s="31" t="str">
        <f>IF(IA147/(INDEX('Standards for Conversions'!$H$47:$H$73,MATCH(HZ$3,'Standards for Conversions'!$A$47:$A$73,0)))=0,"",IA147/(INDEX('Standards for Conversions'!$H$47:$H$73,MATCH(HZ$3,'Standards for Conversions'!$A$47:$A$73,0))))</f>
        <v/>
      </c>
      <c r="IC147" s="33" t="s">
        <v>40</v>
      </c>
      <c r="ID147" s="29">
        <v>50</v>
      </c>
      <c r="IE147" s="29">
        <v>7500</v>
      </c>
      <c r="IF147" s="31">
        <f>IF(IE147/(INDEX('Standards for Conversions'!$H$47:$H$73,MATCH(ID$3,'Standards for Conversions'!$A$47:$A$73,0)))=0,"",IE147/(INDEX('Standards for Conversions'!$H$47:$H$73,MATCH(ID$3,'Standards for Conversions'!$A$47:$A$73,0))))</f>
        <v>1089.3405915964197</v>
      </c>
      <c r="IG147" s="33" t="s">
        <v>40</v>
      </c>
      <c r="IJ147" s="31" t="str">
        <f>IF(II147/(INDEX('Standards for Conversions'!$H$47:$H$73,MATCH(IH$3,'Standards for Conversions'!$A$47:$A$73,0)))=0,"",II147/(INDEX('Standards for Conversions'!$H$47:$H$73,MATCH(IH$3,'Standards for Conversions'!$A$47:$A$73,0))))</f>
        <v/>
      </c>
      <c r="IK147" s="33" t="s">
        <v>40</v>
      </c>
      <c r="IL147" s="29">
        <v>10</v>
      </c>
      <c r="IM147" s="29">
        <v>1000</v>
      </c>
      <c r="IN147" s="31">
        <f>IF(IM147/(INDEX('Standards for Conversions'!$H$47:$H$73,MATCH(IL$3,'Standards for Conversions'!$A$47:$A$73,0)))=0,"",IM147/(INDEX('Standards for Conversions'!$H$47:$H$73,MATCH(IL$3,'Standards for Conversions'!$A$47:$A$73,0))))</f>
        <v>144.61022819443235</v>
      </c>
      <c r="IO147" s="33" t="s">
        <v>40</v>
      </c>
      <c r="IR147" s="31" t="str">
        <f>IF(IQ147/(INDEX('Standards for Conversions'!$H$47:$H$73,MATCH(IP$3,'Standards for Conversions'!$A$47:$A$73,0)))=0,"",IQ147/(INDEX('Standards for Conversions'!$H$47:$H$73,MATCH(IP$3,'Standards for Conversions'!$A$47:$A$73,0))))</f>
        <v/>
      </c>
      <c r="IS147" s="33" t="s">
        <v>40</v>
      </c>
      <c r="IT147" s="29">
        <v>60</v>
      </c>
      <c r="IU147" s="29">
        <v>8000</v>
      </c>
      <c r="IV147" s="31">
        <f>IF(IU147/(INDEX('Standards for Conversions'!$H$47:$H$73,MATCH(IT$3,'Standards for Conversions'!$A$47:$A$73,0)))=0,"",IU147/(INDEX('Standards for Conversions'!$H$47:$H$73,MATCH(IT$3,'Standards for Conversions'!$A$47:$A$73,0))))</f>
        <v>1156.8818255554588</v>
      </c>
      <c r="IW147" s="33" t="s">
        <v>40</v>
      </c>
      <c r="IZ147" s="31" t="str">
        <f>IF(IY147/(INDEX('Standards for Conversions'!$H$47:$H$73,MATCH(IX$3,'Standards for Conversions'!$A$47:$A$73,0)))=0,"",IY147/(INDEX('Standards for Conversions'!$H$47:$H$73,MATCH(IX$3,'Standards for Conversions'!$A$47:$A$73,0))))</f>
        <v/>
      </c>
      <c r="JA147" s="33" t="s">
        <v>40</v>
      </c>
      <c r="JB147" s="29">
        <v>5</v>
      </c>
      <c r="JC147" s="29">
        <v>500</v>
      </c>
      <c r="JD147" s="31">
        <f>IF(JC147/(INDEX('Standards for Conversions'!$H$47:$H$73,MATCH(JB$3,'Standards for Conversions'!$A$47:$A$73,0)))=0,"",JC147/(INDEX('Standards for Conversions'!$H$47:$H$73,MATCH(JB$3,'Standards for Conversions'!$A$47:$A$73,0))))</f>
        <v>80.880098345934343</v>
      </c>
      <c r="JE147" s="33" t="s">
        <v>40</v>
      </c>
      <c r="JH147" s="31" t="str">
        <f>IF(JG147/(INDEX('Standards for Conversions'!$H$47:$H$73,MATCH(JF$3,'Standards for Conversions'!$A$47:$A$73,0)))=0,"",JG147/(INDEX('Standards for Conversions'!$H$47:$H$73,MATCH(JF$3,'Standards for Conversions'!$A$47:$A$73,0))))</f>
        <v/>
      </c>
      <c r="JI147" s="48" t="s">
        <v>40</v>
      </c>
      <c r="JJ147" s="29">
        <v>50</v>
      </c>
      <c r="JK147" s="29">
        <v>7000</v>
      </c>
      <c r="JL147" s="31">
        <f>IF(JK147/(INDEX('Standards for Conversions'!$H$47:$H$73,MATCH(JJ$3,'Standards for Conversions'!$A$47:$A$73,0)))=0,"",JK147/(INDEX('Standards for Conversions'!$H$47:$H$73,MATCH(JJ$3,'Standards for Conversions'!$A$47:$A$73,0))))</f>
        <v>1132.3213768430808</v>
      </c>
      <c r="JM147" s="33" t="s">
        <v>40</v>
      </c>
      <c r="JP147" s="31" t="str">
        <f>IF(JO147/(INDEX('Standards for Conversions'!$H$47:$H$73,MATCH(JN$3,'Standards for Conversions'!$A$47:$A$73,0)))=0,"",JO147/(INDEX('Standards for Conversions'!$H$47:$H$73,MATCH(JN$3,'Standards for Conversions'!$A$47:$A$73,0))))</f>
        <v/>
      </c>
      <c r="JQ147" s="33" t="s">
        <v>40</v>
      </c>
      <c r="JR147" s="29">
        <v>6</v>
      </c>
      <c r="JS147" s="29">
        <v>500</v>
      </c>
      <c r="JT147" s="31">
        <f>IF(JS147/(INDEX('Standards for Conversions'!$H$47:$H$73,MATCH(JR$3,'Standards for Conversions'!$A$47:$A$73,0)))=0,"",JS147/(INDEX('Standards for Conversions'!$H$47:$H$73,MATCH(JR$3,'Standards for Conversions'!$A$47:$A$73,0))))</f>
        <v>76.327946213898784</v>
      </c>
      <c r="JU147" s="33" t="s">
        <v>40</v>
      </c>
      <c r="JX147" s="31" t="str">
        <f>IF(JW147/(INDEX('Standards for Conversions'!$H$47:$H$73,MATCH(JV$3,'Standards for Conversions'!$A$47:$A$73,0)))=0,"",JW147/(INDEX('Standards for Conversions'!$H$47:$H$73,MATCH(JV$3,'Standards for Conversions'!$A$47:$A$73,0))))</f>
        <v/>
      </c>
      <c r="JY147" s="33" t="s">
        <v>40</v>
      </c>
      <c r="JZ147" s="29">
        <v>70</v>
      </c>
      <c r="KA147" s="29">
        <v>8000</v>
      </c>
      <c r="KB147" s="31">
        <f>IF(KA147/(INDEX('Standards for Conversions'!$H$47:$H$73,MATCH(JZ$3,'Standards for Conversions'!$A$47:$A$73,0)))=0,"",KA147/(INDEX('Standards for Conversions'!$H$47:$H$73,MATCH(JZ$3,'Standards for Conversions'!$A$47:$A$73,0))))</f>
        <v>1221.2471394223805</v>
      </c>
      <c r="KC147" s="33" t="s">
        <v>40</v>
      </c>
      <c r="KF147" s="31" t="str">
        <f>IF(KE147/(INDEX('Standards for Conversions'!$H$47:$H$73,MATCH(KD$3,'Standards for Conversions'!$A$47:$A$73,0)))=0,"",KE147/(INDEX('Standards for Conversions'!$H$47:$H$73,MATCH(KD$3,'Standards for Conversions'!$A$47:$A$73,0))))</f>
        <v/>
      </c>
      <c r="KG147" s="33" t="s">
        <v>40</v>
      </c>
      <c r="KH147" s="29">
        <v>5</v>
      </c>
      <c r="KI147" s="29">
        <v>400</v>
      </c>
      <c r="KJ147" s="31">
        <f>IF(KI147/(INDEX('Standards for Conversions'!$H$47:$H$73,MATCH(KH$3,'Standards for Conversions'!$A$47:$A$73,0)))=0,"",KI147/(INDEX('Standards for Conversions'!$H$47:$H$73,MATCH(KH$3,'Standards for Conversions'!$A$47:$A$73,0))))</f>
        <v>53.863604762318587</v>
      </c>
      <c r="KK147" s="33" t="s">
        <v>40</v>
      </c>
      <c r="KN147" s="31" t="str">
        <f>IF(KM147/(INDEX('Standards for Conversions'!$H$47:$H$73,MATCH(KL$3,'Standards for Conversions'!$A$47:$A$73,0)))=0,"",KM147/(INDEX('Standards for Conversions'!$H$47:$H$73,MATCH(KL$3,'Standards for Conversions'!$A$47:$A$73,0))))</f>
        <v/>
      </c>
      <c r="KO147" s="33" t="s">
        <v>40</v>
      </c>
      <c r="KP147" s="29">
        <v>100</v>
      </c>
      <c r="KQ147" s="29">
        <v>10000</v>
      </c>
      <c r="KR147" s="31">
        <f>IF(KQ147/(INDEX('Standards for Conversions'!$H$47:$H$73,MATCH(KP$3,'Standards for Conversions'!$A$47:$A$73,0)))=0,"",KQ147/(INDEX('Standards for Conversions'!$H$47:$H$73,MATCH(KP$3,'Standards for Conversions'!$A$47:$A$73,0))))</f>
        <v>1346.5901190579646</v>
      </c>
      <c r="KS147" s="33" t="s">
        <v>40</v>
      </c>
      <c r="KV147" s="31" t="str">
        <f>IF(KU147/(INDEX('Standards for Conversions'!$H$47:$H$73,MATCH(KT$3,'Standards for Conversions'!$A$47:$A$73,0)))=0,"",KU147/(INDEX('Standards for Conversions'!$H$47:$H$73,MATCH(KT$3,'Standards for Conversions'!$A$47:$A$73,0))))</f>
        <v/>
      </c>
      <c r="KW147" s="33" t="s">
        <v>40</v>
      </c>
      <c r="KX147" s="29">
        <v>2</v>
      </c>
      <c r="KY147" s="29">
        <v>300</v>
      </c>
      <c r="KZ147" s="31">
        <f>IF(KY147/(INDEX('Standards for Conversions'!$H$47:$H$73,MATCH(KX$3,'Standards for Conversions'!$A$47:$A$73,0)))=0,"",KY147/(INDEX('Standards for Conversions'!$H$47:$H$73,MATCH(KX$3,'Standards for Conversions'!$A$47:$A$73,0))))</f>
        <v>36.484970018249754</v>
      </c>
      <c r="LA147" s="33" t="s">
        <v>40</v>
      </c>
      <c r="LD147" s="31" t="str">
        <f>IF(LC147/(INDEX('Standards for Conversions'!$H$47:$H$73,MATCH(LB$3,'Standards for Conversions'!$A$47:$A$73,0)))=0,"",LC147/(INDEX('Standards for Conversions'!$H$47:$H$73,MATCH(LB$3,'Standards for Conversions'!$A$47:$A$73,0))))</f>
        <v/>
      </c>
      <c r="LE147" s="48" t="s">
        <v>40</v>
      </c>
      <c r="LF147" s="29">
        <v>80</v>
      </c>
      <c r="LG147" s="29">
        <v>8000</v>
      </c>
      <c r="LH147" s="31">
        <f>IF(LG147/(INDEX('Standards for Conversions'!$H$47:$H$73,MATCH(LF$3,'Standards for Conversions'!$A$47:$A$73,0)))=0,"",LG147/(INDEX('Standards for Conversions'!$H$47:$H$73,MATCH(LF$3,'Standards for Conversions'!$A$47:$A$73,0))))</f>
        <v>972.93253381999341</v>
      </c>
      <c r="LL147" s="31" t="str">
        <f>IF(LK147/(INDEX('Standards for Conversions'!$H$47:$H$73,MATCH(LJ$3,'Standards for Conversions'!$A$47:$A$73,0)))=0,"",LK147/(INDEX('Standards for Conversions'!$H$47:$H$73,MATCH(LJ$3,'Standards for Conversions'!$A$47:$A$73,0))))</f>
        <v/>
      </c>
      <c r="LO147" s="31" t="str">
        <f>IF(LN147/(INDEX('Standards for Conversions'!$H$47:$H$73,MATCH(LM$3,'Standards for Conversions'!$A$47:$A$73,0)))=0,"",LN147/(INDEX('Standards for Conversions'!$H$47:$H$73,MATCH(LM$3,'Standards for Conversions'!$A$47:$A$73,0))))</f>
        <v/>
      </c>
      <c r="LR147" s="31" t="str">
        <f>IF(LQ147/(INDEX('Standards for Conversions'!$H$47:$H$73,MATCH(LP$3,'Standards for Conversions'!$A$47:$A$73,0)))=0,"",LQ147/(INDEX('Standards for Conversions'!$H$47:$H$73,MATCH(LP$3,'Standards for Conversions'!$A$47:$A$73,0))))</f>
        <v/>
      </c>
      <c r="LV147" s="31" t="str">
        <f>IF(LU147/(INDEX('Standards for Conversions'!$H$47:$H$73,MATCH(LT$3,'Standards for Conversions'!$A$47:$A$73,0)))=0,"",LU147/(INDEX('Standards for Conversions'!$H$47:$H$73,MATCH(LT$3,'Standards for Conversions'!$A$47:$A$73,0))))</f>
        <v/>
      </c>
      <c r="LY147" s="31" t="str">
        <f>IF(LX147/(INDEX('Standards for Conversions'!$H$47:$H$73,MATCH(LW$3,'Standards for Conversions'!$A$47:$A$73,0)))=0,"",LX147/(INDEX('Standards for Conversions'!$H$47:$H$73,MATCH(LW$3,'Standards for Conversions'!$A$47:$A$73,0))))</f>
        <v/>
      </c>
      <c r="MB147" s="31" t="str">
        <f>IF(MA147/(INDEX('Standards for Conversions'!$H$47:$H$73,MATCH(LZ$3,'Standards for Conversions'!$A$47:$A$73,0)))=0,"",MA147/(INDEX('Standards for Conversions'!$H$47:$H$73,MATCH(LZ$3,'Standards for Conversions'!$A$47:$A$73,0))))</f>
        <v/>
      </c>
      <c r="ME147" s="31" t="str">
        <f>IF(MD147/(INDEX('Standards for Conversions'!$H$47:$H$73,MATCH(MC$3,'Standards for Conversions'!$A$47:$A$73,0)))=0,"",MD147/(INDEX('Standards for Conversions'!$H$47:$H$73,MATCH(MC$3,'Standards for Conversions'!$A$47:$A$73,0))))</f>
        <v/>
      </c>
      <c r="MH147" s="31" t="str">
        <f>IF(MG147/(INDEX('Standards for Conversions'!$H$47:$H$73,MATCH(MF$3,'Standards for Conversions'!$A$47:$A$73,0)))=0,"",MG147/(INDEX('Standards for Conversions'!$H$47:$H$73,MATCH(MF$3,'Standards for Conversions'!$A$47:$A$73,0))))</f>
        <v/>
      </c>
      <c r="MK147" s="31" t="str">
        <f>IF(MJ147/(INDEX('Standards for Conversions'!$H$47:$H$73,MATCH(MI$3,'Standards for Conversions'!$A$47:$A$73,0)))=0,"",MJ147/(INDEX('Standards for Conversions'!$H$47:$H$73,MATCH(MI$3,'Standards for Conversions'!$A$47:$A$73,0))))</f>
        <v/>
      </c>
      <c r="MN147" s="31" t="str">
        <f>IF(MM147/(INDEX('Standards for Conversions'!$H$47:$H$73,MATCH(ML$3,'Standards for Conversions'!$A$47:$A$73,0)))=0,"",MM147/(INDEX('Standards for Conversions'!$H$47:$H$73,MATCH(ML$3,'Standards for Conversions'!$A$47:$A$73,0))))</f>
        <v/>
      </c>
      <c r="MR147" s="31" t="str">
        <f>IF(MQ147/(INDEX('Standards for Conversions'!$H$47:$H$73,MATCH(MP$3,'Standards for Conversions'!$A$47:$A$73,0)))=0,"",MQ147/(INDEX('Standards for Conversions'!$H$47:$H$73,MATCH(MP$3,'Standards for Conversions'!$A$47:$A$73,0))))</f>
        <v/>
      </c>
    </row>
    <row r="148" spans="1:373" hidden="1" x14ac:dyDescent="0.3">
      <c r="A148" s="103" t="s">
        <v>312</v>
      </c>
      <c r="B148" s="10" t="s">
        <v>40</v>
      </c>
      <c r="C148" s="7"/>
      <c r="D148" s="7"/>
      <c r="E148" s="31" t="str">
        <f>IF(D148/(INDEX('Standards for Conversions'!$H$34:$H$73,MATCH(C$3,'Standards for Conversions'!$A$34:$A$73,0)))=0,"",D148/(INDEX('Standards for Conversions'!$H$34:$H$73,MATCH(C$3,'Standards for Conversions'!$A$34:$A$73,0))))</f>
        <v/>
      </c>
      <c r="F148" s="10" t="s">
        <v>40</v>
      </c>
      <c r="G148" s="7"/>
      <c r="H148" s="7"/>
      <c r="I148" s="31" t="str">
        <f>IF(H148/(INDEX('Standards for Conversions'!$H$34:$H$73,MATCH(G$3,'Standards for Conversions'!$A$34:$A$73,0)))=0,"",H148/(INDEX('Standards for Conversions'!$H$34:$H$73,MATCH(G$3,'Standards for Conversions'!$A$34:$A$73,0))))</f>
        <v/>
      </c>
      <c r="J148" s="10" t="s">
        <v>40</v>
      </c>
      <c r="K148" s="7"/>
      <c r="L148" s="7"/>
      <c r="M148" s="31" t="str">
        <f>IF(L148/(INDEX('Standards for Conversions'!$H$34:$H$73,MATCH(K$3,'Standards for Conversions'!$A$34:$A$73,0)))=0,"",L148/(INDEX('Standards for Conversions'!$H$34:$H$73,MATCH(K$3,'Standards for Conversions'!$A$34:$A$73,0))))</f>
        <v/>
      </c>
      <c r="N148" s="10" t="s">
        <v>40</v>
      </c>
      <c r="O148" s="7"/>
      <c r="P148" s="7"/>
      <c r="Q148" s="31" t="str">
        <f>IF(P148/(INDEX('Standards for Conversions'!$H$34:$H$73,MATCH(O$3,'Standards for Conversions'!$A$34:$A$73,0)))=0,"",P148/(INDEX('Standards for Conversions'!$H$34:$H$73,MATCH(O$3,'Standards for Conversions'!$A$34:$A$73,0))))</f>
        <v/>
      </c>
      <c r="R148" s="10" t="s">
        <v>40</v>
      </c>
      <c r="S148" s="7"/>
      <c r="T148" s="7"/>
      <c r="U148" s="31" t="str">
        <f>IF(T148/(INDEX('Standards for Conversions'!$H$34:$H$73,MATCH(S$3,'Standards for Conversions'!$A$34:$A$73,0)))=0,"",T148/(INDEX('Standards for Conversions'!$H$34:$H$73,MATCH(S$3,'Standards for Conversions'!$A$34:$A$73,0))))</f>
        <v/>
      </c>
      <c r="V148" s="10" t="s">
        <v>40</v>
      </c>
      <c r="W148" s="7"/>
      <c r="X148" s="7"/>
      <c r="Y148" s="31" t="str">
        <f>IF(X148/(INDEX('Standards for Conversions'!$H$34:$H$73,MATCH(W$3,'Standards for Conversions'!$A$34:$A$73,0)))=0,"",X148/(INDEX('Standards for Conversions'!$H$34:$H$73,MATCH(W$3,'Standards for Conversions'!$A$34:$A$73,0))))</f>
        <v/>
      </c>
      <c r="Z148" s="10" t="s">
        <v>40</v>
      </c>
      <c r="AA148" s="7"/>
      <c r="AB148" s="7"/>
      <c r="AC148" s="31" t="str">
        <f>IF(AB148/(INDEX('Standards for Conversions'!$H$34:$H$73,MATCH(AA$3,'Standards for Conversions'!$A$34:$A$73,0)))=0,"",AB148/(INDEX('Standards for Conversions'!$H$34:$H$73,MATCH(AA$3,'Standards for Conversions'!$A$34:$A$73,0))))</f>
        <v/>
      </c>
      <c r="AD148" s="10" t="s">
        <v>40</v>
      </c>
      <c r="AE148" s="7"/>
      <c r="AF148" s="7"/>
      <c r="AG148" s="31" t="str">
        <f>IF(AF148/(INDEX('Standards for Conversions'!$H$34:$H$73,MATCH(AE$3,'Standards for Conversions'!$A$34:$A$73,0)))=0,"",AF148/(INDEX('Standards for Conversions'!$H$34:$H$73,MATCH(AE$3,'Standards for Conversions'!$A$34:$A$73,0))))</f>
        <v/>
      </c>
      <c r="AH148" s="10" t="s">
        <v>40</v>
      </c>
      <c r="AI148" s="7"/>
      <c r="AJ148" s="7"/>
      <c r="AK148" s="31" t="str">
        <f>IF(AJ148/(INDEX('Standards for Conversions'!$H$34:$H$73,MATCH(AI$3,'Standards for Conversions'!$A$34:$A$73,0)))=0,"",AJ148/(INDEX('Standards for Conversions'!$H$34:$H$73,MATCH(AI$3,'Standards for Conversions'!$A$34:$A$73,0))))</f>
        <v/>
      </c>
      <c r="AL148" s="10" t="s">
        <v>40</v>
      </c>
      <c r="AM148" s="7"/>
      <c r="AN148" s="7"/>
      <c r="AO148" s="31" t="str">
        <f>IF(AN148/(INDEX('Standards for Conversions'!$H$34:$H$73,MATCH(AM$3,'Standards for Conversions'!$A$34:$A$73,0)))=0,"",AN148/(INDEX('Standards for Conversions'!$H$34:$H$73,MATCH(AM$3,'Standards for Conversions'!$A$34:$A$73,0))))</f>
        <v/>
      </c>
      <c r="AP148" s="10" t="s">
        <v>40</v>
      </c>
      <c r="AQ148" s="7"/>
      <c r="AR148" s="7"/>
      <c r="AS148" s="31" t="str">
        <f>IF(AR148/(INDEX('Standards for Conversions'!$H$34:$H$73,MATCH(AQ$3,'Standards for Conversions'!$A$34:$A$73,0)))=0,"",AR148/(INDEX('Standards for Conversions'!$H$34:$H$73,MATCH(AQ$3,'Standards for Conversions'!$A$34:$A$73,0))))</f>
        <v/>
      </c>
      <c r="AT148" s="10" t="s">
        <v>40</v>
      </c>
      <c r="AU148" s="7"/>
      <c r="AV148" s="7"/>
      <c r="AW148" s="31" t="str">
        <f>IF(AV148/(INDEX('Standards for Conversions'!$H$34:$H$73,MATCH(AU$3,'Standards for Conversions'!$A$34:$A$73,0)))=0,"",AV148/(INDEX('Standards for Conversions'!$H$34:$H$73,MATCH(AU$3,'Standards for Conversions'!$A$34:$A$73,0))))</f>
        <v/>
      </c>
      <c r="AX148" s="10" t="s">
        <v>40</v>
      </c>
      <c r="AY148" s="7"/>
      <c r="AZ148" s="7"/>
      <c r="BA148" s="31" t="str">
        <f>IF(AZ148/(INDEX('Standards for Conversions'!$H$34:$H$73,MATCH(AY$3,'Standards for Conversions'!$A$34:$A$73,0)))=0,"",AZ148/(INDEX('Standards for Conversions'!$H$34:$H$73,MATCH(AY$3,'Standards for Conversions'!$A$34:$A$73,0))))</f>
        <v/>
      </c>
      <c r="BB148" s="10" t="s">
        <v>40</v>
      </c>
      <c r="BC148" s="7"/>
      <c r="BD148" s="7"/>
      <c r="BE148" s="31" t="str">
        <f>IF(BD148/(INDEX('Standards for Conversions'!$H$34:$H$73,MATCH(BC$3,'Standards for Conversions'!$A$34:$A$73,0)))=0,"",BD148/(INDEX('Standards for Conversions'!$H$34:$H$73,MATCH(BC$3,'Standards for Conversions'!$A$34:$A$73,0))))</f>
        <v/>
      </c>
      <c r="BF148" s="10" t="s">
        <v>40</v>
      </c>
      <c r="BG148" s="7"/>
      <c r="BH148" s="7"/>
      <c r="BI148" s="31" t="str">
        <f>IF(BH148/(INDEX('Standards for Conversions'!$H$34:$H$73,MATCH(BG$3,'Standards for Conversions'!$A$34:$A$73,0)))=0,"",BH148/(INDEX('Standards for Conversions'!$H$34:$H$73,MATCH(BG$3,'Standards for Conversions'!$A$34:$A$73,0))))</f>
        <v/>
      </c>
      <c r="BJ148" s="10" t="s">
        <v>40</v>
      </c>
      <c r="BK148" s="7"/>
      <c r="BL148" s="7"/>
      <c r="BM148" s="31" t="str">
        <f>IF(BL148/(INDEX('Standards for Conversions'!$H$34:$H$73,MATCH(BK$3,'Standards for Conversions'!$A$34:$A$73,0)))=0,"",BL148/(INDEX('Standards for Conversions'!$H$34:$H$73,MATCH(BK$3,'Standards for Conversions'!$A$34:$A$73,0))))</f>
        <v/>
      </c>
      <c r="BN148" s="10" t="s">
        <v>40</v>
      </c>
      <c r="BO148" s="7"/>
      <c r="BP148" s="7"/>
      <c r="BQ148" s="31" t="str">
        <f>IF(BP148/(INDEX('Standards for Conversions'!$H$34:$H$73,MATCH(BO$3,'Standards for Conversions'!$A$34:$A$73,0)))=0,"",BP148/(INDEX('Standards for Conversions'!$H$34:$H$73,MATCH(BO$3,'Standards for Conversions'!$A$34:$A$73,0))))</f>
        <v/>
      </c>
      <c r="BR148" s="10" t="s">
        <v>40</v>
      </c>
      <c r="BS148" s="7"/>
      <c r="BT148" s="7"/>
      <c r="BU148" s="31" t="str">
        <f>IF(BT148/(INDEX('Standards for Conversions'!$H$34:$H$73,MATCH(BS$3,'Standards for Conversions'!$A$34:$A$73,0)))=0,"",BT148/(INDEX('Standards for Conversions'!$H$34:$H$73,MATCH(BS$3,'Standards for Conversions'!$A$34:$A$73,0))))</f>
        <v/>
      </c>
      <c r="BV148" s="10" t="s">
        <v>40</v>
      </c>
      <c r="BW148" s="7"/>
      <c r="BX148" s="7"/>
      <c r="BY148" s="31" t="str">
        <f>IF(BX148/(INDEX('Standards for Conversions'!$H$34:$H$73,MATCH(BW$3,'Standards for Conversions'!$A$34:$A$73,0)))=0,"",BX148/(INDEX('Standards for Conversions'!$H$34:$H$73,MATCH(BW$3,'Standards for Conversions'!$A$34:$A$73,0))))</f>
        <v/>
      </c>
      <c r="BZ148" s="10" t="s">
        <v>40</v>
      </c>
      <c r="CA148" s="7"/>
      <c r="CB148" s="7"/>
      <c r="CC148" s="31" t="str">
        <f>IF(CB148/(INDEX('Standards for Conversions'!$H$34:$H$73,MATCH(CA$3,'Standards for Conversions'!$A$34:$A$73,0)))=0,"",CB148/(INDEX('Standards for Conversions'!$H$34:$H$73,MATCH(CA$3,'Standards for Conversions'!$A$34:$A$73,0))))</f>
        <v/>
      </c>
      <c r="CD148" s="10" t="s">
        <v>40</v>
      </c>
      <c r="CE148" s="7"/>
      <c r="CF148" s="7"/>
      <c r="CG148" s="31" t="str">
        <f>IF(CF148/(INDEX('Standards for Conversions'!$H$34:$H$73,MATCH(CE$3,'Standards for Conversions'!$A$34:$A$73,0)))=0,"",CF148/(INDEX('Standards for Conversions'!$H$34:$H$73,MATCH(CE$3,'Standards for Conversions'!$A$34:$A$73,0))))</f>
        <v/>
      </c>
      <c r="CH148" s="10" t="s">
        <v>40</v>
      </c>
      <c r="CI148" s="7"/>
      <c r="CJ148" s="7"/>
      <c r="CK148" s="31" t="str">
        <f>IF(CJ148/(INDEX('Standards for Conversions'!$H$34:$H$73,MATCH(CI$3,'Standards for Conversions'!$A$34:$A$73,0)))=0,"",CJ148/(INDEX('Standards for Conversions'!$H$34:$H$73,MATCH(CI$3,'Standards for Conversions'!$A$34:$A$73,0))))</f>
        <v/>
      </c>
      <c r="CL148" s="10" t="s">
        <v>40</v>
      </c>
      <c r="CM148" s="7"/>
      <c r="CN148" s="7"/>
      <c r="CO148" s="31" t="str">
        <f>IF(CN148/(INDEX('Standards for Conversions'!$H$34:$H$73,MATCH(CM$3,'Standards for Conversions'!$A$34:$A$73,0)))=0,"",CN148/(INDEX('Standards for Conversions'!$H$34:$H$73,MATCH(CM$3,'Standards for Conversions'!$A$34:$A$73,0))))</f>
        <v/>
      </c>
      <c r="CP148" s="10" t="s">
        <v>40</v>
      </c>
      <c r="CQ148" s="7"/>
      <c r="CR148" s="7"/>
      <c r="CS148" s="31" t="str">
        <f>IF(CR148/(INDEX('Standards for Conversions'!$H$34:$H$73,MATCH(CQ$3,'Standards for Conversions'!$A$34:$A$73,0)))=0,"",CR148/(INDEX('Standards for Conversions'!$H$34:$H$73,MATCH(CQ$3,'Standards for Conversions'!$A$34:$A$73,0))))</f>
        <v/>
      </c>
      <c r="CT148" s="10" t="s">
        <v>40</v>
      </c>
      <c r="CU148" s="7"/>
      <c r="CV148" s="7"/>
      <c r="CW148" s="31" t="str">
        <f>IF(CV148/(INDEX('Standards for Conversions'!$H$34:$H$73,MATCH(CU$3,'Standards for Conversions'!$A$34:$A$73,0)))=0,"",CV148/(INDEX('Standards for Conversions'!$H$34:$H$73,MATCH(CU$3,'Standards for Conversions'!$A$34:$A$73,0))))</f>
        <v/>
      </c>
      <c r="CX148" s="10" t="s">
        <v>40</v>
      </c>
      <c r="CY148" s="7"/>
      <c r="CZ148" s="7"/>
      <c r="DA148" s="31" t="str">
        <f>IF(CZ148/(INDEX('Standards for Conversions'!$H$34:$H$73,MATCH(CY$3,'Standards for Conversions'!$A$34:$A$73,0)))=0,"",CZ148/(INDEX('Standards for Conversions'!$H$34:$H$73,MATCH(CY$3,'Standards for Conversions'!$A$34:$A$73,0))))</f>
        <v/>
      </c>
      <c r="DB148" s="10" t="s">
        <v>40</v>
      </c>
      <c r="DC148" s="7"/>
      <c r="DD148" s="7"/>
      <c r="DE148" s="31" t="str">
        <f>IF(DD148/(INDEX('Standards for Conversions'!$H$34:$H$73,MATCH(DC$3,'Standards for Conversions'!$A$34:$A$73,0)))=0,"",DD148/(INDEX('Standards for Conversions'!$H$34:$H$73,MATCH(DC$3,'Standards for Conversions'!$A$34:$A$73,0))))</f>
        <v/>
      </c>
      <c r="DF148" s="10" t="s">
        <v>40</v>
      </c>
      <c r="DG148" s="7"/>
      <c r="DH148" s="7"/>
      <c r="DI148" s="31" t="str">
        <f>IF(DH148/(INDEX('Standards for Conversions'!$H$34:$H$73,MATCH(DG$3,'Standards for Conversions'!$A$34:$A$73,0)))=0,"",DH148/(INDEX('Standards for Conversions'!$H$34:$H$73,MATCH(DG$3,'Standards for Conversions'!$A$34:$A$73,0))))</f>
        <v/>
      </c>
      <c r="DJ148" s="10" t="s">
        <v>40</v>
      </c>
      <c r="DK148" s="7"/>
      <c r="DL148" s="7"/>
      <c r="DM148" s="31" t="str">
        <f>IF(DL148/(INDEX('Standards for Conversions'!$H$34:$H$73,MATCH(DK$3,'Standards for Conversions'!$A$34:$A$73,0)))=0,"",DL148/(INDEX('Standards for Conversions'!$H$34:$H$73,MATCH(DK$3,'Standards for Conversions'!$A$34:$A$73,0))))</f>
        <v/>
      </c>
      <c r="DN148" s="10" t="s">
        <v>40</v>
      </c>
      <c r="DO148" s="7"/>
      <c r="DP148" s="7"/>
      <c r="DQ148" s="31" t="str">
        <f>IF(DP148/(INDEX('Standards for Conversions'!$H$34:$H$73,MATCH(DO$3,'Standards for Conversions'!$A$34:$A$73,0)))=0,"",DP148/(INDEX('Standards for Conversions'!$H$34:$H$73,MATCH(DO$3,'Standards for Conversions'!$A$34:$A$73,0))))</f>
        <v/>
      </c>
      <c r="DR148" s="10" t="s">
        <v>40</v>
      </c>
      <c r="DS148" s="7"/>
      <c r="DT148" s="7"/>
      <c r="DU148" s="31" t="str">
        <f>IF(DT148/(INDEX('Standards for Conversions'!$H$34:$H$73,MATCH(DS$3,'Standards for Conversions'!$A$34:$A$73,0)))=0,"",DT148/(INDEX('Standards for Conversions'!$H$34:$H$73,MATCH(DS$3,'Standards for Conversions'!$A$34:$A$73,0))))</f>
        <v/>
      </c>
      <c r="DV148" s="10" t="s">
        <v>40</v>
      </c>
      <c r="DW148" s="7"/>
      <c r="DX148" s="7"/>
      <c r="DY148" s="31" t="str">
        <f>IF(DX148/(INDEX('Standards for Conversions'!$H$34:$H$73,MATCH(DW$3,'Standards for Conversions'!$A$34:$A$73,0)))=0,"",DX148/(INDEX('Standards for Conversions'!$H$34:$H$73,MATCH(DW$3,'Standards for Conversions'!$A$34:$A$73,0))))</f>
        <v/>
      </c>
      <c r="DZ148" s="10" t="s">
        <v>40</v>
      </c>
      <c r="EA148" s="7"/>
      <c r="EB148" s="7"/>
      <c r="EC148" s="31" t="str">
        <f>IF(EB148/(INDEX('Standards for Conversions'!$H$34:$H$73,MATCH(EA$3,'Standards for Conversions'!$A$34:$A$73,0)))=0,"",EB148/(INDEX('Standards for Conversions'!$H$34:$H$73,MATCH(EA$3,'Standards for Conversions'!$A$34:$A$73,0))))</f>
        <v/>
      </c>
      <c r="ED148" s="10" t="s">
        <v>40</v>
      </c>
      <c r="EE148" s="7"/>
      <c r="EF148" s="7"/>
      <c r="EG148" s="31" t="str">
        <f>IF(EF148/(INDEX('Standards for Conversions'!$H$34:$H$73,MATCH(EE$3,'Standards for Conversions'!$A$34:$A$73,0)))=0,"",EF148/(INDEX('Standards for Conversions'!$H$34:$H$73,MATCH(EE$3,'Standards for Conversions'!$A$34:$A$73,0))))</f>
        <v/>
      </c>
      <c r="EH148" s="10" t="s">
        <v>40</v>
      </c>
      <c r="EI148" s="7"/>
      <c r="EJ148" s="7"/>
      <c r="EK148" s="31" t="str">
        <f>IF(EJ148/(INDEX('Standards for Conversions'!$H$34:$H$73,MATCH(EI$3,'Standards for Conversions'!$A$34:$A$73,0)))=0,"",EJ148/(INDEX('Standards for Conversions'!$H$34:$H$73,MATCH(EI$3,'Standards for Conversions'!$A$34:$A$73,0))))</f>
        <v/>
      </c>
      <c r="EL148" s="10" t="s">
        <v>40</v>
      </c>
      <c r="EM148" s="7"/>
      <c r="EN148" s="7"/>
      <c r="EO148" s="31" t="str">
        <f>IF(EN148/(INDEX('Standards for Conversions'!$H$34:$H$73,MATCH(EM$3,'Standards for Conversions'!$A$34:$A$73,0)))=0,"",EN148/(INDEX('Standards for Conversions'!$H$34:$H$73,MATCH(EM$3,'Standards for Conversions'!$A$34:$A$73,0))))</f>
        <v/>
      </c>
      <c r="EP148" s="10" t="s">
        <v>40</v>
      </c>
      <c r="EQ148" s="7"/>
      <c r="ER148" s="7"/>
      <c r="ES148" s="31" t="str">
        <f>IF(ER148/(INDEX('Standards for Conversions'!$H$34:$H$73,MATCH(EQ$3,'Standards for Conversions'!$A$34:$A$73,0)))=0,"",ER148/(INDEX('Standards for Conversions'!$H$34:$H$73,MATCH(EQ$3,'Standards for Conversions'!$A$34:$A$73,0))))</f>
        <v/>
      </c>
      <c r="ET148" s="10" t="s">
        <v>40</v>
      </c>
      <c r="EU148" s="7"/>
      <c r="EV148" s="7"/>
      <c r="EW148" s="31" t="str">
        <f>IF(EV148/(INDEX('Standards for Conversions'!$H$34:$H$73,MATCH(EU$3,'Standards for Conversions'!$A$34:$A$73,0)))=0,"",EV148/(INDEX('Standards for Conversions'!$H$34:$H$73,MATCH(EU$3,'Standards for Conversions'!$A$34:$A$73,0))))</f>
        <v/>
      </c>
      <c r="EX148" s="10" t="s">
        <v>40</v>
      </c>
      <c r="EY148" s="9"/>
      <c r="EZ148" s="9"/>
      <c r="FA148" s="31" t="str">
        <f>IF(EZ148/(INDEX('Standards for Conversions'!$H$34:$H$73,MATCH(EY$3,'Standards for Conversions'!$A$34:$A$73,0)))=0,"",EZ148/(INDEX('Standards for Conversions'!$H$34:$H$73,MATCH(EY$3,'Standards for Conversions'!$A$34:$A$73,0))))</f>
        <v/>
      </c>
      <c r="FB148" s="10" t="s">
        <v>40</v>
      </c>
      <c r="FC148" s="7"/>
      <c r="FD148" s="7"/>
      <c r="FE148" s="31" t="str">
        <f>IF(FD148/(INDEX('Standards for Conversions'!$H$34:$H$73,MATCH(FC$3,'Standards for Conversions'!$A$34:$A$73,0)))=0,"",FD148/(INDEX('Standards for Conversions'!$H$34:$H$73,MATCH(FC$3,'Standards for Conversions'!$A$34:$A$73,0))))</f>
        <v/>
      </c>
      <c r="FF148" s="10" t="s">
        <v>40</v>
      </c>
      <c r="FG148" s="7"/>
      <c r="FH148" s="7"/>
      <c r="FI148" s="31" t="str">
        <f>IF(FH148/(INDEX('Standards for Conversions'!$H$34:$H$73,MATCH(FG$3,'Standards for Conversions'!$A$34:$A$73,0)))=0,"",FH148/(INDEX('Standards for Conversions'!$H$34:$H$73,MATCH(FG$3,'Standards for Conversions'!$A$34:$A$73,0))))</f>
        <v/>
      </c>
      <c r="FJ148" s="10" t="s">
        <v>40</v>
      </c>
      <c r="FK148" s="7"/>
      <c r="FL148" s="7"/>
      <c r="FM148" s="31" t="str">
        <f>IF(FL148/(INDEX('Standards for Conversions'!$H$34:$H$73,MATCH(FK$3,'Standards for Conversions'!$A$34:$A$73,0)))=0,"",FL148/(INDEX('Standards for Conversions'!$H$34:$H$73,MATCH(FK$3,'Standards for Conversions'!$A$34:$A$73,0))))</f>
        <v/>
      </c>
      <c r="FN148" s="10" t="s">
        <v>40</v>
      </c>
      <c r="FO148" s="9"/>
      <c r="FP148" s="9"/>
      <c r="FQ148" s="31" t="str">
        <f>IF(FP148/(INDEX('Standards for Conversions'!$H$34:$H$73,MATCH(FO$3,'Standards for Conversions'!$A$34:$A$73,0)))=0,"",FP148/(INDEX('Standards for Conversions'!$H$34:$H$73,MATCH(FO$3,'Standards for Conversions'!$A$34:$A$73,0))))</f>
        <v/>
      </c>
      <c r="FR148" s="10" t="s">
        <v>40</v>
      </c>
      <c r="FS148" s="7"/>
      <c r="FT148" s="7"/>
      <c r="FU148" s="31" t="str">
        <f>IF(FT148/(INDEX('Standards for Conversions'!$H$34:$H$73,MATCH(FS$3,'Standards for Conversions'!$A$34:$A$73,0)))=0,"",FT148/(INDEX('Standards for Conversions'!$H$34:$H$73,MATCH(FS$3,'Standards for Conversions'!$A$34:$A$73,0))))</f>
        <v/>
      </c>
      <c r="FV148" s="10" t="s">
        <v>40</v>
      </c>
      <c r="FW148" s="7"/>
      <c r="FX148" s="7"/>
      <c r="FY148" s="31" t="str">
        <f>IF(FX148/(INDEX('Standards for Conversions'!$H$34:$H$73,MATCH(FW$3,'Standards for Conversions'!$A$34:$A$73,0)))=0,"",FX148/(INDEX('Standards for Conversions'!$H$34:$H$73,MATCH(FW$3,'Standards for Conversions'!$A$34:$A$73,0))))</f>
        <v/>
      </c>
      <c r="FZ148" s="10" t="s">
        <v>40</v>
      </c>
      <c r="GA148" s="7"/>
      <c r="GB148" s="7"/>
      <c r="GC148" s="31" t="str">
        <f>IF(GB148/(INDEX('Standards for Conversions'!$H$34:$H$73,MATCH(GA$3,'Standards for Conversions'!$A$34:$A$73,0)))=0,"",GB148/(INDEX('Standards for Conversions'!$H$34:$H$73,MATCH(GA$3,'Standards for Conversions'!$A$34:$A$73,0))))</f>
        <v/>
      </c>
      <c r="GD148" s="10" t="s">
        <v>40</v>
      </c>
      <c r="GE148" s="9"/>
      <c r="GF148" s="9"/>
      <c r="GG148" s="31" t="str">
        <f>IF(GF148/(INDEX('Standards for Conversions'!$H$34:$H$73,MATCH(GE$3,'Standards for Conversions'!$A$34:$A$73,0)))=0,"",GF148/(INDEX('Standards for Conversions'!$H$34:$H$73,MATCH(GE$3,'Standards for Conversions'!$A$34:$A$73,0))))</f>
        <v/>
      </c>
      <c r="GH148" s="10" t="s">
        <v>40</v>
      </c>
      <c r="GI148" s="7"/>
      <c r="GJ148" s="7"/>
      <c r="GK148" s="31" t="str">
        <f>IF(GJ148/(INDEX('Standards for Conversions'!$H$34:$H$73,MATCH(GI$3,'Standards for Conversions'!$A$34:$A$73,0)))=0,"",GJ148/(INDEX('Standards for Conversions'!$H$34:$H$73,MATCH(GI$3,'Standards for Conversions'!$A$34:$A$73,0))))</f>
        <v/>
      </c>
      <c r="GL148" s="10" t="s">
        <v>40</v>
      </c>
      <c r="GM148" s="7"/>
      <c r="GN148" s="7"/>
      <c r="GO148" s="31" t="str">
        <f>IF(GN148/(INDEX('Standards for Conversions'!$H$34:$H$73,MATCH(GM$3,'Standards for Conversions'!$A$34:$A$73,0)))=0,"",GN148/(INDEX('Standards for Conversions'!$H$34:$H$73,MATCH(GM$3,'Standards for Conversions'!$A$34:$A$73,0))))</f>
        <v/>
      </c>
      <c r="GP148" s="10" t="s">
        <v>40</v>
      </c>
      <c r="GQ148" s="7"/>
      <c r="GR148" s="7"/>
      <c r="GS148" s="31" t="str">
        <f>IF(GR148/(INDEX('Standards for Conversions'!$H$34:$H$73,MATCH(GQ$3,'Standards for Conversions'!$A$34:$A$73,0)))=0,"",GR148/(INDEX('Standards for Conversions'!$H$34:$H$73,MATCH(GQ$3,'Standards for Conversions'!$A$34:$A$73,0))))</f>
        <v/>
      </c>
      <c r="GT148" s="10" t="s">
        <v>40</v>
      </c>
      <c r="GU148" s="9"/>
      <c r="GV148" s="9"/>
      <c r="GW148" s="31" t="str">
        <f>IF(GV148/(INDEX('Standards for Conversions'!$H$34:$H$73,MATCH(GU$3,'Standards for Conversions'!$A$34:$A$73,0)))=0,"",GV148/(INDEX('Standards for Conversions'!$H$34:$H$73,MATCH(GU$3,'Standards for Conversions'!$A$34:$A$73,0))))</f>
        <v/>
      </c>
      <c r="GX148" s="10" t="s">
        <v>40</v>
      </c>
      <c r="GY148" s="7"/>
      <c r="GZ148" s="7"/>
      <c r="HA148" s="31" t="str">
        <f>IF(GZ148/(INDEX('Standards for Conversions'!$H$34:$H$73,MATCH(GY$3,'Standards for Conversions'!$A$34:$A$73,0)))=0,"",GZ148/(INDEX('Standards for Conversions'!$H$34:$H$73,MATCH(GY$3,'Standards for Conversions'!$A$34:$A$73,0))))</f>
        <v/>
      </c>
      <c r="HB148" s="10" t="s">
        <v>40</v>
      </c>
      <c r="HC148" s="7"/>
      <c r="HD148" s="7"/>
      <c r="HE148" s="31" t="str">
        <f>IF(HD148/(INDEX('Standards for Conversions'!$H$34:$H$73,MATCH(HC$3,'Standards for Conversions'!$A$34:$A$73,0)))=0,"",HD148/(INDEX('Standards for Conversions'!$H$34:$H$73,MATCH(HC$3,'Standards for Conversions'!$A$34:$A$73,0))))</f>
        <v/>
      </c>
      <c r="HF148" s="10" t="s">
        <v>40</v>
      </c>
      <c r="HG148" s="7"/>
      <c r="HH148" s="7"/>
      <c r="HI148" s="31" t="str">
        <f>IF(HH148/(INDEX('Standards for Conversions'!$H$34:$H$73,MATCH(HG$3,'Standards for Conversions'!$A$34:$A$73,0)))=0,"",HH148/(INDEX('Standards for Conversions'!$H$34:$H$73,MATCH(HG$3,'Standards for Conversions'!$A$34:$A$73,0))))</f>
        <v/>
      </c>
      <c r="HJ148" s="10" t="s">
        <v>40</v>
      </c>
      <c r="HK148" s="9"/>
      <c r="HL148" s="9"/>
      <c r="HM148" s="31" t="str">
        <f>IF(HL148/(INDEX('Standards for Conversions'!$H$34:$H$73,MATCH(HK$3,'Standards for Conversions'!$A$34:$A$73,0)))=0,"",HL148/(INDEX('Standards for Conversions'!$H$34:$H$73,MATCH(HK$3,'Standards for Conversions'!$A$34:$A$73,0))))</f>
        <v/>
      </c>
      <c r="HN148" s="10" t="s">
        <v>40</v>
      </c>
      <c r="HO148" s="7"/>
      <c r="HP148" s="7"/>
      <c r="HQ148" s="31" t="str">
        <f>IF(HP148/(INDEX('Standards for Conversions'!$H$34:$H$73,MATCH(HO$3,'Standards for Conversions'!$A$34:$A$73,0)))=0,"",HP148/(INDEX('Standards for Conversions'!$H$34:$H$73,MATCH(HO$3,'Standards for Conversions'!$A$34:$A$73,0))))</f>
        <v/>
      </c>
      <c r="HR148" s="33" t="s">
        <v>40</v>
      </c>
      <c r="HU148" s="31" t="str">
        <f>IF(HT148/(INDEX('Standards for Conversions'!$H$47:$H$73,MATCH(HS$3,'Standards for Conversions'!$A$47:$A$73,0)))=0,"",HT148/(INDEX('Standards for Conversions'!$H$47:$H$73,MATCH(HS$3,'Standards for Conversions'!$A$47:$A$73,0))))</f>
        <v/>
      </c>
      <c r="HV148" s="33" t="s">
        <v>40</v>
      </c>
      <c r="HY148" s="31" t="str">
        <f>IF(HX148/(INDEX('Standards for Conversions'!$H$47:$H$73,MATCH(HW$3,'Standards for Conversions'!$A$47:$A$73,0)))=0,"",HX148/(INDEX('Standards for Conversions'!$H$47:$H$73,MATCH(HW$3,'Standards for Conversions'!$A$47:$A$73,0))))</f>
        <v/>
      </c>
      <c r="HZ148" s="33"/>
      <c r="IA148" s="33"/>
      <c r="IB148" s="31" t="str">
        <f>IF(IA148/(INDEX('Standards for Conversions'!$H$47:$H$73,MATCH(HZ$3,'Standards for Conversions'!$A$47:$A$73,0)))=0,"",IA148/(INDEX('Standards for Conversions'!$H$47:$H$73,MATCH(HZ$3,'Standards for Conversions'!$A$47:$A$73,0))))</f>
        <v/>
      </c>
      <c r="IC148" s="33" t="s">
        <v>40</v>
      </c>
      <c r="ID148" s="29">
        <v>8</v>
      </c>
      <c r="IE148" s="29">
        <v>3000</v>
      </c>
      <c r="IF148" s="31">
        <f>IF(IE148/(INDEX('Standards for Conversions'!$H$47:$H$73,MATCH(ID$3,'Standards for Conversions'!$A$47:$A$73,0)))=0,"",IE148/(INDEX('Standards for Conversions'!$H$47:$H$73,MATCH(ID$3,'Standards for Conversions'!$A$47:$A$73,0))))</f>
        <v>435.7362366385679</v>
      </c>
      <c r="IG148" s="33" t="s">
        <v>40</v>
      </c>
      <c r="IJ148" s="31" t="str">
        <f>IF(II148/(INDEX('Standards for Conversions'!$H$47:$H$73,MATCH(IH$3,'Standards for Conversions'!$A$47:$A$73,0)))=0,"",II148/(INDEX('Standards for Conversions'!$H$47:$H$73,MATCH(IH$3,'Standards for Conversions'!$A$47:$A$73,0))))</f>
        <v/>
      </c>
      <c r="IK148" s="33" t="s">
        <v>40</v>
      </c>
      <c r="IN148" s="31" t="str">
        <f>IF(IM148/(INDEX('Standards for Conversions'!$H$47:$H$73,MATCH(IL$3,'Standards for Conversions'!$A$47:$A$73,0)))=0,"",IM148/(INDEX('Standards for Conversions'!$H$47:$H$73,MATCH(IL$3,'Standards for Conversions'!$A$47:$A$73,0))))</f>
        <v/>
      </c>
      <c r="IO148" s="33" t="s">
        <v>40</v>
      </c>
      <c r="IR148" s="31" t="str">
        <f>IF(IQ148/(INDEX('Standards for Conversions'!$H$47:$H$73,MATCH(IP$3,'Standards for Conversions'!$A$47:$A$73,0)))=0,"",IQ148/(INDEX('Standards for Conversions'!$H$47:$H$73,MATCH(IP$3,'Standards for Conversions'!$A$47:$A$73,0))))</f>
        <v/>
      </c>
      <c r="IS148" s="33" t="s">
        <v>40</v>
      </c>
      <c r="IT148" s="29">
        <v>25</v>
      </c>
      <c r="IU148" s="29">
        <v>2501</v>
      </c>
      <c r="IV148" s="31">
        <f>IF(IU148/(INDEX('Standards for Conversions'!$H$47:$H$73,MATCH(IT$3,'Standards for Conversions'!$A$47:$A$73,0)))=0,"",IU148/(INDEX('Standards for Conversions'!$H$47:$H$73,MATCH(IT$3,'Standards for Conversions'!$A$47:$A$73,0))))</f>
        <v>361.67018071427532</v>
      </c>
      <c r="IW148" s="33" t="s">
        <v>40</v>
      </c>
      <c r="IZ148" s="31" t="str">
        <f>IF(IY148/(INDEX('Standards for Conversions'!$H$47:$H$73,MATCH(IX$3,'Standards for Conversions'!$A$47:$A$73,0)))=0,"",IY148/(INDEX('Standards for Conversions'!$H$47:$H$73,MATCH(IX$3,'Standards for Conversions'!$A$47:$A$73,0))))</f>
        <v/>
      </c>
      <c r="JA148" s="33" t="s">
        <v>40</v>
      </c>
      <c r="JD148" s="31" t="str">
        <f>IF(JC148/(INDEX('Standards for Conversions'!$H$47:$H$73,MATCH(JB$3,'Standards for Conversions'!$A$47:$A$73,0)))=0,"",JC148/(INDEX('Standards for Conversions'!$H$47:$H$73,MATCH(JB$3,'Standards for Conversions'!$A$47:$A$73,0))))</f>
        <v/>
      </c>
      <c r="JE148" s="33" t="s">
        <v>40</v>
      </c>
      <c r="JH148" s="31" t="str">
        <f>IF(JG148/(INDEX('Standards for Conversions'!$H$47:$H$73,MATCH(JF$3,'Standards for Conversions'!$A$47:$A$73,0)))=0,"",JG148/(INDEX('Standards for Conversions'!$H$47:$H$73,MATCH(JF$3,'Standards for Conversions'!$A$47:$A$73,0))))</f>
        <v/>
      </c>
      <c r="JI148" s="48" t="s">
        <v>40</v>
      </c>
      <c r="JJ148" s="29">
        <v>11</v>
      </c>
      <c r="JK148" s="29">
        <v>1400</v>
      </c>
      <c r="JL148" s="31">
        <f>IF(JK148/(INDEX('Standards for Conversions'!$H$47:$H$73,MATCH(JJ$3,'Standards for Conversions'!$A$47:$A$73,0)))=0,"",JK148/(INDEX('Standards for Conversions'!$H$47:$H$73,MATCH(JJ$3,'Standards for Conversions'!$A$47:$A$73,0))))</f>
        <v>226.46427536861617</v>
      </c>
      <c r="JM148" s="33" t="s">
        <v>40</v>
      </c>
      <c r="JP148" s="31" t="str">
        <f>IF(JO148/(INDEX('Standards for Conversions'!$H$47:$H$73,MATCH(JN$3,'Standards for Conversions'!$A$47:$A$73,0)))=0,"",JO148/(INDEX('Standards for Conversions'!$H$47:$H$73,MATCH(JN$3,'Standards for Conversions'!$A$47:$A$73,0))))</f>
        <v/>
      </c>
      <c r="JQ148" s="33" t="s">
        <v>40</v>
      </c>
      <c r="JT148" s="31" t="str">
        <f>IF(JS148/(INDEX('Standards for Conversions'!$H$47:$H$73,MATCH(JR$3,'Standards for Conversions'!$A$47:$A$73,0)))=0,"",JS148/(INDEX('Standards for Conversions'!$H$47:$H$73,MATCH(JR$3,'Standards for Conversions'!$A$47:$A$73,0))))</f>
        <v/>
      </c>
      <c r="JU148" s="33" t="s">
        <v>40</v>
      </c>
      <c r="JX148" s="31" t="str">
        <f>IF(JW148/(INDEX('Standards for Conversions'!$H$47:$H$73,MATCH(JV$3,'Standards for Conversions'!$A$47:$A$73,0)))=0,"",JW148/(INDEX('Standards for Conversions'!$H$47:$H$73,MATCH(JV$3,'Standards for Conversions'!$A$47:$A$73,0))))</f>
        <v/>
      </c>
      <c r="JY148" s="33" t="s">
        <v>40</v>
      </c>
      <c r="JZ148" s="29">
        <v>10</v>
      </c>
      <c r="KA148" s="29">
        <v>1200</v>
      </c>
      <c r="KB148" s="31">
        <f>IF(KA148/(INDEX('Standards for Conversions'!$H$47:$H$73,MATCH(JZ$3,'Standards for Conversions'!$A$47:$A$73,0)))=0,"",KA148/(INDEX('Standards for Conversions'!$H$47:$H$73,MATCH(JZ$3,'Standards for Conversions'!$A$47:$A$73,0))))</f>
        <v>183.18707091335708</v>
      </c>
      <c r="KC148" s="33" t="s">
        <v>40</v>
      </c>
      <c r="KF148" s="31" t="str">
        <f>IF(KE148/(INDEX('Standards for Conversions'!$H$47:$H$73,MATCH(KD$3,'Standards for Conversions'!$A$47:$A$73,0)))=0,"",KE148/(INDEX('Standards for Conversions'!$H$47:$H$73,MATCH(KD$3,'Standards for Conversions'!$A$47:$A$73,0))))</f>
        <v/>
      </c>
      <c r="KG148" s="33" t="s">
        <v>40</v>
      </c>
      <c r="KJ148" s="31" t="str">
        <f>IF(KI148/(INDEX('Standards for Conversions'!$H$47:$H$73,MATCH(KH$3,'Standards for Conversions'!$A$47:$A$73,0)))=0,"",KI148/(INDEX('Standards for Conversions'!$H$47:$H$73,MATCH(KH$3,'Standards for Conversions'!$A$47:$A$73,0))))</f>
        <v/>
      </c>
      <c r="KK148" s="33" t="s">
        <v>40</v>
      </c>
      <c r="KN148" s="31" t="str">
        <f>IF(KM148/(INDEX('Standards for Conversions'!$H$47:$H$73,MATCH(KL$3,'Standards for Conversions'!$A$47:$A$73,0)))=0,"",KM148/(INDEX('Standards for Conversions'!$H$47:$H$73,MATCH(KL$3,'Standards for Conversions'!$A$47:$A$73,0))))</f>
        <v/>
      </c>
      <c r="KO148" s="33" t="s">
        <v>40</v>
      </c>
      <c r="KP148" s="29">
        <v>12</v>
      </c>
      <c r="KQ148" s="29">
        <v>1300</v>
      </c>
      <c r="KR148" s="31">
        <f>IF(KQ148/(INDEX('Standards for Conversions'!$H$47:$H$73,MATCH(KP$3,'Standards for Conversions'!$A$47:$A$73,0)))=0,"",KQ148/(INDEX('Standards for Conversions'!$H$47:$H$73,MATCH(KP$3,'Standards for Conversions'!$A$47:$A$73,0))))</f>
        <v>175.05671547753539</v>
      </c>
      <c r="KS148" s="33" t="s">
        <v>40</v>
      </c>
      <c r="KV148" s="31" t="str">
        <f>IF(KU148/(INDEX('Standards for Conversions'!$H$47:$H$73,MATCH(KT$3,'Standards for Conversions'!$A$47:$A$73,0)))=0,"",KU148/(INDEX('Standards for Conversions'!$H$47:$H$73,MATCH(KT$3,'Standards for Conversions'!$A$47:$A$73,0))))</f>
        <v/>
      </c>
      <c r="KW148" s="33" t="s">
        <v>40</v>
      </c>
      <c r="KZ148" s="31" t="str">
        <f>IF(KY148/(INDEX('Standards for Conversions'!$H$47:$H$73,MATCH(KX$3,'Standards for Conversions'!$A$47:$A$73,0)))=0,"",KY148/(INDEX('Standards for Conversions'!$H$47:$H$73,MATCH(KX$3,'Standards for Conversions'!$A$47:$A$73,0))))</f>
        <v/>
      </c>
      <c r="LA148" s="33" t="s">
        <v>40</v>
      </c>
      <c r="LD148" s="31" t="str">
        <f>IF(LC148/(INDEX('Standards for Conversions'!$H$47:$H$73,MATCH(LB$3,'Standards for Conversions'!$A$47:$A$73,0)))=0,"",LC148/(INDEX('Standards for Conversions'!$H$47:$H$73,MATCH(LB$3,'Standards for Conversions'!$A$47:$A$73,0))))</f>
        <v/>
      </c>
      <c r="LE148" s="48" t="s">
        <v>40</v>
      </c>
      <c r="LF148" s="29">
        <v>23</v>
      </c>
      <c r="LG148" s="29">
        <v>2900</v>
      </c>
      <c r="LH148" s="31">
        <f>IF(LG148/(INDEX('Standards for Conversions'!$H$47:$H$73,MATCH(LF$3,'Standards for Conversions'!$A$47:$A$73,0)))=0,"",LG148/(INDEX('Standards for Conversions'!$H$47:$H$73,MATCH(LF$3,'Standards for Conversions'!$A$47:$A$73,0))))</f>
        <v>352.68804350974762</v>
      </c>
      <c r="LL148" s="31" t="str">
        <f>IF(LK148/(INDEX('Standards for Conversions'!$H$47:$H$73,MATCH(LJ$3,'Standards for Conversions'!$A$47:$A$73,0)))=0,"",LK148/(INDEX('Standards for Conversions'!$H$47:$H$73,MATCH(LJ$3,'Standards for Conversions'!$A$47:$A$73,0))))</f>
        <v/>
      </c>
      <c r="LO148" s="31" t="str">
        <f>IF(LN148/(INDEX('Standards for Conversions'!$H$47:$H$73,MATCH(LM$3,'Standards for Conversions'!$A$47:$A$73,0)))=0,"",LN148/(INDEX('Standards for Conversions'!$H$47:$H$73,MATCH(LM$3,'Standards for Conversions'!$A$47:$A$73,0))))</f>
        <v/>
      </c>
      <c r="LR148" s="31" t="str">
        <f>IF(LQ148/(INDEX('Standards for Conversions'!$H$47:$H$73,MATCH(LP$3,'Standards for Conversions'!$A$47:$A$73,0)))=0,"",LQ148/(INDEX('Standards for Conversions'!$H$47:$H$73,MATCH(LP$3,'Standards for Conversions'!$A$47:$A$73,0))))</f>
        <v/>
      </c>
      <c r="LV148" s="31" t="str">
        <f>IF(LU148/(INDEX('Standards for Conversions'!$H$47:$H$73,MATCH(LT$3,'Standards for Conversions'!$A$47:$A$73,0)))=0,"",LU148/(INDEX('Standards for Conversions'!$H$47:$H$73,MATCH(LT$3,'Standards for Conversions'!$A$47:$A$73,0))))</f>
        <v/>
      </c>
      <c r="LY148" s="31" t="str">
        <f>IF(LX148/(INDEX('Standards for Conversions'!$H$47:$H$73,MATCH(LW$3,'Standards for Conversions'!$A$47:$A$73,0)))=0,"",LX148/(INDEX('Standards for Conversions'!$H$47:$H$73,MATCH(LW$3,'Standards for Conversions'!$A$47:$A$73,0))))</f>
        <v/>
      </c>
      <c r="MB148" s="31" t="str">
        <f>IF(MA148/(INDEX('Standards for Conversions'!$H$47:$H$73,MATCH(LZ$3,'Standards for Conversions'!$A$47:$A$73,0)))=0,"",MA148/(INDEX('Standards for Conversions'!$H$47:$H$73,MATCH(LZ$3,'Standards for Conversions'!$A$47:$A$73,0))))</f>
        <v/>
      </c>
      <c r="ME148" s="31" t="str">
        <f>IF(MD148/(INDEX('Standards for Conversions'!$H$47:$H$73,MATCH(MC$3,'Standards for Conversions'!$A$47:$A$73,0)))=0,"",MD148/(INDEX('Standards for Conversions'!$H$47:$H$73,MATCH(MC$3,'Standards for Conversions'!$A$47:$A$73,0))))</f>
        <v/>
      </c>
      <c r="MH148" s="31" t="str">
        <f>IF(MG148/(INDEX('Standards for Conversions'!$H$47:$H$73,MATCH(MF$3,'Standards for Conversions'!$A$47:$A$73,0)))=0,"",MG148/(INDEX('Standards for Conversions'!$H$47:$H$73,MATCH(MF$3,'Standards for Conversions'!$A$47:$A$73,0))))</f>
        <v/>
      </c>
      <c r="MK148" s="31" t="str">
        <f>IF(MJ148/(INDEX('Standards for Conversions'!$H$47:$H$73,MATCH(MI$3,'Standards for Conversions'!$A$47:$A$73,0)))=0,"",MJ148/(INDEX('Standards for Conversions'!$H$47:$H$73,MATCH(MI$3,'Standards for Conversions'!$A$47:$A$73,0))))</f>
        <v/>
      </c>
      <c r="MN148" s="31" t="str">
        <f>IF(MM148/(INDEX('Standards for Conversions'!$H$47:$H$73,MATCH(ML$3,'Standards for Conversions'!$A$47:$A$73,0)))=0,"",MM148/(INDEX('Standards for Conversions'!$H$47:$H$73,MATCH(ML$3,'Standards for Conversions'!$A$47:$A$73,0))))</f>
        <v/>
      </c>
      <c r="MR148" s="31" t="str">
        <f>IF(MQ148/(INDEX('Standards for Conversions'!$H$47:$H$73,MATCH(MP$3,'Standards for Conversions'!$A$47:$A$73,0)))=0,"",MQ148/(INDEX('Standards for Conversions'!$H$47:$H$73,MATCH(MP$3,'Standards for Conversions'!$A$47:$A$73,0))))</f>
        <v/>
      </c>
    </row>
    <row r="149" spans="1:373" hidden="1" x14ac:dyDescent="0.3">
      <c r="A149" s="103" t="s">
        <v>313</v>
      </c>
      <c r="B149" s="10" t="s">
        <v>38</v>
      </c>
      <c r="C149" s="7"/>
      <c r="D149" s="7"/>
      <c r="E149" s="31" t="str">
        <f>IF(D149/(INDEX('Standards for Conversions'!$H$34:$H$73,MATCH(C$3,'Standards for Conversions'!$A$34:$A$73,0)))=0,"",D149/(INDEX('Standards for Conversions'!$H$34:$H$73,MATCH(C$3,'Standards for Conversions'!$A$34:$A$73,0))))</f>
        <v/>
      </c>
      <c r="F149" s="10" t="s">
        <v>38</v>
      </c>
      <c r="G149" s="7"/>
      <c r="H149" s="7"/>
      <c r="I149" s="31" t="str">
        <f>IF(H149/(INDEX('Standards for Conversions'!$H$34:$H$73,MATCH(G$3,'Standards for Conversions'!$A$34:$A$73,0)))=0,"",H149/(INDEX('Standards for Conversions'!$H$34:$H$73,MATCH(G$3,'Standards for Conversions'!$A$34:$A$73,0))))</f>
        <v/>
      </c>
      <c r="J149" s="10" t="s">
        <v>38</v>
      </c>
      <c r="K149" s="7"/>
      <c r="L149" s="7"/>
      <c r="M149" s="31" t="str">
        <f>IF(L149/(INDEX('Standards for Conversions'!$H$34:$H$73,MATCH(K$3,'Standards for Conversions'!$A$34:$A$73,0)))=0,"",L149/(INDEX('Standards for Conversions'!$H$34:$H$73,MATCH(K$3,'Standards for Conversions'!$A$34:$A$73,0))))</f>
        <v/>
      </c>
      <c r="N149" s="10" t="s">
        <v>38</v>
      </c>
      <c r="O149" s="7"/>
      <c r="P149" s="7"/>
      <c r="Q149" s="31" t="str">
        <f>IF(P149/(INDEX('Standards for Conversions'!$H$34:$H$73,MATCH(O$3,'Standards for Conversions'!$A$34:$A$73,0)))=0,"",P149/(INDEX('Standards for Conversions'!$H$34:$H$73,MATCH(O$3,'Standards for Conversions'!$A$34:$A$73,0))))</f>
        <v/>
      </c>
      <c r="R149" s="10" t="s">
        <v>38</v>
      </c>
      <c r="S149" s="7"/>
      <c r="T149" s="7"/>
      <c r="U149" s="31" t="str">
        <f>IF(T149/(INDEX('Standards for Conversions'!$H$34:$H$73,MATCH(S$3,'Standards for Conversions'!$A$34:$A$73,0)))=0,"",T149/(INDEX('Standards for Conversions'!$H$34:$H$73,MATCH(S$3,'Standards for Conversions'!$A$34:$A$73,0))))</f>
        <v/>
      </c>
      <c r="V149" s="10" t="s">
        <v>38</v>
      </c>
      <c r="W149" s="7"/>
      <c r="X149" s="7"/>
      <c r="Y149" s="31" t="str">
        <f>IF(X149/(INDEX('Standards for Conversions'!$H$34:$H$73,MATCH(W$3,'Standards for Conversions'!$A$34:$A$73,0)))=0,"",X149/(INDEX('Standards for Conversions'!$H$34:$H$73,MATCH(W$3,'Standards for Conversions'!$A$34:$A$73,0))))</f>
        <v/>
      </c>
      <c r="Z149" s="10" t="s">
        <v>38</v>
      </c>
      <c r="AA149" s="7"/>
      <c r="AB149" s="7"/>
      <c r="AC149" s="31" t="str">
        <f>IF(AB149/(INDEX('Standards for Conversions'!$H$34:$H$73,MATCH(AA$3,'Standards for Conversions'!$A$34:$A$73,0)))=0,"",AB149/(INDEX('Standards for Conversions'!$H$34:$H$73,MATCH(AA$3,'Standards for Conversions'!$A$34:$A$73,0))))</f>
        <v/>
      </c>
      <c r="AD149" s="10" t="s">
        <v>38</v>
      </c>
      <c r="AE149" s="7"/>
      <c r="AF149" s="7"/>
      <c r="AG149" s="31" t="str">
        <f>IF(AF149/(INDEX('Standards for Conversions'!$H$34:$H$73,MATCH(AE$3,'Standards for Conversions'!$A$34:$A$73,0)))=0,"",AF149/(INDEX('Standards for Conversions'!$H$34:$H$73,MATCH(AE$3,'Standards for Conversions'!$A$34:$A$73,0))))</f>
        <v/>
      </c>
      <c r="AH149" s="10" t="s">
        <v>38</v>
      </c>
      <c r="AI149" s="7"/>
      <c r="AJ149" s="7"/>
      <c r="AK149" s="31" t="str">
        <f>IF(AJ149/(INDEX('Standards for Conversions'!$H$34:$H$73,MATCH(AI$3,'Standards for Conversions'!$A$34:$A$73,0)))=0,"",AJ149/(INDEX('Standards for Conversions'!$H$34:$H$73,MATCH(AI$3,'Standards for Conversions'!$A$34:$A$73,0))))</f>
        <v/>
      </c>
      <c r="AL149" s="10" t="s">
        <v>38</v>
      </c>
      <c r="AM149" s="7"/>
      <c r="AN149" s="7"/>
      <c r="AO149" s="31" t="str">
        <f>IF(AN149/(INDEX('Standards for Conversions'!$H$34:$H$73,MATCH(AM$3,'Standards for Conversions'!$A$34:$A$73,0)))=0,"",AN149/(INDEX('Standards for Conversions'!$H$34:$H$73,MATCH(AM$3,'Standards for Conversions'!$A$34:$A$73,0))))</f>
        <v/>
      </c>
      <c r="AP149" s="10" t="s">
        <v>38</v>
      </c>
      <c r="AQ149" s="7"/>
      <c r="AR149" s="7"/>
      <c r="AS149" s="31" t="str">
        <f>IF(AR149/(INDEX('Standards for Conversions'!$H$34:$H$73,MATCH(AQ$3,'Standards for Conversions'!$A$34:$A$73,0)))=0,"",AR149/(INDEX('Standards for Conversions'!$H$34:$H$73,MATCH(AQ$3,'Standards for Conversions'!$A$34:$A$73,0))))</f>
        <v/>
      </c>
      <c r="AT149" s="10" t="s">
        <v>38</v>
      </c>
      <c r="AU149" s="7"/>
      <c r="AV149" s="7"/>
      <c r="AW149" s="31" t="str">
        <f>IF(AV149/(INDEX('Standards for Conversions'!$H$34:$H$73,MATCH(AU$3,'Standards for Conversions'!$A$34:$A$73,0)))=0,"",AV149/(INDEX('Standards for Conversions'!$H$34:$H$73,MATCH(AU$3,'Standards for Conversions'!$A$34:$A$73,0))))</f>
        <v/>
      </c>
      <c r="AX149" s="10" t="s">
        <v>38</v>
      </c>
      <c r="AY149" s="7"/>
      <c r="AZ149" s="7"/>
      <c r="BA149" s="31" t="str">
        <f>IF(AZ149/(INDEX('Standards for Conversions'!$H$34:$H$73,MATCH(AY$3,'Standards for Conversions'!$A$34:$A$73,0)))=0,"",AZ149/(INDEX('Standards for Conversions'!$H$34:$H$73,MATCH(AY$3,'Standards for Conversions'!$A$34:$A$73,0))))</f>
        <v/>
      </c>
      <c r="BB149" s="10" t="s">
        <v>38</v>
      </c>
      <c r="BC149" s="7"/>
      <c r="BD149" s="7"/>
      <c r="BE149" s="31" t="str">
        <f>IF(BD149/(INDEX('Standards for Conversions'!$H$34:$H$73,MATCH(BC$3,'Standards for Conversions'!$A$34:$A$73,0)))=0,"",BD149/(INDEX('Standards for Conversions'!$H$34:$H$73,MATCH(BC$3,'Standards for Conversions'!$A$34:$A$73,0))))</f>
        <v/>
      </c>
      <c r="BF149" s="10" t="s">
        <v>38</v>
      </c>
      <c r="BG149" s="7"/>
      <c r="BH149" s="7"/>
      <c r="BI149" s="31" t="str">
        <f>IF(BH149/(INDEX('Standards for Conversions'!$H$34:$H$73,MATCH(BG$3,'Standards for Conversions'!$A$34:$A$73,0)))=0,"",BH149/(INDEX('Standards for Conversions'!$H$34:$H$73,MATCH(BG$3,'Standards for Conversions'!$A$34:$A$73,0))))</f>
        <v/>
      </c>
      <c r="BJ149" s="10" t="s">
        <v>38</v>
      </c>
      <c r="BK149" s="7"/>
      <c r="BL149" s="7"/>
      <c r="BM149" s="31" t="str">
        <f>IF(BL149/(INDEX('Standards for Conversions'!$H$34:$H$73,MATCH(BK$3,'Standards for Conversions'!$A$34:$A$73,0)))=0,"",BL149/(INDEX('Standards for Conversions'!$H$34:$H$73,MATCH(BK$3,'Standards for Conversions'!$A$34:$A$73,0))))</f>
        <v/>
      </c>
      <c r="BN149" s="10" t="s">
        <v>38</v>
      </c>
      <c r="BO149" s="7"/>
      <c r="BP149" s="7"/>
      <c r="BQ149" s="31" t="str">
        <f>IF(BP149/(INDEX('Standards for Conversions'!$H$34:$H$73,MATCH(BO$3,'Standards for Conversions'!$A$34:$A$73,0)))=0,"",BP149/(INDEX('Standards for Conversions'!$H$34:$H$73,MATCH(BO$3,'Standards for Conversions'!$A$34:$A$73,0))))</f>
        <v/>
      </c>
      <c r="BR149" s="10" t="s">
        <v>38</v>
      </c>
      <c r="BS149" s="7"/>
      <c r="BT149" s="7"/>
      <c r="BU149" s="31" t="str">
        <f>IF(BT149/(INDEX('Standards for Conversions'!$H$34:$H$73,MATCH(BS$3,'Standards for Conversions'!$A$34:$A$73,0)))=0,"",BT149/(INDEX('Standards for Conversions'!$H$34:$H$73,MATCH(BS$3,'Standards for Conversions'!$A$34:$A$73,0))))</f>
        <v/>
      </c>
      <c r="BV149" s="10" t="s">
        <v>38</v>
      </c>
      <c r="BW149" s="7"/>
      <c r="BX149" s="7"/>
      <c r="BY149" s="31" t="str">
        <f>IF(BX149/(INDEX('Standards for Conversions'!$H$34:$H$73,MATCH(BW$3,'Standards for Conversions'!$A$34:$A$73,0)))=0,"",BX149/(INDEX('Standards for Conversions'!$H$34:$H$73,MATCH(BW$3,'Standards for Conversions'!$A$34:$A$73,0))))</f>
        <v/>
      </c>
      <c r="BZ149" s="10" t="s">
        <v>38</v>
      </c>
      <c r="CA149" s="7"/>
      <c r="CB149" s="7"/>
      <c r="CC149" s="31" t="str">
        <f>IF(CB149/(INDEX('Standards for Conversions'!$H$34:$H$73,MATCH(CA$3,'Standards for Conversions'!$A$34:$A$73,0)))=0,"",CB149/(INDEX('Standards for Conversions'!$H$34:$H$73,MATCH(CA$3,'Standards for Conversions'!$A$34:$A$73,0))))</f>
        <v/>
      </c>
      <c r="CD149" s="10" t="s">
        <v>38</v>
      </c>
      <c r="CE149" s="7"/>
      <c r="CF149" s="7"/>
      <c r="CG149" s="31" t="str">
        <f>IF(CF149/(INDEX('Standards for Conversions'!$H$34:$H$73,MATCH(CE$3,'Standards for Conversions'!$A$34:$A$73,0)))=0,"",CF149/(INDEX('Standards for Conversions'!$H$34:$H$73,MATCH(CE$3,'Standards for Conversions'!$A$34:$A$73,0))))</f>
        <v/>
      </c>
      <c r="CH149" s="10" t="s">
        <v>38</v>
      </c>
      <c r="CI149" s="7"/>
      <c r="CJ149" s="7"/>
      <c r="CK149" s="31" t="str">
        <f>IF(CJ149/(INDEX('Standards for Conversions'!$H$34:$H$73,MATCH(CI$3,'Standards for Conversions'!$A$34:$A$73,0)))=0,"",CJ149/(INDEX('Standards for Conversions'!$H$34:$H$73,MATCH(CI$3,'Standards for Conversions'!$A$34:$A$73,0))))</f>
        <v/>
      </c>
      <c r="CL149" s="10" t="s">
        <v>38</v>
      </c>
      <c r="CM149" s="7"/>
      <c r="CN149" s="7"/>
      <c r="CO149" s="31" t="str">
        <f>IF(CN149/(INDEX('Standards for Conversions'!$H$34:$H$73,MATCH(CM$3,'Standards for Conversions'!$A$34:$A$73,0)))=0,"",CN149/(INDEX('Standards for Conversions'!$H$34:$H$73,MATCH(CM$3,'Standards for Conversions'!$A$34:$A$73,0))))</f>
        <v/>
      </c>
      <c r="CP149" s="10" t="s">
        <v>38</v>
      </c>
      <c r="CQ149" s="7"/>
      <c r="CR149" s="7"/>
      <c r="CS149" s="31" t="str">
        <f>IF(CR149/(INDEX('Standards for Conversions'!$H$34:$H$73,MATCH(CQ$3,'Standards for Conversions'!$A$34:$A$73,0)))=0,"",CR149/(INDEX('Standards for Conversions'!$H$34:$H$73,MATCH(CQ$3,'Standards for Conversions'!$A$34:$A$73,0))))</f>
        <v/>
      </c>
      <c r="CT149" s="10" t="s">
        <v>38</v>
      </c>
      <c r="CU149" s="7"/>
      <c r="CV149" s="7"/>
      <c r="CW149" s="31" t="str">
        <f>IF(CV149/(INDEX('Standards for Conversions'!$H$34:$H$73,MATCH(CU$3,'Standards for Conversions'!$A$34:$A$73,0)))=0,"",CV149/(INDEX('Standards for Conversions'!$H$34:$H$73,MATCH(CU$3,'Standards for Conversions'!$A$34:$A$73,0))))</f>
        <v/>
      </c>
      <c r="CX149" s="10" t="s">
        <v>38</v>
      </c>
      <c r="CY149" s="7"/>
      <c r="CZ149" s="7"/>
      <c r="DA149" s="31" t="str">
        <f>IF(CZ149/(INDEX('Standards for Conversions'!$H$34:$H$73,MATCH(CY$3,'Standards for Conversions'!$A$34:$A$73,0)))=0,"",CZ149/(INDEX('Standards for Conversions'!$H$34:$H$73,MATCH(CY$3,'Standards for Conversions'!$A$34:$A$73,0))))</f>
        <v/>
      </c>
      <c r="DB149" s="10" t="s">
        <v>38</v>
      </c>
      <c r="DC149" s="7"/>
      <c r="DD149" s="7"/>
      <c r="DE149" s="31" t="str">
        <f>IF(DD149/(INDEX('Standards for Conversions'!$H$34:$H$73,MATCH(DC$3,'Standards for Conversions'!$A$34:$A$73,0)))=0,"",DD149/(INDEX('Standards for Conversions'!$H$34:$H$73,MATCH(DC$3,'Standards for Conversions'!$A$34:$A$73,0))))</f>
        <v/>
      </c>
      <c r="DF149" s="10" t="s">
        <v>38</v>
      </c>
      <c r="DG149" s="7"/>
      <c r="DH149" s="7"/>
      <c r="DI149" s="31" t="str">
        <f>IF(DH149/(INDEX('Standards for Conversions'!$H$34:$H$73,MATCH(DG$3,'Standards for Conversions'!$A$34:$A$73,0)))=0,"",DH149/(INDEX('Standards for Conversions'!$H$34:$H$73,MATCH(DG$3,'Standards for Conversions'!$A$34:$A$73,0))))</f>
        <v/>
      </c>
      <c r="DJ149" s="10" t="s">
        <v>38</v>
      </c>
      <c r="DK149" s="7"/>
      <c r="DL149" s="7"/>
      <c r="DM149" s="31" t="str">
        <f>IF(DL149/(INDEX('Standards for Conversions'!$H$34:$H$73,MATCH(DK$3,'Standards for Conversions'!$A$34:$A$73,0)))=0,"",DL149/(INDEX('Standards for Conversions'!$H$34:$H$73,MATCH(DK$3,'Standards for Conversions'!$A$34:$A$73,0))))</f>
        <v/>
      </c>
      <c r="DN149" s="10" t="s">
        <v>38</v>
      </c>
      <c r="DO149" s="7"/>
      <c r="DP149" s="7"/>
      <c r="DQ149" s="31" t="str">
        <f>IF(DP149/(INDEX('Standards for Conversions'!$H$34:$H$73,MATCH(DO$3,'Standards for Conversions'!$A$34:$A$73,0)))=0,"",DP149/(INDEX('Standards for Conversions'!$H$34:$H$73,MATCH(DO$3,'Standards for Conversions'!$A$34:$A$73,0))))</f>
        <v/>
      </c>
      <c r="DR149" s="10" t="s">
        <v>38</v>
      </c>
      <c r="DS149" s="7"/>
      <c r="DT149" s="7"/>
      <c r="DU149" s="31" t="str">
        <f>IF(DT149/(INDEX('Standards for Conversions'!$H$34:$H$73,MATCH(DS$3,'Standards for Conversions'!$A$34:$A$73,0)))=0,"",DT149/(INDEX('Standards for Conversions'!$H$34:$H$73,MATCH(DS$3,'Standards for Conversions'!$A$34:$A$73,0))))</f>
        <v/>
      </c>
      <c r="DV149" s="10" t="s">
        <v>38</v>
      </c>
      <c r="DW149" s="7"/>
      <c r="DX149" s="7"/>
      <c r="DY149" s="31" t="str">
        <f>IF(DX149/(INDEX('Standards for Conversions'!$H$34:$H$73,MATCH(DW$3,'Standards for Conversions'!$A$34:$A$73,0)))=0,"",DX149/(INDEX('Standards for Conversions'!$H$34:$H$73,MATCH(DW$3,'Standards for Conversions'!$A$34:$A$73,0))))</f>
        <v/>
      </c>
      <c r="DZ149" s="10" t="s">
        <v>38</v>
      </c>
      <c r="EA149" s="7"/>
      <c r="EB149" s="7"/>
      <c r="EC149" s="31" t="str">
        <f>IF(EB149/(INDEX('Standards for Conversions'!$H$34:$H$73,MATCH(EA$3,'Standards for Conversions'!$A$34:$A$73,0)))=0,"",EB149/(INDEX('Standards for Conversions'!$H$34:$H$73,MATCH(EA$3,'Standards for Conversions'!$A$34:$A$73,0))))</f>
        <v/>
      </c>
      <c r="ED149" s="10" t="s">
        <v>38</v>
      </c>
      <c r="EE149" s="7"/>
      <c r="EF149" s="7"/>
      <c r="EG149" s="31" t="str">
        <f>IF(EF149/(INDEX('Standards for Conversions'!$H$34:$H$73,MATCH(EE$3,'Standards for Conversions'!$A$34:$A$73,0)))=0,"",EF149/(INDEX('Standards for Conversions'!$H$34:$H$73,MATCH(EE$3,'Standards for Conversions'!$A$34:$A$73,0))))</f>
        <v/>
      </c>
      <c r="EH149" s="10" t="s">
        <v>38</v>
      </c>
      <c r="EI149" s="7"/>
      <c r="EJ149" s="7"/>
      <c r="EK149" s="31" t="str">
        <f>IF(EJ149/(INDEX('Standards for Conversions'!$H$34:$H$73,MATCH(EI$3,'Standards for Conversions'!$A$34:$A$73,0)))=0,"",EJ149/(INDEX('Standards for Conversions'!$H$34:$H$73,MATCH(EI$3,'Standards for Conversions'!$A$34:$A$73,0))))</f>
        <v/>
      </c>
      <c r="EL149" s="10" t="s">
        <v>38</v>
      </c>
      <c r="EM149" s="7"/>
      <c r="EN149" s="7"/>
      <c r="EO149" s="31" t="str">
        <f>IF(EN149/(INDEX('Standards for Conversions'!$H$34:$H$73,MATCH(EM$3,'Standards for Conversions'!$A$34:$A$73,0)))=0,"",EN149/(INDEX('Standards for Conversions'!$H$34:$H$73,MATCH(EM$3,'Standards for Conversions'!$A$34:$A$73,0))))</f>
        <v/>
      </c>
      <c r="EP149" s="10" t="s">
        <v>38</v>
      </c>
      <c r="EQ149" s="7"/>
      <c r="ER149" s="7"/>
      <c r="ES149" s="31" t="str">
        <f>IF(ER149/(INDEX('Standards for Conversions'!$H$34:$H$73,MATCH(EQ$3,'Standards for Conversions'!$A$34:$A$73,0)))=0,"",ER149/(INDEX('Standards for Conversions'!$H$34:$H$73,MATCH(EQ$3,'Standards for Conversions'!$A$34:$A$73,0))))</f>
        <v/>
      </c>
      <c r="ET149" s="10" t="s">
        <v>38</v>
      </c>
      <c r="EU149" s="7"/>
      <c r="EV149" s="7"/>
      <c r="EW149" s="31" t="str">
        <f>IF(EV149/(INDEX('Standards for Conversions'!$H$34:$H$73,MATCH(EU$3,'Standards for Conversions'!$A$34:$A$73,0)))=0,"",EV149/(INDEX('Standards for Conversions'!$H$34:$H$73,MATCH(EU$3,'Standards for Conversions'!$A$34:$A$73,0))))</f>
        <v/>
      </c>
      <c r="EX149" s="10" t="s">
        <v>38</v>
      </c>
      <c r="EY149" s="9"/>
      <c r="EZ149" s="9"/>
      <c r="FA149" s="31" t="str">
        <f>IF(EZ149/(INDEX('Standards for Conversions'!$H$34:$H$73,MATCH(EY$3,'Standards for Conversions'!$A$34:$A$73,0)))=0,"",EZ149/(INDEX('Standards for Conversions'!$H$34:$H$73,MATCH(EY$3,'Standards for Conversions'!$A$34:$A$73,0))))</f>
        <v/>
      </c>
      <c r="FB149" s="10" t="s">
        <v>38</v>
      </c>
      <c r="FC149" s="7"/>
      <c r="FD149" s="7"/>
      <c r="FE149" s="31" t="str">
        <f>IF(FD149/(INDEX('Standards for Conversions'!$H$34:$H$73,MATCH(FC$3,'Standards for Conversions'!$A$34:$A$73,0)))=0,"",FD149/(INDEX('Standards for Conversions'!$H$34:$H$73,MATCH(FC$3,'Standards for Conversions'!$A$34:$A$73,0))))</f>
        <v/>
      </c>
      <c r="FF149" s="10" t="s">
        <v>38</v>
      </c>
      <c r="FG149" s="7"/>
      <c r="FH149" s="7"/>
      <c r="FI149" s="31" t="str">
        <f>IF(FH149/(INDEX('Standards for Conversions'!$H$34:$H$73,MATCH(FG$3,'Standards for Conversions'!$A$34:$A$73,0)))=0,"",FH149/(INDEX('Standards for Conversions'!$H$34:$H$73,MATCH(FG$3,'Standards for Conversions'!$A$34:$A$73,0))))</f>
        <v/>
      </c>
      <c r="FJ149" s="10" t="s">
        <v>38</v>
      </c>
      <c r="FK149" s="7"/>
      <c r="FL149" s="7"/>
      <c r="FM149" s="31" t="str">
        <f>IF(FL149/(INDEX('Standards for Conversions'!$H$34:$H$73,MATCH(FK$3,'Standards for Conversions'!$A$34:$A$73,0)))=0,"",FL149/(INDEX('Standards for Conversions'!$H$34:$H$73,MATCH(FK$3,'Standards for Conversions'!$A$34:$A$73,0))))</f>
        <v/>
      </c>
      <c r="FN149" s="10" t="s">
        <v>38</v>
      </c>
      <c r="FO149" s="9"/>
      <c r="FP149" s="9"/>
      <c r="FQ149" s="31" t="str">
        <f>IF(FP149/(INDEX('Standards for Conversions'!$H$34:$H$73,MATCH(FO$3,'Standards for Conversions'!$A$34:$A$73,0)))=0,"",FP149/(INDEX('Standards for Conversions'!$H$34:$H$73,MATCH(FO$3,'Standards for Conversions'!$A$34:$A$73,0))))</f>
        <v/>
      </c>
      <c r="FR149" s="10" t="s">
        <v>38</v>
      </c>
      <c r="FS149" s="7"/>
      <c r="FT149" s="7"/>
      <c r="FU149" s="31" t="str">
        <f>IF(FT149/(INDEX('Standards for Conversions'!$H$34:$H$73,MATCH(FS$3,'Standards for Conversions'!$A$34:$A$73,0)))=0,"",FT149/(INDEX('Standards for Conversions'!$H$34:$H$73,MATCH(FS$3,'Standards for Conversions'!$A$34:$A$73,0))))</f>
        <v/>
      </c>
      <c r="FV149" s="10" t="s">
        <v>38</v>
      </c>
      <c r="FW149" s="7"/>
      <c r="FX149" s="7"/>
      <c r="FY149" s="31" t="str">
        <f>IF(FX149/(INDEX('Standards for Conversions'!$H$34:$H$73,MATCH(FW$3,'Standards for Conversions'!$A$34:$A$73,0)))=0,"",FX149/(INDEX('Standards for Conversions'!$H$34:$H$73,MATCH(FW$3,'Standards for Conversions'!$A$34:$A$73,0))))</f>
        <v/>
      </c>
      <c r="FZ149" s="10" t="s">
        <v>38</v>
      </c>
      <c r="GA149" s="7"/>
      <c r="GB149" s="7"/>
      <c r="GC149" s="31" t="str">
        <f>IF(GB149/(INDEX('Standards for Conversions'!$H$34:$H$73,MATCH(GA$3,'Standards for Conversions'!$A$34:$A$73,0)))=0,"",GB149/(INDEX('Standards for Conversions'!$H$34:$H$73,MATCH(GA$3,'Standards for Conversions'!$A$34:$A$73,0))))</f>
        <v/>
      </c>
      <c r="GD149" s="10" t="s">
        <v>38</v>
      </c>
      <c r="GE149" s="9"/>
      <c r="GF149" s="9"/>
      <c r="GG149" s="31" t="str">
        <f>IF(GF149/(INDEX('Standards for Conversions'!$H$34:$H$73,MATCH(GE$3,'Standards for Conversions'!$A$34:$A$73,0)))=0,"",GF149/(INDEX('Standards for Conversions'!$H$34:$H$73,MATCH(GE$3,'Standards for Conversions'!$A$34:$A$73,0))))</f>
        <v/>
      </c>
      <c r="GH149" s="10" t="s">
        <v>38</v>
      </c>
      <c r="GI149" s="7"/>
      <c r="GJ149" s="7"/>
      <c r="GK149" s="31" t="str">
        <f>IF(GJ149/(INDEX('Standards for Conversions'!$H$34:$H$73,MATCH(GI$3,'Standards for Conversions'!$A$34:$A$73,0)))=0,"",GJ149/(INDEX('Standards for Conversions'!$H$34:$H$73,MATCH(GI$3,'Standards for Conversions'!$A$34:$A$73,0))))</f>
        <v/>
      </c>
      <c r="GL149" s="10" t="s">
        <v>38</v>
      </c>
      <c r="GM149" s="7"/>
      <c r="GN149" s="7"/>
      <c r="GO149" s="31" t="str">
        <f>IF(GN149/(INDEX('Standards for Conversions'!$H$34:$H$73,MATCH(GM$3,'Standards for Conversions'!$A$34:$A$73,0)))=0,"",GN149/(INDEX('Standards for Conversions'!$H$34:$H$73,MATCH(GM$3,'Standards for Conversions'!$A$34:$A$73,0))))</f>
        <v/>
      </c>
      <c r="GP149" s="10" t="s">
        <v>38</v>
      </c>
      <c r="GQ149" s="7"/>
      <c r="GR149" s="7"/>
      <c r="GS149" s="31" t="str">
        <f>IF(GR149/(INDEX('Standards for Conversions'!$H$34:$H$73,MATCH(GQ$3,'Standards for Conversions'!$A$34:$A$73,0)))=0,"",GR149/(INDEX('Standards for Conversions'!$H$34:$H$73,MATCH(GQ$3,'Standards for Conversions'!$A$34:$A$73,0))))</f>
        <v/>
      </c>
      <c r="GT149" s="10" t="s">
        <v>38</v>
      </c>
      <c r="GU149" s="9"/>
      <c r="GV149" s="9"/>
      <c r="GW149" s="31" t="str">
        <f>IF(GV149/(INDEX('Standards for Conversions'!$H$34:$H$73,MATCH(GU$3,'Standards for Conversions'!$A$34:$A$73,0)))=0,"",GV149/(INDEX('Standards for Conversions'!$H$34:$H$73,MATCH(GU$3,'Standards for Conversions'!$A$34:$A$73,0))))</f>
        <v/>
      </c>
      <c r="GX149" s="10" t="s">
        <v>38</v>
      </c>
      <c r="GY149" s="7"/>
      <c r="GZ149" s="7"/>
      <c r="HA149" s="31" t="str">
        <f>IF(GZ149/(INDEX('Standards for Conversions'!$H$34:$H$73,MATCH(GY$3,'Standards for Conversions'!$A$34:$A$73,0)))=0,"",GZ149/(INDEX('Standards for Conversions'!$H$34:$H$73,MATCH(GY$3,'Standards for Conversions'!$A$34:$A$73,0))))</f>
        <v/>
      </c>
      <c r="HB149" s="10" t="s">
        <v>38</v>
      </c>
      <c r="HC149" s="7"/>
      <c r="HD149" s="7"/>
      <c r="HE149" s="31" t="str">
        <f>IF(HD149/(INDEX('Standards for Conversions'!$H$34:$H$73,MATCH(HC$3,'Standards for Conversions'!$A$34:$A$73,0)))=0,"",HD149/(INDEX('Standards for Conversions'!$H$34:$H$73,MATCH(HC$3,'Standards for Conversions'!$A$34:$A$73,0))))</f>
        <v/>
      </c>
      <c r="HF149" s="10" t="s">
        <v>38</v>
      </c>
      <c r="HG149" s="7"/>
      <c r="HH149" s="7"/>
      <c r="HI149" s="31" t="str">
        <f>IF(HH149/(INDEX('Standards for Conversions'!$H$34:$H$73,MATCH(HG$3,'Standards for Conversions'!$A$34:$A$73,0)))=0,"",HH149/(INDEX('Standards for Conversions'!$H$34:$H$73,MATCH(HG$3,'Standards for Conversions'!$A$34:$A$73,0))))</f>
        <v/>
      </c>
      <c r="HJ149" s="10" t="s">
        <v>38</v>
      </c>
      <c r="HK149" s="9"/>
      <c r="HL149" s="9"/>
      <c r="HM149" s="31" t="str">
        <f>IF(HL149/(INDEX('Standards for Conversions'!$H$34:$H$73,MATCH(HK$3,'Standards for Conversions'!$A$34:$A$73,0)))=0,"",HL149/(INDEX('Standards for Conversions'!$H$34:$H$73,MATCH(HK$3,'Standards for Conversions'!$A$34:$A$73,0))))</f>
        <v/>
      </c>
      <c r="HN149" s="10" t="s">
        <v>38</v>
      </c>
      <c r="HO149" s="7"/>
      <c r="HP149" s="7"/>
      <c r="HQ149" s="31" t="str">
        <f>IF(HP149/(INDEX('Standards for Conversions'!$H$34:$H$73,MATCH(HO$3,'Standards for Conversions'!$A$34:$A$73,0)))=0,"",HP149/(INDEX('Standards for Conversions'!$H$34:$H$73,MATCH(HO$3,'Standards for Conversions'!$A$34:$A$73,0))))</f>
        <v/>
      </c>
      <c r="HR149" s="33" t="s">
        <v>38</v>
      </c>
      <c r="HU149" s="31" t="str">
        <f>IF(HT149/(INDEX('Standards for Conversions'!$H$47:$H$73,MATCH(HS$3,'Standards for Conversions'!$A$47:$A$73,0)))=0,"",HT149/(INDEX('Standards for Conversions'!$H$47:$H$73,MATCH(HS$3,'Standards for Conversions'!$A$47:$A$73,0))))</f>
        <v/>
      </c>
      <c r="HV149" s="33" t="s">
        <v>38</v>
      </c>
      <c r="HY149" s="31" t="str">
        <f>IF(HX149/(INDEX('Standards for Conversions'!$H$47:$H$73,MATCH(HW$3,'Standards for Conversions'!$A$47:$A$73,0)))=0,"",HX149/(INDEX('Standards for Conversions'!$H$47:$H$73,MATCH(HW$3,'Standards for Conversions'!$A$47:$A$73,0))))</f>
        <v/>
      </c>
      <c r="HZ149" s="33">
        <v>10</v>
      </c>
      <c r="IA149" s="33">
        <v>300</v>
      </c>
      <c r="IB149" s="31">
        <f>IF(IA149/(INDEX('Standards for Conversions'!$H$47:$H$73,MATCH(HZ$3,'Standards for Conversions'!$A$47:$A$73,0)))=0,"",IA149/(INDEX('Standards for Conversions'!$H$47:$H$73,MATCH(HZ$3,'Standards for Conversions'!$A$47:$A$73,0))))</f>
        <v>43.573623663856786</v>
      </c>
      <c r="IC149" s="33" t="s">
        <v>38</v>
      </c>
      <c r="IF149" s="31" t="str">
        <f>IF(IE149/(INDEX('Standards for Conversions'!$H$47:$H$73,MATCH(ID$3,'Standards for Conversions'!$A$47:$A$73,0)))=0,"",IE149/(INDEX('Standards for Conversions'!$H$47:$H$73,MATCH(ID$3,'Standards for Conversions'!$A$47:$A$73,0))))</f>
        <v/>
      </c>
      <c r="IG149" s="33" t="s">
        <v>38</v>
      </c>
      <c r="IJ149" s="31" t="str">
        <f>IF(II149/(INDEX('Standards for Conversions'!$H$47:$H$73,MATCH(IH$3,'Standards for Conversions'!$A$47:$A$73,0)))=0,"",II149/(INDEX('Standards for Conversions'!$H$47:$H$73,MATCH(IH$3,'Standards for Conversions'!$A$47:$A$73,0))))</f>
        <v/>
      </c>
      <c r="IK149" s="33" t="s">
        <v>38</v>
      </c>
      <c r="IN149" s="31" t="str">
        <f>IF(IM149/(INDEX('Standards for Conversions'!$H$47:$H$73,MATCH(IL$3,'Standards for Conversions'!$A$47:$A$73,0)))=0,"",IM149/(INDEX('Standards for Conversions'!$H$47:$H$73,MATCH(IL$3,'Standards for Conversions'!$A$47:$A$73,0))))</f>
        <v/>
      </c>
      <c r="IO149" s="33" t="s">
        <v>38</v>
      </c>
      <c r="IP149" s="29">
        <v>5</v>
      </c>
      <c r="IQ149" s="29">
        <v>150</v>
      </c>
      <c r="IR149" s="31">
        <f>IF(IQ149/(INDEX('Standards for Conversions'!$H$47:$H$73,MATCH(IP$3,'Standards for Conversions'!$A$47:$A$73,0)))=0,"",IQ149/(INDEX('Standards for Conversions'!$H$47:$H$73,MATCH(IP$3,'Standards for Conversions'!$A$47:$A$73,0))))</f>
        <v>21.691534229164855</v>
      </c>
      <c r="IS149" s="33" t="s">
        <v>38</v>
      </c>
      <c r="IV149" s="31" t="str">
        <f>IF(IU149/(INDEX('Standards for Conversions'!$H$47:$H$73,MATCH(IT$3,'Standards for Conversions'!$A$47:$A$73,0)))=0,"",IU149/(INDEX('Standards for Conversions'!$H$47:$H$73,MATCH(IT$3,'Standards for Conversions'!$A$47:$A$73,0))))</f>
        <v/>
      </c>
      <c r="IW149" s="33" t="s">
        <v>38</v>
      </c>
      <c r="IZ149" s="31" t="str">
        <f>IF(IY149/(INDEX('Standards for Conversions'!$H$47:$H$73,MATCH(IX$3,'Standards for Conversions'!$A$47:$A$73,0)))=0,"",IY149/(INDEX('Standards for Conversions'!$H$47:$H$73,MATCH(IX$3,'Standards for Conversions'!$A$47:$A$73,0))))</f>
        <v/>
      </c>
      <c r="JA149" s="48" t="s">
        <v>38</v>
      </c>
      <c r="JD149" s="31" t="str">
        <f>IF(JC149/(INDEX('Standards for Conversions'!$H$47:$H$73,MATCH(JB$3,'Standards for Conversions'!$A$47:$A$73,0)))=0,"",JC149/(INDEX('Standards for Conversions'!$H$47:$H$73,MATCH(JB$3,'Standards for Conversions'!$A$47:$A$73,0))))</f>
        <v/>
      </c>
      <c r="JE149" s="48" t="s">
        <v>38</v>
      </c>
      <c r="JF149" s="29">
        <v>8</v>
      </c>
      <c r="JG149" s="29">
        <v>500</v>
      </c>
      <c r="JH149" s="31">
        <f>IF(JG149/(INDEX('Standards for Conversions'!$H$47:$H$73,MATCH(JF$3,'Standards for Conversions'!$A$47:$A$73,0)))=0,"",JG149/(INDEX('Standards for Conversions'!$H$47:$H$73,MATCH(JF$3,'Standards for Conversions'!$A$47:$A$73,0))))</f>
        <v>80.880098345934343</v>
      </c>
      <c r="JI149" s="33"/>
      <c r="JL149" s="31" t="str">
        <f>IF(JK149/(INDEX('Standards for Conversions'!$H$47:$H$73,MATCH(JJ$3,'Standards for Conversions'!$A$47:$A$73,0)))=0,"",JK149/(INDEX('Standards for Conversions'!$H$47:$H$73,MATCH(JJ$3,'Standards for Conversions'!$A$47:$A$73,0))))</f>
        <v/>
      </c>
      <c r="JM149" s="33" t="s">
        <v>45</v>
      </c>
      <c r="JP149" s="31" t="str">
        <f>IF(JO149/(INDEX('Standards for Conversions'!$H$47:$H$73,MATCH(JN$3,'Standards for Conversions'!$A$47:$A$73,0)))=0,"",JO149/(INDEX('Standards for Conversions'!$H$47:$H$73,MATCH(JN$3,'Standards for Conversions'!$A$47:$A$73,0))))</f>
        <v/>
      </c>
      <c r="JQ149" s="33" t="s">
        <v>45</v>
      </c>
      <c r="JT149" s="31" t="str">
        <f>IF(JS149/(INDEX('Standards for Conversions'!$H$47:$H$73,MATCH(JR$3,'Standards for Conversions'!$A$47:$A$73,0)))=0,"",JS149/(INDEX('Standards for Conversions'!$H$47:$H$73,MATCH(JR$3,'Standards for Conversions'!$A$47:$A$73,0))))</f>
        <v/>
      </c>
      <c r="JU149" s="33" t="s">
        <v>45</v>
      </c>
      <c r="JV149" s="29">
        <v>6</v>
      </c>
      <c r="JW149" s="29">
        <v>400</v>
      </c>
      <c r="JX149" s="31">
        <f>IF(JW149/(INDEX('Standards for Conversions'!$H$47:$H$73,MATCH(JV$3,'Standards for Conversions'!$A$47:$A$73,0)))=0,"",JW149/(INDEX('Standards for Conversions'!$H$47:$H$73,MATCH(JV$3,'Standards for Conversions'!$A$47:$A$73,0))))</f>
        <v>61.062356971119023</v>
      </c>
      <c r="JY149" s="33" t="s">
        <v>45</v>
      </c>
      <c r="KB149" s="31" t="str">
        <f>IF(KA149/(INDEX('Standards for Conversions'!$H$47:$H$73,MATCH(JZ$3,'Standards for Conversions'!$A$47:$A$73,0)))=0,"",KA149/(INDEX('Standards for Conversions'!$H$47:$H$73,MATCH(JZ$3,'Standards for Conversions'!$A$47:$A$73,0))))</f>
        <v/>
      </c>
      <c r="KC149" s="33" t="s">
        <v>45</v>
      </c>
      <c r="KF149" s="31" t="str">
        <f>IF(KE149/(INDEX('Standards for Conversions'!$H$47:$H$73,MATCH(KD$3,'Standards for Conversions'!$A$47:$A$73,0)))=0,"",KE149/(INDEX('Standards for Conversions'!$H$47:$H$73,MATCH(KD$3,'Standards for Conversions'!$A$47:$A$73,0))))</f>
        <v/>
      </c>
      <c r="KG149" s="33" t="s">
        <v>45</v>
      </c>
      <c r="KJ149" s="31" t="str">
        <f>IF(KI149/(INDEX('Standards for Conversions'!$H$47:$H$73,MATCH(KH$3,'Standards for Conversions'!$A$47:$A$73,0)))=0,"",KI149/(INDEX('Standards for Conversions'!$H$47:$H$73,MATCH(KH$3,'Standards for Conversions'!$A$47:$A$73,0))))</f>
        <v/>
      </c>
      <c r="KK149" s="48" t="s">
        <v>45</v>
      </c>
      <c r="KL149" s="29">
        <v>10</v>
      </c>
      <c r="KM149" s="29">
        <v>700</v>
      </c>
      <c r="KN149" s="31">
        <f>IF(KM149/(INDEX('Standards for Conversions'!$H$47:$H$73,MATCH(KL$3,'Standards for Conversions'!$A$47:$A$73,0)))=0,"",KM149/(INDEX('Standards for Conversions'!$H$47:$H$73,MATCH(KL$3,'Standards for Conversions'!$A$47:$A$73,0))))</f>
        <v>94.261308334057517</v>
      </c>
      <c r="KO149" s="33" t="s">
        <v>38</v>
      </c>
      <c r="KR149" s="31" t="str">
        <f>IF(KQ149/(INDEX('Standards for Conversions'!$H$47:$H$73,MATCH(KP$3,'Standards for Conversions'!$A$47:$A$73,0)))=0,"",KQ149/(INDEX('Standards for Conversions'!$H$47:$H$73,MATCH(KP$3,'Standards for Conversions'!$A$47:$A$73,0))))</f>
        <v/>
      </c>
      <c r="KS149" s="33" t="s">
        <v>38</v>
      </c>
      <c r="KV149" s="31" t="str">
        <f>IF(KU149/(INDEX('Standards for Conversions'!$H$47:$H$73,MATCH(KT$3,'Standards for Conversions'!$A$47:$A$73,0)))=0,"",KU149/(INDEX('Standards for Conversions'!$H$47:$H$73,MATCH(KT$3,'Standards for Conversions'!$A$47:$A$73,0))))</f>
        <v/>
      </c>
      <c r="KW149" s="48" t="s">
        <v>38</v>
      </c>
      <c r="KZ149" s="31" t="str">
        <f>IF(KY149/(INDEX('Standards for Conversions'!$H$47:$H$73,MATCH(KX$3,'Standards for Conversions'!$A$47:$A$73,0)))=0,"",KY149/(INDEX('Standards for Conversions'!$H$47:$H$73,MATCH(KX$3,'Standards for Conversions'!$A$47:$A$73,0))))</f>
        <v/>
      </c>
      <c r="LA149" s="48" t="s">
        <v>45</v>
      </c>
      <c r="LB149" s="29">
        <v>10</v>
      </c>
      <c r="LC149" s="29">
        <v>500</v>
      </c>
      <c r="LD149" s="31">
        <f>IF(LC149/(INDEX('Standards for Conversions'!$H$47:$H$73,MATCH(LB$3,'Standards for Conversions'!$A$47:$A$73,0)))=0,"",LC149/(INDEX('Standards for Conversions'!$H$47:$H$73,MATCH(LB$3,'Standards for Conversions'!$A$47:$A$73,0))))</f>
        <v>60.808283363749588</v>
      </c>
      <c r="LE149" s="33"/>
      <c r="LH149" s="31" t="str">
        <f>IF(LG149/(INDEX('Standards for Conversions'!$H$47:$H$73,MATCH(LF$3,'Standards for Conversions'!$A$47:$A$73,0)))=0,"",LG149/(INDEX('Standards for Conversions'!$H$47:$H$73,MATCH(LF$3,'Standards for Conversions'!$A$47:$A$73,0))))</f>
        <v/>
      </c>
      <c r="LL149" s="31" t="str">
        <f>IF(LK149/(INDEX('Standards for Conversions'!$H$47:$H$73,MATCH(LJ$3,'Standards for Conversions'!$A$47:$A$73,0)))=0,"",LK149/(INDEX('Standards for Conversions'!$H$47:$H$73,MATCH(LJ$3,'Standards for Conversions'!$A$47:$A$73,0))))</f>
        <v/>
      </c>
      <c r="LO149" s="31" t="str">
        <f>IF(LN149/(INDEX('Standards for Conversions'!$H$47:$H$73,MATCH(LM$3,'Standards for Conversions'!$A$47:$A$73,0)))=0,"",LN149/(INDEX('Standards for Conversions'!$H$47:$H$73,MATCH(LM$3,'Standards for Conversions'!$A$47:$A$73,0))))</f>
        <v/>
      </c>
      <c r="LR149" s="31" t="str">
        <f>IF(LQ149/(INDEX('Standards for Conversions'!$H$47:$H$73,MATCH(LP$3,'Standards for Conversions'!$A$47:$A$73,0)))=0,"",LQ149/(INDEX('Standards for Conversions'!$H$47:$H$73,MATCH(LP$3,'Standards for Conversions'!$A$47:$A$73,0))))</f>
        <v/>
      </c>
      <c r="LV149" s="31" t="str">
        <f>IF(LU149/(INDEX('Standards for Conversions'!$H$47:$H$73,MATCH(LT$3,'Standards for Conversions'!$A$47:$A$73,0)))=0,"",LU149/(INDEX('Standards for Conversions'!$H$47:$H$73,MATCH(LT$3,'Standards for Conversions'!$A$47:$A$73,0))))</f>
        <v/>
      </c>
      <c r="LY149" s="31" t="str">
        <f>IF(LX149/(INDEX('Standards for Conversions'!$H$47:$H$73,MATCH(LW$3,'Standards for Conversions'!$A$47:$A$73,0)))=0,"",LX149/(INDEX('Standards for Conversions'!$H$47:$H$73,MATCH(LW$3,'Standards for Conversions'!$A$47:$A$73,0))))</f>
        <v/>
      </c>
      <c r="MB149" s="31" t="str">
        <f>IF(MA149/(INDEX('Standards for Conversions'!$H$47:$H$73,MATCH(LZ$3,'Standards for Conversions'!$A$47:$A$73,0)))=0,"",MA149/(INDEX('Standards for Conversions'!$H$47:$H$73,MATCH(LZ$3,'Standards for Conversions'!$A$47:$A$73,0))))</f>
        <v/>
      </c>
      <c r="ME149" s="31" t="str">
        <f>IF(MD149/(INDEX('Standards for Conversions'!$H$47:$H$73,MATCH(MC$3,'Standards for Conversions'!$A$47:$A$73,0)))=0,"",MD149/(INDEX('Standards for Conversions'!$H$47:$H$73,MATCH(MC$3,'Standards for Conversions'!$A$47:$A$73,0))))</f>
        <v/>
      </c>
      <c r="MH149" s="31" t="str">
        <f>IF(MG149/(INDEX('Standards for Conversions'!$H$47:$H$73,MATCH(MF$3,'Standards for Conversions'!$A$47:$A$73,0)))=0,"",MG149/(INDEX('Standards for Conversions'!$H$47:$H$73,MATCH(MF$3,'Standards for Conversions'!$A$47:$A$73,0))))</f>
        <v/>
      </c>
      <c r="MK149" s="31" t="str">
        <f>IF(MJ149/(INDEX('Standards for Conversions'!$H$47:$H$73,MATCH(MI$3,'Standards for Conversions'!$A$47:$A$73,0)))=0,"",MJ149/(INDEX('Standards for Conversions'!$H$47:$H$73,MATCH(MI$3,'Standards for Conversions'!$A$47:$A$73,0))))</f>
        <v/>
      </c>
      <c r="MN149" s="31" t="str">
        <f>IF(MM149/(INDEX('Standards for Conversions'!$H$47:$H$73,MATCH(ML$3,'Standards for Conversions'!$A$47:$A$73,0)))=0,"",MM149/(INDEX('Standards for Conversions'!$H$47:$H$73,MATCH(ML$3,'Standards for Conversions'!$A$47:$A$73,0))))</f>
        <v/>
      </c>
      <c r="MR149" s="31" t="str">
        <f>IF(MQ149/(INDEX('Standards for Conversions'!$H$47:$H$73,MATCH(MP$3,'Standards for Conversions'!$A$47:$A$73,0)))=0,"",MQ149/(INDEX('Standards for Conversions'!$H$47:$H$73,MATCH(MP$3,'Standards for Conversions'!$A$47:$A$73,0))))</f>
        <v/>
      </c>
    </row>
    <row r="150" spans="1:373" hidden="1" x14ac:dyDescent="0.3">
      <c r="A150" s="103" t="s">
        <v>314</v>
      </c>
      <c r="B150" s="10" t="s">
        <v>45</v>
      </c>
      <c r="C150" s="7"/>
      <c r="D150" s="7"/>
      <c r="E150" s="31" t="str">
        <f>IF(D150/(INDEX('Standards for Conversions'!$H$34:$H$73,MATCH(C$3,'Standards for Conversions'!$A$34:$A$73,0)))=0,"",D150/(INDEX('Standards for Conversions'!$H$34:$H$73,MATCH(C$3,'Standards for Conversions'!$A$34:$A$73,0))))</f>
        <v/>
      </c>
      <c r="F150" s="10" t="s">
        <v>45</v>
      </c>
      <c r="G150" s="7"/>
      <c r="H150" s="7"/>
      <c r="I150" s="31" t="str">
        <f>IF(H150/(INDEX('Standards for Conversions'!$H$34:$H$73,MATCH(G$3,'Standards for Conversions'!$A$34:$A$73,0)))=0,"",H150/(INDEX('Standards for Conversions'!$H$34:$H$73,MATCH(G$3,'Standards for Conversions'!$A$34:$A$73,0))))</f>
        <v/>
      </c>
      <c r="J150" s="10" t="s">
        <v>45</v>
      </c>
      <c r="K150" s="7"/>
      <c r="L150" s="7"/>
      <c r="M150" s="31" t="str">
        <f>IF(L150/(INDEX('Standards for Conversions'!$H$34:$H$73,MATCH(K$3,'Standards for Conversions'!$A$34:$A$73,0)))=0,"",L150/(INDEX('Standards for Conversions'!$H$34:$H$73,MATCH(K$3,'Standards for Conversions'!$A$34:$A$73,0))))</f>
        <v/>
      </c>
      <c r="N150" s="10" t="s">
        <v>45</v>
      </c>
      <c r="O150" s="7"/>
      <c r="P150" s="7"/>
      <c r="Q150" s="31" t="str">
        <f>IF(P150/(INDEX('Standards for Conversions'!$H$34:$H$73,MATCH(O$3,'Standards for Conversions'!$A$34:$A$73,0)))=0,"",P150/(INDEX('Standards for Conversions'!$H$34:$H$73,MATCH(O$3,'Standards for Conversions'!$A$34:$A$73,0))))</f>
        <v/>
      </c>
      <c r="R150" s="10" t="s">
        <v>45</v>
      </c>
      <c r="S150" s="7"/>
      <c r="T150" s="7"/>
      <c r="U150" s="31" t="str">
        <f>IF(T150/(INDEX('Standards for Conversions'!$H$34:$H$73,MATCH(S$3,'Standards for Conversions'!$A$34:$A$73,0)))=0,"",T150/(INDEX('Standards for Conversions'!$H$34:$H$73,MATCH(S$3,'Standards for Conversions'!$A$34:$A$73,0))))</f>
        <v/>
      </c>
      <c r="V150" s="10" t="s">
        <v>45</v>
      </c>
      <c r="W150" s="7"/>
      <c r="X150" s="7"/>
      <c r="Y150" s="31" t="str">
        <f>IF(X150/(INDEX('Standards for Conversions'!$H$34:$H$73,MATCH(W$3,'Standards for Conversions'!$A$34:$A$73,0)))=0,"",X150/(INDEX('Standards for Conversions'!$H$34:$H$73,MATCH(W$3,'Standards for Conversions'!$A$34:$A$73,0))))</f>
        <v/>
      </c>
      <c r="Z150" s="10" t="s">
        <v>45</v>
      </c>
      <c r="AA150" s="7"/>
      <c r="AB150" s="7"/>
      <c r="AC150" s="31" t="str">
        <f>IF(AB150/(INDEX('Standards for Conversions'!$H$34:$H$73,MATCH(AA$3,'Standards for Conversions'!$A$34:$A$73,0)))=0,"",AB150/(INDEX('Standards for Conversions'!$H$34:$H$73,MATCH(AA$3,'Standards for Conversions'!$A$34:$A$73,0))))</f>
        <v/>
      </c>
      <c r="AD150" s="10" t="s">
        <v>45</v>
      </c>
      <c r="AE150" s="7"/>
      <c r="AF150" s="7"/>
      <c r="AG150" s="31" t="str">
        <f>IF(AF150/(INDEX('Standards for Conversions'!$H$34:$H$73,MATCH(AE$3,'Standards for Conversions'!$A$34:$A$73,0)))=0,"",AF150/(INDEX('Standards for Conversions'!$H$34:$H$73,MATCH(AE$3,'Standards for Conversions'!$A$34:$A$73,0))))</f>
        <v/>
      </c>
      <c r="AH150" s="10" t="s">
        <v>45</v>
      </c>
      <c r="AI150" s="7"/>
      <c r="AJ150" s="7"/>
      <c r="AK150" s="31" t="str">
        <f>IF(AJ150/(INDEX('Standards for Conversions'!$H$34:$H$73,MATCH(AI$3,'Standards for Conversions'!$A$34:$A$73,0)))=0,"",AJ150/(INDEX('Standards for Conversions'!$H$34:$H$73,MATCH(AI$3,'Standards for Conversions'!$A$34:$A$73,0))))</f>
        <v/>
      </c>
      <c r="AL150" s="10" t="s">
        <v>45</v>
      </c>
      <c r="AM150" s="7"/>
      <c r="AN150" s="7"/>
      <c r="AO150" s="31" t="str">
        <f>IF(AN150/(INDEX('Standards for Conversions'!$H$34:$H$73,MATCH(AM$3,'Standards for Conversions'!$A$34:$A$73,0)))=0,"",AN150/(INDEX('Standards for Conversions'!$H$34:$H$73,MATCH(AM$3,'Standards for Conversions'!$A$34:$A$73,0))))</f>
        <v/>
      </c>
      <c r="AP150" s="10" t="s">
        <v>45</v>
      </c>
      <c r="AQ150" s="7"/>
      <c r="AR150" s="7"/>
      <c r="AS150" s="31" t="str">
        <f>IF(AR150/(INDEX('Standards for Conversions'!$H$34:$H$73,MATCH(AQ$3,'Standards for Conversions'!$A$34:$A$73,0)))=0,"",AR150/(INDEX('Standards for Conversions'!$H$34:$H$73,MATCH(AQ$3,'Standards for Conversions'!$A$34:$A$73,0))))</f>
        <v/>
      </c>
      <c r="AT150" s="10" t="s">
        <v>45</v>
      </c>
      <c r="AU150" s="7"/>
      <c r="AV150" s="7"/>
      <c r="AW150" s="31" t="str">
        <f>IF(AV150/(INDEX('Standards for Conversions'!$H$34:$H$73,MATCH(AU$3,'Standards for Conversions'!$A$34:$A$73,0)))=0,"",AV150/(INDEX('Standards for Conversions'!$H$34:$H$73,MATCH(AU$3,'Standards for Conversions'!$A$34:$A$73,0))))</f>
        <v/>
      </c>
      <c r="AX150" s="10" t="s">
        <v>45</v>
      </c>
      <c r="AY150" s="7"/>
      <c r="AZ150" s="7"/>
      <c r="BA150" s="31" t="str">
        <f>IF(AZ150/(INDEX('Standards for Conversions'!$H$34:$H$73,MATCH(AY$3,'Standards for Conversions'!$A$34:$A$73,0)))=0,"",AZ150/(INDEX('Standards for Conversions'!$H$34:$H$73,MATCH(AY$3,'Standards for Conversions'!$A$34:$A$73,0))))</f>
        <v/>
      </c>
      <c r="BB150" s="10" t="s">
        <v>45</v>
      </c>
      <c r="BC150" s="7"/>
      <c r="BD150" s="7"/>
      <c r="BE150" s="31" t="str">
        <f>IF(BD150/(INDEX('Standards for Conversions'!$H$34:$H$73,MATCH(BC$3,'Standards for Conversions'!$A$34:$A$73,0)))=0,"",BD150/(INDEX('Standards for Conversions'!$H$34:$H$73,MATCH(BC$3,'Standards for Conversions'!$A$34:$A$73,0))))</f>
        <v/>
      </c>
      <c r="BF150" s="10" t="s">
        <v>45</v>
      </c>
      <c r="BG150" s="7"/>
      <c r="BH150" s="7"/>
      <c r="BI150" s="31" t="str">
        <f>IF(BH150/(INDEX('Standards for Conversions'!$H$34:$H$73,MATCH(BG$3,'Standards for Conversions'!$A$34:$A$73,0)))=0,"",BH150/(INDEX('Standards for Conversions'!$H$34:$H$73,MATCH(BG$3,'Standards for Conversions'!$A$34:$A$73,0))))</f>
        <v/>
      </c>
      <c r="BJ150" s="10" t="s">
        <v>45</v>
      </c>
      <c r="BK150" s="7"/>
      <c r="BL150" s="7"/>
      <c r="BM150" s="31" t="str">
        <f>IF(BL150/(INDEX('Standards for Conversions'!$H$34:$H$73,MATCH(BK$3,'Standards for Conversions'!$A$34:$A$73,0)))=0,"",BL150/(INDEX('Standards for Conversions'!$H$34:$H$73,MATCH(BK$3,'Standards for Conversions'!$A$34:$A$73,0))))</f>
        <v/>
      </c>
      <c r="BN150" s="10" t="s">
        <v>45</v>
      </c>
      <c r="BO150" s="7"/>
      <c r="BP150" s="7"/>
      <c r="BQ150" s="31" t="str">
        <f>IF(BP150/(INDEX('Standards for Conversions'!$H$34:$H$73,MATCH(BO$3,'Standards for Conversions'!$A$34:$A$73,0)))=0,"",BP150/(INDEX('Standards for Conversions'!$H$34:$H$73,MATCH(BO$3,'Standards for Conversions'!$A$34:$A$73,0))))</f>
        <v/>
      </c>
      <c r="BR150" s="10" t="s">
        <v>45</v>
      </c>
      <c r="BS150" s="7"/>
      <c r="BT150" s="7"/>
      <c r="BU150" s="31" t="str">
        <f>IF(BT150/(INDEX('Standards for Conversions'!$H$34:$H$73,MATCH(BS$3,'Standards for Conversions'!$A$34:$A$73,0)))=0,"",BT150/(INDEX('Standards for Conversions'!$H$34:$H$73,MATCH(BS$3,'Standards for Conversions'!$A$34:$A$73,0))))</f>
        <v/>
      </c>
      <c r="BV150" s="10" t="s">
        <v>45</v>
      </c>
      <c r="BW150" s="7"/>
      <c r="BX150" s="7"/>
      <c r="BY150" s="31" t="str">
        <f>IF(BX150/(INDEX('Standards for Conversions'!$H$34:$H$73,MATCH(BW$3,'Standards for Conversions'!$A$34:$A$73,0)))=0,"",BX150/(INDEX('Standards for Conversions'!$H$34:$H$73,MATCH(BW$3,'Standards for Conversions'!$A$34:$A$73,0))))</f>
        <v/>
      </c>
      <c r="BZ150" s="10" t="s">
        <v>45</v>
      </c>
      <c r="CA150" s="7"/>
      <c r="CB150" s="7"/>
      <c r="CC150" s="31" t="str">
        <f>IF(CB150/(INDEX('Standards for Conversions'!$H$34:$H$73,MATCH(CA$3,'Standards for Conversions'!$A$34:$A$73,0)))=0,"",CB150/(INDEX('Standards for Conversions'!$H$34:$H$73,MATCH(CA$3,'Standards for Conversions'!$A$34:$A$73,0))))</f>
        <v/>
      </c>
      <c r="CD150" s="10" t="s">
        <v>45</v>
      </c>
      <c r="CE150" s="7"/>
      <c r="CF150" s="7"/>
      <c r="CG150" s="31" t="str">
        <f>IF(CF150/(INDEX('Standards for Conversions'!$H$34:$H$73,MATCH(CE$3,'Standards for Conversions'!$A$34:$A$73,0)))=0,"",CF150/(INDEX('Standards for Conversions'!$H$34:$H$73,MATCH(CE$3,'Standards for Conversions'!$A$34:$A$73,0))))</f>
        <v/>
      </c>
      <c r="CH150" s="10" t="s">
        <v>45</v>
      </c>
      <c r="CI150" s="7"/>
      <c r="CJ150" s="7"/>
      <c r="CK150" s="31" t="str">
        <f>IF(CJ150/(INDEX('Standards for Conversions'!$H$34:$H$73,MATCH(CI$3,'Standards for Conversions'!$A$34:$A$73,0)))=0,"",CJ150/(INDEX('Standards for Conversions'!$H$34:$H$73,MATCH(CI$3,'Standards for Conversions'!$A$34:$A$73,0))))</f>
        <v/>
      </c>
      <c r="CL150" s="10" t="s">
        <v>45</v>
      </c>
      <c r="CM150" s="7"/>
      <c r="CN150" s="7"/>
      <c r="CO150" s="31" t="str">
        <f>IF(CN150/(INDEX('Standards for Conversions'!$H$34:$H$73,MATCH(CM$3,'Standards for Conversions'!$A$34:$A$73,0)))=0,"",CN150/(INDEX('Standards for Conversions'!$H$34:$H$73,MATCH(CM$3,'Standards for Conversions'!$A$34:$A$73,0))))</f>
        <v/>
      </c>
      <c r="CP150" s="10" t="s">
        <v>45</v>
      </c>
      <c r="CQ150" s="7"/>
      <c r="CR150" s="7"/>
      <c r="CS150" s="31" t="str">
        <f>IF(CR150/(INDEX('Standards for Conversions'!$H$34:$H$73,MATCH(CQ$3,'Standards for Conversions'!$A$34:$A$73,0)))=0,"",CR150/(INDEX('Standards for Conversions'!$H$34:$H$73,MATCH(CQ$3,'Standards for Conversions'!$A$34:$A$73,0))))</f>
        <v/>
      </c>
      <c r="CT150" s="10" t="s">
        <v>45</v>
      </c>
      <c r="CU150" s="7"/>
      <c r="CV150" s="7"/>
      <c r="CW150" s="31" t="str">
        <f>IF(CV150/(INDEX('Standards for Conversions'!$H$34:$H$73,MATCH(CU$3,'Standards for Conversions'!$A$34:$A$73,0)))=0,"",CV150/(INDEX('Standards for Conversions'!$H$34:$H$73,MATCH(CU$3,'Standards for Conversions'!$A$34:$A$73,0))))</f>
        <v/>
      </c>
      <c r="CX150" s="10" t="s">
        <v>45</v>
      </c>
      <c r="CY150" s="7"/>
      <c r="CZ150" s="7"/>
      <c r="DA150" s="31" t="str">
        <f>IF(CZ150/(INDEX('Standards for Conversions'!$H$34:$H$73,MATCH(CY$3,'Standards for Conversions'!$A$34:$A$73,0)))=0,"",CZ150/(INDEX('Standards for Conversions'!$H$34:$H$73,MATCH(CY$3,'Standards for Conversions'!$A$34:$A$73,0))))</f>
        <v/>
      </c>
      <c r="DB150" s="10" t="s">
        <v>45</v>
      </c>
      <c r="DC150" s="7"/>
      <c r="DD150" s="7"/>
      <c r="DE150" s="31" t="str">
        <f>IF(DD150/(INDEX('Standards for Conversions'!$H$34:$H$73,MATCH(DC$3,'Standards for Conversions'!$A$34:$A$73,0)))=0,"",DD150/(INDEX('Standards for Conversions'!$H$34:$H$73,MATCH(DC$3,'Standards for Conversions'!$A$34:$A$73,0))))</f>
        <v/>
      </c>
      <c r="DF150" s="10" t="s">
        <v>45</v>
      </c>
      <c r="DG150" s="7"/>
      <c r="DH150" s="7"/>
      <c r="DI150" s="31" t="str">
        <f>IF(DH150/(INDEX('Standards for Conversions'!$H$34:$H$73,MATCH(DG$3,'Standards for Conversions'!$A$34:$A$73,0)))=0,"",DH150/(INDEX('Standards for Conversions'!$H$34:$H$73,MATCH(DG$3,'Standards for Conversions'!$A$34:$A$73,0))))</f>
        <v/>
      </c>
      <c r="DJ150" s="10" t="s">
        <v>45</v>
      </c>
      <c r="DK150" s="7"/>
      <c r="DL150" s="7"/>
      <c r="DM150" s="31" t="str">
        <f>IF(DL150/(INDEX('Standards for Conversions'!$H$34:$H$73,MATCH(DK$3,'Standards for Conversions'!$A$34:$A$73,0)))=0,"",DL150/(INDEX('Standards for Conversions'!$H$34:$H$73,MATCH(DK$3,'Standards for Conversions'!$A$34:$A$73,0))))</f>
        <v/>
      </c>
      <c r="DN150" s="10" t="s">
        <v>45</v>
      </c>
      <c r="DO150" s="7"/>
      <c r="DP150" s="7"/>
      <c r="DQ150" s="31" t="str">
        <f>IF(DP150/(INDEX('Standards for Conversions'!$H$34:$H$73,MATCH(DO$3,'Standards for Conversions'!$A$34:$A$73,0)))=0,"",DP150/(INDEX('Standards for Conversions'!$H$34:$H$73,MATCH(DO$3,'Standards for Conversions'!$A$34:$A$73,0))))</f>
        <v/>
      </c>
      <c r="DR150" s="10" t="s">
        <v>45</v>
      </c>
      <c r="DS150" s="7"/>
      <c r="DT150" s="7"/>
      <c r="DU150" s="31" t="str">
        <f>IF(DT150/(INDEX('Standards for Conversions'!$H$34:$H$73,MATCH(DS$3,'Standards for Conversions'!$A$34:$A$73,0)))=0,"",DT150/(INDEX('Standards for Conversions'!$H$34:$H$73,MATCH(DS$3,'Standards for Conversions'!$A$34:$A$73,0))))</f>
        <v/>
      </c>
      <c r="DV150" s="10" t="s">
        <v>45</v>
      </c>
      <c r="DW150" s="7"/>
      <c r="DX150" s="7"/>
      <c r="DY150" s="31" t="str">
        <f>IF(DX150/(INDEX('Standards for Conversions'!$H$34:$H$73,MATCH(DW$3,'Standards for Conversions'!$A$34:$A$73,0)))=0,"",DX150/(INDEX('Standards for Conversions'!$H$34:$H$73,MATCH(DW$3,'Standards for Conversions'!$A$34:$A$73,0))))</f>
        <v/>
      </c>
      <c r="DZ150" s="10" t="s">
        <v>45</v>
      </c>
      <c r="EA150" s="7"/>
      <c r="EB150" s="7"/>
      <c r="EC150" s="31" t="str">
        <f>IF(EB150/(INDEX('Standards for Conversions'!$H$34:$H$73,MATCH(EA$3,'Standards for Conversions'!$A$34:$A$73,0)))=0,"",EB150/(INDEX('Standards for Conversions'!$H$34:$H$73,MATCH(EA$3,'Standards for Conversions'!$A$34:$A$73,0))))</f>
        <v/>
      </c>
      <c r="ED150" s="10" t="s">
        <v>45</v>
      </c>
      <c r="EE150" s="7"/>
      <c r="EF150" s="7"/>
      <c r="EG150" s="31" t="str">
        <f>IF(EF150/(INDEX('Standards for Conversions'!$H$34:$H$73,MATCH(EE$3,'Standards for Conversions'!$A$34:$A$73,0)))=0,"",EF150/(INDEX('Standards for Conversions'!$H$34:$H$73,MATCH(EE$3,'Standards for Conversions'!$A$34:$A$73,0))))</f>
        <v/>
      </c>
      <c r="EH150" s="10" t="s">
        <v>45</v>
      </c>
      <c r="EI150" s="7"/>
      <c r="EJ150" s="7"/>
      <c r="EK150" s="31" t="str">
        <f>IF(EJ150/(INDEX('Standards for Conversions'!$H$34:$H$73,MATCH(EI$3,'Standards for Conversions'!$A$34:$A$73,0)))=0,"",EJ150/(INDEX('Standards for Conversions'!$H$34:$H$73,MATCH(EI$3,'Standards for Conversions'!$A$34:$A$73,0))))</f>
        <v/>
      </c>
      <c r="EL150" s="10" t="s">
        <v>45</v>
      </c>
      <c r="EM150" s="7"/>
      <c r="EN150" s="7"/>
      <c r="EO150" s="31" t="str">
        <f>IF(EN150/(INDEX('Standards for Conversions'!$H$34:$H$73,MATCH(EM$3,'Standards for Conversions'!$A$34:$A$73,0)))=0,"",EN150/(INDEX('Standards for Conversions'!$H$34:$H$73,MATCH(EM$3,'Standards for Conversions'!$A$34:$A$73,0))))</f>
        <v/>
      </c>
      <c r="EP150" s="10" t="s">
        <v>45</v>
      </c>
      <c r="EQ150" s="7"/>
      <c r="ER150" s="7"/>
      <c r="ES150" s="31" t="str">
        <f>IF(ER150/(INDEX('Standards for Conversions'!$H$34:$H$73,MATCH(EQ$3,'Standards for Conversions'!$A$34:$A$73,0)))=0,"",ER150/(INDEX('Standards for Conversions'!$H$34:$H$73,MATCH(EQ$3,'Standards for Conversions'!$A$34:$A$73,0))))</f>
        <v/>
      </c>
      <c r="ET150" s="10" t="s">
        <v>45</v>
      </c>
      <c r="EU150" s="7"/>
      <c r="EV150" s="7"/>
      <c r="EW150" s="31" t="str">
        <f>IF(EV150/(INDEX('Standards for Conversions'!$H$34:$H$73,MATCH(EU$3,'Standards for Conversions'!$A$34:$A$73,0)))=0,"",EV150/(INDEX('Standards for Conversions'!$H$34:$H$73,MATCH(EU$3,'Standards for Conversions'!$A$34:$A$73,0))))</f>
        <v/>
      </c>
      <c r="EX150" s="10" t="s">
        <v>45</v>
      </c>
      <c r="EY150" s="9"/>
      <c r="EZ150" s="9"/>
      <c r="FA150" s="31" t="str">
        <f>IF(EZ150/(INDEX('Standards for Conversions'!$H$34:$H$73,MATCH(EY$3,'Standards for Conversions'!$A$34:$A$73,0)))=0,"",EZ150/(INDEX('Standards for Conversions'!$H$34:$H$73,MATCH(EY$3,'Standards for Conversions'!$A$34:$A$73,0))))</f>
        <v/>
      </c>
      <c r="FB150" s="10" t="s">
        <v>45</v>
      </c>
      <c r="FC150" s="7"/>
      <c r="FD150" s="7"/>
      <c r="FE150" s="31" t="str">
        <f>IF(FD150/(INDEX('Standards for Conversions'!$H$34:$H$73,MATCH(FC$3,'Standards for Conversions'!$A$34:$A$73,0)))=0,"",FD150/(INDEX('Standards for Conversions'!$H$34:$H$73,MATCH(FC$3,'Standards for Conversions'!$A$34:$A$73,0))))</f>
        <v/>
      </c>
      <c r="FF150" s="10" t="s">
        <v>45</v>
      </c>
      <c r="FG150" s="7"/>
      <c r="FH150" s="7"/>
      <c r="FI150" s="31" t="str">
        <f>IF(FH150/(INDEX('Standards for Conversions'!$H$34:$H$73,MATCH(FG$3,'Standards for Conversions'!$A$34:$A$73,0)))=0,"",FH150/(INDEX('Standards for Conversions'!$H$34:$H$73,MATCH(FG$3,'Standards for Conversions'!$A$34:$A$73,0))))</f>
        <v/>
      </c>
      <c r="FJ150" s="10" t="s">
        <v>45</v>
      </c>
      <c r="FK150" s="7"/>
      <c r="FL150" s="7"/>
      <c r="FM150" s="31" t="str">
        <f>IF(FL150/(INDEX('Standards for Conversions'!$H$34:$H$73,MATCH(FK$3,'Standards for Conversions'!$A$34:$A$73,0)))=0,"",FL150/(INDEX('Standards for Conversions'!$H$34:$H$73,MATCH(FK$3,'Standards for Conversions'!$A$34:$A$73,0))))</f>
        <v/>
      </c>
      <c r="FN150" s="10" t="s">
        <v>45</v>
      </c>
      <c r="FO150" s="9"/>
      <c r="FP150" s="9"/>
      <c r="FQ150" s="31" t="str">
        <f>IF(FP150/(INDEX('Standards for Conversions'!$H$34:$H$73,MATCH(FO$3,'Standards for Conversions'!$A$34:$A$73,0)))=0,"",FP150/(INDEX('Standards for Conversions'!$H$34:$H$73,MATCH(FO$3,'Standards for Conversions'!$A$34:$A$73,0))))</f>
        <v/>
      </c>
      <c r="FR150" s="10" t="s">
        <v>45</v>
      </c>
      <c r="FS150" s="7"/>
      <c r="FT150" s="7"/>
      <c r="FU150" s="31" t="str">
        <f>IF(FT150/(INDEX('Standards for Conversions'!$H$34:$H$73,MATCH(FS$3,'Standards for Conversions'!$A$34:$A$73,0)))=0,"",FT150/(INDEX('Standards for Conversions'!$H$34:$H$73,MATCH(FS$3,'Standards for Conversions'!$A$34:$A$73,0))))</f>
        <v/>
      </c>
      <c r="FV150" s="10" t="s">
        <v>45</v>
      </c>
      <c r="FW150" s="7"/>
      <c r="FX150" s="7"/>
      <c r="FY150" s="31" t="str">
        <f>IF(FX150/(INDEX('Standards for Conversions'!$H$34:$H$73,MATCH(FW$3,'Standards for Conversions'!$A$34:$A$73,0)))=0,"",FX150/(INDEX('Standards for Conversions'!$H$34:$H$73,MATCH(FW$3,'Standards for Conversions'!$A$34:$A$73,0))))</f>
        <v/>
      </c>
      <c r="FZ150" s="10" t="s">
        <v>45</v>
      </c>
      <c r="GA150" s="7"/>
      <c r="GB150" s="7"/>
      <c r="GC150" s="31" t="str">
        <f>IF(GB150/(INDEX('Standards for Conversions'!$H$34:$H$73,MATCH(GA$3,'Standards for Conversions'!$A$34:$A$73,0)))=0,"",GB150/(INDEX('Standards for Conversions'!$H$34:$H$73,MATCH(GA$3,'Standards for Conversions'!$A$34:$A$73,0))))</f>
        <v/>
      </c>
      <c r="GD150" s="10" t="s">
        <v>45</v>
      </c>
      <c r="GE150" s="9"/>
      <c r="GF150" s="9"/>
      <c r="GG150" s="31" t="str">
        <f>IF(GF150/(INDEX('Standards for Conversions'!$H$34:$H$73,MATCH(GE$3,'Standards for Conversions'!$A$34:$A$73,0)))=0,"",GF150/(INDEX('Standards for Conversions'!$H$34:$H$73,MATCH(GE$3,'Standards for Conversions'!$A$34:$A$73,0))))</f>
        <v/>
      </c>
      <c r="GH150" s="10" t="s">
        <v>45</v>
      </c>
      <c r="GI150" s="7"/>
      <c r="GJ150" s="7"/>
      <c r="GK150" s="31" t="str">
        <f>IF(GJ150/(INDEX('Standards for Conversions'!$H$34:$H$73,MATCH(GI$3,'Standards for Conversions'!$A$34:$A$73,0)))=0,"",GJ150/(INDEX('Standards for Conversions'!$H$34:$H$73,MATCH(GI$3,'Standards for Conversions'!$A$34:$A$73,0))))</f>
        <v/>
      </c>
      <c r="GL150" s="10" t="s">
        <v>45</v>
      </c>
      <c r="GM150" s="7"/>
      <c r="GN150" s="7"/>
      <c r="GO150" s="31" t="str">
        <f>IF(GN150/(INDEX('Standards for Conversions'!$H$34:$H$73,MATCH(GM$3,'Standards for Conversions'!$A$34:$A$73,0)))=0,"",GN150/(INDEX('Standards for Conversions'!$H$34:$H$73,MATCH(GM$3,'Standards for Conversions'!$A$34:$A$73,0))))</f>
        <v/>
      </c>
      <c r="GP150" s="10" t="s">
        <v>45</v>
      </c>
      <c r="GQ150" s="7"/>
      <c r="GR150" s="7"/>
      <c r="GS150" s="31" t="str">
        <f>IF(GR150/(INDEX('Standards for Conversions'!$H$34:$H$73,MATCH(GQ$3,'Standards for Conversions'!$A$34:$A$73,0)))=0,"",GR150/(INDEX('Standards for Conversions'!$H$34:$H$73,MATCH(GQ$3,'Standards for Conversions'!$A$34:$A$73,0))))</f>
        <v/>
      </c>
      <c r="GT150" s="10" t="s">
        <v>45</v>
      </c>
      <c r="GU150" s="9"/>
      <c r="GV150" s="9"/>
      <c r="GW150" s="31" t="str">
        <f>IF(GV150/(INDEX('Standards for Conversions'!$H$34:$H$73,MATCH(GU$3,'Standards for Conversions'!$A$34:$A$73,0)))=0,"",GV150/(INDEX('Standards for Conversions'!$H$34:$H$73,MATCH(GU$3,'Standards for Conversions'!$A$34:$A$73,0))))</f>
        <v/>
      </c>
      <c r="GX150" s="10" t="s">
        <v>45</v>
      </c>
      <c r="GY150" s="7"/>
      <c r="GZ150" s="7"/>
      <c r="HA150" s="31" t="str">
        <f>IF(GZ150/(INDEX('Standards for Conversions'!$H$34:$H$73,MATCH(GY$3,'Standards for Conversions'!$A$34:$A$73,0)))=0,"",GZ150/(INDEX('Standards for Conversions'!$H$34:$H$73,MATCH(GY$3,'Standards for Conversions'!$A$34:$A$73,0))))</f>
        <v/>
      </c>
      <c r="HB150" s="10" t="s">
        <v>45</v>
      </c>
      <c r="HC150" s="7"/>
      <c r="HD150" s="7"/>
      <c r="HE150" s="31" t="str">
        <f>IF(HD150/(INDEX('Standards for Conversions'!$H$34:$H$73,MATCH(HC$3,'Standards for Conversions'!$A$34:$A$73,0)))=0,"",HD150/(INDEX('Standards for Conversions'!$H$34:$H$73,MATCH(HC$3,'Standards for Conversions'!$A$34:$A$73,0))))</f>
        <v/>
      </c>
      <c r="HF150" s="10" t="s">
        <v>45</v>
      </c>
      <c r="HG150" s="7"/>
      <c r="HH150" s="7"/>
      <c r="HI150" s="31" t="str">
        <f>IF(HH150/(INDEX('Standards for Conversions'!$H$34:$H$73,MATCH(HG$3,'Standards for Conversions'!$A$34:$A$73,0)))=0,"",HH150/(INDEX('Standards for Conversions'!$H$34:$H$73,MATCH(HG$3,'Standards for Conversions'!$A$34:$A$73,0))))</f>
        <v/>
      </c>
      <c r="HJ150" s="10" t="s">
        <v>45</v>
      </c>
      <c r="HK150" s="9"/>
      <c r="HL150" s="9"/>
      <c r="HM150" s="31" t="str">
        <f>IF(HL150/(INDEX('Standards for Conversions'!$H$34:$H$73,MATCH(HK$3,'Standards for Conversions'!$A$34:$A$73,0)))=0,"",HL150/(INDEX('Standards for Conversions'!$H$34:$H$73,MATCH(HK$3,'Standards for Conversions'!$A$34:$A$73,0))))</f>
        <v/>
      </c>
      <c r="HN150" s="10" t="s">
        <v>45</v>
      </c>
      <c r="HO150" s="7"/>
      <c r="HP150" s="7"/>
      <c r="HQ150" s="31" t="str">
        <f>IF(HP150/(INDEX('Standards for Conversions'!$H$34:$H$73,MATCH(HO$3,'Standards for Conversions'!$A$34:$A$73,0)))=0,"",HP150/(INDEX('Standards for Conversions'!$H$34:$H$73,MATCH(HO$3,'Standards for Conversions'!$A$34:$A$73,0))))</f>
        <v/>
      </c>
      <c r="HR150" s="33" t="s">
        <v>45</v>
      </c>
      <c r="HU150" s="31" t="str">
        <f>IF(HT150/(INDEX('Standards for Conversions'!$H$47:$H$73,MATCH(HS$3,'Standards for Conversions'!$A$47:$A$73,0)))=0,"",HT150/(INDEX('Standards for Conversions'!$H$47:$H$73,MATCH(HS$3,'Standards for Conversions'!$A$47:$A$73,0))))</f>
        <v/>
      </c>
      <c r="HV150" s="33" t="s">
        <v>45</v>
      </c>
      <c r="HY150" s="31" t="str">
        <f>IF(HX150/(INDEX('Standards for Conversions'!$H$47:$H$73,MATCH(HW$3,'Standards for Conversions'!$A$47:$A$73,0)))=0,"",HX150/(INDEX('Standards for Conversions'!$H$47:$H$73,MATCH(HW$3,'Standards for Conversions'!$A$47:$A$73,0))))</f>
        <v/>
      </c>
      <c r="HZ150" s="33"/>
      <c r="IA150" s="33"/>
      <c r="IB150" s="31" t="str">
        <f>IF(IA150/(INDEX('Standards for Conversions'!$H$47:$H$73,MATCH(HZ$3,'Standards for Conversions'!$A$47:$A$73,0)))=0,"",IA150/(INDEX('Standards for Conversions'!$H$47:$H$73,MATCH(HZ$3,'Standards for Conversions'!$A$47:$A$73,0))))</f>
        <v/>
      </c>
      <c r="IC150" s="33" t="s">
        <v>45</v>
      </c>
      <c r="ID150" s="29">
        <v>100</v>
      </c>
      <c r="IE150" s="29">
        <v>2000</v>
      </c>
      <c r="IF150" s="31">
        <f>IF(IE150/(INDEX('Standards for Conversions'!$H$47:$H$73,MATCH(ID$3,'Standards for Conversions'!$A$47:$A$73,0)))=0,"",IE150/(INDEX('Standards for Conversions'!$H$47:$H$73,MATCH(ID$3,'Standards for Conversions'!$A$47:$A$73,0))))</f>
        <v>290.49082442571193</v>
      </c>
      <c r="IG150" s="33" t="s">
        <v>45</v>
      </c>
      <c r="IJ150" s="31" t="str">
        <f>IF(II150/(INDEX('Standards for Conversions'!$H$47:$H$73,MATCH(IH$3,'Standards for Conversions'!$A$47:$A$73,0)))=0,"",II150/(INDEX('Standards for Conversions'!$H$47:$H$73,MATCH(IH$3,'Standards for Conversions'!$A$47:$A$73,0))))</f>
        <v/>
      </c>
      <c r="IK150" s="33" t="s">
        <v>45</v>
      </c>
      <c r="IN150" s="31" t="str">
        <f>IF(IM150/(INDEX('Standards for Conversions'!$H$47:$H$73,MATCH(IL$3,'Standards for Conversions'!$A$47:$A$73,0)))=0,"",IM150/(INDEX('Standards for Conversions'!$H$47:$H$73,MATCH(IL$3,'Standards for Conversions'!$A$47:$A$73,0))))</f>
        <v/>
      </c>
      <c r="IO150" s="33" t="s">
        <v>45</v>
      </c>
      <c r="IR150" s="31" t="str">
        <f>IF(IQ150/(INDEX('Standards for Conversions'!$H$47:$H$73,MATCH(IP$3,'Standards for Conversions'!$A$47:$A$73,0)))=0,"",IQ150/(INDEX('Standards for Conversions'!$H$47:$H$73,MATCH(IP$3,'Standards for Conversions'!$A$47:$A$73,0))))</f>
        <v/>
      </c>
      <c r="IS150" s="33" t="s">
        <v>45</v>
      </c>
      <c r="IT150" s="29">
        <v>492</v>
      </c>
      <c r="IU150" s="29">
        <v>5048</v>
      </c>
      <c r="IV150" s="31">
        <f>IF(IU150/(INDEX('Standards for Conversions'!$H$47:$H$73,MATCH(IT$3,'Standards for Conversions'!$A$47:$A$73,0)))=0,"",IU150/(INDEX('Standards for Conversions'!$H$47:$H$73,MATCH(IT$3,'Standards for Conversions'!$A$47:$A$73,0))))</f>
        <v>729.99243192549454</v>
      </c>
      <c r="IW150" s="33" t="s">
        <v>45</v>
      </c>
      <c r="IZ150" s="31" t="str">
        <f>IF(IY150/(INDEX('Standards for Conversions'!$H$47:$H$73,MATCH(IX$3,'Standards for Conversions'!$A$47:$A$73,0)))=0,"",IY150/(INDEX('Standards for Conversions'!$H$47:$H$73,MATCH(IX$3,'Standards for Conversions'!$A$47:$A$73,0))))</f>
        <v/>
      </c>
      <c r="JA150" s="33" t="s">
        <v>45</v>
      </c>
      <c r="JD150" s="31" t="str">
        <f>IF(JC150/(INDEX('Standards for Conversions'!$H$47:$H$73,MATCH(JB$3,'Standards for Conversions'!$A$47:$A$73,0)))=0,"",JC150/(INDEX('Standards for Conversions'!$H$47:$H$73,MATCH(JB$3,'Standards for Conversions'!$A$47:$A$73,0))))</f>
        <v/>
      </c>
      <c r="JE150" s="33" t="s">
        <v>45</v>
      </c>
      <c r="JH150" s="31" t="str">
        <f>IF(JG150/(INDEX('Standards for Conversions'!$H$47:$H$73,MATCH(JF$3,'Standards for Conversions'!$A$47:$A$73,0)))=0,"",JG150/(INDEX('Standards for Conversions'!$H$47:$H$73,MATCH(JF$3,'Standards for Conversions'!$A$47:$A$73,0))))</f>
        <v/>
      </c>
      <c r="JI150" s="48" t="s">
        <v>45</v>
      </c>
      <c r="JJ150" s="29">
        <v>687</v>
      </c>
      <c r="JK150" s="29">
        <v>5600</v>
      </c>
      <c r="JL150" s="31">
        <f>IF(JK150/(INDEX('Standards for Conversions'!$H$47:$H$73,MATCH(JJ$3,'Standards for Conversions'!$A$47:$A$73,0)))=0,"",JK150/(INDEX('Standards for Conversions'!$H$47:$H$73,MATCH(JJ$3,'Standards for Conversions'!$A$47:$A$73,0))))</f>
        <v>905.85710147446468</v>
      </c>
      <c r="JM150" s="33" t="s">
        <v>45</v>
      </c>
      <c r="JP150" s="31" t="str">
        <f>IF(JO150/(INDEX('Standards for Conversions'!$H$47:$H$73,MATCH(JN$3,'Standards for Conversions'!$A$47:$A$73,0)))=0,"",JO150/(INDEX('Standards for Conversions'!$H$47:$H$73,MATCH(JN$3,'Standards for Conversions'!$A$47:$A$73,0))))</f>
        <v/>
      </c>
      <c r="JQ150" s="33" t="s">
        <v>45</v>
      </c>
      <c r="JT150" s="31" t="str">
        <f>IF(JS150/(INDEX('Standards for Conversions'!$H$47:$H$73,MATCH(JR$3,'Standards for Conversions'!$A$47:$A$73,0)))=0,"",JS150/(INDEX('Standards for Conversions'!$H$47:$H$73,MATCH(JR$3,'Standards for Conversions'!$A$47:$A$73,0))))</f>
        <v/>
      </c>
      <c r="JU150" s="33" t="s">
        <v>45</v>
      </c>
      <c r="JX150" s="31" t="str">
        <f>IF(JW150/(INDEX('Standards for Conversions'!$H$47:$H$73,MATCH(JV$3,'Standards for Conversions'!$A$47:$A$73,0)))=0,"",JW150/(INDEX('Standards for Conversions'!$H$47:$H$73,MATCH(JV$3,'Standards for Conversions'!$A$47:$A$73,0))))</f>
        <v/>
      </c>
      <c r="JY150" s="33" t="s">
        <v>45</v>
      </c>
      <c r="JZ150" s="29">
        <v>800</v>
      </c>
      <c r="KA150" s="29">
        <v>7000</v>
      </c>
      <c r="KB150" s="31">
        <f>IF(KA150/(INDEX('Standards for Conversions'!$H$47:$H$73,MATCH(JZ$3,'Standards for Conversions'!$A$47:$A$73,0)))=0,"",KA150/(INDEX('Standards for Conversions'!$H$47:$H$73,MATCH(JZ$3,'Standards for Conversions'!$A$47:$A$73,0))))</f>
        <v>1068.5912469945829</v>
      </c>
      <c r="KC150" s="33" t="s">
        <v>45</v>
      </c>
      <c r="KF150" s="31" t="str">
        <f>IF(KE150/(INDEX('Standards for Conversions'!$H$47:$H$73,MATCH(KD$3,'Standards for Conversions'!$A$47:$A$73,0)))=0,"",KE150/(INDEX('Standards for Conversions'!$H$47:$H$73,MATCH(KD$3,'Standards for Conversions'!$A$47:$A$73,0))))</f>
        <v/>
      </c>
      <c r="KG150" s="33" t="s">
        <v>45</v>
      </c>
      <c r="KJ150" s="31" t="str">
        <f>IF(KI150/(INDEX('Standards for Conversions'!$H$47:$H$73,MATCH(KH$3,'Standards for Conversions'!$A$47:$A$73,0)))=0,"",KI150/(INDEX('Standards for Conversions'!$H$47:$H$73,MATCH(KH$3,'Standards for Conversions'!$A$47:$A$73,0))))</f>
        <v/>
      </c>
      <c r="KK150" s="33" t="s">
        <v>45</v>
      </c>
      <c r="KN150" s="31" t="str">
        <f>IF(KM150/(INDEX('Standards for Conversions'!$H$47:$H$73,MATCH(KL$3,'Standards for Conversions'!$A$47:$A$73,0)))=0,"",KM150/(INDEX('Standards for Conversions'!$H$47:$H$73,MATCH(KL$3,'Standards for Conversions'!$A$47:$A$73,0))))</f>
        <v/>
      </c>
      <c r="KO150" s="33" t="s">
        <v>45</v>
      </c>
      <c r="KP150" s="29">
        <v>900</v>
      </c>
      <c r="KQ150" s="29">
        <v>9000</v>
      </c>
      <c r="KR150" s="31">
        <f>IF(KQ150/(INDEX('Standards for Conversions'!$H$47:$H$73,MATCH(KP$3,'Standards for Conversions'!$A$47:$A$73,0)))=0,"",KQ150/(INDEX('Standards for Conversions'!$H$47:$H$73,MATCH(KP$3,'Standards for Conversions'!$A$47:$A$73,0))))</f>
        <v>1211.9311071521681</v>
      </c>
      <c r="KS150" s="33" t="s">
        <v>45</v>
      </c>
      <c r="KV150" s="31" t="str">
        <f>IF(KU150/(INDEX('Standards for Conversions'!$H$47:$H$73,MATCH(KT$3,'Standards for Conversions'!$A$47:$A$73,0)))=0,"",KU150/(INDEX('Standards for Conversions'!$H$47:$H$73,MATCH(KT$3,'Standards for Conversions'!$A$47:$A$73,0))))</f>
        <v/>
      </c>
      <c r="KW150" s="33" t="s">
        <v>45</v>
      </c>
      <c r="KZ150" s="31" t="str">
        <f>IF(KY150/(INDEX('Standards for Conversions'!$H$47:$H$73,MATCH(KX$3,'Standards for Conversions'!$A$47:$A$73,0)))=0,"",KY150/(INDEX('Standards for Conversions'!$H$47:$H$73,MATCH(KX$3,'Standards for Conversions'!$A$47:$A$73,0))))</f>
        <v/>
      </c>
      <c r="LA150" s="33" t="s">
        <v>45</v>
      </c>
      <c r="LD150" s="31" t="str">
        <f>IF(LC150/(INDEX('Standards for Conversions'!$H$47:$H$73,MATCH(LB$3,'Standards for Conversions'!$A$47:$A$73,0)))=0,"",LC150/(INDEX('Standards for Conversions'!$H$47:$H$73,MATCH(LB$3,'Standards for Conversions'!$A$47:$A$73,0))))</f>
        <v/>
      </c>
      <c r="LE150" s="48" t="s">
        <v>45</v>
      </c>
      <c r="LF150" s="29">
        <v>535</v>
      </c>
      <c r="LG150" s="29">
        <v>5400</v>
      </c>
      <c r="LH150" s="31">
        <f>IF(LG150/(INDEX('Standards for Conversions'!$H$47:$H$73,MATCH(LF$3,'Standards for Conversions'!$A$47:$A$73,0)))=0,"",LG150/(INDEX('Standards for Conversions'!$H$47:$H$73,MATCH(LF$3,'Standards for Conversions'!$A$47:$A$73,0))))</f>
        <v>656.72946032849552</v>
      </c>
      <c r="LL150" s="31" t="str">
        <f>IF(LK150/(INDEX('Standards for Conversions'!$H$47:$H$73,MATCH(LJ$3,'Standards for Conversions'!$A$47:$A$73,0)))=0,"",LK150/(INDEX('Standards for Conversions'!$H$47:$H$73,MATCH(LJ$3,'Standards for Conversions'!$A$47:$A$73,0))))</f>
        <v/>
      </c>
      <c r="LO150" s="31" t="str">
        <f>IF(LN150/(INDEX('Standards for Conversions'!$H$47:$H$73,MATCH(LM$3,'Standards for Conversions'!$A$47:$A$73,0)))=0,"",LN150/(INDEX('Standards for Conversions'!$H$47:$H$73,MATCH(LM$3,'Standards for Conversions'!$A$47:$A$73,0))))</f>
        <v/>
      </c>
      <c r="LR150" s="31" t="str">
        <f>IF(LQ150/(INDEX('Standards for Conversions'!$H$47:$H$73,MATCH(LP$3,'Standards for Conversions'!$A$47:$A$73,0)))=0,"",LQ150/(INDEX('Standards for Conversions'!$H$47:$H$73,MATCH(LP$3,'Standards for Conversions'!$A$47:$A$73,0))))</f>
        <v/>
      </c>
      <c r="LV150" s="31" t="str">
        <f>IF(LU150/(INDEX('Standards for Conversions'!$H$47:$H$73,MATCH(LT$3,'Standards for Conversions'!$A$47:$A$73,0)))=0,"",LU150/(INDEX('Standards for Conversions'!$H$47:$H$73,MATCH(LT$3,'Standards for Conversions'!$A$47:$A$73,0))))</f>
        <v/>
      </c>
      <c r="LY150" s="31" t="str">
        <f>IF(LX150/(INDEX('Standards for Conversions'!$H$47:$H$73,MATCH(LW$3,'Standards for Conversions'!$A$47:$A$73,0)))=0,"",LX150/(INDEX('Standards for Conversions'!$H$47:$H$73,MATCH(LW$3,'Standards for Conversions'!$A$47:$A$73,0))))</f>
        <v/>
      </c>
      <c r="MB150" s="31" t="str">
        <f>IF(MA150/(INDEX('Standards for Conversions'!$H$47:$H$73,MATCH(LZ$3,'Standards for Conversions'!$A$47:$A$73,0)))=0,"",MA150/(INDEX('Standards for Conversions'!$H$47:$H$73,MATCH(LZ$3,'Standards for Conversions'!$A$47:$A$73,0))))</f>
        <v/>
      </c>
      <c r="ME150" s="31" t="str">
        <f>IF(MD150/(INDEX('Standards for Conversions'!$H$47:$H$73,MATCH(MC$3,'Standards for Conversions'!$A$47:$A$73,0)))=0,"",MD150/(INDEX('Standards for Conversions'!$H$47:$H$73,MATCH(MC$3,'Standards for Conversions'!$A$47:$A$73,0))))</f>
        <v/>
      </c>
      <c r="MH150" s="31" t="str">
        <f>IF(MG150/(INDEX('Standards for Conversions'!$H$47:$H$73,MATCH(MF$3,'Standards for Conversions'!$A$47:$A$73,0)))=0,"",MG150/(INDEX('Standards for Conversions'!$H$47:$H$73,MATCH(MF$3,'Standards for Conversions'!$A$47:$A$73,0))))</f>
        <v/>
      </c>
      <c r="MK150" s="31" t="str">
        <f>IF(MJ150/(INDEX('Standards for Conversions'!$H$47:$H$73,MATCH(MI$3,'Standards for Conversions'!$A$47:$A$73,0)))=0,"",MJ150/(INDEX('Standards for Conversions'!$H$47:$H$73,MATCH(MI$3,'Standards for Conversions'!$A$47:$A$73,0))))</f>
        <v/>
      </c>
      <c r="MN150" s="31" t="str">
        <f>IF(MM150/(INDEX('Standards for Conversions'!$H$47:$H$73,MATCH(ML$3,'Standards for Conversions'!$A$47:$A$73,0)))=0,"",MM150/(INDEX('Standards for Conversions'!$H$47:$H$73,MATCH(ML$3,'Standards for Conversions'!$A$47:$A$73,0))))</f>
        <v/>
      </c>
      <c r="MR150" s="31" t="str">
        <f>IF(MQ150/(INDEX('Standards for Conversions'!$H$47:$H$73,MATCH(MP$3,'Standards for Conversions'!$A$47:$A$73,0)))=0,"",MQ150/(INDEX('Standards for Conversions'!$H$47:$H$73,MATCH(MP$3,'Standards for Conversions'!$A$47:$A$73,0))))</f>
        <v/>
      </c>
    </row>
    <row r="151" spans="1:373" hidden="1" x14ac:dyDescent="0.3">
      <c r="A151" s="103" t="s">
        <v>315</v>
      </c>
      <c r="B151" s="10" t="s">
        <v>40</v>
      </c>
      <c r="C151" s="7"/>
      <c r="D151" s="7"/>
      <c r="E151" s="31" t="str">
        <f>IF(D151/(INDEX('Standards for Conversions'!$H$34:$H$73,MATCH(C$3,'Standards for Conversions'!$A$34:$A$73,0)))=0,"",D151/(INDEX('Standards for Conversions'!$H$34:$H$73,MATCH(C$3,'Standards for Conversions'!$A$34:$A$73,0))))</f>
        <v/>
      </c>
      <c r="F151" s="10" t="s">
        <v>40</v>
      </c>
      <c r="G151" s="7"/>
      <c r="H151" s="7"/>
      <c r="I151" s="31" t="str">
        <f>IF(H151/(INDEX('Standards for Conversions'!$H$34:$H$73,MATCH(G$3,'Standards for Conversions'!$A$34:$A$73,0)))=0,"",H151/(INDEX('Standards for Conversions'!$H$34:$H$73,MATCH(G$3,'Standards for Conversions'!$A$34:$A$73,0))))</f>
        <v/>
      </c>
      <c r="J151" s="10" t="s">
        <v>40</v>
      </c>
      <c r="K151" s="7"/>
      <c r="L151" s="7"/>
      <c r="M151" s="31" t="str">
        <f>IF(L151/(INDEX('Standards for Conversions'!$H$34:$H$73,MATCH(K$3,'Standards for Conversions'!$A$34:$A$73,0)))=0,"",L151/(INDEX('Standards for Conversions'!$H$34:$H$73,MATCH(K$3,'Standards for Conversions'!$A$34:$A$73,0))))</f>
        <v/>
      </c>
      <c r="N151" s="10" t="s">
        <v>40</v>
      </c>
      <c r="O151" s="7"/>
      <c r="P151" s="7"/>
      <c r="Q151" s="31" t="str">
        <f>IF(P151/(INDEX('Standards for Conversions'!$H$34:$H$73,MATCH(O$3,'Standards for Conversions'!$A$34:$A$73,0)))=0,"",P151/(INDEX('Standards for Conversions'!$H$34:$H$73,MATCH(O$3,'Standards for Conversions'!$A$34:$A$73,0))))</f>
        <v/>
      </c>
      <c r="R151" s="10" t="s">
        <v>40</v>
      </c>
      <c r="S151" s="7"/>
      <c r="T151" s="7"/>
      <c r="U151" s="31" t="str">
        <f>IF(T151/(INDEX('Standards for Conversions'!$H$34:$H$73,MATCH(S$3,'Standards for Conversions'!$A$34:$A$73,0)))=0,"",T151/(INDEX('Standards for Conversions'!$H$34:$H$73,MATCH(S$3,'Standards for Conversions'!$A$34:$A$73,0))))</f>
        <v/>
      </c>
      <c r="V151" s="10" t="s">
        <v>40</v>
      </c>
      <c r="W151" s="7"/>
      <c r="X151" s="7"/>
      <c r="Y151" s="31" t="str">
        <f>IF(X151/(INDEX('Standards for Conversions'!$H$34:$H$73,MATCH(W$3,'Standards for Conversions'!$A$34:$A$73,0)))=0,"",X151/(INDEX('Standards for Conversions'!$H$34:$H$73,MATCH(W$3,'Standards for Conversions'!$A$34:$A$73,0))))</f>
        <v/>
      </c>
      <c r="Z151" s="10" t="s">
        <v>40</v>
      </c>
      <c r="AA151" s="7"/>
      <c r="AB151" s="7"/>
      <c r="AC151" s="31" t="str">
        <f>IF(AB151/(INDEX('Standards for Conversions'!$H$34:$H$73,MATCH(AA$3,'Standards for Conversions'!$A$34:$A$73,0)))=0,"",AB151/(INDEX('Standards for Conversions'!$H$34:$H$73,MATCH(AA$3,'Standards for Conversions'!$A$34:$A$73,0))))</f>
        <v/>
      </c>
      <c r="AD151" s="10" t="s">
        <v>40</v>
      </c>
      <c r="AE151" s="7"/>
      <c r="AF151" s="7"/>
      <c r="AG151" s="31" t="str">
        <f>IF(AF151/(INDEX('Standards for Conversions'!$H$34:$H$73,MATCH(AE$3,'Standards for Conversions'!$A$34:$A$73,0)))=0,"",AF151/(INDEX('Standards for Conversions'!$H$34:$H$73,MATCH(AE$3,'Standards for Conversions'!$A$34:$A$73,0))))</f>
        <v/>
      </c>
      <c r="AH151" s="10" t="s">
        <v>40</v>
      </c>
      <c r="AI151" s="7"/>
      <c r="AJ151" s="7"/>
      <c r="AK151" s="31" t="str">
        <f>IF(AJ151/(INDEX('Standards for Conversions'!$H$34:$H$73,MATCH(AI$3,'Standards for Conversions'!$A$34:$A$73,0)))=0,"",AJ151/(INDEX('Standards for Conversions'!$H$34:$H$73,MATCH(AI$3,'Standards for Conversions'!$A$34:$A$73,0))))</f>
        <v/>
      </c>
      <c r="AL151" s="10" t="s">
        <v>40</v>
      </c>
      <c r="AM151" s="7"/>
      <c r="AN151" s="7"/>
      <c r="AO151" s="31" t="str">
        <f>IF(AN151/(INDEX('Standards for Conversions'!$H$34:$H$73,MATCH(AM$3,'Standards for Conversions'!$A$34:$A$73,0)))=0,"",AN151/(INDEX('Standards for Conversions'!$H$34:$H$73,MATCH(AM$3,'Standards for Conversions'!$A$34:$A$73,0))))</f>
        <v/>
      </c>
      <c r="AP151" s="10" t="s">
        <v>40</v>
      </c>
      <c r="AQ151" s="7"/>
      <c r="AR151" s="7"/>
      <c r="AS151" s="31" t="str">
        <f>IF(AR151/(INDEX('Standards for Conversions'!$H$34:$H$73,MATCH(AQ$3,'Standards for Conversions'!$A$34:$A$73,0)))=0,"",AR151/(INDEX('Standards for Conversions'!$H$34:$H$73,MATCH(AQ$3,'Standards for Conversions'!$A$34:$A$73,0))))</f>
        <v/>
      </c>
      <c r="AT151" s="10" t="s">
        <v>40</v>
      </c>
      <c r="AU151" s="7"/>
      <c r="AV151" s="7"/>
      <c r="AW151" s="31" t="str">
        <f>IF(AV151/(INDEX('Standards for Conversions'!$H$34:$H$73,MATCH(AU$3,'Standards for Conversions'!$A$34:$A$73,0)))=0,"",AV151/(INDEX('Standards for Conversions'!$H$34:$H$73,MATCH(AU$3,'Standards for Conversions'!$A$34:$A$73,0))))</f>
        <v/>
      </c>
      <c r="AX151" s="10" t="s">
        <v>40</v>
      </c>
      <c r="AY151" s="7"/>
      <c r="AZ151" s="7"/>
      <c r="BA151" s="31" t="str">
        <f>IF(AZ151/(INDEX('Standards for Conversions'!$H$34:$H$73,MATCH(AY$3,'Standards for Conversions'!$A$34:$A$73,0)))=0,"",AZ151/(INDEX('Standards for Conversions'!$H$34:$H$73,MATCH(AY$3,'Standards for Conversions'!$A$34:$A$73,0))))</f>
        <v/>
      </c>
      <c r="BB151" s="10" t="s">
        <v>40</v>
      </c>
      <c r="BC151" s="7"/>
      <c r="BD151" s="7"/>
      <c r="BE151" s="31" t="str">
        <f>IF(BD151/(INDEX('Standards for Conversions'!$H$34:$H$73,MATCH(BC$3,'Standards for Conversions'!$A$34:$A$73,0)))=0,"",BD151/(INDEX('Standards for Conversions'!$H$34:$H$73,MATCH(BC$3,'Standards for Conversions'!$A$34:$A$73,0))))</f>
        <v/>
      </c>
      <c r="BF151" s="10" t="s">
        <v>40</v>
      </c>
      <c r="BG151" s="7"/>
      <c r="BH151" s="7"/>
      <c r="BI151" s="31" t="str">
        <f>IF(BH151/(INDEX('Standards for Conversions'!$H$34:$H$73,MATCH(BG$3,'Standards for Conversions'!$A$34:$A$73,0)))=0,"",BH151/(INDEX('Standards for Conversions'!$H$34:$H$73,MATCH(BG$3,'Standards for Conversions'!$A$34:$A$73,0))))</f>
        <v/>
      </c>
      <c r="BJ151" s="10" t="s">
        <v>40</v>
      </c>
      <c r="BK151" s="7"/>
      <c r="BL151" s="7"/>
      <c r="BM151" s="31" t="str">
        <f>IF(BL151/(INDEX('Standards for Conversions'!$H$34:$H$73,MATCH(BK$3,'Standards for Conversions'!$A$34:$A$73,0)))=0,"",BL151/(INDEX('Standards for Conversions'!$H$34:$H$73,MATCH(BK$3,'Standards for Conversions'!$A$34:$A$73,0))))</f>
        <v/>
      </c>
      <c r="BN151" s="10" t="s">
        <v>40</v>
      </c>
      <c r="BO151" s="7"/>
      <c r="BP151" s="7"/>
      <c r="BQ151" s="31" t="str">
        <f>IF(BP151/(INDEX('Standards for Conversions'!$H$34:$H$73,MATCH(BO$3,'Standards for Conversions'!$A$34:$A$73,0)))=0,"",BP151/(INDEX('Standards for Conversions'!$H$34:$H$73,MATCH(BO$3,'Standards for Conversions'!$A$34:$A$73,0))))</f>
        <v/>
      </c>
      <c r="BR151" s="10" t="s">
        <v>40</v>
      </c>
      <c r="BS151" s="7"/>
      <c r="BT151" s="7"/>
      <c r="BU151" s="31" t="str">
        <f>IF(BT151/(INDEX('Standards for Conversions'!$H$34:$H$73,MATCH(BS$3,'Standards for Conversions'!$A$34:$A$73,0)))=0,"",BT151/(INDEX('Standards for Conversions'!$H$34:$H$73,MATCH(BS$3,'Standards for Conversions'!$A$34:$A$73,0))))</f>
        <v/>
      </c>
      <c r="BV151" s="10" t="s">
        <v>40</v>
      </c>
      <c r="BW151" s="7"/>
      <c r="BX151" s="7"/>
      <c r="BY151" s="31" t="str">
        <f>IF(BX151/(INDEX('Standards for Conversions'!$H$34:$H$73,MATCH(BW$3,'Standards for Conversions'!$A$34:$A$73,0)))=0,"",BX151/(INDEX('Standards for Conversions'!$H$34:$H$73,MATCH(BW$3,'Standards for Conversions'!$A$34:$A$73,0))))</f>
        <v/>
      </c>
      <c r="BZ151" s="10" t="s">
        <v>40</v>
      </c>
      <c r="CA151" s="7"/>
      <c r="CB151" s="7"/>
      <c r="CC151" s="31" t="str">
        <f>IF(CB151/(INDEX('Standards for Conversions'!$H$34:$H$73,MATCH(CA$3,'Standards for Conversions'!$A$34:$A$73,0)))=0,"",CB151/(INDEX('Standards for Conversions'!$H$34:$H$73,MATCH(CA$3,'Standards for Conversions'!$A$34:$A$73,0))))</f>
        <v/>
      </c>
      <c r="CD151" s="10" t="s">
        <v>40</v>
      </c>
      <c r="CE151" s="7"/>
      <c r="CF151" s="7"/>
      <c r="CG151" s="31" t="str">
        <f>IF(CF151/(INDEX('Standards for Conversions'!$H$34:$H$73,MATCH(CE$3,'Standards for Conversions'!$A$34:$A$73,0)))=0,"",CF151/(INDEX('Standards for Conversions'!$H$34:$H$73,MATCH(CE$3,'Standards for Conversions'!$A$34:$A$73,0))))</f>
        <v/>
      </c>
      <c r="CH151" s="10" t="s">
        <v>40</v>
      </c>
      <c r="CI151" s="7"/>
      <c r="CJ151" s="7"/>
      <c r="CK151" s="31" t="str">
        <f>IF(CJ151/(INDEX('Standards for Conversions'!$H$34:$H$73,MATCH(CI$3,'Standards for Conversions'!$A$34:$A$73,0)))=0,"",CJ151/(INDEX('Standards for Conversions'!$H$34:$H$73,MATCH(CI$3,'Standards for Conversions'!$A$34:$A$73,0))))</f>
        <v/>
      </c>
      <c r="CL151" s="10" t="s">
        <v>40</v>
      </c>
      <c r="CM151" s="7"/>
      <c r="CN151" s="7"/>
      <c r="CO151" s="31" t="str">
        <f>IF(CN151/(INDEX('Standards for Conversions'!$H$34:$H$73,MATCH(CM$3,'Standards for Conversions'!$A$34:$A$73,0)))=0,"",CN151/(INDEX('Standards for Conversions'!$H$34:$H$73,MATCH(CM$3,'Standards for Conversions'!$A$34:$A$73,0))))</f>
        <v/>
      </c>
      <c r="CP151" s="10" t="s">
        <v>40</v>
      </c>
      <c r="CQ151" s="7"/>
      <c r="CR151" s="7"/>
      <c r="CS151" s="31" t="str">
        <f>IF(CR151/(INDEX('Standards for Conversions'!$H$34:$H$73,MATCH(CQ$3,'Standards for Conversions'!$A$34:$A$73,0)))=0,"",CR151/(INDEX('Standards for Conversions'!$H$34:$H$73,MATCH(CQ$3,'Standards for Conversions'!$A$34:$A$73,0))))</f>
        <v/>
      </c>
      <c r="CT151" s="10" t="s">
        <v>40</v>
      </c>
      <c r="CU151" s="7"/>
      <c r="CV151" s="7"/>
      <c r="CW151" s="31" t="str">
        <f>IF(CV151/(INDEX('Standards for Conversions'!$H$34:$H$73,MATCH(CU$3,'Standards for Conversions'!$A$34:$A$73,0)))=0,"",CV151/(INDEX('Standards for Conversions'!$H$34:$H$73,MATCH(CU$3,'Standards for Conversions'!$A$34:$A$73,0))))</f>
        <v/>
      </c>
      <c r="CX151" s="10" t="s">
        <v>40</v>
      </c>
      <c r="CY151" s="7"/>
      <c r="CZ151" s="7"/>
      <c r="DA151" s="31" t="str">
        <f>IF(CZ151/(INDEX('Standards for Conversions'!$H$34:$H$73,MATCH(CY$3,'Standards for Conversions'!$A$34:$A$73,0)))=0,"",CZ151/(INDEX('Standards for Conversions'!$H$34:$H$73,MATCH(CY$3,'Standards for Conversions'!$A$34:$A$73,0))))</f>
        <v/>
      </c>
      <c r="DB151" s="10" t="s">
        <v>40</v>
      </c>
      <c r="DC151" s="7"/>
      <c r="DD151" s="7"/>
      <c r="DE151" s="31" t="str">
        <f>IF(DD151/(INDEX('Standards for Conversions'!$H$34:$H$73,MATCH(DC$3,'Standards for Conversions'!$A$34:$A$73,0)))=0,"",DD151/(INDEX('Standards for Conversions'!$H$34:$H$73,MATCH(DC$3,'Standards for Conversions'!$A$34:$A$73,0))))</f>
        <v/>
      </c>
      <c r="DF151" s="10" t="s">
        <v>40</v>
      </c>
      <c r="DG151" s="7"/>
      <c r="DH151" s="7"/>
      <c r="DI151" s="31" t="str">
        <f>IF(DH151/(INDEX('Standards for Conversions'!$H$34:$H$73,MATCH(DG$3,'Standards for Conversions'!$A$34:$A$73,0)))=0,"",DH151/(INDEX('Standards for Conversions'!$H$34:$H$73,MATCH(DG$3,'Standards for Conversions'!$A$34:$A$73,0))))</f>
        <v/>
      </c>
      <c r="DJ151" s="10" t="s">
        <v>40</v>
      </c>
      <c r="DK151" s="7"/>
      <c r="DL151" s="7"/>
      <c r="DM151" s="31" t="str">
        <f>IF(DL151/(INDEX('Standards for Conversions'!$H$34:$H$73,MATCH(DK$3,'Standards for Conversions'!$A$34:$A$73,0)))=0,"",DL151/(INDEX('Standards for Conversions'!$H$34:$H$73,MATCH(DK$3,'Standards for Conversions'!$A$34:$A$73,0))))</f>
        <v/>
      </c>
      <c r="DN151" s="10" t="s">
        <v>40</v>
      </c>
      <c r="DO151" s="7"/>
      <c r="DP151" s="7"/>
      <c r="DQ151" s="31" t="str">
        <f>IF(DP151/(INDEX('Standards for Conversions'!$H$34:$H$73,MATCH(DO$3,'Standards for Conversions'!$A$34:$A$73,0)))=0,"",DP151/(INDEX('Standards for Conversions'!$H$34:$H$73,MATCH(DO$3,'Standards for Conversions'!$A$34:$A$73,0))))</f>
        <v/>
      </c>
      <c r="DR151" s="10" t="s">
        <v>40</v>
      </c>
      <c r="DS151" s="7"/>
      <c r="DT151" s="7"/>
      <c r="DU151" s="31" t="str">
        <f>IF(DT151/(INDEX('Standards for Conversions'!$H$34:$H$73,MATCH(DS$3,'Standards for Conversions'!$A$34:$A$73,0)))=0,"",DT151/(INDEX('Standards for Conversions'!$H$34:$H$73,MATCH(DS$3,'Standards for Conversions'!$A$34:$A$73,0))))</f>
        <v/>
      </c>
      <c r="DV151" s="10" t="s">
        <v>40</v>
      </c>
      <c r="DW151" s="7"/>
      <c r="DX151" s="7"/>
      <c r="DY151" s="31" t="str">
        <f>IF(DX151/(INDEX('Standards for Conversions'!$H$34:$H$73,MATCH(DW$3,'Standards for Conversions'!$A$34:$A$73,0)))=0,"",DX151/(INDEX('Standards for Conversions'!$H$34:$H$73,MATCH(DW$3,'Standards for Conversions'!$A$34:$A$73,0))))</f>
        <v/>
      </c>
      <c r="DZ151" s="10" t="s">
        <v>40</v>
      </c>
      <c r="EA151" s="7"/>
      <c r="EB151" s="7"/>
      <c r="EC151" s="31" t="str">
        <f>IF(EB151/(INDEX('Standards for Conversions'!$H$34:$H$73,MATCH(EA$3,'Standards for Conversions'!$A$34:$A$73,0)))=0,"",EB151/(INDEX('Standards for Conversions'!$H$34:$H$73,MATCH(EA$3,'Standards for Conversions'!$A$34:$A$73,0))))</f>
        <v/>
      </c>
      <c r="ED151" s="10" t="s">
        <v>40</v>
      </c>
      <c r="EE151" s="7"/>
      <c r="EF151" s="7"/>
      <c r="EG151" s="31" t="str">
        <f>IF(EF151/(INDEX('Standards for Conversions'!$H$34:$H$73,MATCH(EE$3,'Standards for Conversions'!$A$34:$A$73,0)))=0,"",EF151/(INDEX('Standards for Conversions'!$H$34:$H$73,MATCH(EE$3,'Standards for Conversions'!$A$34:$A$73,0))))</f>
        <v/>
      </c>
      <c r="EH151" s="10" t="s">
        <v>40</v>
      </c>
      <c r="EI151" s="7"/>
      <c r="EJ151" s="7"/>
      <c r="EK151" s="31" t="str">
        <f>IF(EJ151/(INDEX('Standards for Conversions'!$H$34:$H$73,MATCH(EI$3,'Standards for Conversions'!$A$34:$A$73,0)))=0,"",EJ151/(INDEX('Standards for Conversions'!$H$34:$H$73,MATCH(EI$3,'Standards for Conversions'!$A$34:$A$73,0))))</f>
        <v/>
      </c>
      <c r="EL151" s="10" t="s">
        <v>40</v>
      </c>
      <c r="EM151" s="7"/>
      <c r="EN151" s="7"/>
      <c r="EO151" s="31" t="str">
        <f>IF(EN151/(INDEX('Standards for Conversions'!$H$34:$H$73,MATCH(EM$3,'Standards for Conversions'!$A$34:$A$73,0)))=0,"",EN151/(INDEX('Standards for Conversions'!$H$34:$H$73,MATCH(EM$3,'Standards for Conversions'!$A$34:$A$73,0))))</f>
        <v/>
      </c>
      <c r="EP151" s="10" t="s">
        <v>40</v>
      </c>
      <c r="EQ151" s="7"/>
      <c r="ER151" s="7"/>
      <c r="ES151" s="31" t="str">
        <f>IF(ER151/(INDEX('Standards for Conversions'!$H$34:$H$73,MATCH(EQ$3,'Standards for Conversions'!$A$34:$A$73,0)))=0,"",ER151/(INDEX('Standards for Conversions'!$H$34:$H$73,MATCH(EQ$3,'Standards for Conversions'!$A$34:$A$73,0))))</f>
        <v/>
      </c>
      <c r="ET151" s="10" t="s">
        <v>40</v>
      </c>
      <c r="EU151" s="7"/>
      <c r="EV151" s="7"/>
      <c r="EW151" s="31" t="str">
        <f>IF(EV151/(INDEX('Standards for Conversions'!$H$34:$H$73,MATCH(EU$3,'Standards for Conversions'!$A$34:$A$73,0)))=0,"",EV151/(INDEX('Standards for Conversions'!$H$34:$H$73,MATCH(EU$3,'Standards for Conversions'!$A$34:$A$73,0))))</f>
        <v/>
      </c>
      <c r="EX151" s="10" t="s">
        <v>40</v>
      </c>
      <c r="EY151" s="9"/>
      <c r="EZ151" s="9"/>
      <c r="FA151" s="31" t="str">
        <f>IF(EZ151/(INDEX('Standards for Conversions'!$H$34:$H$73,MATCH(EY$3,'Standards for Conversions'!$A$34:$A$73,0)))=0,"",EZ151/(INDEX('Standards for Conversions'!$H$34:$H$73,MATCH(EY$3,'Standards for Conversions'!$A$34:$A$73,0))))</f>
        <v/>
      </c>
      <c r="FB151" s="10" t="s">
        <v>40</v>
      </c>
      <c r="FC151" s="7"/>
      <c r="FD151" s="7"/>
      <c r="FE151" s="31" t="str">
        <f>IF(FD151/(INDEX('Standards for Conversions'!$H$34:$H$73,MATCH(FC$3,'Standards for Conversions'!$A$34:$A$73,0)))=0,"",FD151/(INDEX('Standards for Conversions'!$H$34:$H$73,MATCH(FC$3,'Standards for Conversions'!$A$34:$A$73,0))))</f>
        <v/>
      </c>
      <c r="FF151" s="10" t="s">
        <v>40</v>
      </c>
      <c r="FG151" s="7"/>
      <c r="FH151" s="7"/>
      <c r="FI151" s="31" t="str">
        <f>IF(FH151/(INDEX('Standards for Conversions'!$H$34:$H$73,MATCH(FG$3,'Standards for Conversions'!$A$34:$A$73,0)))=0,"",FH151/(INDEX('Standards for Conversions'!$H$34:$H$73,MATCH(FG$3,'Standards for Conversions'!$A$34:$A$73,0))))</f>
        <v/>
      </c>
      <c r="FJ151" s="10" t="s">
        <v>40</v>
      </c>
      <c r="FK151" s="7"/>
      <c r="FL151" s="7"/>
      <c r="FM151" s="31" t="str">
        <f>IF(FL151/(INDEX('Standards for Conversions'!$H$34:$H$73,MATCH(FK$3,'Standards for Conversions'!$A$34:$A$73,0)))=0,"",FL151/(INDEX('Standards for Conversions'!$H$34:$H$73,MATCH(FK$3,'Standards for Conversions'!$A$34:$A$73,0))))</f>
        <v/>
      </c>
      <c r="FN151" s="10" t="s">
        <v>40</v>
      </c>
      <c r="FO151" s="9"/>
      <c r="FP151" s="9"/>
      <c r="FQ151" s="31" t="str">
        <f>IF(FP151/(INDEX('Standards for Conversions'!$H$34:$H$73,MATCH(FO$3,'Standards for Conversions'!$A$34:$A$73,0)))=0,"",FP151/(INDEX('Standards for Conversions'!$H$34:$H$73,MATCH(FO$3,'Standards for Conversions'!$A$34:$A$73,0))))</f>
        <v/>
      </c>
      <c r="FR151" s="10" t="s">
        <v>40</v>
      </c>
      <c r="FS151" s="7"/>
      <c r="FT151" s="7"/>
      <c r="FU151" s="31" t="str">
        <f>IF(FT151/(INDEX('Standards for Conversions'!$H$34:$H$73,MATCH(FS$3,'Standards for Conversions'!$A$34:$A$73,0)))=0,"",FT151/(INDEX('Standards for Conversions'!$H$34:$H$73,MATCH(FS$3,'Standards for Conversions'!$A$34:$A$73,0))))</f>
        <v/>
      </c>
      <c r="FV151" s="10" t="s">
        <v>40</v>
      </c>
      <c r="FW151" s="7"/>
      <c r="FX151" s="7"/>
      <c r="FY151" s="31" t="str">
        <f>IF(FX151/(INDEX('Standards for Conversions'!$H$34:$H$73,MATCH(FW$3,'Standards for Conversions'!$A$34:$A$73,0)))=0,"",FX151/(INDEX('Standards for Conversions'!$H$34:$H$73,MATCH(FW$3,'Standards for Conversions'!$A$34:$A$73,0))))</f>
        <v/>
      </c>
      <c r="FZ151" s="10" t="s">
        <v>40</v>
      </c>
      <c r="GA151" s="7"/>
      <c r="GB151" s="7"/>
      <c r="GC151" s="31" t="str">
        <f>IF(GB151/(INDEX('Standards for Conversions'!$H$34:$H$73,MATCH(GA$3,'Standards for Conversions'!$A$34:$A$73,0)))=0,"",GB151/(INDEX('Standards for Conversions'!$H$34:$H$73,MATCH(GA$3,'Standards for Conversions'!$A$34:$A$73,0))))</f>
        <v/>
      </c>
      <c r="GD151" s="10" t="s">
        <v>40</v>
      </c>
      <c r="GE151" s="9"/>
      <c r="GF151" s="9"/>
      <c r="GG151" s="31" t="str">
        <f>IF(GF151/(INDEX('Standards for Conversions'!$H$34:$H$73,MATCH(GE$3,'Standards for Conversions'!$A$34:$A$73,0)))=0,"",GF151/(INDEX('Standards for Conversions'!$H$34:$H$73,MATCH(GE$3,'Standards for Conversions'!$A$34:$A$73,0))))</f>
        <v/>
      </c>
      <c r="GH151" s="10" t="s">
        <v>40</v>
      </c>
      <c r="GI151" s="7"/>
      <c r="GJ151" s="7"/>
      <c r="GK151" s="31" t="str">
        <f>IF(GJ151/(INDEX('Standards for Conversions'!$H$34:$H$73,MATCH(GI$3,'Standards for Conversions'!$A$34:$A$73,0)))=0,"",GJ151/(INDEX('Standards for Conversions'!$H$34:$H$73,MATCH(GI$3,'Standards for Conversions'!$A$34:$A$73,0))))</f>
        <v/>
      </c>
      <c r="GL151" s="10" t="s">
        <v>40</v>
      </c>
      <c r="GM151" s="7"/>
      <c r="GN151" s="7"/>
      <c r="GO151" s="31" t="str">
        <f>IF(GN151/(INDEX('Standards for Conversions'!$H$34:$H$73,MATCH(GM$3,'Standards for Conversions'!$A$34:$A$73,0)))=0,"",GN151/(INDEX('Standards for Conversions'!$H$34:$H$73,MATCH(GM$3,'Standards for Conversions'!$A$34:$A$73,0))))</f>
        <v/>
      </c>
      <c r="GP151" s="10" t="s">
        <v>40</v>
      </c>
      <c r="GQ151" s="7"/>
      <c r="GR151" s="7"/>
      <c r="GS151" s="31" t="str">
        <f>IF(GR151/(INDEX('Standards for Conversions'!$H$34:$H$73,MATCH(GQ$3,'Standards for Conversions'!$A$34:$A$73,0)))=0,"",GR151/(INDEX('Standards for Conversions'!$H$34:$H$73,MATCH(GQ$3,'Standards for Conversions'!$A$34:$A$73,0))))</f>
        <v/>
      </c>
      <c r="GT151" s="10" t="s">
        <v>40</v>
      </c>
      <c r="GU151" s="9"/>
      <c r="GV151" s="9"/>
      <c r="GW151" s="31" t="str">
        <f>IF(GV151/(INDEX('Standards for Conversions'!$H$34:$H$73,MATCH(GU$3,'Standards for Conversions'!$A$34:$A$73,0)))=0,"",GV151/(INDEX('Standards for Conversions'!$H$34:$H$73,MATCH(GU$3,'Standards for Conversions'!$A$34:$A$73,0))))</f>
        <v/>
      </c>
      <c r="GX151" s="10" t="s">
        <v>40</v>
      </c>
      <c r="GY151" s="7"/>
      <c r="GZ151" s="7"/>
      <c r="HA151" s="31" t="str">
        <f>IF(GZ151/(INDEX('Standards for Conversions'!$H$34:$H$73,MATCH(GY$3,'Standards for Conversions'!$A$34:$A$73,0)))=0,"",GZ151/(INDEX('Standards for Conversions'!$H$34:$H$73,MATCH(GY$3,'Standards for Conversions'!$A$34:$A$73,0))))</f>
        <v/>
      </c>
      <c r="HB151" s="10" t="s">
        <v>40</v>
      </c>
      <c r="HC151" s="7"/>
      <c r="HD151" s="7"/>
      <c r="HE151" s="31" t="str">
        <f>IF(HD151/(INDEX('Standards for Conversions'!$H$34:$H$73,MATCH(HC$3,'Standards for Conversions'!$A$34:$A$73,0)))=0,"",HD151/(INDEX('Standards for Conversions'!$H$34:$H$73,MATCH(HC$3,'Standards for Conversions'!$A$34:$A$73,0))))</f>
        <v/>
      </c>
      <c r="HF151" s="10" t="s">
        <v>40</v>
      </c>
      <c r="HG151" s="7"/>
      <c r="HH151" s="7"/>
      <c r="HI151" s="31" t="str">
        <f>IF(HH151/(INDEX('Standards for Conversions'!$H$34:$H$73,MATCH(HG$3,'Standards for Conversions'!$A$34:$A$73,0)))=0,"",HH151/(INDEX('Standards for Conversions'!$H$34:$H$73,MATCH(HG$3,'Standards for Conversions'!$A$34:$A$73,0))))</f>
        <v/>
      </c>
      <c r="HJ151" s="10" t="s">
        <v>40</v>
      </c>
      <c r="HK151" s="9"/>
      <c r="HL151" s="9"/>
      <c r="HM151" s="31" t="str">
        <f>IF(HL151/(INDEX('Standards for Conversions'!$H$34:$H$73,MATCH(HK$3,'Standards for Conversions'!$A$34:$A$73,0)))=0,"",HL151/(INDEX('Standards for Conversions'!$H$34:$H$73,MATCH(HK$3,'Standards for Conversions'!$A$34:$A$73,0))))</f>
        <v/>
      </c>
      <c r="HN151" s="10" t="s">
        <v>40</v>
      </c>
      <c r="HO151" s="7"/>
      <c r="HP151" s="7"/>
      <c r="HQ151" s="31" t="str">
        <f>IF(HP151/(INDEX('Standards for Conversions'!$H$34:$H$73,MATCH(HO$3,'Standards for Conversions'!$A$34:$A$73,0)))=0,"",HP151/(INDEX('Standards for Conversions'!$H$34:$H$73,MATCH(HO$3,'Standards for Conversions'!$A$34:$A$73,0))))</f>
        <v/>
      </c>
      <c r="HR151" s="33" t="s">
        <v>40</v>
      </c>
      <c r="HU151" s="31" t="str">
        <f>IF(HT151/(INDEX('Standards for Conversions'!$H$47:$H$73,MATCH(HS$3,'Standards for Conversions'!$A$47:$A$73,0)))=0,"",HT151/(INDEX('Standards for Conversions'!$H$47:$H$73,MATCH(HS$3,'Standards for Conversions'!$A$47:$A$73,0))))</f>
        <v/>
      </c>
      <c r="HV151" s="33" t="s">
        <v>40</v>
      </c>
      <c r="HY151" s="31" t="str">
        <f>IF(HX151/(INDEX('Standards for Conversions'!$H$47:$H$73,MATCH(HW$3,'Standards for Conversions'!$A$47:$A$73,0)))=0,"",HX151/(INDEX('Standards for Conversions'!$H$47:$H$73,MATCH(HW$3,'Standards for Conversions'!$A$47:$A$73,0))))</f>
        <v/>
      </c>
      <c r="HZ151" s="33"/>
      <c r="IA151" s="33"/>
      <c r="IB151" s="31" t="str">
        <f>IF(IA151/(INDEX('Standards for Conversions'!$H$47:$H$73,MATCH(HZ$3,'Standards for Conversions'!$A$47:$A$73,0)))=0,"",IA151/(INDEX('Standards for Conversions'!$H$47:$H$73,MATCH(HZ$3,'Standards for Conversions'!$A$47:$A$73,0))))</f>
        <v/>
      </c>
      <c r="IC151" s="33" t="s">
        <v>40</v>
      </c>
      <c r="ID151" s="29">
        <v>15</v>
      </c>
      <c r="IE151" s="29">
        <v>1600</v>
      </c>
      <c r="IF151" s="31">
        <f>IF(IE151/(INDEX('Standards for Conversions'!$H$47:$H$73,MATCH(ID$3,'Standards for Conversions'!$A$47:$A$73,0)))=0,"",IE151/(INDEX('Standards for Conversions'!$H$47:$H$73,MATCH(ID$3,'Standards for Conversions'!$A$47:$A$73,0))))</f>
        <v>232.39265954056953</v>
      </c>
      <c r="IG151" s="33" t="s">
        <v>40</v>
      </c>
      <c r="IJ151" s="31" t="str">
        <f>IF(II151/(INDEX('Standards for Conversions'!$H$47:$H$73,MATCH(IH$3,'Standards for Conversions'!$A$47:$A$73,0)))=0,"",II151/(INDEX('Standards for Conversions'!$H$47:$H$73,MATCH(IH$3,'Standards for Conversions'!$A$47:$A$73,0))))</f>
        <v/>
      </c>
      <c r="IK151" s="33" t="s">
        <v>40</v>
      </c>
      <c r="IN151" s="31" t="str">
        <f>IF(IM151/(INDEX('Standards for Conversions'!$H$47:$H$73,MATCH(IL$3,'Standards for Conversions'!$A$47:$A$73,0)))=0,"",IM151/(INDEX('Standards for Conversions'!$H$47:$H$73,MATCH(IL$3,'Standards for Conversions'!$A$47:$A$73,0))))</f>
        <v/>
      </c>
      <c r="IO151" s="33" t="s">
        <v>40</v>
      </c>
      <c r="IR151" s="31" t="str">
        <f>IF(IQ151/(INDEX('Standards for Conversions'!$H$47:$H$73,MATCH(IP$3,'Standards for Conversions'!$A$47:$A$73,0)))=0,"",IQ151/(INDEX('Standards for Conversions'!$H$47:$H$73,MATCH(IP$3,'Standards for Conversions'!$A$47:$A$73,0))))</f>
        <v/>
      </c>
      <c r="IS151" s="33" t="s">
        <v>40</v>
      </c>
      <c r="IT151" s="29">
        <v>20</v>
      </c>
      <c r="IU151" s="29">
        <v>2300</v>
      </c>
      <c r="IV151" s="31">
        <f>IF(IU151/(INDEX('Standards for Conversions'!$H$47:$H$73,MATCH(IT$3,'Standards for Conversions'!$A$47:$A$73,0)))=0,"",IU151/(INDEX('Standards for Conversions'!$H$47:$H$73,MATCH(IT$3,'Standards for Conversions'!$A$47:$A$73,0))))</f>
        <v>332.60352484719442</v>
      </c>
      <c r="IW151" s="33" t="s">
        <v>40</v>
      </c>
      <c r="IZ151" s="31" t="str">
        <f>IF(IY151/(INDEX('Standards for Conversions'!$H$47:$H$73,MATCH(IX$3,'Standards for Conversions'!$A$47:$A$73,0)))=0,"",IY151/(INDEX('Standards for Conversions'!$H$47:$H$73,MATCH(IX$3,'Standards for Conversions'!$A$47:$A$73,0))))</f>
        <v/>
      </c>
      <c r="JA151" s="33" t="s">
        <v>40</v>
      </c>
      <c r="JD151" s="31" t="str">
        <f>IF(JC151/(INDEX('Standards for Conversions'!$H$47:$H$73,MATCH(JB$3,'Standards for Conversions'!$A$47:$A$73,0)))=0,"",JC151/(INDEX('Standards for Conversions'!$H$47:$H$73,MATCH(JB$3,'Standards for Conversions'!$A$47:$A$73,0))))</f>
        <v/>
      </c>
      <c r="JE151" s="33" t="s">
        <v>40</v>
      </c>
      <c r="JH151" s="31" t="str">
        <f>IF(JG151/(INDEX('Standards for Conversions'!$H$47:$H$73,MATCH(JF$3,'Standards for Conversions'!$A$47:$A$73,0)))=0,"",JG151/(INDEX('Standards for Conversions'!$H$47:$H$73,MATCH(JF$3,'Standards for Conversions'!$A$47:$A$73,0))))</f>
        <v/>
      </c>
      <c r="JI151" s="48" t="s">
        <v>40</v>
      </c>
      <c r="JJ151" s="29">
        <v>15</v>
      </c>
      <c r="JK151" s="29">
        <v>1500</v>
      </c>
      <c r="JL151" s="31">
        <f>IF(JK151/(INDEX('Standards for Conversions'!$H$47:$H$73,MATCH(JJ$3,'Standards for Conversions'!$A$47:$A$73,0)))=0,"",JK151/(INDEX('Standards for Conversions'!$H$47:$H$73,MATCH(JJ$3,'Standards for Conversions'!$A$47:$A$73,0))))</f>
        <v>242.64029503780304</v>
      </c>
      <c r="JM151" s="33" t="s">
        <v>40</v>
      </c>
      <c r="JP151" s="31" t="str">
        <f>IF(JO151/(INDEX('Standards for Conversions'!$H$47:$H$73,MATCH(JN$3,'Standards for Conversions'!$A$47:$A$73,0)))=0,"",JO151/(INDEX('Standards for Conversions'!$H$47:$H$73,MATCH(JN$3,'Standards for Conversions'!$A$47:$A$73,0))))</f>
        <v/>
      </c>
      <c r="JQ151" s="33" t="s">
        <v>40</v>
      </c>
      <c r="JT151" s="31" t="str">
        <f>IF(JS151/(INDEX('Standards for Conversions'!$H$47:$H$73,MATCH(JR$3,'Standards for Conversions'!$A$47:$A$73,0)))=0,"",JS151/(INDEX('Standards for Conversions'!$H$47:$H$73,MATCH(JR$3,'Standards for Conversions'!$A$47:$A$73,0))))</f>
        <v/>
      </c>
      <c r="JU151" s="33" t="s">
        <v>40</v>
      </c>
      <c r="JX151" s="31" t="str">
        <f>IF(JW151/(INDEX('Standards for Conversions'!$H$47:$H$73,MATCH(JV$3,'Standards for Conversions'!$A$47:$A$73,0)))=0,"",JW151/(INDEX('Standards for Conversions'!$H$47:$H$73,MATCH(JV$3,'Standards for Conversions'!$A$47:$A$73,0))))</f>
        <v/>
      </c>
      <c r="JY151" s="33" t="s">
        <v>40</v>
      </c>
      <c r="JZ151" s="29">
        <v>17</v>
      </c>
      <c r="KA151" s="29">
        <v>1500</v>
      </c>
      <c r="KB151" s="31">
        <f>IF(KA151/(INDEX('Standards for Conversions'!$H$47:$H$73,MATCH(JZ$3,'Standards for Conversions'!$A$47:$A$73,0)))=0,"",KA151/(INDEX('Standards for Conversions'!$H$47:$H$73,MATCH(JZ$3,'Standards for Conversions'!$A$47:$A$73,0))))</f>
        <v>228.98383864169634</v>
      </c>
      <c r="KC151" s="33" t="s">
        <v>40</v>
      </c>
      <c r="KF151" s="31" t="str">
        <f>IF(KE151/(INDEX('Standards for Conversions'!$H$47:$H$73,MATCH(KD$3,'Standards for Conversions'!$A$47:$A$73,0)))=0,"",KE151/(INDEX('Standards for Conversions'!$H$47:$H$73,MATCH(KD$3,'Standards for Conversions'!$A$47:$A$73,0))))</f>
        <v/>
      </c>
      <c r="KG151" s="33" t="s">
        <v>40</v>
      </c>
      <c r="KJ151" s="31" t="str">
        <f>IF(KI151/(INDEX('Standards for Conversions'!$H$47:$H$73,MATCH(KH$3,'Standards for Conversions'!$A$47:$A$73,0)))=0,"",KI151/(INDEX('Standards for Conversions'!$H$47:$H$73,MATCH(KH$3,'Standards for Conversions'!$A$47:$A$73,0))))</f>
        <v/>
      </c>
      <c r="KK151" s="33" t="s">
        <v>40</v>
      </c>
      <c r="KN151" s="31" t="str">
        <f>IF(KM151/(INDEX('Standards for Conversions'!$H$47:$H$73,MATCH(KL$3,'Standards for Conversions'!$A$47:$A$73,0)))=0,"",KM151/(INDEX('Standards for Conversions'!$H$47:$H$73,MATCH(KL$3,'Standards for Conversions'!$A$47:$A$73,0))))</f>
        <v/>
      </c>
      <c r="KO151" s="33" t="s">
        <v>40</v>
      </c>
      <c r="KP151" s="29">
        <v>20</v>
      </c>
      <c r="KQ151" s="29">
        <v>2000</v>
      </c>
      <c r="KR151" s="31">
        <f>IF(KQ151/(INDEX('Standards for Conversions'!$H$47:$H$73,MATCH(KP$3,'Standards for Conversions'!$A$47:$A$73,0)))=0,"",KQ151/(INDEX('Standards for Conversions'!$H$47:$H$73,MATCH(KP$3,'Standards for Conversions'!$A$47:$A$73,0))))</f>
        <v>269.31802381159292</v>
      </c>
      <c r="KS151" s="33" t="s">
        <v>40</v>
      </c>
      <c r="KV151" s="31" t="str">
        <f>IF(KU151/(INDEX('Standards for Conversions'!$H$47:$H$73,MATCH(KT$3,'Standards for Conversions'!$A$47:$A$73,0)))=0,"",KU151/(INDEX('Standards for Conversions'!$H$47:$H$73,MATCH(KT$3,'Standards for Conversions'!$A$47:$A$73,0))))</f>
        <v/>
      </c>
      <c r="KW151" s="33" t="s">
        <v>40</v>
      </c>
      <c r="KZ151" s="31" t="str">
        <f>IF(KY151/(INDEX('Standards for Conversions'!$H$47:$H$73,MATCH(KX$3,'Standards for Conversions'!$A$47:$A$73,0)))=0,"",KY151/(INDEX('Standards for Conversions'!$H$47:$H$73,MATCH(KX$3,'Standards for Conversions'!$A$47:$A$73,0))))</f>
        <v/>
      </c>
      <c r="LA151" s="33" t="s">
        <v>40</v>
      </c>
      <c r="LD151" s="31" t="str">
        <f>IF(LC151/(INDEX('Standards for Conversions'!$H$47:$H$73,MATCH(LB$3,'Standards for Conversions'!$A$47:$A$73,0)))=0,"",LC151/(INDEX('Standards for Conversions'!$H$47:$H$73,MATCH(LB$3,'Standards for Conversions'!$A$47:$A$73,0))))</f>
        <v/>
      </c>
      <c r="LE151" s="48" t="s">
        <v>40</v>
      </c>
      <c r="LF151" s="29">
        <v>31</v>
      </c>
      <c r="LG151" s="29">
        <v>4200</v>
      </c>
      <c r="LH151" s="31">
        <f>IF(LG151/(INDEX('Standards for Conversions'!$H$47:$H$73,MATCH(LF$3,'Standards for Conversions'!$A$47:$A$73,0)))=0,"",LG151/(INDEX('Standards for Conversions'!$H$47:$H$73,MATCH(LF$3,'Standards for Conversions'!$A$47:$A$73,0))))</f>
        <v>510.78958025549656</v>
      </c>
      <c r="LL151" s="31" t="str">
        <f>IF(LK151/(INDEX('Standards for Conversions'!$H$47:$H$73,MATCH(LJ$3,'Standards for Conversions'!$A$47:$A$73,0)))=0,"",LK151/(INDEX('Standards for Conversions'!$H$47:$H$73,MATCH(LJ$3,'Standards for Conversions'!$A$47:$A$73,0))))</f>
        <v/>
      </c>
      <c r="LO151" s="31" t="str">
        <f>IF(LN151/(INDEX('Standards for Conversions'!$H$47:$H$73,MATCH(LM$3,'Standards for Conversions'!$A$47:$A$73,0)))=0,"",LN151/(INDEX('Standards for Conversions'!$H$47:$H$73,MATCH(LM$3,'Standards for Conversions'!$A$47:$A$73,0))))</f>
        <v/>
      </c>
      <c r="LR151" s="31" t="str">
        <f>IF(LQ151/(INDEX('Standards for Conversions'!$H$47:$H$73,MATCH(LP$3,'Standards for Conversions'!$A$47:$A$73,0)))=0,"",LQ151/(INDEX('Standards for Conversions'!$H$47:$H$73,MATCH(LP$3,'Standards for Conversions'!$A$47:$A$73,0))))</f>
        <v/>
      </c>
      <c r="LV151" s="31" t="str">
        <f>IF(LU151/(INDEX('Standards for Conversions'!$H$47:$H$73,MATCH(LT$3,'Standards for Conversions'!$A$47:$A$73,0)))=0,"",LU151/(INDEX('Standards for Conversions'!$H$47:$H$73,MATCH(LT$3,'Standards for Conversions'!$A$47:$A$73,0))))</f>
        <v/>
      </c>
      <c r="LY151" s="31" t="str">
        <f>IF(LX151/(INDEX('Standards for Conversions'!$H$47:$H$73,MATCH(LW$3,'Standards for Conversions'!$A$47:$A$73,0)))=0,"",LX151/(INDEX('Standards for Conversions'!$H$47:$H$73,MATCH(LW$3,'Standards for Conversions'!$A$47:$A$73,0))))</f>
        <v/>
      </c>
      <c r="MB151" s="31" t="str">
        <f>IF(MA151/(INDEX('Standards for Conversions'!$H$47:$H$73,MATCH(LZ$3,'Standards for Conversions'!$A$47:$A$73,0)))=0,"",MA151/(INDEX('Standards for Conversions'!$H$47:$H$73,MATCH(LZ$3,'Standards for Conversions'!$A$47:$A$73,0))))</f>
        <v/>
      </c>
      <c r="ME151" s="31" t="str">
        <f>IF(MD151/(INDEX('Standards for Conversions'!$H$47:$H$73,MATCH(MC$3,'Standards for Conversions'!$A$47:$A$73,0)))=0,"",MD151/(INDEX('Standards for Conversions'!$H$47:$H$73,MATCH(MC$3,'Standards for Conversions'!$A$47:$A$73,0))))</f>
        <v/>
      </c>
      <c r="MH151" s="31" t="str">
        <f>IF(MG151/(INDEX('Standards for Conversions'!$H$47:$H$73,MATCH(MF$3,'Standards for Conversions'!$A$47:$A$73,0)))=0,"",MG151/(INDEX('Standards for Conversions'!$H$47:$H$73,MATCH(MF$3,'Standards for Conversions'!$A$47:$A$73,0))))</f>
        <v/>
      </c>
      <c r="MK151" s="31" t="str">
        <f>IF(MJ151/(INDEX('Standards for Conversions'!$H$47:$H$73,MATCH(MI$3,'Standards for Conversions'!$A$47:$A$73,0)))=0,"",MJ151/(INDEX('Standards for Conversions'!$H$47:$H$73,MATCH(MI$3,'Standards for Conversions'!$A$47:$A$73,0))))</f>
        <v/>
      </c>
      <c r="MN151" s="31" t="str">
        <f>IF(MM151/(INDEX('Standards for Conversions'!$H$47:$H$73,MATCH(ML$3,'Standards for Conversions'!$A$47:$A$73,0)))=0,"",MM151/(INDEX('Standards for Conversions'!$H$47:$H$73,MATCH(ML$3,'Standards for Conversions'!$A$47:$A$73,0))))</f>
        <v/>
      </c>
      <c r="MR151" s="31" t="str">
        <f>IF(MQ151/(INDEX('Standards for Conversions'!$H$47:$H$73,MATCH(MP$3,'Standards for Conversions'!$A$47:$A$73,0)))=0,"",MQ151/(INDEX('Standards for Conversions'!$H$47:$H$73,MATCH(MP$3,'Standards for Conversions'!$A$47:$A$73,0))))</f>
        <v/>
      </c>
    </row>
    <row r="152" spans="1:373" hidden="1" x14ac:dyDescent="0.3">
      <c r="A152" s="103" t="s">
        <v>316</v>
      </c>
      <c r="B152" s="10" t="s">
        <v>45</v>
      </c>
      <c r="C152" s="7"/>
      <c r="D152" s="7"/>
      <c r="E152" s="31" t="str">
        <f>IF(D152/(INDEX('Standards for Conversions'!$H$34:$H$73,MATCH(C$3,'Standards for Conversions'!$A$34:$A$73,0)))=0,"",D152/(INDEX('Standards for Conversions'!$H$34:$H$73,MATCH(C$3,'Standards for Conversions'!$A$34:$A$73,0))))</f>
        <v/>
      </c>
      <c r="F152" s="10" t="s">
        <v>45</v>
      </c>
      <c r="G152" s="7"/>
      <c r="H152" s="7"/>
      <c r="I152" s="31" t="str">
        <f>IF(H152/(INDEX('Standards for Conversions'!$H$34:$H$73,MATCH(G$3,'Standards for Conversions'!$A$34:$A$73,0)))=0,"",H152/(INDEX('Standards for Conversions'!$H$34:$H$73,MATCH(G$3,'Standards for Conversions'!$A$34:$A$73,0))))</f>
        <v/>
      </c>
      <c r="J152" s="10" t="s">
        <v>45</v>
      </c>
      <c r="K152" s="7"/>
      <c r="L152" s="7"/>
      <c r="M152" s="31" t="str">
        <f>IF(L152/(INDEX('Standards for Conversions'!$H$34:$H$73,MATCH(K$3,'Standards for Conversions'!$A$34:$A$73,0)))=0,"",L152/(INDEX('Standards for Conversions'!$H$34:$H$73,MATCH(K$3,'Standards for Conversions'!$A$34:$A$73,0))))</f>
        <v/>
      </c>
      <c r="N152" s="10" t="s">
        <v>45</v>
      </c>
      <c r="O152" s="7"/>
      <c r="P152" s="7"/>
      <c r="Q152" s="31" t="str">
        <f>IF(P152/(INDEX('Standards for Conversions'!$H$34:$H$73,MATCH(O$3,'Standards for Conversions'!$A$34:$A$73,0)))=0,"",P152/(INDEX('Standards for Conversions'!$H$34:$H$73,MATCH(O$3,'Standards for Conversions'!$A$34:$A$73,0))))</f>
        <v/>
      </c>
      <c r="R152" s="10" t="s">
        <v>45</v>
      </c>
      <c r="S152" s="7"/>
      <c r="T152" s="7"/>
      <c r="U152" s="31" t="str">
        <f>IF(T152/(INDEX('Standards for Conversions'!$H$34:$H$73,MATCH(S$3,'Standards for Conversions'!$A$34:$A$73,0)))=0,"",T152/(INDEX('Standards for Conversions'!$H$34:$H$73,MATCH(S$3,'Standards for Conversions'!$A$34:$A$73,0))))</f>
        <v/>
      </c>
      <c r="V152" s="10" t="s">
        <v>45</v>
      </c>
      <c r="W152" s="7"/>
      <c r="X152" s="7"/>
      <c r="Y152" s="31" t="str">
        <f>IF(X152/(INDEX('Standards for Conversions'!$H$34:$H$73,MATCH(W$3,'Standards for Conversions'!$A$34:$A$73,0)))=0,"",X152/(INDEX('Standards for Conversions'!$H$34:$H$73,MATCH(W$3,'Standards for Conversions'!$A$34:$A$73,0))))</f>
        <v/>
      </c>
      <c r="Z152" s="10" t="s">
        <v>45</v>
      </c>
      <c r="AA152" s="7"/>
      <c r="AB152" s="7"/>
      <c r="AC152" s="31" t="str">
        <f>IF(AB152/(INDEX('Standards for Conversions'!$H$34:$H$73,MATCH(AA$3,'Standards for Conversions'!$A$34:$A$73,0)))=0,"",AB152/(INDEX('Standards for Conversions'!$H$34:$H$73,MATCH(AA$3,'Standards for Conversions'!$A$34:$A$73,0))))</f>
        <v/>
      </c>
      <c r="AD152" s="10" t="s">
        <v>45</v>
      </c>
      <c r="AE152" s="7"/>
      <c r="AF152" s="7"/>
      <c r="AG152" s="31" t="str">
        <f>IF(AF152/(INDEX('Standards for Conversions'!$H$34:$H$73,MATCH(AE$3,'Standards for Conversions'!$A$34:$A$73,0)))=0,"",AF152/(INDEX('Standards for Conversions'!$H$34:$H$73,MATCH(AE$3,'Standards for Conversions'!$A$34:$A$73,0))))</f>
        <v/>
      </c>
      <c r="AH152" s="10" t="s">
        <v>45</v>
      </c>
      <c r="AI152" s="7"/>
      <c r="AJ152" s="7"/>
      <c r="AK152" s="31" t="str">
        <f>IF(AJ152/(INDEX('Standards for Conversions'!$H$34:$H$73,MATCH(AI$3,'Standards for Conversions'!$A$34:$A$73,0)))=0,"",AJ152/(INDEX('Standards for Conversions'!$H$34:$H$73,MATCH(AI$3,'Standards for Conversions'!$A$34:$A$73,0))))</f>
        <v/>
      </c>
      <c r="AL152" s="10" t="s">
        <v>45</v>
      </c>
      <c r="AM152" s="7"/>
      <c r="AN152" s="7"/>
      <c r="AO152" s="31" t="str">
        <f>IF(AN152/(INDEX('Standards for Conversions'!$H$34:$H$73,MATCH(AM$3,'Standards for Conversions'!$A$34:$A$73,0)))=0,"",AN152/(INDEX('Standards for Conversions'!$H$34:$H$73,MATCH(AM$3,'Standards for Conversions'!$A$34:$A$73,0))))</f>
        <v/>
      </c>
      <c r="AP152" s="10" t="s">
        <v>45</v>
      </c>
      <c r="AQ152" s="7"/>
      <c r="AR152" s="7"/>
      <c r="AS152" s="31" t="str">
        <f>IF(AR152/(INDEX('Standards for Conversions'!$H$34:$H$73,MATCH(AQ$3,'Standards for Conversions'!$A$34:$A$73,0)))=0,"",AR152/(INDEX('Standards for Conversions'!$H$34:$H$73,MATCH(AQ$3,'Standards for Conversions'!$A$34:$A$73,0))))</f>
        <v/>
      </c>
      <c r="AT152" s="10" t="s">
        <v>45</v>
      </c>
      <c r="AU152" s="7"/>
      <c r="AV152" s="7"/>
      <c r="AW152" s="31" t="str">
        <f>IF(AV152/(INDEX('Standards for Conversions'!$H$34:$H$73,MATCH(AU$3,'Standards for Conversions'!$A$34:$A$73,0)))=0,"",AV152/(INDEX('Standards for Conversions'!$H$34:$H$73,MATCH(AU$3,'Standards for Conversions'!$A$34:$A$73,0))))</f>
        <v/>
      </c>
      <c r="AX152" s="10" t="s">
        <v>45</v>
      </c>
      <c r="AY152" s="7"/>
      <c r="AZ152" s="7"/>
      <c r="BA152" s="31" t="str">
        <f>IF(AZ152/(INDEX('Standards for Conversions'!$H$34:$H$73,MATCH(AY$3,'Standards for Conversions'!$A$34:$A$73,0)))=0,"",AZ152/(INDEX('Standards for Conversions'!$H$34:$H$73,MATCH(AY$3,'Standards for Conversions'!$A$34:$A$73,0))))</f>
        <v/>
      </c>
      <c r="BB152" s="10" t="s">
        <v>45</v>
      </c>
      <c r="BC152" s="7"/>
      <c r="BD152" s="7"/>
      <c r="BE152" s="31" t="str">
        <f>IF(BD152/(INDEX('Standards for Conversions'!$H$34:$H$73,MATCH(BC$3,'Standards for Conversions'!$A$34:$A$73,0)))=0,"",BD152/(INDEX('Standards for Conversions'!$H$34:$H$73,MATCH(BC$3,'Standards for Conversions'!$A$34:$A$73,0))))</f>
        <v/>
      </c>
      <c r="BF152" s="10" t="s">
        <v>45</v>
      </c>
      <c r="BG152" s="7"/>
      <c r="BH152" s="7"/>
      <c r="BI152" s="31" t="str">
        <f>IF(BH152/(INDEX('Standards for Conversions'!$H$34:$H$73,MATCH(BG$3,'Standards for Conversions'!$A$34:$A$73,0)))=0,"",BH152/(INDEX('Standards for Conversions'!$H$34:$H$73,MATCH(BG$3,'Standards for Conversions'!$A$34:$A$73,0))))</f>
        <v/>
      </c>
      <c r="BJ152" s="10" t="s">
        <v>45</v>
      </c>
      <c r="BK152" s="7"/>
      <c r="BL152" s="7"/>
      <c r="BM152" s="31" t="str">
        <f>IF(BL152/(INDEX('Standards for Conversions'!$H$34:$H$73,MATCH(BK$3,'Standards for Conversions'!$A$34:$A$73,0)))=0,"",BL152/(INDEX('Standards for Conversions'!$H$34:$H$73,MATCH(BK$3,'Standards for Conversions'!$A$34:$A$73,0))))</f>
        <v/>
      </c>
      <c r="BN152" s="10" t="s">
        <v>45</v>
      </c>
      <c r="BO152" s="7"/>
      <c r="BP152" s="7"/>
      <c r="BQ152" s="31" t="str">
        <f>IF(BP152/(INDEX('Standards for Conversions'!$H$34:$H$73,MATCH(BO$3,'Standards for Conversions'!$A$34:$A$73,0)))=0,"",BP152/(INDEX('Standards for Conversions'!$H$34:$H$73,MATCH(BO$3,'Standards for Conversions'!$A$34:$A$73,0))))</f>
        <v/>
      </c>
      <c r="BR152" s="10" t="s">
        <v>45</v>
      </c>
      <c r="BS152" s="7"/>
      <c r="BT152" s="7"/>
      <c r="BU152" s="31" t="str">
        <f>IF(BT152/(INDEX('Standards for Conversions'!$H$34:$H$73,MATCH(BS$3,'Standards for Conversions'!$A$34:$A$73,0)))=0,"",BT152/(INDEX('Standards for Conversions'!$H$34:$H$73,MATCH(BS$3,'Standards for Conversions'!$A$34:$A$73,0))))</f>
        <v/>
      </c>
      <c r="BV152" s="10" t="s">
        <v>45</v>
      </c>
      <c r="BW152" s="7"/>
      <c r="BX152" s="7"/>
      <c r="BY152" s="31" t="str">
        <f>IF(BX152/(INDEX('Standards for Conversions'!$H$34:$H$73,MATCH(BW$3,'Standards for Conversions'!$A$34:$A$73,0)))=0,"",BX152/(INDEX('Standards for Conversions'!$H$34:$H$73,MATCH(BW$3,'Standards for Conversions'!$A$34:$A$73,0))))</f>
        <v/>
      </c>
      <c r="BZ152" s="10" t="s">
        <v>45</v>
      </c>
      <c r="CA152" s="7"/>
      <c r="CB152" s="7"/>
      <c r="CC152" s="31" t="str">
        <f>IF(CB152/(INDEX('Standards for Conversions'!$H$34:$H$73,MATCH(CA$3,'Standards for Conversions'!$A$34:$A$73,0)))=0,"",CB152/(INDEX('Standards for Conversions'!$H$34:$H$73,MATCH(CA$3,'Standards for Conversions'!$A$34:$A$73,0))))</f>
        <v/>
      </c>
      <c r="CD152" s="10" t="s">
        <v>45</v>
      </c>
      <c r="CE152" s="7"/>
      <c r="CF152" s="7"/>
      <c r="CG152" s="31" t="str">
        <f>IF(CF152/(INDEX('Standards for Conversions'!$H$34:$H$73,MATCH(CE$3,'Standards for Conversions'!$A$34:$A$73,0)))=0,"",CF152/(INDEX('Standards for Conversions'!$H$34:$H$73,MATCH(CE$3,'Standards for Conversions'!$A$34:$A$73,0))))</f>
        <v/>
      </c>
      <c r="CH152" s="10" t="s">
        <v>45</v>
      </c>
      <c r="CI152" s="7"/>
      <c r="CJ152" s="7"/>
      <c r="CK152" s="31" t="str">
        <f>IF(CJ152/(INDEX('Standards for Conversions'!$H$34:$H$73,MATCH(CI$3,'Standards for Conversions'!$A$34:$A$73,0)))=0,"",CJ152/(INDEX('Standards for Conversions'!$H$34:$H$73,MATCH(CI$3,'Standards for Conversions'!$A$34:$A$73,0))))</f>
        <v/>
      </c>
      <c r="CL152" s="10" t="s">
        <v>45</v>
      </c>
      <c r="CM152" s="7"/>
      <c r="CN152" s="7"/>
      <c r="CO152" s="31" t="str">
        <f>IF(CN152/(INDEX('Standards for Conversions'!$H$34:$H$73,MATCH(CM$3,'Standards for Conversions'!$A$34:$A$73,0)))=0,"",CN152/(INDEX('Standards for Conversions'!$H$34:$H$73,MATCH(CM$3,'Standards for Conversions'!$A$34:$A$73,0))))</f>
        <v/>
      </c>
      <c r="CP152" s="10" t="s">
        <v>45</v>
      </c>
      <c r="CQ152" s="7"/>
      <c r="CR152" s="7"/>
      <c r="CS152" s="31" t="str">
        <f>IF(CR152/(INDEX('Standards for Conversions'!$H$34:$H$73,MATCH(CQ$3,'Standards for Conversions'!$A$34:$A$73,0)))=0,"",CR152/(INDEX('Standards for Conversions'!$H$34:$H$73,MATCH(CQ$3,'Standards for Conversions'!$A$34:$A$73,0))))</f>
        <v/>
      </c>
      <c r="CT152" s="10" t="s">
        <v>45</v>
      </c>
      <c r="CU152" s="7"/>
      <c r="CV152" s="7"/>
      <c r="CW152" s="31" t="str">
        <f>IF(CV152/(INDEX('Standards for Conversions'!$H$34:$H$73,MATCH(CU$3,'Standards for Conversions'!$A$34:$A$73,0)))=0,"",CV152/(INDEX('Standards for Conversions'!$H$34:$H$73,MATCH(CU$3,'Standards for Conversions'!$A$34:$A$73,0))))</f>
        <v/>
      </c>
      <c r="CX152" s="10" t="s">
        <v>45</v>
      </c>
      <c r="CY152" s="7"/>
      <c r="CZ152" s="7"/>
      <c r="DA152" s="31" t="str">
        <f>IF(CZ152/(INDEX('Standards for Conversions'!$H$34:$H$73,MATCH(CY$3,'Standards for Conversions'!$A$34:$A$73,0)))=0,"",CZ152/(INDEX('Standards for Conversions'!$H$34:$H$73,MATCH(CY$3,'Standards for Conversions'!$A$34:$A$73,0))))</f>
        <v/>
      </c>
      <c r="DB152" s="10" t="s">
        <v>45</v>
      </c>
      <c r="DC152" s="7"/>
      <c r="DD152" s="7"/>
      <c r="DE152" s="31" t="str">
        <f>IF(DD152/(INDEX('Standards for Conversions'!$H$34:$H$73,MATCH(DC$3,'Standards for Conversions'!$A$34:$A$73,0)))=0,"",DD152/(INDEX('Standards for Conversions'!$H$34:$H$73,MATCH(DC$3,'Standards for Conversions'!$A$34:$A$73,0))))</f>
        <v/>
      </c>
      <c r="DF152" s="10" t="s">
        <v>45</v>
      </c>
      <c r="DG152" s="7"/>
      <c r="DH152" s="7"/>
      <c r="DI152" s="31" t="str">
        <f>IF(DH152/(INDEX('Standards for Conversions'!$H$34:$H$73,MATCH(DG$3,'Standards for Conversions'!$A$34:$A$73,0)))=0,"",DH152/(INDEX('Standards for Conversions'!$H$34:$H$73,MATCH(DG$3,'Standards for Conversions'!$A$34:$A$73,0))))</f>
        <v/>
      </c>
      <c r="DJ152" s="10" t="s">
        <v>45</v>
      </c>
      <c r="DK152" s="7"/>
      <c r="DL152" s="7"/>
      <c r="DM152" s="31" t="str">
        <f>IF(DL152/(INDEX('Standards for Conversions'!$H$34:$H$73,MATCH(DK$3,'Standards for Conversions'!$A$34:$A$73,0)))=0,"",DL152/(INDEX('Standards for Conversions'!$H$34:$H$73,MATCH(DK$3,'Standards for Conversions'!$A$34:$A$73,0))))</f>
        <v/>
      </c>
      <c r="DN152" s="10" t="s">
        <v>45</v>
      </c>
      <c r="DO152" s="7"/>
      <c r="DP152" s="7"/>
      <c r="DQ152" s="31" t="str">
        <f>IF(DP152/(INDEX('Standards for Conversions'!$H$34:$H$73,MATCH(DO$3,'Standards for Conversions'!$A$34:$A$73,0)))=0,"",DP152/(INDEX('Standards for Conversions'!$H$34:$H$73,MATCH(DO$3,'Standards for Conversions'!$A$34:$A$73,0))))</f>
        <v/>
      </c>
      <c r="DR152" s="10" t="s">
        <v>45</v>
      </c>
      <c r="DS152" s="7"/>
      <c r="DT152" s="7"/>
      <c r="DU152" s="31" t="str">
        <f>IF(DT152/(INDEX('Standards for Conversions'!$H$34:$H$73,MATCH(DS$3,'Standards for Conversions'!$A$34:$A$73,0)))=0,"",DT152/(INDEX('Standards for Conversions'!$H$34:$H$73,MATCH(DS$3,'Standards for Conversions'!$A$34:$A$73,0))))</f>
        <v/>
      </c>
      <c r="DV152" s="10" t="s">
        <v>45</v>
      </c>
      <c r="DW152" s="7"/>
      <c r="DX152" s="7"/>
      <c r="DY152" s="31" t="str">
        <f>IF(DX152/(INDEX('Standards for Conversions'!$H$34:$H$73,MATCH(DW$3,'Standards for Conversions'!$A$34:$A$73,0)))=0,"",DX152/(INDEX('Standards for Conversions'!$H$34:$H$73,MATCH(DW$3,'Standards for Conversions'!$A$34:$A$73,0))))</f>
        <v/>
      </c>
      <c r="DZ152" s="10" t="s">
        <v>45</v>
      </c>
      <c r="EA152" s="7"/>
      <c r="EB152" s="7"/>
      <c r="EC152" s="31" t="str">
        <f>IF(EB152/(INDEX('Standards for Conversions'!$H$34:$H$73,MATCH(EA$3,'Standards for Conversions'!$A$34:$A$73,0)))=0,"",EB152/(INDEX('Standards for Conversions'!$H$34:$H$73,MATCH(EA$3,'Standards for Conversions'!$A$34:$A$73,0))))</f>
        <v/>
      </c>
      <c r="ED152" s="10" t="s">
        <v>45</v>
      </c>
      <c r="EE152" s="7"/>
      <c r="EF152" s="7"/>
      <c r="EG152" s="31" t="str">
        <f>IF(EF152/(INDEX('Standards for Conversions'!$H$34:$H$73,MATCH(EE$3,'Standards for Conversions'!$A$34:$A$73,0)))=0,"",EF152/(INDEX('Standards for Conversions'!$H$34:$H$73,MATCH(EE$3,'Standards for Conversions'!$A$34:$A$73,0))))</f>
        <v/>
      </c>
      <c r="EH152" s="10" t="s">
        <v>45</v>
      </c>
      <c r="EI152" s="7"/>
      <c r="EJ152" s="7"/>
      <c r="EK152" s="31" t="str">
        <f>IF(EJ152/(INDEX('Standards for Conversions'!$H$34:$H$73,MATCH(EI$3,'Standards for Conversions'!$A$34:$A$73,0)))=0,"",EJ152/(INDEX('Standards for Conversions'!$H$34:$H$73,MATCH(EI$3,'Standards for Conversions'!$A$34:$A$73,0))))</f>
        <v/>
      </c>
      <c r="EL152" s="10" t="s">
        <v>45</v>
      </c>
      <c r="EM152" s="7"/>
      <c r="EN152" s="7"/>
      <c r="EO152" s="31" t="str">
        <f>IF(EN152/(INDEX('Standards for Conversions'!$H$34:$H$73,MATCH(EM$3,'Standards for Conversions'!$A$34:$A$73,0)))=0,"",EN152/(INDEX('Standards for Conversions'!$H$34:$H$73,MATCH(EM$3,'Standards for Conversions'!$A$34:$A$73,0))))</f>
        <v/>
      </c>
      <c r="EP152" s="10" t="s">
        <v>45</v>
      </c>
      <c r="EQ152" s="7"/>
      <c r="ER152" s="7"/>
      <c r="ES152" s="31" t="str">
        <f>IF(ER152/(INDEX('Standards for Conversions'!$H$34:$H$73,MATCH(EQ$3,'Standards for Conversions'!$A$34:$A$73,0)))=0,"",ER152/(INDEX('Standards for Conversions'!$H$34:$H$73,MATCH(EQ$3,'Standards for Conversions'!$A$34:$A$73,0))))</f>
        <v/>
      </c>
      <c r="ET152" s="10" t="s">
        <v>45</v>
      </c>
      <c r="EU152" s="7"/>
      <c r="EV152" s="7"/>
      <c r="EW152" s="31" t="str">
        <f>IF(EV152/(INDEX('Standards for Conversions'!$H$34:$H$73,MATCH(EU$3,'Standards for Conversions'!$A$34:$A$73,0)))=0,"",EV152/(INDEX('Standards for Conversions'!$H$34:$H$73,MATCH(EU$3,'Standards for Conversions'!$A$34:$A$73,0))))</f>
        <v/>
      </c>
      <c r="EX152" s="10" t="s">
        <v>45</v>
      </c>
      <c r="EY152" s="9"/>
      <c r="EZ152" s="9"/>
      <c r="FA152" s="31" t="str">
        <f>IF(EZ152/(INDEX('Standards for Conversions'!$H$34:$H$73,MATCH(EY$3,'Standards for Conversions'!$A$34:$A$73,0)))=0,"",EZ152/(INDEX('Standards for Conversions'!$H$34:$H$73,MATCH(EY$3,'Standards for Conversions'!$A$34:$A$73,0))))</f>
        <v/>
      </c>
      <c r="FB152" s="10" t="s">
        <v>45</v>
      </c>
      <c r="FC152" s="7"/>
      <c r="FD152" s="7"/>
      <c r="FE152" s="31" t="str">
        <f>IF(FD152/(INDEX('Standards for Conversions'!$H$34:$H$73,MATCH(FC$3,'Standards for Conversions'!$A$34:$A$73,0)))=0,"",FD152/(INDEX('Standards for Conversions'!$H$34:$H$73,MATCH(FC$3,'Standards for Conversions'!$A$34:$A$73,0))))</f>
        <v/>
      </c>
      <c r="FF152" s="10" t="s">
        <v>45</v>
      </c>
      <c r="FG152" s="7"/>
      <c r="FH152" s="7"/>
      <c r="FI152" s="31" t="str">
        <f>IF(FH152/(INDEX('Standards for Conversions'!$H$34:$H$73,MATCH(FG$3,'Standards for Conversions'!$A$34:$A$73,0)))=0,"",FH152/(INDEX('Standards for Conversions'!$H$34:$H$73,MATCH(FG$3,'Standards for Conversions'!$A$34:$A$73,0))))</f>
        <v/>
      </c>
      <c r="FJ152" s="10" t="s">
        <v>45</v>
      </c>
      <c r="FK152" s="7"/>
      <c r="FL152" s="7"/>
      <c r="FM152" s="31" t="str">
        <f>IF(FL152/(INDEX('Standards for Conversions'!$H$34:$H$73,MATCH(FK$3,'Standards for Conversions'!$A$34:$A$73,0)))=0,"",FL152/(INDEX('Standards for Conversions'!$H$34:$H$73,MATCH(FK$3,'Standards for Conversions'!$A$34:$A$73,0))))</f>
        <v/>
      </c>
      <c r="FN152" s="10" t="s">
        <v>45</v>
      </c>
      <c r="FO152" s="9"/>
      <c r="FP152" s="9"/>
      <c r="FQ152" s="31" t="str">
        <f>IF(FP152/(INDEX('Standards for Conversions'!$H$34:$H$73,MATCH(FO$3,'Standards for Conversions'!$A$34:$A$73,0)))=0,"",FP152/(INDEX('Standards for Conversions'!$H$34:$H$73,MATCH(FO$3,'Standards for Conversions'!$A$34:$A$73,0))))</f>
        <v/>
      </c>
      <c r="FR152" s="10" t="s">
        <v>45</v>
      </c>
      <c r="FS152" s="7"/>
      <c r="FT152" s="7"/>
      <c r="FU152" s="31" t="str">
        <f>IF(FT152/(INDEX('Standards for Conversions'!$H$34:$H$73,MATCH(FS$3,'Standards for Conversions'!$A$34:$A$73,0)))=0,"",FT152/(INDEX('Standards for Conversions'!$H$34:$H$73,MATCH(FS$3,'Standards for Conversions'!$A$34:$A$73,0))))</f>
        <v/>
      </c>
      <c r="FV152" s="10" t="s">
        <v>45</v>
      </c>
      <c r="FW152" s="7"/>
      <c r="FX152" s="7"/>
      <c r="FY152" s="31" t="str">
        <f>IF(FX152/(INDEX('Standards for Conversions'!$H$34:$H$73,MATCH(FW$3,'Standards for Conversions'!$A$34:$A$73,0)))=0,"",FX152/(INDEX('Standards for Conversions'!$H$34:$H$73,MATCH(FW$3,'Standards for Conversions'!$A$34:$A$73,0))))</f>
        <v/>
      </c>
      <c r="FZ152" s="10" t="s">
        <v>45</v>
      </c>
      <c r="GA152" s="7"/>
      <c r="GB152" s="7"/>
      <c r="GC152" s="31" t="str">
        <f>IF(GB152/(INDEX('Standards for Conversions'!$H$34:$H$73,MATCH(GA$3,'Standards for Conversions'!$A$34:$A$73,0)))=0,"",GB152/(INDEX('Standards for Conversions'!$H$34:$H$73,MATCH(GA$3,'Standards for Conversions'!$A$34:$A$73,0))))</f>
        <v/>
      </c>
      <c r="GD152" s="10" t="s">
        <v>45</v>
      </c>
      <c r="GE152" s="9"/>
      <c r="GF152" s="9"/>
      <c r="GG152" s="31" t="str">
        <f>IF(GF152/(INDEX('Standards for Conversions'!$H$34:$H$73,MATCH(GE$3,'Standards for Conversions'!$A$34:$A$73,0)))=0,"",GF152/(INDEX('Standards for Conversions'!$H$34:$H$73,MATCH(GE$3,'Standards for Conversions'!$A$34:$A$73,0))))</f>
        <v/>
      </c>
      <c r="GH152" s="10" t="s">
        <v>45</v>
      </c>
      <c r="GI152" s="7"/>
      <c r="GJ152" s="7"/>
      <c r="GK152" s="31" t="str">
        <f>IF(GJ152/(INDEX('Standards for Conversions'!$H$34:$H$73,MATCH(GI$3,'Standards for Conversions'!$A$34:$A$73,0)))=0,"",GJ152/(INDEX('Standards for Conversions'!$H$34:$H$73,MATCH(GI$3,'Standards for Conversions'!$A$34:$A$73,0))))</f>
        <v/>
      </c>
      <c r="GL152" s="10" t="s">
        <v>45</v>
      </c>
      <c r="GM152" s="7"/>
      <c r="GN152" s="7"/>
      <c r="GO152" s="31" t="str">
        <f>IF(GN152/(INDEX('Standards for Conversions'!$H$34:$H$73,MATCH(GM$3,'Standards for Conversions'!$A$34:$A$73,0)))=0,"",GN152/(INDEX('Standards for Conversions'!$H$34:$H$73,MATCH(GM$3,'Standards for Conversions'!$A$34:$A$73,0))))</f>
        <v/>
      </c>
      <c r="GP152" s="10" t="s">
        <v>45</v>
      </c>
      <c r="GQ152" s="7"/>
      <c r="GR152" s="7"/>
      <c r="GS152" s="31" t="str">
        <f>IF(GR152/(INDEX('Standards for Conversions'!$H$34:$H$73,MATCH(GQ$3,'Standards for Conversions'!$A$34:$A$73,0)))=0,"",GR152/(INDEX('Standards for Conversions'!$H$34:$H$73,MATCH(GQ$3,'Standards for Conversions'!$A$34:$A$73,0))))</f>
        <v/>
      </c>
      <c r="GT152" s="10" t="s">
        <v>45</v>
      </c>
      <c r="GU152" s="9"/>
      <c r="GV152" s="9"/>
      <c r="GW152" s="31" t="str">
        <f>IF(GV152/(INDEX('Standards for Conversions'!$H$34:$H$73,MATCH(GU$3,'Standards for Conversions'!$A$34:$A$73,0)))=0,"",GV152/(INDEX('Standards for Conversions'!$H$34:$H$73,MATCH(GU$3,'Standards for Conversions'!$A$34:$A$73,0))))</f>
        <v/>
      </c>
      <c r="GX152" s="10" t="s">
        <v>45</v>
      </c>
      <c r="GY152" s="7"/>
      <c r="GZ152" s="7"/>
      <c r="HA152" s="31" t="str">
        <f>IF(GZ152/(INDEX('Standards for Conversions'!$H$34:$H$73,MATCH(GY$3,'Standards for Conversions'!$A$34:$A$73,0)))=0,"",GZ152/(INDEX('Standards for Conversions'!$H$34:$H$73,MATCH(GY$3,'Standards for Conversions'!$A$34:$A$73,0))))</f>
        <v/>
      </c>
      <c r="HB152" s="10" t="s">
        <v>45</v>
      </c>
      <c r="HC152" s="7"/>
      <c r="HD152" s="7"/>
      <c r="HE152" s="31" t="str">
        <f>IF(HD152/(INDEX('Standards for Conversions'!$H$34:$H$73,MATCH(HC$3,'Standards for Conversions'!$A$34:$A$73,0)))=0,"",HD152/(INDEX('Standards for Conversions'!$H$34:$H$73,MATCH(HC$3,'Standards for Conversions'!$A$34:$A$73,0))))</f>
        <v/>
      </c>
      <c r="HF152" s="10" t="s">
        <v>45</v>
      </c>
      <c r="HG152" s="7"/>
      <c r="HH152" s="7"/>
      <c r="HI152" s="31" t="str">
        <f>IF(HH152/(INDEX('Standards for Conversions'!$H$34:$H$73,MATCH(HG$3,'Standards for Conversions'!$A$34:$A$73,0)))=0,"",HH152/(INDEX('Standards for Conversions'!$H$34:$H$73,MATCH(HG$3,'Standards for Conversions'!$A$34:$A$73,0))))</f>
        <v/>
      </c>
      <c r="HJ152" s="10" t="s">
        <v>45</v>
      </c>
      <c r="HK152" s="9"/>
      <c r="HL152" s="9"/>
      <c r="HM152" s="31" t="str">
        <f>IF(HL152/(INDEX('Standards for Conversions'!$H$34:$H$73,MATCH(HK$3,'Standards for Conversions'!$A$34:$A$73,0)))=0,"",HL152/(INDEX('Standards for Conversions'!$H$34:$H$73,MATCH(HK$3,'Standards for Conversions'!$A$34:$A$73,0))))</f>
        <v/>
      </c>
      <c r="HN152" s="10" t="s">
        <v>45</v>
      </c>
      <c r="HO152" s="7"/>
      <c r="HP152" s="7"/>
      <c r="HQ152" s="31" t="str">
        <f>IF(HP152/(INDEX('Standards for Conversions'!$H$34:$H$73,MATCH(HO$3,'Standards for Conversions'!$A$34:$A$73,0)))=0,"",HP152/(INDEX('Standards for Conversions'!$H$34:$H$73,MATCH(HO$3,'Standards for Conversions'!$A$34:$A$73,0))))</f>
        <v/>
      </c>
      <c r="HR152" s="33" t="s">
        <v>45</v>
      </c>
      <c r="HU152" s="31" t="str">
        <f>IF(HT152/(INDEX('Standards for Conversions'!$H$47:$H$73,MATCH(HS$3,'Standards for Conversions'!$A$47:$A$73,0)))=0,"",HT152/(INDEX('Standards for Conversions'!$H$47:$H$73,MATCH(HS$3,'Standards for Conversions'!$A$47:$A$73,0))))</f>
        <v/>
      </c>
      <c r="HV152" s="33" t="s">
        <v>45</v>
      </c>
      <c r="HY152" s="31" t="str">
        <f>IF(HX152/(INDEX('Standards for Conversions'!$H$47:$H$73,MATCH(HW$3,'Standards for Conversions'!$A$47:$A$73,0)))=0,"",HX152/(INDEX('Standards for Conversions'!$H$47:$H$73,MATCH(HW$3,'Standards for Conversions'!$A$47:$A$73,0))))</f>
        <v/>
      </c>
      <c r="HZ152" s="33">
        <v>4500</v>
      </c>
      <c r="IA152" s="33">
        <v>10000</v>
      </c>
      <c r="IB152" s="31">
        <f>IF(IA152/(INDEX('Standards for Conversions'!$H$47:$H$73,MATCH(HZ$3,'Standards for Conversions'!$A$47:$A$73,0)))=0,"",IA152/(INDEX('Standards for Conversions'!$H$47:$H$73,MATCH(HZ$3,'Standards for Conversions'!$A$47:$A$73,0))))</f>
        <v>1452.4541221285597</v>
      </c>
      <c r="IC152" s="33" t="s">
        <v>45</v>
      </c>
      <c r="IF152" s="31" t="str">
        <f>IF(IE152/(INDEX('Standards for Conversions'!$H$47:$H$73,MATCH(ID$3,'Standards for Conversions'!$A$47:$A$73,0)))=0,"",IE152/(INDEX('Standards for Conversions'!$H$47:$H$73,MATCH(ID$3,'Standards for Conversions'!$A$47:$A$73,0))))</f>
        <v/>
      </c>
      <c r="IG152" s="33" t="s">
        <v>45</v>
      </c>
      <c r="IJ152" s="31" t="str">
        <f>IF(II152/(INDEX('Standards for Conversions'!$H$47:$H$73,MATCH(IH$3,'Standards for Conversions'!$A$47:$A$73,0)))=0,"",II152/(INDEX('Standards for Conversions'!$H$47:$H$73,MATCH(IH$3,'Standards for Conversions'!$A$47:$A$73,0))))</f>
        <v/>
      </c>
      <c r="IK152" s="33" t="s">
        <v>45</v>
      </c>
      <c r="IN152" s="31" t="str">
        <f>IF(IM152/(INDEX('Standards for Conversions'!$H$47:$H$73,MATCH(IL$3,'Standards for Conversions'!$A$47:$A$73,0)))=0,"",IM152/(INDEX('Standards for Conversions'!$H$47:$H$73,MATCH(IL$3,'Standards for Conversions'!$A$47:$A$73,0))))</f>
        <v/>
      </c>
      <c r="IO152" s="33" t="s">
        <v>45</v>
      </c>
      <c r="IP152" s="29">
        <v>4000</v>
      </c>
      <c r="IQ152" s="29">
        <v>8100</v>
      </c>
      <c r="IR152" s="31">
        <f>IF(IQ152/(INDEX('Standards for Conversions'!$H$47:$H$73,MATCH(IP$3,'Standards for Conversions'!$A$47:$A$73,0)))=0,"",IQ152/(INDEX('Standards for Conversions'!$H$47:$H$73,MATCH(IP$3,'Standards for Conversions'!$A$47:$A$73,0))))</f>
        <v>1171.3428483749021</v>
      </c>
      <c r="IS152" s="33" t="s">
        <v>45</v>
      </c>
      <c r="IV152" s="31" t="str">
        <f>IF(IU152/(INDEX('Standards for Conversions'!$H$47:$H$73,MATCH(IT$3,'Standards for Conversions'!$A$47:$A$73,0)))=0,"",IU152/(INDEX('Standards for Conversions'!$H$47:$H$73,MATCH(IT$3,'Standards for Conversions'!$A$47:$A$73,0))))</f>
        <v/>
      </c>
      <c r="IW152" s="33" t="s">
        <v>45</v>
      </c>
      <c r="IZ152" s="31" t="str">
        <f>IF(IY152/(INDEX('Standards for Conversions'!$H$47:$H$73,MATCH(IX$3,'Standards for Conversions'!$A$47:$A$73,0)))=0,"",IY152/(INDEX('Standards for Conversions'!$H$47:$H$73,MATCH(IX$3,'Standards for Conversions'!$A$47:$A$73,0))))</f>
        <v/>
      </c>
      <c r="JA152" s="48" t="s">
        <v>45</v>
      </c>
      <c r="JD152" s="31" t="str">
        <f>IF(JC152/(INDEX('Standards for Conversions'!$H$47:$H$73,MATCH(JB$3,'Standards for Conversions'!$A$47:$A$73,0)))=0,"",JC152/(INDEX('Standards for Conversions'!$H$47:$H$73,MATCH(JB$3,'Standards for Conversions'!$A$47:$A$73,0))))</f>
        <v/>
      </c>
      <c r="JE152" s="48" t="s">
        <v>45</v>
      </c>
      <c r="JF152" s="29">
        <v>4500</v>
      </c>
      <c r="JG152" s="29">
        <v>5500</v>
      </c>
      <c r="JH152" s="31">
        <f>IF(JG152/(INDEX('Standards for Conversions'!$H$47:$H$73,MATCH(JF$3,'Standards for Conversions'!$A$47:$A$73,0)))=0,"",JG152/(INDEX('Standards for Conversions'!$H$47:$H$73,MATCH(JF$3,'Standards for Conversions'!$A$47:$A$73,0))))</f>
        <v>889.68108180527781</v>
      </c>
      <c r="JI152" s="48"/>
      <c r="JL152" s="31" t="str">
        <f>IF(JK152/(INDEX('Standards for Conversions'!$H$47:$H$73,MATCH(JJ$3,'Standards for Conversions'!$A$47:$A$73,0)))=0,"",JK152/(INDEX('Standards for Conversions'!$H$47:$H$73,MATCH(JJ$3,'Standards for Conversions'!$A$47:$A$73,0))))</f>
        <v/>
      </c>
      <c r="JM152" s="33" t="s">
        <v>45</v>
      </c>
      <c r="JP152" s="31" t="str">
        <f>IF(JO152/(INDEX('Standards for Conversions'!$H$47:$H$73,MATCH(JN$3,'Standards for Conversions'!$A$47:$A$73,0)))=0,"",JO152/(INDEX('Standards for Conversions'!$H$47:$H$73,MATCH(JN$3,'Standards for Conversions'!$A$47:$A$73,0))))</f>
        <v/>
      </c>
      <c r="JQ152" s="33" t="s">
        <v>45</v>
      </c>
      <c r="JT152" s="31" t="str">
        <f>IF(JS152/(INDEX('Standards for Conversions'!$H$47:$H$73,MATCH(JR$3,'Standards for Conversions'!$A$47:$A$73,0)))=0,"",JS152/(INDEX('Standards for Conversions'!$H$47:$H$73,MATCH(JR$3,'Standards for Conversions'!$A$47:$A$73,0))))</f>
        <v/>
      </c>
      <c r="JU152" s="33" t="s">
        <v>45</v>
      </c>
      <c r="JV152" s="29">
        <v>4000</v>
      </c>
      <c r="JW152" s="29">
        <v>6000</v>
      </c>
      <c r="JX152" s="31">
        <f>IF(JW152/(INDEX('Standards for Conversions'!$H$47:$H$73,MATCH(JV$3,'Standards for Conversions'!$A$47:$A$73,0)))=0,"",JW152/(INDEX('Standards for Conversions'!$H$47:$H$73,MATCH(JV$3,'Standards for Conversions'!$A$47:$A$73,0))))</f>
        <v>915.93535456678535</v>
      </c>
      <c r="JY152" s="33" t="s">
        <v>45</v>
      </c>
      <c r="KB152" s="31" t="str">
        <f>IF(KA152/(INDEX('Standards for Conversions'!$H$47:$H$73,MATCH(JZ$3,'Standards for Conversions'!$A$47:$A$73,0)))=0,"",KA152/(INDEX('Standards for Conversions'!$H$47:$H$73,MATCH(JZ$3,'Standards for Conversions'!$A$47:$A$73,0))))</f>
        <v/>
      </c>
      <c r="KC152" s="33" t="s">
        <v>45</v>
      </c>
      <c r="KF152" s="31" t="str">
        <f>IF(KE152/(INDEX('Standards for Conversions'!$H$47:$H$73,MATCH(KD$3,'Standards for Conversions'!$A$47:$A$73,0)))=0,"",KE152/(INDEX('Standards for Conversions'!$H$47:$H$73,MATCH(KD$3,'Standards for Conversions'!$A$47:$A$73,0))))</f>
        <v/>
      </c>
      <c r="KG152" s="33" t="s">
        <v>45</v>
      </c>
      <c r="KJ152" s="31" t="str">
        <f>IF(KI152/(INDEX('Standards for Conversions'!$H$47:$H$73,MATCH(KH$3,'Standards for Conversions'!$A$47:$A$73,0)))=0,"",KI152/(INDEX('Standards for Conversions'!$H$47:$H$73,MATCH(KH$3,'Standards for Conversions'!$A$47:$A$73,0))))</f>
        <v/>
      </c>
      <c r="KK152" s="33" t="s">
        <v>45</v>
      </c>
      <c r="KL152" s="29">
        <v>3000</v>
      </c>
      <c r="KM152" s="29">
        <v>5000</v>
      </c>
      <c r="KN152" s="31">
        <f>IF(KM152/(INDEX('Standards for Conversions'!$H$47:$H$73,MATCH(KL$3,'Standards for Conversions'!$A$47:$A$73,0)))=0,"",KM152/(INDEX('Standards for Conversions'!$H$47:$H$73,MATCH(KL$3,'Standards for Conversions'!$A$47:$A$73,0))))</f>
        <v>673.29505952898228</v>
      </c>
      <c r="KO152" s="33" t="s">
        <v>45</v>
      </c>
      <c r="KR152" s="31" t="str">
        <f>IF(KQ152/(INDEX('Standards for Conversions'!$H$47:$H$73,MATCH(KP$3,'Standards for Conversions'!$A$47:$A$73,0)))=0,"",KQ152/(INDEX('Standards for Conversions'!$H$47:$H$73,MATCH(KP$3,'Standards for Conversions'!$A$47:$A$73,0))))</f>
        <v/>
      </c>
      <c r="KS152" s="33" t="s">
        <v>45</v>
      </c>
      <c r="KV152" s="31" t="str">
        <f>IF(KU152/(INDEX('Standards for Conversions'!$H$47:$H$73,MATCH(KT$3,'Standards for Conversions'!$A$47:$A$73,0)))=0,"",KU152/(INDEX('Standards for Conversions'!$H$47:$H$73,MATCH(KT$3,'Standards for Conversions'!$A$47:$A$73,0))))</f>
        <v/>
      </c>
      <c r="KW152" s="48" t="s">
        <v>45</v>
      </c>
      <c r="KZ152" s="31" t="str">
        <f>IF(KY152/(INDEX('Standards for Conversions'!$H$47:$H$73,MATCH(KX$3,'Standards for Conversions'!$A$47:$A$73,0)))=0,"",KY152/(INDEX('Standards for Conversions'!$H$47:$H$73,MATCH(KX$3,'Standards for Conversions'!$A$47:$A$73,0))))</f>
        <v/>
      </c>
      <c r="LA152" s="48" t="s">
        <v>45</v>
      </c>
      <c r="LB152" s="29">
        <v>1500</v>
      </c>
      <c r="LC152" s="29">
        <v>2500</v>
      </c>
      <c r="LD152" s="31">
        <f>IF(LC152/(INDEX('Standards for Conversions'!$H$47:$H$73,MATCH(LB$3,'Standards for Conversions'!$A$47:$A$73,0)))=0,"",LC152/(INDEX('Standards for Conversions'!$H$47:$H$73,MATCH(LB$3,'Standards for Conversions'!$A$47:$A$73,0))))</f>
        <v>304.04141681874796</v>
      </c>
      <c r="LE152" s="48"/>
      <c r="LH152" s="31" t="str">
        <f>IF(LG152/(INDEX('Standards for Conversions'!$H$47:$H$73,MATCH(LF$3,'Standards for Conversions'!$A$47:$A$73,0)))=0,"",LG152/(INDEX('Standards for Conversions'!$H$47:$H$73,MATCH(LF$3,'Standards for Conversions'!$A$47:$A$73,0))))</f>
        <v/>
      </c>
      <c r="LL152" s="31" t="str">
        <f>IF(LK152/(INDEX('Standards for Conversions'!$H$47:$H$73,MATCH(LJ$3,'Standards for Conversions'!$A$47:$A$73,0)))=0,"",LK152/(INDEX('Standards for Conversions'!$H$47:$H$73,MATCH(LJ$3,'Standards for Conversions'!$A$47:$A$73,0))))</f>
        <v/>
      </c>
      <c r="LO152" s="31" t="str">
        <f>IF(LN152/(INDEX('Standards for Conversions'!$H$47:$H$73,MATCH(LM$3,'Standards for Conversions'!$A$47:$A$73,0)))=0,"",LN152/(INDEX('Standards for Conversions'!$H$47:$H$73,MATCH(LM$3,'Standards for Conversions'!$A$47:$A$73,0))))</f>
        <v/>
      </c>
      <c r="LR152" s="31" t="str">
        <f>IF(LQ152/(INDEX('Standards for Conversions'!$H$47:$H$73,MATCH(LP$3,'Standards for Conversions'!$A$47:$A$73,0)))=0,"",LQ152/(INDEX('Standards for Conversions'!$H$47:$H$73,MATCH(LP$3,'Standards for Conversions'!$A$47:$A$73,0))))</f>
        <v/>
      </c>
      <c r="LV152" s="31" t="str">
        <f>IF(LU152/(INDEX('Standards for Conversions'!$H$47:$H$73,MATCH(LT$3,'Standards for Conversions'!$A$47:$A$73,0)))=0,"",LU152/(INDEX('Standards for Conversions'!$H$47:$H$73,MATCH(LT$3,'Standards for Conversions'!$A$47:$A$73,0))))</f>
        <v/>
      </c>
      <c r="LY152" s="31" t="str">
        <f>IF(LX152/(INDEX('Standards for Conversions'!$H$47:$H$73,MATCH(LW$3,'Standards for Conversions'!$A$47:$A$73,0)))=0,"",LX152/(INDEX('Standards for Conversions'!$H$47:$H$73,MATCH(LW$3,'Standards for Conversions'!$A$47:$A$73,0))))</f>
        <v/>
      </c>
      <c r="MB152" s="31" t="str">
        <f>IF(MA152/(INDEX('Standards for Conversions'!$H$47:$H$73,MATCH(LZ$3,'Standards for Conversions'!$A$47:$A$73,0)))=0,"",MA152/(INDEX('Standards for Conversions'!$H$47:$H$73,MATCH(LZ$3,'Standards for Conversions'!$A$47:$A$73,0))))</f>
        <v/>
      </c>
      <c r="ME152" s="31" t="str">
        <f>IF(MD152/(INDEX('Standards for Conversions'!$H$47:$H$73,MATCH(MC$3,'Standards for Conversions'!$A$47:$A$73,0)))=0,"",MD152/(INDEX('Standards for Conversions'!$H$47:$H$73,MATCH(MC$3,'Standards for Conversions'!$A$47:$A$73,0))))</f>
        <v/>
      </c>
      <c r="MH152" s="31" t="str">
        <f>IF(MG152/(INDEX('Standards for Conversions'!$H$47:$H$73,MATCH(MF$3,'Standards for Conversions'!$A$47:$A$73,0)))=0,"",MG152/(INDEX('Standards for Conversions'!$H$47:$H$73,MATCH(MF$3,'Standards for Conversions'!$A$47:$A$73,0))))</f>
        <v/>
      </c>
      <c r="MK152" s="31" t="str">
        <f>IF(MJ152/(INDEX('Standards for Conversions'!$H$47:$H$73,MATCH(MI$3,'Standards for Conversions'!$A$47:$A$73,0)))=0,"",MJ152/(INDEX('Standards for Conversions'!$H$47:$H$73,MATCH(MI$3,'Standards for Conversions'!$A$47:$A$73,0))))</f>
        <v/>
      </c>
      <c r="MN152" s="31" t="str">
        <f>IF(MM152/(INDEX('Standards for Conversions'!$H$47:$H$73,MATCH(ML$3,'Standards for Conversions'!$A$47:$A$73,0)))=0,"",MM152/(INDEX('Standards for Conversions'!$H$47:$H$73,MATCH(ML$3,'Standards for Conversions'!$A$47:$A$73,0))))</f>
        <v/>
      </c>
      <c r="MR152" s="31" t="str">
        <f>IF(MQ152/(INDEX('Standards for Conversions'!$H$47:$H$73,MATCH(MP$3,'Standards for Conversions'!$A$47:$A$73,0)))=0,"",MQ152/(INDEX('Standards for Conversions'!$H$47:$H$73,MATCH(MP$3,'Standards for Conversions'!$A$47:$A$73,0))))</f>
        <v/>
      </c>
    </row>
    <row r="153" spans="1:373" hidden="1" x14ac:dyDescent="0.3">
      <c r="A153" s="103" t="s">
        <v>317</v>
      </c>
      <c r="B153" s="10" t="s">
        <v>40</v>
      </c>
      <c r="C153" s="7"/>
      <c r="D153" s="7"/>
      <c r="E153" s="31" t="str">
        <f>IF(D153/(INDEX('Standards for Conversions'!$H$34:$H$73,MATCH(C$3,'Standards for Conversions'!$A$34:$A$73,0)))=0,"",D153/(INDEX('Standards for Conversions'!$H$34:$H$73,MATCH(C$3,'Standards for Conversions'!$A$34:$A$73,0))))</f>
        <v/>
      </c>
      <c r="F153" s="10" t="s">
        <v>40</v>
      </c>
      <c r="G153" s="7"/>
      <c r="H153" s="7"/>
      <c r="I153" s="31" t="str">
        <f>IF(H153/(INDEX('Standards for Conversions'!$H$34:$H$73,MATCH(G$3,'Standards for Conversions'!$A$34:$A$73,0)))=0,"",H153/(INDEX('Standards for Conversions'!$H$34:$H$73,MATCH(G$3,'Standards for Conversions'!$A$34:$A$73,0))))</f>
        <v/>
      </c>
      <c r="J153" s="10" t="s">
        <v>40</v>
      </c>
      <c r="K153" s="7"/>
      <c r="L153" s="7"/>
      <c r="M153" s="31" t="str">
        <f>IF(L153/(INDEX('Standards for Conversions'!$H$34:$H$73,MATCH(K$3,'Standards for Conversions'!$A$34:$A$73,0)))=0,"",L153/(INDEX('Standards for Conversions'!$H$34:$H$73,MATCH(K$3,'Standards for Conversions'!$A$34:$A$73,0))))</f>
        <v/>
      </c>
      <c r="N153" s="10" t="s">
        <v>40</v>
      </c>
      <c r="O153" s="7"/>
      <c r="P153" s="7"/>
      <c r="Q153" s="31" t="str">
        <f>IF(P153/(INDEX('Standards for Conversions'!$H$34:$H$73,MATCH(O$3,'Standards for Conversions'!$A$34:$A$73,0)))=0,"",P153/(INDEX('Standards for Conversions'!$H$34:$H$73,MATCH(O$3,'Standards for Conversions'!$A$34:$A$73,0))))</f>
        <v/>
      </c>
      <c r="R153" s="10" t="s">
        <v>40</v>
      </c>
      <c r="S153" s="7"/>
      <c r="T153" s="7"/>
      <c r="U153" s="31" t="str">
        <f>IF(T153/(INDEX('Standards for Conversions'!$H$34:$H$73,MATCH(S$3,'Standards for Conversions'!$A$34:$A$73,0)))=0,"",T153/(INDEX('Standards for Conversions'!$H$34:$H$73,MATCH(S$3,'Standards for Conversions'!$A$34:$A$73,0))))</f>
        <v/>
      </c>
      <c r="V153" s="10" t="s">
        <v>40</v>
      </c>
      <c r="W153" s="7"/>
      <c r="X153" s="7"/>
      <c r="Y153" s="31" t="str">
        <f>IF(X153/(INDEX('Standards for Conversions'!$H$34:$H$73,MATCH(W$3,'Standards for Conversions'!$A$34:$A$73,0)))=0,"",X153/(INDEX('Standards for Conversions'!$H$34:$H$73,MATCH(W$3,'Standards for Conversions'!$A$34:$A$73,0))))</f>
        <v/>
      </c>
      <c r="Z153" s="10" t="s">
        <v>40</v>
      </c>
      <c r="AA153" s="7"/>
      <c r="AB153" s="7"/>
      <c r="AC153" s="31" t="str">
        <f>IF(AB153/(INDEX('Standards for Conversions'!$H$34:$H$73,MATCH(AA$3,'Standards for Conversions'!$A$34:$A$73,0)))=0,"",AB153/(INDEX('Standards for Conversions'!$H$34:$H$73,MATCH(AA$3,'Standards for Conversions'!$A$34:$A$73,0))))</f>
        <v/>
      </c>
      <c r="AD153" s="10" t="s">
        <v>40</v>
      </c>
      <c r="AE153" s="7"/>
      <c r="AF153" s="7"/>
      <c r="AG153" s="31" t="str">
        <f>IF(AF153/(INDEX('Standards for Conversions'!$H$34:$H$73,MATCH(AE$3,'Standards for Conversions'!$A$34:$A$73,0)))=0,"",AF153/(INDEX('Standards for Conversions'!$H$34:$H$73,MATCH(AE$3,'Standards for Conversions'!$A$34:$A$73,0))))</f>
        <v/>
      </c>
      <c r="AH153" s="10" t="s">
        <v>40</v>
      </c>
      <c r="AI153" s="7"/>
      <c r="AJ153" s="7"/>
      <c r="AK153" s="31" t="str">
        <f>IF(AJ153/(INDEX('Standards for Conversions'!$H$34:$H$73,MATCH(AI$3,'Standards for Conversions'!$A$34:$A$73,0)))=0,"",AJ153/(INDEX('Standards for Conversions'!$H$34:$H$73,MATCH(AI$3,'Standards for Conversions'!$A$34:$A$73,0))))</f>
        <v/>
      </c>
      <c r="AL153" s="10" t="s">
        <v>40</v>
      </c>
      <c r="AM153" s="7"/>
      <c r="AN153" s="7"/>
      <c r="AO153" s="31" t="str">
        <f>IF(AN153/(INDEX('Standards for Conversions'!$H$34:$H$73,MATCH(AM$3,'Standards for Conversions'!$A$34:$A$73,0)))=0,"",AN153/(INDEX('Standards for Conversions'!$H$34:$H$73,MATCH(AM$3,'Standards for Conversions'!$A$34:$A$73,0))))</f>
        <v/>
      </c>
      <c r="AP153" s="10" t="s">
        <v>40</v>
      </c>
      <c r="AQ153" s="7"/>
      <c r="AR153" s="7"/>
      <c r="AS153" s="31" t="str">
        <f>IF(AR153/(INDEX('Standards for Conversions'!$H$34:$H$73,MATCH(AQ$3,'Standards for Conversions'!$A$34:$A$73,0)))=0,"",AR153/(INDEX('Standards for Conversions'!$H$34:$H$73,MATCH(AQ$3,'Standards for Conversions'!$A$34:$A$73,0))))</f>
        <v/>
      </c>
      <c r="AT153" s="10" t="s">
        <v>40</v>
      </c>
      <c r="AU153" s="7"/>
      <c r="AV153" s="7"/>
      <c r="AW153" s="31" t="str">
        <f>IF(AV153/(INDEX('Standards for Conversions'!$H$34:$H$73,MATCH(AU$3,'Standards for Conversions'!$A$34:$A$73,0)))=0,"",AV153/(INDEX('Standards for Conversions'!$H$34:$H$73,MATCH(AU$3,'Standards for Conversions'!$A$34:$A$73,0))))</f>
        <v/>
      </c>
      <c r="AX153" s="10" t="s">
        <v>40</v>
      </c>
      <c r="AY153" s="7"/>
      <c r="AZ153" s="7"/>
      <c r="BA153" s="31" t="str">
        <f>IF(AZ153/(INDEX('Standards for Conversions'!$H$34:$H$73,MATCH(AY$3,'Standards for Conversions'!$A$34:$A$73,0)))=0,"",AZ153/(INDEX('Standards for Conversions'!$H$34:$H$73,MATCH(AY$3,'Standards for Conversions'!$A$34:$A$73,0))))</f>
        <v/>
      </c>
      <c r="BB153" s="10" t="s">
        <v>40</v>
      </c>
      <c r="BC153" s="7"/>
      <c r="BD153" s="7"/>
      <c r="BE153" s="31" t="str">
        <f>IF(BD153/(INDEX('Standards for Conversions'!$H$34:$H$73,MATCH(BC$3,'Standards for Conversions'!$A$34:$A$73,0)))=0,"",BD153/(INDEX('Standards for Conversions'!$H$34:$H$73,MATCH(BC$3,'Standards for Conversions'!$A$34:$A$73,0))))</f>
        <v/>
      </c>
      <c r="BF153" s="10" t="s">
        <v>40</v>
      </c>
      <c r="BG153" s="7"/>
      <c r="BH153" s="7"/>
      <c r="BI153" s="31" t="str">
        <f>IF(BH153/(INDEX('Standards for Conversions'!$H$34:$H$73,MATCH(BG$3,'Standards for Conversions'!$A$34:$A$73,0)))=0,"",BH153/(INDEX('Standards for Conversions'!$H$34:$H$73,MATCH(BG$3,'Standards for Conversions'!$A$34:$A$73,0))))</f>
        <v/>
      </c>
      <c r="BJ153" s="10" t="s">
        <v>40</v>
      </c>
      <c r="BK153" s="7"/>
      <c r="BL153" s="7"/>
      <c r="BM153" s="31" t="str">
        <f>IF(BL153/(INDEX('Standards for Conversions'!$H$34:$H$73,MATCH(BK$3,'Standards for Conversions'!$A$34:$A$73,0)))=0,"",BL153/(INDEX('Standards for Conversions'!$H$34:$H$73,MATCH(BK$3,'Standards for Conversions'!$A$34:$A$73,0))))</f>
        <v/>
      </c>
      <c r="BN153" s="10" t="s">
        <v>40</v>
      </c>
      <c r="BO153" s="7"/>
      <c r="BP153" s="7"/>
      <c r="BQ153" s="31" t="str">
        <f>IF(BP153/(INDEX('Standards for Conversions'!$H$34:$H$73,MATCH(BO$3,'Standards for Conversions'!$A$34:$A$73,0)))=0,"",BP153/(INDEX('Standards for Conversions'!$H$34:$H$73,MATCH(BO$3,'Standards for Conversions'!$A$34:$A$73,0))))</f>
        <v/>
      </c>
      <c r="BR153" s="10" t="s">
        <v>40</v>
      </c>
      <c r="BS153" s="7"/>
      <c r="BT153" s="7"/>
      <c r="BU153" s="31" t="str">
        <f>IF(BT153/(INDEX('Standards for Conversions'!$H$34:$H$73,MATCH(BS$3,'Standards for Conversions'!$A$34:$A$73,0)))=0,"",BT153/(INDEX('Standards for Conversions'!$H$34:$H$73,MATCH(BS$3,'Standards for Conversions'!$A$34:$A$73,0))))</f>
        <v/>
      </c>
      <c r="BV153" s="10" t="s">
        <v>40</v>
      </c>
      <c r="BW153" s="7"/>
      <c r="BX153" s="7"/>
      <c r="BY153" s="31" t="str">
        <f>IF(BX153/(INDEX('Standards for Conversions'!$H$34:$H$73,MATCH(BW$3,'Standards for Conversions'!$A$34:$A$73,0)))=0,"",BX153/(INDEX('Standards for Conversions'!$H$34:$H$73,MATCH(BW$3,'Standards for Conversions'!$A$34:$A$73,0))))</f>
        <v/>
      </c>
      <c r="BZ153" s="10" t="s">
        <v>40</v>
      </c>
      <c r="CA153" s="7"/>
      <c r="CB153" s="7"/>
      <c r="CC153" s="31" t="str">
        <f>IF(CB153/(INDEX('Standards for Conversions'!$H$34:$H$73,MATCH(CA$3,'Standards for Conversions'!$A$34:$A$73,0)))=0,"",CB153/(INDEX('Standards for Conversions'!$H$34:$H$73,MATCH(CA$3,'Standards for Conversions'!$A$34:$A$73,0))))</f>
        <v/>
      </c>
      <c r="CD153" s="10" t="s">
        <v>40</v>
      </c>
      <c r="CE153" s="7"/>
      <c r="CF153" s="7"/>
      <c r="CG153" s="31" t="str">
        <f>IF(CF153/(INDEX('Standards for Conversions'!$H$34:$H$73,MATCH(CE$3,'Standards for Conversions'!$A$34:$A$73,0)))=0,"",CF153/(INDEX('Standards for Conversions'!$H$34:$H$73,MATCH(CE$3,'Standards for Conversions'!$A$34:$A$73,0))))</f>
        <v/>
      </c>
      <c r="CH153" s="10" t="s">
        <v>40</v>
      </c>
      <c r="CI153" s="7"/>
      <c r="CJ153" s="7"/>
      <c r="CK153" s="31" t="str">
        <f>IF(CJ153/(INDEX('Standards for Conversions'!$H$34:$H$73,MATCH(CI$3,'Standards for Conversions'!$A$34:$A$73,0)))=0,"",CJ153/(INDEX('Standards for Conversions'!$H$34:$H$73,MATCH(CI$3,'Standards for Conversions'!$A$34:$A$73,0))))</f>
        <v/>
      </c>
      <c r="CL153" s="10" t="s">
        <v>40</v>
      </c>
      <c r="CM153" s="7"/>
      <c r="CN153" s="7"/>
      <c r="CO153" s="31" t="str">
        <f>IF(CN153/(INDEX('Standards for Conversions'!$H$34:$H$73,MATCH(CM$3,'Standards for Conversions'!$A$34:$A$73,0)))=0,"",CN153/(INDEX('Standards for Conversions'!$H$34:$H$73,MATCH(CM$3,'Standards for Conversions'!$A$34:$A$73,0))))</f>
        <v/>
      </c>
      <c r="CP153" s="10" t="s">
        <v>40</v>
      </c>
      <c r="CQ153" s="7"/>
      <c r="CR153" s="7"/>
      <c r="CS153" s="31" t="str">
        <f>IF(CR153/(INDEX('Standards for Conversions'!$H$34:$H$73,MATCH(CQ$3,'Standards for Conversions'!$A$34:$A$73,0)))=0,"",CR153/(INDEX('Standards for Conversions'!$H$34:$H$73,MATCH(CQ$3,'Standards for Conversions'!$A$34:$A$73,0))))</f>
        <v/>
      </c>
      <c r="CT153" s="10" t="s">
        <v>40</v>
      </c>
      <c r="CU153" s="7"/>
      <c r="CV153" s="7"/>
      <c r="CW153" s="31" t="str">
        <f>IF(CV153/(INDEX('Standards for Conversions'!$H$34:$H$73,MATCH(CU$3,'Standards for Conversions'!$A$34:$A$73,0)))=0,"",CV153/(INDEX('Standards for Conversions'!$H$34:$H$73,MATCH(CU$3,'Standards for Conversions'!$A$34:$A$73,0))))</f>
        <v/>
      </c>
      <c r="CX153" s="10" t="s">
        <v>40</v>
      </c>
      <c r="CY153" s="7"/>
      <c r="CZ153" s="7"/>
      <c r="DA153" s="31" t="str">
        <f>IF(CZ153/(INDEX('Standards for Conversions'!$H$34:$H$73,MATCH(CY$3,'Standards for Conversions'!$A$34:$A$73,0)))=0,"",CZ153/(INDEX('Standards for Conversions'!$H$34:$H$73,MATCH(CY$3,'Standards for Conversions'!$A$34:$A$73,0))))</f>
        <v/>
      </c>
      <c r="DB153" s="10" t="s">
        <v>40</v>
      </c>
      <c r="DC153" s="7"/>
      <c r="DD153" s="7"/>
      <c r="DE153" s="31" t="str">
        <f>IF(DD153/(INDEX('Standards for Conversions'!$H$34:$H$73,MATCH(DC$3,'Standards for Conversions'!$A$34:$A$73,0)))=0,"",DD153/(INDEX('Standards for Conversions'!$H$34:$H$73,MATCH(DC$3,'Standards for Conversions'!$A$34:$A$73,0))))</f>
        <v/>
      </c>
      <c r="DF153" s="10" t="s">
        <v>40</v>
      </c>
      <c r="DG153" s="7"/>
      <c r="DH153" s="7"/>
      <c r="DI153" s="31" t="str">
        <f>IF(DH153/(INDEX('Standards for Conversions'!$H$34:$H$73,MATCH(DG$3,'Standards for Conversions'!$A$34:$A$73,0)))=0,"",DH153/(INDEX('Standards for Conversions'!$H$34:$H$73,MATCH(DG$3,'Standards for Conversions'!$A$34:$A$73,0))))</f>
        <v/>
      </c>
      <c r="DJ153" s="10" t="s">
        <v>40</v>
      </c>
      <c r="DK153" s="7"/>
      <c r="DL153" s="7"/>
      <c r="DM153" s="31" t="str">
        <f>IF(DL153/(INDEX('Standards for Conversions'!$H$34:$H$73,MATCH(DK$3,'Standards for Conversions'!$A$34:$A$73,0)))=0,"",DL153/(INDEX('Standards for Conversions'!$H$34:$H$73,MATCH(DK$3,'Standards for Conversions'!$A$34:$A$73,0))))</f>
        <v/>
      </c>
      <c r="DN153" s="10" t="s">
        <v>40</v>
      </c>
      <c r="DO153" s="7"/>
      <c r="DP153" s="7"/>
      <c r="DQ153" s="31" t="str">
        <f>IF(DP153/(INDEX('Standards for Conversions'!$H$34:$H$73,MATCH(DO$3,'Standards for Conversions'!$A$34:$A$73,0)))=0,"",DP153/(INDEX('Standards for Conversions'!$H$34:$H$73,MATCH(DO$3,'Standards for Conversions'!$A$34:$A$73,0))))</f>
        <v/>
      </c>
      <c r="DR153" s="10" t="s">
        <v>40</v>
      </c>
      <c r="DS153" s="7"/>
      <c r="DT153" s="7"/>
      <c r="DU153" s="31" t="str">
        <f>IF(DT153/(INDEX('Standards for Conversions'!$H$34:$H$73,MATCH(DS$3,'Standards for Conversions'!$A$34:$A$73,0)))=0,"",DT153/(INDEX('Standards for Conversions'!$H$34:$H$73,MATCH(DS$3,'Standards for Conversions'!$A$34:$A$73,0))))</f>
        <v/>
      </c>
      <c r="DV153" s="10" t="s">
        <v>40</v>
      </c>
      <c r="DW153" s="7"/>
      <c r="DX153" s="7"/>
      <c r="DY153" s="31" t="str">
        <f>IF(DX153/(INDEX('Standards for Conversions'!$H$34:$H$73,MATCH(DW$3,'Standards for Conversions'!$A$34:$A$73,0)))=0,"",DX153/(INDEX('Standards for Conversions'!$H$34:$H$73,MATCH(DW$3,'Standards for Conversions'!$A$34:$A$73,0))))</f>
        <v/>
      </c>
      <c r="DZ153" s="10" t="s">
        <v>40</v>
      </c>
      <c r="EA153" s="7"/>
      <c r="EB153" s="7"/>
      <c r="EC153" s="31" t="str">
        <f>IF(EB153/(INDEX('Standards for Conversions'!$H$34:$H$73,MATCH(EA$3,'Standards for Conversions'!$A$34:$A$73,0)))=0,"",EB153/(INDEX('Standards for Conversions'!$H$34:$H$73,MATCH(EA$3,'Standards for Conversions'!$A$34:$A$73,0))))</f>
        <v/>
      </c>
      <c r="ED153" s="10" t="s">
        <v>40</v>
      </c>
      <c r="EE153" s="7"/>
      <c r="EF153" s="7"/>
      <c r="EG153" s="31" t="str">
        <f>IF(EF153/(INDEX('Standards for Conversions'!$H$34:$H$73,MATCH(EE$3,'Standards for Conversions'!$A$34:$A$73,0)))=0,"",EF153/(INDEX('Standards for Conversions'!$H$34:$H$73,MATCH(EE$3,'Standards for Conversions'!$A$34:$A$73,0))))</f>
        <v/>
      </c>
      <c r="EH153" s="10" t="s">
        <v>40</v>
      </c>
      <c r="EI153" s="7"/>
      <c r="EJ153" s="7"/>
      <c r="EK153" s="31" t="str">
        <f>IF(EJ153/(INDEX('Standards for Conversions'!$H$34:$H$73,MATCH(EI$3,'Standards for Conversions'!$A$34:$A$73,0)))=0,"",EJ153/(INDEX('Standards for Conversions'!$H$34:$H$73,MATCH(EI$3,'Standards for Conversions'!$A$34:$A$73,0))))</f>
        <v/>
      </c>
      <c r="EL153" s="10" t="s">
        <v>40</v>
      </c>
      <c r="EM153" s="7"/>
      <c r="EN153" s="7"/>
      <c r="EO153" s="31" t="str">
        <f>IF(EN153/(INDEX('Standards for Conversions'!$H$34:$H$73,MATCH(EM$3,'Standards for Conversions'!$A$34:$A$73,0)))=0,"",EN153/(INDEX('Standards for Conversions'!$H$34:$H$73,MATCH(EM$3,'Standards for Conversions'!$A$34:$A$73,0))))</f>
        <v/>
      </c>
      <c r="EP153" s="10" t="s">
        <v>40</v>
      </c>
      <c r="EQ153" s="7"/>
      <c r="ER153" s="7"/>
      <c r="ES153" s="31" t="str">
        <f>IF(ER153/(INDEX('Standards for Conversions'!$H$34:$H$73,MATCH(EQ$3,'Standards for Conversions'!$A$34:$A$73,0)))=0,"",ER153/(INDEX('Standards for Conversions'!$H$34:$H$73,MATCH(EQ$3,'Standards for Conversions'!$A$34:$A$73,0))))</f>
        <v/>
      </c>
      <c r="ET153" s="10" t="s">
        <v>40</v>
      </c>
      <c r="EU153" s="7"/>
      <c r="EV153" s="7"/>
      <c r="EW153" s="31" t="str">
        <f>IF(EV153/(INDEX('Standards for Conversions'!$H$34:$H$73,MATCH(EU$3,'Standards for Conversions'!$A$34:$A$73,0)))=0,"",EV153/(INDEX('Standards for Conversions'!$H$34:$H$73,MATCH(EU$3,'Standards for Conversions'!$A$34:$A$73,0))))</f>
        <v/>
      </c>
      <c r="EX153" s="10" t="s">
        <v>40</v>
      </c>
      <c r="EY153" s="9"/>
      <c r="EZ153" s="9"/>
      <c r="FA153" s="31" t="str">
        <f>IF(EZ153/(INDEX('Standards for Conversions'!$H$34:$H$73,MATCH(EY$3,'Standards for Conversions'!$A$34:$A$73,0)))=0,"",EZ153/(INDEX('Standards for Conversions'!$H$34:$H$73,MATCH(EY$3,'Standards for Conversions'!$A$34:$A$73,0))))</f>
        <v/>
      </c>
      <c r="FB153" s="10" t="s">
        <v>40</v>
      </c>
      <c r="FC153" s="7"/>
      <c r="FD153" s="7"/>
      <c r="FE153" s="31" t="str">
        <f>IF(FD153/(INDEX('Standards for Conversions'!$H$34:$H$73,MATCH(FC$3,'Standards for Conversions'!$A$34:$A$73,0)))=0,"",FD153/(INDEX('Standards for Conversions'!$H$34:$H$73,MATCH(FC$3,'Standards for Conversions'!$A$34:$A$73,0))))</f>
        <v/>
      </c>
      <c r="FF153" s="10" t="s">
        <v>40</v>
      </c>
      <c r="FG153" s="7"/>
      <c r="FH153" s="7"/>
      <c r="FI153" s="31" t="str">
        <f>IF(FH153/(INDEX('Standards for Conversions'!$H$34:$H$73,MATCH(FG$3,'Standards for Conversions'!$A$34:$A$73,0)))=0,"",FH153/(INDEX('Standards for Conversions'!$H$34:$H$73,MATCH(FG$3,'Standards for Conversions'!$A$34:$A$73,0))))</f>
        <v/>
      </c>
      <c r="FJ153" s="10" t="s">
        <v>40</v>
      </c>
      <c r="FK153" s="7"/>
      <c r="FL153" s="7"/>
      <c r="FM153" s="31" t="str">
        <f>IF(FL153/(INDEX('Standards for Conversions'!$H$34:$H$73,MATCH(FK$3,'Standards for Conversions'!$A$34:$A$73,0)))=0,"",FL153/(INDEX('Standards for Conversions'!$H$34:$H$73,MATCH(FK$3,'Standards for Conversions'!$A$34:$A$73,0))))</f>
        <v/>
      </c>
      <c r="FN153" s="10" t="s">
        <v>40</v>
      </c>
      <c r="FO153" s="9"/>
      <c r="FP153" s="9"/>
      <c r="FQ153" s="31" t="str">
        <f>IF(FP153/(INDEX('Standards for Conversions'!$H$34:$H$73,MATCH(FO$3,'Standards for Conversions'!$A$34:$A$73,0)))=0,"",FP153/(INDEX('Standards for Conversions'!$H$34:$H$73,MATCH(FO$3,'Standards for Conversions'!$A$34:$A$73,0))))</f>
        <v/>
      </c>
      <c r="FR153" s="10" t="s">
        <v>40</v>
      </c>
      <c r="FS153" s="7"/>
      <c r="FT153" s="7"/>
      <c r="FU153" s="31" t="str">
        <f>IF(FT153/(INDEX('Standards for Conversions'!$H$34:$H$73,MATCH(FS$3,'Standards for Conversions'!$A$34:$A$73,0)))=0,"",FT153/(INDEX('Standards for Conversions'!$H$34:$H$73,MATCH(FS$3,'Standards for Conversions'!$A$34:$A$73,0))))</f>
        <v/>
      </c>
      <c r="FV153" s="10" t="s">
        <v>40</v>
      </c>
      <c r="FW153" s="7"/>
      <c r="FX153" s="7"/>
      <c r="FY153" s="31" t="str">
        <f>IF(FX153/(INDEX('Standards for Conversions'!$H$34:$H$73,MATCH(FW$3,'Standards for Conversions'!$A$34:$A$73,0)))=0,"",FX153/(INDEX('Standards for Conversions'!$H$34:$H$73,MATCH(FW$3,'Standards for Conversions'!$A$34:$A$73,0))))</f>
        <v/>
      </c>
      <c r="FZ153" s="10" t="s">
        <v>40</v>
      </c>
      <c r="GA153" s="7"/>
      <c r="GB153" s="7"/>
      <c r="GC153" s="31" t="str">
        <f>IF(GB153/(INDEX('Standards for Conversions'!$H$34:$H$73,MATCH(GA$3,'Standards for Conversions'!$A$34:$A$73,0)))=0,"",GB153/(INDEX('Standards for Conversions'!$H$34:$H$73,MATCH(GA$3,'Standards for Conversions'!$A$34:$A$73,0))))</f>
        <v/>
      </c>
      <c r="GD153" s="10" t="s">
        <v>40</v>
      </c>
      <c r="GE153" s="9"/>
      <c r="GF153" s="9"/>
      <c r="GG153" s="31" t="str">
        <f>IF(GF153/(INDEX('Standards for Conversions'!$H$34:$H$73,MATCH(GE$3,'Standards for Conversions'!$A$34:$A$73,0)))=0,"",GF153/(INDEX('Standards for Conversions'!$H$34:$H$73,MATCH(GE$3,'Standards for Conversions'!$A$34:$A$73,0))))</f>
        <v/>
      </c>
      <c r="GH153" s="10" t="s">
        <v>40</v>
      </c>
      <c r="GI153" s="7"/>
      <c r="GJ153" s="7"/>
      <c r="GK153" s="31" t="str">
        <f>IF(GJ153/(INDEX('Standards for Conversions'!$H$34:$H$73,MATCH(GI$3,'Standards for Conversions'!$A$34:$A$73,0)))=0,"",GJ153/(INDEX('Standards for Conversions'!$H$34:$H$73,MATCH(GI$3,'Standards for Conversions'!$A$34:$A$73,0))))</f>
        <v/>
      </c>
      <c r="GL153" s="10" t="s">
        <v>40</v>
      </c>
      <c r="GM153" s="7"/>
      <c r="GN153" s="7"/>
      <c r="GO153" s="31" t="str">
        <f>IF(GN153/(INDEX('Standards for Conversions'!$H$34:$H$73,MATCH(GM$3,'Standards for Conversions'!$A$34:$A$73,0)))=0,"",GN153/(INDEX('Standards for Conversions'!$H$34:$H$73,MATCH(GM$3,'Standards for Conversions'!$A$34:$A$73,0))))</f>
        <v/>
      </c>
      <c r="GP153" s="10" t="s">
        <v>40</v>
      </c>
      <c r="GQ153" s="7"/>
      <c r="GR153" s="7"/>
      <c r="GS153" s="31" t="str">
        <f>IF(GR153/(INDEX('Standards for Conversions'!$H$34:$H$73,MATCH(GQ$3,'Standards for Conversions'!$A$34:$A$73,0)))=0,"",GR153/(INDEX('Standards for Conversions'!$H$34:$H$73,MATCH(GQ$3,'Standards for Conversions'!$A$34:$A$73,0))))</f>
        <v/>
      </c>
      <c r="GT153" s="10" t="s">
        <v>40</v>
      </c>
      <c r="GU153" s="9"/>
      <c r="GV153" s="9"/>
      <c r="GW153" s="31" t="str">
        <f>IF(GV153/(INDEX('Standards for Conversions'!$H$34:$H$73,MATCH(GU$3,'Standards for Conversions'!$A$34:$A$73,0)))=0,"",GV153/(INDEX('Standards for Conversions'!$H$34:$H$73,MATCH(GU$3,'Standards for Conversions'!$A$34:$A$73,0))))</f>
        <v/>
      </c>
      <c r="GX153" s="10" t="s">
        <v>40</v>
      </c>
      <c r="GY153" s="7"/>
      <c r="GZ153" s="7"/>
      <c r="HA153" s="31" t="str">
        <f>IF(GZ153/(INDEX('Standards for Conversions'!$H$34:$H$73,MATCH(GY$3,'Standards for Conversions'!$A$34:$A$73,0)))=0,"",GZ153/(INDEX('Standards for Conversions'!$H$34:$H$73,MATCH(GY$3,'Standards for Conversions'!$A$34:$A$73,0))))</f>
        <v/>
      </c>
      <c r="HB153" s="10" t="s">
        <v>40</v>
      </c>
      <c r="HC153" s="7"/>
      <c r="HD153" s="7"/>
      <c r="HE153" s="31" t="str">
        <f>IF(HD153/(INDEX('Standards for Conversions'!$H$34:$H$73,MATCH(HC$3,'Standards for Conversions'!$A$34:$A$73,0)))=0,"",HD153/(INDEX('Standards for Conversions'!$H$34:$H$73,MATCH(HC$3,'Standards for Conversions'!$A$34:$A$73,0))))</f>
        <v/>
      </c>
      <c r="HF153" s="10" t="s">
        <v>40</v>
      </c>
      <c r="HG153" s="7"/>
      <c r="HH153" s="7"/>
      <c r="HI153" s="31" t="str">
        <f>IF(HH153/(INDEX('Standards for Conversions'!$H$34:$H$73,MATCH(HG$3,'Standards for Conversions'!$A$34:$A$73,0)))=0,"",HH153/(INDEX('Standards for Conversions'!$H$34:$H$73,MATCH(HG$3,'Standards for Conversions'!$A$34:$A$73,0))))</f>
        <v/>
      </c>
      <c r="HJ153" s="10" t="s">
        <v>40</v>
      </c>
      <c r="HK153" s="9"/>
      <c r="HL153" s="9"/>
      <c r="HM153" s="31" t="str">
        <f>IF(HL153/(INDEX('Standards for Conversions'!$H$34:$H$73,MATCH(HK$3,'Standards for Conversions'!$A$34:$A$73,0)))=0,"",HL153/(INDEX('Standards for Conversions'!$H$34:$H$73,MATCH(HK$3,'Standards for Conversions'!$A$34:$A$73,0))))</f>
        <v/>
      </c>
      <c r="HN153" s="10" t="s">
        <v>40</v>
      </c>
      <c r="HO153" s="7"/>
      <c r="HP153" s="7"/>
      <c r="HQ153" s="31" t="str">
        <f>IF(HP153/(INDEX('Standards for Conversions'!$H$34:$H$73,MATCH(HO$3,'Standards for Conversions'!$A$34:$A$73,0)))=0,"",HP153/(INDEX('Standards for Conversions'!$H$34:$H$73,MATCH(HO$3,'Standards for Conversions'!$A$34:$A$73,0))))</f>
        <v/>
      </c>
      <c r="HR153" s="33" t="s">
        <v>40</v>
      </c>
      <c r="HU153" s="31" t="str">
        <f>IF(HT153/(INDEX('Standards for Conversions'!$H$47:$H$73,MATCH(HS$3,'Standards for Conversions'!$A$47:$A$73,0)))=0,"",HT153/(INDEX('Standards for Conversions'!$H$47:$H$73,MATCH(HS$3,'Standards for Conversions'!$A$47:$A$73,0))))</f>
        <v/>
      </c>
      <c r="HV153" s="33" t="s">
        <v>40</v>
      </c>
      <c r="HY153" s="31" t="str">
        <f>IF(HX153/(INDEX('Standards for Conversions'!$H$47:$H$73,MATCH(HW$3,'Standards for Conversions'!$A$47:$A$73,0)))=0,"",HX153/(INDEX('Standards for Conversions'!$H$47:$H$73,MATCH(HW$3,'Standards for Conversions'!$A$47:$A$73,0))))</f>
        <v/>
      </c>
      <c r="HZ153" s="33"/>
      <c r="IA153" s="33"/>
      <c r="IB153" s="31" t="str">
        <f>IF(IA153/(INDEX('Standards for Conversions'!$H$47:$H$73,MATCH(HZ$3,'Standards for Conversions'!$A$47:$A$73,0)))=0,"",IA153/(INDEX('Standards for Conversions'!$H$47:$H$73,MATCH(HZ$3,'Standards for Conversions'!$A$47:$A$73,0))))</f>
        <v/>
      </c>
      <c r="IC153" s="33" t="s">
        <v>40</v>
      </c>
      <c r="ID153" s="29">
        <v>450</v>
      </c>
      <c r="IE153" s="29">
        <v>2500</v>
      </c>
      <c r="IF153" s="31">
        <f>IF(IE153/(INDEX('Standards for Conversions'!$H$47:$H$73,MATCH(ID$3,'Standards for Conversions'!$A$47:$A$73,0)))=0,"",IE153/(INDEX('Standards for Conversions'!$H$47:$H$73,MATCH(ID$3,'Standards for Conversions'!$A$47:$A$73,0))))</f>
        <v>363.11353053213992</v>
      </c>
      <c r="IG153" s="33" t="s">
        <v>40</v>
      </c>
      <c r="IJ153" s="31" t="str">
        <f>IF(II153/(INDEX('Standards for Conversions'!$H$47:$H$73,MATCH(IH$3,'Standards for Conversions'!$A$47:$A$73,0)))=0,"",II153/(INDEX('Standards for Conversions'!$H$47:$H$73,MATCH(IH$3,'Standards for Conversions'!$A$47:$A$73,0))))</f>
        <v/>
      </c>
      <c r="IK153" s="33" t="s">
        <v>40</v>
      </c>
      <c r="IN153" s="31" t="str">
        <f>IF(IM153/(INDEX('Standards for Conversions'!$H$47:$H$73,MATCH(IL$3,'Standards for Conversions'!$A$47:$A$73,0)))=0,"",IM153/(INDEX('Standards for Conversions'!$H$47:$H$73,MATCH(IL$3,'Standards for Conversions'!$A$47:$A$73,0))))</f>
        <v/>
      </c>
      <c r="IO153" s="33" t="s">
        <v>40</v>
      </c>
      <c r="IR153" s="31" t="str">
        <f>IF(IQ153/(INDEX('Standards for Conversions'!$H$47:$H$73,MATCH(IP$3,'Standards for Conversions'!$A$47:$A$73,0)))=0,"",IQ153/(INDEX('Standards for Conversions'!$H$47:$H$73,MATCH(IP$3,'Standards for Conversions'!$A$47:$A$73,0))))</f>
        <v/>
      </c>
      <c r="IS153" s="48" t="s">
        <v>40</v>
      </c>
      <c r="IT153" s="29">
        <v>441</v>
      </c>
      <c r="IU153" s="29">
        <v>2850</v>
      </c>
      <c r="IV153" s="31">
        <f>IF(IU153/(INDEX('Standards for Conversions'!$H$47:$H$73,MATCH(IT$3,'Standards for Conversions'!$A$47:$A$73,0)))=0,"",IU153/(INDEX('Standards for Conversions'!$H$47:$H$73,MATCH(IT$3,'Standards for Conversions'!$A$47:$A$73,0))))</f>
        <v>412.13915035413225</v>
      </c>
      <c r="IW153" s="33" t="s">
        <v>45</v>
      </c>
      <c r="IZ153" s="31" t="str">
        <f>IF(IY153/(INDEX('Standards for Conversions'!$H$47:$H$73,MATCH(IX$3,'Standards for Conversions'!$A$47:$A$73,0)))=0,"",IY153/(INDEX('Standards for Conversions'!$H$47:$H$73,MATCH(IX$3,'Standards for Conversions'!$A$47:$A$73,0))))</f>
        <v/>
      </c>
      <c r="JA153" s="33" t="s">
        <v>45</v>
      </c>
      <c r="JD153" s="31" t="str">
        <f>IF(JC153/(INDEX('Standards for Conversions'!$H$47:$H$73,MATCH(JB$3,'Standards for Conversions'!$A$47:$A$73,0)))=0,"",JC153/(INDEX('Standards for Conversions'!$H$47:$H$73,MATCH(JB$3,'Standards for Conversions'!$A$47:$A$73,0))))</f>
        <v/>
      </c>
      <c r="JE153" s="33" t="s">
        <v>45</v>
      </c>
      <c r="JH153" s="31" t="str">
        <f>IF(JG153/(INDEX('Standards for Conversions'!$H$47:$H$73,MATCH(JF$3,'Standards for Conversions'!$A$47:$A$73,0)))=0,"",JG153/(INDEX('Standards for Conversions'!$H$47:$H$73,MATCH(JF$3,'Standards for Conversions'!$A$47:$A$73,0))))</f>
        <v/>
      </c>
      <c r="JI153" s="48" t="s">
        <v>45</v>
      </c>
      <c r="JJ153" s="29">
        <v>10</v>
      </c>
      <c r="JK153" s="29">
        <v>125</v>
      </c>
      <c r="JL153" s="31">
        <f>IF(JK153/(INDEX('Standards for Conversions'!$H$47:$H$73,MATCH(JJ$3,'Standards for Conversions'!$A$47:$A$73,0)))=0,"",JK153/(INDEX('Standards for Conversions'!$H$47:$H$73,MATCH(JJ$3,'Standards for Conversions'!$A$47:$A$73,0))))</f>
        <v>20.220024586483586</v>
      </c>
      <c r="JM153" s="33" t="s">
        <v>45</v>
      </c>
      <c r="JP153" s="31" t="str">
        <f>IF(JO153/(INDEX('Standards for Conversions'!$H$47:$H$73,MATCH(JN$3,'Standards for Conversions'!$A$47:$A$73,0)))=0,"",JO153/(INDEX('Standards for Conversions'!$H$47:$H$73,MATCH(JN$3,'Standards for Conversions'!$A$47:$A$73,0))))</f>
        <v/>
      </c>
      <c r="JQ153" s="33" t="s">
        <v>45</v>
      </c>
      <c r="JT153" s="31" t="str">
        <f>IF(JS153/(INDEX('Standards for Conversions'!$H$47:$H$73,MATCH(JR$3,'Standards for Conversions'!$A$47:$A$73,0)))=0,"",JS153/(INDEX('Standards for Conversions'!$H$47:$H$73,MATCH(JR$3,'Standards for Conversions'!$A$47:$A$73,0))))</f>
        <v/>
      </c>
      <c r="JU153" s="33" t="s">
        <v>45</v>
      </c>
      <c r="JX153" s="31" t="str">
        <f>IF(JW153/(INDEX('Standards for Conversions'!$H$47:$H$73,MATCH(JV$3,'Standards for Conversions'!$A$47:$A$73,0)))=0,"",JW153/(INDEX('Standards for Conversions'!$H$47:$H$73,MATCH(JV$3,'Standards for Conversions'!$A$47:$A$73,0))))</f>
        <v/>
      </c>
      <c r="JY153" s="33" t="s">
        <v>45</v>
      </c>
      <c r="JZ153" s="29">
        <v>12</v>
      </c>
      <c r="KA153" s="29">
        <v>150</v>
      </c>
      <c r="KB153" s="31">
        <f>IF(KA153/(INDEX('Standards for Conversions'!$H$47:$H$73,MATCH(JZ$3,'Standards for Conversions'!$A$47:$A$73,0)))=0,"",KA153/(INDEX('Standards for Conversions'!$H$47:$H$73,MATCH(JZ$3,'Standards for Conversions'!$A$47:$A$73,0))))</f>
        <v>22.898383864169634</v>
      </c>
      <c r="KC153" s="33" t="s">
        <v>45</v>
      </c>
      <c r="KF153" s="31" t="str">
        <f>IF(KE153/(INDEX('Standards for Conversions'!$H$47:$H$73,MATCH(KD$3,'Standards for Conversions'!$A$47:$A$73,0)))=0,"",KE153/(INDEX('Standards for Conversions'!$H$47:$H$73,MATCH(KD$3,'Standards for Conversions'!$A$47:$A$73,0))))</f>
        <v/>
      </c>
      <c r="KG153" s="33" t="s">
        <v>45</v>
      </c>
      <c r="KJ153" s="31" t="str">
        <f>IF(KI153/(INDEX('Standards for Conversions'!$H$47:$H$73,MATCH(KH$3,'Standards for Conversions'!$A$47:$A$73,0)))=0,"",KI153/(INDEX('Standards for Conversions'!$H$47:$H$73,MATCH(KH$3,'Standards for Conversions'!$A$47:$A$73,0))))</f>
        <v/>
      </c>
      <c r="KK153" s="33" t="s">
        <v>45</v>
      </c>
      <c r="KN153" s="31" t="str">
        <f>IF(KM153/(INDEX('Standards for Conversions'!$H$47:$H$73,MATCH(KL$3,'Standards for Conversions'!$A$47:$A$73,0)))=0,"",KM153/(INDEX('Standards for Conversions'!$H$47:$H$73,MATCH(KL$3,'Standards for Conversions'!$A$47:$A$73,0))))</f>
        <v/>
      </c>
      <c r="KO153" s="33" t="s">
        <v>45</v>
      </c>
      <c r="KP153" s="29">
        <v>700</v>
      </c>
      <c r="KQ153" s="29">
        <v>4500</v>
      </c>
      <c r="KR153" s="31">
        <f>IF(KQ153/(INDEX('Standards for Conversions'!$H$47:$H$73,MATCH(KP$3,'Standards for Conversions'!$A$47:$A$73,0)))=0,"",KQ153/(INDEX('Standards for Conversions'!$H$47:$H$73,MATCH(KP$3,'Standards for Conversions'!$A$47:$A$73,0))))</f>
        <v>605.96555357608406</v>
      </c>
      <c r="KS153" s="33" t="s">
        <v>45</v>
      </c>
      <c r="KV153" s="31" t="str">
        <f>IF(KU153/(INDEX('Standards for Conversions'!$H$47:$H$73,MATCH(KT$3,'Standards for Conversions'!$A$47:$A$73,0)))=0,"",KU153/(INDEX('Standards for Conversions'!$H$47:$H$73,MATCH(KT$3,'Standards for Conversions'!$A$47:$A$73,0))))</f>
        <v/>
      </c>
      <c r="KW153" s="33" t="s">
        <v>45</v>
      </c>
      <c r="KZ153" s="31" t="str">
        <f>IF(KY153/(INDEX('Standards for Conversions'!$H$47:$H$73,MATCH(KX$3,'Standards for Conversions'!$A$47:$A$73,0)))=0,"",KY153/(INDEX('Standards for Conversions'!$H$47:$H$73,MATCH(KX$3,'Standards for Conversions'!$A$47:$A$73,0))))</f>
        <v/>
      </c>
      <c r="LA153" s="33" t="s">
        <v>45</v>
      </c>
      <c r="LD153" s="31" t="str">
        <f>IF(LC153/(INDEX('Standards for Conversions'!$H$47:$H$73,MATCH(LB$3,'Standards for Conversions'!$A$47:$A$73,0)))=0,"",LC153/(INDEX('Standards for Conversions'!$H$47:$H$73,MATCH(LB$3,'Standards for Conversions'!$A$47:$A$73,0))))</f>
        <v/>
      </c>
      <c r="LE153" s="48" t="s">
        <v>45</v>
      </c>
      <c r="LH153" s="31" t="str">
        <f>IF(LG153/(INDEX('Standards for Conversions'!$H$47:$H$73,MATCH(LF$3,'Standards for Conversions'!$A$47:$A$73,0)))=0,"",LG153/(INDEX('Standards for Conversions'!$H$47:$H$73,MATCH(LF$3,'Standards for Conversions'!$A$47:$A$73,0))))</f>
        <v/>
      </c>
      <c r="LL153" s="31" t="str">
        <f>IF(LK153/(INDEX('Standards for Conversions'!$H$47:$H$73,MATCH(LJ$3,'Standards for Conversions'!$A$47:$A$73,0)))=0,"",LK153/(INDEX('Standards for Conversions'!$H$47:$H$73,MATCH(LJ$3,'Standards for Conversions'!$A$47:$A$73,0))))</f>
        <v/>
      </c>
      <c r="LO153" s="31" t="str">
        <f>IF(LN153/(INDEX('Standards for Conversions'!$H$47:$H$73,MATCH(LM$3,'Standards for Conversions'!$A$47:$A$73,0)))=0,"",LN153/(INDEX('Standards for Conversions'!$H$47:$H$73,MATCH(LM$3,'Standards for Conversions'!$A$47:$A$73,0))))</f>
        <v/>
      </c>
      <c r="LR153" s="31" t="str">
        <f>IF(LQ153/(INDEX('Standards for Conversions'!$H$47:$H$73,MATCH(LP$3,'Standards for Conversions'!$A$47:$A$73,0)))=0,"",LQ153/(INDEX('Standards for Conversions'!$H$47:$H$73,MATCH(LP$3,'Standards for Conversions'!$A$47:$A$73,0))))</f>
        <v/>
      </c>
      <c r="LV153" s="31" t="str">
        <f>IF(LU153/(INDEX('Standards for Conversions'!$H$47:$H$73,MATCH(LT$3,'Standards for Conversions'!$A$47:$A$73,0)))=0,"",LU153/(INDEX('Standards for Conversions'!$H$47:$H$73,MATCH(LT$3,'Standards for Conversions'!$A$47:$A$73,0))))</f>
        <v/>
      </c>
      <c r="LY153" s="31" t="str">
        <f>IF(LX153/(INDEX('Standards for Conversions'!$H$47:$H$73,MATCH(LW$3,'Standards for Conversions'!$A$47:$A$73,0)))=0,"",LX153/(INDEX('Standards for Conversions'!$H$47:$H$73,MATCH(LW$3,'Standards for Conversions'!$A$47:$A$73,0))))</f>
        <v/>
      </c>
      <c r="MB153" s="31" t="str">
        <f>IF(MA153/(INDEX('Standards for Conversions'!$H$47:$H$73,MATCH(LZ$3,'Standards for Conversions'!$A$47:$A$73,0)))=0,"",MA153/(INDEX('Standards for Conversions'!$H$47:$H$73,MATCH(LZ$3,'Standards for Conversions'!$A$47:$A$73,0))))</f>
        <v/>
      </c>
      <c r="ME153" s="31" t="str">
        <f>IF(MD153/(INDEX('Standards for Conversions'!$H$47:$H$73,MATCH(MC$3,'Standards for Conversions'!$A$47:$A$73,0)))=0,"",MD153/(INDEX('Standards for Conversions'!$H$47:$H$73,MATCH(MC$3,'Standards for Conversions'!$A$47:$A$73,0))))</f>
        <v/>
      </c>
      <c r="MH153" s="31" t="str">
        <f>IF(MG153/(INDEX('Standards for Conversions'!$H$47:$H$73,MATCH(MF$3,'Standards for Conversions'!$A$47:$A$73,0)))=0,"",MG153/(INDEX('Standards for Conversions'!$H$47:$H$73,MATCH(MF$3,'Standards for Conversions'!$A$47:$A$73,0))))</f>
        <v/>
      </c>
      <c r="MK153" s="31" t="str">
        <f>IF(MJ153/(INDEX('Standards for Conversions'!$H$47:$H$73,MATCH(MI$3,'Standards for Conversions'!$A$47:$A$73,0)))=0,"",MJ153/(INDEX('Standards for Conversions'!$H$47:$H$73,MATCH(MI$3,'Standards for Conversions'!$A$47:$A$73,0))))</f>
        <v/>
      </c>
      <c r="MN153" s="31" t="str">
        <f>IF(MM153/(INDEX('Standards for Conversions'!$H$47:$H$73,MATCH(ML$3,'Standards for Conversions'!$A$47:$A$73,0)))=0,"",MM153/(INDEX('Standards for Conversions'!$H$47:$H$73,MATCH(ML$3,'Standards for Conversions'!$A$47:$A$73,0))))</f>
        <v/>
      </c>
      <c r="MR153" s="31" t="str">
        <f>IF(MQ153/(INDEX('Standards for Conversions'!$H$47:$H$73,MATCH(MP$3,'Standards for Conversions'!$A$47:$A$73,0)))=0,"",MQ153/(INDEX('Standards for Conversions'!$H$47:$H$73,MATCH(MP$3,'Standards for Conversions'!$A$47:$A$73,0))))</f>
        <v/>
      </c>
    </row>
    <row r="154" spans="1:373" x14ac:dyDescent="0.3">
      <c r="A154" s="102" t="s">
        <v>109</v>
      </c>
      <c r="B154" s="10" t="s">
        <v>9</v>
      </c>
      <c r="C154" s="9"/>
      <c r="D154" s="9"/>
      <c r="E154" s="31" t="str">
        <f>IF(D154/(INDEX('Standards for Conversions'!$H$34:$H$73,MATCH(C$3,'Standards for Conversions'!$A$34:$A$73,0)))=0,"",D154/(INDEX('Standards for Conversions'!$H$34:$H$73,MATCH(C$3,'Standards for Conversions'!$A$34:$A$73,0))))</f>
        <v/>
      </c>
      <c r="G154" s="9"/>
      <c r="H154" s="9"/>
      <c r="I154" s="31" t="str">
        <f>IF(H154/(INDEX('Standards for Conversions'!$H$34:$H$73,MATCH(G$3,'Standards for Conversions'!$A$34:$A$73,0)))=0,"",H154/(INDEX('Standards for Conversions'!$H$34:$H$73,MATCH(G$3,'Standards for Conversions'!$A$34:$A$73,0))))</f>
        <v/>
      </c>
      <c r="K154" s="7"/>
      <c r="L154" s="7"/>
      <c r="M154" s="31" t="str">
        <f>IF(L154/(INDEX('Standards for Conversions'!$H$34:$H$73,MATCH(K$3,'Standards for Conversions'!$A$34:$A$73,0)))=0,"",L154/(INDEX('Standards for Conversions'!$H$34:$H$73,MATCH(K$3,'Standards for Conversions'!$A$34:$A$73,0))))</f>
        <v/>
      </c>
      <c r="Q154" s="31" t="str">
        <f>IF(P154/(INDEX('Standards for Conversions'!$H$34:$H$73,MATCH(O$3,'Standards for Conversions'!$A$34:$A$73,0)))=0,"",P154/(INDEX('Standards for Conversions'!$H$34:$H$73,MATCH(O$3,'Standards for Conversions'!$A$34:$A$73,0))))</f>
        <v/>
      </c>
      <c r="S154" s="9"/>
      <c r="T154" s="9"/>
      <c r="U154" s="31" t="str">
        <f>IF(T154/(INDEX('Standards for Conversions'!$H$34:$H$73,MATCH(S$3,'Standards for Conversions'!$A$34:$A$73,0)))=0,"",T154/(INDEX('Standards for Conversions'!$H$34:$H$73,MATCH(S$3,'Standards for Conversions'!$A$34:$A$73,0))))</f>
        <v/>
      </c>
      <c r="W154" s="9"/>
      <c r="X154" s="9"/>
      <c r="Y154" s="31" t="str">
        <f>IF(X154/(INDEX('Standards for Conversions'!$H$34:$H$73,MATCH(W$3,'Standards for Conversions'!$A$34:$A$73,0)))=0,"",X154/(INDEX('Standards for Conversions'!$H$34:$H$73,MATCH(W$3,'Standards for Conversions'!$A$34:$A$73,0))))</f>
        <v/>
      </c>
      <c r="AA154" s="7"/>
      <c r="AB154" s="7"/>
      <c r="AC154" s="31" t="str">
        <f>IF(AB154/(INDEX('Standards for Conversions'!$H$34:$H$73,MATCH(AA$3,'Standards for Conversions'!$A$34:$A$73,0)))=0,"",AB154/(INDEX('Standards for Conversions'!$H$34:$H$73,MATCH(AA$3,'Standards for Conversions'!$A$34:$A$73,0))))</f>
        <v/>
      </c>
      <c r="AG154" s="31" t="str">
        <f>IF(AF154/(INDEX('Standards for Conversions'!$H$34:$H$73,MATCH(AE$3,'Standards for Conversions'!$A$34:$A$73,0)))=0,"",AF154/(INDEX('Standards for Conversions'!$H$34:$H$73,MATCH(AE$3,'Standards for Conversions'!$A$34:$A$73,0))))</f>
        <v/>
      </c>
      <c r="AI154" s="9"/>
      <c r="AJ154" s="9"/>
      <c r="AK154" s="31" t="str">
        <f>IF(AJ154/(INDEX('Standards for Conversions'!$H$34:$H$73,MATCH(AI$3,'Standards for Conversions'!$A$34:$A$73,0)))=0,"",AJ154/(INDEX('Standards for Conversions'!$H$34:$H$73,MATCH(AI$3,'Standards for Conversions'!$A$34:$A$73,0))))</f>
        <v/>
      </c>
      <c r="AM154" s="9"/>
      <c r="AN154" s="9"/>
      <c r="AO154" s="31" t="str">
        <f>IF(AN154/(INDEX('Standards for Conversions'!$H$34:$H$73,MATCH(AM$3,'Standards for Conversions'!$A$34:$A$73,0)))=0,"",AN154/(INDEX('Standards for Conversions'!$H$34:$H$73,MATCH(AM$3,'Standards for Conversions'!$A$34:$A$73,0))))</f>
        <v/>
      </c>
      <c r="AQ154" s="7"/>
      <c r="AR154" s="7"/>
      <c r="AS154" s="31" t="str">
        <f>IF(AR154/(INDEX('Standards for Conversions'!$H$34:$H$73,MATCH(AQ$3,'Standards for Conversions'!$A$34:$A$73,0)))=0,"",AR154/(INDEX('Standards for Conversions'!$H$34:$H$73,MATCH(AQ$3,'Standards for Conversions'!$A$34:$A$73,0))))</f>
        <v/>
      </c>
      <c r="AW154" s="31" t="str">
        <f>IF(AV154/(INDEX('Standards for Conversions'!$H$34:$H$73,MATCH(AU$3,'Standards for Conversions'!$A$34:$A$73,0)))=0,"",AV154/(INDEX('Standards for Conversions'!$H$34:$H$73,MATCH(AU$3,'Standards for Conversions'!$A$34:$A$73,0))))</f>
        <v/>
      </c>
      <c r="AY154" s="9"/>
      <c r="AZ154" s="9"/>
      <c r="BA154" s="31" t="str">
        <f>IF(AZ154/(INDEX('Standards for Conversions'!$H$34:$H$73,MATCH(AY$3,'Standards for Conversions'!$A$34:$A$73,0)))=0,"",AZ154/(INDEX('Standards for Conversions'!$H$34:$H$73,MATCH(AY$3,'Standards for Conversions'!$A$34:$A$73,0))))</f>
        <v/>
      </c>
      <c r="BC154" s="9"/>
      <c r="BD154" s="9"/>
      <c r="BE154" s="31" t="str">
        <f>IF(BD154/(INDEX('Standards for Conversions'!$H$34:$H$73,MATCH(BC$3,'Standards for Conversions'!$A$34:$A$73,0)))=0,"",BD154/(INDEX('Standards for Conversions'!$H$34:$H$73,MATCH(BC$3,'Standards for Conversions'!$A$34:$A$73,0))))</f>
        <v/>
      </c>
      <c r="BG154" s="7"/>
      <c r="BH154" s="7"/>
      <c r="BI154" s="31" t="str">
        <f>IF(BH154/(INDEX('Standards for Conversions'!$H$34:$H$73,MATCH(BG$3,'Standards for Conversions'!$A$34:$A$73,0)))=0,"",BH154/(INDEX('Standards for Conversions'!$H$34:$H$73,MATCH(BG$3,'Standards for Conversions'!$A$34:$A$73,0))))</f>
        <v/>
      </c>
      <c r="BM154" s="31" t="str">
        <f>IF(BL154/(INDEX('Standards for Conversions'!$H$34:$H$73,MATCH(BK$3,'Standards for Conversions'!$A$34:$A$73,0)))=0,"",BL154/(INDEX('Standards for Conversions'!$H$34:$H$73,MATCH(BK$3,'Standards for Conversions'!$A$34:$A$73,0))))</f>
        <v/>
      </c>
      <c r="BO154" s="9"/>
      <c r="BP154" s="9"/>
      <c r="BQ154" s="31" t="str">
        <f>IF(BP154/(INDEX('Standards for Conversions'!$H$34:$H$73,MATCH(BO$3,'Standards for Conversions'!$A$34:$A$73,0)))=0,"",BP154/(INDEX('Standards for Conversions'!$H$34:$H$73,MATCH(BO$3,'Standards for Conversions'!$A$34:$A$73,0))))</f>
        <v/>
      </c>
      <c r="BS154" s="9"/>
      <c r="BT154" s="9"/>
      <c r="BU154" s="31" t="str">
        <f>IF(BT154/(INDEX('Standards for Conversions'!$H$34:$H$73,MATCH(BS$3,'Standards for Conversions'!$A$34:$A$73,0)))=0,"",BT154/(INDEX('Standards for Conversions'!$H$34:$H$73,MATCH(BS$3,'Standards for Conversions'!$A$34:$A$73,0))))</f>
        <v/>
      </c>
      <c r="BW154" s="7"/>
      <c r="BX154" s="7"/>
      <c r="BY154" s="31" t="str">
        <f>IF(BX154/(INDEX('Standards for Conversions'!$H$34:$H$73,MATCH(BW$3,'Standards for Conversions'!$A$34:$A$73,0)))=0,"",BX154/(INDEX('Standards for Conversions'!$H$34:$H$73,MATCH(BW$3,'Standards for Conversions'!$A$34:$A$73,0))))</f>
        <v/>
      </c>
      <c r="CC154" s="31" t="str">
        <f>IF(CB154/(INDEX('Standards for Conversions'!$H$34:$H$73,MATCH(CA$3,'Standards for Conversions'!$A$34:$A$73,0)))=0,"",CB154/(INDEX('Standards for Conversions'!$H$34:$H$73,MATCH(CA$3,'Standards for Conversions'!$A$34:$A$73,0))))</f>
        <v/>
      </c>
      <c r="CE154" s="9"/>
      <c r="CF154" s="9"/>
      <c r="CG154" s="31" t="str">
        <f>IF(CF154/(INDEX('Standards for Conversions'!$H$34:$H$73,MATCH(CE$3,'Standards for Conversions'!$A$34:$A$73,0)))=0,"",CF154/(INDEX('Standards for Conversions'!$H$34:$H$73,MATCH(CE$3,'Standards for Conversions'!$A$34:$A$73,0))))</f>
        <v/>
      </c>
      <c r="CI154" s="9"/>
      <c r="CJ154" s="9"/>
      <c r="CK154" s="31" t="str">
        <f>IF(CJ154/(INDEX('Standards for Conversions'!$H$34:$H$73,MATCH(CI$3,'Standards for Conversions'!$A$34:$A$73,0)))=0,"",CJ154/(INDEX('Standards for Conversions'!$H$34:$H$73,MATCH(CI$3,'Standards for Conversions'!$A$34:$A$73,0))))</f>
        <v/>
      </c>
      <c r="CM154" s="7"/>
      <c r="CN154" s="7"/>
      <c r="CO154" s="31" t="str">
        <f>IF(CN154/(INDEX('Standards for Conversions'!$H$34:$H$73,MATCH(CM$3,'Standards for Conversions'!$A$34:$A$73,0)))=0,"",CN154/(INDEX('Standards for Conversions'!$H$34:$H$73,MATCH(CM$3,'Standards for Conversions'!$A$34:$A$73,0))))</f>
        <v/>
      </c>
      <c r="CS154" s="31" t="str">
        <f>IF(CR154/(INDEX('Standards for Conversions'!$H$34:$H$73,MATCH(CQ$3,'Standards for Conversions'!$A$34:$A$73,0)))=0,"",CR154/(INDEX('Standards for Conversions'!$H$34:$H$73,MATCH(CQ$3,'Standards for Conversions'!$A$34:$A$73,0))))</f>
        <v/>
      </c>
      <c r="CU154" s="9"/>
      <c r="CV154" s="9"/>
      <c r="CW154" s="31" t="str">
        <f>IF(CV154/(INDEX('Standards for Conversions'!$H$34:$H$73,MATCH(CU$3,'Standards for Conversions'!$A$34:$A$73,0)))=0,"",CV154/(INDEX('Standards for Conversions'!$H$34:$H$73,MATCH(CU$3,'Standards for Conversions'!$A$34:$A$73,0))))</f>
        <v/>
      </c>
      <c r="CY154" s="9"/>
      <c r="CZ154" s="9"/>
      <c r="DA154" s="31" t="str">
        <f>IF(CZ154/(INDEX('Standards for Conversions'!$H$34:$H$73,MATCH(CY$3,'Standards for Conversions'!$A$34:$A$73,0)))=0,"",CZ154/(INDEX('Standards for Conversions'!$H$34:$H$73,MATCH(CY$3,'Standards for Conversions'!$A$34:$A$73,0))))</f>
        <v/>
      </c>
      <c r="DC154" s="7"/>
      <c r="DD154" s="7"/>
      <c r="DE154" s="31" t="str">
        <f>IF(DD154/(INDEX('Standards for Conversions'!$H$34:$H$73,MATCH(DC$3,'Standards for Conversions'!$A$34:$A$73,0)))=0,"",DD154/(INDEX('Standards for Conversions'!$H$34:$H$73,MATCH(DC$3,'Standards for Conversions'!$A$34:$A$73,0))))</f>
        <v/>
      </c>
      <c r="DI154" s="31" t="str">
        <f>IF(DH154/(INDEX('Standards for Conversions'!$H$34:$H$73,MATCH(DG$3,'Standards for Conversions'!$A$34:$A$73,0)))=0,"",DH154/(INDEX('Standards for Conversions'!$H$34:$H$73,MATCH(DG$3,'Standards for Conversions'!$A$34:$A$73,0))))</f>
        <v/>
      </c>
      <c r="DK154" s="9"/>
      <c r="DL154" s="9"/>
      <c r="DM154" s="31" t="str">
        <f>IF(DL154/(INDEX('Standards for Conversions'!$H$34:$H$73,MATCH(DK$3,'Standards for Conversions'!$A$34:$A$73,0)))=0,"",DL154/(INDEX('Standards for Conversions'!$H$34:$H$73,MATCH(DK$3,'Standards for Conversions'!$A$34:$A$73,0))))</f>
        <v/>
      </c>
      <c r="DO154" s="9"/>
      <c r="DP154" s="9"/>
      <c r="DQ154" s="31" t="str">
        <f>IF(DP154/(INDEX('Standards for Conversions'!$H$34:$H$73,MATCH(DO$3,'Standards for Conversions'!$A$34:$A$73,0)))=0,"",DP154/(INDEX('Standards for Conversions'!$H$34:$H$73,MATCH(DO$3,'Standards for Conversions'!$A$34:$A$73,0))))</f>
        <v/>
      </c>
      <c r="DS154" s="7"/>
      <c r="DT154" s="7"/>
      <c r="DU154" s="31" t="str">
        <f>IF(DT154/(INDEX('Standards for Conversions'!$H$34:$H$73,MATCH(DS$3,'Standards for Conversions'!$A$34:$A$73,0)))=0,"",DT154/(INDEX('Standards for Conversions'!$H$34:$H$73,MATCH(DS$3,'Standards for Conversions'!$A$34:$A$73,0))))</f>
        <v/>
      </c>
      <c r="DY154" s="31" t="str">
        <f>IF(DX154/(INDEX('Standards for Conversions'!$H$34:$H$73,MATCH(DW$3,'Standards for Conversions'!$A$34:$A$73,0)))=0,"",DX154/(INDEX('Standards for Conversions'!$H$34:$H$73,MATCH(DW$3,'Standards for Conversions'!$A$34:$A$73,0))))</f>
        <v/>
      </c>
      <c r="EA154" s="9"/>
      <c r="EB154" s="9"/>
      <c r="EC154" s="31" t="str">
        <f>IF(EB154/(INDEX('Standards for Conversions'!$H$34:$H$73,MATCH(EA$3,'Standards for Conversions'!$A$34:$A$73,0)))=0,"",EB154/(INDEX('Standards for Conversions'!$H$34:$H$73,MATCH(EA$3,'Standards for Conversions'!$A$34:$A$73,0))))</f>
        <v/>
      </c>
      <c r="EE154" s="9"/>
      <c r="EF154" s="9"/>
      <c r="EG154" s="31" t="str">
        <f>IF(EF154/(INDEX('Standards for Conversions'!$H$34:$H$73,MATCH(EE$3,'Standards for Conversions'!$A$34:$A$73,0)))=0,"",EF154/(INDEX('Standards for Conversions'!$H$34:$H$73,MATCH(EE$3,'Standards for Conversions'!$A$34:$A$73,0))))</f>
        <v/>
      </c>
      <c r="EI154" s="7"/>
      <c r="EJ154" s="7"/>
      <c r="EK154" s="31" t="str">
        <f>IF(EJ154/(INDEX('Standards for Conversions'!$H$34:$H$73,MATCH(EI$3,'Standards for Conversions'!$A$34:$A$73,0)))=0,"",EJ154/(INDEX('Standards for Conversions'!$H$34:$H$73,MATCH(EI$3,'Standards for Conversions'!$A$34:$A$73,0))))</f>
        <v/>
      </c>
      <c r="EO154" s="31" t="str">
        <f>IF(EN154/(INDEX('Standards for Conversions'!$H$34:$H$73,MATCH(EM$3,'Standards for Conversions'!$A$34:$A$73,0)))=0,"",EN154/(INDEX('Standards for Conversions'!$H$34:$H$73,MATCH(EM$3,'Standards for Conversions'!$A$34:$A$73,0))))</f>
        <v/>
      </c>
      <c r="EQ154" s="9"/>
      <c r="ER154" s="9"/>
      <c r="ES154" s="31" t="str">
        <f>IF(ER154/(INDEX('Standards for Conversions'!$H$34:$H$73,MATCH(EQ$3,'Standards for Conversions'!$A$34:$A$73,0)))=0,"",ER154/(INDEX('Standards for Conversions'!$H$34:$H$73,MATCH(EQ$3,'Standards for Conversions'!$A$34:$A$73,0))))</f>
        <v/>
      </c>
      <c r="EU154" s="9"/>
      <c r="EV154" s="9"/>
      <c r="EW154" s="31" t="str">
        <f>IF(EV154/(INDEX('Standards for Conversions'!$H$34:$H$73,MATCH(EU$3,'Standards for Conversions'!$A$34:$A$73,0)))=0,"",EV154/(INDEX('Standards for Conversions'!$H$34:$H$73,MATCH(EU$3,'Standards for Conversions'!$A$34:$A$73,0))))</f>
        <v/>
      </c>
      <c r="EY154" s="9"/>
      <c r="EZ154" s="9"/>
      <c r="FA154" s="31" t="str">
        <f>IF(EZ154/(INDEX('Standards for Conversions'!$H$34:$H$73,MATCH(EY$3,'Standards for Conversions'!$A$34:$A$73,0)))=0,"",EZ154/(INDEX('Standards for Conversions'!$H$34:$H$73,MATCH(EY$3,'Standards for Conversions'!$A$34:$A$73,0))))</f>
        <v/>
      </c>
      <c r="FE154" s="31" t="str">
        <f>IF(FD154/(INDEX('Standards for Conversions'!$H$34:$H$73,MATCH(FC$3,'Standards for Conversions'!$A$34:$A$73,0)))=0,"",FD154/(INDEX('Standards for Conversions'!$H$34:$H$73,MATCH(FC$3,'Standards for Conversions'!$A$34:$A$73,0))))</f>
        <v/>
      </c>
      <c r="FG154" s="9"/>
      <c r="FH154" s="9"/>
      <c r="FI154" s="31" t="str">
        <f>IF(FH154/(INDEX('Standards for Conversions'!$H$34:$H$73,MATCH(FG$3,'Standards for Conversions'!$A$34:$A$73,0)))=0,"",FH154/(INDEX('Standards for Conversions'!$H$34:$H$73,MATCH(FG$3,'Standards for Conversions'!$A$34:$A$73,0))))</f>
        <v/>
      </c>
      <c r="FK154" s="9"/>
      <c r="FL154" s="9"/>
      <c r="FM154" s="31" t="str">
        <f>IF(FL154/(INDEX('Standards for Conversions'!$H$34:$H$73,MATCH(FK$3,'Standards for Conversions'!$A$34:$A$73,0)))=0,"",FL154/(INDEX('Standards for Conversions'!$H$34:$H$73,MATCH(FK$3,'Standards for Conversions'!$A$34:$A$73,0))))</f>
        <v/>
      </c>
      <c r="FO154" s="9"/>
      <c r="FP154" s="9"/>
      <c r="FQ154" s="31" t="str">
        <f>IF(FP154/(INDEX('Standards for Conversions'!$H$34:$H$73,MATCH(FO$3,'Standards for Conversions'!$A$34:$A$73,0)))=0,"",FP154/(INDEX('Standards for Conversions'!$H$34:$H$73,MATCH(FO$3,'Standards for Conversions'!$A$34:$A$73,0))))</f>
        <v/>
      </c>
      <c r="FU154" s="31" t="str">
        <f>IF(FT154/(INDEX('Standards for Conversions'!$H$34:$H$73,MATCH(FS$3,'Standards for Conversions'!$A$34:$A$73,0)))=0,"",FT154/(INDEX('Standards for Conversions'!$H$34:$H$73,MATCH(FS$3,'Standards for Conversions'!$A$34:$A$73,0))))</f>
        <v/>
      </c>
      <c r="FW154" s="9"/>
      <c r="FX154" s="9"/>
      <c r="FY154" s="31" t="str">
        <f>IF(FX154/(INDEX('Standards for Conversions'!$H$34:$H$73,MATCH(FW$3,'Standards for Conversions'!$A$34:$A$73,0)))=0,"",FX154/(INDEX('Standards for Conversions'!$H$34:$H$73,MATCH(FW$3,'Standards for Conversions'!$A$34:$A$73,0))))</f>
        <v/>
      </c>
      <c r="GA154" s="9"/>
      <c r="GB154" s="9"/>
      <c r="GC154" s="31" t="str">
        <f>IF(GB154/(INDEX('Standards for Conversions'!$H$34:$H$73,MATCH(GA$3,'Standards for Conversions'!$A$34:$A$73,0)))=0,"",GB154/(INDEX('Standards for Conversions'!$H$34:$H$73,MATCH(GA$3,'Standards for Conversions'!$A$34:$A$73,0))))</f>
        <v/>
      </c>
      <c r="GE154" s="9"/>
      <c r="GF154" s="9"/>
      <c r="GG154" s="31" t="str">
        <f>IF(GF154/(INDEX('Standards for Conversions'!$H$34:$H$73,MATCH(GE$3,'Standards for Conversions'!$A$34:$A$73,0)))=0,"",GF154/(INDEX('Standards for Conversions'!$H$34:$H$73,MATCH(GE$3,'Standards for Conversions'!$A$34:$A$73,0))))</f>
        <v/>
      </c>
      <c r="GK154" s="31" t="str">
        <f>IF(GJ154/(INDEX('Standards for Conversions'!$H$34:$H$73,MATCH(GI$3,'Standards for Conversions'!$A$34:$A$73,0)))=0,"",GJ154/(INDEX('Standards for Conversions'!$H$34:$H$73,MATCH(GI$3,'Standards for Conversions'!$A$34:$A$73,0))))</f>
        <v/>
      </c>
      <c r="GM154" s="9"/>
      <c r="GN154" s="9"/>
      <c r="GO154" s="31" t="str">
        <f>IF(GN154/(INDEX('Standards for Conversions'!$H$34:$H$73,MATCH(GM$3,'Standards for Conversions'!$A$34:$A$73,0)))=0,"",GN154/(INDEX('Standards for Conversions'!$H$34:$H$73,MATCH(GM$3,'Standards for Conversions'!$A$34:$A$73,0))))</f>
        <v/>
      </c>
      <c r="GQ154" s="9"/>
      <c r="GR154" s="9"/>
      <c r="GS154" s="31" t="str">
        <f>IF(GR154/(INDEX('Standards for Conversions'!$H$34:$H$73,MATCH(GQ$3,'Standards for Conversions'!$A$34:$A$73,0)))=0,"",GR154/(INDEX('Standards for Conversions'!$H$34:$H$73,MATCH(GQ$3,'Standards for Conversions'!$A$34:$A$73,0))))</f>
        <v/>
      </c>
      <c r="GU154" s="9"/>
      <c r="GV154" s="9"/>
      <c r="GW154" s="31" t="str">
        <f>IF(GV154/(INDEX('Standards for Conversions'!$H$34:$H$73,MATCH(GU$3,'Standards for Conversions'!$A$34:$A$73,0)))=0,"",GV154/(INDEX('Standards for Conversions'!$H$34:$H$73,MATCH(GU$3,'Standards for Conversions'!$A$34:$A$73,0))))</f>
        <v/>
      </c>
      <c r="HA154" s="31" t="str">
        <f>IF(GZ154/(INDEX('Standards for Conversions'!$H$34:$H$73,MATCH(GY$3,'Standards for Conversions'!$A$34:$A$73,0)))=0,"",GZ154/(INDEX('Standards for Conversions'!$H$34:$H$73,MATCH(GY$3,'Standards for Conversions'!$A$34:$A$73,0))))</f>
        <v/>
      </c>
      <c r="HC154" s="9"/>
      <c r="HD154" s="9"/>
      <c r="HE154" s="31" t="str">
        <f>IF(HD154/(INDEX('Standards for Conversions'!$H$34:$H$73,MATCH(HC$3,'Standards for Conversions'!$A$34:$A$73,0)))=0,"",HD154/(INDEX('Standards for Conversions'!$H$34:$H$73,MATCH(HC$3,'Standards for Conversions'!$A$34:$A$73,0))))</f>
        <v/>
      </c>
      <c r="HG154" s="9"/>
      <c r="HH154" s="9"/>
      <c r="HI154" s="31" t="str">
        <f>IF(HH154/(INDEX('Standards for Conversions'!$H$34:$H$73,MATCH(HG$3,'Standards for Conversions'!$A$34:$A$73,0)))=0,"",HH154/(INDEX('Standards for Conversions'!$H$34:$H$73,MATCH(HG$3,'Standards for Conversions'!$A$34:$A$73,0))))</f>
        <v/>
      </c>
      <c r="HK154" s="9"/>
      <c r="HL154" s="9"/>
      <c r="HM154" s="31" t="str">
        <f>IF(HL154/(INDEX('Standards for Conversions'!$H$34:$H$73,MATCH(HK$3,'Standards for Conversions'!$A$34:$A$73,0)))=0,"",HL154/(INDEX('Standards for Conversions'!$H$34:$H$73,MATCH(HK$3,'Standards for Conversions'!$A$34:$A$73,0))))</f>
        <v/>
      </c>
      <c r="HQ154" s="31" t="str">
        <f>IF(HP154/(INDEX('Standards for Conversions'!$H$34:$H$73,MATCH(HO$3,'Standards for Conversions'!$A$34:$A$73,0)))=0,"",HP154/(INDEX('Standards for Conversions'!$H$34:$H$73,MATCH(HO$3,'Standards for Conversions'!$A$34:$A$73,0))))</f>
        <v/>
      </c>
      <c r="HR154" s="33" t="s">
        <v>9</v>
      </c>
      <c r="HS154" s="33"/>
      <c r="HT154" s="33"/>
      <c r="HU154" s="31" t="str">
        <f>IF(HT154/(INDEX('Standards for Conversions'!$H$47:$H$73,MATCH(HS$3,'Standards for Conversions'!$A$47:$A$73,0)))=0,"",HT154/(INDEX('Standards for Conversions'!$H$47:$H$73,MATCH(HS$3,'Standards for Conversions'!$A$47:$A$73,0))))</f>
        <v/>
      </c>
      <c r="HV154" s="33" t="s">
        <v>9</v>
      </c>
      <c r="HW154" s="33"/>
      <c r="HX154" s="33"/>
      <c r="HY154" s="31" t="str">
        <f>IF(HX154/(INDEX('Standards for Conversions'!$H$47:$H$73,MATCH(HW$3,'Standards for Conversions'!$A$47:$A$73,0)))=0,"",HX154/(INDEX('Standards for Conversions'!$H$47:$H$73,MATCH(HW$3,'Standards for Conversions'!$A$47:$A$73,0))))</f>
        <v/>
      </c>
      <c r="HZ154" s="33"/>
      <c r="IA154" s="33"/>
      <c r="IB154" s="31" t="str">
        <f>IF(IA154/(INDEX('Standards for Conversions'!$H$47:$H$73,MATCH(HZ$3,'Standards for Conversions'!$A$47:$A$73,0)))=0,"",IA154/(INDEX('Standards for Conversions'!$H$47:$H$73,MATCH(HZ$3,'Standards for Conversions'!$A$47:$A$73,0))))</f>
        <v/>
      </c>
      <c r="IC154" s="33" t="s">
        <v>9</v>
      </c>
      <c r="ID154" s="33"/>
      <c r="IE154" s="33"/>
      <c r="IF154" s="31" t="str">
        <f>IF(IE154/(INDEX('Standards for Conversions'!$H$47:$H$73,MATCH(ID$3,'Standards for Conversions'!$A$47:$A$73,0)))=0,"",IE154/(INDEX('Standards for Conversions'!$H$47:$H$73,MATCH(ID$3,'Standards for Conversions'!$A$47:$A$73,0))))</f>
        <v/>
      </c>
      <c r="IG154" s="33" t="s">
        <v>9</v>
      </c>
      <c r="IH154" s="33"/>
      <c r="II154" s="33"/>
      <c r="IJ154" s="31" t="str">
        <f>IF(II154/(INDEX('Standards for Conversions'!$H$47:$H$73,MATCH(IH$3,'Standards for Conversions'!$A$47:$A$73,0)))=0,"",II154/(INDEX('Standards for Conversions'!$H$47:$H$73,MATCH(IH$3,'Standards for Conversions'!$A$47:$A$73,0))))</f>
        <v/>
      </c>
      <c r="IK154" s="33" t="s">
        <v>9</v>
      </c>
      <c r="IL154" s="33"/>
      <c r="IM154" s="33"/>
      <c r="IN154" s="31" t="str">
        <f>IF(IM154/(INDEX('Standards for Conversions'!$H$47:$H$73,MATCH(IL$3,'Standards for Conversions'!$A$47:$A$73,0)))=0,"",IM154/(INDEX('Standards for Conversions'!$H$47:$H$73,MATCH(IL$3,'Standards for Conversions'!$A$47:$A$73,0))))</f>
        <v/>
      </c>
      <c r="IO154" s="33" t="s">
        <v>9</v>
      </c>
      <c r="IP154" s="33"/>
      <c r="IQ154" s="33"/>
      <c r="IR154" s="31" t="str">
        <f>IF(IQ154/(INDEX('Standards for Conversions'!$H$47:$H$73,MATCH(IP$3,'Standards for Conversions'!$A$47:$A$73,0)))=0,"",IQ154/(INDEX('Standards for Conversions'!$H$47:$H$73,MATCH(IP$3,'Standards for Conversions'!$A$47:$A$73,0))))</f>
        <v/>
      </c>
      <c r="IS154" s="33" t="s">
        <v>9</v>
      </c>
      <c r="IT154" s="33"/>
      <c r="IU154" s="33"/>
      <c r="IV154" s="31" t="str">
        <f>IF(IU154/(INDEX('Standards for Conversions'!$H$47:$H$73,MATCH(IT$3,'Standards for Conversions'!$A$47:$A$73,0)))=0,"",IU154/(INDEX('Standards for Conversions'!$H$47:$H$73,MATCH(IT$3,'Standards for Conversions'!$A$47:$A$73,0))))</f>
        <v/>
      </c>
      <c r="IW154" s="33" t="s">
        <v>9</v>
      </c>
      <c r="IZ154" s="31" t="str">
        <f>IF(IY154/(INDEX('Standards for Conversions'!$H$47:$H$73,MATCH(IX$3,'Standards for Conversions'!$A$47:$A$73,0)))=0,"",IY154/(INDEX('Standards for Conversions'!$H$47:$H$73,MATCH(IX$3,'Standards for Conversions'!$A$47:$A$73,0))))</f>
        <v/>
      </c>
      <c r="JA154" s="33" t="s">
        <v>9</v>
      </c>
      <c r="JD154" s="31" t="str">
        <f>IF(JC154/(INDEX('Standards for Conversions'!$H$47:$H$73,MATCH(JB$3,'Standards for Conversions'!$A$47:$A$73,0)))=0,"",JC154/(INDEX('Standards for Conversions'!$H$47:$H$73,MATCH(JB$3,'Standards for Conversions'!$A$47:$A$73,0))))</f>
        <v/>
      </c>
      <c r="JE154" s="33" t="s">
        <v>9</v>
      </c>
      <c r="JH154" s="31" t="str">
        <f>IF(JG154/(INDEX('Standards for Conversions'!$H$47:$H$73,MATCH(JF$3,'Standards for Conversions'!$A$47:$A$73,0)))=0,"",JG154/(INDEX('Standards for Conversions'!$H$47:$H$73,MATCH(JF$3,'Standards for Conversions'!$A$47:$A$73,0))))</f>
        <v/>
      </c>
      <c r="JI154" s="29" t="s">
        <v>9</v>
      </c>
      <c r="JJ154" s="33"/>
      <c r="JK154" s="33"/>
      <c r="JL154" s="31" t="str">
        <f>IF(JK154/(INDEX('Standards for Conversions'!$H$47:$H$73,MATCH(JJ$3,'Standards for Conversions'!$A$47:$A$73,0)))=0,"",JK154/(INDEX('Standards for Conversions'!$H$47:$H$73,MATCH(JJ$3,'Standards for Conversions'!$A$47:$A$73,0))))</f>
        <v/>
      </c>
      <c r="JM154" s="33" t="s">
        <v>9</v>
      </c>
      <c r="JP154" s="31" t="str">
        <f>IF(JO154/(INDEX('Standards for Conversions'!$H$47:$H$73,MATCH(JN$3,'Standards for Conversions'!$A$47:$A$73,0)))=0,"",JO154/(INDEX('Standards for Conversions'!$H$47:$H$73,MATCH(JN$3,'Standards for Conversions'!$A$47:$A$73,0))))</f>
        <v/>
      </c>
      <c r="JQ154" s="33" t="s">
        <v>9</v>
      </c>
      <c r="JT154" s="31" t="str">
        <f>IF(JS154/(INDEX('Standards for Conversions'!$H$47:$H$73,MATCH(JR$3,'Standards for Conversions'!$A$47:$A$73,0)))=0,"",JS154/(INDEX('Standards for Conversions'!$H$47:$H$73,MATCH(JR$3,'Standards for Conversions'!$A$47:$A$73,0))))</f>
        <v/>
      </c>
      <c r="JU154" s="33" t="s">
        <v>9</v>
      </c>
      <c r="JV154" s="33"/>
      <c r="JW154" s="33"/>
      <c r="JX154" s="31" t="str">
        <f>IF(JW154/(INDEX('Standards for Conversions'!$H$47:$H$73,MATCH(JV$3,'Standards for Conversions'!$A$47:$A$73,0)))=0,"",JW154/(INDEX('Standards for Conversions'!$H$47:$H$73,MATCH(JV$3,'Standards for Conversions'!$A$47:$A$73,0))))</f>
        <v/>
      </c>
      <c r="JY154" s="33" t="s">
        <v>9</v>
      </c>
      <c r="JZ154" s="33"/>
      <c r="KA154" s="33"/>
      <c r="KB154" s="31" t="str">
        <f>IF(KA154/(INDEX('Standards for Conversions'!$H$47:$H$73,MATCH(JZ$3,'Standards for Conversions'!$A$47:$A$73,0)))=0,"",KA154/(INDEX('Standards for Conversions'!$H$47:$H$73,MATCH(JZ$3,'Standards for Conversions'!$A$47:$A$73,0))))</f>
        <v/>
      </c>
      <c r="KC154" s="33" t="s">
        <v>9</v>
      </c>
      <c r="KF154" s="31" t="str">
        <f>IF(KE154/(INDEX('Standards for Conversions'!$H$47:$H$73,MATCH(KD$3,'Standards for Conversions'!$A$47:$A$73,0)))=0,"",KE154/(INDEX('Standards for Conversions'!$H$47:$H$73,MATCH(KD$3,'Standards for Conversions'!$A$47:$A$73,0))))</f>
        <v/>
      </c>
      <c r="KG154" s="33" t="s">
        <v>9</v>
      </c>
      <c r="KJ154" s="31" t="str">
        <f>IF(KI154/(INDEX('Standards for Conversions'!$H$47:$H$73,MATCH(KH$3,'Standards for Conversions'!$A$47:$A$73,0)))=0,"",KI154/(INDEX('Standards for Conversions'!$H$47:$H$73,MATCH(KH$3,'Standards for Conversions'!$A$47:$A$73,0))))</f>
        <v/>
      </c>
      <c r="KK154" s="33" t="s">
        <v>9</v>
      </c>
      <c r="KL154" s="33"/>
      <c r="KM154" s="33"/>
      <c r="KN154" s="31" t="str">
        <f>IF(KM154/(INDEX('Standards for Conversions'!$H$47:$H$73,MATCH(KL$3,'Standards for Conversions'!$A$47:$A$73,0)))=0,"",KM154/(INDEX('Standards for Conversions'!$H$47:$H$73,MATCH(KL$3,'Standards for Conversions'!$A$47:$A$73,0))))</f>
        <v/>
      </c>
      <c r="KO154" s="33" t="s">
        <v>9</v>
      </c>
      <c r="KP154" s="33"/>
      <c r="KQ154" s="33"/>
      <c r="KR154" s="31" t="str">
        <f>IF(KQ154/(INDEX('Standards for Conversions'!$H$47:$H$73,MATCH(KP$3,'Standards for Conversions'!$A$47:$A$73,0)))=0,"",KQ154/(INDEX('Standards for Conversions'!$H$47:$H$73,MATCH(KP$3,'Standards for Conversions'!$A$47:$A$73,0))))</f>
        <v/>
      </c>
      <c r="KS154" s="33" t="s">
        <v>9</v>
      </c>
      <c r="KV154" s="31" t="str">
        <f>IF(KU154/(INDEX('Standards for Conversions'!$H$47:$H$73,MATCH(KT$3,'Standards for Conversions'!$A$47:$A$73,0)))=0,"",KU154/(INDEX('Standards for Conversions'!$H$47:$H$73,MATCH(KT$3,'Standards for Conversions'!$A$47:$A$73,0))))</f>
        <v/>
      </c>
      <c r="KW154" s="33" t="s">
        <v>9</v>
      </c>
      <c r="KZ154" s="31" t="str">
        <f>IF(KY154/(INDEX('Standards for Conversions'!$H$47:$H$73,MATCH(KX$3,'Standards for Conversions'!$A$47:$A$73,0)))=0,"",KY154/(INDEX('Standards for Conversions'!$H$47:$H$73,MATCH(KX$3,'Standards for Conversions'!$A$47:$A$73,0))))</f>
        <v/>
      </c>
      <c r="LA154" s="33" t="s">
        <v>9</v>
      </c>
      <c r="LB154" s="33"/>
      <c r="LC154" s="33"/>
      <c r="LD154" s="31" t="str">
        <f>IF(LC154/(INDEX('Standards for Conversions'!$H$47:$H$73,MATCH(LB$3,'Standards for Conversions'!$A$47:$A$73,0)))=0,"",LC154/(INDEX('Standards for Conversions'!$H$47:$H$73,MATCH(LB$3,'Standards for Conversions'!$A$47:$A$73,0))))</f>
        <v/>
      </c>
      <c r="LE154" s="29" t="s">
        <v>9</v>
      </c>
      <c r="LF154" s="33"/>
      <c r="LG154" s="33"/>
      <c r="LH154" s="31" t="str">
        <f>IF(LG154/(INDEX('Standards for Conversions'!$H$47:$H$73,MATCH(LF$3,'Standards for Conversions'!$A$47:$A$73,0)))=0,"",LG154/(INDEX('Standards for Conversions'!$H$47:$H$73,MATCH(LF$3,'Standards for Conversions'!$A$47:$A$73,0))))</f>
        <v/>
      </c>
      <c r="LI154" s="29" t="s">
        <v>9</v>
      </c>
      <c r="LJ154" s="33">
        <f>1458+88</f>
        <v>1546</v>
      </c>
      <c r="LK154" s="33">
        <f>243000+11000</f>
        <v>254000</v>
      </c>
      <c r="LL154" s="31">
        <f>IF(LK154/(INDEX('Standards for Conversions'!$H$47:$H$73,MATCH(LJ$3,'Standards for Conversions'!$A$47:$A$73,0)))=0,"",LK154/(INDEX('Standards for Conversions'!$H$47:$H$73,MATCH(LJ$3,'Standards for Conversions'!$A$47:$A$73,0))))</f>
        <v>24899.636978216156</v>
      </c>
      <c r="LM154" s="33">
        <f>1542+80</f>
        <v>1622</v>
      </c>
      <c r="LN154" s="33">
        <f>257000+10000</f>
        <v>267000</v>
      </c>
      <c r="LO154" s="31">
        <f>IF(LN154/(INDEX('Standards for Conversions'!$H$47:$H$73,MATCH(LM$3,'Standards for Conversions'!$A$47:$A$73,0)))=0,"",LN154/(INDEX('Standards for Conversions'!$H$47:$H$73,MATCH(LM$3,'Standards for Conversions'!$A$47:$A$73,0))))</f>
        <v>26965.467134135735</v>
      </c>
      <c r="LP154" s="33">
        <f>1620+192</f>
        <v>1812</v>
      </c>
      <c r="LQ154" s="33">
        <f>270000+24000</f>
        <v>294000</v>
      </c>
      <c r="LR154" s="31">
        <f>IF(LQ154/(INDEX('Standards for Conversions'!$H$47:$H$73,MATCH(LP$3,'Standards for Conversions'!$A$47:$A$73,0)))=0,"",LQ154/(INDEX('Standards for Conversions'!$H$47:$H$73,MATCH(LP$3,'Standards for Conversions'!$A$47:$A$73,0))))</f>
        <v>30688.280666116272</v>
      </c>
      <c r="LS154" s="29" t="s">
        <v>9</v>
      </c>
      <c r="LT154" s="33">
        <f>1500+225</f>
        <v>1725</v>
      </c>
      <c r="LU154" s="33">
        <f>255000+27000</f>
        <v>282000</v>
      </c>
      <c r="LV154" s="31">
        <f>IF(LU154/(INDEX('Standards for Conversions'!$H$47:$H$73,MATCH(LT$3,'Standards for Conversions'!$A$47:$A$73,0)))=0,"",LU154/(INDEX('Standards for Conversions'!$H$47:$H$73,MATCH(LT$3,'Standards for Conversions'!$A$47:$A$73,0))))</f>
        <v>26330.918299730594</v>
      </c>
      <c r="LW154" s="33">
        <f>1200+450</f>
        <v>1650</v>
      </c>
      <c r="LX154" s="33">
        <f>200000+48000</f>
        <v>248000</v>
      </c>
      <c r="LY154" s="31">
        <f>IF(LX154/(INDEX('Standards for Conversions'!$H$47:$H$73,MATCH(LW$3,'Standards for Conversions'!$A$47:$A$73,0)))=0,"",LX154/(INDEX('Standards for Conversions'!$H$47:$H$73,MATCH(LW$3,'Standards for Conversions'!$A$47:$A$73,0))))</f>
        <v>22631.18312041945</v>
      </c>
      <c r="LZ154" s="33">
        <f>(1/100)*(100000+480)</f>
        <v>1004.8000000000001</v>
      </c>
      <c r="MA154" s="33">
        <f>184000+40000</f>
        <v>224000</v>
      </c>
      <c r="MB154" s="31">
        <f>IF(MA154/(INDEX('Standards for Conversions'!$H$47:$H$73,MATCH(LZ$3,'Standards for Conversions'!$A$47:$A$73,0)))=0,"",MA154/(INDEX('Standards for Conversions'!$H$47:$H$73,MATCH(LZ$3,'Standards for Conversions'!$A$47:$A$73,0))))</f>
        <v>20820.485211899999</v>
      </c>
      <c r="MC154" s="33">
        <f>(1/100)*(228600+477)</f>
        <v>2290.77</v>
      </c>
      <c r="MD154" s="29">
        <f>372160+593</f>
        <v>372753</v>
      </c>
      <c r="ME154" s="31">
        <f>IF(MD154/(INDEX('Standards for Conversions'!$H$47:$H$73,MATCH(MC$3,'Standards for Conversions'!$A$47:$A$73,0)))=0,"",MD154/(INDEX('Standards for Conversions'!$H$47:$H$73,MATCH(MC$3,'Standards for Conversions'!$A$47:$A$73,0))))</f>
        <v>35751.779011335486</v>
      </c>
      <c r="MF154" s="33">
        <f>(1/100)*(149833+37967)</f>
        <v>1878</v>
      </c>
      <c r="MG154" s="33">
        <f>243928+47200</f>
        <v>291128</v>
      </c>
      <c r="MH154" s="31">
        <f>IF(MG154/(INDEX('Standards for Conversions'!$H$47:$H$73,MATCH(MF$3,'Standards for Conversions'!$A$47:$A$73,0)))=0,"",MG154/(INDEX('Standards for Conversions'!$H$47:$H$73,MATCH(MF$3,'Standards for Conversions'!$A$47:$A$73,0))))</f>
        <v>26813.3786727644</v>
      </c>
      <c r="MI154" s="33">
        <f>(1/100)*(132200+43400)</f>
        <v>1756</v>
      </c>
      <c r="MJ154" s="33">
        <f>235800+52400</f>
        <v>288200</v>
      </c>
      <c r="MK154" s="31">
        <f>IF(MJ154/(INDEX('Standards for Conversions'!$H$47:$H$73,MATCH(MI$3,'Standards for Conversions'!$A$47:$A$73,0)))=0,"",MJ154/(INDEX('Standards for Conversions'!$H$47:$H$73,MATCH(MI$3,'Standards for Conversions'!$A$47:$A$73,0))))</f>
        <v>23492.70437740795</v>
      </c>
      <c r="ML154" s="33">
        <f>(1/100)*(140500+56200)</f>
        <v>1967</v>
      </c>
      <c r="MM154" s="29">
        <f>255800+72600</f>
        <v>328400</v>
      </c>
      <c r="MN154" s="31">
        <f>IF(MM154/(INDEX('Standards for Conversions'!$H$47:$H$73,MATCH(ML$3,'Standards for Conversions'!$A$47:$A$73,0)))=0,"",MM154/(INDEX('Standards for Conversions'!$H$47:$H$73,MATCH(ML$3,'Standards for Conversions'!$A$47:$A$73,0))))</f>
        <v>27534.464977839569</v>
      </c>
      <c r="MO154" s="33" t="s">
        <v>9</v>
      </c>
      <c r="MP154" s="29">
        <v>2625</v>
      </c>
      <c r="MQ154" s="29">
        <f>123000+300000</f>
        <v>423000</v>
      </c>
      <c r="MR154" s="31">
        <f>IF(MQ154/(INDEX('Standards for Conversions'!$H$47:$H$73,MATCH(MP$3,'Standards for Conversions'!$A$47:$A$73,0)))=0,"",MQ154/(INDEX('Standards for Conversions'!$H$47:$H$73,MATCH(MP$3,'Standards for Conversions'!$A$47:$A$73,0))))</f>
        <v>37839.499937538021</v>
      </c>
      <c r="MS154" s="29" t="s">
        <v>9</v>
      </c>
      <c r="MT154" s="29">
        <v>2700</v>
      </c>
      <c r="MU154" s="29">
        <v>49000</v>
      </c>
      <c r="MV154" s="29">
        <v>3277</v>
      </c>
      <c r="MW154" s="29">
        <v>54300</v>
      </c>
      <c r="MX154" s="29">
        <v>2447</v>
      </c>
      <c r="MY154" s="29">
        <v>41633</v>
      </c>
      <c r="MZ154" s="29" t="s">
        <v>9</v>
      </c>
      <c r="NA154" s="29">
        <v>3667</v>
      </c>
      <c r="NB154" s="29">
        <v>62965</v>
      </c>
      <c r="NC154" s="29">
        <v>3667</v>
      </c>
      <c r="ND154" s="29">
        <v>62007</v>
      </c>
      <c r="NE154" s="29" t="s">
        <v>9</v>
      </c>
      <c r="NH154" s="29">
        <v>3301</v>
      </c>
      <c r="NI154" s="29">
        <v>46323</v>
      </c>
    </row>
    <row r="155" spans="1:373" hidden="1" x14ac:dyDescent="0.3">
      <c r="A155" s="103" t="s">
        <v>318</v>
      </c>
      <c r="B155" s="10" t="s">
        <v>45</v>
      </c>
      <c r="C155" s="9"/>
      <c r="D155" s="9"/>
      <c r="E155" s="31" t="str">
        <f>IF(D155/(INDEX('Standards for Conversions'!$H$34:$H$73,MATCH(C$3,'Standards for Conversions'!$A$34:$A$73,0)))=0,"",D155/(INDEX('Standards for Conversions'!$H$34:$H$73,MATCH(C$3,'Standards for Conversions'!$A$34:$A$73,0))))</f>
        <v/>
      </c>
      <c r="F155" s="10" t="s">
        <v>45</v>
      </c>
      <c r="G155" s="9"/>
      <c r="H155" s="9"/>
      <c r="I155" s="31" t="str">
        <f>IF(H155/(INDEX('Standards for Conversions'!$H$34:$H$73,MATCH(G$3,'Standards for Conversions'!$A$34:$A$73,0)))=0,"",H155/(INDEX('Standards for Conversions'!$H$34:$H$73,MATCH(G$3,'Standards for Conversions'!$A$34:$A$73,0))))</f>
        <v/>
      </c>
      <c r="J155" s="10" t="s">
        <v>45</v>
      </c>
      <c r="K155" s="7"/>
      <c r="L155" s="7"/>
      <c r="M155" s="31" t="str">
        <f>IF(L155/(INDEX('Standards for Conversions'!$H$34:$H$73,MATCH(K$3,'Standards for Conversions'!$A$34:$A$73,0)))=0,"",L155/(INDEX('Standards for Conversions'!$H$34:$H$73,MATCH(K$3,'Standards for Conversions'!$A$34:$A$73,0))))</f>
        <v/>
      </c>
      <c r="N155" s="10" t="s">
        <v>45</v>
      </c>
      <c r="O155" s="9"/>
      <c r="P155" s="9"/>
      <c r="Q155" s="31" t="str">
        <f>IF(P155/(INDEX('Standards for Conversions'!$H$34:$H$73,MATCH(O$3,'Standards for Conversions'!$A$34:$A$73,0)))=0,"",P155/(INDEX('Standards for Conversions'!$H$34:$H$73,MATCH(O$3,'Standards for Conversions'!$A$34:$A$73,0))))</f>
        <v/>
      </c>
      <c r="R155" s="10" t="s">
        <v>45</v>
      </c>
      <c r="S155" s="9"/>
      <c r="T155" s="9"/>
      <c r="U155" s="31" t="str">
        <f>IF(T155/(INDEX('Standards for Conversions'!$H$34:$H$73,MATCH(S$3,'Standards for Conversions'!$A$34:$A$73,0)))=0,"",T155/(INDEX('Standards for Conversions'!$H$34:$H$73,MATCH(S$3,'Standards for Conversions'!$A$34:$A$73,0))))</f>
        <v/>
      </c>
      <c r="V155" s="10" t="s">
        <v>45</v>
      </c>
      <c r="W155" s="9"/>
      <c r="X155" s="9"/>
      <c r="Y155" s="31" t="str">
        <f>IF(X155/(INDEX('Standards for Conversions'!$H$34:$H$73,MATCH(W$3,'Standards for Conversions'!$A$34:$A$73,0)))=0,"",X155/(INDEX('Standards for Conversions'!$H$34:$H$73,MATCH(W$3,'Standards for Conversions'!$A$34:$A$73,0))))</f>
        <v/>
      </c>
      <c r="Z155" s="10" t="s">
        <v>45</v>
      </c>
      <c r="AA155" s="7"/>
      <c r="AB155" s="7"/>
      <c r="AC155" s="31" t="str">
        <f>IF(AB155/(INDEX('Standards for Conversions'!$H$34:$H$73,MATCH(AA$3,'Standards for Conversions'!$A$34:$A$73,0)))=0,"",AB155/(INDEX('Standards for Conversions'!$H$34:$H$73,MATCH(AA$3,'Standards for Conversions'!$A$34:$A$73,0))))</f>
        <v/>
      </c>
      <c r="AD155" s="10" t="s">
        <v>45</v>
      </c>
      <c r="AE155" s="9"/>
      <c r="AF155" s="9"/>
      <c r="AG155" s="31" t="str">
        <f>IF(AF155/(INDEX('Standards for Conversions'!$H$34:$H$73,MATCH(AE$3,'Standards for Conversions'!$A$34:$A$73,0)))=0,"",AF155/(INDEX('Standards for Conversions'!$H$34:$H$73,MATCH(AE$3,'Standards for Conversions'!$A$34:$A$73,0))))</f>
        <v/>
      </c>
      <c r="AH155" s="10" t="s">
        <v>45</v>
      </c>
      <c r="AI155" s="9"/>
      <c r="AJ155" s="9"/>
      <c r="AK155" s="31" t="str">
        <f>IF(AJ155/(INDEX('Standards for Conversions'!$H$34:$H$73,MATCH(AI$3,'Standards for Conversions'!$A$34:$A$73,0)))=0,"",AJ155/(INDEX('Standards for Conversions'!$H$34:$H$73,MATCH(AI$3,'Standards for Conversions'!$A$34:$A$73,0))))</f>
        <v/>
      </c>
      <c r="AL155" s="10" t="s">
        <v>45</v>
      </c>
      <c r="AM155" s="9"/>
      <c r="AN155" s="9"/>
      <c r="AO155" s="31" t="str">
        <f>IF(AN155/(INDEX('Standards for Conversions'!$H$34:$H$73,MATCH(AM$3,'Standards for Conversions'!$A$34:$A$73,0)))=0,"",AN155/(INDEX('Standards for Conversions'!$H$34:$H$73,MATCH(AM$3,'Standards for Conversions'!$A$34:$A$73,0))))</f>
        <v/>
      </c>
      <c r="AP155" s="10" t="s">
        <v>45</v>
      </c>
      <c r="AQ155" s="7"/>
      <c r="AR155" s="7"/>
      <c r="AS155" s="31" t="str">
        <f>IF(AR155/(INDEX('Standards for Conversions'!$H$34:$H$73,MATCH(AQ$3,'Standards for Conversions'!$A$34:$A$73,0)))=0,"",AR155/(INDEX('Standards for Conversions'!$H$34:$H$73,MATCH(AQ$3,'Standards for Conversions'!$A$34:$A$73,0))))</f>
        <v/>
      </c>
      <c r="AT155" s="10" t="s">
        <v>45</v>
      </c>
      <c r="AU155" s="9"/>
      <c r="AV155" s="9"/>
      <c r="AW155" s="31" t="str">
        <f>IF(AV155/(INDEX('Standards for Conversions'!$H$34:$H$73,MATCH(AU$3,'Standards for Conversions'!$A$34:$A$73,0)))=0,"",AV155/(INDEX('Standards for Conversions'!$H$34:$H$73,MATCH(AU$3,'Standards for Conversions'!$A$34:$A$73,0))))</f>
        <v/>
      </c>
      <c r="AX155" s="10" t="s">
        <v>45</v>
      </c>
      <c r="AY155" s="9"/>
      <c r="AZ155" s="9"/>
      <c r="BA155" s="31" t="str">
        <f>IF(AZ155/(INDEX('Standards for Conversions'!$H$34:$H$73,MATCH(AY$3,'Standards for Conversions'!$A$34:$A$73,0)))=0,"",AZ155/(INDEX('Standards for Conversions'!$H$34:$H$73,MATCH(AY$3,'Standards for Conversions'!$A$34:$A$73,0))))</f>
        <v/>
      </c>
      <c r="BB155" s="10" t="s">
        <v>45</v>
      </c>
      <c r="BC155" s="9"/>
      <c r="BD155" s="9"/>
      <c r="BE155" s="31" t="str">
        <f>IF(BD155/(INDEX('Standards for Conversions'!$H$34:$H$73,MATCH(BC$3,'Standards for Conversions'!$A$34:$A$73,0)))=0,"",BD155/(INDEX('Standards for Conversions'!$H$34:$H$73,MATCH(BC$3,'Standards for Conversions'!$A$34:$A$73,0))))</f>
        <v/>
      </c>
      <c r="BF155" s="10" t="s">
        <v>45</v>
      </c>
      <c r="BG155" s="7"/>
      <c r="BH155" s="7"/>
      <c r="BI155" s="31" t="str">
        <f>IF(BH155/(INDEX('Standards for Conversions'!$H$34:$H$73,MATCH(BG$3,'Standards for Conversions'!$A$34:$A$73,0)))=0,"",BH155/(INDEX('Standards for Conversions'!$H$34:$H$73,MATCH(BG$3,'Standards for Conversions'!$A$34:$A$73,0))))</f>
        <v/>
      </c>
      <c r="BJ155" s="10" t="s">
        <v>45</v>
      </c>
      <c r="BK155" s="9"/>
      <c r="BL155" s="9"/>
      <c r="BM155" s="31" t="str">
        <f>IF(BL155/(INDEX('Standards for Conversions'!$H$34:$H$73,MATCH(BK$3,'Standards for Conversions'!$A$34:$A$73,0)))=0,"",BL155/(INDEX('Standards for Conversions'!$H$34:$H$73,MATCH(BK$3,'Standards for Conversions'!$A$34:$A$73,0))))</f>
        <v/>
      </c>
      <c r="BN155" s="10" t="s">
        <v>45</v>
      </c>
      <c r="BO155" s="9"/>
      <c r="BP155" s="9"/>
      <c r="BQ155" s="31" t="str">
        <f>IF(BP155/(INDEX('Standards for Conversions'!$H$34:$H$73,MATCH(BO$3,'Standards for Conversions'!$A$34:$A$73,0)))=0,"",BP155/(INDEX('Standards for Conversions'!$H$34:$H$73,MATCH(BO$3,'Standards for Conversions'!$A$34:$A$73,0))))</f>
        <v/>
      </c>
      <c r="BR155" s="10" t="s">
        <v>45</v>
      </c>
      <c r="BS155" s="9"/>
      <c r="BT155" s="9"/>
      <c r="BU155" s="31" t="str">
        <f>IF(BT155/(INDEX('Standards for Conversions'!$H$34:$H$73,MATCH(BS$3,'Standards for Conversions'!$A$34:$A$73,0)))=0,"",BT155/(INDEX('Standards for Conversions'!$H$34:$H$73,MATCH(BS$3,'Standards for Conversions'!$A$34:$A$73,0))))</f>
        <v/>
      </c>
      <c r="BV155" s="10" t="s">
        <v>45</v>
      </c>
      <c r="BW155" s="7"/>
      <c r="BX155" s="7"/>
      <c r="BY155" s="31" t="str">
        <f>IF(BX155/(INDEX('Standards for Conversions'!$H$34:$H$73,MATCH(BW$3,'Standards for Conversions'!$A$34:$A$73,0)))=0,"",BX155/(INDEX('Standards for Conversions'!$H$34:$H$73,MATCH(BW$3,'Standards for Conversions'!$A$34:$A$73,0))))</f>
        <v/>
      </c>
      <c r="BZ155" s="10" t="s">
        <v>45</v>
      </c>
      <c r="CA155" s="9"/>
      <c r="CB155" s="9"/>
      <c r="CC155" s="31" t="str">
        <f>IF(CB155/(INDEX('Standards for Conversions'!$H$34:$H$73,MATCH(CA$3,'Standards for Conversions'!$A$34:$A$73,0)))=0,"",CB155/(INDEX('Standards for Conversions'!$H$34:$H$73,MATCH(CA$3,'Standards for Conversions'!$A$34:$A$73,0))))</f>
        <v/>
      </c>
      <c r="CD155" s="10" t="s">
        <v>45</v>
      </c>
      <c r="CE155" s="9"/>
      <c r="CF155" s="9"/>
      <c r="CG155" s="31" t="str">
        <f>IF(CF155/(INDEX('Standards for Conversions'!$H$34:$H$73,MATCH(CE$3,'Standards for Conversions'!$A$34:$A$73,0)))=0,"",CF155/(INDEX('Standards for Conversions'!$H$34:$H$73,MATCH(CE$3,'Standards for Conversions'!$A$34:$A$73,0))))</f>
        <v/>
      </c>
      <c r="CH155" s="10" t="s">
        <v>45</v>
      </c>
      <c r="CI155" s="9"/>
      <c r="CJ155" s="9"/>
      <c r="CK155" s="31" t="str">
        <f>IF(CJ155/(INDEX('Standards for Conversions'!$H$34:$H$73,MATCH(CI$3,'Standards for Conversions'!$A$34:$A$73,0)))=0,"",CJ155/(INDEX('Standards for Conversions'!$H$34:$H$73,MATCH(CI$3,'Standards for Conversions'!$A$34:$A$73,0))))</f>
        <v/>
      </c>
      <c r="CL155" s="10" t="s">
        <v>45</v>
      </c>
      <c r="CM155" s="7"/>
      <c r="CN155" s="7"/>
      <c r="CO155" s="31" t="str">
        <f>IF(CN155/(INDEX('Standards for Conversions'!$H$34:$H$73,MATCH(CM$3,'Standards for Conversions'!$A$34:$A$73,0)))=0,"",CN155/(INDEX('Standards for Conversions'!$H$34:$H$73,MATCH(CM$3,'Standards for Conversions'!$A$34:$A$73,0))))</f>
        <v/>
      </c>
      <c r="CP155" s="10" t="s">
        <v>45</v>
      </c>
      <c r="CQ155" s="9"/>
      <c r="CR155" s="9"/>
      <c r="CS155" s="31" t="str">
        <f>IF(CR155/(INDEX('Standards for Conversions'!$H$34:$H$73,MATCH(CQ$3,'Standards for Conversions'!$A$34:$A$73,0)))=0,"",CR155/(INDEX('Standards for Conversions'!$H$34:$H$73,MATCH(CQ$3,'Standards for Conversions'!$A$34:$A$73,0))))</f>
        <v/>
      </c>
      <c r="CT155" s="10" t="s">
        <v>45</v>
      </c>
      <c r="CU155" s="9"/>
      <c r="CV155" s="9"/>
      <c r="CW155" s="31" t="str">
        <f>IF(CV155/(INDEX('Standards for Conversions'!$H$34:$H$73,MATCH(CU$3,'Standards for Conversions'!$A$34:$A$73,0)))=0,"",CV155/(INDEX('Standards for Conversions'!$H$34:$H$73,MATCH(CU$3,'Standards for Conversions'!$A$34:$A$73,0))))</f>
        <v/>
      </c>
      <c r="CX155" s="10" t="s">
        <v>45</v>
      </c>
      <c r="CY155" s="9"/>
      <c r="CZ155" s="9"/>
      <c r="DA155" s="31" t="str">
        <f>IF(CZ155/(INDEX('Standards for Conversions'!$H$34:$H$73,MATCH(CY$3,'Standards for Conversions'!$A$34:$A$73,0)))=0,"",CZ155/(INDEX('Standards for Conversions'!$H$34:$H$73,MATCH(CY$3,'Standards for Conversions'!$A$34:$A$73,0))))</f>
        <v/>
      </c>
      <c r="DB155" s="10" t="s">
        <v>45</v>
      </c>
      <c r="DC155" s="7"/>
      <c r="DD155" s="7"/>
      <c r="DE155" s="31" t="str">
        <f>IF(DD155/(INDEX('Standards for Conversions'!$H$34:$H$73,MATCH(DC$3,'Standards for Conversions'!$A$34:$A$73,0)))=0,"",DD155/(INDEX('Standards for Conversions'!$H$34:$H$73,MATCH(DC$3,'Standards for Conversions'!$A$34:$A$73,0))))</f>
        <v/>
      </c>
      <c r="DF155" s="10" t="s">
        <v>45</v>
      </c>
      <c r="DG155" s="9"/>
      <c r="DH155" s="9"/>
      <c r="DI155" s="31" t="str">
        <f>IF(DH155/(INDEX('Standards for Conversions'!$H$34:$H$73,MATCH(DG$3,'Standards for Conversions'!$A$34:$A$73,0)))=0,"",DH155/(INDEX('Standards for Conversions'!$H$34:$H$73,MATCH(DG$3,'Standards for Conversions'!$A$34:$A$73,0))))</f>
        <v/>
      </c>
      <c r="DJ155" s="10" t="s">
        <v>45</v>
      </c>
      <c r="DK155" s="9"/>
      <c r="DL155" s="9"/>
      <c r="DM155" s="31" t="str">
        <f>IF(DL155/(INDEX('Standards for Conversions'!$H$34:$H$73,MATCH(DK$3,'Standards for Conversions'!$A$34:$A$73,0)))=0,"",DL155/(INDEX('Standards for Conversions'!$H$34:$H$73,MATCH(DK$3,'Standards for Conversions'!$A$34:$A$73,0))))</f>
        <v/>
      </c>
      <c r="DN155" s="10" t="s">
        <v>45</v>
      </c>
      <c r="DO155" s="9"/>
      <c r="DP155" s="9"/>
      <c r="DQ155" s="31" t="str">
        <f>IF(DP155/(INDEX('Standards for Conversions'!$H$34:$H$73,MATCH(DO$3,'Standards for Conversions'!$A$34:$A$73,0)))=0,"",DP155/(INDEX('Standards for Conversions'!$H$34:$H$73,MATCH(DO$3,'Standards for Conversions'!$A$34:$A$73,0))))</f>
        <v/>
      </c>
      <c r="DR155" s="10" t="s">
        <v>45</v>
      </c>
      <c r="DS155" s="7"/>
      <c r="DT155" s="7"/>
      <c r="DU155" s="31" t="str">
        <f>IF(DT155/(INDEX('Standards for Conversions'!$H$34:$H$73,MATCH(DS$3,'Standards for Conversions'!$A$34:$A$73,0)))=0,"",DT155/(INDEX('Standards for Conversions'!$H$34:$H$73,MATCH(DS$3,'Standards for Conversions'!$A$34:$A$73,0))))</f>
        <v/>
      </c>
      <c r="DV155" s="10" t="s">
        <v>45</v>
      </c>
      <c r="DW155" s="9"/>
      <c r="DX155" s="9"/>
      <c r="DY155" s="31" t="str">
        <f>IF(DX155/(INDEX('Standards for Conversions'!$H$34:$H$73,MATCH(DW$3,'Standards for Conversions'!$A$34:$A$73,0)))=0,"",DX155/(INDEX('Standards for Conversions'!$H$34:$H$73,MATCH(DW$3,'Standards for Conversions'!$A$34:$A$73,0))))</f>
        <v/>
      </c>
      <c r="DZ155" s="10" t="s">
        <v>45</v>
      </c>
      <c r="EA155" s="9"/>
      <c r="EB155" s="9"/>
      <c r="EC155" s="31" t="str">
        <f>IF(EB155/(INDEX('Standards for Conversions'!$H$34:$H$73,MATCH(EA$3,'Standards for Conversions'!$A$34:$A$73,0)))=0,"",EB155/(INDEX('Standards for Conversions'!$H$34:$H$73,MATCH(EA$3,'Standards for Conversions'!$A$34:$A$73,0))))</f>
        <v/>
      </c>
      <c r="ED155" s="10" t="s">
        <v>45</v>
      </c>
      <c r="EE155" s="9"/>
      <c r="EF155" s="9"/>
      <c r="EG155" s="31" t="str">
        <f>IF(EF155/(INDEX('Standards for Conversions'!$H$34:$H$73,MATCH(EE$3,'Standards for Conversions'!$A$34:$A$73,0)))=0,"",EF155/(INDEX('Standards for Conversions'!$H$34:$H$73,MATCH(EE$3,'Standards for Conversions'!$A$34:$A$73,0))))</f>
        <v/>
      </c>
      <c r="EH155" s="10" t="s">
        <v>45</v>
      </c>
      <c r="EI155" s="7"/>
      <c r="EJ155" s="7"/>
      <c r="EK155" s="31" t="str">
        <f>IF(EJ155/(INDEX('Standards for Conversions'!$H$34:$H$73,MATCH(EI$3,'Standards for Conversions'!$A$34:$A$73,0)))=0,"",EJ155/(INDEX('Standards for Conversions'!$H$34:$H$73,MATCH(EI$3,'Standards for Conversions'!$A$34:$A$73,0))))</f>
        <v/>
      </c>
      <c r="EL155" s="10" t="s">
        <v>45</v>
      </c>
      <c r="EM155" s="9"/>
      <c r="EN155" s="9"/>
      <c r="EO155" s="31" t="str">
        <f>IF(EN155/(INDEX('Standards for Conversions'!$H$34:$H$73,MATCH(EM$3,'Standards for Conversions'!$A$34:$A$73,0)))=0,"",EN155/(INDEX('Standards for Conversions'!$H$34:$H$73,MATCH(EM$3,'Standards for Conversions'!$A$34:$A$73,0))))</f>
        <v/>
      </c>
      <c r="EP155" s="10" t="s">
        <v>45</v>
      </c>
      <c r="EQ155" s="9"/>
      <c r="ER155" s="9"/>
      <c r="ES155" s="31" t="str">
        <f>IF(ER155/(INDEX('Standards for Conversions'!$H$34:$H$73,MATCH(EQ$3,'Standards for Conversions'!$A$34:$A$73,0)))=0,"",ER155/(INDEX('Standards for Conversions'!$H$34:$H$73,MATCH(EQ$3,'Standards for Conversions'!$A$34:$A$73,0))))</f>
        <v/>
      </c>
      <c r="ET155" s="10" t="s">
        <v>45</v>
      </c>
      <c r="EU155" s="9"/>
      <c r="EV155" s="9"/>
      <c r="EW155" s="31" t="str">
        <f>IF(EV155/(INDEX('Standards for Conversions'!$H$34:$H$73,MATCH(EU$3,'Standards for Conversions'!$A$34:$A$73,0)))=0,"",EV155/(INDEX('Standards for Conversions'!$H$34:$H$73,MATCH(EU$3,'Standards for Conversions'!$A$34:$A$73,0))))</f>
        <v/>
      </c>
      <c r="EX155" s="10" t="s">
        <v>45</v>
      </c>
      <c r="EY155" s="9"/>
      <c r="EZ155" s="9"/>
      <c r="FA155" s="31" t="str">
        <f>IF(EZ155/(INDEX('Standards for Conversions'!$H$34:$H$73,MATCH(EY$3,'Standards for Conversions'!$A$34:$A$73,0)))=0,"",EZ155/(INDEX('Standards for Conversions'!$H$34:$H$73,MATCH(EY$3,'Standards for Conversions'!$A$34:$A$73,0))))</f>
        <v/>
      </c>
      <c r="FB155" s="10" t="s">
        <v>45</v>
      </c>
      <c r="FC155" s="9"/>
      <c r="FD155" s="9"/>
      <c r="FE155" s="31" t="str">
        <f>IF(FD155/(INDEX('Standards for Conversions'!$H$34:$H$73,MATCH(FC$3,'Standards for Conversions'!$A$34:$A$73,0)))=0,"",FD155/(INDEX('Standards for Conversions'!$H$34:$H$73,MATCH(FC$3,'Standards for Conversions'!$A$34:$A$73,0))))</f>
        <v/>
      </c>
      <c r="FF155" s="10" t="s">
        <v>45</v>
      </c>
      <c r="FG155" s="9"/>
      <c r="FH155" s="9"/>
      <c r="FI155" s="31" t="str">
        <f>IF(FH155/(INDEX('Standards for Conversions'!$H$34:$H$73,MATCH(FG$3,'Standards for Conversions'!$A$34:$A$73,0)))=0,"",FH155/(INDEX('Standards for Conversions'!$H$34:$H$73,MATCH(FG$3,'Standards for Conversions'!$A$34:$A$73,0))))</f>
        <v/>
      </c>
      <c r="FJ155" s="10" t="s">
        <v>45</v>
      </c>
      <c r="FK155" s="9"/>
      <c r="FL155" s="9"/>
      <c r="FM155" s="31" t="str">
        <f>IF(FL155/(INDEX('Standards for Conversions'!$H$34:$H$73,MATCH(FK$3,'Standards for Conversions'!$A$34:$A$73,0)))=0,"",FL155/(INDEX('Standards for Conversions'!$H$34:$H$73,MATCH(FK$3,'Standards for Conversions'!$A$34:$A$73,0))))</f>
        <v/>
      </c>
      <c r="FN155" s="10" t="s">
        <v>45</v>
      </c>
      <c r="FO155" s="9"/>
      <c r="FP155" s="9"/>
      <c r="FQ155" s="31" t="str">
        <f>IF(FP155/(INDEX('Standards for Conversions'!$H$34:$H$73,MATCH(FO$3,'Standards for Conversions'!$A$34:$A$73,0)))=0,"",FP155/(INDEX('Standards for Conversions'!$H$34:$H$73,MATCH(FO$3,'Standards for Conversions'!$A$34:$A$73,0))))</f>
        <v/>
      </c>
      <c r="FR155" s="10" t="s">
        <v>45</v>
      </c>
      <c r="FS155" s="9"/>
      <c r="FT155" s="9"/>
      <c r="FU155" s="31" t="str">
        <f>IF(FT155/(INDEX('Standards for Conversions'!$H$34:$H$73,MATCH(FS$3,'Standards for Conversions'!$A$34:$A$73,0)))=0,"",FT155/(INDEX('Standards for Conversions'!$H$34:$H$73,MATCH(FS$3,'Standards for Conversions'!$A$34:$A$73,0))))</f>
        <v/>
      </c>
      <c r="FV155" s="10" t="s">
        <v>45</v>
      </c>
      <c r="FW155" s="9"/>
      <c r="FX155" s="9"/>
      <c r="FY155" s="31" t="str">
        <f>IF(FX155/(INDEX('Standards for Conversions'!$H$34:$H$73,MATCH(FW$3,'Standards for Conversions'!$A$34:$A$73,0)))=0,"",FX155/(INDEX('Standards for Conversions'!$H$34:$H$73,MATCH(FW$3,'Standards for Conversions'!$A$34:$A$73,0))))</f>
        <v/>
      </c>
      <c r="FZ155" s="10" t="s">
        <v>45</v>
      </c>
      <c r="GA155" s="9"/>
      <c r="GB155" s="9"/>
      <c r="GC155" s="31" t="str">
        <f>IF(GB155/(INDEX('Standards for Conversions'!$H$34:$H$73,MATCH(GA$3,'Standards for Conversions'!$A$34:$A$73,0)))=0,"",GB155/(INDEX('Standards for Conversions'!$H$34:$H$73,MATCH(GA$3,'Standards for Conversions'!$A$34:$A$73,0))))</f>
        <v/>
      </c>
      <c r="GD155" s="10" t="s">
        <v>45</v>
      </c>
      <c r="GE155" s="9"/>
      <c r="GF155" s="9"/>
      <c r="GG155" s="31" t="str">
        <f>IF(GF155/(INDEX('Standards for Conversions'!$H$34:$H$73,MATCH(GE$3,'Standards for Conversions'!$A$34:$A$73,0)))=0,"",GF155/(INDEX('Standards for Conversions'!$H$34:$H$73,MATCH(GE$3,'Standards for Conversions'!$A$34:$A$73,0))))</f>
        <v/>
      </c>
      <c r="GH155" s="10" t="s">
        <v>45</v>
      </c>
      <c r="GI155" s="9"/>
      <c r="GJ155" s="9"/>
      <c r="GK155" s="31" t="str">
        <f>IF(GJ155/(INDEX('Standards for Conversions'!$H$34:$H$73,MATCH(GI$3,'Standards for Conversions'!$A$34:$A$73,0)))=0,"",GJ155/(INDEX('Standards for Conversions'!$H$34:$H$73,MATCH(GI$3,'Standards for Conversions'!$A$34:$A$73,0))))</f>
        <v/>
      </c>
      <c r="GL155" s="10" t="s">
        <v>45</v>
      </c>
      <c r="GM155" s="9"/>
      <c r="GN155" s="9"/>
      <c r="GO155" s="31" t="str">
        <f>IF(GN155/(INDEX('Standards for Conversions'!$H$34:$H$73,MATCH(GM$3,'Standards for Conversions'!$A$34:$A$73,0)))=0,"",GN155/(INDEX('Standards for Conversions'!$H$34:$H$73,MATCH(GM$3,'Standards for Conversions'!$A$34:$A$73,0))))</f>
        <v/>
      </c>
      <c r="GP155" s="10" t="s">
        <v>45</v>
      </c>
      <c r="GQ155" s="9"/>
      <c r="GR155" s="9"/>
      <c r="GS155" s="31" t="str">
        <f>IF(GR155/(INDEX('Standards for Conversions'!$H$34:$H$73,MATCH(GQ$3,'Standards for Conversions'!$A$34:$A$73,0)))=0,"",GR155/(INDEX('Standards for Conversions'!$H$34:$H$73,MATCH(GQ$3,'Standards for Conversions'!$A$34:$A$73,0))))</f>
        <v/>
      </c>
      <c r="GT155" s="10" t="s">
        <v>45</v>
      </c>
      <c r="GU155" s="9"/>
      <c r="GV155" s="9"/>
      <c r="GW155" s="31" t="str">
        <f>IF(GV155/(INDEX('Standards for Conversions'!$H$34:$H$73,MATCH(GU$3,'Standards for Conversions'!$A$34:$A$73,0)))=0,"",GV155/(INDEX('Standards for Conversions'!$H$34:$H$73,MATCH(GU$3,'Standards for Conversions'!$A$34:$A$73,0))))</f>
        <v/>
      </c>
      <c r="GX155" s="10" t="s">
        <v>45</v>
      </c>
      <c r="GY155" s="9"/>
      <c r="GZ155" s="9"/>
      <c r="HA155" s="31" t="str">
        <f>IF(GZ155/(INDEX('Standards for Conversions'!$H$34:$H$73,MATCH(GY$3,'Standards for Conversions'!$A$34:$A$73,0)))=0,"",GZ155/(INDEX('Standards for Conversions'!$H$34:$H$73,MATCH(GY$3,'Standards for Conversions'!$A$34:$A$73,0))))</f>
        <v/>
      </c>
      <c r="HB155" s="10" t="s">
        <v>45</v>
      </c>
      <c r="HC155" s="9"/>
      <c r="HD155" s="9"/>
      <c r="HE155" s="31" t="str">
        <f>IF(HD155/(INDEX('Standards for Conversions'!$H$34:$H$73,MATCH(HC$3,'Standards for Conversions'!$A$34:$A$73,0)))=0,"",HD155/(INDEX('Standards for Conversions'!$H$34:$H$73,MATCH(HC$3,'Standards for Conversions'!$A$34:$A$73,0))))</f>
        <v/>
      </c>
      <c r="HF155" s="10" t="s">
        <v>45</v>
      </c>
      <c r="HG155" s="9"/>
      <c r="HH155" s="9"/>
      <c r="HI155" s="31" t="str">
        <f>IF(HH155/(INDEX('Standards for Conversions'!$H$34:$H$73,MATCH(HG$3,'Standards for Conversions'!$A$34:$A$73,0)))=0,"",HH155/(INDEX('Standards for Conversions'!$H$34:$H$73,MATCH(HG$3,'Standards for Conversions'!$A$34:$A$73,0))))</f>
        <v/>
      </c>
      <c r="HJ155" s="10" t="s">
        <v>45</v>
      </c>
      <c r="HK155" s="9"/>
      <c r="HL155" s="9"/>
      <c r="HM155" s="31" t="str">
        <f>IF(HL155/(INDEX('Standards for Conversions'!$H$34:$H$73,MATCH(HK$3,'Standards for Conversions'!$A$34:$A$73,0)))=0,"",HL155/(INDEX('Standards for Conversions'!$H$34:$H$73,MATCH(HK$3,'Standards for Conversions'!$A$34:$A$73,0))))</f>
        <v/>
      </c>
      <c r="HN155" s="10" t="s">
        <v>45</v>
      </c>
      <c r="HO155" s="9"/>
      <c r="HP155" s="9"/>
      <c r="HQ155" s="31" t="str">
        <f>IF(HP155/(INDEX('Standards for Conversions'!$H$34:$H$73,MATCH(HO$3,'Standards for Conversions'!$A$34:$A$73,0)))=0,"",HP155/(INDEX('Standards for Conversions'!$H$34:$H$73,MATCH(HO$3,'Standards for Conversions'!$A$34:$A$73,0))))</f>
        <v/>
      </c>
      <c r="HR155" s="33" t="s">
        <v>45</v>
      </c>
      <c r="HS155" s="33"/>
      <c r="HT155" s="33"/>
      <c r="HU155" s="31" t="str">
        <f>IF(HT155/(INDEX('Standards for Conversions'!$H$47:$H$73,MATCH(HS$3,'Standards for Conversions'!$A$47:$A$73,0)))=0,"",HT155/(INDEX('Standards for Conversions'!$H$47:$H$73,MATCH(HS$3,'Standards for Conversions'!$A$47:$A$73,0))))</f>
        <v/>
      </c>
      <c r="HV155" s="33" t="s">
        <v>45</v>
      </c>
      <c r="HW155" s="33"/>
      <c r="HX155" s="33"/>
      <c r="HY155" s="31" t="str">
        <f>IF(HX155/(INDEX('Standards for Conversions'!$H$47:$H$73,MATCH(HW$3,'Standards for Conversions'!$A$47:$A$73,0)))=0,"",HX155/(INDEX('Standards for Conversions'!$H$47:$H$73,MATCH(HW$3,'Standards for Conversions'!$A$47:$A$73,0))))</f>
        <v/>
      </c>
      <c r="HZ155" s="33"/>
      <c r="IA155" s="33"/>
      <c r="IB155" s="31" t="str">
        <f>IF(IA155/(INDEX('Standards for Conversions'!$H$47:$H$73,MATCH(HZ$3,'Standards for Conversions'!$A$47:$A$73,0)))=0,"",IA155/(INDEX('Standards for Conversions'!$H$47:$H$73,MATCH(HZ$3,'Standards for Conversions'!$A$47:$A$73,0))))</f>
        <v/>
      </c>
      <c r="IC155" s="33" t="s">
        <v>45</v>
      </c>
      <c r="ID155" s="33">
        <v>150</v>
      </c>
      <c r="IE155" s="33">
        <v>700</v>
      </c>
      <c r="IF155" s="31">
        <f>IF(IE155/(INDEX('Standards for Conversions'!$H$47:$H$73,MATCH(ID$3,'Standards for Conversions'!$A$47:$A$73,0)))=0,"",IE155/(INDEX('Standards for Conversions'!$H$47:$H$73,MATCH(ID$3,'Standards for Conversions'!$A$47:$A$73,0))))</f>
        <v>101.67178854899917</v>
      </c>
      <c r="IG155" s="33" t="s">
        <v>45</v>
      </c>
      <c r="IH155" s="33"/>
      <c r="II155" s="33"/>
      <c r="IJ155" s="31" t="str">
        <f>IF(II155/(INDEX('Standards for Conversions'!$H$47:$H$73,MATCH(IH$3,'Standards for Conversions'!$A$47:$A$73,0)))=0,"",II155/(INDEX('Standards for Conversions'!$H$47:$H$73,MATCH(IH$3,'Standards for Conversions'!$A$47:$A$73,0))))</f>
        <v/>
      </c>
      <c r="IK155" s="33" t="s">
        <v>45</v>
      </c>
      <c r="IL155" s="33"/>
      <c r="IM155" s="33"/>
      <c r="IN155" s="31" t="str">
        <f>IF(IM155/(INDEX('Standards for Conversions'!$H$47:$H$73,MATCH(IL$3,'Standards for Conversions'!$A$47:$A$73,0)))=0,"",IM155/(INDEX('Standards for Conversions'!$H$47:$H$73,MATCH(IL$3,'Standards for Conversions'!$A$47:$A$73,0))))</f>
        <v/>
      </c>
      <c r="IO155" s="33" t="s">
        <v>45</v>
      </c>
      <c r="IP155" s="33"/>
      <c r="IQ155" s="33"/>
      <c r="IR155" s="31" t="str">
        <f>IF(IQ155/(INDEX('Standards for Conversions'!$H$47:$H$73,MATCH(IP$3,'Standards for Conversions'!$A$47:$A$73,0)))=0,"",IQ155/(INDEX('Standards for Conversions'!$H$47:$H$73,MATCH(IP$3,'Standards for Conversions'!$A$47:$A$73,0))))</f>
        <v/>
      </c>
      <c r="IS155" s="33" t="s">
        <v>45</v>
      </c>
      <c r="IT155" s="33">
        <v>48</v>
      </c>
      <c r="IU155" s="33">
        <v>305</v>
      </c>
      <c r="IV155" s="31">
        <f>IF(IU155/(INDEX('Standards for Conversions'!$H$47:$H$73,MATCH(IT$3,'Standards for Conversions'!$A$47:$A$73,0)))=0,"",IU155/(INDEX('Standards for Conversions'!$H$47:$H$73,MATCH(IT$3,'Standards for Conversions'!$A$47:$A$73,0))))</f>
        <v>44.10611959930187</v>
      </c>
      <c r="IW155" s="33" t="s">
        <v>45</v>
      </c>
      <c r="IZ155" s="31" t="str">
        <f>IF(IY155/(INDEX('Standards for Conversions'!$H$47:$H$73,MATCH(IX$3,'Standards for Conversions'!$A$47:$A$73,0)))=0,"",IY155/(INDEX('Standards for Conversions'!$H$47:$H$73,MATCH(IX$3,'Standards for Conversions'!$A$47:$A$73,0))))</f>
        <v/>
      </c>
      <c r="JA155" s="33" t="s">
        <v>45</v>
      </c>
      <c r="JD155" s="31" t="str">
        <f>IF(JC155/(INDEX('Standards for Conversions'!$H$47:$H$73,MATCH(JB$3,'Standards for Conversions'!$A$47:$A$73,0)))=0,"",JC155/(INDEX('Standards for Conversions'!$H$47:$H$73,MATCH(JB$3,'Standards for Conversions'!$A$47:$A$73,0))))</f>
        <v/>
      </c>
      <c r="JE155" s="33" t="s">
        <v>45</v>
      </c>
      <c r="JH155" s="31" t="str">
        <f>IF(JG155/(INDEX('Standards for Conversions'!$H$47:$H$73,MATCH(JF$3,'Standards for Conversions'!$A$47:$A$73,0)))=0,"",JG155/(INDEX('Standards for Conversions'!$H$47:$H$73,MATCH(JF$3,'Standards for Conversions'!$A$47:$A$73,0))))</f>
        <v/>
      </c>
      <c r="JI155" s="48" t="s">
        <v>45</v>
      </c>
      <c r="JJ155" s="33">
        <v>300</v>
      </c>
      <c r="JK155" s="33">
        <v>750</v>
      </c>
      <c r="JL155" s="31">
        <f>IF(JK155/(INDEX('Standards for Conversions'!$H$47:$H$73,MATCH(JJ$3,'Standards for Conversions'!$A$47:$A$73,0)))=0,"",JK155/(INDEX('Standards for Conversions'!$H$47:$H$73,MATCH(JJ$3,'Standards for Conversions'!$A$47:$A$73,0))))</f>
        <v>121.32014751890152</v>
      </c>
      <c r="JM155" s="33" t="s">
        <v>45</v>
      </c>
      <c r="JP155" s="31" t="str">
        <f>IF(JO155/(INDEX('Standards for Conversions'!$H$47:$H$73,MATCH(JN$3,'Standards for Conversions'!$A$47:$A$73,0)))=0,"",JO155/(INDEX('Standards for Conversions'!$H$47:$H$73,MATCH(JN$3,'Standards for Conversions'!$A$47:$A$73,0))))</f>
        <v/>
      </c>
      <c r="JQ155" s="33" t="s">
        <v>45</v>
      </c>
      <c r="JT155" s="31" t="str">
        <f>IF(JS155/(INDEX('Standards for Conversions'!$H$47:$H$73,MATCH(JR$3,'Standards for Conversions'!$A$47:$A$73,0)))=0,"",JS155/(INDEX('Standards for Conversions'!$H$47:$H$73,MATCH(JR$3,'Standards for Conversions'!$A$47:$A$73,0))))</f>
        <v/>
      </c>
      <c r="JU155" s="33" t="s">
        <v>45</v>
      </c>
      <c r="JV155" s="33"/>
      <c r="JW155" s="33"/>
      <c r="JX155" s="31" t="str">
        <f>IF(JW155/(INDEX('Standards for Conversions'!$H$47:$H$73,MATCH(JV$3,'Standards for Conversions'!$A$47:$A$73,0)))=0,"",JW155/(INDEX('Standards for Conversions'!$H$47:$H$73,MATCH(JV$3,'Standards for Conversions'!$A$47:$A$73,0))))</f>
        <v/>
      </c>
      <c r="JY155" s="33" t="s">
        <v>45</v>
      </c>
      <c r="JZ155" s="33">
        <v>250</v>
      </c>
      <c r="KA155" s="33">
        <v>700</v>
      </c>
      <c r="KB155" s="31">
        <f>IF(KA155/(INDEX('Standards for Conversions'!$H$47:$H$73,MATCH(JZ$3,'Standards for Conversions'!$A$47:$A$73,0)))=0,"",KA155/(INDEX('Standards for Conversions'!$H$47:$H$73,MATCH(JZ$3,'Standards for Conversions'!$A$47:$A$73,0))))</f>
        <v>106.85912469945829</v>
      </c>
      <c r="KC155" s="33" t="s">
        <v>45</v>
      </c>
      <c r="KF155" s="31" t="str">
        <f>IF(KE155/(INDEX('Standards for Conversions'!$H$47:$H$73,MATCH(KD$3,'Standards for Conversions'!$A$47:$A$73,0)))=0,"",KE155/(INDEX('Standards for Conversions'!$H$47:$H$73,MATCH(KD$3,'Standards for Conversions'!$A$47:$A$73,0))))</f>
        <v/>
      </c>
      <c r="KG155" s="33" t="s">
        <v>45</v>
      </c>
      <c r="KJ155" s="31" t="str">
        <f>IF(KI155/(INDEX('Standards for Conversions'!$H$47:$H$73,MATCH(KH$3,'Standards for Conversions'!$A$47:$A$73,0)))=0,"",KI155/(INDEX('Standards for Conversions'!$H$47:$H$73,MATCH(KH$3,'Standards for Conversions'!$A$47:$A$73,0))))</f>
        <v/>
      </c>
      <c r="KK155" s="33" t="s">
        <v>45</v>
      </c>
      <c r="KL155" s="33"/>
      <c r="KM155" s="33"/>
      <c r="KN155" s="31" t="str">
        <f>IF(KM155/(INDEX('Standards for Conversions'!$H$47:$H$73,MATCH(KL$3,'Standards for Conversions'!$A$47:$A$73,0)))=0,"",KM155/(INDEX('Standards for Conversions'!$H$47:$H$73,MATCH(KL$3,'Standards for Conversions'!$A$47:$A$73,0))))</f>
        <v/>
      </c>
      <c r="KO155" s="33" t="s">
        <v>45</v>
      </c>
      <c r="KP155" s="33">
        <v>290</v>
      </c>
      <c r="KQ155" s="33">
        <v>750</v>
      </c>
      <c r="KR155" s="31">
        <f>IF(KQ155/(INDEX('Standards for Conversions'!$H$47:$H$73,MATCH(KP$3,'Standards for Conversions'!$A$47:$A$73,0)))=0,"",KQ155/(INDEX('Standards for Conversions'!$H$47:$H$73,MATCH(KP$3,'Standards for Conversions'!$A$47:$A$73,0))))</f>
        <v>100.99425892934735</v>
      </c>
      <c r="KS155" s="33" t="s">
        <v>45</v>
      </c>
      <c r="KV155" s="31" t="str">
        <f>IF(KU155/(INDEX('Standards for Conversions'!$H$47:$H$73,MATCH(KT$3,'Standards for Conversions'!$A$47:$A$73,0)))=0,"",KU155/(INDEX('Standards for Conversions'!$H$47:$H$73,MATCH(KT$3,'Standards for Conversions'!$A$47:$A$73,0))))</f>
        <v/>
      </c>
      <c r="KW155" s="33" t="s">
        <v>45</v>
      </c>
      <c r="KZ155" s="31" t="str">
        <f>IF(KY155/(INDEX('Standards for Conversions'!$H$47:$H$73,MATCH(KX$3,'Standards for Conversions'!$A$47:$A$73,0)))=0,"",KY155/(INDEX('Standards for Conversions'!$H$47:$H$73,MATCH(KX$3,'Standards for Conversions'!$A$47:$A$73,0))))</f>
        <v/>
      </c>
      <c r="LA155" s="33" t="s">
        <v>45</v>
      </c>
      <c r="LB155" s="33"/>
      <c r="LC155" s="33"/>
      <c r="LD155" s="31" t="str">
        <f>IF(LC155/(INDEX('Standards for Conversions'!$H$47:$H$73,MATCH(LB$3,'Standards for Conversions'!$A$47:$A$73,0)))=0,"",LC155/(INDEX('Standards for Conversions'!$H$47:$H$73,MATCH(LB$3,'Standards for Conversions'!$A$47:$A$73,0))))</f>
        <v/>
      </c>
      <c r="LE155" s="48" t="s">
        <v>45</v>
      </c>
      <c r="LF155" s="33">
        <v>537</v>
      </c>
      <c r="LG155" s="33">
        <v>3570</v>
      </c>
      <c r="LH155" s="31">
        <f>IF(LG155/(INDEX('Standards for Conversions'!$H$47:$H$73,MATCH(LF$3,'Standards for Conversions'!$A$47:$A$73,0)))=0,"",LG155/(INDEX('Standards for Conversions'!$H$47:$H$73,MATCH(LF$3,'Standards for Conversions'!$A$47:$A$73,0))))</f>
        <v>434.17114321717207</v>
      </c>
      <c r="LJ155" s="33"/>
      <c r="LK155" s="33"/>
      <c r="LL155" s="31" t="str">
        <f>IF(LK155/(INDEX('Standards for Conversions'!$H$47:$H$73,MATCH(LJ$3,'Standards for Conversions'!$A$47:$A$73,0)))=0,"",LK155/(INDEX('Standards for Conversions'!$H$47:$H$73,MATCH(LJ$3,'Standards for Conversions'!$A$47:$A$73,0))))</f>
        <v/>
      </c>
      <c r="LM155" s="33"/>
      <c r="LN155" s="33"/>
      <c r="LO155" s="31" t="str">
        <f>IF(LN155/(INDEX('Standards for Conversions'!$H$47:$H$73,MATCH(LM$3,'Standards for Conversions'!$A$47:$A$73,0)))=0,"",LN155/(INDEX('Standards for Conversions'!$H$47:$H$73,MATCH(LM$3,'Standards for Conversions'!$A$47:$A$73,0))))</f>
        <v/>
      </c>
      <c r="LP155" s="33"/>
      <c r="LQ155" s="33"/>
      <c r="LR155" s="31" t="str">
        <f>IF(LQ155/(INDEX('Standards for Conversions'!$H$47:$H$73,MATCH(LP$3,'Standards for Conversions'!$A$47:$A$73,0)))=0,"",LQ155/(INDEX('Standards for Conversions'!$H$47:$H$73,MATCH(LP$3,'Standards for Conversions'!$A$47:$A$73,0))))</f>
        <v/>
      </c>
      <c r="LT155" s="33"/>
      <c r="LU155" s="33"/>
      <c r="LV155" s="31" t="str">
        <f>IF(LU155/(INDEX('Standards for Conversions'!$H$47:$H$73,MATCH(LT$3,'Standards for Conversions'!$A$47:$A$73,0)))=0,"",LU155/(INDEX('Standards for Conversions'!$H$47:$H$73,MATCH(LT$3,'Standards for Conversions'!$A$47:$A$73,0))))</f>
        <v/>
      </c>
      <c r="LW155" s="33"/>
      <c r="LX155" s="33"/>
      <c r="LY155" s="31" t="str">
        <f>IF(LX155/(INDEX('Standards for Conversions'!$H$47:$H$73,MATCH(LW$3,'Standards for Conversions'!$A$47:$A$73,0)))=0,"",LX155/(INDEX('Standards for Conversions'!$H$47:$H$73,MATCH(LW$3,'Standards for Conversions'!$A$47:$A$73,0))))</f>
        <v/>
      </c>
      <c r="LZ155" s="33"/>
      <c r="MA155" s="33"/>
      <c r="MB155" s="31" t="str">
        <f>IF(MA155/(INDEX('Standards for Conversions'!$H$47:$H$73,MATCH(LZ$3,'Standards for Conversions'!$A$47:$A$73,0)))=0,"",MA155/(INDEX('Standards for Conversions'!$H$47:$H$73,MATCH(LZ$3,'Standards for Conversions'!$A$47:$A$73,0))))</f>
        <v/>
      </c>
      <c r="MC155" s="33"/>
      <c r="ME155" s="31" t="str">
        <f>IF(MD155/(INDEX('Standards for Conversions'!$H$47:$H$73,MATCH(MC$3,'Standards for Conversions'!$A$47:$A$73,0)))=0,"",MD155/(INDEX('Standards for Conversions'!$H$47:$H$73,MATCH(MC$3,'Standards for Conversions'!$A$47:$A$73,0))))</f>
        <v/>
      </c>
      <c r="MF155" s="33"/>
      <c r="MG155" s="33"/>
      <c r="MH155" s="31" t="str">
        <f>IF(MG155/(INDEX('Standards for Conversions'!$H$47:$H$73,MATCH(MF$3,'Standards for Conversions'!$A$47:$A$73,0)))=0,"",MG155/(INDEX('Standards for Conversions'!$H$47:$H$73,MATCH(MF$3,'Standards for Conversions'!$A$47:$A$73,0))))</f>
        <v/>
      </c>
      <c r="MI155" s="33"/>
      <c r="MJ155" s="33"/>
      <c r="MK155" s="31" t="str">
        <f>IF(MJ155/(INDEX('Standards for Conversions'!$H$47:$H$73,MATCH(MI$3,'Standards for Conversions'!$A$47:$A$73,0)))=0,"",MJ155/(INDEX('Standards for Conversions'!$H$47:$H$73,MATCH(MI$3,'Standards for Conversions'!$A$47:$A$73,0))))</f>
        <v/>
      </c>
      <c r="ML155" s="33"/>
      <c r="MN155" s="31" t="str">
        <f>IF(MM155/(INDEX('Standards for Conversions'!$H$47:$H$73,MATCH(ML$3,'Standards for Conversions'!$A$47:$A$73,0)))=0,"",MM155/(INDEX('Standards for Conversions'!$H$47:$H$73,MATCH(ML$3,'Standards for Conversions'!$A$47:$A$73,0))))</f>
        <v/>
      </c>
      <c r="MR155" s="31" t="str">
        <f>IF(MQ155/(INDEX('Standards for Conversions'!$H$47:$H$73,MATCH(MP$3,'Standards for Conversions'!$A$47:$A$73,0)))=0,"",MQ155/(INDEX('Standards for Conversions'!$H$47:$H$73,MATCH(MP$3,'Standards for Conversions'!$A$47:$A$73,0))))</f>
        <v/>
      </c>
    </row>
    <row r="156" spans="1:373" hidden="1" x14ac:dyDescent="0.3">
      <c r="A156" s="103" t="s">
        <v>319</v>
      </c>
      <c r="B156" s="10" t="s">
        <v>40</v>
      </c>
      <c r="C156" s="9"/>
      <c r="D156" s="9"/>
      <c r="E156" s="31" t="str">
        <f>IF(D156/(INDEX('Standards for Conversions'!$H$34:$H$73,MATCH(C$3,'Standards for Conversions'!$A$34:$A$73,0)))=0,"",D156/(INDEX('Standards for Conversions'!$H$34:$H$73,MATCH(C$3,'Standards for Conversions'!$A$34:$A$73,0))))</f>
        <v/>
      </c>
      <c r="F156" s="10" t="s">
        <v>40</v>
      </c>
      <c r="G156" s="9"/>
      <c r="H156" s="9"/>
      <c r="I156" s="31" t="str">
        <f>IF(H156/(INDEX('Standards for Conversions'!$H$34:$H$73,MATCH(G$3,'Standards for Conversions'!$A$34:$A$73,0)))=0,"",H156/(INDEX('Standards for Conversions'!$H$34:$H$73,MATCH(G$3,'Standards for Conversions'!$A$34:$A$73,0))))</f>
        <v/>
      </c>
      <c r="J156" s="10" t="s">
        <v>40</v>
      </c>
      <c r="K156" s="7"/>
      <c r="L156" s="7"/>
      <c r="M156" s="31" t="str">
        <f>IF(L156/(INDEX('Standards for Conversions'!$H$34:$H$73,MATCH(K$3,'Standards for Conversions'!$A$34:$A$73,0)))=0,"",L156/(INDEX('Standards for Conversions'!$H$34:$H$73,MATCH(K$3,'Standards for Conversions'!$A$34:$A$73,0))))</f>
        <v/>
      </c>
      <c r="N156" s="10" t="s">
        <v>40</v>
      </c>
      <c r="O156" s="9"/>
      <c r="P156" s="9"/>
      <c r="Q156" s="31" t="str">
        <f>IF(P156/(INDEX('Standards for Conversions'!$H$34:$H$73,MATCH(O$3,'Standards for Conversions'!$A$34:$A$73,0)))=0,"",P156/(INDEX('Standards for Conversions'!$H$34:$H$73,MATCH(O$3,'Standards for Conversions'!$A$34:$A$73,0))))</f>
        <v/>
      </c>
      <c r="R156" s="10" t="s">
        <v>40</v>
      </c>
      <c r="S156" s="9"/>
      <c r="T156" s="9"/>
      <c r="U156" s="31" t="str">
        <f>IF(T156/(INDEX('Standards for Conversions'!$H$34:$H$73,MATCH(S$3,'Standards for Conversions'!$A$34:$A$73,0)))=0,"",T156/(INDEX('Standards for Conversions'!$H$34:$H$73,MATCH(S$3,'Standards for Conversions'!$A$34:$A$73,0))))</f>
        <v/>
      </c>
      <c r="V156" s="10" t="s">
        <v>40</v>
      </c>
      <c r="W156" s="9"/>
      <c r="X156" s="9"/>
      <c r="Y156" s="31" t="str">
        <f>IF(X156/(INDEX('Standards for Conversions'!$H$34:$H$73,MATCH(W$3,'Standards for Conversions'!$A$34:$A$73,0)))=0,"",X156/(INDEX('Standards for Conversions'!$H$34:$H$73,MATCH(W$3,'Standards for Conversions'!$A$34:$A$73,0))))</f>
        <v/>
      </c>
      <c r="Z156" s="10" t="s">
        <v>40</v>
      </c>
      <c r="AA156" s="7"/>
      <c r="AB156" s="7"/>
      <c r="AC156" s="31" t="str">
        <f>IF(AB156/(INDEX('Standards for Conversions'!$H$34:$H$73,MATCH(AA$3,'Standards for Conversions'!$A$34:$A$73,0)))=0,"",AB156/(INDEX('Standards for Conversions'!$H$34:$H$73,MATCH(AA$3,'Standards for Conversions'!$A$34:$A$73,0))))</f>
        <v/>
      </c>
      <c r="AD156" s="10" t="s">
        <v>40</v>
      </c>
      <c r="AE156" s="9"/>
      <c r="AF156" s="9"/>
      <c r="AG156" s="31" t="str">
        <f>IF(AF156/(INDEX('Standards for Conversions'!$H$34:$H$73,MATCH(AE$3,'Standards for Conversions'!$A$34:$A$73,0)))=0,"",AF156/(INDEX('Standards for Conversions'!$H$34:$H$73,MATCH(AE$3,'Standards for Conversions'!$A$34:$A$73,0))))</f>
        <v/>
      </c>
      <c r="AH156" s="10" t="s">
        <v>40</v>
      </c>
      <c r="AI156" s="9"/>
      <c r="AJ156" s="9"/>
      <c r="AK156" s="31" t="str">
        <f>IF(AJ156/(INDEX('Standards for Conversions'!$H$34:$H$73,MATCH(AI$3,'Standards for Conversions'!$A$34:$A$73,0)))=0,"",AJ156/(INDEX('Standards for Conversions'!$H$34:$H$73,MATCH(AI$3,'Standards for Conversions'!$A$34:$A$73,0))))</f>
        <v/>
      </c>
      <c r="AL156" s="10" t="s">
        <v>40</v>
      </c>
      <c r="AM156" s="9"/>
      <c r="AN156" s="9"/>
      <c r="AO156" s="31" t="str">
        <f>IF(AN156/(INDEX('Standards for Conversions'!$H$34:$H$73,MATCH(AM$3,'Standards for Conversions'!$A$34:$A$73,0)))=0,"",AN156/(INDEX('Standards for Conversions'!$H$34:$H$73,MATCH(AM$3,'Standards for Conversions'!$A$34:$A$73,0))))</f>
        <v/>
      </c>
      <c r="AP156" s="10" t="s">
        <v>40</v>
      </c>
      <c r="AQ156" s="7"/>
      <c r="AR156" s="7"/>
      <c r="AS156" s="31" t="str">
        <f>IF(AR156/(INDEX('Standards for Conversions'!$H$34:$H$73,MATCH(AQ$3,'Standards for Conversions'!$A$34:$A$73,0)))=0,"",AR156/(INDEX('Standards for Conversions'!$H$34:$H$73,MATCH(AQ$3,'Standards for Conversions'!$A$34:$A$73,0))))</f>
        <v/>
      </c>
      <c r="AT156" s="10" t="s">
        <v>40</v>
      </c>
      <c r="AU156" s="9"/>
      <c r="AV156" s="9"/>
      <c r="AW156" s="31" t="str">
        <f>IF(AV156/(INDEX('Standards for Conversions'!$H$34:$H$73,MATCH(AU$3,'Standards for Conversions'!$A$34:$A$73,0)))=0,"",AV156/(INDEX('Standards for Conversions'!$H$34:$H$73,MATCH(AU$3,'Standards for Conversions'!$A$34:$A$73,0))))</f>
        <v/>
      </c>
      <c r="AX156" s="10" t="s">
        <v>40</v>
      </c>
      <c r="AY156" s="9"/>
      <c r="AZ156" s="9"/>
      <c r="BA156" s="31" t="str">
        <f>IF(AZ156/(INDEX('Standards for Conversions'!$H$34:$H$73,MATCH(AY$3,'Standards for Conversions'!$A$34:$A$73,0)))=0,"",AZ156/(INDEX('Standards for Conversions'!$H$34:$H$73,MATCH(AY$3,'Standards for Conversions'!$A$34:$A$73,0))))</f>
        <v/>
      </c>
      <c r="BB156" s="10" t="s">
        <v>40</v>
      </c>
      <c r="BC156" s="9"/>
      <c r="BD156" s="9"/>
      <c r="BE156" s="31" t="str">
        <f>IF(BD156/(INDEX('Standards for Conversions'!$H$34:$H$73,MATCH(BC$3,'Standards for Conversions'!$A$34:$A$73,0)))=0,"",BD156/(INDEX('Standards for Conversions'!$H$34:$H$73,MATCH(BC$3,'Standards for Conversions'!$A$34:$A$73,0))))</f>
        <v/>
      </c>
      <c r="BF156" s="10" t="s">
        <v>40</v>
      </c>
      <c r="BG156" s="7"/>
      <c r="BH156" s="7"/>
      <c r="BI156" s="31" t="str">
        <f>IF(BH156/(INDEX('Standards for Conversions'!$H$34:$H$73,MATCH(BG$3,'Standards for Conversions'!$A$34:$A$73,0)))=0,"",BH156/(INDEX('Standards for Conversions'!$H$34:$H$73,MATCH(BG$3,'Standards for Conversions'!$A$34:$A$73,0))))</f>
        <v/>
      </c>
      <c r="BJ156" s="10" t="s">
        <v>40</v>
      </c>
      <c r="BK156" s="9"/>
      <c r="BL156" s="9"/>
      <c r="BM156" s="31" t="str">
        <f>IF(BL156/(INDEX('Standards for Conversions'!$H$34:$H$73,MATCH(BK$3,'Standards for Conversions'!$A$34:$A$73,0)))=0,"",BL156/(INDEX('Standards for Conversions'!$H$34:$H$73,MATCH(BK$3,'Standards for Conversions'!$A$34:$A$73,0))))</f>
        <v/>
      </c>
      <c r="BN156" s="10" t="s">
        <v>40</v>
      </c>
      <c r="BO156" s="9"/>
      <c r="BP156" s="9"/>
      <c r="BQ156" s="31" t="str">
        <f>IF(BP156/(INDEX('Standards for Conversions'!$H$34:$H$73,MATCH(BO$3,'Standards for Conversions'!$A$34:$A$73,0)))=0,"",BP156/(INDEX('Standards for Conversions'!$H$34:$H$73,MATCH(BO$3,'Standards for Conversions'!$A$34:$A$73,0))))</f>
        <v/>
      </c>
      <c r="BR156" s="10" t="s">
        <v>40</v>
      </c>
      <c r="BS156" s="9"/>
      <c r="BT156" s="9"/>
      <c r="BU156" s="31" t="str">
        <f>IF(BT156/(INDEX('Standards for Conversions'!$H$34:$H$73,MATCH(BS$3,'Standards for Conversions'!$A$34:$A$73,0)))=0,"",BT156/(INDEX('Standards for Conversions'!$H$34:$H$73,MATCH(BS$3,'Standards for Conversions'!$A$34:$A$73,0))))</f>
        <v/>
      </c>
      <c r="BV156" s="10" t="s">
        <v>40</v>
      </c>
      <c r="BW156" s="7"/>
      <c r="BX156" s="7"/>
      <c r="BY156" s="31" t="str">
        <f>IF(BX156/(INDEX('Standards for Conversions'!$H$34:$H$73,MATCH(BW$3,'Standards for Conversions'!$A$34:$A$73,0)))=0,"",BX156/(INDEX('Standards for Conversions'!$H$34:$H$73,MATCH(BW$3,'Standards for Conversions'!$A$34:$A$73,0))))</f>
        <v/>
      </c>
      <c r="BZ156" s="10" t="s">
        <v>40</v>
      </c>
      <c r="CA156" s="9"/>
      <c r="CB156" s="9"/>
      <c r="CC156" s="31" t="str">
        <f>IF(CB156/(INDEX('Standards for Conversions'!$H$34:$H$73,MATCH(CA$3,'Standards for Conversions'!$A$34:$A$73,0)))=0,"",CB156/(INDEX('Standards for Conversions'!$H$34:$H$73,MATCH(CA$3,'Standards for Conversions'!$A$34:$A$73,0))))</f>
        <v/>
      </c>
      <c r="CD156" s="10" t="s">
        <v>40</v>
      </c>
      <c r="CE156" s="9"/>
      <c r="CF156" s="9"/>
      <c r="CG156" s="31" t="str">
        <f>IF(CF156/(INDEX('Standards for Conversions'!$H$34:$H$73,MATCH(CE$3,'Standards for Conversions'!$A$34:$A$73,0)))=0,"",CF156/(INDEX('Standards for Conversions'!$H$34:$H$73,MATCH(CE$3,'Standards for Conversions'!$A$34:$A$73,0))))</f>
        <v/>
      </c>
      <c r="CH156" s="10" t="s">
        <v>40</v>
      </c>
      <c r="CI156" s="9"/>
      <c r="CJ156" s="9"/>
      <c r="CK156" s="31" t="str">
        <f>IF(CJ156/(INDEX('Standards for Conversions'!$H$34:$H$73,MATCH(CI$3,'Standards for Conversions'!$A$34:$A$73,0)))=0,"",CJ156/(INDEX('Standards for Conversions'!$H$34:$H$73,MATCH(CI$3,'Standards for Conversions'!$A$34:$A$73,0))))</f>
        <v/>
      </c>
      <c r="CL156" s="10" t="s">
        <v>40</v>
      </c>
      <c r="CM156" s="7"/>
      <c r="CN156" s="7"/>
      <c r="CO156" s="31" t="str">
        <f>IF(CN156/(INDEX('Standards for Conversions'!$H$34:$H$73,MATCH(CM$3,'Standards for Conversions'!$A$34:$A$73,0)))=0,"",CN156/(INDEX('Standards for Conversions'!$H$34:$H$73,MATCH(CM$3,'Standards for Conversions'!$A$34:$A$73,0))))</f>
        <v/>
      </c>
      <c r="CP156" s="10" t="s">
        <v>40</v>
      </c>
      <c r="CQ156" s="9"/>
      <c r="CR156" s="9"/>
      <c r="CS156" s="31" t="str">
        <f>IF(CR156/(INDEX('Standards for Conversions'!$H$34:$H$73,MATCH(CQ$3,'Standards for Conversions'!$A$34:$A$73,0)))=0,"",CR156/(INDEX('Standards for Conversions'!$H$34:$H$73,MATCH(CQ$3,'Standards for Conversions'!$A$34:$A$73,0))))</f>
        <v/>
      </c>
      <c r="CT156" s="10" t="s">
        <v>40</v>
      </c>
      <c r="CU156" s="9"/>
      <c r="CV156" s="9"/>
      <c r="CW156" s="31" t="str">
        <f>IF(CV156/(INDEX('Standards for Conversions'!$H$34:$H$73,MATCH(CU$3,'Standards for Conversions'!$A$34:$A$73,0)))=0,"",CV156/(INDEX('Standards for Conversions'!$H$34:$H$73,MATCH(CU$3,'Standards for Conversions'!$A$34:$A$73,0))))</f>
        <v/>
      </c>
      <c r="CX156" s="10" t="s">
        <v>40</v>
      </c>
      <c r="CY156" s="9"/>
      <c r="CZ156" s="9"/>
      <c r="DA156" s="31" t="str">
        <f>IF(CZ156/(INDEX('Standards for Conversions'!$H$34:$H$73,MATCH(CY$3,'Standards for Conversions'!$A$34:$A$73,0)))=0,"",CZ156/(INDEX('Standards for Conversions'!$H$34:$H$73,MATCH(CY$3,'Standards for Conversions'!$A$34:$A$73,0))))</f>
        <v/>
      </c>
      <c r="DB156" s="10" t="s">
        <v>40</v>
      </c>
      <c r="DC156" s="7"/>
      <c r="DD156" s="7"/>
      <c r="DE156" s="31" t="str">
        <f>IF(DD156/(INDEX('Standards for Conversions'!$H$34:$H$73,MATCH(DC$3,'Standards for Conversions'!$A$34:$A$73,0)))=0,"",DD156/(INDEX('Standards for Conversions'!$H$34:$H$73,MATCH(DC$3,'Standards for Conversions'!$A$34:$A$73,0))))</f>
        <v/>
      </c>
      <c r="DF156" s="10" t="s">
        <v>40</v>
      </c>
      <c r="DG156" s="9"/>
      <c r="DH156" s="9"/>
      <c r="DI156" s="31" t="str">
        <f>IF(DH156/(INDEX('Standards for Conversions'!$H$34:$H$73,MATCH(DG$3,'Standards for Conversions'!$A$34:$A$73,0)))=0,"",DH156/(INDEX('Standards for Conversions'!$H$34:$H$73,MATCH(DG$3,'Standards for Conversions'!$A$34:$A$73,0))))</f>
        <v/>
      </c>
      <c r="DJ156" s="10" t="s">
        <v>40</v>
      </c>
      <c r="DK156" s="9"/>
      <c r="DL156" s="9"/>
      <c r="DM156" s="31" t="str">
        <f>IF(DL156/(INDEX('Standards for Conversions'!$H$34:$H$73,MATCH(DK$3,'Standards for Conversions'!$A$34:$A$73,0)))=0,"",DL156/(INDEX('Standards for Conversions'!$H$34:$H$73,MATCH(DK$3,'Standards for Conversions'!$A$34:$A$73,0))))</f>
        <v/>
      </c>
      <c r="DN156" s="10" t="s">
        <v>40</v>
      </c>
      <c r="DO156" s="9"/>
      <c r="DP156" s="9"/>
      <c r="DQ156" s="31" t="str">
        <f>IF(DP156/(INDEX('Standards for Conversions'!$H$34:$H$73,MATCH(DO$3,'Standards for Conversions'!$A$34:$A$73,0)))=0,"",DP156/(INDEX('Standards for Conversions'!$H$34:$H$73,MATCH(DO$3,'Standards for Conversions'!$A$34:$A$73,0))))</f>
        <v/>
      </c>
      <c r="DR156" s="10" t="s">
        <v>40</v>
      </c>
      <c r="DS156" s="7"/>
      <c r="DT156" s="7"/>
      <c r="DU156" s="31" t="str">
        <f>IF(DT156/(INDEX('Standards for Conversions'!$H$34:$H$73,MATCH(DS$3,'Standards for Conversions'!$A$34:$A$73,0)))=0,"",DT156/(INDEX('Standards for Conversions'!$H$34:$H$73,MATCH(DS$3,'Standards for Conversions'!$A$34:$A$73,0))))</f>
        <v/>
      </c>
      <c r="DV156" s="10" t="s">
        <v>40</v>
      </c>
      <c r="DW156" s="9"/>
      <c r="DX156" s="9"/>
      <c r="DY156" s="31" t="str">
        <f>IF(DX156/(INDEX('Standards for Conversions'!$H$34:$H$73,MATCH(DW$3,'Standards for Conversions'!$A$34:$A$73,0)))=0,"",DX156/(INDEX('Standards for Conversions'!$H$34:$H$73,MATCH(DW$3,'Standards for Conversions'!$A$34:$A$73,0))))</f>
        <v/>
      </c>
      <c r="DZ156" s="10" t="s">
        <v>40</v>
      </c>
      <c r="EA156" s="9"/>
      <c r="EB156" s="9"/>
      <c r="EC156" s="31" t="str">
        <f>IF(EB156/(INDEX('Standards for Conversions'!$H$34:$H$73,MATCH(EA$3,'Standards for Conversions'!$A$34:$A$73,0)))=0,"",EB156/(INDEX('Standards for Conversions'!$H$34:$H$73,MATCH(EA$3,'Standards for Conversions'!$A$34:$A$73,0))))</f>
        <v/>
      </c>
      <c r="ED156" s="10" t="s">
        <v>40</v>
      </c>
      <c r="EE156" s="9"/>
      <c r="EF156" s="9"/>
      <c r="EG156" s="31" t="str">
        <f>IF(EF156/(INDEX('Standards for Conversions'!$H$34:$H$73,MATCH(EE$3,'Standards for Conversions'!$A$34:$A$73,0)))=0,"",EF156/(INDEX('Standards for Conversions'!$H$34:$H$73,MATCH(EE$3,'Standards for Conversions'!$A$34:$A$73,0))))</f>
        <v/>
      </c>
      <c r="EH156" s="10" t="s">
        <v>40</v>
      </c>
      <c r="EI156" s="7"/>
      <c r="EJ156" s="7"/>
      <c r="EK156" s="31" t="str">
        <f>IF(EJ156/(INDEX('Standards for Conversions'!$H$34:$H$73,MATCH(EI$3,'Standards for Conversions'!$A$34:$A$73,0)))=0,"",EJ156/(INDEX('Standards for Conversions'!$H$34:$H$73,MATCH(EI$3,'Standards for Conversions'!$A$34:$A$73,0))))</f>
        <v/>
      </c>
      <c r="EL156" s="10" t="s">
        <v>40</v>
      </c>
      <c r="EM156" s="9"/>
      <c r="EN156" s="9"/>
      <c r="EO156" s="31" t="str">
        <f>IF(EN156/(INDEX('Standards for Conversions'!$H$34:$H$73,MATCH(EM$3,'Standards for Conversions'!$A$34:$A$73,0)))=0,"",EN156/(INDEX('Standards for Conversions'!$H$34:$H$73,MATCH(EM$3,'Standards for Conversions'!$A$34:$A$73,0))))</f>
        <v/>
      </c>
      <c r="EP156" s="10" t="s">
        <v>40</v>
      </c>
      <c r="EQ156" s="9"/>
      <c r="ER156" s="9"/>
      <c r="ES156" s="31" t="str">
        <f>IF(ER156/(INDEX('Standards for Conversions'!$H$34:$H$73,MATCH(EQ$3,'Standards for Conversions'!$A$34:$A$73,0)))=0,"",ER156/(INDEX('Standards for Conversions'!$H$34:$H$73,MATCH(EQ$3,'Standards for Conversions'!$A$34:$A$73,0))))</f>
        <v/>
      </c>
      <c r="ET156" s="10" t="s">
        <v>40</v>
      </c>
      <c r="EU156" s="9"/>
      <c r="EV156" s="9"/>
      <c r="EW156" s="31" t="str">
        <f>IF(EV156/(INDEX('Standards for Conversions'!$H$34:$H$73,MATCH(EU$3,'Standards for Conversions'!$A$34:$A$73,0)))=0,"",EV156/(INDEX('Standards for Conversions'!$H$34:$H$73,MATCH(EU$3,'Standards for Conversions'!$A$34:$A$73,0))))</f>
        <v/>
      </c>
      <c r="EX156" s="10" t="s">
        <v>40</v>
      </c>
      <c r="EY156" s="9"/>
      <c r="EZ156" s="9"/>
      <c r="FA156" s="31" t="str">
        <f>IF(EZ156/(INDEX('Standards for Conversions'!$H$34:$H$73,MATCH(EY$3,'Standards for Conversions'!$A$34:$A$73,0)))=0,"",EZ156/(INDEX('Standards for Conversions'!$H$34:$H$73,MATCH(EY$3,'Standards for Conversions'!$A$34:$A$73,0))))</f>
        <v/>
      </c>
      <c r="FB156" s="10" t="s">
        <v>40</v>
      </c>
      <c r="FC156" s="9"/>
      <c r="FD156" s="9"/>
      <c r="FE156" s="31" t="str">
        <f>IF(FD156/(INDEX('Standards for Conversions'!$H$34:$H$73,MATCH(FC$3,'Standards for Conversions'!$A$34:$A$73,0)))=0,"",FD156/(INDEX('Standards for Conversions'!$H$34:$H$73,MATCH(FC$3,'Standards for Conversions'!$A$34:$A$73,0))))</f>
        <v/>
      </c>
      <c r="FF156" s="10" t="s">
        <v>40</v>
      </c>
      <c r="FG156" s="9"/>
      <c r="FH156" s="9"/>
      <c r="FI156" s="31" t="str">
        <f>IF(FH156/(INDEX('Standards for Conversions'!$H$34:$H$73,MATCH(FG$3,'Standards for Conversions'!$A$34:$A$73,0)))=0,"",FH156/(INDEX('Standards for Conversions'!$H$34:$H$73,MATCH(FG$3,'Standards for Conversions'!$A$34:$A$73,0))))</f>
        <v/>
      </c>
      <c r="FJ156" s="10" t="s">
        <v>40</v>
      </c>
      <c r="FK156" s="9"/>
      <c r="FL156" s="9"/>
      <c r="FM156" s="31" t="str">
        <f>IF(FL156/(INDEX('Standards for Conversions'!$H$34:$H$73,MATCH(FK$3,'Standards for Conversions'!$A$34:$A$73,0)))=0,"",FL156/(INDEX('Standards for Conversions'!$H$34:$H$73,MATCH(FK$3,'Standards for Conversions'!$A$34:$A$73,0))))</f>
        <v/>
      </c>
      <c r="FN156" s="10" t="s">
        <v>40</v>
      </c>
      <c r="FO156" s="9"/>
      <c r="FP156" s="9"/>
      <c r="FQ156" s="31" t="str">
        <f>IF(FP156/(INDEX('Standards for Conversions'!$H$34:$H$73,MATCH(FO$3,'Standards for Conversions'!$A$34:$A$73,0)))=0,"",FP156/(INDEX('Standards for Conversions'!$H$34:$H$73,MATCH(FO$3,'Standards for Conversions'!$A$34:$A$73,0))))</f>
        <v/>
      </c>
      <c r="FR156" s="10" t="s">
        <v>40</v>
      </c>
      <c r="FS156" s="9"/>
      <c r="FT156" s="9"/>
      <c r="FU156" s="31" t="str">
        <f>IF(FT156/(INDEX('Standards for Conversions'!$H$34:$H$73,MATCH(FS$3,'Standards for Conversions'!$A$34:$A$73,0)))=0,"",FT156/(INDEX('Standards for Conversions'!$H$34:$H$73,MATCH(FS$3,'Standards for Conversions'!$A$34:$A$73,0))))</f>
        <v/>
      </c>
      <c r="FV156" s="10" t="s">
        <v>40</v>
      </c>
      <c r="FW156" s="9"/>
      <c r="FX156" s="9"/>
      <c r="FY156" s="31" t="str">
        <f>IF(FX156/(INDEX('Standards for Conversions'!$H$34:$H$73,MATCH(FW$3,'Standards for Conversions'!$A$34:$A$73,0)))=0,"",FX156/(INDEX('Standards for Conversions'!$H$34:$H$73,MATCH(FW$3,'Standards for Conversions'!$A$34:$A$73,0))))</f>
        <v/>
      </c>
      <c r="FZ156" s="10" t="s">
        <v>40</v>
      </c>
      <c r="GA156" s="9"/>
      <c r="GB156" s="9"/>
      <c r="GC156" s="31" t="str">
        <f>IF(GB156/(INDEX('Standards for Conversions'!$H$34:$H$73,MATCH(GA$3,'Standards for Conversions'!$A$34:$A$73,0)))=0,"",GB156/(INDEX('Standards for Conversions'!$H$34:$H$73,MATCH(GA$3,'Standards for Conversions'!$A$34:$A$73,0))))</f>
        <v/>
      </c>
      <c r="GD156" s="10" t="s">
        <v>40</v>
      </c>
      <c r="GE156" s="9"/>
      <c r="GF156" s="9"/>
      <c r="GG156" s="31" t="str">
        <f>IF(GF156/(INDEX('Standards for Conversions'!$H$34:$H$73,MATCH(GE$3,'Standards for Conversions'!$A$34:$A$73,0)))=0,"",GF156/(INDEX('Standards for Conversions'!$H$34:$H$73,MATCH(GE$3,'Standards for Conversions'!$A$34:$A$73,0))))</f>
        <v/>
      </c>
      <c r="GH156" s="10" t="s">
        <v>40</v>
      </c>
      <c r="GI156" s="9"/>
      <c r="GJ156" s="9"/>
      <c r="GK156" s="31" t="str">
        <f>IF(GJ156/(INDEX('Standards for Conversions'!$H$34:$H$73,MATCH(GI$3,'Standards for Conversions'!$A$34:$A$73,0)))=0,"",GJ156/(INDEX('Standards for Conversions'!$H$34:$H$73,MATCH(GI$3,'Standards for Conversions'!$A$34:$A$73,0))))</f>
        <v/>
      </c>
      <c r="GL156" s="10" t="s">
        <v>40</v>
      </c>
      <c r="GM156" s="9"/>
      <c r="GN156" s="9"/>
      <c r="GO156" s="31" t="str">
        <f>IF(GN156/(INDEX('Standards for Conversions'!$H$34:$H$73,MATCH(GM$3,'Standards for Conversions'!$A$34:$A$73,0)))=0,"",GN156/(INDEX('Standards for Conversions'!$H$34:$H$73,MATCH(GM$3,'Standards for Conversions'!$A$34:$A$73,0))))</f>
        <v/>
      </c>
      <c r="GP156" s="10" t="s">
        <v>40</v>
      </c>
      <c r="GQ156" s="9"/>
      <c r="GR156" s="9"/>
      <c r="GS156" s="31" t="str">
        <f>IF(GR156/(INDEX('Standards for Conversions'!$H$34:$H$73,MATCH(GQ$3,'Standards for Conversions'!$A$34:$A$73,0)))=0,"",GR156/(INDEX('Standards for Conversions'!$H$34:$H$73,MATCH(GQ$3,'Standards for Conversions'!$A$34:$A$73,0))))</f>
        <v/>
      </c>
      <c r="GT156" s="10" t="s">
        <v>40</v>
      </c>
      <c r="GU156" s="9"/>
      <c r="GV156" s="9"/>
      <c r="GW156" s="31" t="str">
        <f>IF(GV156/(INDEX('Standards for Conversions'!$H$34:$H$73,MATCH(GU$3,'Standards for Conversions'!$A$34:$A$73,0)))=0,"",GV156/(INDEX('Standards for Conversions'!$H$34:$H$73,MATCH(GU$3,'Standards for Conversions'!$A$34:$A$73,0))))</f>
        <v/>
      </c>
      <c r="GX156" s="10" t="s">
        <v>40</v>
      </c>
      <c r="GY156" s="9"/>
      <c r="GZ156" s="9"/>
      <c r="HA156" s="31" t="str">
        <f>IF(GZ156/(INDEX('Standards for Conversions'!$H$34:$H$73,MATCH(GY$3,'Standards for Conversions'!$A$34:$A$73,0)))=0,"",GZ156/(INDEX('Standards for Conversions'!$H$34:$H$73,MATCH(GY$3,'Standards for Conversions'!$A$34:$A$73,0))))</f>
        <v/>
      </c>
      <c r="HB156" s="10" t="s">
        <v>40</v>
      </c>
      <c r="HC156" s="9"/>
      <c r="HD156" s="9"/>
      <c r="HE156" s="31" t="str">
        <f>IF(HD156/(INDEX('Standards for Conversions'!$H$34:$H$73,MATCH(HC$3,'Standards for Conversions'!$A$34:$A$73,0)))=0,"",HD156/(INDEX('Standards for Conversions'!$H$34:$H$73,MATCH(HC$3,'Standards for Conversions'!$A$34:$A$73,0))))</f>
        <v/>
      </c>
      <c r="HF156" s="10" t="s">
        <v>40</v>
      </c>
      <c r="HG156" s="9"/>
      <c r="HH156" s="9"/>
      <c r="HI156" s="31" t="str">
        <f>IF(HH156/(INDEX('Standards for Conversions'!$H$34:$H$73,MATCH(HG$3,'Standards for Conversions'!$A$34:$A$73,0)))=0,"",HH156/(INDEX('Standards for Conversions'!$H$34:$H$73,MATCH(HG$3,'Standards for Conversions'!$A$34:$A$73,0))))</f>
        <v/>
      </c>
      <c r="HJ156" s="10" t="s">
        <v>40</v>
      </c>
      <c r="HK156" s="9"/>
      <c r="HL156" s="9"/>
      <c r="HM156" s="31" t="str">
        <f>IF(HL156/(INDEX('Standards for Conversions'!$H$34:$H$73,MATCH(HK$3,'Standards for Conversions'!$A$34:$A$73,0)))=0,"",HL156/(INDEX('Standards for Conversions'!$H$34:$H$73,MATCH(HK$3,'Standards for Conversions'!$A$34:$A$73,0))))</f>
        <v/>
      </c>
      <c r="HN156" s="10" t="s">
        <v>40</v>
      </c>
      <c r="HO156" s="9"/>
      <c r="HP156" s="9"/>
      <c r="HQ156" s="31" t="str">
        <f>IF(HP156/(INDEX('Standards for Conversions'!$H$34:$H$73,MATCH(HO$3,'Standards for Conversions'!$A$34:$A$73,0)))=0,"",HP156/(INDEX('Standards for Conversions'!$H$34:$H$73,MATCH(HO$3,'Standards for Conversions'!$A$34:$A$73,0))))</f>
        <v/>
      </c>
      <c r="HR156" s="33" t="s">
        <v>40</v>
      </c>
      <c r="HS156" s="33"/>
      <c r="HT156" s="33"/>
      <c r="HU156" s="31" t="str">
        <f>IF(HT156/(INDEX('Standards for Conversions'!$H$47:$H$73,MATCH(HS$3,'Standards for Conversions'!$A$47:$A$73,0)))=0,"",HT156/(INDEX('Standards for Conversions'!$H$47:$H$73,MATCH(HS$3,'Standards for Conversions'!$A$47:$A$73,0))))</f>
        <v/>
      </c>
      <c r="HV156" s="33" t="s">
        <v>40</v>
      </c>
      <c r="HW156" s="33"/>
      <c r="HX156" s="33"/>
      <c r="HY156" s="31" t="str">
        <f>IF(HX156/(INDEX('Standards for Conversions'!$H$47:$H$73,MATCH(HW$3,'Standards for Conversions'!$A$47:$A$73,0)))=0,"",HX156/(INDEX('Standards for Conversions'!$H$47:$H$73,MATCH(HW$3,'Standards for Conversions'!$A$47:$A$73,0))))</f>
        <v/>
      </c>
      <c r="HZ156" s="33"/>
      <c r="IA156" s="33"/>
      <c r="IB156" s="31" t="str">
        <f>IF(IA156/(INDEX('Standards for Conversions'!$H$47:$H$73,MATCH(HZ$3,'Standards for Conversions'!$A$47:$A$73,0)))=0,"",IA156/(INDEX('Standards for Conversions'!$H$47:$H$73,MATCH(HZ$3,'Standards for Conversions'!$A$47:$A$73,0))))</f>
        <v/>
      </c>
      <c r="IC156" s="33" t="s">
        <v>40</v>
      </c>
      <c r="ID156" s="33">
        <v>4</v>
      </c>
      <c r="IE156" s="33">
        <v>600</v>
      </c>
      <c r="IF156" s="31">
        <f>IF(IE156/(INDEX('Standards for Conversions'!$H$47:$H$73,MATCH(ID$3,'Standards for Conversions'!$A$47:$A$73,0)))=0,"",IE156/(INDEX('Standards for Conversions'!$H$47:$H$73,MATCH(ID$3,'Standards for Conversions'!$A$47:$A$73,0))))</f>
        <v>87.147247327713572</v>
      </c>
      <c r="IG156" s="33" t="s">
        <v>40</v>
      </c>
      <c r="IH156" s="33"/>
      <c r="II156" s="33"/>
      <c r="IJ156" s="31" t="str">
        <f>IF(II156/(INDEX('Standards for Conversions'!$H$47:$H$73,MATCH(IH$3,'Standards for Conversions'!$A$47:$A$73,0)))=0,"",II156/(INDEX('Standards for Conversions'!$H$47:$H$73,MATCH(IH$3,'Standards for Conversions'!$A$47:$A$73,0))))</f>
        <v/>
      </c>
      <c r="IK156" s="33" t="s">
        <v>40</v>
      </c>
      <c r="IL156" s="33"/>
      <c r="IM156" s="33"/>
      <c r="IN156" s="31" t="str">
        <f>IF(IM156/(INDEX('Standards for Conversions'!$H$47:$H$73,MATCH(IL$3,'Standards for Conversions'!$A$47:$A$73,0)))=0,"",IM156/(INDEX('Standards for Conversions'!$H$47:$H$73,MATCH(IL$3,'Standards for Conversions'!$A$47:$A$73,0))))</f>
        <v/>
      </c>
      <c r="IO156" s="33" t="s">
        <v>40</v>
      </c>
      <c r="IP156" s="33"/>
      <c r="IQ156" s="33"/>
      <c r="IR156" s="31" t="str">
        <f>IF(IQ156/(INDEX('Standards for Conversions'!$H$47:$H$73,MATCH(IP$3,'Standards for Conversions'!$A$47:$A$73,0)))=0,"",IQ156/(INDEX('Standards for Conversions'!$H$47:$H$73,MATCH(IP$3,'Standards for Conversions'!$A$47:$A$73,0))))</f>
        <v/>
      </c>
      <c r="IS156" s="33" t="s">
        <v>40</v>
      </c>
      <c r="IT156" s="33">
        <v>7</v>
      </c>
      <c r="IU156" s="33">
        <v>873</v>
      </c>
      <c r="IV156" s="31">
        <f>IF(IU156/(INDEX('Standards for Conversions'!$H$47:$H$73,MATCH(IT$3,'Standards for Conversions'!$A$47:$A$73,0)))=0,"",IU156/(INDEX('Standards for Conversions'!$H$47:$H$73,MATCH(IT$3,'Standards for Conversions'!$A$47:$A$73,0))))</f>
        <v>126.24472921373945</v>
      </c>
      <c r="IW156" s="33" t="s">
        <v>40</v>
      </c>
      <c r="IZ156" s="31" t="str">
        <f>IF(IY156/(INDEX('Standards for Conversions'!$H$47:$H$73,MATCH(IX$3,'Standards for Conversions'!$A$47:$A$73,0)))=0,"",IY156/(INDEX('Standards for Conversions'!$H$47:$H$73,MATCH(IX$3,'Standards for Conversions'!$A$47:$A$73,0))))</f>
        <v/>
      </c>
      <c r="JA156" s="33" t="s">
        <v>40</v>
      </c>
      <c r="JD156" s="31" t="str">
        <f>IF(JC156/(INDEX('Standards for Conversions'!$H$47:$H$73,MATCH(JB$3,'Standards for Conversions'!$A$47:$A$73,0)))=0,"",JC156/(INDEX('Standards for Conversions'!$H$47:$H$73,MATCH(JB$3,'Standards for Conversions'!$A$47:$A$73,0))))</f>
        <v/>
      </c>
      <c r="JE156" s="33" t="s">
        <v>40</v>
      </c>
      <c r="JH156" s="31" t="str">
        <f>IF(JG156/(INDEX('Standards for Conversions'!$H$47:$H$73,MATCH(JF$3,'Standards for Conversions'!$A$47:$A$73,0)))=0,"",JG156/(INDEX('Standards for Conversions'!$H$47:$H$73,MATCH(JF$3,'Standards for Conversions'!$A$47:$A$73,0))))</f>
        <v/>
      </c>
      <c r="JI156" s="48" t="s">
        <v>40</v>
      </c>
      <c r="JJ156" s="33">
        <v>3</v>
      </c>
      <c r="JK156" s="33">
        <v>550</v>
      </c>
      <c r="JL156" s="31">
        <f>IF(JK156/(INDEX('Standards for Conversions'!$H$47:$H$73,MATCH(JJ$3,'Standards for Conversions'!$A$47:$A$73,0)))=0,"",JK156/(INDEX('Standards for Conversions'!$H$47:$H$73,MATCH(JJ$3,'Standards for Conversions'!$A$47:$A$73,0))))</f>
        <v>88.968108180527778</v>
      </c>
      <c r="JM156" s="33" t="s">
        <v>40</v>
      </c>
      <c r="JP156" s="31" t="str">
        <f>IF(JO156/(INDEX('Standards for Conversions'!$H$47:$H$73,MATCH(JN$3,'Standards for Conversions'!$A$47:$A$73,0)))=0,"",JO156/(INDEX('Standards for Conversions'!$H$47:$H$73,MATCH(JN$3,'Standards for Conversions'!$A$47:$A$73,0))))</f>
        <v/>
      </c>
      <c r="JQ156" s="33" t="s">
        <v>40</v>
      </c>
      <c r="JT156" s="31" t="str">
        <f>IF(JS156/(INDEX('Standards for Conversions'!$H$47:$H$73,MATCH(JR$3,'Standards for Conversions'!$A$47:$A$73,0)))=0,"",JS156/(INDEX('Standards for Conversions'!$H$47:$H$73,MATCH(JR$3,'Standards for Conversions'!$A$47:$A$73,0))))</f>
        <v/>
      </c>
      <c r="JU156" s="33" t="s">
        <v>40</v>
      </c>
      <c r="JV156" s="33"/>
      <c r="JW156" s="33"/>
      <c r="JX156" s="31" t="str">
        <f>IF(JW156/(INDEX('Standards for Conversions'!$H$47:$H$73,MATCH(JV$3,'Standards for Conversions'!$A$47:$A$73,0)))=0,"",JW156/(INDEX('Standards for Conversions'!$H$47:$H$73,MATCH(JV$3,'Standards for Conversions'!$A$47:$A$73,0))))</f>
        <v/>
      </c>
      <c r="JY156" s="33" t="s">
        <v>40</v>
      </c>
      <c r="JZ156" s="33">
        <v>3</v>
      </c>
      <c r="KA156" s="33">
        <v>600</v>
      </c>
      <c r="KB156" s="31">
        <f>IF(KA156/(INDEX('Standards for Conversions'!$H$47:$H$73,MATCH(JZ$3,'Standards for Conversions'!$A$47:$A$73,0)))=0,"",KA156/(INDEX('Standards for Conversions'!$H$47:$H$73,MATCH(JZ$3,'Standards for Conversions'!$A$47:$A$73,0))))</f>
        <v>91.593535456678538</v>
      </c>
      <c r="KC156" s="33" t="s">
        <v>40</v>
      </c>
      <c r="KF156" s="31" t="str">
        <f>IF(KE156/(INDEX('Standards for Conversions'!$H$47:$H$73,MATCH(KD$3,'Standards for Conversions'!$A$47:$A$73,0)))=0,"",KE156/(INDEX('Standards for Conversions'!$H$47:$H$73,MATCH(KD$3,'Standards for Conversions'!$A$47:$A$73,0))))</f>
        <v/>
      </c>
      <c r="KG156" s="33" t="s">
        <v>40</v>
      </c>
      <c r="KJ156" s="31" t="str">
        <f>IF(KI156/(INDEX('Standards for Conversions'!$H$47:$H$73,MATCH(KH$3,'Standards for Conversions'!$A$47:$A$73,0)))=0,"",KI156/(INDEX('Standards for Conversions'!$H$47:$H$73,MATCH(KH$3,'Standards for Conversions'!$A$47:$A$73,0))))</f>
        <v/>
      </c>
      <c r="KK156" s="33" t="s">
        <v>40</v>
      </c>
      <c r="KL156" s="33"/>
      <c r="KM156" s="33"/>
      <c r="KN156" s="31" t="str">
        <f>IF(KM156/(INDEX('Standards for Conversions'!$H$47:$H$73,MATCH(KL$3,'Standards for Conversions'!$A$47:$A$73,0)))=0,"",KM156/(INDEX('Standards for Conversions'!$H$47:$H$73,MATCH(KL$3,'Standards for Conversions'!$A$47:$A$73,0))))</f>
        <v/>
      </c>
      <c r="KO156" s="33" t="s">
        <v>40</v>
      </c>
      <c r="KP156" s="33">
        <v>5</v>
      </c>
      <c r="KQ156" s="33">
        <v>700</v>
      </c>
      <c r="KR156" s="31">
        <f>IF(KQ156/(INDEX('Standards for Conversions'!$H$47:$H$73,MATCH(KP$3,'Standards for Conversions'!$A$47:$A$73,0)))=0,"",KQ156/(INDEX('Standards for Conversions'!$H$47:$H$73,MATCH(KP$3,'Standards for Conversions'!$A$47:$A$73,0))))</f>
        <v>94.261308334057517</v>
      </c>
      <c r="KS156" s="33" t="s">
        <v>40</v>
      </c>
      <c r="KV156" s="31" t="str">
        <f>IF(KU156/(INDEX('Standards for Conversions'!$H$47:$H$73,MATCH(KT$3,'Standards for Conversions'!$A$47:$A$73,0)))=0,"",KU156/(INDEX('Standards for Conversions'!$H$47:$H$73,MATCH(KT$3,'Standards for Conversions'!$A$47:$A$73,0))))</f>
        <v/>
      </c>
      <c r="KW156" s="33" t="s">
        <v>40</v>
      </c>
      <c r="KZ156" s="31" t="str">
        <f>IF(KY156/(INDEX('Standards for Conversions'!$H$47:$H$73,MATCH(KX$3,'Standards for Conversions'!$A$47:$A$73,0)))=0,"",KY156/(INDEX('Standards for Conversions'!$H$47:$H$73,MATCH(KX$3,'Standards for Conversions'!$A$47:$A$73,0))))</f>
        <v/>
      </c>
      <c r="LA156" s="33" t="s">
        <v>40</v>
      </c>
      <c r="LB156" s="33"/>
      <c r="LC156" s="33"/>
      <c r="LD156" s="31" t="str">
        <f>IF(LC156/(INDEX('Standards for Conversions'!$H$47:$H$73,MATCH(LB$3,'Standards for Conversions'!$A$47:$A$73,0)))=0,"",LC156/(INDEX('Standards for Conversions'!$H$47:$H$73,MATCH(LB$3,'Standards for Conversions'!$A$47:$A$73,0))))</f>
        <v/>
      </c>
      <c r="LE156" s="48" t="s">
        <v>40</v>
      </c>
      <c r="LF156" s="33">
        <v>1</v>
      </c>
      <c r="LG156" s="33">
        <v>75</v>
      </c>
      <c r="LH156" s="31">
        <f>IF(LG156/(INDEX('Standards for Conversions'!$H$47:$H$73,MATCH(LF$3,'Standards for Conversions'!$A$47:$A$73,0)))=0,"",LG156/(INDEX('Standards for Conversions'!$H$47:$H$73,MATCH(LF$3,'Standards for Conversions'!$A$47:$A$73,0))))</f>
        <v>9.1212425045624386</v>
      </c>
      <c r="LJ156" s="33"/>
      <c r="LK156" s="33"/>
      <c r="LL156" s="31" t="str">
        <f>IF(LK156/(INDEX('Standards for Conversions'!$H$47:$H$73,MATCH(LJ$3,'Standards for Conversions'!$A$47:$A$73,0)))=0,"",LK156/(INDEX('Standards for Conversions'!$H$47:$H$73,MATCH(LJ$3,'Standards for Conversions'!$A$47:$A$73,0))))</f>
        <v/>
      </c>
      <c r="LM156" s="33"/>
      <c r="LN156" s="33"/>
      <c r="LO156" s="31" t="str">
        <f>IF(LN156/(INDEX('Standards for Conversions'!$H$47:$H$73,MATCH(LM$3,'Standards for Conversions'!$A$47:$A$73,0)))=0,"",LN156/(INDEX('Standards for Conversions'!$H$47:$H$73,MATCH(LM$3,'Standards for Conversions'!$A$47:$A$73,0))))</f>
        <v/>
      </c>
      <c r="LP156" s="33"/>
      <c r="LQ156" s="33"/>
      <c r="LR156" s="31" t="str">
        <f>IF(LQ156/(INDEX('Standards for Conversions'!$H$47:$H$73,MATCH(LP$3,'Standards for Conversions'!$A$47:$A$73,0)))=0,"",LQ156/(INDEX('Standards for Conversions'!$H$47:$H$73,MATCH(LP$3,'Standards for Conversions'!$A$47:$A$73,0))))</f>
        <v/>
      </c>
      <c r="LT156" s="33"/>
      <c r="LU156" s="33"/>
      <c r="LV156" s="31" t="str">
        <f>IF(LU156/(INDEX('Standards for Conversions'!$H$47:$H$73,MATCH(LT$3,'Standards for Conversions'!$A$47:$A$73,0)))=0,"",LU156/(INDEX('Standards for Conversions'!$H$47:$H$73,MATCH(LT$3,'Standards for Conversions'!$A$47:$A$73,0))))</f>
        <v/>
      </c>
      <c r="LW156" s="33"/>
      <c r="LX156" s="33"/>
      <c r="LY156" s="31" t="str">
        <f>IF(LX156/(INDEX('Standards for Conversions'!$H$47:$H$73,MATCH(LW$3,'Standards for Conversions'!$A$47:$A$73,0)))=0,"",LX156/(INDEX('Standards for Conversions'!$H$47:$H$73,MATCH(LW$3,'Standards for Conversions'!$A$47:$A$73,0))))</f>
        <v/>
      </c>
      <c r="LZ156" s="33"/>
      <c r="MA156" s="33"/>
      <c r="MB156" s="31" t="str">
        <f>IF(MA156/(INDEX('Standards for Conversions'!$H$47:$H$73,MATCH(LZ$3,'Standards for Conversions'!$A$47:$A$73,0)))=0,"",MA156/(INDEX('Standards for Conversions'!$H$47:$H$73,MATCH(LZ$3,'Standards for Conversions'!$A$47:$A$73,0))))</f>
        <v/>
      </c>
      <c r="MC156" s="33"/>
      <c r="ME156" s="31" t="str">
        <f>IF(MD156/(INDEX('Standards for Conversions'!$H$47:$H$73,MATCH(MC$3,'Standards for Conversions'!$A$47:$A$73,0)))=0,"",MD156/(INDEX('Standards for Conversions'!$H$47:$H$73,MATCH(MC$3,'Standards for Conversions'!$A$47:$A$73,0))))</f>
        <v/>
      </c>
      <c r="MF156" s="33"/>
      <c r="MG156" s="33"/>
      <c r="MH156" s="31" t="str">
        <f>IF(MG156/(INDEX('Standards for Conversions'!$H$47:$H$73,MATCH(MF$3,'Standards for Conversions'!$A$47:$A$73,0)))=0,"",MG156/(INDEX('Standards for Conversions'!$H$47:$H$73,MATCH(MF$3,'Standards for Conversions'!$A$47:$A$73,0))))</f>
        <v/>
      </c>
      <c r="MI156" s="33"/>
      <c r="MJ156" s="33"/>
      <c r="MK156" s="31" t="str">
        <f>IF(MJ156/(INDEX('Standards for Conversions'!$H$47:$H$73,MATCH(MI$3,'Standards for Conversions'!$A$47:$A$73,0)))=0,"",MJ156/(INDEX('Standards for Conversions'!$H$47:$H$73,MATCH(MI$3,'Standards for Conversions'!$A$47:$A$73,0))))</f>
        <v/>
      </c>
      <c r="ML156" s="33"/>
      <c r="MN156" s="31" t="str">
        <f>IF(MM156/(INDEX('Standards for Conversions'!$H$47:$H$73,MATCH(ML$3,'Standards for Conversions'!$A$47:$A$73,0)))=0,"",MM156/(INDEX('Standards for Conversions'!$H$47:$H$73,MATCH(ML$3,'Standards for Conversions'!$A$47:$A$73,0))))</f>
        <v/>
      </c>
      <c r="MR156" s="31" t="str">
        <f>IF(MQ156/(INDEX('Standards for Conversions'!$H$47:$H$73,MATCH(MP$3,'Standards for Conversions'!$A$47:$A$73,0)))=0,"",MQ156/(INDEX('Standards for Conversions'!$H$47:$H$73,MATCH(MP$3,'Standards for Conversions'!$A$47:$A$73,0))))</f>
        <v/>
      </c>
    </row>
    <row r="157" spans="1:373" s="33" customFormat="1" x14ac:dyDescent="0.3">
      <c r="A157" s="104" t="s">
        <v>419</v>
      </c>
      <c r="B157" s="10"/>
      <c r="C157" s="9"/>
      <c r="D157" s="9"/>
      <c r="E157" s="31" t="str">
        <f>IF(D157/(INDEX('Standards for Conversions'!$H$34:$H$73,MATCH(C$3,'Standards for Conversions'!$A$34:$A$73,0)))=0,"",D157/(INDEX('Standards for Conversions'!$H$34:$H$73,MATCH(C$3,'Standards for Conversions'!$A$34:$A$73,0))))</f>
        <v/>
      </c>
      <c r="F157" s="10"/>
      <c r="G157" s="9"/>
      <c r="H157" s="9"/>
      <c r="I157" s="31" t="str">
        <f>IF(H157/(INDEX('Standards for Conversions'!$H$34:$H$73,MATCH(G$3,'Standards for Conversions'!$A$34:$A$73,0)))=0,"",H157/(INDEX('Standards for Conversions'!$H$34:$H$73,MATCH(G$3,'Standards for Conversions'!$A$34:$A$73,0))))</f>
        <v/>
      </c>
      <c r="J157" s="10"/>
      <c r="K157" s="9"/>
      <c r="L157" s="9"/>
      <c r="M157" s="31" t="str">
        <f>IF(L157/(INDEX('Standards for Conversions'!$H$34:$H$73,MATCH(K$3,'Standards for Conversions'!$A$34:$A$73,0)))=0,"",L157/(INDEX('Standards for Conversions'!$H$34:$H$73,MATCH(K$3,'Standards for Conversions'!$A$34:$A$73,0))))</f>
        <v/>
      </c>
      <c r="N157" s="10"/>
      <c r="O157" s="9"/>
      <c r="P157" s="9"/>
      <c r="Q157" s="31" t="str">
        <f>IF(P157/(INDEX('Standards for Conversions'!$H$34:$H$73,MATCH(O$3,'Standards for Conversions'!$A$34:$A$73,0)))=0,"",P157/(INDEX('Standards for Conversions'!$H$34:$H$73,MATCH(O$3,'Standards for Conversions'!$A$34:$A$73,0))))</f>
        <v/>
      </c>
      <c r="R157" s="10"/>
      <c r="S157" s="9"/>
      <c r="T157" s="9"/>
      <c r="U157" s="31" t="str">
        <f>IF(T157/(INDEX('Standards for Conversions'!$H$34:$H$73,MATCH(S$3,'Standards for Conversions'!$A$34:$A$73,0)))=0,"",T157/(INDEX('Standards for Conversions'!$H$34:$H$73,MATCH(S$3,'Standards for Conversions'!$A$34:$A$73,0))))</f>
        <v/>
      </c>
      <c r="V157" s="10"/>
      <c r="W157" s="9"/>
      <c r="X157" s="9"/>
      <c r="Y157" s="31" t="str">
        <f>IF(X157/(INDEX('Standards for Conversions'!$H$34:$H$73,MATCH(W$3,'Standards for Conversions'!$A$34:$A$73,0)))=0,"",X157/(INDEX('Standards for Conversions'!$H$34:$H$73,MATCH(W$3,'Standards for Conversions'!$A$34:$A$73,0))))</f>
        <v/>
      </c>
      <c r="Z157" s="10"/>
      <c r="AA157" s="9"/>
      <c r="AB157" s="9"/>
      <c r="AC157" s="31" t="str">
        <f>IF(AB157/(INDEX('Standards for Conversions'!$H$34:$H$73,MATCH(AA$3,'Standards for Conversions'!$A$34:$A$73,0)))=0,"",AB157/(INDEX('Standards for Conversions'!$H$34:$H$73,MATCH(AA$3,'Standards for Conversions'!$A$34:$A$73,0))))</f>
        <v/>
      </c>
      <c r="AD157" s="10"/>
      <c r="AE157" s="9"/>
      <c r="AF157" s="9"/>
      <c r="AG157" s="31" t="str">
        <f>IF(AF157/(INDEX('Standards for Conversions'!$H$34:$H$73,MATCH(AE$3,'Standards for Conversions'!$A$34:$A$73,0)))=0,"",AF157/(INDEX('Standards for Conversions'!$H$34:$H$73,MATCH(AE$3,'Standards for Conversions'!$A$34:$A$73,0))))</f>
        <v/>
      </c>
      <c r="AH157" s="10"/>
      <c r="AI157" s="9"/>
      <c r="AJ157" s="9"/>
      <c r="AK157" s="31" t="str">
        <f>IF(AJ157/(INDEX('Standards for Conversions'!$H$34:$H$73,MATCH(AI$3,'Standards for Conversions'!$A$34:$A$73,0)))=0,"",AJ157/(INDEX('Standards for Conversions'!$H$34:$H$73,MATCH(AI$3,'Standards for Conversions'!$A$34:$A$73,0))))</f>
        <v/>
      </c>
      <c r="AL157" s="10"/>
      <c r="AM157" s="9"/>
      <c r="AN157" s="9"/>
      <c r="AO157" s="31" t="str">
        <f>IF(AN157/(INDEX('Standards for Conversions'!$H$34:$H$73,MATCH(AM$3,'Standards for Conversions'!$A$34:$A$73,0)))=0,"",AN157/(INDEX('Standards for Conversions'!$H$34:$H$73,MATCH(AM$3,'Standards for Conversions'!$A$34:$A$73,0))))</f>
        <v/>
      </c>
      <c r="AP157" s="10"/>
      <c r="AQ157" s="9"/>
      <c r="AR157" s="9"/>
      <c r="AS157" s="31" t="str">
        <f>IF(AR157/(INDEX('Standards for Conversions'!$H$34:$H$73,MATCH(AQ$3,'Standards for Conversions'!$A$34:$A$73,0)))=0,"",AR157/(INDEX('Standards for Conversions'!$H$34:$H$73,MATCH(AQ$3,'Standards for Conversions'!$A$34:$A$73,0))))</f>
        <v/>
      </c>
      <c r="AT157" s="10"/>
      <c r="AU157" s="9"/>
      <c r="AV157" s="9"/>
      <c r="AW157" s="31" t="str">
        <f>IF(AV157/(INDEX('Standards for Conversions'!$H$34:$H$73,MATCH(AU$3,'Standards for Conversions'!$A$34:$A$73,0)))=0,"",AV157/(INDEX('Standards for Conversions'!$H$34:$H$73,MATCH(AU$3,'Standards for Conversions'!$A$34:$A$73,0))))</f>
        <v/>
      </c>
      <c r="AX157" s="10"/>
      <c r="AY157" s="9"/>
      <c r="AZ157" s="9"/>
      <c r="BA157" s="31" t="str">
        <f>IF(AZ157/(INDEX('Standards for Conversions'!$H$34:$H$73,MATCH(AY$3,'Standards for Conversions'!$A$34:$A$73,0)))=0,"",AZ157/(INDEX('Standards for Conversions'!$H$34:$H$73,MATCH(AY$3,'Standards for Conversions'!$A$34:$A$73,0))))</f>
        <v/>
      </c>
      <c r="BB157" s="10"/>
      <c r="BC157" s="9"/>
      <c r="BD157" s="9"/>
      <c r="BE157" s="31" t="str">
        <f>IF(BD157/(INDEX('Standards for Conversions'!$H$34:$H$73,MATCH(BC$3,'Standards for Conversions'!$A$34:$A$73,0)))=0,"",BD157/(INDEX('Standards for Conversions'!$H$34:$H$73,MATCH(BC$3,'Standards for Conversions'!$A$34:$A$73,0))))</f>
        <v/>
      </c>
      <c r="BF157" s="10"/>
      <c r="BG157" s="9"/>
      <c r="BH157" s="9"/>
      <c r="BI157" s="31" t="str">
        <f>IF(BH157/(INDEX('Standards for Conversions'!$H$34:$H$73,MATCH(BG$3,'Standards for Conversions'!$A$34:$A$73,0)))=0,"",BH157/(INDEX('Standards for Conversions'!$H$34:$H$73,MATCH(BG$3,'Standards for Conversions'!$A$34:$A$73,0))))</f>
        <v/>
      </c>
      <c r="BJ157" s="10"/>
      <c r="BK157" s="9"/>
      <c r="BL157" s="9"/>
      <c r="BM157" s="31" t="str">
        <f>IF(BL157/(INDEX('Standards for Conversions'!$H$34:$H$73,MATCH(BK$3,'Standards for Conversions'!$A$34:$A$73,0)))=0,"",BL157/(INDEX('Standards for Conversions'!$H$34:$H$73,MATCH(BK$3,'Standards for Conversions'!$A$34:$A$73,0))))</f>
        <v/>
      </c>
      <c r="BN157" s="10"/>
      <c r="BO157" s="9"/>
      <c r="BP157" s="9"/>
      <c r="BQ157" s="31" t="str">
        <f>IF(BP157/(INDEX('Standards for Conversions'!$H$34:$H$73,MATCH(BO$3,'Standards for Conversions'!$A$34:$A$73,0)))=0,"",BP157/(INDEX('Standards for Conversions'!$H$34:$H$73,MATCH(BO$3,'Standards for Conversions'!$A$34:$A$73,0))))</f>
        <v/>
      </c>
      <c r="BR157" s="10"/>
      <c r="BS157" s="9"/>
      <c r="BT157" s="9"/>
      <c r="BU157" s="31" t="str">
        <f>IF(BT157/(INDEX('Standards for Conversions'!$H$34:$H$73,MATCH(BS$3,'Standards for Conversions'!$A$34:$A$73,0)))=0,"",BT157/(INDEX('Standards for Conversions'!$H$34:$H$73,MATCH(BS$3,'Standards for Conversions'!$A$34:$A$73,0))))</f>
        <v/>
      </c>
      <c r="BV157" s="10"/>
      <c r="BW157" s="9"/>
      <c r="BX157" s="9"/>
      <c r="BY157" s="31" t="str">
        <f>IF(BX157/(INDEX('Standards for Conversions'!$H$34:$H$73,MATCH(BW$3,'Standards for Conversions'!$A$34:$A$73,0)))=0,"",BX157/(INDEX('Standards for Conversions'!$H$34:$H$73,MATCH(BW$3,'Standards for Conversions'!$A$34:$A$73,0))))</f>
        <v/>
      </c>
      <c r="BZ157" s="10"/>
      <c r="CA157" s="9"/>
      <c r="CB157" s="9"/>
      <c r="CC157" s="31" t="str">
        <f>IF(CB157/(INDEX('Standards for Conversions'!$H$34:$H$73,MATCH(CA$3,'Standards for Conversions'!$A$34:$A$73,0)))=0,"",CB157/(INDEX('Standards for Conversions'!$H$34:$H$73,MATCH(CA$3,'Standards for Conversions'!$A$34:$A$73,0))))</f>
        <v/>
      </c>
      <c r="CD157" s="10"/>
      <c r="CE157" s="9"/>
      <c r="CF157" s="9"/>
      <c r="CG157" s="31" t="str">
        <f>IF(CF157/(INDEX('Standards for Conversions'!$H$34:$H$73,MATCH(CE$3,'Standards for Conversions'!$A$34:$A$73,0)))=0,"",CF157/(INDEX('Standards for Conversions'!$H$34:$H$73,MATCH(CE$3,'Standards for Conversions'!$A$34:$A$73,0))))</f>
        <v/>
      </c>
      <c r="CH157" s="10"/>
      <c r="CI157" s="9"/>
      <c r="CJ157" s="9"/>
      <c r="CK157" s="31" t="str">
        <f>IF(CJ157/(INDEX('Standards for Conversions'!$H$34:$H$73,MATCH(CI$3,'Standards for Conversions'!$A$34:$A$73,0)))=0,"",CJ157/(INDEX('Standards for Conversions'!$H$34:$H$73,MATCH(CI$3,'Standards for Conversions'!$A$34:$A$73,0))))</f>
        <v/>
      </c>
      <c r="CL157" s="10"/>
      <c r="CM157" s="9"/>
      <c r="CN157" s="9"/>
      <c r="CO157" s="31" t="str">
        <f>IF(CN157/(INDEX('Standards for Conversions'!$H$34:$H$73,MATCH(CM$3,'Standards for Conversions'!$A$34:$A$73,0)))=0,"",CN157/(INDEX('Standards for Conversions'!$H$34:$H$73,MATCH(CM$3,'Standards for Conversions'!$A$34:$A$73,0))))</f>
        <v/>
      </c>
      <c r="CP157" s="10"/>
      <c r="CQ157" s="9"/>
      <c r="CR157" s="9"/>
      <c r="CS157" s="31" t="str">
        <f>IF(CR157/(INDEX('Standards for Conversions'!$H$34:$H$73,MATCH(CQ$3,'Standards for Conversions'!$A$34:$A$73,0)))=0,"",CR157/(INDEX('Standards for Conversions'!$H$34:$H$73,MATCH(CQ$3,'Standards for Conversions'!$A$34:$A$73,0))))</f>
        <v/>
      </c>
      <c r="CT157" s="10"/>
      <c r="CU157" s="9"/>
      <c r="CV157" s="9"/>
      <c r="CW157" s="31" t="str">
        <f>IF(CV157/(INDEX('Standards for Conversions'!$H$34:$H$73,MATCH(CU$3,'Standards for Conversions'!$A$34:$A$73,0)))=0,"",CV157/(INDEX('Standards for Conversions'!$H$34:$H$73,MATCH(CU$3,'Standards for Conversions'!$A$34:$A$73,0))))</f>
        <v/>
      </c>
      <c r="CX157" s="10"/>
      <c r="CY157" s="9"/>
      <c r="CZ157" s="9"/>
      <c r="DA157" s="31" t="str">
        <f>IF(CZ157/(INDEX('Standards for Conversions'!$H$34:$H$73,MATCH(CY$3,'Standards for Conversions'!$A$34:$A$73,0)))=0,"",CZ157/(INDEX('Standards for Conversions'!$H$34:$H$73,MATCH(CY$3,'Standards for Conversions'!$A$34:$A$73,0))))</f>
        <v/>
      </c>
      <c r="DB157" s="10"/>
      <c r="DC157" s="9"/>
      <c r="DD157" s="9"/>
      <c r="DE157" s="31" t="str">
        <f>IF(DD157/(INDEX('Standards for Conversions'!$H$34:$H$73,MATCH(DC$3,'Standards for Conversions'!$A$34:$A$73,0)))=0,"",DD157/(INDEX('Standards for Conversions'!$H$34:$H$73,MATCH(DC$3,'Standards for Conversions'!$A$34:$A$73,0))))</f>
        <v/>
      </c>
      <c r="DF157" s="10"/>
      <c r="DG157" s="9"/>
      <c r="DH157" s="9"/>
      <c r="DI157" s="31" t="str">
        <f>IF(DH157/(INDEX('Standards for Conversions'!$H$34:$H$73,MATCH(DG$3,'Standards for Conversions'!$A$34:$A$73,0)))=0,"",DH157/(INDEX('Standards for Conversions'!$H$34:$H$73,MATCH(DG$3,'Standards for Conversions'!$A$34:$A$73,0))))</f>
        <v/>
      </c>
      <c r="DJ157" s="10"/>
      <c r="DK157" s="9"/>
      <c r="DL157" s="9"/>
      <c r="DM157" s="31" t="str">
        <f>IF(DL157/(INDEX('Standards for Conversions'!$H$34:$H$73,MATCH(DK$3,'Standards for Conversions'!$A$34:$A$73,0)))=0,"",DL157/(INDEX('Standards for Conversions'!$H$34:$H$73,MATCH(DK$3,'Standards for Conversions'!$A$34:$A$73,0))))</f>
        <v/>
      </c>
      <c r="DN157" s="10"/>
      <c r="DO157" s="9"/>
      <c r="DP157" s="9"/>
      <c r="DQ157" s="31" t="str">
        <f>IF(DP157/(INDEX('Standards for Conversions'!$H$34:$H$73,MATCH(DO$3,'Standards for Conversions'!$A$34:$A$73,0)))=0,"",DP157/(INDEX('Standards for Conversions'!$H$34:$H$73,MATCH(DO$3,'Standards for Conversions'!$A$34:$A$73,0))))</f>
        <v/>
      </c>
      <c r="DR157" s="10"/>
      <c r="DS157" s="9"/>
      <c r="DT157" s="9"/>
      <c r="DU157" s="31" t="str">
        <f>IF(DT157/(INDEX('Standards for Conversions'!$H$34:$H$73,MATCH(DS$3,'Standards for Conversions'!$A$34:$A$73,0)))=0,"",DT157/(INDEX('Standards for Conversions'!$H$34:$H$73,MATCH(DS$3,'Standards for Conversions'!$A$34:$A$73,0))))</f>
        <v/>
      </c>
      <c r="DV157" s="10"/>
      <c r="DW157" s="9"/>
      <c r="DX157" s="9"/>
      <c r="DY157" s="31" t="str">
        <f>IF(DX157/(INDEX('Standards for Conversions'!$H$34:$H$73,MATCH(DW$3,'Standards for Conversions'!$A$34:$A$73,0)))=0,"",DX157/(INDEX('Standards for Conversions'!$H$34:$H$73,MATCH(DW$3,'Standards for Conversions'!$A$34:$A$73,0))))</f>
        <v/>
      </c>
      <c r="DZ157" s="10"/>
      <c r="EA157" s="9"/>
      <c r="EB157" s="9"/>
      <c r="EC157" s="31" t="str">
        <f>IF(EB157/(INDEX('Standards for Conversions'!$H$34:$H$73,MATCH(EA$3,'Standards for Conversions'!$A$34:$A$73,0)))=0,"",EB157/(INDEX('Standards for Conversions'!$H$34:$H$73,MATCH(EA$3,'Standards for Conversions'!$A$34:$A$73,0))))</f>
        <v/>
      </c>
      <c r="ED157" s="10"/>
      <c r="EE157" s="9"/>
      <c r="EF157" s="9"/>
      <c r="EG157" s="31" t="str">
        <f>IF(EF157/(INDEX('Standards for Conversions'!$H$34:$H$73,MATCH(EE$3,'Standards for Conversions'!$A$34:$A$73,0)))=0,"",EF157/(INDEX('Standards for Conversions'!$H$34:$H$73,MATCH(EE$3,'Standards for Conversions'!$A$34:$A$73,0))))</f>
        <v/>
      </c>
      <c r="EH157" s="10"/>
      <c r="EI157" s="9"/>
      <c r="EJ157" s="9"/>
      <c r="EK157" s="31" t="str">
        <f>IF(EJ157/(INDEX('Standards for Conversions'!$H$34:$H$73,MATCH(EI$3,'Standards for Conversions'!$A$34:$A$73,0)))=0,"",EJ157/(INDEX('Standards for Conversions'!$H$34:$H$73,MATCH(EI$3,'Standards for Conversions'!$A$34:$A$73,0))))</f>
        <v/>
      </c>
      <c r="EL157" s="10"/>
      <c r="EM157" s="9"/>
      <c r="EN157" s="9"/>
      <c r="EO157" s="31" t="str">
        <f>IF(EN157/(INDEX('Standards for Conversions'!$H$34:$H$73,MATCH(EM$3,'Standards for Conversions'!$A$34:$A$73,0)))=0,"",EN157/(INDEX('Standards for Conversions'!$H$34:$H$73,MATCH(EM$3,'Standards for Conversions'!$A$34:$A$73,0))))</f>
        <v/>
      </c>
      <c r="EP157" s="10"/>
      <c r="EQ157" s="9"/>
      <c r="ER157" s="9"/>
      <c r="ES157" s="31" t="str">
        <f>IF(ER157/(INDEX('Standards for Conversions'!$H$34:$H$73,MATCH(EQ$3,'Standards for Conversions'!$A$34:$A$73,0)))=0,"",ER157/(INDEX('Standards for Conversions'!$H$34:$H$73,MATCH(EQ$3,'Standards for Conversions'!$A$34:$A$73,0))))</f>
        <v/>
      </c>
      <c r="ET157" s="10"/>
      <c r="EU157" s="9"/>
      <c r="EV157" s="9"/>
      <c r="EW157" s="31" t="str">
        <f>IF(EV157/(INDEX('Standards for Conversions'!$H$34:$H$73,MATCH(EU$3,'Standards for Conversions'!$A$34:$A$73,0)))=0,"",EV157/(INDEX('Standards for Conversions'!$H$34:$H$73,MATCH(EU$3,'Standards for Conversions'!$A$34:$A$73,0))))</f>
        <v/>
      </c>
      <c r="EX157" s="10"/>
      <c r="EY157" s="9"/>
      <c r="EZ157" s="9"/>
      <c r="FA157" s="31" t="str">
        <f>IF(EZ157/(INDEX('Standards for Conversions'!$H$34:$H$73,MATCH(EY$3,'Standards for Conversions'!$A$34:$A$73,0)))=0,"",EZ157/(INDEX('Standards for Conversions'!$H$34:$H$73,MATCH(EY$3,'Standards for Conversions'!$A$34:$A$73,0))))</f>
        <v/>
      </c>
      <c r="FB157" s="10"/>
      <c r="FC157" s="9"/>
      <c r="FD157" s="9"/>
      <c r="FE157" s="31" t="str">
        <f>IF(FD157/(INDEX('Standards for Conversions'!$H$34:$H$73,MATCH(FC$3,'Standards for Conversions'!$A$34:$A$73,0)))=0,"",FD157/(INDEX('Standards for Conversions'!$H$34:$H$73,MATCH(FC$3,'Standards for Conversions'!$A$34:$A$73,0))))</f>
        <v/>
      </c>
      <c r="FF157" s="10"/>
      <c r="FG157" s="9"/>
      <c r="FH157" s="9"/>
      <c r="FI157" s="31" t="str">
        <f>IF(FH157/(INDEX('Standards for Conversions'!$H$34:$H$73,MATCH(FG$3,'Standards for Conversions'!$A$34:$A$73,0)))=0,"",FH157/(INDEX('Standards for Conversions'!$H$34:$H$73,MATCH(FG$3,'Standards for Conversions'!$A$34:$A$73,0))))</f>
        <v/>
      </c>
      <c r="FJ157" s="10"/>
      <c r="FK157" s="9"/>
      <c r="FL157" s="9"/>
      <c r="FM157" s="31" t="str">
        <f>IF(FL157/(INDEX('Standards for Conversions'!$H$34:$H$73,MATCH(FK$3,'Standards for Conversions'!$A$34:$A$73,0)))=0,"",FL157/(INDEX('Standards for Conversions'!$H$34:$H$73,MATCH(FK$3,'Standards for Conversions'!$A$34:$A$73,0))))</f>
        <v/>
      </c>
      <c r="FN157" s="10"/>
      <c r="FO157" s="9"/>
      <c r="FP157" s="9"/>
      <c r="FQ157" s="31" t="str">
        <f>IF(FP157/(INDEX('Standards for Conversions'!$H$34:$H$73,MATCH(FO$3,'Standards for Conversions'!$A$34:$A$73,0)))=0,"",FP157/(INDEX('Standards for Conversions'!$H$34:$H$73,MATCH(FO$3,'Standards for Conversions'!$A$34:$A$73,0))))</f>
        <v/>
      </c>
      <c r="FR157" s="10"/>
      <c r="FS157" s="9"/>
      <c r="FT157" s="9"/>
      <c r="FU157" s="31" t="str">
        <f>IF(FT157/(INDEX('Standards for Conversions'!$H$34:$H$73,MATCH(FS$3,'Standards for Conversions'!$A$34:$A$73,0)))=0,"",FT157/(INDEX('Standards for Conversions'!$H$34:$H$73,MATCH(FS$3,'Standards for Conversions'!$A$34:$A$73,0))))</f>
        <v/>
      </c>
      <c r="FV157" s="10"/>
      <c r="FW157" s="9"/>
      <c r="FX157" s="9"/>
      <c r="FY157" s="31" t="str">
        <f>IF(FX157/(INDEX('Standards for Conversions'!$H$34:$H$73,MATCH(FW$3,'Standards for Conversions'!$A$34:$A$73,0)))=0,"",FX157/(INDEX('Standards for Conversions'!$H$34:$H$73,MATCH(FW$3,'Standards for Conversions'!$A$34:$A$73,0))))</f>
        <v/>
      </c>
      <c r="FZ157" s="10"/>
      <c r="GA157" s="9"/>
      <c r="GB157" s="9"/>
      <c r="GC157" s="31" t="str">
        <f>IF(GB157/(INDEX('Standards for Conversions'!$H$34:$H$73,MATCH(GA$3,'Standards for Conversions'!$A$34:$A$73,0)))=0,"",GB157/(INDEX('Standards for Conversions'!$H$34:$H$73,MATCH(GA$3,'Standards for Conversions'!$A$34:$A$73,0))))</f>
        <v/>
      </c>
      <c r="GD157" s="10"/>
      <c r="GE157" s="9"/>
      <c r="GF157" s="9"/>
      <c r="GG157" s="31" t="str">
        <f>IF(GF157/(INDEX('Standards for Conversions'!$H$34:$H$73,MATCH(GE$3,'Standards for Conversions'!$A$34:$A$73,0)))=0,"",GF157/(INDEX('Standards for Conversions'!$H$34:$H$73,MATCH(GE$3,'Standards for Conversions'!$A$34:$A$73,0))))</f>
        <v/>
      </c>
      <c r="GH157" s="10"/>
      <c r="GI157" s="9"/>
      <c r="GJ157" s="9"/>
      <c r="GK157" s="31" t="str">
        <f>IF(GJ157/(INDEX('Standards for Conversions'!$H$34:$H$73,MATCH(GI$3,'Standards for Conversions'!$A$34:$A$73,0)))=0,"",GJ157/(INDEX('Standards for Conversions'!$H$34:$H$73,MATCH(GI$3,'Standards for Conversions'!$A$34:$A$73,0))))</f>
        <v/>
      </c>
      <c r="GL157" s="10"/>
      <c r="GM157" s="9"/>
      <c r="GN157" s="9"/>
      <c r="GO157" s="31" t="str">
        <f>IF(GN157/(INDEX('Standards for Conversions'!$H$34:$H$73,MATCH(GM$3,'Standards for Conversions'!$A$34:$A$73,0)))=0,"",GN157/(INDEX('Standards for Conversions'!$H$34:$H$73,MATCH(GM$3,'Standards for Conversions'!$A$34:$A$73,0))))</f>
        <v/>
      </c>
      <c r="GP157" s="10"/>
      <c r="GQ157" s="9"/>
      <c r="GR157" s="9"/>
      <c r="GS157" s="31" t="str">
        <f>IF(GR157/(INDEX('Standards for Conversions'!$H$34:$H$73,MATCH(GQ$3,'Standards for Conversions'!$A$34:$A$73,0)))=0,"",GR157/(INDEX('Standards for Conversions'!$H$34:$H$73,MATCH(GQ$3,'Standards for Conversions'!$A$34:$A$73,0))))</f>
        <v/>
      </c>
      <c r="GT157" s="10"/>
      <c r="GU157" s="9"/>
      <c r="GV157" s="9"/>
      <c r="GW157" s="31" t="str">
        <f>IF(GV157/(INDEX('Standards for Conversions'!$H$34:$H$73,MATCH(GU$3,'Standards for Conversions'!$A$34:$A$73,0)))=0,"",GV157/(INDEX('Standards for Conversions'!$H$34:$H$73,MATCH(GU$3,'Standards for Conversions'!$A$34:$A$73,0))))</f>
        <v/>
      </c>
      <c r="GX157" s="10"/>
      <c r="GY157" s="9"/>
      <c r="GZ157" s="9"/>
      <c r="HA157" s="31" t="str">
        <f>IF(GZ157/(INDEX('Standards for Conversions'!$H$34:$H$73,MATCH(GY$3,'Standards for Conversions'!$A$34:$A$73,0)))=0,"",GZ157/(INDEX('Standards for Conversions'!$H$34:$H$73,MATCH(GY$3,'Standards for Conversions'!$A$34:$A$73,0))))</f>
        <v/>
      </c>
      <c r="HB157" s="10"/>
      <c r="HC157" s="9"/>
      <c r="HD157" s="9"/>
      <c r="HE157" s="31" t="str">
        <f>IF(HD157/(INDEX('Standards for Conversions'!$H$34:$H$73,MATCH(HC$3,'Standards for Conversions'!$A$34:$A$73,0)))=0,"",HD157/(INDEX('Standards for Conversions'!$H$34:$H$73,MATCH(HC$3,'Standards for Conversions'!$A$34:$A$73,0))))</f>
        <v/>
      </c>
      <c r="HF157" s="10"/>
      <c r="HG157" s="9"/>
      <c r="HH157" s="9"/>
      <c r="HI157" s="31" t="str">
        <f>IF(HH157/(INDEX('Standards for Conversions'!$H$34:$H$73,MATCH(HG$3,'Standards for Conversions'!$A$34:$A$73,0)))=0,"",HH157/(INDEX('Standards for Conversions'!$H$34:$H$73,MATCH(HG$3,'Standards for Conversions'!$A$34:$A$73,0))))</f>
        <v/>
      </c>
      <c r="HJ157" s="10"/>
      <c r="HK157" s="9"/>
      <c r="HL157" s="9"/>
      <c r="HM157" s="31" t="str">
        <f>IF(HL157/(INDEX('Standards for Conversions'!$H$34:$H$73,MATCH(HK$3,'Standards for Conversions'!$A$34:$A$73,0)))=0,"",HL157/(INDEX('Standards for Conversions'!$H$34:$H$73,MATCH(HK$3,'Standards for Conversions'!$A$34:$A$73,0))))</f>
        <v/>
      </c>
      <c r="HN157" s="10"/>
      <c r="HO157" s="9"/>
      <c r="HP157" s="9"/>
      <c r="HQ157" s="31" t="str">
        <f>IF(HP157/(INDEX('Standards for Conversions'!$H$34:$H$73,MATCH(HO$3,'Standards for Conversions'!$A$34:$A$73,0)))=0,"",HP157/(INDEX('Standards for Conversions'!$H$34:$H$73,MATCH(HO$3,'Standards for Conversions'!$A$34:$A$73,0))))</f>
        <v/>
      </c>
      <c r="HR157" s="33" t="s">
        <v>98</v>
      </c>
      <c r="HU157" s="31" t="str">
        <f>IF(HT157/(INDEX('Standards for Conversions'!$H$47:$H$73,MATCH(HS$3,'Standards for Conversions'!$A$47:$A$73,0)))=0,"",HT157/(INDEX('Standards for Conversions'!$H$47:$H$73,MATCH(HS$3,'Standards for Conversions'!$A$47:$A$73,0))))</f>
        <v/>
      </c>
      <c r="HV157" s="33" t="s">
        <v>98</v>
      </c>
      <c r="HY157" s="31" t="str">
        <f>IF(HX157/(INDEX('Standards for Conversions'!$H$47:$H$73,MATCH(HW$3,'Standards for Conversions'!$A$47:$A$73,0)))=0,"",HX157/(INDEX('Standards for Conversions'!$H$47:$H$73,MATCH(HW$3,'Standards for Conversions'!$A$47:$A$73,0))))</f>
        <v/>
      </c>
      <c r="IB157" s="31" t="str">
        <f>IF(IA157/(INDEX('Standards for Conversions'!$H$47:$H$73,MATCH(HZ$3,'Standards for Conversions'!$A$47:$A$73,0)))=0,"",IA157/(INDEX('Standards for Conversions'!$H$47:$H$73,MATCH(HZ$3,'Standards for Conversions'!$A$47:$A$73,0))))</f>
        <v/>
      </c>
      <c r="IC157" s="33" t="s">
        <v>98</v>
      </c>
      <c r="ID157" s="33">
        <f>2.16*60</f>
        <v>129.60000000000002</v>
      </c>
      <c r="IE157" s="33">
        <v>17000</v>
      </c>
      <c r="IF157" s="31">
        <f>IF(IE157/(INDEX('Standards for Conversions'!$H$47:$H$73,MATCH(ID$3,'Standards for Conversions'!$A$47:$A$73,0)))=0,"",IE157/(INDEX('Standards for Conversions'!$H$47:$H$73,MATCH(ID$3,'Standards for Conversions'!$A$47:$A$73,0))))</f>
        <v>2469.1720076185511</v>
      </c>
      <c r="IG157" s="33" t="s">
        <v>98</v>
      </c>
      <c r="IJ157" s="31" t="str">
        <f>IF(II157/(INDEX('Standards for Conversions'!$H$47:$H$73,MATCH(IH$3,'Standards for Conversions'!$A$47:$A$73,0)))=0,"",II157/(INDEX('Standards for Conversions'!$H$47:$H$73,MATCH(IH$3,'Standards for Conversions'!$A$47:$A$73,0))))</f>
        <v/>
      </c>
      <c r="IK157" s="33" t="s">
        <v>98</v>
      </c>
      <c r="IN157" s="31" t="str">
        <f>IF(IM157/(INDEX('Standards for Conversions'!$H$47:$H$73,MATCH(IL$3,'Standards for Conversions'!$A$47:$A$73,0)))=0,"",IM157/(INDEX('Standards for Conversions'!$H$47:$H$73,MATCH(IL$3,'Standards for Conversions'!$A$47:$A$73,0))))</f>
        <v/>
      </c>
      <c r="IO157" s="33" t="s">
        <v>98</v>
      </c>
      <c r="IR157" s="31" t="str">
        <f>IF(IQ157/(INDEX('Standards for Conversions'!$H$47:$H$73,MATCH(IP$3,'Standards for Conversions'!$A$47:$A$73,0)))=0,"",IQ157/(INDEX('Standards for Conversions'!$H$47:$H$73,MATCH(IP$3,'Standards for Conversions'!$A$47:$A$73,0))))</f>
        <v/>
      </c>
      <c r="IS157" s="33" t="s">
        <v>98</v>
      </c>
      <c r="IT157" s="33">
        <f>2.16*77</f>
        <v>166.32000000000002</v>
      </c>
      <c r="IU157" s="33">
        <v>20337</v>
      </c>
      <c r="IV157" s="31">
        <f>IF(IU157/(INDEX('Standards for Conversions'!$H$47:$H$73,MATCH(IT$3,'Standards for Conversions'!$A$47:$A$73,0)))=0,"",IU157/(INDEX('Standards for Conversions'!$H$47:$H$73,MATCH(IT$3,'Standards for Conversions'!$A$47:$A$73,0))))</f>
        <v>2940.9382107901711</v>
      </c>
      <c r="IW157" s="33" t="s">
        <v>98</v>
      </c>
      <c r="IZ157" s="31" t="str">
        <f>IF(IY157/(INDEX('Standards for Conversions'!$H$47:$H$73,MATCH(IX$3,'Standards for Conversions'!$A$47:$A$73,0)))=0,"",IY157/(INDEX('Standards for Conversions'!$H$47:$H$73,MATCH(IX$3,'Standards for Conversions'!$A$47:$A$73,0))))</f>
        <v/>
      </c>
      <c r="JA157" s="33" t="s">
        <v>98</v>
      </c>
      <c r="JD157" s="31" t="str">
        <f>IF(JC157/(INDEX('Standards for Conversions'!$H$47:$H$73,MATCH(JB$3,'Standards for Conversions'!$A$47:$A$73,0)))=0,"",JC157/(INDEX('Standards for Conversions'!$H$47:$H$73,MATCH(JB$3,'Standards for Conversions'!$A$47:$A$73,0))))</f>
        <v/>
      </c>
      <c r="JE157" s="33" t="s">
        <v>98</v>
      </c>
      <c r="JH157" s="31" t="str">
        <f>IF(JG157/(INDEX('Standards for Conversions'!$H$47:$H$73,MATCH(JF$3,'Standards for Conversions'!$A$47:$A$73,0)))=0,"",JG157/(INDEX('Standards for Conversions'!$H$47:$H$73,MATCH(JF$3,'Standards for Conversions'!$A$47:$A$73,0))))</f>
        <v/>
      </c>
      <c r="JI157" s="33" t="s">
        <v>98</v>
      </c>
      <c r="JJ157" s="33">
        <f>2.16*70</f>
        <v>151.20000000000002</v>
      </c>
      <c r="JK157" s="33">
        <v>35500</v>
      </c>
      <c r="JL157" s="31">
        <f>IF(JK157/(INDEX('Standards for Conversions'!$H$47:$H$73,MATCH(JJ$3,'Standards for Conversions'!$A$47:$A$73,0)))=0,"",JK157/(INDEX('Standards for Conversions'!$H$47:$H$73,MATCH(JJ$3,'Standards for Conversions'!$A$47:$A$73,0))))</f>
        <v>5742.4869825613387</v>
      </c>
      <c r="JM157" s="33" t="s">
        <v>98</v>
      </c>
      <c r="JP157" s="31" t="str">
        <f>IF(JO157/(INDEX('Standards for Conversions'!$H$47:$H$73,MATCH(JN$3,'Standards for Conversions'!$A$47:$A$73,0)))=0,"",JO157/(INDEX('Standards for Conversions'!$H$47:$H$73,MATCH(JN$3,'Standards for Conversions'!$A$47:$A$73,0))))</f>
        <v/>
      </c>
      <c r="JQ157" s="33" t="s">
        <v>98</v>
      </c>
      <c r="JT157" s="31" t="str">
        <f>IF(JS157/(INDEX('Standards for Conversions'!$H$47:$H$73,MATCH(JR$3,'Standards for Conversions'!$A$47:$A$73,0)))=0,"",JS157/(INDEX('Standards for Conversions'!$H$47:$H$73,MATCH(JR$3,'Standards for Conversions'!$A$47:$A$73,0))))</f>
        <v/>
      </c>
      <c r="JU157" s="33" t="s">
        <v>98</v>
      </c>
      <c r="JX157" s="31" t="str">
        <f>IF(JW157/(INDEX('Standards for Conversions'!$H$47:$H$73,MATCH(JV$3,'Standards for Conversions'!$A$47:$A$73,0)))=0,"",JW157/(INDEX('Standards for Conversions'!$H$47:$H$73,MATCH(JV$3,'Standards for Conversions'!$A$47:$A$73,0))))</f>
        <v/>
      </c>
      <c r="JY157" s="33" t="s">
        <v>98</v>
      </c>
      <c r="JZ157" s="33">
        <f>2.16*80</f>
        <v>172.8</v>
      </c>
      <c r="KA157" s="33">
        <f>36000</f>
        <v>36000</v>
      </c>
      <c r="KB157" s="31">
        <f>IF(KA157/(INDEX('Standards for Conversions'!$H$47:$H$73,MATCH(JZ$3,'Standards for Conversions'!$A$47:$A$73,0)))=0,"",KA157/(INDEX('Standards for Conversions'!$H$47:$H$73,MATCH(JZ$3,'Standards for Conversions'!$A$47:$A$73,0))))</f>
        <v>5495.6121274007119</v>
      </c>
      <c r="KC157" s="33" t="s">
        <v>98</v>
      </c>
      <c r="KF157" s="31" t="str">
        <f>IF(KE157/(INDEX('Standards for Conversions'!$H$47:$H$73,MATCH(KD$3,'Standards for Conversions'!$A$47:$A$73,0)))=0,"",KE157/(INDEX('Standards for Conversions'!$H$47:$H$73,MATCH(KD$3,'Standards for Conversions'!$A$47:$A$73,0))))</f>
        <v/>
      </c>
      <c r="KG157" s="33" t="s">
        <v>98</v>
      </c>
      <c r="KJ157" s="31" t="str">
        <f>IF(KI157/(INDEX('Standards for Conversions'!$H$47:$H$73,MATCH(KH$3,'Standards for Conversions'!$A$47:$A$73,0)))=0,"",KI157/(INDEX('Standards for Conversions'!$H$47:$H$73,MATCH(KH$3,'Standards for Conversions'!$A$47:$A$73,0))))</f>
        <v/>
      </c>
      <c r="KK157" s="33" t="s">
        <v>98</v>
      </c>
      <c r="KN157" s="31" t="str">
        <f>IF(KM157/(INDEX('Standards for Conversions'!$H$47:$H$73,MATCH(KL$3,'Standards for Conversions'!$A$47:$A$73,0)))=0,"",KM157/(INDEX('Standards for Conversions'!$H$47:$H$73,MATCH(KL$3,'Standards for Conversions'!$A$47:$A$73,0))))</f>
        <v/>
      </c>
      <c r="KO157" s="33" t="s">
        <v>98</v>
      </c>
      <c r="KP157" s="33">
        <f>2.16*85</f>
        <v>183.60000000000002</v>
      </c>
      <c r="KQ157" s="33">
        <v>38000</v>
      </c>
      <c r="KR157" s="31">
        <f>IF(KQ157/(INDEX('Standards for Conversions'!$H$47:$H$73,MATCH(KP$3,'Standards for Conversions'!$A$47:$A$73,0)))=0,"",KQ157/(INDEX('Standards for Conversions'!$H$47:$H$73,MATCH(KP$3,'Standards for Conversions'!$A$47:$A$73,0))))</f>
        <v>5117.0424524202654</v>
      </c>
      <c r="KS157" s="33" t="s">
        <v>98</v>
      </c>
      <c r="KV157" s="31" t="str">
        <f>IF(KU157/(INDEX('Standards for Conversions'!$H$47:$H$73,MATCH(KT$3,'Standards for Conversions'!$A$47:$A$73,0)))=0,"",KU157/(INDEX('Standards for Conversions'!$H$47:$H$73,MATCH(KT$3,'Standards for Conversions'!$A$47:$A$73,0))))</f>
        <v/>
      </c>
      <c r="KW157" s="33" t="s">
        <v>98</v>
      </c>
      <c r="KZ157" s="31" t="str">
        <f>IF(KY157/(INDEX('Standards for Conversions'!$H$47:$H$73,MATCH(KX$3,'Standards for Conversions'!$A$47:$A$73,0)))=0,"",KY157/(INDEX('Standards for Conversions'!$H$47:$H$73,MATCH(KX$3,'Standards for Conversions'!$A$47:$A$73,0))))</f>
        <v/>
      </c>
      <c r="LA157" s="33" t="s">
        <v>98</v>
      </c>
      <c r="LD157" s="31" t="str">
        <f>IF(LC157/(INDEX('Standards for Conversions'!$H$47:$H$73,MATCH(LB$3,'Standards for Conversions'!$A$47:$A$73,0)))=0,"",LC157/(INDEX('Standards for Conversions'!$H$47:$H$73,MATCH(LB$3,'Standards for Conversions'!$A$47:$A$73,0))))</f>
        <v/>
      </c>
      <c r="LE157" s="33" t="s">
        <v>98</v>
      </c>
      <c r="LF157" s="33">
        <f>2.16*79</f>
        <v>170.64000000000001</v>
      </c>
      <c r="LG157" s="33">
        <v>36045</v>
      </c>
      <c r="LH157" s="31">
        <f>IF(LG157/(INDEX('Standards for Conversions'!$H$47:$H$73,MATCH(LF$3,'Standards for Conversions'!$A$47:$A$73,0)))=0,"",LG157/(INDEX('Standards for Conversions'!$H$47:$H$73,MATCH(LF$3,'Standards for Conversions'!$A$47:$A$73,0))))</f>
        <v>4383.6691476927081</v>
      </c>
      <c r="LL157" s="31" t="str">
        <f>IF(LK157/(INDEX('Standards for Conversions'!$H$47:$H$73,MATCH(LJ$3,'Standards for Conversions'!$A$47:$A$73,0)))=0,"",LK157/(INDEX('Standards for Conversions'!$H$47:$H$73,MATCH(LJ$3,'Standards for Conversions'!$A$47:$A$73,0))))</f>
        <v/>
      </c>
      <c r="LO157" s="31" t="str">
        <f>IF(LN157/(INDEX('Standards for Conversions'!$H$47:$H$73,MATCH(LM$3,'Standards for Conversions'!$A$47:$A$73,0)))=0,"",LN157/(INDEX('Standards for Conversions'!$H$47:$H$73,MATCH(LM$3,'Standards for Conversions'!$A$47:$A$73,0))))</f>
        <v/>
      </c>
      <c r="LR157" s="31" t="str">
        <f>IF(LQ157/(INDEX('Standards for Conversions'!$H$47:$H$73,MATCH(LP$3,'Standards for Conversions'!$A$47:$A$73,0)))=0,"",LQ157/(INDEX('Standards for Conversions'!$H$47:$H$73,MATCH(LP$3,'Standards for Conversions'!$A$47:$A$73,0))))</f>
        <v/>
      </c>
      <c r="LV157" s="31" t="str">
        <f>IF(LU157/(INDEX('Standards for Conversions'!$H$47:$H$73,MATCH(LT$3,'Standards for Conversions'!$A$47:$A$73,0)))=0,"",LU157/(INDEX('Standards for Conversions'!$H$47:$H$73,MATCH(LT$3,'Standards for Conversions'!$A$47:$A$73,0))))</f>
        <v/>
      </c>
      <c r="LY157" s="31" t="str">
        <f>IF(LX157/(INDEX('Standards for Conversions'!$H$47:$H$73,MATCH(LW$3,'Standards for Conversions'!$A$47:$A$73,0)))=0,"",LX157/(INDEX('Standards for Conversions'!$H$47:$H$73,MATCH(LW$3,'Standards for Conversions'!$A$47:$A$73,0))))</f>
        <v/>
      </c>
      <c r="MB157" s="31" t="str">
        <f>IF(MA157/(INDEX('Standards for Conversions'!$H$47:$H$73,MATCH(LZ$3,'Standards for Conversions'!$A$47:$A$73,0)))=0,"",MA157/(INDEX('Standards for Conversions'!$H$47:$H$73,MATCH(LZ$3,'Standards for Conversions'!$A$47:$A$73,0))))</f>
        <v/>
      </c>
      <c r="ME157" s="31" t="str">
        <f>IF(MD157/(INDEX('Standards for Conversions'!$H$47:$H$73,MATCH(MC$3,'Standards for Conversions'!$A$47:$A$73,0)))=0,"",MD157/(INDEX('Standards for Conversions'!$H$47:$H$73,MATCH(MC$3,'Standards for Conversions'!$A$47:$A$73,0))))</f>
        <v/>
      </c>
      <c r="MH157" s="31" t="str">
        <f>IF(MG157/(INDEX('Standards for Conversions'!$H$47:$H$73,MATCH(MF$3,'Standards for Conversions'!$A$47:$A$73,0)))=0,"",MG157/(INDEX('Standards for Conversions'!$H$47:$H$73,MATCH(MF$3,'Standards for Conversions'!$A$47:$A$73,0))))</f>
        <v/>
      </c>
      <c r="MK157" s="31" t="str">
        <f>IF(MJ157/(INDEX('Standards for Conversions'!$H$47:$H$73,MATCH(MI$3,'Standards for Conversions'!$A$47:$A$73,0)))=0,"",MJ157/(INDEX('Standards for Conversions'!$H$47:$H$73,MATCH(MI$3,'Standards for Conversions'!$A$47:$A$73,0))))</f>
        <v/>
      </c>
      <c r="MN157" s="31" t="str">
        <f>IF(MM157/(INDEX('Standards for Conversions'!$H$47:$H$73,MATCH(ML$3,'Standards for Conversions'!$A$47:$A$73,0)))=0,"",MM157/(INDEX('Standards for Conversions'!$H$47:$H$73,MATCH(ML$3,'Standards for Conversions'!$A$47:$A$73,0))))</f>
        <v/>
      </c>
      <c r="MR157" s="31" t="str">
        <f>IF(MQ157/(INDEX('Standards for Conversions'!$H$47:$H$73,MATCH(MP$3,'Standards for Conversions'!$A$47:$A$73,0)))=0,"",MQ157/(INDEX('Standards for Conversions'!$H$47:$H$73,MATCH(MP$3,'Standards for Conversions'!$A$47:$A$73,0))))</f>
        <v/>
      </c>
    </row>
    <row r="158" spans="1:373" s="33" customFormat="1" x14ac:dyDescent="0.3">
      <c r="A158" s="104" t="s">
        <v>420</v>
      </c>
      <c r="B158" s="10"/>
      <c r="C158" s="9"/>
      <c r="D158" s="9"/>
      <c r="E158" s="31" t="str">
        <f>IF(D158/(INDEX('Standards for Conversions'!$H$34:$H$73,MATCH(C$3,'Standards for Conversions'!$A$34:$A$73,0)))=0,"",D158/(INDEX('Standards for Conversions'!$H$34:$H$73,MATCH(C$3,'Standards for Conversions'!$A$34:$A$73,0))))</f>
        <v/>
      </c>
      <c r="F158" s="10"/>
      <c r="G158" s="9"/>
      <c r="H158" s="9"/>
      <c r="I158" s="31" t="str">
        <f>IF(H158/(INDEX('Standards for Conversions'!$H$34:$H$73,MATCH(G$3,'Standards for Conversions'!$A$34:$A$73,0)))=0,"",H158/(INDEX('Standards for Conversions'!$H$34:$H$73,MATCH(G$3,'Standards for Conversions'!$A$34:$A$73,0))))</f>
        <v/>
      </c>
      <c r="J158" s="10"/>
      <c r="K158" s="9"/>
      <c r="L158" s="9"/>
      <c r="M158" s="31" t="str">
        <f>IF(L158/(INDEX('Standards for Conversions'!$H$34:$H$73,MATCH(K$3,'Standards for Conversions'!$A$34:$A$73,0)))=0,"",L158/(INDEX('Standards for Conversions'!$H$34:$H$73,MATCH(K$3,'Standards for Conversions'!$A$34:$A$73,0))))</f>
        <v/>
      </c>
      <c r="N158" s="10"/>
      <c r="O158" s="9"/>
      <c r="P158" s="9"/>
      <c r="Q158" s="31" t="str">
        <f>IF(P158/(INDEX('Standards for Conversions'!$H$34:$H$73,MATCH(O$3,'Standards for Conversions'!$A$34:$A$73,0)))=0,"",P158/(INDEX('Standards for Conversions'!$H$34:$H$73,MATCH(O$3,'Standards for Conversions'!$A$34:$A$73,0))))</f>
        <v/>
      </c>
      <c r="R158" s="10"/>
      <c r="S158" s="9"/>
      <c r="T158" s="9"/>
      <c r="U158" s="31" t="str">
        <f>IF(T158/(INDEX('Standards for Conversions'!$H$34:$H$73,MATCH(S$3,'Standards for Conversions'!$A$34:$A$73,0)))=0,"",T158/(INDEX('Standards for Conversions'!$H$34:$H$73,MATCH(S$3,'Standards for Conversions'!$A$34:$A$73,0))))</f>
        <v/>
      </c>
      <c r="V158" s="10"/>
      <c r="W158" s="9"/>
      <c r="X158" s="9"/>
      <c r="Y158" s="31" t="str">
        <f>IF(X158/(INDEX('Standards for Conversions'!$H$34:$H$73,MATCH(W$3,'Standards for Conversions'!$A$34:$A$73,0)))=0,"",X158/(INDEX('Standards for Conversions'!$H$34:$H$73,MATCH(W$3,'Standards for Conversions'!$A$34:$A$73,0))))</f>
        <v/>
      </c>
      <c r="Z158" s="10"/>
      <c r="AA158" s="9"/>
      <c r="AB158" s="9"/>
      <c r="AC158" s="31" t="str">
        <f>IF(AB158/(INDEX('Standards for Conversions'!$H$34:$H$73,MATCH(AA$3,'Standards for Conversions'!$A$34:$A$73,0)))=0,"",AB158/(INDEX('Standards for Conversions'!$H$34:$H$73,MATCH(AA$3,'Standards for Conversions'!$A$34:$A$73,0))))</f>
        <v/>
      </c>
      <c r="AD158" s="10"/>
      <c r="AE158" s="9"/>
      <c r="AF158" s="9"/>
      <c r="AG158" s="31" t="str">
        <f>IF(AF158/(INDEX('Standards for Conversions'!$H$34:$H$73,MATCH(AE$3,'Standards for Conversions'!$A$34:$A$73,0)))=0,"",AF158/(INDEX('Standards for Conversions'!$H$34:$H$73,MATCH(AE$3,'Standards for Conversions'!$A$34:$A$73,0))))</f>
        <v/>
      </c>
      <c r="AH158" s="10"/>
      <c r="AI158" s="9"/>
      <c r="AJ158" s="9"/>
      <c r="AK158" s="31" t="str">
        <f>IF(AJ158/(INDEX('Standards for Conversions'!$H$34:$H$73,MATCH(AI$3,'Standards for Conversions'!$A$34:$A$73,0)))=0,"",AJ158/(INDEX('Standards for Conversions'!$H$34:$H$73,MATCH(AI$3,'Standards for Conversions'!$A$34:$A$73,0))))</f>
        <v/>
      </c>
      <c r="AL158" s="10"/>
      <c r="AM158" s="9"/>
      <c r="AN158" s="9"/>
      <c r="AO158" s="31" t="str">
        <f>IF(AN158/(INDEX('Standards for Conversions'!$H$34:$H$73,MATCH(AM$3,'Standards for Conversions'!$A$34:$A$73,0)))=0,"",AN158/(INDEX('Standards for Conversions'!$H$34:$H$73,MATCH(AM$3,'Standards for Conversions'!$A$34:$A$73,0))))</f>
        <v/>
      </c>
      <c r="AP158" s="10"/>
      <c r="AQ158" s="9"/>
      <c r="AR158" s="9"/>
      <c r="AS158" s="31" t="str">
        <f>IF(AR158/(INDEX('Standards for Conversions'!$H$34:$H$73,MATCH(AQ$3,'Standards for Conversions'!$A$34:$A$73,0)))=0,"",AR158/(INDEX('Standards for Conversions'!$H$34:$H$73,MATCH(AQ$3,'Standards for Conversions'!$A$34:$A$73,0))))</f>
        <v/>
      </c>
      <c r="AT158" s="10"/>
      <c r="AU158" s="9"/>
      <c r="AV158" s="9"/>
      <c r="AW158" s="31" t="str">
        <f>IF(AV158/(INDEX('Standards for Conversions'!$H$34:$H$73,MATCH(AU$3,'Standards for Conversions'!$A$34:$A$73,0)))=0,"",AV158/(INDEX('Standards for Conversions'!$H$34:$H$73,MATCH(AU$3,'Standards for Conversions'!$A$34:$A$73,0))))</f>
        <v/>
      </c>
      <c r="AX158" s="10"/>
      <c r="AY158" s="9"/>
      <c r="AZ158" s="9"/>
      <c r="BA158" s="31" t="str">
        <f>IF(AZ158/(INDEX('Standards for Conversions'!$H$34:$H$73,MATCH(AY$3,'Standards for Conversions'!$A$34:$A$73,0)))=0,"",AZ158/(INDEX('Standards for Conversions'!$H$34:$H$73,MATCH(AY$3,'Standards for Conversions'!$A$34:$A$73,0))))</f>
        <v/>
      </c>
      <c r="BB158" s="10"/>
      <c r="BC158" s="9"/>
      <c r="BD158" s="9"/>
      <c r="BE158" s="31" t="str">
        <f>IF(BD158/(INDEX('Standards for Conversions'!$H$34:$H$73,MATCH(BC$3,'Standards for Conversions'!$A$34:$A$73,0)))=0,"",BD158/(INDEX('Standards for Conversions'!$H$34:$H$73,MATCH(BC$3,'Standards for Conversions'!$A$34:$A$73,0))))</f>
        <v/>
      </c>
      <c r="BF158" s="10"/>
      <c r="BG158" s="9"/>
      <c r="BH158" s="9"/>
      <c r="BI158" s="31" t="str">
        <f>IF(BH158/(INDEX('Standards for Conversions'!$H$34:$H$73,MATCH(BG$3,'Standards for Conversions'!$A$34:$A$73,0)))=0,"",BH158/(INDEX('Standards for Conversions'!$H$34:$H$73,MATCH(BG$3,'Standards for Conversions'!$A$34:$A$73,0))))</f>
        <v/>
      </c>
      <c r="BJ158" s="10"/>
      <c r="BK158" s="9"/>
      <c r="BL158" s="9"/>
      <c r="BM158" s="31" t="str">
        <f>IF(BL158/(INDEX('Standards for Conversions'!$H$34:$H$73,MATCH(BK$3,'Standards for Conversions'!$A$34:$A$73,0)))=0,"",BL158/(INDEX('Standards for Conversions'!$H$34:$H$73,MATCH(BK$3,'Standards for Conversions'!$A$34:$A$73,0))))</f>
        <v/>
      </c>
      <c r="BN158" s="10"/>
      <c r="BO158" s="9"/>
      <c r="BP158" s="9"/>
      <c r="BQ158" s="31" t="str">
        <f>IF(BP158/(INDEX('Standards for Conversions'!$H$34:$H$73,MATCH(BO$3,'Standards for Conversions'!$A$34:$A$73,0)))=0,"",BP158/(INDEX('Standards for Conversions'!$H$34:$H$73,MATCH(BO$3,'Standards for Conversions'!$A$34:$A$73,0))))</f>
        <v/>
      </c>
      <c r="BR158" s="10"/>
      <c r="BS158" s="9"/>
      <c r="BT158" s="9"/>
      <c r="BU158" s="31" t="str">
        <f>IF(BT158/(INDEX('Standards for Conversions'!$H$34:$H$73,MATCH(BS$3,'Standards for Conversions'!$A$34:$A$73,0)))=0,"",BT158/(INDEX('Standards for Conversions'!$H$34:$H$73,MATCH(BS$3,'Standards for Conversions'!$A$34:$A$73,0))))</f>
        <v/>
      </c>
      <c r="BV158" s="10"/>
      <c r="BW158" s="9"/>
      <c r="BX158" s="9"/>
      <c r="BY158" s="31" t="str">
        <f>IF(BX158/(INDEX('Standards for Conversions'!$H$34:$H$73,MATCH(BW$3,'Standards for Conversions'!$A$34:$A$73,0)))=0,"",BX158/(INDEX('Standards for Conversions'!$H$34:$H$73,MATCH(BW$3,'Standards for Conversions'!$A$34:$A$73,0))))</f>
        <v/>
      </c>
      <c r="BZ158" s="10"/>
      <c r="CA158" s="9"/>
      <c r="CB158" s="9"/>
      <c r="CC158" s="31" t="str">
        <f>IF(CB158/(INDEX('Standards for Conversions'!$H$34:$H$73,MATCH(CA$3,'Standards for Conversions'!$A$34:$A$73,0)))=0,"",CB158/(INDEX('Standards for Conversions'!$H$34:$H$73,MATCH(CA$3,'Standards for Conversions'!$A$34:$A$73,0))))</f>
        <v/>
      </c>
      <c r="CD158" s="10"/>
      <c r="CE158" s="9"/>
      <c r="CF158" s="9"/>
      <c r="CG158" s="31" t="str">
        <f>IF(CF158/(INDEX('Standards for Conversions'!$H$34:$H$73,MATCH(CE$3,'Standards for Conversions'!$A$34:$A$73,0)))=0,"",CF158/(INDEX('Standards for Conversions'!$H$34:$H$73,MATCH(CE$3,'Standards for Conversions'!$A$34:$A$73,0))))</f>
        <v/>
      </c>
      <c r="CH158" s="10"/>
      <c r="CI158" s="9"/>
      <c r="CJ158" s="9"/>
      <c r="CK158" s="31" t="str">
        <f>IF(CJ158/(INDEX('Standards for Conversions'!$H$34:$H$73,MATCH(CI$3,'Standards for Conversions'!$A$34:$A$73,0)))=0,"",CJ158/(INDEX('Standards for Conversions'!$H$34:$H$73,MATCH(CI$3,'Standards for Conversions'!$A$34:$A$73,0))))</f>
        <v/>
      </c>
      <c r="CL158" s="10"/>
      <c r="CM158" s="9"/>
      <c r="CN158" s="9"/>
      <c r="CO158" s="31" t="str">
        <f>IF(CN158/(INDEX('Standards for Conversions'!$H$34:$H$73,MATCH(CM$3,'Standards for Conversions'!$A$34:$A$73,0)))=0,"",CN158/(INDEX('Standards for Conversions'!$H$34:$H$73,MATCH(CM$3,'Standards for Conversions'!$A$34:$A$73,0))))</f>
        <v/>
      </c>
      <c r="CP158" s="9"/>
      <c r="CQ158" s="9"/>
      <c r="CR158" s="9"/>
      <c r="CS158" s="31" t="str">
        <f>IF(CR158/(INDEX('Standards for Conversions'!$H$34:$H$73,MATCH(CQ$3,'Standards for Conversions'!$A$34:$A$73,0)))=0,"",CR158/(INDEX('Standards for Conversions'!$H$34:$H$73,MATCH(CQ$3,'Standards for Conversions'!$A$34:$A$73,0))))</f>
        <v/>
      </c>
      <c r="CT158" s="10"/>
      <c r="CU158" s="9"/>
      <c r="CV158" s="9"/>
      <c r="CW158" s="31" t="str">
        <f>IF(CV158/(INDEX('Standards for Conversions'!$H$34:$H$73,MATCH(CU$3,'Standards for Conversions'!$A$34:$A$73,0)))=0,"",CV158/(INDEX('Standards for Conversions'!$H$34:$H$73,MATCH(CU$3,'Standards for Conversions'!$A$34:$A$73,0))))</f>
        <v/>
      </c>
      <c r="CX158" s="10"/>
      <c r="CY158" s="9"/>
      <c r="CZ158" s="9"/>
      <c r="DA158" s="31" t="str">
        <f>IF(CZ158/(INDEX('Standards for Conversions'!$H$34:$H$73,MATCH(CY$3,'Standards for Conversions'!$A$34:$A$73,0)))=0,"",CZ158/(INDEX('Standards for Conversions'!$H$34:$H$73,MATCH(CY$3,'Standards for Conversions'!$A$34:$A$73,0))))</f>
        <v/>
      </c>
      <c r="DB158" s="10"/>
      <c r="DC158" s="9"/>
      <c r="DD158" s="9"/>
      <c r="DE158" s="31" t="str">
        <f>IF(DD158/(INDEX('Standards for Conversions'!$H$34:$H$73,MATCH(DC$3,'Standards for Conversions'!$A$34:$A$73,0)))=0,"",DD158/(INDEX('Standards for Conversions'!$H$34:$H$73,MATCH(DC$3,'Standards for Conversions'!$A$34:$A$73,0))))</f>
        <v/>
      </c>
      <c r="DF158" s="10"/>
      <c r="DG158" s="9"/>
      <c r="DH158" s="9"/>
      <c r="DI158" s="31" t="str">
        <f>IF(DH158/(INDEX('Standards for Conversions'!$H$34:$H$73,MATCH(DG$3,'Standards for Conversions'!$A$34:$A$73,0)))=0,"",DH158/(INDEX('Standards for Conversions'!$H$34:$H$73,MATCH(DG$3,'Standards for Conversions'!$A$34:$A$73,0))))</f>
        <v/>
      </c>
      <c r="DJ158" s="10"/>
      <c r="DK158" s="9"/>
      <c r="DL158" s="9"/>
      <c r="DM158" s="31" t="str">
        <f>IF(DL158/(INDEX('Standards for Conversions'!$H$34:$H$73,MATCH(DK$3,'Standards for Conversions'!$A$34:$A$73,0)))=0,"",DL158/(INDEX('Standards for Conversions'!$H$34:$H$73,MATCH(DK$3,'Standards for Conversions'!$A$34:$A$73,0))))</f>
        <v/>
      </c>
      <c r="DN158" s="10"/>
      <c r="DO158" s="9"/>
      <c r="DP158" s="9"/>
      <c r="DQ158" s="31" t="str">
        <f>IF(DP158/(INDEX('Standards for Conversions'!$H$34:$H$73,MATCH(DO$3,'Standards for Conversions'!$A$34:$A$73,0)))=0,"",DP158/(INDEX('Standards for Conversions'!$H$34:$H$73,MATCH(DO$3,'Standards for Conversions'!$A$34:$A$73,0))))</f>
        <v/>
      </c>
      <c r="DR158" s="10"/>
      <c r="DS158" s="9"/>
      <c r="DT158" s="9"/>
      <c r="DU158" s="31" t="str">
        <f>IF(DT158/(INDEX('Standards for Conversions'!$H$34:$H$73,MATCH(DS$3,'Standards for Conversions'!$A$34:$A$73,0)))=0,"",DT158/(INDEX('Standards for Conversions'!$H$34:$H$73,MATCH(DS$3,'Standards for Conversions'!$A$34:$A$73,0))))</f>
        <v/>
      </c>
      <c r="DV158" s="10"/>
      <c r="DW158" s="9"/>
      <c r="DX158" s="9"/>
      <c r="DY158" s="31" t="str">
        <f>IF(DX158/(INDEX('Standards for Conversions'!$H$34:$H$73,MATCH(DW$3,'Standards for Conversions'!$A$34:$A$73,0)))=0,"",DX158/(INDEX('Standards for Conversions'!$H$34:$H$73,MATCH(DW$3,'Standards for Conversions'!$A$34:$A$73,0))))</f>
        <v/>
      </c>
      <c r="DZ158" s="10"/>
      <c r="EA158" s="9"/>
      <c r="EB158" s="9"/>
      <c r="EC158" s="31" t="str">
        <f>IF(EB158/(INDEX('Standards for Conversions'!$H$34:$H$73,MATCH(EA$3,'Standards for Conversions'!$A$34:$A$73,0)))=0,"",EB158/(INDEX('Standards for Conversions'!$H$34:$H$73,MATCH(EA$3,'Standards for Conversions'!$A$34:$A$73,0))))</f>
        <v/>
      </c>
      <c r="ED158" s="10"/>
      <c r="EE158" s="9"/>
      <c r="EF158" s="9"/>
      <c r="EG158" s="31" t="str">
        <f>IF(EF158/(INDEX('Standards for Conversions'!$H$34:$H$73,MATCH(EE$3,'Standards for Conversions'!$A$34:$A$73,0)))=0,"",EF158/(INDEX('Standards for Conversions'!$H$34:$H$73,MATCH(EE$3,'Standards for Conversions'!$A$34:$A$73,0))))</f>
        <v/>
      </c>
      <c r="EH158" s="10"/>
      <c r="EI158" s="9"/>
      <c r="EJ158" s="9"/>
      <c r="EK158" s="31" t="str">
        <f>IF(EJ158/(INDEX('Standards for Conversions'!$H$34:$H$73,MATCH(EI$3,'Standards for Conversions'!$A$34:$A$73,0)))=0,"",EJ158/(INDEX('Standards for Conversions'!$H$34:$H$73,MATCH(EI$3,'Standards for Conversions'!$A$34:$A$73,0))))</f>
        <v/>
      </c>
      <c r="EL158" s="10"/>
      <c r="EM158" s="9"/>
      <c r="EN158" s="9"/>
      <c r="EO158" s="31" t="str">
        <f>IF(EN158/(INDEX('Standards for Conversions'!$H$34:$H$73,MATCH(EM$3,'Standards for Conversions'!$A$34:$A$73,0)))=0,"",EN158/(INDEX('Standards for Conversions'!$H$34:$H$73,MATCH(EM$3,'Standards for Conversions'!$A$34:$A$73,0))))</f>
        <v/>
      </c>
      <c r="EP158" s="10"/>
      <c r="EQ158" s="9"/>
      <c r="ER158" s="9"/>
      <c r="ES158" s="31" t="str">
        <f>IF(ER158/(INDEX('Standards for Conversions'!$H$34:$H$73,MATCH(EQ$3,'Standards for Conversions'!$A$34:$A$73,0)))=0,"",ER158/(INDEX('Standards for Conversions'!$H$34:$H$73,MATCH(EQ$3,'Standards for Conversions'!$A$34:$A$73,0))))</f>
        <v/>
      </c>
      <c r="ET158" s="10"/>
      <c r="EU158" s="9"/>
      <c r="EV158" s="9"/>
      <c r="EW158" s="31" t="str">
        <f>IF(EV158/(INDEX('Standards for Conversions'!$H$34:$H$73,MATCH(EU$3,'Standards for Conversions'!$A$34:$A$73,0)))=0,"",EV158/(INDEX('Standards for Conversions'!$H$34:$H$73,MATCH(EU$3,'Standards for Conversions'!$A$34:$A$73,0))))</f>
        <v/>
      </c>
      <c r="EX158" s="10"/>
      <c r="EY158" s="9"/>
      <c r="EZ158" s="9"/>
      <c r="FA158" s="31" t="str">
        <f>IF(EZ158/(INDEX('Standards for Conversions'!$H$34:$H$73,MATCH(EY$3,'Standards for Conversions'!$A$34:$A$73,0)))=0,"",EZ158/(INDEX('Standards for Conversions'!$H$34:$H$73,MATCH(EY$3,'Standards for Conversions'!$A$34:$A$73,0))))</f>
        <v/>
      </c>
      <c r="FB158" s="10"/>
      <c r="FC158" s="9"/>
      <c r="FD158" s="9"/>
      <c r="FE158" s="31" t="str">
        <f>IF(FD158/(INDEX('Standards for Conversions'!$H$34:$H$73,MATCH(FC$3,'Standards for Conversions'!$A$34:$A$73,0)))=0,"",FD158/(INDEX('Standards for Conversions'!$H$34:$H$73,MATCH(FC$3,'Standards for Conversions'!$A$34:$A$73,0))))</f>
        <v/>
      </c>
      <c r="FF158" s="10"/>
      <c r="FG158" s="9"/>
      <c r="FH158" s="9"/>
      <c r="FI158" s="31" t="str">
        <f>IF(FH158/(INDEX('Standards for Conversions'!$H$34:$H$73,MATCH(FG$3,'Standards for Conversions'!$A$34:$A$73,0)))=0,"",FH158/(INDEX('Standards for Conversions'!$H$34:$H$73,MATCH(FG$3,'Standards for Conversions'!$A$34:$A$73,0))))</f>
        <v/>
      </c>
      <c r="FJ158" s="10"/>
      <c r="FK158" s="9"/>
      <c r="FL158" s="9"/>
      <c r="FM158" s="31" t="str">
        <f>IF(FL158/(INDEX('Standards for Conversions'!$H$34:$H$73,MATCH(FK$3,'Standards for Conversions'!$A$34:$A$73,0)))=0,"",FL158/(INDEX('Standards for Conversions'!$H$34:$H$73,MATCH(FK$3,'Standards for Conversions'!$A$34:$A$73,0))))</f>
        <v/>
      </c>
      <c r="FN158" s="10"/>
      <c r="FO158" s="9"/>
      <c r="FP158" s="9"/>
      <c r="FQ158" s="31" t="str">
        <f>IF(FP158/(INDEX('Standards for Conversions'!$H$34:$H$73,MATCH(FO$3,'Standards for Conversions'!$A$34:$A$73,0)))=0,"",FP158/(INDEX('Standards for Conversions'!$H$34:$H$73,MATCH(FO$3,'Standards for Conversions'!$A$34:$A$73,0))))</f>
        <v/>
      </c>
      <c r="FR158" s="10"/>
      <c r="FS158" s="9"/>
      <c r="FT158" s="9"/>
      <c r="FU158" s="31" t="str">
        <f>IF(FT158/(INDEX('Standards for Conversions'!$H$34:$H$73,MATCH(FS$3,'Standards for Conversions'!$A$34:$A$73,0)))=0,"",FT158/(INDEX('Standards for Conversions'!$H$34:$H$73,MATCH(FS$3,'Standards for Conversions'!$A$34:$A$73,0))))</f>
        <v/>
      </c>
      <c r="FV158" s="10"/>
      <c r="FW158" s="9"/>
      <c r="FX158" s="9"/>
      <c r="FY158" s="31" t="str">
        <f>IF(FX158/(INDEX('Standards for Conversions'!$H$34:$H$73,MATCH(FW$3,'Standards for Conversions'!$A$34:$A$73,0)))=0,"",FX158/(INDEX('Standards for Conversions'!$H$34:$H$73,MATCH(FW$3,'Standards for Conversions'!$A$34:$A$73,0))))</f>
        <v/>
      </c>
      <c r="FZ158" s="10"/>
      <c r="GA158" s="9"/>
      <c r="GB158" s="9"/>
      <c r="GC158" s="31" t="str">
        <f>IF(GB158/(INDEX('Standards for Conversions'!$H$34:$H$73,MATCH(GA$3,'Standards for Conversions'!$A$34:$A$73,0)))=0,"",GB158/(INDEX('Standards for Conversions'!$H$34:$H$73,MATCH(GA$3,'Standards for Conversions'!$A$34:$A$73,0))))</f>
        <v/>
      </c>
      <c r="GD158" s="10"/>
      <c r="GE158" s="9"/>
      <c r="GF158" s="9"/>
      <c r="GG158" s="31" t="str">
        <f>IF(GF158/(INDEX('Standards for Conversions'!$H$34:$H$73,MATCH(GE$3,'Standards for Conversions'!$A$34:$A$73,0)))=0,"",GF158/(INDEX('Standards for Conversions'!$H$34:$H$73,MATCH(GE$3,'Standards for Conversions'!$A$34:$A$73,0))))</f>
        <v/>
      </c>
      <c r="GH158" s="10"/>
      <c r="GI158" s="9"/>
      <c r="GJ158" s="9"/>
      <c r="GK158" s="31" t="str">
        <f>IF(GJ158/(INDEX('Standards for Conversions'!$H$34:$H$73,MATCH(GI$3,'Standards for Conversions'!$A$34:$A$73,0)))=0,"",GJ158/(INDEX('Standards for Conversions'!$H$34:$H$73,MATCH(GI$3,'Standards for Conversions'!$A$34:$A$73,0))))</f>
        <v/>
      </c>
      <c r="GL158" s="10"/>
      <c r="GM158" s="9"/>
      <c r="GN158" s="9"/>
      <c r="GO158" s="31" t="str">
        <f>IF(GN158/(INDEX('Standards for Conversions'!$H$34:$H$73,MATCH(GM$3,'Standards for Conversions'!$A$34:$A$73,0)))=0,"",GN158/(INDEX('Standards for Conversions'!$H$34:$H$73,MATCH(GM$3,'Standards for Conversions'!$A$34:$A$73,0))))</f>
        <v/>
      </c>
      <c r="GP158" s="10"/>
      <c r="GQ158" s="9"/>
      <c r="GR158" s="9"/>
      <c r="GS158" s="31" t="str">
        <f>IF(GR158/(INDEX('Standards for Conversions'!$H$34:$H$73,MATCH(GQ$3,'Standards for Conversions'!$A$34:$A$73,0)))=0,"",GR158/(INDEX('Standards for Conversions'!$H$34:$H$73,MATCH(GQ$3,'Standards for Conversions'!$A$34:$A$73,0))))</f>
        <v/>
      </c>
      <c r="GT158" s="10"/>
      <c r="GU158" s="9"/>
      <c r="GV158" s="9"/>
      <c r="GW158" s="31" t="str">
        <f>IF(GV158/(INDEX('Standards for Conversions'!$H$34:$H$73,MATCH(GU$3,'Standards for Conversions'!$A$34:$A$73,0)))=0,"",GV158/(INDEX('Standards for Conversions'!$H$34:$H$73,MATCH(GU$3,'Standards for Conversions'!$A$34:$A$73,0))))</f>
        <v/>
      </c>
      <c r="GX158" s="10"/>
      <c r="GY158" s="9"/>
      <c r="GZ158" s="9"/>
      <c r="HA158" s="31" t="str">
        <f>IF(GZ158/(INDEX('Standards for Conversions'!$H$34:$H$73,MATCH(GY$3,'Standards for Conversions'!$A$34:$A$73,0)))=0,"",GZ158/(INDEX('Standards for Conversions'!$H$34:$H$73,MATCH(GY$3,'Standards for Conversions'!$A$34:$A$73,0))))</f>
        <v/>
      </c>
      <c r="HB158" s="10"/>
      <c r="HC158" s="9"/>
      <c r="HD158" s="9"/>
      <c r="HE158" s="31" t="str">
        <f>IF(HD158/(INDEX('Standards for Conversions'!$H$34:$H$73,MATCH(HC$3,'Standards for Conversions'!$A$34:$A$73,0)))=0,"",HD158/(INDEX('Standards for Conversions'!$H$34:$H$73,MATCH(HC$3,'Standards for Conversions'!$A$34:$A$73,0))))</f>
        <v/>
      </c>
      <c r="HF158" s="10"/>
      <c r="HG158" s="9"/>
      <c r="HH158" s="9"/>
      <c r="HI158" s="31" t="str">
        <f>IF(HH158/(INDEX('Standards for Conversions'!$H$34:$H$73,MATCH(HG$3,'Standards for Conversions'!$A$34:$A$73,0)))=0,"",HH158/(INDEX('Standards for Conversions'!$H$34:$H$73,MATCH(HG$3,'Standards for Conversions'!$A$34:$A$73,0))))</f>
        <v/>
      </c>
      <c r="HJ158" s="10"/>
      <c r="HK158" s="9"/>
      <c r="HL158" s="9"/>
      <c r="HM158" s="31" t="str">
        <f>IF(HL158/(INDEX('Standards for Conversions'!$H$34:$H$73,MATCH(HK$3,'Standards for Conversions'!$A$34:$A$73,0)))=0,"",HL158/(INDEX('Standards for Conversions'!$H$34:$H$73,MATCH(HK$3,'Standards for Conversions'!$A$34:$A$73,0))))</f>
        <v/>
      </c>
      <c r="HN158" s="10"/>
      <c r="HO158" s="9"/>
      <c r="HP158" s="9"/>
      <c r="HQ158" s="31" t="str">
        <f>IF(HP158/(INDEX('Standards for Conversions'!$H$34:$H$73,MATCH(HO$3,'Standards for Conversions'!$A$34:$A$73,0)))=0,"",HP158/(INDEX('Standards for Conversions'!$H$34:$H$73,MATCH(HO$3,'Standards for Conversions'!$A$34:$A$73,0))))</f>
        <v/>
      </c>
      <c r="HR158" s="33" t="s">
        <v>40</v>
      </c>
      <c r="HU158" s="31" t="str">
        <f>IF(HT158/(INDEX('Standards for Conversions'!$H$47:$H$73,MATCH(HS$3,'Standards for Conversions'!$A$47:$A$73,0)))=0,"",HT158/(INDEX('Standards for Conversions'!$H$47:$H$73,MATCH(HS$3,'Standards for Conversions'!$A$47:$A$73,0))))</f>
        <v/>
      </c>
      <c r="HV158" s="33" t="s">
        <v>40</v>
      </c>
      <c r="HY158" s="31" t="str">
        <f>IF(HX158/(INDEX('Standards for Conversions'!$H$47:$H$73,MATCH(HW$3,'Standards for Conversions'!$A$47:$A$73,0)))=0,"",HX158/(INDEX('Standards for Conversions'!$H$47:$H$73,MATCH(HW$3,'Standards for Conversions'!$A$47:$A$73,0))))</f>
        <v/>
      </c>
      <c r="IB158" s="31" t="str">
        <f>IF(IA158/(INDEX('Standards for Conversions'!$H$47:$H$73,MATCH(HZ$3,'Standards for Conversions'!$A$47:$A$73,0)))=0,"",IA158/(INDEX('Standards for Conversions'!$H$47:$H$73,MATCH(HZ$3,'Standards for Conversions'!$A$47:$A$73,0))))</f>
        <v/>
      </c>
      <c r="IC158" s="33" t="s">
        <v>40</v>
      </c>
      <c r="ID158" s="33">
        <f>2.16*12</f>
        <v>25.92</v>
      </c>
      <c r="IE158" s="33">
        <v>4000</v>
      </c>
      <c r="IF158" s="31">
        <f>IF(IE158/(INDEX('Standards for Conversions'!$H$47:$H$73,MATCH(ID$3,'Standards for Conversions'!$A$47:$A$73,0)))=0,"",IE158/(INDEX('Standards for Conversions'!$H$47:$H$73,MATCH(ID$3,'Standards for Conversions'!$A$47:$A$73,0))))</f>
        <v>580.98164885142387</v>
      </c>
      <c r="IG158" s="33" t="s">
        <v>40</v>
      </c>
      <c r="IJ158" s="31" t="str">
        <f>IF(II158/(INDEX('Standards for Conversions'!$H$47:$H$73,MATCH(IH$3,'Standards for Conversions'!$A$47:$A$73,0)))=0,"",II158/(INDEX('Standards for Conversions'!$H$47:$H$73,MATCH(IH$3,'Standards for Conversions'!$A$47:$A$73,0))))</f>
        <v/>
      </c>
      <c r="IK158" s="33" t="s">
        <v>40</v>
      </c>
      <c r="IN158" s="31" t="str">
        <f>IF(IM158/(INDEX('Standards for Conversions'!$H$47:$H$73,MATCH(IL$3,'Standards for Conversions'!$A$47:$A$73,0)))=0,"",IM158/(INDEX('Standards for Conversions'!$H$47:$H$73,MATCH(IL$3,'Standards for Conversions'!$A$47:$A$73,0))))</f>
        <v/>
      </c>
      <c r="IO158" s="33" t="s">
        <v>40</v>
      </c>
      <c r="IR158" s="31" t="str">
        <f>IF(IQ158/(INDEX('Standards for Conversions'!$H$47:$H$73,MATCH(IP$3,'Standards for Conversions'!$A$47:$A$73,0)))=0,"",IQ158/(INDEX('Standards for Conversions'!$H$47:$H$73,MATCH(IP$3,'Standards for Conversions'!$A$47:$A$73,0))))</f>
        <v/>
      </c>
      <c r="IS158" s="33" t="s">
        <v>40</v>
      </c>
      <c r="IT158" s="33">
        <f>47</f>
        <v>47</v>
      </c>
      <c r="IU158" s="33">
        <v>7899</v>
      </c>
      <c r="IV158" s="31">
        <f>IF(IU158/(INDEX('Standards for Conversions'!$H$47:$H$73,MATCH(IT$3,'Standards for Conversions'!$A$47:$A$73,0)))=0,"",IU158/(INDEX('Standards for Conversions'!$H$47:$H$73,MATCH(IT$3,'Standards for Conversions'!$A$47:$A$73,0))))</f>
        <v>1142.2761925078212</v>
      </c>
      <c r="IW158" s="33" t="s">
        <v>40</v>
      </c>
      <c r="IZ158" s="31" t="str">
        <f>IF(IY158/(INDEX('Standards for Conversions'!$H$47:$H$73,MATCH(IX$3,'Standards for Conversions'!$A$47:$A$73,0)))=0,"",IY158/(INDEX('Standards for Conversions'!$H$47:$H$73,MATCH(IX$3,'Standards for Conversions'!$A$47:$A$73,0))))</f>
        <v/>
      </c>
      <c r="JA158" s="33" t="s">
        <v>40</v>
      </c>
      <c r="JD158" s="31" t="str">
        <f>IF(JC158/(INDEX('Standards for Conversions'!$H$47:$H$73,MATCH(JB$3,'Standards for Conversions'!$A$47:$A$73,0)))=0,"",JC158/(INDEX('Standards for Conversions'!$H$47:$H$73,MATCH(JB$3,'Standards for Conversions'!$A$47:$A$73,0))))</f>
        <v/>
      </c>
      <c r="JE158" s="33" t="s">
        <v>40</v>
      </c>
      <c r="JH158" s="31" t="str">
        <f>IF(JG158/(INDEX('Standards for Conversions'!$H$47:$H$73,MATCH(JF$3,'Standards for Conversions'!$A$47:$A$73,0)))=0,"",JG158/(INDEX('Standards for Conversions'!$H$47:$H$73,MATCH(JF$3,'Standards for Conversions'!$A$47:$A$73,0))))</f>
        <v/>
      </c>
      <c r="JI158" s="33" t="s">
        <v>40</v>
      </c>
      <c r="JJ158" s="33">
        <v>50</v>
      </c>
      <c r="JK158" s="33">
        <v>6800</v>
      </c>
      <c r="JL158" s="31">
        <f>IF(JK158/(INDEX('Standards for Conversions'!$H$47:$H$73,MATCH(JJ$3,'Standards for Conversions'!$A$47:$A$73,0)))=0,"",JK158/(INDEX('Standards for Conversions'!$H$47:$H$73,MATCH(JJ$3,'Standards for Conversions'!$A$47:$A$73,0))))</f>
        <v>1099.969337504707</v>
      </c>
      <c r="JM158" s="33" t="s">
        <v>40</v>
      </c>
      <c r="JP158" s="31" t="str">
        <f>IF(JO158/(INDEX('Standards for Conversions'!$H$47:$H$73,MATCH(JN$3,'Standards for Conversions'!$A$47:$A$73,0)))=0,"",JO158/(INDEX('Standards for Conversions'!$H$47:$H$73,MATCH(JN$3,'Standards for Conversions'!$A$47:$A$73,0))))</f>
        <v/>
      </c>
      <c r="JQ158" s="33" t="s">
        <v>40</v>
      </c>
      <c r="JT158" s="31" t="str">
        <f>IF(JS158/(INDEX('Standards for Conversions'!$H$47:$H$73,MATCH(JR$3,'Standards for Conversions'!$A$47:$A$73,0)))=0,"",JS158/(INDEX('Standards for Conversions'!$H$47:$H$73,MATCH(JR$3,'Standards for Conversions'!$A$47:$A$73,0))))</f>
        <v/>
      </c>
      <c r="JU158" s="33" t="s">
        <v>40</v>
      </c>
      <c r="JX158" s="31" t="str">
        <f>IF(JW158/(INDEX('Standards for Conversions'!$H$47:$H$73,MATCH(JV$3,'Standards for Conversions'!$A$47:$A$73,0)))=0,"",JW158/(INDEX('Standards for Conversions'!$H$47:$H$73,MATCH(JV$3,'Standards for Conversions'!$A$47:$A$73,0))))</f>
        <v/>
      </c>
      <c r="JY158" s="33" t="s">
        <v>40</v>
      </c>
      <c r="JZ158" s="33">
        <v>40</v>
      </c>
      <c r="KA158" s="33">
        <v>6000</v>
      </c>
      <c r="KB158" s="31">
        <f>IF(KA158/(INDEX('Standards for Conversions'!$H$47:$H$73,MATCH(JZ$3,'Standards for Conversions'!$A$47:$A$73,0)))=0,"",KA158/(INDEX('Standards for Conversions'!$H$47:$H$73,MATCH(JZ$3,'Standards for Conversions'!$A$47:$A$73,0))))</f>
        <v>915.93535456678535</v>
      </c>
      <c r="KC158" s="33" t="s">
        <v>40</v>
      </c>
      <c r="KF158" s="31" t="str">
        <f>IF(KE158/(INDEX('Standards for Conversions'!$H$47:$H$73,MATCH(KD$3,'Standards for Conversions'!$A$47:$A$73,0)))=0,"",KE158/(INDEX('Standards for Conversions'!$H$47:$H$73,MATCH(KD$3,'Standards for Conversions'!$A$47:$A$73,0))))</f>
        <v/>
      </c>
      <c r="KG158" s="33" t="s">
        <v>40</v>
      </c>
      <c r="KJ158" s="31" t="str">
        <f>IF(KI158/(INDEX('Standards for Conversions'!$H$47:$H$73,MATCH(KH$3,'Standards for Conversions'!$A$47:$A$73,0)))=0,"",KI158/(INDEX('Standards for Conversions'!$H$47:$H$73,MATCH(KH$3,'Standards for Conversions'!$A$47:$A$73,0))))</f>
        <v/>
      </c>
      <c r="KK158" s="33" t="s">
        <v>40</v>
      </c>
      <c r="KN158" s="31" t="str">
        <f>IF(KM158/(INDEX('Standards for Conversions'!$H$47:$H$73,MATCH(KL$3,'Standards for Conversions'!$A$47:$A$73,0)))=0,"",KM158/(INDEX('Standards for Conversions'!$H$47:$H$73,MATCH(KL$3,'Standards for Conversions'!$A$47:$A$73,0))))</f>
        <v/>
      </c>
      <c r="KO158" s="33" t="s">
        <v>40</v>
      </c>
      <c r="KP158" s="33">
        <v>50</v>
      </c>
      <c r="KQ158" s="33">
        <v>8000</v>
      </c>
      <c r="KR158" s="31">
        <f>IF(KQ158/(INDEX('Standards for Conversions'!$H$47:$H$73,MATCH(KP$3,'Standards for Conversions'!$A$47:$A$73,0)))=0,"",KQ158/(INDEX('Standards for Conversions'!$H$47:$H$73,MATCH(KP$3,'Standards for Conversions'!$A$47:$A$73,0))))</f>
        <v>1077.2720952463717</v>
      </c>
      <c r="KS158" s="33" t="s">
        <v>40</v>
      </c>
      <c r="KV158" s="31" t="str">
        <f>IF(KU158/(INDEX('Standards for Conversions'!$H$47:$H$73,MATCH(KT$3,'Standards for Conversions'!$A$47:$A$73,0)))=0,"",KU158/(INDEX('Standards for Conversions'!$H$47:$H$73,MATCH(KT$3,'Standards for Conversions'!$A$47:$A$73,0))))</f>
        <v/>
      </c>
      <c r="KW158" s="33" t="s">
        <v>40</v>
      </c>
      <c r="KZ158" s="31" t="str">
        <f>IF(KY158/(INDEX('Standards for Conversions'!$H$47:$H$73,MATCH(KX$3,'Standards for Conversions'!$A$47:$A$73,0)))=0,"",KY158/(INDEX('Standards for Conversions'!$H$47:$H$73,MATCH(KX$3,'Standards for Conversions'!$A$47:$A$73,0))))</f>
        <v/>
      </c>
      <c r="LA158" s="33" t="s">
        <v>40</v>
      </c>
      <c r="LD158" s="31" t="str">
        <f>IF(LC158/(INDEX('Standards for Conversions'!$H$47:$H$73,MATCH(LB$3,'Standards for Conversions'!$A$47:$A$73,0)))=0,"",LC158/(INDEX('Standards for Conversions'!$H$47:$H$73,MATCH(LB$3,'Standards for Conversions'!$A$47:$A$73,0))))</f>
        <v/>
      </c>
      <c r="LE158" s="33" t="s">
        <v>40</v>
      </c>
      <c r="LF158" s="33">
        <v>37</v>
      </c>
      <c r="LG158" s="33">
        <v>4100</v>
      </c>
      <c r="LH158" s="31">
        <f>IF(LG158/(INDEX('Standards for Conversions'!$H$47:$H$73,MATCH(LF$3,'Standards for Conversions'!$A$47:$A$73,0)))=0,"",LG158/(INDEX('Standards for Conversions'!$H$47:$H$73,MATCH(LF$3,'Standards for Conversions'!$A$47:$A$73,0))))</f>
        <v>498.62792358274663</v>
      </c>
      <c r="LL158" s="31" t="str">
        <f>IF(LK158/(INDEX('Standards for Conversions'!$H$47:$H$73,MATCH(LJ$3,'Standards for Conversions'!$A$47:$A$73,0)))=0,"",LK158/(INDEX('Standards for Conversions'!$H$47:$H$73,MATCH(LJ$3,'Standards for Conversions'!$A$47:$A$73,0))))</f>
        <v/>
      </c>
      <c r="LO158" s="31" t="str">
        <f>IF(LN158/(INDEX('Standards for Conversions'!$H$47:$H$73,MATCH(LM$3,'Standards for Conversions'!$A$47:$A$73,0)))=0,"",LN158/(INDEX('Standards for Conversions'!$H$47:$H$73,MATCH(LM$3,'Standards for Conversions'!$A$47:$A$73,0))))</f>
        <v/>
      </c>
      <c r="LR158" s="31" t="str">
        <f>IF(LQ158/(INDEX('Standards for Conversions'!$H$47:$H$73,MATCH(LP$3,'Standards for Conversions'!$A$47:$A$73,0)))=0,"",LQ158/(INDEX('Standards for Conversions'!$H$47:$H$73,MATCH(LP$3,'Standards for Conversions'!$A$47:$A$73,0))))</f>
        <v/>
      </c>
      <c r="LV158" s="31" t="str">
        <f>IF(LU158/(INDEX('Standards for Conversions'!$H$47:$H$73,MATCH(LT$3,'Standards for Conversions'!$A$47:$A$73,0)))=0,"",LU158/(INDEX('Standards for Conversions'!$H$47:$H$73,MATCH(LT$3,'Standards for Conversions'!$A$47:$A$73,0))))</f>
        <v/>
      </c>
      <c r="LY158" s="31" t="str">
        <f>IF(LX158/(INDEX('Standards for Conversions'!$H$47:$H$73,MATCH(LW$3,'Standards for Conversions'!$A$47:$A$73,0)))=0,"",LX158/(INDEX('Standards for Conversions'!$H$47:$H$73,MATCH(LW$3,'Standards for Conversions'!$A$47:$A$73,0))))</f>
        <v/>
      </c>
      <c r="MB158" s="31" t="str">
        <f>IF(MA158/(INDEX('Standards for Conversions'!$H$47:$H$73,MATCH(LZ$3,'Standards for Conversions'!$A$47:$A$73,0)))=0,"",MA158/(INDEX('Standards for Conversions'!$H$47:$H$73,MATCH(LZ$3,'Standards for Conversions'!$A$47:$A$73,0))))</f>
        <v/>
      </c>
      <c r="ME158" s="31" t="str">
        <f>IF(MD158/(INDEX('Standards for Conversions'!$H$47:$H$73,MATCH(MC$3,'Standards for Conversions'!$A$47:$A$73,0)))=0,"",MD158/(INDEX('Standards for Conversions'!$H$47:$H$73,MATCH(MC$3,'Standards for Conversions'!$A$47:$A$73,0))))</f>
        <v/>
      </c>
      <c r="MH158" s="31" t="str">
        <f>IF(MG158/(INDEX('Standards for Conversions'!$H$47:$H$73,MATCH(MF$3,'Standards for Conversions'!$A$47:$A$73,0)))=0,"",MG158/(INDEX('Standards for Conversions'!$H$47:$H$73,MATCH(MF$3,'Standards for Conversions'!$A$47:$A$73,0))))</f>
        <v/>
      </c>
      <c r="MK158" s="31" t="str">
        <f>IF(MJ158/(INDEX('Standards for Conversions'!$H$47:$H$73,MATCH(MI$3,'Standards for Conversions'!$A$47:$A$73,0)))=0,"",MJ158/(INDEX('Standards for Conversions'!$H$47:$H$73,MATCH(MI$3,'Standards for Conversions'!$A$47:$A$73,0))))</f>
        <v/>
      </c>
      <c r="MN158" s="31" t="str">
        <f>IF(MM158/(INDEX('Standards for Conversions'!$H$47:$H$73,MATCH(ML$3,'Standards for Conversions'!$A$47:$A$73,0)))=0,"",MM158/(INDEX('Standards for Conversions'!$H$47:$H$73,MATCH(ML$3,'Standards for Conversions'!$A$47:$A$73,0))))</f>
        <v/>
      </c>
      <c r="MR158" s="31" t="str">
        <f>IF(MQ158/(INDEX('Standards for Conversions'!$H$47:$H$73,MATCH(MP$3,'Standards for Conversions'!$A$47:$A$73,0)))=0,"",MQ158/(INDEX('Standards for Conversions'!$H$47:$H$73,MATCH(MP$3,'Standards for Conversions'!$A$47:$A$73,0))))</f>
        <v/>
      </c>
    </row>
    <row r="159" spans="1:373" s="33" customFormat="1" x14ac:dyDescent="0.3">
      <c r="A159" s="104" t="s">
        <v>421</v>
      </c>
      <c r="B159" s="10" t="s">
        <v>98</v>
      </c>
      <c r="C159" s="9"/>
      <c r="D159" s="9"/>
      <c r="E159" s="31" t="str">
        <f>IF(D159/(INDEX('Standards for Conversions'!$H$34:$H$73,MATCH(C$3,'Standards for Conversions'!$A$34:$A$73,0)))=0,"",D159/(INDEX('Standards for Conversions'!$H$34:$H$73,MATCH(C$3,'Standards for Conversions'!$A$34:$A$73,0))))</f>
        <v/>
      </c>
      <c r="F159" s="10" t="s">
        <v>98</v>
      </c>
      <c r="G159" s="9"/>
      <c r="H159" s="9"/>
      <c r="I159" s="31" t="str">
        <f>IF(H159/(INDEX('Standards for Conversions'!$H$34:$H$73,MATCH(G$3,'Standards for Conversions'!$A$34:$A$73,0)))=0,"",H159/(INDEX('Standards for Conversions'!$H$34:$H$73,MATCH(G$3,'Standards for Conversions'!$A$34:$A$73,0))))</f>
        <v/>
      </c>
      <c r="J159" s="10" t="s">
        <v>98</v>
      </c>
      <c r="K159" s="9">
        <f>2.16*104</f>
        <v>224.64000000000001</v>
      </c>
      <c r="L159" s="9">
        <v>35000</v>
      </c>
      <c r="M159" s="31">
        <f>IF(L159/(INDEX('Standards for Conversions'!$H$34:$H$73,MATCH(K$3,'Standards for Conversions'!$A$34:$A$73,0)))=0,"",L159/(INDEX('Standards for Conversions'!$H$34:$H$73,MATCH(K$3,'Standards for Conversions'!$A$34:$A$73,0))))</f>
        <v>6913.97804054054</v>
      </c>
      <c r="N159" s="10" t="s">
        <v>98</v>
      </c>
      <c r="O159" s="9">
        <f>2.16*75</f>
        <v>162</v>
      </c>
      <c r="P159" s="9">
        <v>37500</v>
      </c>
      <c r="Q159" s="31">
        <f>IF(P159/(INDEX('Standards for Conversions'!$H$34:$H$73,MATCH(O$3,'Standards for Conversions'!$A$34:$A$73,0)))=0,"",P159/(INDEX('Standards for Conversions'!$H$34:$H$73,MATCH(O$3,'Standards for Conversions'!$A$34:$A$73,0))))</f>
        <v>7407.8336148648641</v>
      </c>
      <c r="R159" s="10" t="s">
        <v>98</v>
      </c>
      <c r="S159" s="9"/>
      <c r="T159" s="9"/>
      <c r="U159" s="31" t="str">
        <f>IF(T159/(INDEX('Standards for Conversions'!$H$34:$H$73,MATCH(S$3,'Standards for Conversions'!$A$34:$A$73,0)))=0,"",T159/(INDEX('Standards for Conversions'!$H$34:$H$73,MATCH(S$3,'Standards for Conversions'!$A$34:$A$73,0))))</f>
        <v/>
      </c>
      <c r="V159" s="10" t="s">
        <v>98</v>
      </c>
      <c r="W159" s="9"/>
      <c r="X159" s="9"/>
      <c r="Y159" s="31" t="str">
        <f>IF(X159/(INDEX('Standards for Conversions'!$H$34:$H$73,MATCH(W$3,'Standards for Conversions'!$A$34:$A$73,0)))=0,"",X159/(INDEX('Standards for Conversions'!$H$34:$H$73,MATCH(W$3,'Standards for Conversions'!$A$34:$A$73,0))))</f>
        <v/>
      </c>
      <c r="Z159" s="10" t="s">
        <v>98</v>
      </c>
      <c r="AA159" s="9">
        <f>2.16*40</f>
        <v>86.4</v>
      </c>
      <c r="AB159" s="9">
        <v>8000</v>
      </c>
      <c r="AC159" s="31">
        <f>IF(AB159/(INDEX('Standards for Conversions'!$H$34:$H$73,MATCH(AA$3,'Standards for Conversions'!$A$34:$A$73,0)))=0,"",AB159/(INDEX('Standards for Conversions'!$H$34:$H$73,MATCH(AA$3,'Standards for Conversions'!$A$34:$A$73,0))))</f>
        <v>1541.3798847078588</v>
      </c>
      <c r="AD159" s="10" t="s">
        <v>98</v>
      </c>
      <c r="AE159" s="9">
        <f>2.16*75</f>
        <v>162</v>
      </c>
      <c r="AF159" s="9">
        <v>37500</v>
      </c>
      <c r="AG159" s="31">
        <f>IF(AF159/(INDEX('Standards for Conversions'!$H$34:$H$73,MATCH(AE$3,'Standards for Conversions'!$A$34:$A$73,0)))=0,"",AF159/(INDEX('Standards for Conversions'!$H$34:$H$73,MATCH(AE$3,'Standards for Conversions'!$A$34:$A$73,0))))</f>
        <v>7225.2182095680882</v>
      </c>
      <c r="AH159" s="10" t="s">
        <v>98</v>
      </c>
      <c r="AI159" s="9"/>
      <c r="AJ159" s="9"/>
      <c r="AK159" s="31" t="str">
        <f>IF(AJ159/(INDEX('Standards for Conversions'!$H$34:$H$73,MATCH(AI$3,'Standards for Conversions'!$A$34:$A$73,0)))=0,"",AJ159/(INDEX('Standards for Conversions'!$H$34:$H$73,MATCH(AI$3,'Standards for Conversions'!$A$34:$A$73,0))))</f>
        <v/>
      </c>
      <c r="AL159" s="10" t="s">
        <v>98</v>
      </c>
      <c r="AM159" s="9"/>
      <c r="AN159" s="9"/>
      <c r="AO159" s="31" t="str">
        <f>IF(AN159/(INDEX('Standards for Conversions'!$H$34:$H$73,MATCH(AM$3,'Standards for Conversions'!$A$34:$A$73,0)))=0,"",AN159/(INDEX('Standards for Conversions'!$H$34:$H$73,MATCH(AM$3,'Standards for Conversions'!$A$34:$A$73,0))))</f>
        <v/>
      </c>
      <c r="AP159" s="10" t="s">
        <v>98</v>
      </c>
      <c r="AQ159" s="9">
        <f>2.16*60</f>
        <v>129.60000000000002</v>
      </c>
      <c r="AR159" s="9">
        <v>30000</v>
      </c>
      <c r="AS159" s="31">
        <f>IF(AR159/(INDEX('Standards for Conversions'!$H$34:$H$73,MATCH(AQ$3,'Standards for Conversions'!$A$34:$A$73,0)))=0,"",AR159/(INDEX('Standards for Conversions'!$H$34:$H$73,MATCH(AQ$3,'Standards for Conversions'!$A$34:$A$73,0))))</f>
        <v>5360.9531154949154</v>
      </c>
      <c r="AT159" s="10" t="s">
        <v>98</v>
      </c>
      <c r="AU159" s="9">
        <f>2.16*75</f>
        <v>162</v>
      </c>
      <c r="AV159" s="9">
        <v>37500</v>
      </c>
      <c r="AW159" s="31">
        <f>IF(AV159/(INDEX('Standards for Conversions'!$H$34:$H$73,MATCH(AU$3,'Standards for Conversions'!$A$34:$A$73,0)))=0,"",AV159/(INDEX('Standards for Conversions'!$H$34:$H$73,MATCH(AU$3,'Standards for Conversions'!$A$34:$A$73,0))))</f>
        <v>6701.1913943686441</v>
      </c>
      <c r="AX159" s="10" t="s">
        <v>98</v>
      </c>
      <c r="AY159" s="9"/>
      <c r="AZ159" s="9"/>
      <c r="BA159" s="31" t="str">
        <f>IF(AZ159/(INDEX('Standards for Conversions'!$H$34:$H$73,MATCH(AY$3,'Standards for Conversions'!$A$34:$A$73,0)))=0,"",AZ159/(INDEX('Standards for Conversions'!$H$34:$H$73,MATCH(AY$3,'Standards for Conversions'!$A$34:$A$73,0))))</f>
        <v/>
      </c>
      <c r="BB159" s="10" t="s">
        <v>98</v>
      </c>
      <c r="BC159" s="9"/>
      <c r="BD159" s="9"/>
      <c r="BE159" s="31" t="str">
        <f>IF(BD159/(INDEX('Standards for Conversions'!$H$34:$H$73,MATCH(BC$3,'Standards for Conversions'!$A$34:$A$73,0)))=0,"",BD159/(INDEX('Standards for Conversions'!$H$34:$H$73,MATCH(BC$3,'Standards for Conversions'!$A$34:$A$73,0))))</f>
        <v/>
      </c>
      <c r="BF159" s="10" t="s">
        <v>98</v>
      </c>
      <c r="BG159" s="9">
        <f>2.16*70</f>
        <v>151.20000000000002</v>
      </c>
      <c r="BH159" s="9">
        <v>30000</v>
      </c>
      <c r="BI159" s="31">
        <f>IF(BH159/(INDEX('Standards for Conversions'!$H$34:$H$73,MATCH(BG$3,'Standards for Conversions'!$A$34:$A$73,0)))=0,"",BH159/(INDEX('Standards for Conversions'!$H$34:$H$73,MATCH(BG$3,'Standards for Conversions'!$A$34:$A$73,0))))</f>
        <v>5570.5638415746935</v>
      </c>
      <c r="BJ159" s="10" t="s">
        <v>98</v>
      </c>
      <c r="BK159" s="9">
        <f>2.16*70</f>
        <v>151.20000000000002</v>
      </c>
      <c r="BL159" s="9">
        <v>30000</v>
      </c>
      <c r="BM159" s="31">
        <f>IF(BL159/(INDEX('Standards for Conversions'!$H$34:$H$73,MATCH(BK$3,'Standards for Conversions'!$A$34:$A$73,0)))=0,"",BL159/(INDEX('Standards for Conversions'!$H$34:$H$73,MATCH(BK$3,'Standards for Conversions'!$A$34:$A$73,0))))</f>
        <v>5570.5638415746935</v>
      </c>
      <c r="BN159" s="10" t="s">
        <v>98</v>
      </c>
      <c r="BO159" s="9"/>
      <c r="BP159" s="9"/>
      <c r="BQ159" s="31" t="str">
        <f>IF(BP159/(INDEX('Standards for Conversions'!$H$34:$H$73,MATCH(BO$3,'Standards for Conversions'!$A$34:$A$73,0)))=0,"",BP159/(INDEX('Standards for Conversions'!$H$34:$H$73,MATCH(BO$3,'Standards for Conversions'!$A$34:$A$73,0))))</f>
        <v/>
      </c>
      <c r="BR159" s="10" t="s">
        <v>98</v>
      </c>
      <c r="BS159" s="9"/>
      <c r="BT159" s="9"/>
      <c r="BU159" s="31" t="str">
        <f>IF(BT159/(INDEX('Standards for Conversions'!$H$34:$H$73,MATCH(BS$3,'Standards for Conversions'!$A$34:$A$73,0)))=0,"",BT159/(INDEX('Standards for Conversions'!$H$34:$H$73,MATCH(BS$3,'Standards for Conversions'!$A$34:$A$73,0))))</f>
        <v/>
      </c>
      <c r="BV159" s="10" t="s">
        <v>98</v>
      </c>
      <c r="BW159" s="9">
        <f>2.16*60</f>
        <v>129.60000000000002</v>
      </c>
      <c r="BX159" s="9">
        <v>20000</v>
      </c>
      <c r="BY159" s="31">
        <f>IF(BX159/(INDEX('Standards for Conversions'!$H$34:$H$73,MATCH(BW$3,'Standards for Conversions'!$A$34:$A$73,0)))=0,"",BX159/(INDEX('Standards for Conversions'!$H$34:$H$73,MATCH(BW$3,'Standards for Conversions'!$A$34:$A$73,0))))</f>
        <v>3561.2650632948053</v>
      </c>
      <c r="BZ159" s="10" t="s">
        <v>98</v>
      </c>
      <c r="CA159" s="9">
        <f>2.16*80</f>
        <v>172.8</v>
      </c>
      <c r="CB159" s="9">
        <v>25000</v>
      </c>
      <c r="CC159" s="31">
        <f>IF(CB159/(INDEX('Standards for Conversions'!$H$34:$H$73,MATCH(CA$3,'Standards for Conversions'!$A$34:$A$73,0)))=0,"",CB159/(INDEX('Standards for Conversions'!$H$34:$H$73,MATCH(CA$3,'Standards for Conversions'!$A$34:$A$73,0))))</f>
        <v>4451.5813291185068</v>
      </c>
      <c r="CD159" s="10" t="s">
        <v>98</v>
      </c>
      <c r="CE159" s="9"/>
      <c r="CF159" s="9"/>
      <c r="CG159" s="31" t="str">
        <f>IF(CF159/(INDEX('Standards for Conversions'!$H$34:$H$73,MATCH(CE$3,'Standards for Conversions'!$A$34:$A$73,0)))=0,"",CF159/(INDEX('Standards for Conversions'!$H$34:$H$73,MATCH(CE$3,'Standards for Conversions'!$A$34:$A$73,0))))</f>
        <v/>
      </c>
      <c r="CH159" s="10" t="s">
        <v>98</v>
      </c>
      <c r="CI159" s="9"/>
      <c r="CJ159" s="9"/>
      <c r="CK159" s="31" t="str">
        <f>IF(CJ159/(INDEX('Standards for Conversions'!$H$34:$H$73,MATCH(CI$3,'Standards for Conversions'!$A$34:$A$73,0)))=0,"",CJ159/(INDEX('Standards for Conversions'!$H$34:$H$73,MATCH(CI$3,'Standards for Conversions'!$A$34:$A$73,0))))</f>
        <v/>
      </c>
      <c r="CL159" s="10" t="s">
        <v>98</v>
      </c>
      <c r="CM159" s="9">
        <f>2.16*60</f>
        <v>129.60000000000002</v>
      </c>
      <c r="CN159" s="9">
        <v>22000</v>
      </c>
      <c r="CO159" s="31">
        <f>IF(CN159/(INDEX('Standards for Conversions'!$H$34:$H$73,MATCH(CM$3,'Standards for Conversions'!$A$34:$A$73,0)))=0,"",CN159/(INDEX('Standards for Conversions'!$H$34:$H$73,MATCH(CM$3,'Standards for Conversions'!$A$34:$A$73,0))))</f>
        <v>3819.5732307870571</v>
      </c>
      <c r="CP159" s="10" t="s">
        <v>98</v>
      </c>
      <c r="CQ159" s="9">
        <f>2.16*30</f>
        <v>64.800000000000011</v>
      </c>
      <c r="CR159" s="9">
        <v>12000</v>
      </c>
      <c r="CS159" s="31">
        <f>IF(CR159/(INDEX('Standards for Conversions'!$H$34:$H$73,MATCH(CQ$3,'Standards for Conversions'!$A$34:$A$73,0)))=0,"",CR159/(INDEX('Standards for Conversions'!$H$34:$H$73,MATCH(CQ$3,'Standards for Conversions'!$A$34:$A$73,0))))</f>
        <v>2083.4035804293039</v>
      </c>
      <c r="CT159" s="10" t="s">
        <v>98</v>
      </c>
      <c r="CU159" s="9"/>
      <c r="CV159" s="9"/>
      <c r="CW159" s="31" t="str">
        <f>IF(CV159/(INDEX('Standards for Conversions'!$H$34:$H$73,MATCH(CU$3,'Standards for Conversions'!$A$34:$A$73,0)))=0,"",CV159/(INDEX('Standards for Conversions'!$H$34:$H$73,MATCH(CU$3,'Standards for Conversions'!$A$34:$A$73,0))))</f>
        <v/>
      </c>
      <c r="CX159" s="10" t="s">
        <v>98</v>
      </c>
      <c r="CY159" s="9"/>
      <c r="CZ159" s="9"/>
      <c r="DA159" s="31" t="str">
        <f>IF(CZ159/(INDEX('Standards for Conversions'!$H$34:$H$73,MATCH(CY$3,'Standards for Conversions'!$A$34:$A$73,0)))=0,"",CZ159/(INDEX('Standards for Conversions'!$H$34:$H$73,MATCH(CY$3,'Standards for Conversions'!$A$34:$A$73,0))))</f>
        <v/>
      </c>
      <c r="DB159" s="10" t="s">
        <v>98</v>
      </c>
      <c r="DC159" s="9">
        <f>2.16*25</f>
        <v>54</v>
      </c>
      <c r="DD159" s="9">
        <v>6000</v>
      </c>
      <c r="DE159" s="31">
        <f>IF(DD159/(INDEX('Standards for Conversions'!$H$34:$H$73,MATCH(DC$3,'Standards for Conversions'!$A$34:$A$73,0)))=0,"",DD159/(INDEX('Standards for Conversions'!$H$34:$H$73,MATCH(DC$3,'Standards for Conversions'!$A$34:$A$73,0))))</f>
        <v>1062.0276788042061</v>
      </c>
      <c r="DF159" s="10" t="s">
        <v>98</v>
      </c>
      <c r="DG159" s="9">
        <f>2.16*24</f>
        <v>51.84</v>
      </c>
      <c r="DH159" s="9">
        <v>9600</v>
      </c>
      <c r="DI159" s="31">
        <f>IF(DH159/(INDEX('Standards for Conversions'!$H$34:$H$73,MATCH(DG$3,'Standards for Conversions'!$A$34:$A$73,0)))=0,"",DH159/(INDEX('Standards for Conversions'!$H$34:$H$73,MATCH(DG$3,'Standards for Conversions'!$A$34:$A$73,0))))</f>
        <v>1699.24428608673</v>
      </c>
      <c r="DJ159" s="10" t="s">
        <v>98</v>
      </c>
      <c r="DK159" s="9"/>
      <c r="DL159" s="9"/>
      <c r="DM159" s="31" t="str">
        <f>IF(DL159/(INDEX('Standards for Conversions'!$H$34:$H$73,MATCH(DK$3,'Standards for Conversions'!$A$34:$A$73,0)))=0,"",DL159/(INDEX('Standards for Conversions'!$H$34:$H$73,MATCH(DK$3,'Standards for Conversions'!$A$34:$A$73,0))))</f>
        <v/>
      </c>
      <c r="DN159" s="10" t="s">
        <v>98</v>
      </c>
      <c r="DO159" s="9"/>
      <c r="DP159" s="9"/>
      <c r="DQ159" s="31" t="str">
        <f>IF(DP159/(INDEX('Standards for Conversions'!$H$34:$H$73,MATCH(DO$3,'Standards for Conversions'!$A$34:$A$73,0)))=0,"",DP159/(INDEX('Standards for Conversions'!$H$34:$H$73,MATCH(DO$3,'Standards for Conversions'!$A$34:$A$73,0))))</f>
        <v/>
      </c>
      <c r="DR159" s="10" t="s">
        <v>98</v>
      </c>
      <c r="DS159" s="9">
        <f>2.16*60</f>
        <v>129.60000000000002</v>
      </c>
      <c r="DT159" s="9">
        <v>15000</v>
      </c>
      <c r="DU159" s="31">
        <f>IF(DT159/(INDEX('Standards for Conversions'!$H$34:$H$73,MATCH(DS$3,'Standards for Conversions'!$A$34:$A$73,0)))=0,"",DT159/(INDEX('Standards for Conversions'!$H$34:$H$73,MATCH(DS$3,'Standards for Conversions'!$A$34:$A$73,0))))</f>
        <v>2626.4859161814547</v>
      </c>
      <c r="DV159" s="10" t="s">
        <v>98</v>
      </c>
      <c r="DW159" s="9">
        <f>2.16*100</f>
        <v>216</v>
      </c>
      <c r="DX159" s="9">
        <v>25000</v>
      </c>
      <c r="DY159" s="31">
        <f>IF(DX159/(INDEX('Standards for Conversions'!$H$34:$H$73,MATCH(DW$3,'Standards for Conversions'!$A$34:$A$73,0)))=0,"",DX159/(INDEX('Standards for Conversions'!$H$34:$H$73,MATCH(DW$3,'Standards for Conversions'!$A$34:$A$73,0))))</f>
        <v>4377.4765269690915</v>
      </c>
      <c r="DZ159" s="10" t="s">
        <v>98</v>
      </c>
      <c r="EA159" s="9"/>
      <c r="EB159" s="9"/>
      <c r="EC159" s="31" t="str">
        <f>IF(EB159/(INDEX('Standards for Conversions'!$H$34:$H$73,MATCH(EA$3,'Standards for Conversions'!$A$34:$A$73,0)))=0,"",EB159/(INDEX('Standards for Conversions'!$H$34:$H$73,MATCH(EA$3,'Standards for Conversions'!$A$34:$A$73,0))))</f>
        <v/>
      </c>
      <c r="ED159" s="10" t="s">
        <v>98</v>
      </c>
      <c r="EE159" s="9"/>
      <c r="EF159" s="9"/>
      <c r="EG159" s="31" t="str">
        <f>IF(EF159/(INDEX('Standards for Conversions'!$H$34:$H$73,MATCH(EE$3,'Standards for Conversions'!$A$34:$A$73,0)))=0,"",EF159/(INDEX('Standards for Conversions'!$H$34:$H$73,MATCH(EE$3,'Standards for Conversions'!$A$34:$A$73,0))))</f>
        <v/>
      </c>
      <c r="EH159" s="10" t="s">
        <v>98</v>
      </c>
      <c r="EI159" s="9">
        <f>2.16*96</f>
        <v>207.36</v>
      </c>
      <c r="EJ159" s="9">
        <v>31900</v>
      </c>
      <c r="EK159" s="31">
        <f>IF(EJ159/(INDEX('Standards for Conversions'!$H$34:$H$73,MATCH(EI$3,'Standards for Conversions'!$A$34:$A$73,0)))=0,"",EJ159/(INDEX('Standards for Conversions'!$H$34:$H$73,MATCH(EI$3,'Standards for Conversions'!$A$34:$A$73,0))))</f>
        <v>5578.9059250166556</v>
      </c>
      <c r="EL159" s="10" t="s">
        <v>98</v>
      </c>
      <c r="EM159" s="9">
        <f>2.16*93</f>
        <v>200.88000000000002</v>
      </c>
      <c r="EN159" s="9">
        <v>34350</v>
      </c>
      <c r="EO159" s="31">
        <f>IF(EN159/(INDEX('Standards for Conversions'!$H$34:$H$73,MATCH(EM$3,'Standards for Conversions'!$A$34:$A$73,0)))=0,"",EN159/(INDEX('Standards for Conversions'!$H$34:$H$73,MATCH(EM$3,'Standards for Conversions'!$A$34:$A$73,0))))</f>
        <v>6007.3798910445812</v>
      </c>
      <c r="EP159" s="10" t="s">
        <v>98</v>
      </c>
      <c r="EQ159" s="9"/>
      <c r="ER159" s="9"/>
      <c r="ES159" s="31" t="str">
        <f>IF(ER159/(INDEX('Standards for Conversions'!$H$34:$H$73,MATCH(EQ$3,'Standards for Conversions'!$A$34:$A$73,0)))=0,"",ER159/(INDEX('Standards for Conversions'!$H$34:$H$73,MATCH(EQ$3,'Standards for Conversions'!$A$34:$A$73,0))))</f>
        <v/>
      </c>
      <c r="ET159" s="10" t="s">
        <v>98</v>
      </c>
      <c r="EU159" s="9"/>
      <c r="EV159" s="9"/>
      <c r="EW159" s="31" t="str">
        <f>IF(EV159/(INDEX('Standards for Conversions'!$H$34:$H$73,MATCH(EU$3,'Standards for Conversions'!$A$34:$A$73,0)))=0,"",EV159/(INDEX('Standards for Conversions'!$H$34:$H$73,MATCH(EU$3,'Standards for Conversions'!$A$34:$A$73,0))))</f>
        <v/>
      </c>
      <c r="EX159" s="10" t="s">
        <v>98</v>
      </c>
      <c r="EY159" s="9">
        <f>1.26*21</f>
        <v>26.46</v>
      </c>
      <c r="EZ159" s="9">
        <v>7975</v>
      </c>
      <c r="FA159" s="31">
        <f>IF(EZ159/(INDEX('Standards for Conversions'!$H$34:$H$73,MATCH(EY$3,'Standards for Conversions'!$A$34:$A$73,0)))=0,"",EZ159/(INDEX('Standards for Conversions'!$H$34:$H$73,MATCH(EY$3,'Standards for Conversions'!$A$34:$A$73,0))))</f>
        <v>1366.0214568215722</v>
      </c>
      <c r="FB159" s="10" t="s">
        <v>98</v>
      </c>
      <c r="FC159" s="10">
        <f>2.16*22</f>
        <v>47.52</v>
      </c>
      <c r="FD159" s="10">
        <v>30465</v>
      </c>
      <c r="FE159" s="31">
        <f>IF(FD159/(INDEX('Standards for Conversions'!$H$34:$H$73,MATCH(FC$3,'Standards for Conversions'!$A$34:$A$73,0)))=0,"",FD159/(INDEX('Standards for Conversions'!$H$34:$H$73,MATCH(FC$3,'Standards for Conversions'!$A$34:$A$73,0))))</f>
        <v>5218.28760903689</v>
      </c>
      <c r="FF159" s="10" t="s">
        <v>98</v>
      </c>
      <c r="FG159" s="9"/>
      <c r="FH159" s="9"/>
      <c r="FI159" s="31" t="str">
        <f>IF(FH159/(INDEX('Standards for Conversions'!$H$34:$H$73,MATCH(FG$3,'Standards for Conversions'!$A$34:$A$73,0)))=0,"",FH159/(INDEX('Standards for Conversions'!$H$34:$H$73,MATCH(FG$3,'Standards for Conversions'!$A$34:$A$73,0))))</f>
        <v/>
      </c>
      <c r="FJ159" s="10" t="s">
        <v>98</v>
      </c>
      <c r="FK159" s="9"/>
      <c r="FL159" s="9"/>
      <c r="FM159" s="31" t="str">
        <f>IF(FL159/(INDEX('Standards for Conversions'!$H$34:$H$73,MATCH(FK$3,'Standards for Conversions'!$A$34:$A$73,0)))=0,"",FL159/(INDEX('Standards for Conversions'!$H$34:$H$73,MATCH(FK$3,'Standards for Conversions'!$A$34:$A$73,0))))</f>
        <v/>
      </c>
      <c r="FN159" s="10" t="s">
        <v>98</v>
      </c>
      <c r="FO159" s="9">
        <f>1.26*25</f>
        <v>31.5</v>
      </c>
      <c r="FP159" s="9">
        <v>7000</v>
      </c>
      <c r="FQ159" s="31">
        <f>IF(FP159/(INDEX('Standards for Conversions'!$H$34:$H$73,MATCH(FO$3,'Standards for Conversions'!$A$34:$A$73,0)))=0,"",FP159/(INDEX('Standards for Conversions'!$H$34:$H$73,MATCH(FO$3,'Standards for Conversions'!$A$34:$A$73,0))))</f>
        <v>1200.4977948205437</v>
      </c>
      <c r="FR159" s="10" t="s">
        <v>98</v>
      </c>
      <c r="FS159" s="10">
        <f>2.16*20</f>
        <v>43.2</v>
      </c>
      <c r="FT159" s="10">
        <v>28000</v>
      </c>
      <c r="FU159" s="31">
        <f>IF(FT159/(INDEX('Standards for Conversions'!$H$34:$H$73,MATCH(FS$3,'Standards for Conversions'!$A$34:$A$73,0)))=0,"",FT159/(INDEX('Standards for Conversions'!$H$34:$H$73,MATCH(FS$3,'Standards for Conversions'!$A$34:$A$73,0))))</f>
        <v>4801.9911792821749</v>
      </c>
      <c r="FV159" s="10" t="s">
        <v>98</v>
      </c>
      <c r="FW159" s="9"/>
      <c r="FX159" s="9"/>
      <c r="FY159" s="31" t="str">
        <f>IF(FX159/(INDEX('Standards for Conversions'!$H$34:$H$73,MATCH(FW$3,'Standards for Conversions'!$A$34:$A$73,0)))=0,"",FX159/(INDEX('Standards for Conversions'!$H$34:$H$73,MATCH(FW$3,'Standards for Conversions'!$A$34:$A$73,0))))</f>
        <v/>
      </c>
      <c r="FZ159" s="10" t="s">
        <v>98</v>
      </c>
      <c r="GA159" s="9"/>
      <c r="GB159" s="9"/>
      <c r="GC159" s="31" t="str">
        <f>IF(GB159/(INDEX('Standards for Conversions'!$H$34:$H$73,MATCH(GA$3,'Standards for Conversions'!$A$34:$A$73,0)))=0,"",GB159/(INDEX('Standards for Conversions'!$H$34:$H$73,MATCH(GA$3,'Standards for Conversions'!$A$34:$A$73,0))))</f>
        <v/>
      </c>
      <c r="GD159" s="10" t="s">
        <v>98</v>
      </c>
      <c r="GE159" s="9">
        <f>1.26*24</f>
        <v>30.240000000000002</v>
      </c>
      <c r="GF159" s="9">
        <v>5500</v>
      </c>
      <c r="GG159" s="31">
        <f>IF(GF159/(INDEX('Standards for Conversions'!$H$34:$H$73,MATCH(GE$3,'Standards for Conversions'!$A$34:$A$73,0)))=0,"",GF159/(INDEX('Standards for Conversions'!$H$34:$H$73,MATCH(GE$3,'Standards for Conversions'!$A$34:$A$73,0))))</f>
        <v>904.81963424437299</v>
      </c>
      <c r="GH159" s="10" t="s">
        <v>98</v>
      </c>
      <c r="GI159" s="9">
        <f>2.16*20</f>
        <v>43.2</v>
      </c>
      <c r="GJ159" s="9">
        <v>10000</v>
      </c>
      <c r="GK159" s="31">
        <f>IF(GJ159/(INDEX('Standards for Conversions'!$H$34:$H$73,MATCH(GI$3,'Standards for Conversions'!$A$34:$A$73,0)))=0,"",GJ159/(INDEX('Standards for Conversions'!$H$34:$H$73,MATCH(GI$3,'Standards for Conversions'!$A$34:$A$73,0))))</f>
        <v>1645.1266077170417</v>
      </c>
      <c r="GL159" s="10" t="s">
        <v>98</v>
      </c>
      <c r="GM159" s="9"/>
      <c r="GN159" s="9"/>
      <c r="GO159" s="31" t="str">
        <f>IF(GN159/(INDEX('Standards for Conversions'!$H$34:$H$73,MATCH(GM$3,'Standards for Conversions'!$A$34:$A$73,0)))=0,"",GN159/(INDEX('Standards for Conversions'!$H$34:$H$73,MATCH(GM$3,'Standards for Conversions'!$A$34:$A$73,0))))</f>
        <v/>
      </c>
      <c r="GP159" s="10" t="s">
        <v>98</v>
      </c>
      <c r="GQ159" s="9"/>
      <c r="GR159" s="9"/>
      <c r="GS159" s="31" t="str">
        <f>IF(GR159/(INDEX('Standards for Conversions'!$H$34:$H$73,MATCH(GQ$3,'Standards for Conversions'!$A$34:$A$73,0)))=0,"",GR159/(INDEX('Standards for Conversions'!$H$34:$H$73,MATCH(GQ$3,'Standards for Conversions'!$A$34:$A$73,0))))</f>
        <v/>
      </c>
      <c r="GT159" s="10" t="s">
        <v>98</v>
      </c>
      <c r="GU159" s="9">
        <f>1.26*25</f>
        <v>31.5</v>
      </c>
      <c r="GV159" s="9">
        <v>6000</v>
      </c>
      <c r="GW159" s="31">
        <f>IF(GV159/(INDEX('Standards for Conversions'!$H$34:$H$73,MATCH(GU$3,'Standards for Conversions'!$A$34:$A$73,0)))=0,"",GV159/(INDEX('Standards for Conversions'!$H$34:$H$73,MATCH(GU$3,'Standards for Conversions'!$A$34:$A$73,0))))</f>
        <v>922.28719475102116</v>
      </c>
      <c r="GX159" s="10" t="s">
        <v>98</v>
      </c>
      <c r="GY159" s="9">
        <f>2.16*40</f>
        <v>86.4</v>
      </c>
      <c r="GZ159" s="9">
        <v>12000</v>
      </c>
      <c r="HA159" s="31">
        <f>IF(GZ159/(INDEX('Standards for Conversions'!$H$34:$H$73,MATCH(GY$3,'Standards for Conversions'!$A$34:$A$73,0)))=0,"",GZ159/(INDEX('Standards for Conversions'!$H$34:$H$73,MATCH(GY$3,'Standards for Conversions'!$A$34:$A$73,0))))</f>
        <v>1844.5743895020423</v>
      </c>
      <c r="HB159" s="10" t="s">
        <v>98</v>
      </c>
      <c r="HC159" s="9"/>
      <c r="HD159" s="9"/>
      <c r="HE159" s="31" t="str">
        <f>IF(HD159/(INDEX('Standards for Conversions'!$H$34:$H$73,MATCH(HC$3,'Standards for Conversions'!$A$34:$A$73,0)))=0,"",HD159/(INDEX('Standards for Conversions'!$H$34:$H$73,MATCH(HC$3,'Standards for Conversions'!$A$34:$A$73,0))))</f>
        <v/>
      </c>
      <c r="HF159" s="10" t="s">
        <v>98</v>
      </c>
      <c r="HG159" s="9"/>
      <c r="HH159" s="9"/>
      <c r="HI159" s="31" t="str">
        <f>IF(HH159/(INDEX('Standards for Conversions'!$H$34:$H$73,MATCH(HG$3,'Standards for Conversions'!$A$34:$A$73,0)))=0,"",HH159/(INDEX('Standards for Conversions'!$H$34:$H$73,MATCH(HG$3,'Standards for Conversions'!$A$34:$A$73,0))))</f>
        <v/>
      </c>
      <c r="HJ159" s="10" t="s">
        <v>98</v>
      </c>
      <c r="HK159" s="9">
        <f>1.26*30</f>
        <v>37.799999999999997</v>
      </c>
      <c r="HL159" s="9">
        <v>7000</v>
      </c>
      <c r="HM159" s="31">
        <f>IF(HL159/(INDEX('Standards for Conversions'!$H$34:$H$73,MATCH(HK$3,'Standards for Conversions'!$A$34:$A$73,0)))=0,"",HL159/(INDEX('Standards for Conversions'!$H$34:$H$73,MATCH(HK$3,'Standards for Conversions'!$A$34:$A$73,0))))</f>
        <v>1059.698670736653</v>
      </c>
      <c r="HN159" s="10" t="s">
        <v>98</v>
      </c>
      <c r="HO159" s="9">
        <f>2.16*50</f>
        <v>108</v>
      </c>
      <c r="HP159" s="9">
        <v>15000</v>
      </c>
      <c r="HQ159" s="31">
        <f>IF(HP159/(INDEX('Standards for Conversions'!$H$34:$H$73,MATCH(HO$3,'Standards for Conversions'!$A$34:$A$73,0)))=0,"",HP159/(INDEX('Standards for Conversions'!$H$34:$H$73,MATCH(HO$3,'Standards for Conversions'!$A$34:$A$73,0))))</f>
        <v>2270.7828658642561</v>
      </c>
      <c r="HR159" s="33" t="s">
        <v>98</v>
      </c>
      <c r="HU159" s="31" t="str">
        <f>IF(HT159/(INDEX('Standards for Conversions'!$H$47:$H$73,MATCH(HS$3,'Standards for Conversions'!$A$47:$A$73,0)))=0,"",HT159/(INDEX('Standards for Conversions'!$H$47:$H$73,MATCH(HS$3,'Standards for Conversions'!$A$47:$A$73,0))))</f>
        <v/>
      </c>
      <c r="HV159" s="33" t="s">
        <v>98</v>
      </c>
      <c r="HY159" s="31" t="str">
        <f>IF(HX159/(INDEX('Standards for Conversions'!$H$47:$H$73,MATCH(HW$3,'Standards for Conversions'!$A$47:$A$73,0)))=0,"",HX159/(INDEX('Standards for Conversions'!$H$47:$H$73,MATCH(HW$3,'Standards for Conversions'!$A$47:$A$73,0))))</f>
        <v/>
      </c>
      <c r="HZ159" s="33">
        <f>1.26*40</f>
        <v>50.4</v>
      </c>
      <c r="IA159" s="33">
        <v>9000</v>
      </c>
      <c r="IB159" s="31">
        <f>IF(IA159/(INDEX('Standards for Conversions'!$H$47:$H$73,MATCH(HZ$3,'Standards for Conversions'!$A$47:$A$73,0)))=0,"",IA159/(INDEX('Standards for Conversions'!$H$47:$H$73,MATCH(HZ$3,'Standards for Conversions'!$A$47:$A$73,0))))</f>
        <v>1307.2087099157036</v>
      </c>
      <c r="IC159" s="33" t="s">
        <v>98</v>
      </c>
      <c r="IF159" s="31" t="str">
        <f>IF(IE159/(INDEX('Standards for Conversions'!$H$47:$H$73,MATCH(ID$3,'Standards for Conversions'!$A$47:$A$73,0)))=0,"",IE159/(INDEX('Standards for Conversions'!$H$47:$H$73,MATCH(ID$3,'Standards for Conversions'!$A$47:$A$73,0))))</f>
        <v/>
      </c>
      <c r="IG159" s="33" t="s">
        <v>98</v>
      </c>
      <c r="IJ159" s="31" t="str">
        <f>IF(II159/(INDEX('Standards for Conversions'!$H$47:$H$73,MATCH(IH$3,'Standards for Conversions'!$A$47:$A$73,0)))=0,"",II159/(INDEX('Standards for Conversions'!$H$47:$H$73,MATCH(IH$3,'Standards for Conversions'!$A$47:$A$73,0))))</f>
        <v/>
      </c>
      <c r="IK159" s="33" t="s">
        <v>98</v>
      </c>
      <c r="IN159" s="31" t="str">
        <f>IF(IM159/(INDEX('Standards for Conversions'!$H$47:$H$73,MATCH(IL$3,'Standards for Conversions'!$A$47:$A$73,0)))=0,"",IM159/(INDEX('Standards for Conversions'!$H$47:$H$73,MATCH(IL$3,'Standards for Conversions'!$A$47:$A$73,0))))</f>
        <v/>
      </c>
      <c r="IO159" s="33" t="s">
        <v>98</v>
      </c>
      <c r="IP159" s="33">
        <f>1.26*10</f>
        <v>12.6</v>
      </c>
      <c r="IQ159" s="33">
        <v>5000</v>
      </c>
      <c r="IR159" s="31">
        <f>IF(IQ159/(INDEX('Standards for Conversions'!$H$47:$H$73,MATCH(IP$3,'Standards for Conversions'!$A$47:$A$73,0)))=0,"",IQ159/(INDEX('Standards for Conversions'!$H$47:$H$73,MATCH(IP$3,'Standards for Conversions'!$A$47:$A$73,0))))</f>
        <v>723.05114097216176</v>
      </c>
      <c r="IS159" s="33" t="s">
        <v>98</v>
      </c>
      <c r="IV159" s="31" t="str">
        <f>IF(IU159/(INDEX('Standards for Conversions'!$H$47:$H$73,MATCH(IT$3,'Standards for Conversions'!$A$47:$A$73,0)))=0,"",IU159/(INDEX('Standards for Conversions'!$H$47:$H$73,MATCH(IT$3,'Standards for Conversions'!$A$47:$A$73,0))))</f>
        <v/>
      </c>
      <c r="IW159" s="33" t="s">
        <v>98</v>
      </c>
      <c r="IZ159" s="31" t="str">
        <f>IF(IY159/(INDEX('Standards for Conversions'!$H$47:$H$73,MATCH(IX$3,'Standards for Conversions'!$A$47:$A$73,0)))=0,"",IY159/(INDEX('Standards for Conversions'!$H$47:$H$73,MATCH(IX$3,'Standards for Conversions'!$A$47:$A$73,0))))</f>
        <v/>
      </c>
      <c r="JA159" s="33" t="s">
        <v>98</v>
      </c>
      <c r="JD159" s="31" t="str">
        <f>IF(JC159/(INDEX('Standards for Conversions'!$H$47:$H$73,MATCH(JB$3,'Standards for Conversions'!$A$47:$A$73,0)))=0,"",JC159/(INDEX('Standards for Conversions'!$H$47:$H$73,MATCH(JB$3,'Standards for Conversions'!$A$47:$A$73,0))))</f>
        <v/>
      </c>
      <c r="JE159" s="33" t="s">
        <v>98</v>
      </c>
      <c r="JF159" s="33">
        <f>1.26*6</f>
        <v>7.5600000000000005</v>
      </c>
      <c r="JG159" s="33">
        <v>4000</v>
      </c>
      <c r="JH159" s="31">
        <f>IF(JG159/(INDEX('Standards for Conversions'!$H$47:$H$73,MATCH(JF$3,'Standards for Conversions'!$A$47:$A$73,0)))=0,"",JG159/(INDEX('Standards for Conversions'!$H$47:$H$73,MATCH(JF$3,'Standards for Conversions'!$A$47:$A$73,0))))</f>
        <v>647.04078676747474</v>
      </c>
      <c r="JL159" s="31" t="str">
        <f>IF(JK159/(INDEX('Standards for Conversions'!$H$47:$H$73,MATCH(JJ$3,'Standards for Conversions'!$A$47:$A$73,0)))=0,"",JK159/(INDEX('Standards for Conversions'!$H$47:$H$73,MATCH(JJ$3,'Standards for Conversions'!$A$47:$A$73,0))))</f>
        <v/>
      </c>
      <c r="JM159" s="33" t="s">
        <v>98</v>
      </c>
      <c r="JP159" s="31" t="str">
        <f>IF(JO159/(INDEX('Standards for Conversions'!$H$47:$H$73,MATCH(JN$3,'Standards for Conversions'!$A$47:$A$73,0)))=0,"",JO159/(INDEX('Standards for Conversions'!$H$47:$H$73,MATCH(JN$3,'Standards for Conversions'!$A$47:$A$73,0))))</f>
        <v/>
      </c>
      <c r="JQ159" s="33" t="s">
        <v>98</v>
      </c>
      <c r="JT159" s="31" t="str">
        <f>IF(JS159/(INDEX('Standards for Conversions'!$H$47:$H$73,MATCH(JR$3,'Standards for Conversions'!$A$47:$A$73,0)))=0,"",JS159/(INDEX('Standards for Conversions'!$H$47:$H$73,MATCH(JR$3,'Standards for Conversions'!$A$47:$A$73,0))))</f>
        <v/>
      </c>
      <c r="JU159" s="33" t="s">
        <v>98</v>
      </c>
      <c r="JV159" s="33">
        <f>1.26*8</f>
        <v>10.08</v>
      </c>
      <c r="JW159" s="33">
        <v>4000</v>
      </c>
      <c r="JX159" s="31">
        <f>IF(JW159/(INDEX('Standards for Conversions'!$H$47:$H$73,MATCH(JV$3,'Standards for Conversions'!$A$47:$A$73,0)))=0,"",JW159/(INDEX('Standards for Conversions'!$H$47:$H$73,MATCH(JV$3,'Standards for Conversions'!$A$47:$A$73,0))))</f>
        <v>610.62356971119027</v>
      </c>
      <c r="JY159" s="33" t="s">
        <v>98</v>
      </c>
      <c r="KB159" s="31" t="str">
        <f>IF(KA159/(INDEX('Standards for Conversions'!$H$47:$H$73,MATCH(JZ$3,'Standards for Conversions'!$A$47:$A$73,0)))=0,"",KA159/(INDEX('Standards for Conversions'!$H$47:$H$73,MATCH(JZ$3,'Standards for Conversions'!$A$47:$A$73,0))))</f>
        <v/>
      </c>
      <c r="KC159" s="33" t="s">
        <v>98</v>
      </c>
      <c r="KF159" s="31" t="str">
        <f>IF(KE159/(INDEX('Standards for Conversions'!$H$47:$H$73,MATCH(KD$3,'Standards for Conversions'!$A$47:$A$73,0)))=0,"",KE159/(INDEX('Standards for Conversions'!$H$47:$H$73,MATCH(KD$3,'Standards for Conversions'!$A$47:$A$73,0))))</f>
        <v/>
      </c>
      <c r="KG159" s="33" t="s">
        <v>98</v>
      </c>
      <c r="KJ159" s="31" t="str">
        <f>IF(KI159/(INDEX('Standards for Conversions'!$H$47:$H$73,MATCH(KH$3,'Standards for Conversions'!$A$47:$A$73,0)))=0,"",KI159/(INDEX('Standards for Conversions'!$H$47:$H$73,MATCH(KH$3,'Standards for Conversions'!$A$47:$A$73,0))))</f>
        <v/>
      </c>
      <c r="KK159" s="33" t="s">
        <v>98</v>
      </c>
      <c r="KL159" s="33">
        <f>1.26*5</f>
        <v>6.3</v>
      </c>
      <c r="KM159" s="33">
        <v>2500</v>
      </c>
      <c r="KN159" s="31">
        <f>IF(KM159/(INDEX('Standards for Conversions'!$H$47:$H$73,MATCH(KL$3,'Standards for Conversions'!$A$47:$A$73,0)))=0,"",KM159/(INDEX('Standards for Conversions'!$H$47:$H$73,MATCH(KL$3,'Standards for Conversions'!$A$47:$A$73,0))))</f>
        <v>336.64752976449114</v>
      </c>
      <c r="KO159" s="33" t="s">
        <v>98</v>
      </c>
      <c r="KR159" s="31" t="str">
        <f>IF(KQ159/(INDEX('Standards for Conversions'!$H$47:$H$73,MATCH(KP$3,'Standards for Conversions'!$A$47:$A$73,0)))=0,"",KQ159/(INDEX('Standards for Conversions'!$H$47:$H$73,MATCH(KP$3,'Standards for Conversions'!$A$47:$A$73,0))))</f>
        <v/>
      </c>
      <c r="KS159" s="33" t="s">
        <v>98</v>
      </c>
      <c r="KV159" s="31" t="str">
        <f>IF(KU159/(INDEX('Standards for Conversions'!$H$47:$H$73,MATCH(KT$3,'Standards for Conversions'!$A$47:$A$73,0)))=0,"",KU159/(INDEX('Standards for Conversions'!$H$47:$H$73,MATCH(KT$3,'Standards for Conversions'!$A$47:$A$73,0))))</f>
        <v/>
      </c>
      <c r="KW159" s="33" t="s">
        <v>98</v>
      </c>
      <c r="KZ159" s="31" t="str">
        <f>IF(KY159/(INDEX('Standards for Conversions'!$H$47:$H$73,MATCH(KX$3,'Standards for Conversions'!$A$47:$A$73,0)))=0,"",KY159/(INDEX('Standards for Conversions'!$H$47:$H$73,MATCH(KX$3,'Standards for Conversions'!$A$47:$A$73,0))))</f>
        <v/>
      </c>
      <c r="LA159" s="33" t="s">
        <v>98</v>
      </c>
      <c r="LB159" s="33">
        <f>1.26*1</f>
        <v>1.26</v>
      </c>
      <c r="LC159" s="33">
        <v>450</v>
      </c>
      <c r="LD159" s="31">
        <f>IF(LC159/(INDEX('Standards for Conversions'!$H$47:$H$73,MATCH(LB$3,'Standards for Conversions'!$A$47:$A$73,0)))=0,"",LC159/(INDEX('Standards for Conversions'!$H$47:$H$73,MATCH(LB$3,'Standards for Conversions'!$A$47:$A$73,0))))</f>
        <v>54.727455027374631</v>
      </c>
      <c r="LH159" s="31" t="str">
        <f>IF(LG159/(INDEX('Standards for Conversions'!$H$47:$H$73,MATCH(LF$3,'Standards for Conversions'!$A$47:$A$73,0)))=0,"",LG159/(INDEX('Standards for Conversions'!$H$47:$H$73,MATCH(LF$3,'Standards for Conversions'!$A$47:$A$73,0))))</f>
        <v/>
      </c>
      <c r="LL159" s="31" t="str">
        <f>IF(LK159/(INDEX('Standards for Conversions'!$H$47:$H$73,MATCH(LJ$3,'Standards for Conversions'!$A$47:$A$73,0)))=0,"",LK159/(INDEX('Standards for Conversions'!$H$47:$H$73,MATCH(LJ$3,'Standards for Conversions'!$A$47:$A$73,0))))</f>
        <v/>
      </c>
      <c r="LO159" s="31" t="str">
        <f>IF(LN159/(INDEX('Standards for Conversions'!$H$47:$H$73,MATCH(LM$3,'Standards for Conversions'!$A$47:$A$73,0)))=0,"",LN159/(INDEX('Standards for Conversions'!$H$47:$H$73,MATCH(LM$3,'Standards for Conversions'!$A$47:$A$73,0))))</f>
        <v/>
      </c>
      <c r="LR159" s="31" t="str">
        <f>IF(LQ159/(INDEX('Standards for Conversions'!$H$47:$H$73,MATCH(LP$3,'Standards for Conversions'!$A$47:$A$73,0)))=0,"",LQ159/(INDEX('Standards for Conversions'!$H$47:$H$73,MATCH(LP$3,'Standards for Conversions'!$A$47:$A$73,0))))</f>
        <v/>
      </c>
      <c r="LV159" s="31" t="str">
        <f>IF(LU159/(INDEX('Standards for Conversions'!$H$47:$H$73,MATCH(LT$3,'Standards for Conversions'!$A$47:$A$73,0)))=0,"",LU159/(INDEX('Standards for Conversions'!$H$47:$H$73,MATCH(LT$3,'Standards for Conversions'!$A$47:$A$73,0))))</f>
        <v/>
      </c>
      <c r="LY159" s="31" t="str">
        <f>IF(LX159/(INDEX('Standards for Conversions'!$H$47:$H$73,MATCH(LW$3,'Standards for Conversions'!$A$47:$A$73,0)))=0,"",LX159/(INDEX('Standards for Conversions'!$H$47:$H$73,MATCH(LW$3,'Standards for Conversions'!$A$47:$A$73,0))))</f>
        <v/>
      </c>
      <c r="MB159" s="31" t="str">
        <f>IF(MA159/(INDEX('Standards for Conversions'!$H$47:$H$73,MATCH(LZ$3,'Standards for Conversions'!$A$47:$A$73,0)))=0,"",MA159/(INDEX('Standards for Conversions'!$H$47:$H$73,MATCH(LZ$3,'Standards for Conversions'!$A$47:$A$73,0))))</f>
        <v/>
      </c>
      <c r="ME159" s="31" t="str">
        <f>IF(MD159/(INDEX('Standards for Conversions'!$H$47:$H$73,MATCH(MC$3,'Standards for Conversions'!$A$47:$A$73,0)))=0,"",MD159/(INDEX('Standards for Conversions'!$H$47:$H$73,MATCH(MC$3,'Standards for Conversions'!$A$47:$A$73,0))))</f>
        <v/>
      </c>
      <c r="MH159" s="31" t="str">
        <f>IF(MG159/(INDEX('Standards for Conversions'!$H$47:$H$73,MATCH(MF$3,'Standards for Conversions'!$A$47:$A$73,0)))=0,"",MG159/(INDEX('Standards for Conversions'!$H$47:$H$73,MATCH(MF$3,'Standards for Conversions'!$A$47:$A$73,0))))</f>
        <v/>
      </c>
      <c r="MK159" s="31" t="str">
        <f>IF(MJ159/(INDEX('Standards for Conversions'!$H$47:$H$73,MATCH(MI$3,'Standards for Conversions'!$A$47:$A$73,0)))=0,"",MJ159/(INDEX('Standards for Conversions'!$H$47:$H$73,MATCH(MI$3,'Standards for Conversions'!$A$47:$A$73,0))))</f>
        <v/>
      </c>
      <c r="MN159" s="31" t="str">
        <f>IF(MM159/(INDEX('Standards for Conversions'!$H$47:$H$73,MATCH(ML$3,'Standards for Conversions'!$A$47:$A$73,0)))=0,"",MM159/(INDEX('Standards for Conversions'!$H$47:$H$73,MATCH(ML$3,'Standards for Conversions'!$A$47:$A$73,0))))</f>
        <v/>
      </c>
      <c r="MR159" s="31" t="str">
        <f>IF(MQ159/(INDEX('Standards for Conversions'!$H$47:$H$73,MATCH(MP$3,'Standards for Conversions'!$A$47:$A$73,0)))=0,"",MQ159/(INDEX('Standards for Conversions'!$H$47:$H$73,MATCH(MP$3,'Standards for Conversions'!$A$47:$A$73,0))))</f>
        <v/>
      </c>
    </row>
    <row r="160" spans="1:373" s="33" customFormat="1" x14ac:dyDescent="0.3">
      <c r="A160" s="104" t="s">
        <v>422</v>
      </c>
      <c r="B160" s="10" t="s">
        <v>98</v>
      </c>
      <c r="C160" s="9"/>
      <c r="D160" s="9"/>
      <c r="E160" s="31" t="str">
        <f>IF(D160/(INDEX('Standards for Conversions'!$H$34:$H$73,MATCH(C$3,'Standards for Conversions'!$A$34:$A$73,0)))=0,"",D160/(INDEX('Standards for Conversions'!$H$34:$H$73,MATCH(C$3,'Standards for Conversions'!$A$34:$A$73,0))))</f>
        <v/>
      </c>
      <c r="F160" s="10" t="s">
        <v>98</v>
      </c>
      <c r="G160" s="9"/>
      <c r="H160" s="9"/>
      <c r="I160" s="31" t="str">
        <f>IF(H160/(INDEX('Standards for Conversions'!$H$34:$H$73,MATCH(G$3,'Standards for Conversions'!$A$34:$A$73,0)))=0,"",H160/(INDEX('Standards for Conversions'!$H$34:$H$73,MATCH(G$3,'Standards for Conversions'!$A$34:$A$73,0))))</f>
        <v/>
      </c>
      <c r="J160" s="10" t="s">
        <v>98</v>
      </c>
      <c r="K160" s="9">
        <f>2.16*37</f>
        <v>79.92</v>
      </c>
      <c r="L160" s="9">
        <v>7000</v>
      </c>
      <c r="M160" s="31">
        <f>IF(L160/(INDEX('Standards for Conversions'!$H$34:$H$73,MATCH(K$3,'Standards for Conversions'!$A$34:$A$73,0)))=0,"",L160/(INDEX('Standards for Conversions'!$H$34:$H$73,MATCH(K$3,'Standards for Conversions'!$A$34:$A$73,0))))</f>
        <v>1382.7956081081079</v>
      </c>
      <c r="N160" s="10" t="s">
        <v>98</v>
      </c>
      <c r="O160" s="9">
        <f>2.16*97</f>
        <v>209.52</v>
      </c>
      <c r="P160" s="9">
        <v>20000</v>
      </c>
      <c r="Q160" s="31">
        <f>IF(P160/(INDEX('Standards for Conversions'!$H$34:$H$73,MATCH(O$3,'Standards for Conversions'!$A$34:$A$73,0)))=0,"",P160/(INDEX('Standards for Conversions'!$H$34:$H$73,MATCH(O$3,'Standards for Conversions'!$A$34:$A$73,0))))</f>
        <v>3950.8445945945941</v>
      </c>
      <c r="R160" s="10" t="s">
        <v>98</v>
      </c>
      <c r="S160" s="9"/>
      <c r="T160" s="9"/>
      <c r="U160" s="31" t="str">
        <f>IF(T160/(INDEX('Standards for Conversions'!$H$34:$H$73,MATCH(S$3,'Standards for Conversions'!$A$34:$A$73,0)))=0,"",T160/(INDEX('Standards for Conversions'!$H$34:$H$73,MATCH(S$3,'Standards for Conversions'!$A$34:$A$73,0))))</f>
        <v/>
      </c>
      <c r="V160" s="10" t="s">
        <v>98</v>
      </c>
      <c r="W160" s="9"/>
      <c r="X160" s="9"/>
      <c r="Y160" s="31" t="str">
        <f>IF(X160/(INDEX('Standards for Conversions'!$H$34:$H$73,MATCH(W$3,'Standards for Conversions'!$A$34:$A$73,0)))=0,"",X160/(INDEX('Standards for Conversions'!$H$34:$H$73,MATCH(W$3,'Standards for Conversions'!$A$34:$A$73,0))))</f>
        <v/>
      </c>
      <c r="Z160" s="10" t="s">
        <v>98</v>
      </c>
      <c r="AA160" s="9">
        <f>2.16*45</f>
        <v>97.2</v>
      </c>
      <c r="AB160" s="9">
        <v>9000</v>
      </c>
      <c r="AC160" s="31">
        <f>IF(AB160/(INDEX('Standards for Conversions'!$H$34:$H$73,MATCH(AA$3,'Standards for Conversions'!$A$34:$A$73,0)))=0,"",AB160/(INDEX('Standards for Conversions'!$H$34:$H$73,MATCH(AA$3,'Standards for Conversions'!$A$34:$A$73,0))))</f>
        <v>1734.0523702963412</v>
      </c>
      <c r="AD160" s="10" t="s">
        <v>98</v>
      </c>
      <c r="AE160" s="9">
        <f>2.16*100</f>
        <v>216</v>
      </c>
      <c r="AF160" s="9">
        <v>25000</v>
      </c>
      <c r="AG160" s="31">
        <f>IF(AF160/(INDEX('Standards for Conversions'!$H$34:$H$73,MATCH(AE$3,'Standards for Conversions'!$A$34:$A$73,0)))=0,"",AF160/(INDEX('Standards for Conversions'!$H$34:$H$73,MATCH(AE$3,'Standards for Conversions'!$A$34:$A$73,0))))</f>
        <v>4816.8121397120585</v>
      </c>
      <c r="AH160" s="10" t="s">
        <v>98</v>
      </c>
      <c r="AI160" s="9"/>
      <c r="AJ160" s="9"/>
      <c r="AK160" s="31" t="str">
        <f>IF(AJ160/(INDEX('Standards for Conversions'!$H$34:$H$73,MATCH(AI$3,'Standards for Conversions'!$A$34:$A$73,0)))=0,"",AJ160/(INDEX('Standards for Conversions'!$H$34:$H$73,MATCH(AI$3,'Standards for Conversions'!$A$34:$A$73,0))))</f>
        <v/>
      </c>
      <c r="AL160" s="10" t="s">
        <v>98</v>
      </c>
      <c r="AM160" s="9"/>
      <c r="AN160" s="9"/>
      <c r="AO160" s="31" t="str">
        <f>IF(AN160/(INDEX('Standards for Conversions'!$H$34:$H$73,MATCH(AM$3,'Standards for Conversions'!$A$34:$A$73,0)))=0,"",AN160/(INDEX('Standards for Conversions'!$H$34:$H$73,MATCH(AM$3,'Standards for Conversions'!$A$34:$A$73,0))))</f>
        <v/>
      </c>
      <c r="AP160" s="10" t="s">
        <v>98</v>
      </c>
      <c r="AQ160" s="9">
        <f>2.16*45</f>
        <v>97.2</v>
      </c>
      <c r="AR160" s="9">
        <v>9000</v>
      </c>
      <c r="AS160" s="31">
        <f>IF(AR160/(INDEX('Standards for Conversions'!$H$34:$H$73,MATCH(AQ$3,'Standards for Conversions'!$A$34:$A$73,0)))=0,"",AR160/(INDEX('Standards for Conversions'!$H$34:$H$73,MATCH(AQ$3,'Standards for Conversions'!$A$34:$A$73,0))))</f>
        <v>1608.2859346484747</v>
      </c>
      <c r="AT160" s="10" t="s">
        <v>98</v>
      </c>
      <c r="AU160" s="9"/>
      <c r="AV160" s="9"/>
      <c r="AW160" s="31" t="str">
        <f>IF(AV160/(INDEX('Standards for Conversions'!$H$34:$H$73,MATCH(AU$3,'Standards for Conversions'!$A$34:$A$73,0)))=0,"",AV160/(INDEX('Standards for Conversions'!$H$34:$H$73,MATCH(AU$3,'Standards for Conversions'!$A$34:$A$73,0))))</f>
        <v/>
      </c>
      <c r="AX160" s="10" t="s">
        <v>98</v>
      </c>
      <c r="AY160" s="9"/>
      <c r="AZ160" s="9"/>
      <c r="BA160" s="31" t="str">
        <f>IF(AZ160/(INDEX('Standards for Conversions'!$H$34:$H$73,MATCH(AY$3,'Standards for Conversions'!$A$34:$A$73,0)))=0,"",AZ160/(INDEX('Standards for Conversions'!$H$34:$H$73,MATCH(AY$3,'Standards for Conversions'!$A$34:$A$73,0))))</f>
        <v/>
      </c>
      <c r="BB160" s="10" t="s">
        <v>98</v>
      </c>
      <c r="BC160" s="9"/>
      <c r="BD160" s="9"/>
      <c r="BE160" s="31" t="str">
        <f>IF(BD160/(INDEX('Standards for Conversions'!$H$34:$H$73,MATCH(BC$3,'Standards for Conversions'!$A$34:$A$73,0)))=0,"",BD160/(INDEX('Standards for Conversions'!$H$34:$H$73,MATCH(BC$3,'Standards for Conversions'!$A$34:$A$73,0))))</f>
        <v/>
      </c>
      <c r="BF160" s="10" t="s">
        <v>98</v>
      </c>
      <c r="BG160" s="9">
        <f>2.16*60</f>
        <v>129.60000000000002</v>
      </c>
      <c r="BH160" s="9">
        <v>12000</v>
      </c>
      <c r="BI160" s="31">
        <f>IF(BH160/(INDEX('Standards for Conversions'!$H$34:$H$73,MATCH(BG$3,'Standards for Conversions'!$A$34:$A$73,0)))=0,"",BH160/(INDEX('Standards for Conversions'!$H$34:$H$73,MATCH(BG$3,'Standards for Conversions'!$A$34:$A$73,0))))</f>
        <v>2228.2255366298773</v>
      </c>
      <c r="BJ160" s="10" t="s">
        <v>98</v>
      </c>
      <c r="BK160" s="9">
        <f>2.16*25</f>
        <v>54</v>
      </c>
      <c r="BL160" s="9">
        <v>12000</v>
      </c>
      <c r="BM160" s="31">
        <f>IF(BL160/(INDEX('Standards for Conversions'!$H$34:$H$73,MATCH(BK$3,'Standards for Conversions'!$A$34:$A$73,0)))=0,"",BL160/(INDEX('Standards for Conversions'!$H$34:$H$73,MATCH(BK$3,'Standards for Conversions'!$A$34:$A$73,0))))</f>
        <v>2228.2255366298773</v>
      </c>
      <c r="BN160" s="10" t="s">
        <v>98</v>
      </c>
      <c r="BO160" s="9"/>
      <c r="BP160" s="9"/>
      <c r="BQ160" s="31" t="str">
        <f>IF(BP160/(INDEX('Standards for Conversions'!$H$34:$H$73,MATCH(BO$3,'Standards for Conversions'!$A$34:$A$73,0)))=0,"",BP160/(INDEX('Standards for Conversions'!$H$34:$H$73,MATCH(BO$3,'Standards for Conversions'!$A$34:$A$73,0))))</f>
        <v/>
      </c>
      <c r="BR160" s="10" t="s">
        <v>98</v>
      </c>
      <c r="BS160" s="9"/>
      <c r="BT160" s="9"/>
      <c r="BU160" s="31" t="str">
        <f>IF(BT160/(INDEX('Standards for Conversions'!$H$34:$H$73,MATCH(BS$3,'Standards for Conversions'!$A$34:$A$73,0)))=0,"",BT160/(INDEX('Standards for Conversions'!$H$34:$H$73,MATCH(BS$3,'Standards for Conversions'!$A$34:$A$73,0))))</f>
        <v/>
      </c>
      <c r="BV160" s="10" t="s">
        <v>98</v>
      </c>
      <c r="BW160" s="9">
        <f>2.16*20</f>
        <v>43.2</v>
      </c>
      <c r="BX160" s="9">
        <v>7000</v>
      </c>
      <c r="BY160" s="31">
        <f>IF(BX160/(INDEX('Standards for Conversions'!$H$34:$H$73,MATCH(BW$3,'Standards for Conversions'!$A$34:$A$73,0)))=0,"",BX160/(INDEX('Standards for Conversions'!$H$34:$H$73,MATCH(BW$3,'Standards for Conversions'!$A$34:$A$73,0))))</f>
        <v>1246.442772153182</v>
      </c>
      <c r="BZ160" s="10" t="s">
        <v>98</v>
      </c>
      <c r="CA160" s="9">
        <f>1.26*90</f>
        <v>113.4</v>
      </c>
      <c r="CB160" s="9">
        <v>13000</v>
      </c>
      <c r="CC160" s="31">
        <f>IF(CB160/(INDEX('Standards for Conversions'!$H$34:$H$73,MATCH(CA$3,'Standards for Conversions'!$A$34:$A$73,0)))=0,"",CB160/(INDEX('Standards for Conversions'!$H$34:$H$73,MATCH(CA$3,'Standards for Conversions'!$A$34:$A$73,0))))</f>
        <v>2314.8222911416237</v>
      </c>
      <c r="CD160" s="10" t="s">
        <v>98</v>
      </c>
      <c r="CE160" s="9"/>
      <c r="CF160" s="9"/>
      <c r="CG160" s="31" t="str">
        <f>IF(CF160/(INDEX('Standards for Conversions'!$H$34:$H$73,MATCH(CE$3,'Standards for Conversions'!$A$34:$A$73,0)))=0,"",CF160/(INDEX('Standards for Conversions'!$H$34:$H$73,MATCH(CE$3,'Standards for Conversions'!$A$34:$A$73,0))))</f>
        <v/>
      </c>
      <c r="CH160" s="10" t="s">
        <v>98</v>
      </c>
      <c r="CI160" s="9"/>
      <c r="CJ160" s="9"/>
      <c r="CK160" s="31" t="str">
        <f>IF(CJ160/(INDEX('Standards for Conversions'!$H$34:$H$73,MATCH(CI$3,'Standards for Conversions'!$A$34:$A$73,0)))=0,"",CJ160/(INDEX('Standards for Conversions'!$H$34:$H$73,MATCH(CI$3,'Standards for Conversions'!$A$34:$A$73,0))))</f>
        <v/>
      </c>
      <c r="CL160" s="10" t="s">
        <v>98</v>
      </c>
      <c r="CM160" s="9">
        <f>2.16*50</f>
        <v>108</v>
      </c>
      <c r="CN160" s="9">
        <v>15000</v>
      </c>
      <c r="CO160" s="31">
        <f>IF(CN160/(INDEX('Standards for Conversions'!$H$34:$H$73,MATCH(CM$3,'Standards for Conversions'!$A$34:$A$73,0)))=0,"",CN160/(INDEX('Standards for Conversions'!$H$34:$H$73,MATCH(CM$3,'Standards for Conversions'!$A$34:$A$73,0))))</f>
        <v>2604.2544755366298</v>
      </c>
      <c r="CP160" s="10" t="s">
        <v>98</v>
      </c>
      <c r="CQ160" s="9">
        <f>1.26*75</f>
        <v>94.5</v>
      </c>
      <c r="CR160" s="9">
        <v>12000</v>
      </c>
      <c r="CS160" s="31">
        <f>IF(CR160/(INDEX('Standards for Conversions'!$H$34:$H$73,MATCH(CQ$3,'Standards for Conversions'!$A$34:$A$73,0)))=0,"",CR160/(INDEX('Standards for Conversions'!$H$34:$H$73,MATCH(CQ$3,'Standards for Conversions'!$A$34:$A$73,0))))</f>
        <v>2083.4035804293039</v>
      </c>
      <c r="CT160" s="10" t="s">
        <v>98</v>
      </c>
      <c r="CU160" s="9"/>
      <c r="CV160" s="9"/>
      <c r="CW160" s="31" t="str">
        <f>IF(CV160/(INDEX('Standards for Conversions'!$H$34:$H$73,MATCH(CU$3,'Standards for Conversions'!$A$34:$A$73,0)))=0,"",CV160/(INDEX('Standards for Conversions'!$H$34:$H$73,MATCH(CU$3,'Standards for Conversions'!$A$34:$A$73,0))))</f>
        <v/>
      </c>
      <c r="CX160" s="10" t="s">
        <v>98</v>
      </c>
      <c r="CY160" s="9"/>
      <c r="CZ160" s="9"/>
      <c r="DA160" s="31" t="str">
        <f>IF(CZ160/(INDEX('Standards for Conversions'!$H$34:$H$73,MATCH(CY$3,'Standards for Conversions'!$A$34:$A$73,0)))=0,"",CZ160/(INDEX('Standards for Conversions'!$H$34:$H$73,MATCH(CY$3,'Standards for Conversions'!$A$34:$A$73,0))))</f>
        <v/>
      </c>
      <c r="DB160" s="10" t="s">
        <v>98</v>
      </c>
      <c r="DC160" s="9">
        <f>2.16*25</f>
        <v>54</v>
      </c>
      <c r="DD160" s="9">
        <v>5000</v>
      </c>
      <c r="DE160" s="31">
        <f>IF(DD160/(INDEX('Standards for Conversions'!$H$34:$H$73,MATCH(DC$3,'Standards for Conversions'!$A$34:$A$73,0)))=0,"",DD160/(INDEX('Standards for Conversions'!$H$34:$H$73,MATCH(DC$3,'Standards for Conversions'!$A$34:$A$73,0))))</f>
        <v>885.02306567017183</v>
      </c>
      <c r="DF160" s="10" t="s">
        <v>98</v>
      </c>
      <c r="DG160" s="9">
        <f>1.26*45</f>
        <v>56.7</v>
      </c>
      <c r="DH160" s="9">
        <v>9500</v>
      </c>
      <c r="DI160" s="31">
        <f>IF(DH160/(INDEX('Standards for Conversions'!$H$34:$H$73,MATCH(DG$3,'Standards for Conversions'!$A$34:$A$73,0)))=0,"",DH160/(INDEX('Standards for Conversions'!$H$34:$H$73,MATCH(DG$3,'Standards for Conversions'!$A$34:$A$73,0))))</f>
        <v>1681.5438247733264</v>
      </c>
      <c r="DJ160" s="10" t="s">
        <v>98</v>
      </c>
      <c r="DK160" s="9"/>
      <c r="DL160" s="9"/>
      <c r="DM160" s="31" t="str">
        <f>IF(DL160/(INDEX('Standards for Conversions'!$H$34:$H$73,MATCH(DK$3,'Standards for Conversions'!$A$34:$A$73,0)))=0,"",DL160/(INDEX('Standards for Conversions'!$H$34:$H$73,MATCH(DK$3,'Standards for Conversions'!$A$34:$A$73,0))))</f>
        <v/>
      </c>
      <c r="DN160" s="10" t="s">
        <v>98</v>
      </c>
      <c r="DO160" s="9"/>
      <c r="DP160" s="9"/>
      <c r="DQ160" s="31" t="str">
        <f>IF(DP160/(INDEX('Standards for Conversions'!$H$34:$H$73,MATCH(DO$3,'Standards for Conversions'!$A$34:$A$73,0)))=0,"",DP160/(INDEX('Standards for Conversions'!$H$34:$H$73,MATCH(DO$3,'Standards for Conversions'!$A$34:$A$73,0))))</f>
        <v/>
      </c>
      <c r="DR160" s="10" t="s">
        <v>98</v>
      </c>
      <c r="DS160" s="9">
        <f>2.16*25</f>
        <v>54</v>
      </c>
      <c r="DT160" s="9">
        <v>10000</v>
      </c>
      <c r="DU160" s="31">
        <f>IF(DT160/(INDEX('Standards for Conversions'!$H$34:$H$73,MATCH(DS$3,'Standards for Conversions'!$A$34:$A$73,0)))=0,"",DT160/(INDEX('Standards for Conversions'!$H$34:$H$73,MATCH(DS$3,'Standards for Conversions'!$A$34:$A$73,0))))</f>
        <v>1750.9906107876366</v>
      </c>
      <c r="DV160" s="10" t="s">
        <v>98</v>
      </c>
      <c r="DW160" s="9">
        <f>1.26*125</f>
        <v>157.5</v>
      </c>
      <c r="DX160" s="9">
        <v>30000</v>
      </c>
      <c r="DY160" s="31">
        <f>IF(DX160/(INDEX('Standards for Conversions'!$H$34:$H$73,MATCH(DW$3,'Standards for Conversions'!$A$34:$A$73,0)))=0,"",DX160/(INDEX('Standards for Conversions'!$H$34:$H$73,MATCH(DW$3,'Standards for Conversions'!$A$34:$A$73,0))))</f>
        <v>5252.9718323629095</v>
      </c>
      <c r="DZ160" s="10" t="s">
        <v>98</v>
      </c>
      <c r="EA160" s="9"/>
      <c r="EB160" s="9"/>
      <c r="EC160" s="31" t="str">
        <f>IF(EB160/(INDEX('Standards for Conversions'!$H$34:$H$73,MATCH(EA$3,'Standards for Conversions'!$A$34:$A$73,0)))=0,"",EB160/(INDEX('Standards for Conversions'!$H$34:$H$73,MATCH(EA$3,'Standards for Conversions'!$A$34:$A$73,0))))</f>
        <v/>
      </c>
      <c r="ED160" s="10" t="s">
        <v>98</v>
      </c>
      <c r="EE160" s="9"/>
      <c r="EF160" s="9"/>
      <c r="EG160" s="31" t="str">
        <f>IF(EF160/(INDEX('Standards for Conversions'!$H$34:$H$73,MATCH(EE$3,'Standards for Conversions'!$A$34:$A$73,0)))=0,"",EF160/(INDEX('Standards for Conversions'!$H$34:$H$73,MATCH(EE$3,'Standards for Conversions'!$A$34:$A$73,0))))</f>
        <v/>
      </c>
      <c r="EH160" s="10" t="s">
        <v>98</v>
      </c>
      <c r="EI160" s="9">
        <f>2.16*39</f>
        <v>84.240000000000009</v>
      </c>
      <c r="EJ160" s="9">
        <v>15140</v>
      </c>
      <c r="EK160" s="31">
        <f>IF(EJ160/(INDEX('Standards for Conversions'!$H$34:$H$73,MATCH(EI$3,'Standards for Conversions'!$A$34:$A$73,0)))=0,"",EJ160/(INDEX('Standards for Conversions'!$H$34:$H$73,MATCH(EI$3,'Standards for Conversions'!$A$34:$A$73,0))))</f>
        <v>2647.794222719504</v>
      </c>
      <c r="EL160" s="10" t="s">
        <v>98</v>
      </c>
      <c r="EM160" s="9">
        <f>1.26*104</f>
        <v>131.04</v>
      </c>
      <c r="EN160" s="9">
        <v>19300</v>
      </c>
      <c r="EO160" s="31">
        <f>IF(EN160/(INDEX('Standards for Conversions'!$H$34:$H$73,MATCH(EM$3,'Standards for Conversions'!$A$34:$A$73,0)))=0,"",EN160/(INDEX('Standards for Conversions'!$H$34:$H$73,MATCH(EM$3,'Standards for Conversions'!$A$34:$A$73,0))))</f>
        <v>3375.3255283016133</v>
      </c>
      <c r="EP160" s="10" t="s">
        <v>98</v>
      </c>
      <c r="EQ160" s="9"/>
      <c r="ER160" s="9"/>
      <c r="ES160" s="31" t="str">
        <f>IF(ER160/(INDEX('Standards for Conversions'!$H$34:$H$73,MATCH(EQ$3,'Standards for Conversions'!$A$34:$A$73,0)))=0,"",ER160/(INDEX('Standards for Conversions'!$H$34:$H$73,MATCH(EQ$3,'Standards for Conversions'!$A$34:$A$73,0))))</f>
        <v/>
      </c>
      <c r="ET160" s="10" t="s">
        <v>98</v>
      </c>
      <c r="EU160" s="9"/>
      <c r="EV160" s="9"/>
      <c r="EW160" s="31" t="str">
        <f>IF(EV160/(INDEX('Standards for Conversions'!$H$34:$H$73,MATCH(EU$3,'Standards for Conversions'!$A$34:$A$73,0)))=0,"",EV160/(INDEX('Standards for Conversions'!$H$34:$H$73,MATCH(EU$3,'Standards for Conversions'!$A$34:$A$73,0))))</f>
        <v/>
      </c>
      <c r="EX160" s="10" t="s">
        <v>98</v>
      </c>
      <c r="EY160" s="9">
        <f>1.26*72</f>
        <v>90.72</v>
      </c>
      <c r="EZ160" s="9">
        <v>15360</v>
      </c>
      <c r="FA160" s="31">
        <f>IF(EZ160/(INDEX('Standards for Conversions'!$H$34:$H$73,MATCH(EY$3,'Standards for Conversions'!$A$34:$A$73,0)))=0,"",EZ160/(INDEX('Standards for Conversions'!$H$34:$H$73,MATCH(EY$3,'Standards for Conversions'!$A$34:$A$73,0))))</f>
        <v>2630.983019031893</v>
      </c>
      <c r="FB160" s="10" t="s">
        <v>98</v>
      </c>
      <c r="FC160" s="10">
        <f>1.26*41</f>
        <v>51.660000000000004</v>
      </c>
      <c r="FD160" s="10">
        <v>9880</v>
      </c>
      <c r="FE160" s="31">
        <f>IF(FD160/(INDEX('Standards for Conversions'!$H$34:$H$73,MATCH(FC$3,'Standards for Conversions'!$A$34:$A$73,0)))=0,"",FD160/(INDEX('Standards for Conversions'!$H$34:$H$73,MATCH(FC$3,'Standards for Conversions'!$A$34:$A$73,0))))</f>
        <v>1692.3250148460354</v>
      </c>
      <c r="FF160" s="10" t="s">
        <v>98</v>
      </c>
      <c r="FG160" s="9"/>
      <c r="FH160" s="9"/>
      <c r="FI160" s="31" t="str">
        <f>IF(FH160/(INDEX('Standards for Conversions'!$H$34:$H$73,MATCH(FG$3,'Standards for Conversions'!$A$34:$A$73,0)))=0,"",FH160/(INDEX('Standards for Conversions'!$H$34:$H$73,MATCH(FG$3,'Standards for Conversions'!$A$34:$A$73,0))))</f>
        <v/>
      </c>
      <c r="FJ160" s="10" t="s">
        <v>98</v>
      </c>
      <c r="FK160" s="9"/>
      <c r="FL160" s="9"/>
      <c r="FM160" s="31" t="str">
        <f>IF(FL160/(INDEX('Standards for Conversions'!$H$34:$H$73,MATCH(FK$3,'Standards for Conversions'!$A$34:$A$73,0)))=0,"",FL160/(INDEX('Standards for Conversions'!$H$34:$H$73,MATCH(FK$3,'Standards for Conversions'!$A$34:$A$73,0))))</f>
        <v/>
      </c>
      <c r="FN160" s="10" t="s">
        <v>98</v>
      </c>
      <c r="FO160" s="9">
        <f>1.26*80</f>
        <v>100.8</v>
      </c>
      <c r="FP160" s="9">
        <v>16000</v>
      </c>
      <c r="FQ160" s="31">
        <f>IF(FP160/(INDEX('Standards for Conversions'!$H$34:$H$73,MATCH(FO$3,'Standards for Conversions'!$A$34:$A$73,0)))=0,"",FP160/(INDEX('Standards for Conversions'!$H$34:$H$73,MATCH(FO$3,'Standards for Conversions'!$A$34:$A$73,0))))</f>
        <v>2743.9949595898142</v>
      </c>
      <c r="FR160" s="10" t="s">
        <v>98</v>
      </c>
      <c r="FS160" s="10">
        <f>1.26*25</f>
        <v>31.5</v>
      </c>
      <c r="FT160" s="10">
        <v>6000</v>
      </c>
      <c r="FU160" s="31">
        <f>IF(FT160/(INDEX('Standards for Conversions'!$H$34:$H$73,MATCH(FS$3,'Standards for Conversions'!$A$34:$A$73,0)))=0,"",FT160/(INDEX('Standards for Conversions'!$H$34:$H$73,MATCH(FS$3,'Standards for Conversions'!$A$34:$A$73,0))))</f>
        <v>1028.9981098461803</v>
      </c>
      <c r="FV160" s="10" t="s">
        <v>98</v>
      </c>
      <c r="FW160" s="9"/>
      <c r="FX160" s="9"/>
      <c r="FY160" s="31" t="str">
        <f>IF(FX160/(INDEX('Standards for Conversions'!$H$34:$H$73,MATCH(FW$3,'Standards for Conversions'!$A$34:$A$73,0)))=0,"",FX160/(INDEX('Standards for Conversions'!$H$34:$H$73,MATCH(FW$3,'Standards for Conversions'!$A$34:$A$73,0))))</f>
        <v/>
      </c>
      <c r="FZ160" s="10" t="s">
        <v>98</v>
      </c>
      <c r="GA160" s="9"/>
      <c r="GB160" s="9"/>
      <c r="GC160" s="31" t="str">
        <f>IF(GB160/(INDEX('Standards for Conversions'!$H$34:$H$73,MATCH(GA$3,'Standards for Conversions'!$A$34:$A$73,0)))=0,"",GB160/(INDEX('Standards for Conversions'!$H$34:$H$73,MATCH(GA$3,'Standards for Conversions'!$A$34:$A$73,0))))</f>
        <v/>
      </c>
      <c r="GD160" s="10" t="s">
        <v>98</v>
      </c>
      <c r="GE160" s="9">
        <f>1.26*30</f>
        <v>37.799999999999997</v>
      </c>
      <c r="GF160" s="9">
        <v>7000</v>
      </c>
      <c r="GG160" s="31">
        <f>IF(GF160/(INDEX('Standards for Conversions'!$H$34:$H$73,MATCH(GE$3,'Standards for Conversions'!$A$34:$A$73,0)))=0,"",GF160/(INDEX('Standards for Conversions'!$H$34:$H$73,MATCH(GE$3,'Standards for Conversions'!$A$34:$A$73,0))))</f>
        <v>1151.5886254019292</v>
      </c>
      <c r="GH160" s="10" t="s">
        <v>98</v>
      </c>
      <c r="GI160" s="9">
        <f>1.26*25</f>
        <v>31.5</v>
      </c>
      <c r="GJ160" s="9">
        <v>5800</v>
      </c>
      <c r="GK160" s="31">
        <f>IF(GJ160/(INDEX('Standards for Conversions'!$H$34:$H$73,MATCH(GI$3,'Standards for Conversions'!$A$34:$A$73,0)))=0,"",GJ160/(INDEX('Standards for Conversions'!$H$34:$H$73,MATCH(GI$3,'Standards for Conversions'!$A$34:$A$73,0))))</f>
        <v>954.17343247588417</v>
      </c>
      <c r="GL160" s="10" t="s">
        <v>98</v>
      </c>
      <c r="GM160" s="9"/>
      <c r="GN160" s="9"/>
      <c r="GO160" s="31" t="str">
        <f>IF(GN160/(INDEX('Standards for Conversions'!$H$34:$H$73,MATCH(GM$3,'Standards for Conversions'!$A$34:$A$73,0)))=0,"",GN160/(INDEX('Standards for Conversions'!$H$34:$H$73,MATCH(GM$3,'Standards for Conversions'!$A$34:$A$73,0))))</f>
        <v/>
      </c>
      <c r="GP160" s="10" t="s">
        <v>98</v>
      </c>
      <c r="GQ160" s="9"/>
      <c r="GR160" s="9"/>
      <c r="GS160" s="31" t="str">
        <f>IF(GR160/(INDEX('Standards for Conversions'!$H$34:$H$73,MATCH(GQ$3,'Standards for Conversions'!$A$34:$A$73,0)))=0,"",GR160/(INDEX('Standards for Conversions'!$H$34:$H$73,MATCH(GQ$3,'Standards for Conversions'!$A$34:$A$73,0))))</f>
        <v/>
      </c>
      <c r="GT160" s="10" t="s">
        <v>98</v>
      </c>
      <c r="GU160" s="9">
        <f>1.26*24</f>
        <v>30.240000000000002</v>
      </c>
      <c r="GV160" s="9">
        <v>5500</v>
      </c>
      <c r="GW160" s="31">
        <f>IF(GV160/(INDEX('Standards for Conversions'!$H$34:$H$73,MATCH(GU$3,'Standards for Conversions'!$A$34:$A$73,0)))=0,"",GV160/(INDEX('Standards for Conversions'!$H$34:$H$73,MATCH(GU$3,'Standards for Conversions'!$A$34:$A$73,0))))</f>
        <v>845.4299285217694</v>
      </c>
      <c r="GX160" s="10" t="s">
        <v>98</v>
      </c>
      <c r="GY160" s="9">
        <f>1.26*17</f>
        <v>21.42</v>
      </c>
      <c r="GZ160" s="9">
        <v>4600</v>
      </c>
      <c r="HA160" s="31">
        <f>IF(GZ160/(INDEX('Standards for Conversions'!$H$34:$H$73,MATCH(GY$3,'Standards for Conversions'!$A$34:$A$73,0)))=0,"",GZ160/(INDEX('Standards for Conversions'!$H$34:$H$73,MATCH(GY$3,'Standards for Conversions'!$A$34:$A$73,0))))</f>
        <v>707.08684930911625</v>
      </c>
      <c r="HB160" s="10" t="s">
        <v>98</v>
      </c>
      <c r="HC160" s="9"/>
      <c r="HD160" s="9"/>
      <c r="HE160" s="31" t="str">
        <f>IF(HD160/(INDEX('Standards for Conversions'!$H$34:$H$73,MATCH(HC$3,'Standards for Conversions'!$A$34:$A$73,0)))=0,"",HD160/(INDEX('Standards for Conversions'!$H$34:$H$73,MATCH(HC$3,'Standards for Conversions'!$A$34:$A$73,0))))</f>
        <v/>
      </c>
      <c r="HF160" s="10" t="s">
        <v>98</v>
      </c>
      <c r="HG160" s="9"/>
      <c r="HH160" s="9"/>
      <c r="HI160" s="31" t="str">
        <f>IF(HH160/(INDEX('Standards for Conversions'!$H$34:$H$73,MATCH(HG$3,'Standards for Conversions'!$A$34:$A$73,0)))=0,"",HH160/(INDEX('Standards for Conversions'!$H$34:$H$73,MATCH(HG$3,'Standards for Conversions'!$A$34:$A$73,0))))</f>
        <v/>
      </c>
      <c r="HJ160" s="10" t="s">
        <v>98</v>
      </c>
      <c r="HK160" s="9">
        <f>1.26*25</f>
        <v>31.5</v>
      </c>
      <c r="HL160" s="9">
        <v>6000</v>
      </c>
      <c r="HM160" s="31">
        <f>IF(HL160/(INDEX('Standards for Conversions'!$H$34:$H$73,MATCH(HK$3,'Standards for Conversions'!$A$34:$A$73,0)))=0,"",HL160/(INDEX('Standards for Conversions'!$H$34:$H$73,MATCH(HK$3,'Standards for Conversions'!$A$34:$A$73,0))))</f>
        <v>908.31314634570242</v>
      </c>
      <c r="HN160" s="10" t="s">
        <v>98</v>
      </c>
      <c r="HO160" s="9">
        <f>1.26*15</f>
        <v>18.899999999999999</v>
      </c>
      <c r="HP160" s="9">
        <v>4500</v>
      </c>
      <c r="HQ160" s="31">
        <f>IF(HP160/(INDEX('Standards for Conversions'!$H$34:$H$73,MATCH(HO$3,'Standards for Conversions'!$A$34:$A$73,0)))=0,"",HP160/(INDEX('Standards for Conversions'!$H$34:$H$73,MATCH(HO$3,'Standards for Conversions'!$A$34:$A$73,0))))</f>
        <v>681.23485975927679</v>
      </c>
      <c r="HR160" s="33" t="s">
        <v>98</v>
      </c>
      <c r="HU160" s="31" t="str">
        <f>IF(HT160/(INDEX('Standards for Conversions'!$H$47:$H$73,MATCH(HS$3,'Standards for Conversions'!$A$47:$A$73,0)))=0,"",HT160/(INDEX('Standards for Conversions'!$H$47:$H$73,MATCH(HS$3,'Standards for Conversions'!$A$47:$A$73,0))))</f>
        <v/>
      </c>
      <c r="HV160" s="33" t="s">
        <v>98</v>
      </c>
      <c r="HY160" s="31" t="str">
        <f>IF(HX160/(INDEX('Standards for Conversions'!$H$47:$H$73,MATCH(HW$3,'Standards for Conversions'!$A$47:$A$73,0)))=0,"",HX160/(INDEX('Standards for Conversions'!$H$47:$H$73,MATCH(HW$3,'Standards for Conversions'!$A$47:$A$73,0))))</f>
        <v/>
      </c>
      <c r="HZ160" s="33">
        <f>1.26*30</f>
        <v>37.799999999999997</v>
      </c>
      <c r="IA160" s="33">
        <v>7000</v>
      </c>
      <c r="IB160" s="31">
        <f>IF(IA160/(INDEX('Standards for Conversions'!$H$47:$H$73,MATCH(HZ$3,'Standards for Conversions'!$A$47:$A$73,0)))=0,"",IA160/(INDEX('Standards for Conversions'!$H$47:$H$73,MATCH(HZ$3,'Standards for Conversions'!$A$47:$A$73,0))))</f>
        <v>1016.7178854899917</v>
      </c>
      <c r="IC160" s="33" t="s">
        <v>98</v>
      </c>
      <c r="IF160" s="31" t="str">
        <f>IF(IE160/(INDEX('Standards for Conversions'!$H$47:$H$73,MATCH(ID$3,'Standards for Conversions'!$A$47:$A$73,0)))=0,"",IE160/(INDEX('Standards for Conversions'!$H$47:$H$73,MATCH(ID$3,'Standards for Conversions'!$A$47:$A$73,0))))</f>
        <v/>
      </c>
      <c r="IG160" s="33" t="s">
        <v>98</v>
      </c>
      <c r="IJ160" s="31" t="str">
        <f>IF(II160/(INDEX('Standards for Conversions'!$H$47:$H$73,MATCH(IH$3,'Standards for Conversions'!$A$47:$A$73,0)))=0,"",II160/(INDEX('Standards for Conversions'!$H$47:$H$73,MATCH(IH$3,'Standards for Conversions'!$A$47:$A$73,0))))</f>
        <v/>
      </c>
      <c r="IK160" s="33" t="s">
        <v>98</v>
      </c>
      <c r="IN160" s="31" t="str">
        <f>IF(IM160/(INDEX('Standards for Conversions'!$H$47:$H$73,MATCH(IL$3,'Standards for Conversions'!$A$47:$A$73,0)))=0,"",IM160/(INDEX('Standards for Conversions'!$H$47:$H$73,MATCH(IL$3,'Standards for Conversions'!$A$47:$A$73,0))))</f>
        <v/>
      </c>
      <c r="IO160" s="33" t="s">
        <v>98</v>
      </c>
      <c r="IP160" s="33">
        <f>1.26*2</f>
        <v>2.52</v>
      </c>
      <c r="IQ160" s="33">
        <v>800</v>
      </c>
      <c r="IR160" s="31">
        <f>IF(IQ160/(INDEX('Standards for Conversions'!$H$47:$H$73,MATCH(IP$3,'Standards for Conversions'!$A$47:$A$73,0)))=0,"",IQ160/(INDEX('Standards for Conversions'!$H$47:$H$73,MATCH(IP$3,'Standards for Conversions'!$A$47:$A$73,0))))</f>
        <v>115.68818255554589</v>
      </c>
      <c r="IS160" s="33" t="s">
        <v>98</v>
      </c>
      <c r="IV160" s="31" t="str">
        <f>IF(IU160/(INDEX('Standards for Conversions'!$H$47:$H$73,MATCH(IT$3,'Standards for Conversions'!$A$47:$A$73,0)))=0,"",IU160/(INDEX('Standards for Conversions'!$H$47:$H$73,MATCH(IT$3,'Standards for Conversions'!$A$47:$A$73,0))))</f>
        <v/>
      </c>
      <c r="IW160" s="33" t="s">
        <v>98</v>
      </c>
      <c r="IZ160" s="31" t="str">
        <f>IF(IY160/(INDEX('Standards for Conversions'!$H$47:$H$73,MATCH(IX$3,'Standards for Conversions'!$A$47:$A$73,0)))=0,"",IY160/(INDEX('Standards for Conversions'!$H$47:$H$73,MATCH(IX$3,'Standards for Conversions'!$A$47:$A$73,0))))</f>
        <v/>
      </c>
      <c r="JA160" s="33" t="s">
        <v>98</v>
      </c>
      <c r="JD160" s="31" t="str">
        <f>IF(JC160/(INDEX('Standards for Conversions'!$H$47:$H$73,MATCH(JB$3,'Standards for Conversions'!$A$47:$A$73,0)))=0,"",JC160/(INDEX('Standards for Conversions'!$H$47:$H$73,MATCH(JB$3,'Standards for Conversions'!$A$47:$A$73,0))))</f>
        <v/>
      </c>
      <c r="JE160" s="33" t="s">
        <v>98</v>
      </c>
      <c r="JF160" s="33">
        <f>1.26*25</f>
        <v>31.5</v>
      </c>
      <c r="JG160" s="33">
        <v>11300</v>
      </c>
      <c r="JH160" s="31">
        <f>IF(JG160/(INDEX('Standards for Conversions'!$H$47:$H$73,MATCH(JF$3,'Standards for Conversions'!$A$47:$A$73,0)))=0,"",JG160/(INDEX('Standards for Conversions'!$H$47:$H$73,MATCH(JF$3,'Standards for Conversions'!$A$47:$A$73,0))))</f>
        <v>1827.8902226181162</v>
      </c>
      <c r="JL160" s="31" t="str">
        <f>IF(JK160/(INDEX('Standards for Conversions'!$H$47:$H$73,MATCH(JJ$3,'Standards for Conversions'!$A$47:$A$73,0)))=0,"",JK160/(INDEX('Standards for Conversions'!$H$47:$H$73,MATCH(JJ$3,'Standards for Conversions'!$A$47:$A$73,0))))</f>
        <v/>
      </c>
      <c r="JM160" s="33" t="s">
        <v>98</v>
      </c>
      <c r="JP160" s="31" t="str">
        <f>IF(JO160/(INDEX('Standards for Conversions'!$H$47:$H$73,MATCH(JN$3,'Standards for Conversions'!$A$47:$A$73,0)))=0,"",JO160/(INDEX('Standards for Conversions'!$H$47:$H$73,MATCH(JN$3,'Standards for Conversions'!$A$47:$A$73,0))))</f>
        <v/>
      </c>
      <c r="JQ160" s="33" t="s">
        <v>98</v>
      </c>
      <c r="JT160" s="31" t="str">
        <f>IF(JS160/(INDEX('Standards for Conversions'!$H$47:$H$73,MATCH(JR$3,'Standards for Conversions'!$A$47:$A$73,0)))=0,"",JS160/(INDEX('Standards for Conversions'!$H$47:$H$73,MATCH(JR$3,'Standards for Conversions'!$A$47:$A$73,0))))</f>
        <v/>
      </c>
      <c r="JU160" s="33" t="s">
        <v>98</v>
      </c>
      <c r="JV160" s="33">
        <f>1.26*20</f>
        <v>25.2</v>
      </c>
      <c r="JW160" s="33">
        <v>9000</v>
      </c>
      <c r="JX160" s="31">
        <f>IF(JW160/(INDEX('Standards for Conversions'!$H$47:$H$73,MATCH(JV$3,'Standards for Conversions'!$A$47:$A$73,0)))=0,"",JW160/(INDEX('Standards for Conversions'!$H$47:$H$73,MATCH(JV$3,'Standards for Conversions'!$A$47:$A$73,0))))</f>
        <v>1373.903031850178</v>
      </c>
      <c r="JY160" s="33" t="s">
        <v>98</v>
      </c>
      <c r="KB160" s="31" t="str">
        <f>IF(KA160/(INDEX('Standards for Conversions'!$H$47:$H$73,MATCH(JZ$3,'Standards for Conversions'!$A$47:$A$73,0)))=0,"",KA160/(INDEX('Standards for Conversions'!$H$47:$H$73,MATCH(JZ$3,'Standards for Conversions'!$A$47:$A$73,0))))</f>
        <v/>
      </c>
      <c r="KC160" s="33" t="s">
        <v>98</v>
      </c>
      <c r="KF160" s="31" t="str">
        <f>IF(KE160/(INDEX('Standards for Conversions'!$H$47:$H$73,MATCH(KD$3,'Standards for Conversions'!$A$47:$A$73,0)))=0,"",KE160/(INDEX('Standards for Conversions'!$H$47:$H$73,MATCH(KD$3,'Standards for Conversions'!$A$47:$A$73,0))))</f>
        <v/>
      </c>
      <c r="KG160" s="33" t="s">
        <v>98</v>
      </c>
      <c r="KJ160" s="31" t="str">
        <f>IF(KI160/(INDEX('Standards for Conversions'!$H$47:$H$73,MATCH(KH$3,'Standards for Conversions'!$A$47:$A$73,0)))=0,"",KI160/(INDEX('Standards for Conversions'!$H$47:$H$73,MATCH(KH$3,'Standards for Conversions'!$A$47:$A$73,0))))</f>
        <v/>
      </c>
      <c r="KK160" s="33" t="s">
        <v>98</v>
      </c>
      <c r="KL160" s="33">
        <f>1.26*24</f>
        <v>30.240000000000002</v>
      </c>
      <c r="KM160" s="33">
        <v>11000</v>
      </c>
      <c r="KN160" s="31">
        <f>IF(KM160/(INDEX('Standards for Conversions'!$H$47:$H$73,MATCH(KL$3,'Standards for Conversions'!$A$47:$A$73,0)))=0,"",KM160/(INDEX('Standards for Conversions'!$H$47:$H$73,MATCH(KL$3,'Standards for Conversions'!$A$47:$A$73,0))))</f>
        <v>1481.249130963761</v>
      </c>
      <c r="KO160" s="33" t="s">
        <v>98</v>
      </c>
      <c r="KR160" s="31" t="str">
        <f>IF(KQ160/(INDEX('Standards for Conversions'!$H$47:$H$73,MATCH(KP$3,'Standards for Conversions'!$A$47:$A$73,0)))=0,"",KQ160/(INDEX('Standards for Conversions'!$H$47:$H$73,MATCH(KP$3,'Standards for Conversions'!$A$47:$A$73,0))))</f>
        <v/>
      </c>
      <c r="KS160" s="33" t="s">
        <v>98</v>
      </c>
      <c r="KV160" s="31" t="str">
        <f>IF(KU160/(INDEX('Standards for Conversions'!$H$47:$H$73,MATCH(KT$3,'Standards for Conversions'!$A$47:$A$73,0)))=0,"",KU160/(INDEX('Standards for Conversions'!$H$47:$H$73,MATCH(KT$3,'Standards for Conversions'!$A$47:$A$73,0))))</f>
        <v/>
      </c>
      <c r="KW160" s="33" t="s">
        <v>98</v>
      </c>
      <c r="KZ160" s="31" t="str">
        <f>IF(KY160/(INDEX('Standards for Conversions'!$H$47:$H$73,MATCH(KX$3,'Standards for Conversions'!$A$47:$A$73,0)))=0,"",KY160/(INDEX('Standards for Conversions'!$H$47:$H$73,MATCH(KX$3,'Standards for Conversions'!$A$47:$A$73,0))))</f>
        <v/>
      </c>
      <c r="LA160" s="33" t="s">
        <v>98</v>
      </c>
      <c r="LB160" s="33">
        <f>1.26*38</f>
        <v>47.88</v>
      </c>
      <c r="LC160" s="33">
        <v>13800</v>
      </c>
      <c r="LD160" s="31">
        <f>IF(LC160/(INDEX('Standards for Conversions'!$H$47:$H$73,MATCH(LB$3,'Standards for Conversions'!$A$47:$A$73,0)))=0,"",LC160/(INDEX('Standards for Conversions'!$H$47:$H$73,MATCH(LB$3,'Standards for Conversions'!$A$47:$A$73,0))))</f>
        <v>1678.3086208394886</v>
      </c>
      <c r="LH160" s="31" t="str">
        <f>IF(LG160/(INDEX('Standards for Conversions'!$H$47:$H$73,MATCH(LF$3,'Standards for Conversions'!$A$47:$A$73,0)))=0,"",LG160/(INDEX('Standards for Conversions'!$H$47:$H$73,MATCH(LF$3,'Standards for Conversions'!$A$47:$A$73,0))))</f>
        <v/>
      </c>
      <c r="LL160" s="31" t="str">
        <f>IF(LK160/(INDEX('Standards for Conversions'!$H$47:$H$73,MATCH(LJ$3,'Standards for Conversions'!$A$47:$A$73,0)))=0,"",LK160/(INDEX('Standards for Conversions'!$H$47:$H$73,MATCH(LJ$3,'Standards for Conversions'!$A$47:$A$73,0))))</f>
        <v/>
      </c>
      <c r="LO160" s="31" t="str">
        <f>IF(LN160/(INDEX('Standards for Conversions'!$H$47:$H$73,MATCH(LM$3,'Standards for Conversions'!$A$47:$A$73,0)))=0,"",LN160/(INDEX('Standards for Conversions'!$H$47:$H$73,MATCH(LM$3,'Standards for Conversions'!$A$47:$A$73,0))))</f>
        <v/>
      </c>
      <c r="LR160" s="31" t="str">
        <f>IF(LQ160/(INDEX('Standards for Conversions'!$H$47:$H$73,MATCH(LP$3,'Standards for Conversions'!$A$47:$A$73,0)))=0,"",LQ160/(INDEX('Standards for Conversions'!$H$47:$H$73,MATCH(LP$3,'Standards for Conversions'!$A$47:$A$73,0))))</f>
        <v/>
      </c>
      <c r="LV160" s="31" t="str">
        <f>IF(LU160/(INDEX('Standards for Conversions'!$H$47:$H$73,MATCH(LT$3,'Standards for Conversions'!$A$47:$A$73,0)))=0,"",LU160/(INDEX('Standards for Conversions'!$H$47:$H$73,MATCH(LT$3,'Standards for Conversions'!$A$47:$A$73,0))))</f>
        <v/>
      </c>
      <c r="LY160" s="31" t="str">
        <f>IF(LX160/(INDEX('Standards for Conversions'!$H$47:$H$73,MATCH(LW$3,'Standards for Conversions'!$A$47:$A$73,0)))=0,"",LX160/(INDEX('Standards for Conversions'!$H$47:$H$73,MATCH(LW$3,'Standards for Conversions'!$A$47:$A$73,0))))</f>
        <v/>
      </c>
      <c r="MB160" s="31" t="str">
        <f>IF(MA160/(INDEX('Standards for Conversions'!$H$47:$H$73,MATCH(LZ$3,'Standards for Conversions'!$A$47:$A$73,0)))=0,"",MA160/(INDEX('Standards for Conversions'!$H$47:$H$73,MATCH(LZ$3,'Standards for Conversions'!$A$47:$A$73,0))))</f>
        <v/>
      </c>
      <c r="ME160" s="31" t="str">
        <f>IF(MD160/(INDEX('Standards for Conversions'!$H$47:$H$73,MATCH(MC$3,'Standards for Conversions'!$A$47:$A$73,0)))=0,"",MD160/(INDEX('Standards for Conversions'!$H$47:$H$73,MATCH(MC$3,'Standards for Conversions'!$A$47:$A$73,0))))</f>
        <v/>
      </c>
      <c r="MH160" s="31" t="str">
        <f>IF(MG160/(INDEX('Standards for Conversions'!$H$47:$H$73,MATCH(MF$3,'Standards for Conversions'!$A$47:$A$73,0)))=0,"",MG160/(INDEX('Standards for Conversions'!$H$47:$H$73,MATCH(MF$3,'Standards for Conversions'!$A$47:$A$73,0))))</f>
        <v/>
      </c>
      <c r="MK160" s="31" t="str">
        <f>IF(MJ160/(INDEX('Standards for Conversions'!$H$47:$H$73,MATCH(MI$3,'Standards for Conversions'!$A$47:$A$73,0)))=0,"",MJ160/(INDEX('Standards for Conversions'!$H$47:$H$73,MATCH(MI$3,'Standards for Conversions'!$A$47:$A$73,0))))</f>
        <v/>
      </c>
      <c r="MN160" s="31" t="str">
        <f>IF(MM160/(INDEX('Standards for Conversions'!$H$47:$H$73,MATCH(ML$3,'Standards for Conversions'!$A$47:$A$73,0)))=0,"",MM160/(INDEX('Standards for Conversions'!$H$47:$H$73,MATCH(ML$3,'Standards for Conversions'!$A$47:$A$73,0))))</f>
        <v/>
      </c>
      <c r="MR160" s="31" t="str">
        <f>IF(MQ160/(INDEX('Standards for Conversions'!$H$47:$H$73,MATCH(MP$3,'Standards for Conversions'!$A$47:$A$73,0)))=0,"",MQ160/(INDEX('Standards for Conversions'!$H$47:$H$73,MATCH(MP$3,'Standards for Conversions'!$A$47:$A$73,0))))</f>
        <v/>
      </c>
    </row>
    <row r="161" spans="1:373" s="33" customFormat="1" x14ac:dyDescent="0.3">
      <c r="A161" s="102" t="s">
        <v>362</v>
      </c>
      <c r="B161" s="10" t="s">
        <v>7</v>
      </c>
      <c r="C161" s="9"/>
      <c r="D161" s="9"/>
      <c r="E161" s="31" t="str">
        <f>IF(D161/(INDEX('Standards for Conversions'!$H$34:$H$73,MATCH(C$3,'Standards for Conversions'!$A$34:$A$73,0)))=0,"",D161/(INDEX('Standards for Conversions'!$H$34:$H$73,MATCH(C$3,'Standards for Conversions'!$A$34:$A$73,0))))</f>
        <v/>
      </c>
      <c r="F161" s="10" t="s">
        <v>7</v>
      </c>
      <c r="G161" s="9"/>
      <c r="H161" s="9"/>
      <c r="I161" s="31" t="str">
        <f>IF(H161/(INDEX('Standards for Conversions'!$H$34:$H$73,MATCH(G$3,'Standards for Conversions'!$A$34:$A$73,0)))=0,"",H161/(INDEX('Standards for Conversions'!$H$34:$H$73,MATCH(G$3,'Standards for Conversions'!$A$34:$A$73,0))))</f>
        <v/>
      </c>
      <c r="J161" s="10" t="s">
        <v>7</v>
      </c>
      <c r="K161" s="9"/>
      <c r="L161" s="9"/>
      <c r="M161" s="31" t="str">
        <f>IF(L161/(INDEX('Standards for Conversions'!$H$34:$H$73,MATCH(K$3,'Standards for Conversions'!$A$34:$A$73,0)))=0,"",L161/(INDEX('Standards for Conversions'!$H$34:$H$73,MATCH(K$3,'Standards for Conversions'!$A$34:$A$73,0))))</f>
        <v/>
      </c>
      <c r="N161" s="10" t="s">
        <v>7</v>
      </c>
      <c r="O161" s="9"/>
      <c r="P161" s="9"/>
      <c r="Q161" s="31" t="str">
        <f>IF(P161/(INDEX('Standards for Conversions'!$H$34:$H$73,MATCH(O$3,'Standards for Conversions'!$A$34:$A$73,0)))=0,"",P161/(INDEX('Standards for Conversions'!$H$34:$H$73,MATCH(O$3,'Standards for Conversions'!$A$34:$A$73,0))))</f>
        <v/>
      </c>
      <c r="R161" s="10" t="s">
        <v>7</v>
      </c>
      <c r="S161" s="9"/>
      <c r="T161" s="9"/>
      <c r="U161" s="31" t="str">
        <f>IF(T161/(INDEX('Standards for Conversions'!$H$34:$H$73,MATCH(S$3,'Standards for Conversions'!$A$34:$A$73,0)))=0,"",T161/(INDEX('Standards for Conversions'!$H$34:$H$73,MATCH(S$3,'Standards for Conversions'!$A$34:$A$73,0))))</f>
        <v/>
      </c>
      <c r="V161" s="10" t="s">
        <v>7</v>
      </c>
      <c r="W161" s="9"/>
      <c r="X161" s="9"/>
      <c r="Y161" s="31" t="str">
        <f>IF(X161/(INDEX('Standards for Conversions'!$H$34:$H$73,MATCH(W$3,'Standards for Conversions'!$A$34:$A$73,0)))=0,"",X161/(INDEX('Standards for Conversions'!$H$34:$H$73,MATCH(W$3,'Standards for Conversions'!$A$34:$A$73,0))))</f>
        <v/>
      </c>
      <c r="Z161" s="10" t="s">
        <v>7</v>
      </c>
      <c r="AA161" s="9"/>
      <c r="AB161" s="9"/>
      <c r="AC161" s="31" t="str">
        <f>IF(AB161/(INDEX('Standards for Conversions'!$H$34:$H$73,MATCH(AA$3,'Standards for Conversions'!$A$34:$A$73,0)))=0,"",AB161/(INDEX('Standards for Conversions'!$H$34:$H$73,MATCH(AA$3,'Standards for Conversions'!$A$34:$A$73,0))))</f>
        <v/>
      </c>
      <c r="AD161" s="10" t="s">
        <v>7</v>
      </c>
      <c r="AE161" s="9"/>
      <c r="AF161" s="9"/>
      <c r="AG161" s="31" t="str">
        <f>IF(AF161/(INDEX('Standards for Conversions'!$H$34:$H$73,MATCH(AE$3,'Standards for Conversions'!$A$34:$A$73,0)))=0,"",AF161/(INDEX('Standards for Conversions'!$H$34:$H$73,MATCH(AE$3,'Standards for Conversions'!$A$34:$A$73,0))))</f>
        <v/>
      </c>
      <c r="AH161" s="10" t="s">
        <v>7</v>
      </c>
      <c r="AI161" s="9"/>
      <c r="AJ161" s="9"/>
      <c r="AK161" s="31" t="str">
        <f>IF(AJ161/(INDEX('Standards for Conversions'!$H$34:$H$73,MATCH(AI$3,'Standards for Conversions'!$A$34:$A$73,0)))=0,"",AJ161/(INDEX('Standards for Conversions'!$H$34:$H$73,MATCH(AI$3,'Standards for Conversions'!$A$34:$A$73,0))))</f>
        <v/>
      </c>
      <c r="AL161" s="10" t="s">
        <v>7</v>
      </c>
      <c r="AM161" s="9"/>
      <c r="AN161" s="9"/>
      <c r="AO161" s="31" t="str">
        <f>IF(AN161/(INDEX('Standards for Conversions'!$H$34:$H$73,MATCH(AM$3,'Standards for Conversions'!$A$34:$A$73,0)))=0,"",AN161/(INDEX('Standards for Conversions'!$H$34:$H$73,MATCH(AM$3,'Standards for Conversions'!$A$34:$A$73,0))))</f>
        <v/>
      </c>
      <c r="AP161" s="10" t="s">
        <v>7</v>
      </c>
      <c r="AQ161" s="9"/>
      <c r="AR161" s="9"/>
      <c r="AS161" s="31" t="str">
        <f>IF(AR161/(INDEX('Standards for Conversions'!$H$34:$H$73,MATCH(AQ$3,'Standards for Conversions'!$A$34:$A$73,0)))=0,"",AR161/(INDEX('Standards for Conversions'!$H$34:$H$73,MATCH(AQ$3,'Standards for Conversions'!$A$34:$A$73,0))))</f>
        <v/>
      </c>
      <c r="AT161" s="10" t="s">
        <v>7</v>
      </c>
      <c r="AU161" s="9"/>
      <c r="AV161" s="9"/>
      <c r="AW161" s="31" t="str">
        <f>IF(AV161/(INDEX('Standards for Conversions'!$H$34:$H$73,MATCH(AU$3,'Standards for Conversions'!$A$34:$A$73,0)))=0,"",AV161/(INDEX('Standards for Conversions'!$H$34:$H$73,MATCH(AU$3,'Standards for Conversions'!$A$34:$A$73,0))))</f>
        <v/>
      </c>
      <c r="AX161" s="10" t="s">
        <v>7</v>
      </c>
      <c r="AY161" s="9"/>
      <c r="AZ161" s="9"/>
      <c r="BA161" s="31" t="str">
        <f>IF(AZ161/(INDEX('Standards for Conversions'!$H$34:$H$73,MATCH(AY$3,'Standards for Conversions'!$A$34:$A$73,0)))=0,"",AZ161/(INDEX('Standards for Conversions'!$H$34:$H$73,MATCH(AY$3,'Standards for Conversions'!$A$34:$A$73,0))))</f>
        <v/>
      </c>
      <c r="BB161" s="10" t="s">
        <v>7</v>
      </c>
      <c r="BC161" s="9"/>
      <c r="BD161" s="9"/>
      <c r="BE161" s="31" t="str">
        <f>IF(BD161/(INDEX('Standards for Conversions'!$H$34:$H$73,MATCH(BC$3,'Standards for Conversions'!$A$34:$A$73,0)))=0,"",BD161/(INDEX('Standards for Conversions'!$H$34:$H$73,MATCH(BC$3,'Standards for Conversions'!$A$34:$A$73,0))))</f>
        <v/>
      </c>
      <c r="BF161" s="10" t="s">
        <v>7</v>
      </c>
      <c r="BG161" s="9"/>
      <c r="BH161" s="9"/>
      <c r="BI161" s="31" t="str">
        <f>IF(BH161/(INDEX('Standards for Conversions'!$H$34:$H$73,MATCH(BG$3,'Standards for Conversions'!$A$34:$A$73,0)))=0,"",BH161/(INDEX('Standards for Conversions'!$H$34:$H$73,MATCH(BG$3,'Standards for Conversions'!$A$34:$A$73,0))))</f>
        <v/>
      </c>
      <c r="BJ161" s="10" t="s">
        <v>7</v>
      </c>
      <c r="BK161" s="9"/>
      <c r="BL161" s="9"/>
      <c r="BM161" s="31" t="str">
        <f>IF(BL161/(INDEX('Standards for Conversions'!$H$34:$H$73,MATCH(BK$3,'Standards for Conversions'!$A$34:$A$73,0)))=0,"",BL161/(INDEX('Standards for Conversions'!$H$34:$H$73,MATCH(BK$3,'Standards for Conversions'!$A$34:$A$73,0))))</f>
        <v/>
      </c>
      <c r="BN161" s="10" t="s">
        <v>7</v>
      </c>
      <c r="BO161" s="9"/>
      <c r="BP161" s="9"/>
      <c r="BQ161" s="31" t="str">
        <f>IF(BP161/(INDEX('Standards for Conversions'!$H$34:$H$73,MATCH(BO$3,'Standards for Conversions'!$A$34:$A$73,0)))=0,"",BP161/(INDEX('Standards for Conversions'!$H$34:$H$73,MATCH(BO$3,'Standards for Conversions'!$A$34:$A$73,0))))</f>
        <v/>
      </c>
      <c r="BR161" s="10" t="s">
        <v>7</v>
      </c>
      <c r="BS161" s="9"/>
      <c r="BT161" s="9"/>
      <c r="BU161" s="31" t="str">
        <f>IF(BT161/(INDEX('Standards for Conversions'!$H$34:$H$73,MATCH(BS$3,'Standards for Conversions'!$A$34:$A$73,0)))=0,"",BT161/(INDEX('Standards for Conversions'!$H$34:$H$73,MATCH(BS$3,'Standards for Conversions'!$A$34:$A$73,0))))</f>
        <v/>
      </c>
      <c r="BV161" s="10" t="s">
        <v>7</v>
      </c>
      <c r="BW161" s="9"/>
      <c r="BX161" s="9"/>
      <c r="BY161" s="31" t="str">
        <f>IF(BX161/(INDEX('Standards for Conversions'!$H$34:$H$73,MATCH(BW$3,'Standards for Conversions'!$A$34:$A$73,0)))=0,"",BX161/(INDEX('Standards for Conversions'!$H$34:$H$73,MATCH(BW$3,'Standards for Conversions'!$A$34:$A$73,0))))</f>
        <v/>
      </c>
      <c r="BZ161" s="10" t="s">
        <v>7</v>
      </c>
      <c r="CA161" s="9"/>
      <c r="CB161" s="9"/>
      <c r="CC161" s="31" t="str">
        <f>IF(CB161/(INDEX('Standards for Conversions'!$H$34:$H$73,MATCH(CA$3,'Standards for Conversions'!$A$34:$A$73,0)))=0,"",CB161/(INDEX('Standards for Conversions'!$H$34:$H$73,MATCH(CA$3,'Standards for Conversions'!$A$34:$A$73,0))))</f>
        <v/>
      </c>
      <c r="CD161" s="10" t="s">
        <v>7</v>
      </c>
      <c r="CE161" s="9"/>
      <c r="CF161" s="9"/>
      <c r="CG161" s="31" t="str">
        <f>IF(CF161/(INDEX('Standards for Conversions'!$H$34:$H$73,MATCH(CE$3,'Standards for Conversions'!$A$34:$A$73,0)))=0,"",CF161/(INDEX('Standards for Conversions'!$H$34:$H$73,MATCH(CE$3,'Standards for Conversions'!$A$34:$A$73,0))))</f>
        <v/>
      </c>
      <c r="CH161" s="10" t="s">
        <v>7</v>
      </c>
      <c r="CI161" s="9"/>
      <c r="CJ161" s="9"/>
      <c r="CK161" s="31" t="str">
        <f>IF(CJ161/(INDEX('Standards for Conversions'!$H$34:$H$73,MATCH(CI$3,'Standards for Conversions'!$A$34:$A$73,0)))=0,"",CJ161/(INDEX('Standards for Conversions'!$H$34:$H$73,MATCH(CI$3,'Standards for Conversions'!$A$34:$A$73,0))))</f>
        <v/>
      </c>
      <c r="CL161" s="10" t="s">
        <v>7</v>
      </c>
      <c r="CM161" s="9"/>
      <c r="CN161" s="9"/>
      <c r="CO161" s="31" t="str">
        <f>IF(CN161/(INDEX('Standards for Conversions'!$H$34:$H$73,MATCH(CM$3,'Standards for Conversions'!$A$34:$A$73,0)))=0,"",CN161/(INDEX('Standards for Conversions'!$H$34:$H$73,MATCH(CM$3,'Standards for Conversions'!$A$34:$A$73,0))))</f>
        <v/>
      </c>
      <c r="CP161" s="10" t="s">
        <v>7</v>
      </c>
      <c r="CQ161" s="9"/>
      <c r="CR161" s="9"/>
      <c r="CS161" s="31" t="str">
        <f>IF(CR161/(INDEX('Standards for Conversions'!$H$34:$H$73,MATCH(CQ$3,'Standards for Conversions'!$A$34:$A$73,0)))=0,"",CR161/(INDEX('Standards for Conversions'!$H$34:$H$73,MATCH(CQ$3,'Standards for Conversions'!$A$34:$A$73,0))))</f>
        <v/>
      </c>
      <c r="CT161" s="10" t="s">
        <v>7</v>
      </c>
      <c r="CU161" s="9"/>
      <c r="CV161" s="9"/>
      <c r="CW161" s="31" t="str">
        <f>IF(CV161/(INDEX('Standards for Conversions'!$H$34:$H$73,MATCH(CU$3,'Standards for Conversions'!$A$34:$A$73,0)))=0,"",CV161/(INDEX('Standards for Conversions'!$H$34:$H$73,MATCH(CU$3,'Standards for Conversions'!$A$34:$A$73,0))))</f>
        <v/>
      </c>
      <c r="CX161" s="10" t="s">
        <v>7</v>
      </c>
      <c r="CY161" s="9"/>
      <c r="CZ161" s="9"/>
      <c r="DA161" s="31" t="str">
        <f>IF(CZ161/(INDEX('Standards for Conversions'!$H$34:$H$73,MATCH(CY$3,'Standards for Conversions'!$A$34:$A$73,0)))=0,"",CZ161/(INDEX('Standards for Conversions'!$H$34:$H$73,MATCH(CY$3,'Standards for Conversions'!$A$34:$A$73,0))))</f>
        <v/>
      </c>
      <c r="DB161" s="10" t="s">
        <v>7</v>
      </c>
      <c r="DC161" s="9"/>
      <c r="DD161" s="9"/>
      <c r="DE161" s="31" t="str">
        <f>IF(DD161/(INDEX('Standards for Conversions'!$H$34:$H$73,MATCH(DC$3,'Standards for Conversions'!$A$34:$A$73,0)))=0,"",DD161/(INDEX('Standards for Conversions'!$H$34:$H$73,MATCH(DC$3,'Standards for Conversions'!$A$34:$A$73,0))))</f>
        <v/>
      </c>
      <c r="DF161" s="10" t="s">
        <v>7</v>
      </c>
      <c r="DG161" s="9"/>
      <c r="DH161" s="9"/>
      <c r="DI161" s="31" t="str">
        <f>IF(DH161/(INDEX('Standards for Conversions'!$H$34:$H$73,MATCH(DG$3,'Standards for Conversions'!$A$34:$A$73,0)))=0,"",DH161/(INDEX('Standards for Conversions'!$H$34:$H$73,MATCH(DG$3,'Standards for Conversions'!$A$34:$A$73,0))))</f>
        <v/>
      </c>
      <c r="DJ161" s="10" t="s">
        <v>7</v>
      </c>
      <c r="DK161" s="9"/>
      <c r="DL161" s="9"/>
      <c r="DM161" s="31" t="str">
        <f>IF(DL161/(INDEX('Standards for Conversions'!$H$34:$H$73,MATCH(DK$3,'Standards for Conversions'!$A$34:$A$73,0)))=0,"",DL161/(INDEX('Standards for Conversions'!$H$34:$H$73,MATCH(DK$3,'Standards for Conversions'!$A$34:$A$73,0))))</f>
        <v/>
      </c>
      <c r="DN161" s="10" t="s">
        <v>7</v>
      </c>
      <c r="DO161" s="9"/>
      <c r="DP161" s="9"/>
      <c r="DQ161" s="31" t="str">
        <f>IF(DP161/(INDEX('Standards for Conversions'!$H$34:$H$73,MATCH(DO$3,'Standards for Conversions'!$A$34:$A$73,0)))=0,"",DP161/(INDEX('Standards for Conversions'!$H$34:$H$73,MATCH(DO$3,'Standards for Conversions'!$A$34:$A$73,0))))</f>
        <v/>
      </c>
      <c r="DR161" s="10" t="s">
        <v>7</v>
      </c>
      <c r="DS161" s="9"/>
      <c r="DT161" s="9"/>
      <c r="DU161" s="31" t="str">
        <f>IF(DT161/(INDEX('Standards for Conversions'!$H$34:$H$73,MATCH(DS$3,'Standards for Conversions'!$A$34:$A$73,0)))=0,"",DT161/(INDEX('Standards for Conversions'!$H$34:$H$73,MATCH(DS$3,'Standards for Conversions'!$A$34:$A$73,0))))</f>
        <v/>
      </c>
      <c r="DV161" s="10" t="s">
        <v>7</v>
      </c>
      <c r="DW161" s="9"/>
      <c r="DX161" s="9"/>
      <c r="DY161" s="31" t="str">
        <f>IF(DX161/(INDEX('Standards for Conversions'!$H$34:$H$73,MATCH(DW$3,'Standards for Conversions'!$A$34:$A$73,0)))=0,"",DX161/(INDEX('Standards for Conversions'!$H$34:$H$73,MATCH(DW$3,'Standards for Conversions'!$A$34:$A$73,0))))</f>
        <v/>
      </c>
      <c r="DZ161" s="10" t="s">
        <v>7</v>
      </c>
      <c r="EA161" s="9"/>
      <c r="EB161" s="9"/>
      <c r="EC161" s="31" t="str">
        <f>IF(EB161/(INDEX('Standards for Conversions'!$H$34:$H$73,MATCH(EA$3,'Standards for Conversions'!$A$34:$A$73,0)))=0,"",EB161/(INDEX('Standards for Conversions'!$H$34:$H$73,MATCH(EA$3,'Standards for Conversions'!$A$34:$A$73,0))))</f>
        <v/>
      </c>
      <c r="ED161" s="10" t="s">
        <v>7</v>
      </c>
      <c r="EE161" s="9"/>
      <c r="EF161" s="9"/>
      <c r="EG161" s="31" t="str">
        <f>IF(EF161/(INDEX('Standards for Conversions'!$H$34:$H$73,MATCH(EE$3,'Standards for Conversions'!$A$34:$A$73,0)))=0,"",EF161/(INDEX('Standards for Conversions'!$H$34:$H$73,MATCH(EE$3,'Standards for Conversions'!$A$34:$A$73,0))))</f>
        <v/>
      </c>
      <c r="EH161" s="10" t="s">
        <v>7</v>
      </c>
      <c r="EI161" s="9"/>
      <c r="EJ161" s="9"/>
      <c r="EK161" s="31" t="str">
        <f>IF(EJ161/(INDEX('Standards for Conversions'!$H$34:$H$73,MATCH(EI$3,'Standards for Conversions'!$A$34:$A$73,0)))=0,"",EJ161/(INDEX('Standards for Conversions'!$H$34:$H$73,MATCH(EI$3,'Standards for Conversions'!$A$34:$A$73,0))))</f>
        <v/>
      </c>
      <c r="EL161" s="10" t="s">
        <v>7</v>
      </c>
      <c r="EM161" s="9"/>
      <c r="EN161" s="9"/>
      <c r="EO161" s="31" t="str">
        <f>IF(EN161/(INDEX('Standards for Conversions'!$H$34:$H$73,MATCH(EM$3,'Standards for Conversions'!$A$34:$A$73,0)))=0,"",EN161/(INDEX('Standards for Conversions'!$H$34:$H$73,MATCH(EM$3,'Standards for Conversions'!$A$34:$A$73,0))))</f>
        <v/>
      </c>
      <c r="EP161" s="10" t="s">
        <v>7</v>
      </c>
      <c r="EQ161" s="9"/>
      <c r="ER161" s="9"/>
      <c r="ES161" s="31" t="str">
        <f>IF(ER161/(INDEX('Standards for Conversions'!$H$34:$H$73,MATCH(EQ$3,'Standards for Conversions'!$A$34:$A$73,0)))=0,"",ER161/(INDEX('Standards for Conversions'!$H$34:$H$73,MATCH(EQ$3,'Standards for Conversions'!$A$34:$A$73,0))))</f>
        <v/>
      </c>
      <c r="ET161" s="10" t="s">
        <v>7</v>
      </c>
      <c r="EU161" s="9"/>
      <c r="EV161" s="9"/>
      <c r="EW161" s="31" t="str">
        <f>IF(EV161/(INDEX('Standards for Conversions'!$H$34:$H$73,MATCH(EU$3,'Standards for Conversions'!$A$34:$A$73,0)))=0,"",EV161/(INDEX('Standards for Conversions'!$H$34:$H$73,MATCH(EU$3,'Standards for Conversions'!$A$34:$A$73,0))))</f>
        <v/>
      </c>
      <c r="EX161" s="10" t="s">
        <v>7</v>
      </c>
      <c r="EY161" s="9"/>
      <c r="EZ161" s="9"/>
      <c r="FA161" s="31" t="str">
        <f>IF(EZ161/(INDEX('Standards for Conversions'!$H$34:$H$73,MATCH(EY$3,'Standards for Conversions'!$A$34:$A$73,0)))=0,"",EZ161/(INDEX('Standards for Conversions'!$H$34:$H$73,MATCH(EY$3,'Standards for Conversions'!$A$34:$A$73,0))))</f>
        <v/>
      </c>
      <c r="FB161" s="10" t="s">
        <v>7</v>
      </c>
      <c r="FC161" s="9"/>
      <c r="FD161" s="9"/>
      <c r="FE161" s="31" t="str">
        <f>IF(FD161/(INDEX('Standards for Conversions'!$H$34:$H$73,MATCH(FC$3,'Standards for Conversions'!$A$34:$A$73,0)))=0,"",FD161/(INDEX('Standards for Conversions'!$H$34:$H$73,MATCH(FC$3,'Standards for Conversions'!$A$34:$A$73,0))))</f>
        <v/>
      </c>
      <c r="FF161" s="10" t="s">
        <v>7</v>
      </c>
      <c r="FG161" s="9"/>
      <c r="FH161" s="9"/>
      <c r="FI161" s="31" t="str">
        <f>IF(FH161/(INDEX('Standards for Conversions'!$H$34:$H$73,MATCH(FG$3,'Standards for Conversions'!$A$34:$A$73,0)))=0,"",FH161/(INDEX('Standards for Conversions'!$H$34:$H$73,MATCH(FG$3,'Standards for Conversions'!$A$34:$A$73,0))))</f>
        <v/>
      </c>
      <c r="FJ161" s="10" t="s">
        <v>7</v>
      </c>
      <c r="FK161" s="9"/>
      <c r="FL161" s="9"/>
      <c r="FM161" s="31" t="str">
        <f>IF(FL161/(INDEX('Standards for Conversions'!$H$34:$H$73,MATCH(FK$3,'Standards for Conversions'!$A$34:$A$73,0)))=0,"",FL161/(INDEX('Standards for Conversions'!$H$34:$H$73,MATCH(FK$3,'Standards for Conversions'!$A$34:$A$73,0))))</f>
        <v/>
      </c>
      <c r="FN161" s="10" t="s">
        <v>7</v>
      </c>
      <c r="FO161" s="9"/>
      <c r="FP161" s="9"/>
      <c r="FQ161" s="31" t="str">
        <f>IF(FP161/(INDEX('Standards for Conversions'!$H$34:$H$73,MATCH(FO$3,'Standards for Conversions'!$A$34:$A$73,0)))=0,"",FP161/(INDEX('Standards for Conversions'!$H$34:$H$73,MATCH(FO$3,'Standards for Conversions'!$A$34:$A$73,0))))</f>
        <v/>
      </c>
      <c r="FR161" s="10" t="s">
        <v>7</v>
      </c>
      <c r="FS161" s="9"/>
      <c r="FT161" s="9"/>
      <c r="FU161" s="31" t="str">
        <f>IF(FT161/(INDEX('Standards for Conversions'!$H$34:$H$73,MATCH(FS$3,'Standards for Conversions'!$A$34:$A$73,0)))=0,"",FT161/(INDEX('Standards for Conversions'!$H$34:$H$73,MATCH(FS$3,'Standards for Conversions'!$A$34:$A$73,0))))</f>
        <v/>
      </c>
      <c r="FV161" s="10" t="s">
        <v>7</v>
      </c>
      <c r="FW161" s="9"/>
      <c r="FX161" s="9"/>
      <c r="FY161" s="31" t="str">
        <f>IF(FX161/(INDEX('Standards for Conversions'!$H$34:$H$73,MATCH(FW$3,'Standards for Conversions'!$A$34:$A$73,0)))=0,"",FX161/(INDEX('Standards for Conversions'!$H$34:$H$73,MATCH(FW$3,'Standards for Conversions'!$A$34:$A$73,0))))</f>
        <v/>
      </c>
      <c r="FZ161" s="10" t="s">
        <v>7</v>
      </c>
      <c r="GA161" s="9"/>
      <c r="GB161" s="9"/>
      <c r="GC161" s="31" t="str">
        <f>IF(GB161/(INDEX('Standards for Conversions'!$H$34:$H$73,MATCH(GA$3,'Standards for Conversions'!$A$34:$A$73,0)))=0,"",GB161/(INDEX('Standards for Conversions'!$H$34:$H$73,MATCH(GA$3,'Standards for Conversions'!$A$34:$A$73,0))))</f>
        <v/>
      </c>
      <c r="GD161" s="10" t="s">
        <v>7</v>
      </c>
      <c r="GE161" s="9"/>
      <c r="GF161" s="9"/>
      <c r="GG161" s="31" t="str">
        <f>IF(GF161/(INDEX('Standards for Conversions'!$H$34:$H$73,MATCH(GE$3,'Standards for Conversions'!$A$34:$A$73,0)))=0,"",GF161/(INDEX('Standards for Conversions'!$H$34:$H$73,MATCH(GE$3,'Standards for Conversions'!$A$34:$A$73,0))))</f>
        <v/>
      </c>
      <c r="GH161" s="10" t="s">
        <v>7</v>
      </c>
      <c r="GI161" s="9"/>
      <c r="GJ161" s="9"/>
      <c r="GK161" s="31" t="str">
        <f>IF(GJ161/(INDEX('Standards for Conversions'!$H$34:$H$73,MATCH(GI$3,'Standards for Conversions'!$A$34:$A$73,0)))=0,"",GJ161/(INDEX('Standards for Conversions'!$H$34:$H$73,MATCH(GI$3,'Standards for Conversions'!$A$34:$A$73,0))))</f>
        <v/>
      </c>
      <c r="GL161" s="10" t="s">
        <v>7</v>
      </c>
      <c r="GM161" s="9"/>
      <c r="GN161" s="9"/>
      <c r="GO161" s="31" t="str">
        <f>IF(GN161/(INDEX('Standards for Conversions'!$H$34:$H$73,MATCH(GM$3,'Standards for Conversions'!$A$34:$A$73,0)))=0,"",GN161/(INDEX('Standards for Conversions'!$H$34:$H$73,MATCH(GM$3,'Standards for Conversions'!$A$34:$A$73,0))))</f>
        <v/>
      </c>
      <c r="GP161" s="10" t="s">
        <v>7</v>
      </c>
      <c r="GQ161" s="9"/>
      <c r="GR161" s="9"/>
      <c r="GS161" s="31" t="str">
        <f>IF(GR161/(INDEX('Standards for Conversions'!$H$34:$H$73,MATCH(GQ$3,'Standards for Conversions'!$A$34:$A$73,0)))=0,"",GR161/(INDEX('Standards for Conversions'!$H$34:$H$73,MATCH(GQ$3,'Standards for Conversions'!$A$34:$A$73,0))))</f>
        <v/>
      </c>
      <c r="GT161" s="10" t="s">
        <v>7</v>
      </c>
      <c r="GU161" s="9"/>
      <c r="GV161" s="9"/>
      <c r="GW161" s="31" t="str">
        <f>IF(GV161/(INDEX('Standards for Conversions'!$H$34:$H$73,MATCH(GU$3,'Standards for Conversions'!$A$34:$A$73,0)))=0,"",GV161/(INDEX('Standards for Conversions'!$H$34:$H$73,MATCH(GU$3,'Standards for Conversions'!$A$34:$A$73,0))))</f>
        <v/>
      </c>
      <c r="GX161" s="10" t="s">
        <v>7</v>
      </c>
      <c r="GY161" s="9"/>
      <c r="GZ161" s="9"/>
      <c r="HA161" s="31" t="str">
        <f>IF(GZ161/(INDEX('Standards for Conversions'!$H$34:$H$73,MATCH(GY$3,'Standards for Conversions'!$A$34:$A$73,0)))=0,"",GZ161/(INDEX('Standards for Conversions'!$H$34:$H$73,MATCH(GY$3,'Standards for Conversions'!$A$34:$A$73,0))))</f>
        <v/>
      </c>
      <c r="HB161" s="10" t="s">
        <v>7</v>
      </c>
      <c r="HC161" s="9"/>
      <c r="HD161" s="9"/>
      <c r="HE161" s="31" t="str">
        <f>IF(HD161/(INDEX('Standards for Conversions'!$H$34:$H$73,MATCH(HC$3,'Standards for Conversions'!$A$34:$A$73,0)))=0,"",HD161/(INDEX('Standards for Conversions'!$H$34:$H$73,MATCH(HC$3,'Standards for Conversions'!$A$34:$A$73,0))))</f>
        <v/>
      </c>
      <c r="HF161" s="10" t="s">
        <v>7</v>
      </c>
      <c r="HG161" s="9"/>
      <c r="HH161" s="9"/>
      <c r="HI161" s="31" t="str">
        <f>IF(HH161/(INDEX('Standards for Conversions'!$H$34:$H$73,MATCH(HG$3,'Standards for Conversions'!$A$34:$A$73,0)))=0,"",HH161/(INDEX('Standards for Conversions'!$H$34:$H$73,MATCH(HG$3,'Standards for Conversions'!$A$34:$A$73,0))))</f>
        <v/>
      </c>
      <c r="HJ161" s="10" t="s">
        <v>7</v>
      </c>
      <c r="HK161" s="9"/>
      <c r="HL161" s="9"/>
      <c r="HM161" s="31" t="str">
        <f>IF(HL161/(INDEX('Standards for Conversions'!$H$34:$H$73,MATCH(HK$3,'Standards for Conversions'!$A$34:$A$73,0)))=0,"",HL161/(INDEX('Standards for Conversions'!$H$34:$H$73,MATCH(HK$3,'Standards for Conversions'!$A$34:$A$73,0))))</f>
        <v/>
      </c>
      <c r="HN161" s="10" t="s">
        <v>7</v>
      </c>
      <c r="HO161" s="9"/>
      <c r="HP161" s="9"/>
      <c r="HQ161" s="31" t="str">
        <f>IF(HP161/(INDEX('Standards for Conversions'!$H$34:$H$73,MATCH(HO$3,'Standards for Conversions'!$A$34:$A$73,0)))=0,"",HP161/(INDEX('Standards for Conversions'!$H$34:$H$73,MATCH(HO$3,'Standards for Conversions'!$A$34:$A$73,0))))</f>
        <v/>
      </c>
      <c r="HR161" s="33" t="s">
        <v>98</v>
      </c>
      <c r="HU161" s="31" t="str">
        <f>IF(HT161/(INDEX('Standards for Conversions'!$H$47:$H$73,MATCH(HS$3,'Standards for Conversions'!$A$47:$A$73,0)))=0,"",HT161/(INDEX('Standards for Conversions'!$H$47:$H$73,MATCH(HS$3,'Standards for Conversions'!$A$47:$A$73,0))))</f>
        <v/>
      </c>
      <c r="HV161" s="33" t="s">
        <v>98</v>
      </c>
      <c r="HY161" s="31" t="str">
        <f>IF(HX161/(INDEX('Standards for Conversions'!$H$47:$H$73,MATCH(HW$3,'Standards for Conversions'!$A$47:$A$73,0)))=0,"",HX161/(INDEX('Standards for Conversions'!$H$47:$H$73,MATCH(HW$3,'Standards for Conversions'!$A$47:$A$73,0))))</f>
        <v/>
      </c>
      <c r="IB161" s="31" t="str">
        <f>IF(IA161/(INDEX('Standards for Conversions'!$H$47:$H$73,MATCH(HZ$3,'Standards for Conversions'!$A$47:$A$73,0)))=0,"",IA161/(INDEX('Standards for Conversions'!$H$47:$H$73,MATCH(HZ$3,'Standards for Conversions'!$A$47:$A$73,0))))</f>
        <v/>
      </c>
      <c r="IC161" s="33" t="s">
        <v>98</v>
      </c>
      <c r="IF161" s="31" t="str">
        <f>IF(IE161/(INDEX('Standards for Conversions'!$H$47:$H$73,MATCH(ID$3,'Standards for Conversions'!$A$47:$A$73,0)))=0,"",IE161/(INDEX('Standards for Conversions'!$H$47:$H$73,MATCH(ID$3,'Standards for Conversions'!$A$47:$A$73,0))))</f>
        <v/>
      </c>
      <c r="IG161" s="33" t="s">
        <v>98</v>
      </c>
      <c r="IJ161" s="31" t="str">
        <f>IF(II161/(INDEX('Standards for Conversions'!$H$47:$H$73,MATCH(IH$3,'Standards for Conversions'!$A$47:$A$73,0)))=0,"",II161/(INDEX('Standards for Conversions'!$H$47:$H$73,MATCH(IH$3,'Standards for Conversions'!$A$47:$A$73,0))))</f>
        <v/>
      </c>
      <c r="IK161" s="33" t="s">
        <v>98</v>
      </c>
      <c r="IN161" s="31" t="str">
        <f>IF(IM161/(INDEX('Standards for Conversions'!$H$47:$H$73,MATCH(IL$3,'Standards for Conversions'!$A$47:$A$73,0)))=0,"",IM161/(INDEX('Standards for Conversions'!$H$47:$H$73,MATCH(IL$3,'Standards for Conversions'!$A$47:$A$73,0))))</f>
        <v/>
      </c>
      <c r="IO161" s="33" t="s">
        <v>98</v>
      </c>
      <c r="IR161" s="31" t="str">
        <f>IF(IQ161/(INDEX('Standards for Conversions'!$H$47:$H$73,MATCH(IP$3,'Standards for Conversions'!$A$47:$A$73,0)))=0,"",IQ161/(INDEX('Standards for Conversions'!$H$47:$H$73,MATCH(IP$3,'Standards for Conversions'!$A$47:$A$73,0))))</f>
        <v/>
      </c>
      <c r="IS161" s="33" t="s">
        <v>98</v>
      </c>
      <c r="IV161" s="31" t="str">
        <f>IF(IU161/(INDEX('Standards for Conversions'!$H$47:$H$73,MATCH(IT$3,'Standards for Conversions'!$A$47:$A$73,0)))=0,"",IU161/(INDEX('Standards for Conversions'!$H$47:$H$73,MATCH(IT$3,'Standards for Conversions'!$A$47:$A$73,0))))</f>
        <v/>
      </c>
      <c r="IW161" s="33" t="s">
        <v>98</v>
      </c>
      <c r="IZ161" s="31" t="str">
        <f>IF(IY161/(INDEX('Standards for Conversions'!$H$47:$H$73,MATCH(IX$3,'Standards for Conversions'!$A$47:$A$73,0)))=0,"",IY161/(INDEX('Standards for Conversions'!$H$47:$H$73,MATCH(IX$3,'Standards for Conversions'!$A$47:$A$73,0))))</f>
        <v/>
      </c>
      <c r="JA161" s="33" t="s">
        <v>98</v>
      </c>
      <c r="JD161" s="31" t="str">
        <f>IF(JC161/(INDEX('Standards for Conversions'!$H$47:$H$73,MATCH(JB$3,'Standards for Conversions'!$A$47:$A$73,0)))=0,"",JC161/(INDEX('Standards for Conversions'!$H$47:$H$73,MATCH(JB$3,'Standards for Conversions'!$A$47:$A$73,0))))</f>
        <v/>
      </c>
      <c r="JE161" s="33" t="s">
        <v>98</v>
      </c>
      <c r="JH161" s="31" t="str">
        <f>IF(JG161/(INDEX('Standards for Conversions'!$H$47:$H$73,MATCH(JF$3,'Standards for Conversions'!$A$47:$A$73,0)))=0,"",JG161/(INDEX('Standards for Conversions'!$H$47:$H$73,MATCH(JF$3,'Standards for Conversions'!$A$47:$A$73,0))))</f>
        <v/>
      </c>
      <c r="JI161" s="33" t="s">
        <v>98</v>
      </c>
      <c r="JL161" s="31" t="str">
        <f>IF(JK161/(INDEX('Standards for Conversions'!$H$47:$H$73,MATCH(JJ$3,'Standards for Conversions'!$A$47:$A$73,0)))=0,"",JK161/(INDEX('Standards for Conversions'!$H$47:$H$73,MATCH(JJ$3,'Standards for Conversions'!$A$47:$A$73,0))))</f>
        <v/>
      </c>
      <c r="JM161" s="33" t="s">
        <v>98</v>
      </c>
      <c r="JP161" s="31" t="str">
        <f>IF(JO161/(INDEX('Standards for Conversions'!$H$47:$H$73,MATCH(JN$3,'Standards for Conversions'!$A$47:$A$73,0)))=0,"",JO161/(INDEX('Standards for Conversions'!$H$47:$H$73,MATCH(JN$3,'Standards for Conversions'!$A$47:$A$73,0))))</f>
        <v/>
      </c>
      <c r="JQ161" s="33" t="s">
        <v>98</v>
      </c>
      <c r="JT161" s="31" t="str">
        <f>IF(JS161/(INDEX('Standards for Conversions'!$H$47:$H$73,MATCH(JR$3,'Standards for Conversions'!$A$47:$A$73,0)))=0,"",JS161/(INDEX('Standards for Conversions'!$H$47:$H$73,MATCH(JR$3,'Standards for Conversions'!$A$47:$A$73,0))))</f>
        <v/>
      </c>
      <c r="JU161" s="33" t="s">
        <v>98</v>
      </c>
      <c r="JX161" s="31" t="str">
        <f>IF(JW161/(INDEX('Standards for Conversions'!$H$47:$H$73,MATCH(JV$3,'Standards for Conversions'!$A$47:$A$73,0)))=0,"",JW161/(INDEX('Standards for Conversions'!$H$47:$H$73,MATCH(JV$3,'Standards for Conversions'!$A$47:$A$73,0))))</f>
        <v/>
      </c>
      <c r="JY161" s="33" t="s">
        <v>98</v>
      </c>
      <c r="KB161" s="31" t="str">
        <f>IF(KA161/(INDEX('Standards for Conversions'!$H$47:$H$73,MATCH(JZ$3,'Standards for Conversions'!$A$47:$A$73,0)))=0,"",KA161/(INDEX('Standards for Conversions'!$H$47:$H$73,MATCH(JZ$3,'Standards for Conversions'!$A$47:$A$73,0))))</f>
        <v/>
      </c>
      <c r="KC161" s="33" t="s">
        <v>98</v>
      </c>
      <c r="KF161" s="31" t="str">
        <f>IF(KE161/(INDEX('Standards for Conversions'!$H$47:$H$73,MATCH(KD$3,'Standards for Conversions'!$A$47:$A$73,0)))=0,"",KE161/(INDEX('Standards for Conversions'!$H$47:$H$73,MATCH(KD$3,'Standards for Conversions'!$A$47:$A$73,0))))</f>
        <v/>
      </c>
      <c r="KG161" s="33" t="s">
        <v>98</v>
      </c>
      <c r="KJ161" s="31" t="str">
        <f>IF(KI161/(INDEX('Standards for Conversions'!$H$47:$H$73,MATCH(KH$3,'Standards for Conversions'!$A$47:$A$73,0)))=0,"",KI161/(INDEX('Standards for Conversions'!$H$47:$H$73,MATCH(KH$3,'Standards for Conversions'!$A$47:$A$73,0))))</f>
        <v/>
      </c>
      <c r="KK161" s="33" t="s">
        <v>98</v>
      </c>
      <c r="KN161" s="31" t="str">
        <f>IF(KM161/(INDEX('Standards for Conversions'!$H$47:$H$73,MATCH(KL$3,'Standards for Conversions'!$A$47:$A$73,0)))=0,"",KM161/(INDEX('Standards for Conversions'!$H$47:$H$73,MATCH(KL$3,'Standards for Conversions'!$A$47:$A$73,0))))</f>
        <v/>
      </c>
      <c r="KO161" s="33" t="s">
        <v>98</v>
      </c>
      <c r="KR161" s="31" t="str">
        <f>IF(KQ161/(INDEX('Standards for Conversions'!$H$47:$H$73,MATCH(KP$3,'Standards for Conversions'!$A$47:$A$73,0)))=0,"",KQ161/(INDEX('Standards for Conversions'!$H$47:$H$73,MATCH(KP$3,'Standards for Conversions'!$A$47:$A$73,0))))</f>
        <v/>
      </c>
      <c r="KS161" s="33" t="s">
        <v>98</v>
      </c>
      <c r="KV161" s="31" t="str">
        <f>IF(KU161/(INDEX('Standards for Conversions'!$H$47:$H$73,MATCH(KT$3,'Standards for Conversions'!$A$47:$A$73,0)))=0,"",KU161/(INDEX('Standards for Conversions'!$H$47:$H$73,MATCH(KT$3,'Standards for Conversions'!$A$47:$A$73,0))))</f>
        <v/>
      </c>
      <c r="KW161" s="33" t="s">
        <v>98</v>
      </c>
      <c r="KZ161" s="31" t="str">
        <f>IF(KY161/(INDEX('Standards for Conversions'!$H$47:$H$73,MATCH(KX$3,'Standards for Conversions'!$A$47:$A$73,0)))=0,"",KY161/(INDEX('Standards for Conversions'!$H$47:$H$73,MATCH(KX$3,'Standards for Conversions'!$A$47:$A$73,0))))</f>
        <v/>
      </c>
      <c r="LA161" s="33" t="s">
        <v>98</v>
      </c>
      <c r="LD161" s="31" t="str">
        <f>IF(LC161/(INDEX('Standards for Conversions'!$H$47:$H$73,MATCH(LB$3,'Standards for Conversions'!$A$47:$A$73,0)))=0,"",LC161/(INDEX('Standards for Conversions'!$H$47:$H$73,MATCH(LB$3,'Standards for Conversions'!$A$47:$A$73,0))))</f>
        <v/>
      </c>
      <c r="LE161" s="33" t="s">
        <v>98</v>
      </c>
      <c r="LH161" s="31" t="str">
        <f>IF(LG161/(INDEX('Standards for Conversions'!$H$47:$H$73,MATCH(LF$3,'Standards for Conversions'!$A$47:$A$73,0)))=0,"",LG161/(INDEX('Standards for Conversions'!$H$47:$H$73,MATCH(LF$3,'Standards for Conversions'!$A$47:$A$73,0))))</f>
        <v/>
      </c>
      <c r="LI161" s="33" t="s">
        <v>98</v>
      </c>
      <c r="LK161" s="33">
        <f>38800+15200</f>
        <v>54000</v>
      </c>
      <c r="LL161" s="31">
        <f>IF(LK161/(INDEX('Standards for Conversions'!$H$47:$H$73,MATCH(LJ$3,'Standards for Conversions'!$A$47:$A$73,0)))=0,"",LK161/(INDEX('Standards for Conversions'!$H$47:$H$73,MATCH(LJ$3,'Standards for Conversions'!$A$47:$A$73,0))))</f>
        <v>5293.6236095420172</v>
      </c>
      <c r="LN161" s="33">
        <f>42000+16500</f>
        <v>58500</v>
      </c>
      <c r="LO161" s="31">
        <f>IF(LN161/(INDEX('Standards for Conversions'!$H$47:$H$73,MATCH(LM$3,'Standards for Conversions'!$A$47:$A$73,0)))=0,"",LN161/(INDEX('Standards for Conversions'!$H$47:$H$73,MATCH(LM$3,'Standards for Conversions'!$A$47:$A$73,0))))</f>
        <v>5908.1641473668187</v>
      </c>
      <c r="LQ161" s="33">
        <f>50000+17000</f>
        <v>67000</v>
      </c>
      <c r="LR161" s="31">
        <f>IF(LQ161/(INDEX('Standards for Conversions'!$H$47:$H$73,MATCH(LP$3,'Standards for Conversions'!$A$47:$A$73,0)))=0,"",LQ161/(INDEX('Standards for Conversions'!$H$47:$H$73,MATCH(LP$3,'Standards for Conversions'!$A$47:$A$73,0))))</f>
        <v>6993.5877708496273</v>
      </c>
      <c r="LS161" s="33" t="s">
        <v>98</v>
      </c>
      <c r="LU161" s="33">
        <f>60000+15000</f>
        <v>75000</v>
      </c>
      <c r="LV161" s="31">
        <f>IF(LU161/(INDEX('Standards for Conversions'!$H$47:$H$73,MATCH(LT$3,'Standards for Conversions'!$A$47:$A$73,0)))=0,"",LU161/(INDEX('Standards for Conversions'!$H$47:$H$73,MATCH(LT$3,'Standards for Conversions'!$A$47:$A$73,0))))</f>
        <v>7002.9038031198388</v>
      </c>
      <c r="LX161" s="33">
        <f>45000+12000</f>
        <v>57000</v>
      </c>
      <c r="LY161" s="31">
        <f>IF(LX161/(INDEX('Standards for Conversions'!$H$47:$H$73,MATCH(LW$3,'Standards for Conversions'!$A$47:$A$73,0)))=0,"",LX161/(INDEX('Standards for Conversions'!$H$47:$H$73,MATCH(LW$3,'Standards for Conversions'!$A$47:$A$73,0))))</f>
        <v>5201.5219268705996</v>
      </c>
      <c r="MA161" s="33">
        <f>40000+10000</f>
        <v>50000</v>
      </c>
      <c r="MB161" s="31">
        <f>IF(MA161/(INDEX('Standards for Conversions'!$H$47:$H$73,MATCH(LZ$3,'Standards for Conversions'!$A$47:$A$73,0)))=0,"",MA161/(INDEX('Standards for Conversions'!$H$47:$H$73,MATCH(LZ$3,'Standards for Conversions'!$A$47:$A$73,0))))</f>
        <v>4647.4297347991069</v>
      </c>
      <c r="MD161" s="33">
        <f>88172+1600</f>
        <v>89772</v>
      </c>
      <c r="ME161" s="31">
        <f>IF(MD161/(INDEX('Standards for Conversions'!$H$47:$H$73,MATCH(MC$3,'Standards for Conversions'!$A$47:$A$73,0)))=0,"",MD161/(INDEX('Standards for Conversions'!$H$47:$H$73,MATCH(MC$3,'Standards for Conversions'!$A$47:$A$73,0))))</f>
        <v>8610.2826949900063</v>
      </c>
      <c r="MF161" s="33">
        <f>130+66</f>
        <v>196</v>
      </c>
      <c r="MG161" s="33">
        <f>28210+17858</f>
        <v>46068</v>
      </c>
      <c r="MH161" s="31">
        <f>IF(MG161/(INDEX('Standards for Conversions'!$H$47:$H$73,MATCH(MF$3,'Standards for Conversions'!$A$47:$A$73,0)))=0,"",MG161/(INDEX('Standards for Conversions'!$H$47:$H$73,MATCH(MF$3,'Standards for Conversions'!$A$47:$A$73,0))))</f>
        <v>4242.9403173068558</v>
      </c>
      <c r="MI161" s="33">
        <f>140+70</f>
        <v>210</v>
      </c>
      <c r="MJ161" s="33">
        <f>30900+19400</f>
        <v>50300</v>
      </c>
      <c r="MK161" s="31">
        <f>IF(MJ161/(INDEX('Standards for Conversions'!$H$47:$H$73,MATCH(MI$3,'Standards for Conversions'!$A$47:$A$73,0)))=0,"",MJ161/(INDEX('Standards for Conversions'!$H$47:$H$73,MATCH(MI$3,'Standards for Conversions'!$A$47:$A$73,0))))</f>
        <v>4100.2187029272027</v>
      </c>
      <c r="ML161" s="33">
        <f>135+80</f>
        <v>215</v>
      </c>
      <c r="MM161" s="33">
        <f>30200+22600</f>
        <v>52800</v>
      </c>
      <c r="MN161" s="31">
        <f>IF(MM161/(INDEX('Standards for Conversions'!$H$47:$H$73,MATCH(ML$3,'Standards for Conversions'!$A$47:$A$73,0)))=0,"",MM161/(INDEX('Standards for Conversions'!$H$47:$H$73,MATCH(ML$3,'Standards for Conversions'!$A$47:$A$73,0))))</f>
        <v>4426.9785348048999</v>
      </c>
      <c r="MO161" s="33" t="s">
        <v>98</v>
      </c>
      <c r="MP161" s="33">
        <v>162</v>
      </c>
      <c r="MQ161" s="33">
        <f>44900+2000</f>
        <v>46900</v>
      </c>
      <c r="MR161" s="31">
        <f>IF(MQ161/(INDEX('Standards for Conversions'!$H$47:$H$73,MATCH(MP$3,'Standards for Conversions'!$A$47:$A$73,0)))=0,"",MQ161/(INDEX('Standards for Conversions'!$H$47:$H$73,MATCH(MP$3,'Standards for Conversions'!$A$47:$A$73,0))))</f>
        <v>4195.4433736892033</v>
      </c>
      <c r="MS161" s="33" t="s">
        <v>98</v>
      </c>
      <c r="MT161" s="33">
        <v>270</v>
      </c>
      <c r="MU161" s="33">
        <v>28500</v>
      </c>
      <c r="MV161" s="33">
        <v>160</v>
      </c>
      <c r="MW161" s="33">
        <v>14333</v>
      </c>
      <c r="MX161" s="33">
        <v>160</v>
      </c>
      <c r="MY161" s="33">
        <v>14267</v>
      </c>
      <c r="MZ161" s="33" t="s">
        <v>98</v>
      </c>
      <c r="NA161" s="33">
        <v>185</v>
      </c>
      <c r="NB161" s="33">
        <v>16886</v>
      </c>
      <c r="NC161" s="33">
        <v>175</v>
      </c>
      <c r="ND161" s="33">
        <v>15963</v>
      </c>
      <c r="NE161" s="33" t="s">
        <v>98</v>
      </c>
      <c r="NH161" s="33">
        <v>60</v>
      </c>
      <c r="NI161" s="33">
        <v>2603</v>
      </c>
    </row>
    <row r="162" spans="1:373" x14ac:dyDescent="0.3">
      <c r="A162" s="102" t="s">
        <v>107</v>
      </c>
      <c r="B162" s="10" t="s">
        <v>98</v>
      </c>
      <c r="C162" s="7"/>
      <c r="D162" s="7"/>
      <c r="E162" s="31" t="str">
        <f>IF(D162/(INDEX('Standards for Conversions'!$H$34:$H$73,MATCH(C$3,'Standards for Conversions'!$A$34:$A$73,0)))=0,"",D162/(INDEX('Standards for Conversions'!$H$34:$H$73,MATCH(C$3,'Standards for Conversions'!$A$34:$A$73,0))))</f>
        <v/>
      </c>
      <c r="F162" s="10" t="s">
        <v>98</v>
      </c>
      <c r="G162" s="7"/>
      <c r="H162" s="7"/>
      <c r="I162" s="31" t="str">
        <f>IF(H162/(INDEX('Standards for Conversions'!$H$34:$H$73,MATCH(G$3,'Standards for Conversions'!$A$34:$A$73,0)))=0,"",H162/(INDEX('Standards for Conversions'!$H$34:$H$73,MATCH(G$3,'Standards for Conversions'!$A$34:$A$73,0))))</f>
        <v/>
      </c>
      <c r="J162" s="10" t="s">
        <v>98</v>
      </c>
      <c r="K162" s="7"/>
      <c r="L162" s="7"/>
      <c r="M162" s="31" t="str">
        <f>IF(L162/(INDEX('Standards for Conversions'!$H$34:$H$73,MATCH(K$3,'Standards for Conversions'!$A$34:$A$73,0)))=0,"",L162/(INDEX('Standards for Conversions'!$H$34:$H$73,MATCH(K$3,'Standards for Conversions'!$A$34:$A$73,0))))</f>
        <v/>
      </c>
      <c r="N162" s="10" t="s">
        <v>98</v>
      </c>
      <c r="O162" s="16">
        <f>3*631</f>
        <v>1893</v>
      </c>
      <c r="P162" s="7">
        <v>50000</v>
      </c>
      <c r="Q162" s="31">
        <f>IF(P162/(INDEX('Standards for Conversions'!$H$34:$H$73,MATCH(O$3,'Standards for Conversions'!$A$34:$A$73,0)))=0,"",P162/(INDEX('Standards for Conversions'!$H$34:$H$73,MATCH(O$3,'Standards for Conversions'!$A$34:$A$73,0))))</f>
        <v>9877.1114864864849</v>
      </c>
      <c r="R162" s="10" t="s">
        <v>98</v>
      </c>
      <c r="S162" s="7"/>
      <c r="T162" s="7"/>
      <c r="U162" s="31" t="str">
        <f>IF(T162/(INDEX('Standards for Conversions'!$H$34:$H$73,MATCH(S$3,'Standards for Conversions'!$A$34:$A$73,0)))=0,"",T162/(INDEX('Standards for Conversions'!$H$34:$H$73,MATCH(S$3,'Standards for Conversions'!$A$34:$A$73,0))))</f>
        <v/>
      </c>
      <c r="V162" s="10" t="s">
        <v>98</v>
      </c>
      <c r="W162" s="7"/>
      <c r="X162" s="7"/>
      <c r="Y162" s="31" t="str">
        <f>IF(X162/(INDEX('Standards for Conversions'!$H$34:$H$73,MATCH(W$3,'Standards for Conversions'!$A$34:$A$73,0)))=0,"",X162/(INDEX('Standards for Conversions'!$H$34:$H$73,MATCH(W$3,'Standards for Conversions'!$A$34:$A$73,0))))</f>
        <v/>
      </c>
      <c r="Z162" s="10" t="s">
        <v>98</v>
      </c>
      <c r="AA162" s="7">
        <f>3*232</f>
        <v>696</v>
      </c>
      <c r="AB162" s="7">
        <v>3000</v>
      </c>
      <c r="AC162" s="31">
        <f>IF(AB162/(INDEX('Standards for Conversions'!$H$34:$H$73,MATCH(AA$3,'Standards for Conversions'!$A$34:$A$73,0)))=0,"",AB162/(INDEX('Standards for Conversions'!$H$34:$H$73,MATCH(AA$3,'Standards for Conversions'!$A$34:$A$73,0))))</f>
        <v>578.01745676544704</v>
      </c>
      <c r="AD162" s="10" t="s">
        <v>98</v>
      </c>
      <c r="AE162" s="16">
        <f>3*600</f>
        <v>1800</v>
      </c>
      <c r="AF162" s="7">
        <v>45000</v>
      </c>
      <c r="AG162" s="31">
        <f>IF(AF162/(INDEX('Standards for Conversions'!$H$34:$H$73,MATCH(AE$3,'Standards for Conversions'!$A$34:$A$73,0)))=0,"",AF162/(INDEX('Standards for Conversions'!$H$34:$H$73,MATCH(AE$3,'Standards for Conversions'!$A$34:$A$73,0))))</f>
        <v>8670.2618514817059</v>
      </c>
      <c r="AH162" s="10" t="s">
        <v>98</v>
      </c>
      <c r="AI162" s="7"/>
      <c r="AJ162" s="7"/>
      <c r="AK162" s="31" t="str">
        <f>IF(AJ162/(INDEX('Standards for Conversions'!$H$34:$H$73,MATCH(AI$3,'Standards for Conversions'!$A$34:$A$73,0)))=0,"",AJ162/(INDEX('Standards for Conversions'!$H$34:$H$73,MATCH(AI$3,'Standards for Conversions'!$A$34:$A$73,0))))</f>
        <v/>
      </c>
      <c r="AL162" s="10" t="s">
        <v>98</v>
      </c>
      <c r="AM162" s="7"/>
      <c r="AN162" s="7"/>
      <c r="AO162" s="31" t="str">
        <f>IF(AN162/(INDEX('Standards for Conversions'!$H$34:$H$73,MATCH(AM$3,'Standards for Conversions'!$A$34:$A$73,0)))=0,"",AN162/(INDEX('Standards for Conversions'!$H$34:$H$73,MATCH(AM$3,'Standards for Conversions'!$A$34:$A$73,0))))</f>
        <v/>
      </c>
      <c r="AP162" s="10" t="s">
        <v>98</v>
      </c>
      <c r="AQ162" s="7">
        <f>3*232</f>
        <v>696</v>
      </c>
      <c r="AR162" s="7">
        <v>3000</v>
      </c>
      <c r="AS162" s="31">
        <f>IF(AR162/(INDEX('Standards for Conversions'!$H$34:$H$73,MATCH(AQ$3,'Standards for Conversions'!$A$34:$A$73,0)))=0,"",AR162/(INDEX('Standards for Conversions'!$H$34:$H$73,MATCH(AQ$3,'Standards for Conversions'!$A$34:$A$73,0))))</f>
        <v>536.0953115494915</v>
      </c>
      <c r="AT162" s="10" t="s">
        <v>98</v>
      </c>
      <c r="AU162" s="16">
        <f>3*(745+8)</f>
        <v>2259</v>
      </c>
      <c r="AV162" s="7">
        <f>56000+40</f>
        <v>56040</v>
      </c>
      <c r="AW162" s="31">
        <f>IF(AV162/(INDEX('Standards for Conversions'!$H$34:$H$73,MATCH(AU$3,'Standards for Conversions'!$A$34:$A$73,0)))=0,"",AV162/(INDEX('Standards for Conversions'!$H$34:$H$73,MATCH(AU$3,'Standards for Conversions'!$A$34:$A$73,0))))</f>
        <v>10014.260419744502</v>
      </c>
      <c r="AX162" s="10" t="s">
        <v>98</v>
      </c>
      <c r="AY162" s="7"/>
      <c r="AZ162" s="7"/>
      <c r="BA162" s="31" t="str">
        <f>IF(AZ162/(INDEX('Standards for Conversions'!$H$34:$H$73,MATCH(AY$3,'Standards for Conversions'!$A$34:$A$73,0)))=0,"",AZ162/(INDEX('Standards for Conversions'!$H$34:$H$73,MATCH(AY$3,'Standards for Conversions'!$A$34:$A$73,0))))</f>
        <v/>
      </c>
      <c r="BB162" s="10" t="s">
        <v>98</v>
      </c>
      <c r="BC162" s="7">
        <f>3*34</f>
        <v>102</v>
      </c>
      <c r="BD162" s="7">
        <v>2000</v>
      </c>
      <c r="BE162" s="31">
        <f>IF(BD162/(INDEX('Standards for Conversions'!$H$34:$H$73,MATCH(BC$3,'Standards for Conversions'!$A$34:$A$73,0)))=0,"",BD162/(INDEX('Standards for Conversions'!$H$34:$H$73,MATCH(BC$3,'Standards for Conversions'!$A$34:$A$73,0))))</f>
        <v>371.37092277164624</v>
      </c>
      <c r="BF162" s="10" t="s">
        <v>98</v>
      </c>
      <c r="BG162" s="7">
        <f>3*232</f>
        <v>696</v>
      </c>
      <c r="BH162" s="7">
        <v>3000</v>
      </c>
      <c r="BI162" s="31">
        <f>IF(BH162/(INDEX('Standards for Conversions'!$H$34:$H$73,MATCH(BG$3,'Standards for Conversions'!$A$34:$A$73,0)))=0,"",BH162/(INDEX('Standards for Conversions'!$H$34:$H$73,MATCH(BG$3,'Standards for Conversions'!$A$34:$A$73,0))))</f>
        <v>557.05638415746932</v>
      </c>
      <c r="BJ162" s="10" t="s">
        <v>98</v>
      </c>
      <c r="BK162" s="16">
        <f>3*800</f>
        <v>2400</v>
      </c>
      <c r="BL162" s="7">
        <v>60000</v>
      </c>
      <c r="BM162" s="31">
        <f>IF(BL162/(INDEX('Standards for Conversions'!$H$34:$H$73,MATCH(BK$3,'Standards for Conversions'!$A$34:$A$73,0)))=0,"",BL162/(INDEX('Standards for Conversions'!$H$34:$H$73,MATCH(BK$3,'Standards for Conversions'!$A$34:$A$73,0))))</f>
        <v>11141.127683149387</v>
      </c>
      <c r="BN162" s="10" t="s">
        <v>98</v>
      </c>
      <c r="BO162" s="7"/>
      <c r="BP162" s="7"/>
      <c r="BQ162" s="31" t="str">
        <f>IF(BP162/(INDEX('Standards for Conversions'!$H$34:$H$73,MATCH(BO$3,'Standards for Conversions'!$A$34:$A$73,0)))=0,"",BP162/(INDEX('Standards for Conversions'!$H$34:$H$73,MATCH(BO$3,'Standards for Conversions'!$A$34:$A$73,0))))</f>
        <v/>
      </c>
      <c r="BR162" s="10" t="s">
        <v>98</v>
      </c>
      <c r="BS162" s="7"/>
      <c r="BT162" s="7"/>
      <c r="BU162" s="31" t="str">
        <f>IF(BT162/(INDEX('Standards for Conversions'!$H$34:$H$73,MATCH(BS$3,'Standards for Conversions'!$A$34:$A$73,0)))=0,"",BT162/(INDEX('Standards for Conversions'!$H$34:$H$73,MATCH(BS$3,'Standards for Conversions'!$A$34:$A$73,0))))</f>
        <v/>
      </c>
      <c r="BV162" s="10" t="s">
        <v>98</v>
      </c>
      <c r="BW162" s="7">
        <f>3*232</f>
        <v>696</v>
      </c>
      <c r="BX162" s="7">
        <v>3000</v>
      </c>
      <c r="BY162" s="31">
        <f>IF(BX162/(INDEX('Standards for Conversions'!$H$34:$H$73,MATCH(BW$3,'Standards for Conversions'!$A$34:$A$73,0)))=0,"",BX162/(INDEX('Standards for Conversions'!$H$34:$H$73,MATCH(BW$3,'Standards for Conversions'!$A$34:$A$73,0))))</f>
        <v>534.18975949422077</v>
      </c>
      <c r="BZ162" s="10" t="s">
        <v>98</v>
      </c>
      <c r="CA162" s="16">
        <f>3*700</f>
        <v>2100</v>
      </c>
      <c r="CB162" s="7">
        <v>55000</v>
      </c>
      <c r="CC162" s="31">
        <f>IF(CB162/(INDEX('Standards for Conversions'!$H$34:$H$73,MATCH(CA$3,'Standards for Conversions'!$A$34:$A$73,0)))=0,"",CB162/(INDEX('Standards for Conversions'!$H$34:$H$73,MATCH(CA$3,'Standards for Conversions'!$A$34:$A$73,0))))</f>
        <v>9793.4789240607151</v>
      </c>
      <c r="CD162" s="10" t="s">
        <v>98</v>
      </c>
      <c r="CE162" s="7"/>
      <c r="CF162" s="7"/>
      <c r="CG162" s="31" t="str">
        <f>IF(CF162/(INDEX('Standards for Conversions'!$H$34:$H$73,MATCH(CE$3,'Standards for Conversions'!$A$34:$A$73,0)))=0,"",CF162/(INDEX('Standards for Conversions'!$H$34:$H$73,MATCH(CE$3,'Standards for Conversions'!$A$34:$A$73,0))))</f>
        <v/>
      </c>
      <c r="CH162" s="10" t="s">
        <v>98</v>
      </c>
      <c r="CI162" s="7"/>
      <c r="CJ162" s="7"/>
      <c r="CK162" s="31" t="str">
        <f>IF(CJ162/(INDEX('Standards for Conversions'!$H$34:$H$73,MATCH(CI$3,'Standards for Conversions'!$A$34:$A$73,0)))=0,"",CJ162/(INDEX('Standards for Conversions'!$H$34:$H$73,MATCH(CI$3,'Standards for Conversions'!$A$34:$A$73,0))))</f>
        <v/>
      </c>
      <c r="CL162" s="10" t="s">
        <v>98</v>
      </c>
      <c r="CM162" s="7">
        <f>3*232</f>
        <v>696</v>
      </c>
      <c r="CN162" s="7">
        <v>3000</v>
      </c>
      <c r="CO162" s="31">
        <f>IF(CN162/(INDEX('Standards for Conversions'!$H$34:$H$73,MATCH(CM$3,'Standards for Conversions'!$A$34:$A$73,0)))=0,"",CN162/(INDEX('Standards for Conversions'!$H$34:$H$73,MATCH(CM$3,'Standards for Conversions'!$A$34:$A$73,0))))</f>
        <v>520.85089510732598</v>
      </c>
      <c r="CP162" s="10" t="s">
        <v>98</v>
      </c>
      <c r="CQ162" s="16">
        <f>3*700</f>
        <v>2100</v>
      </c>
      <c r="CR162" s="7">
        <v>56000</v>
      </c>
      <c r="CS162" s="31">
        <f>IF(CR162/(INDEX('Standards for Conversions'!$H$34:$H$73,MATCH(CQ$3,'Standards for Conversions'!$A$34:$A$73,0)))=0,"",CR162/(INDEX('Standards for Conversions'!$H$34:$H$73,MATCH(CQ$3,'Standards for Conversions'!$A$34:$A$73,0))))</f>
        <v>9722.5500420034186</v>
      </c>
      <c r="CT162" s="10" t="s">
        <v>98</v>
      </c>
      <c r="CU162" s="7"/>
      <c r="CV162" s="7"/>
      <c r="CW162" s="31" t="str">
        <f>IF(CV162/(INDEX('Standards for Conversions'!$H$34:$H$73,MATCH(CU$3,'Standards for Conversions'!$A$34:$A$73,0)))=0,"",CV162/(INDEX('Standards for Conversions'!$H$34:$H$73,MATCH(CU$3,'Standards for Conversions'!$A$34:$A$73,0))))</f>
        <v/>
      </c>
      <c r="CX162" s="10" t="s">
        <v>98</v>
      </c>
      <c r="CY162" s="7"/>
      <c r="CZ162" s="7"/>
      <c r="DA162" s="31" t="str">
        <f>IF(CZ162/(INDEX('Standards for Conversions'!$H$34:$H$73,MATCH(CY$3,'Standards for Conversions'!$A$34:$A$73,0)))=0,"",CZ162/(INDEX('Standards for Conversions'!$H$34:$H$73,MATCH(CY$3,'Standards for Conversions'!$A$34:$A$73,0))))</f>
        <v/>
      </c>
      <c r="DB162" s="10" t="s">
        <v>98</v>
      </c>
      <c r="DC162" s="7">
        <f>3*232</f>
        <v>696</v>
      </c>
      <c r="DD162" s="7">
        <v>3000</v>
      </c>
      <c r="DE162" s="31">
        <f>IF(DD162/(INDEX('Standards for Conversions'!$H$34:$H$73,MATCH(DC$3,'Standards for Conversions'!$A$34:$A$73,0)))=0,"",DD162/(INDEX('Standards for Conversions'!$H$34:$H$73,MATCH(DC$3,'Standards for Conversions'!$A$34:$A$73,0))))</f>
        <v>531.01383940210303</v>
      </c>
      <c r="DF162" s="10" t="s">
        <v>98</v>
      </c>
      <c r="DG162" s="16">
        <f>3*953</f>
        <v>2859</v>
      </c>
      <c r="DH162" s="7">
        <v>76240</v>
      </c>
      <c r="DI162" s="31">
        <f>IF(DH162/(INDEX('Standards for Conversions'!$H$34:$H$73,MATCH(DG$3,'Standards for Conversions'!$A$34:$A$73,0)))=0,"",DH162/(INDEX('Standards for Conversions'!$H$34:$H$73,MATCH(DG$3,'Standards for Conversions'!$A$34:$A$73,0))))</f>
        <v>13494.83170533878</v>
      </c>
      <c r="DJ162" s="10" t="s">
        <v>98</v>
      </c>
      <c r="DK162" s="7"/>
      <c r="DL162" s="7"/>
      <c r="DM162" s="31" t="str">
        <f>IF(DL162/(INDEX('Standards for Conversions'!$H$34:$H$73,MATCH(DK$3,'Standards for Conversions'!$A$34:$A$73,0)))=0,"",DL162/(INDEX('Standards for Conversions'!$H$34:$H$73,MATCH(DK$3,'Standards for Conversions'!$A$34:$A$73,0))))</f>
        <v/>
      </c>
      <c r="DN162" s="10" t="s">
        <v>98</v>
      </c>
      <c r="DO162" s="7"/>
      <c r="DP162" s="7"/>
      <c r="DQ162" s="31" t="str">
        <f>IF(DP162/(INDEX('Standards for Conversions'!$H$34:$H$73,MATCH(DO$3,'Standards for Conversions'!$A$34:$A$73,0)))=0,"",DP162/(INDEX('Standards for Conversions'!$H$34:$H$73,MATCH(DO$3,'Standards for Conversions'!$A$34:$A$73,0))))</f>
        <v/>
      </c>
      <c r="DR162" s="10" t="s">
        <v>98</v>
      </c>
      <c r="DS162" s="7">
        <f>3*200</f>
        <v>600</v>
      </c>
      <c r="DT162" s="7">
        <v>700</v>
      </c>
      <c r="DU162" s="31">
        <f>IF(DT162/(INDEX('Standards for Conversions'!$H$34:$H$73,MATCH(DS$3,'Standards for Conversions'!$A$34:$A$73,0)))=0,"",DT162/(INDEX('Standards for Conversions'!$H$34:$H$73,MATCH(DS$3,'Standards for Conversions'!$A$34:$A$73,0))))</f>
        <v>122.56934275513456</v>
      </c>
      <c r="DV162" s="10" t="s">
        <v>98</v>
      </c>
      <c r="DW162" s="16">
        <f>3*1000</f>
        <v>3000</v>
      </c>
      <c r="DX162" s="7">
        <v>75000</v>
      </c>
      <c r="DY162" s="31">
        <f>IF(DX162/(INDEX('Standards for Conversions'!$H$34:$H$73,MATCH(DW$3,'Standards for Conversions'!$A$34:$A$73,0)))=0,"",DX162/(INDEX('Standards for Conversions'!$H$34:$H$73,MATCH(DW$3,'Standards for Conversions'!$A$34:$A$73,0))))</f>
        <v>13132.429580907274</v>
      </c>
      <c r="DZ162" s="10" t="s">
        <v>98</v>
      </c>
      <c r="EA162" s="7"/>
      <c r="EB162" s="7"/>
      <c r="EC162" s="31" t="str">
        <f>IF(EB162/(INDEX('Standards for Conversions'!$H$34:$H$73,MATCH(EA$3,'Standards for Conversions'!$A$34:$A$73,0)))=0,"",EB162/(INDEX('Standards for Conversions'!$H$34:$H$73,MATCH(EA$3,'Standards for Conversions'!$A$34:$A$73,0))))</f>
        <v/>
      </c>
      <c r="ED162" s="10" t="s">
        <v>98</v>
      </c>
      <c r="EE162" s="7"/>
      <c r="EF162" s="7"/>
      <c r="EG162" s="31" t="str">
        <f>IF(EF162/(INDEX('Standards for Conversions'!$H$34:$H$73,MATCH(EE$3,'Standards for Conversions'!$A$34:$A$73,0)))=0,"",EF162/(INDEX('Standards for Conversions'!$H$34:$H$73,MATCH(EE$3,'Standards for Conversions'!$A$34:$A$73,0))))</f>
        <v/>
      </c>
      <c r="EH162" s="10" t="s">
        <v>98</v>
      </c>
      <c r="EI162" s="7">
        <f>3*102</f>
        <v>306</v>
      </c>
      <c r="EJ162" s="7">
        <v>2000</v>
      </c>
      <c r="EK162" s="31">
        <f>IF(EJ162/(INDEX('Standards for Conversions'!$H$34:$H$73,MATCH(EI$3,'Standards for Conversions'!$A$34:$A$73,0)))=0,"",EJ162/(INDEX('Standards for Conversions'!$H$34:$H$73,MATCH(EI$3,'Standards for Conversions'!$A$34:$A$73,0))))</f>
        <v>349.77466614524491</v>
      </c>
      <c r="EL162" s="10" t="s">
        <v>98</v>
      </c>
      <c r="EM162" s="16">
        <f>(428+4)*3</f>
        <v>1296</v>
      </c>
      <c r="EN162" s="7">
        <f>32110+30225</f>
        <v>62335</v>
      </c>
      <c r="EO162" s="31">
        <f>IF(EN162/(INDEX('Standards for Conversions'!$H$34:$H$73,MATCH(EM$3,'Standards for Conversions'!$A$34:$A$73,0)))=0,"",EN162/(INDEX('Standards for Conversions'!$H$34:$H$73,MATCH(EM$3,'Standards for Conversions'!$A$34:$A$73,0))))</f>
        <v>10901.60190708192</v>
      </c>
      <c r="EP162" s="10" t="s">
        <v>98</v>
      </c>
      <c r="EQ162" s="7"/>
      <c r="ER162" s="7"/>
      <c r="ES162" s="31" t="str">
        <f>IF(ER162/(INDEX('Standards for Conversions'!$H$34:$H$73,MATCH(EQ$3,'Standards for Conversions'!$A$34:$A$73,0)))=0,"",ER162/(INDEX('Standards for Conversions'!$H$34:$H$73,MATCH(EQ$3,'Standards for Conversions'!$A$34:$A$73,0))))</f>
        <v/>
      </c>
      <c r="ET162" s="10" t="s">
        <v>98</v>
      </c>
      <c r="EU162" s="7"/>
      <c r="EV162" s="7"/>
      <c r="EW162" s="31" t="str">
        <f>IF(EV162/(INDEX('Standards for Conversions'!$H$34:$H$73,MATCH(EU$3,'Standards for Conversions'!$A$34:$A$73,0)))=0,"",EV162/(INDEX('Standards for Conversions'!$H$34:$H$73,MATCH(EU$3,'Standards for Conversions'!$A$34:$A$73,0))))</f>
        <v/>
      </c>
      <c r="EX162" s="10" t="s">
        <v>98</v>
      </c>
      <c r="EY162" s="16">
        <f>3*62</f>
        <v>186</v>
      </c>
      <c r="EZ162" s="9">
        <v>1135</v>
      </c>
      <c r="FA162" s="31">
        <f>IF(EZ162/(INDEX('Standards for Conversions'!$H$34:$H$73,MATCH(EY$3,'Standards for Conversions'!$A$34:$A$73,0)))=0,"",EZ162/(INDEX('Standards for Conversions'!$H$34:$H$73,MATCH(EY$3,'Standards for Conversions'!$A$34:$A$73,0))))</f>
        <v>194.41183115893222</v>
      </c>
      <c r="FB162" s="10" t="s">
        <v>98</v>
      </c>
      <c r="FC162" s="16">
        <f>(428+4)*3</f>
        <v>1296</v>
      </c>
      <c r="FD162" s="7">
        <f>32110+30225</f>
        <v>62335</v>
      </c>
      <c r="FE162" s="31">
        <f>IF(FD162/(INDEX('Standards for Conversions'!$H$34:$H$73,MATCH(FC$3,'Standards for Conversions'!$A$34:$A$73,0)))=0,"",FD162/(INDEX('Standards for Conversions'!$H$34:$H$73,MATCH(FC$3,'Standards for Conversions'!$A$34:$A$73,0))))</f>
        <v>10677.234797614132</v>
      </c>
      <c r="FF162" s="10" t="s">
        <v>98</v>
      </c>
      <c r="FG162" s="7"/>
      <c r="FH162" s="7"/>
      <c r="FI162" s="31" t="str">
        <f>IF(FH162/(INDEX('Standards for Conversions'!$H$34:$H$73,MATCH(FG$3,'Standards for Conversions'!$A$34:$A$73,0)))=0,"",FH162/(INDEX('Standards for Conversions'!$H$34:$H$73,MATCH(FG$3,'Standards for Conversions'!$A$34:$A$73,0))))</f>
        <v/>
      </c>
      <c r="FJ162" s="10" t="s">
        <v>98</v>
      </c>
      <c r="FK162" s="7"/>
      <c r="FL162" s="7"/>
      <c r="FM162" s="31" t="str">
        <f>IF(FL162/(INDEX('Standards for Conversions'!$H$34:$H$73,MATCH(FK$3,'Standards for Conversions'!$A$34:$A$73,0)))=0,"",FL162/(INDEX('Standards for Conversions'!$H$34:$H$73,MATCH(FK$3,'Standards for Conversions'!$A$34:$A$73,0))))</f>
        <v/>
      </c>
      <c r="FN162" s="10" t="s">
        <v>98</v>
      </c>
      <c r="FO162" s="16">
        <f>3*75</f>
        <v>225</v>
      </c>
      <c r="FP162" s="9">
        <v>1500</v>
      </c>
      <c r="FQ162" s="31">
        <f>IF(FP162/(INDEX('Standards for Conversions'!$H$34:$H$73,MATCH(FO$3,'Standards for Conversions'!$A$34:$A$73,0)))=0,"",FP162/(INDEX('Standards for Conversions'!$H$34:$H$73,MATCH(FO$3,'Standards for Conversions'!$A$34:$A$73,0))))</f>
        <v>257.24952746154509</v>
      </c>
      <c r="FR162" s="10" t="s">
        <v>98</v>
      </c>
      <c r="FS162" s="16">
        <f>(440+8)*3</f>
        <v>1344</v>
      </c>
      <c r="FT162" s="7">
        <f>34000+60400</f>
        <v>94400</v>
      </c>
      <c r="FU162" s="31">
        <f>IF(FT162/(INDEX('Standards for Conversions'!$H$34:$H$73,MATCH(FS$3,'Standards for Conversions'!$A$34:$A$73,0)))=0,"",FT162/(INDEX('Standards for Conversions'!$H$34:$H$73,MATCH(FS$3,'Standards for Conversions'!$A$34:$A$73,0))))</f>
        <v>16189.570261579905</v>
      </c>
      <c r="FV162" s="10" t="s">
        <v>98</v>
      </c>
      <c r="FW162" s="7"/>
      <c r="FX162" s="7"/>
      <c r="FY162" s="31" t="str">
        <f>IF(FX162/(INDEX('Standards for Conversions'!$H$34:$H$73,MATCH(FW$3,'Standards for Conversions'!$A$34:$A$73,0)))=0,"",FX162/(INDEX('Standards for Conversions'!$H$34:$H$73,MATCH(FW$3,'Standards for Conversions'!$A$34:$A$73,0))))</f>
        <v/>
      </c>
      <c r="FZ162" s="10" t="s">
        <v>98</v>
      </c>
      <c r="GA162" s="7"/>
      <c r="GB162" s="7"/>
      <c r="GC162" s="31" t="str">
        <f>IF(GB162/(INDEX('Standards for Conversions'!$H$34:$H$73,MATCH(GA$3,'Standards for Conversions'!$A$34:$A$73,0)))=0,"",GB162/(INDEX('Standards for Conversions'!$H$34:$H$73,MATCH(GA$3,'Standards for Conversions'!$A$34:$A$73,0))))</f>
        <v/>
      </c>
      <c r="GD162" s="10" t="s">
        <v>98</v>
      </c>
      <c r="GE162" s="16">
        <f>3*30</f>
        <v>90</v>
      </c>
      <c r="GF162" s="9">
        <v>500</v>
      </c>
      <c r="GG162" s="31">
        <f>IF(GF162/(INDEX('Standards for Conversions'!$H$34:$H$73,MATCH(GE$3,'Standards for Conversions'!$A$34:$A$73,0)))=0,"",GF162/(INDEX('Standards for Conversions'!$H$34:$H$73,MATCH(GE$3,'Standards for Conversions'!$A$34:$A$73,0))))</f>
        <v>82.256330385852081</v>
      </c>
      <c r="GH162" s="10" t="s">
        <v>98</v>
      </c>
      <c r="GI162" s="16">
        <f>(420+8)*3</f>
        <v>1284</v>
      </c>
      <c r="GJ162" s="7">
        <f>31000+30000</f>
        <v>61000</v>
      </c>
      <c r="GK162" s="31">
        <f>IF(GJ162/(INDEX('Standards for Conversions'!$H$34:$H$73,MATCH(GI$3,'Standards for Conversions'!$A$34:$A$73,0)))=0,"",GJ162/(INDEX('Standards for Conversions'!$H$34:$H$73,MATCH(GI$3,'Standards for Conversions'!$A$34:$A$73,0))))</f>
        <v>10035.272307073954</v>
      </c>
      <c r="GL162" s="10" t="s">
        <v>98</v>
      </c>
      <c r="GM162" s="7"/>
      <c r="GN162" s="7"/>
      <c r="GO162" s="31" t="str">
        <f>IF(GN162/(INDEX('Standards for Conversions'!$H$34:$H$73,MATCH(GM$3,'Standards for Conversions'!$A$34:$A$73,0)))=0,"",GN162/(INDEX('Standards for Conversions'!$H$34:$H$73,MATCH(GM$3,'Standards for Conversions'!$A$34:$A$73,0))))</f>
        <v/>
      </c>
      <c r="GP162" s="10" t="s">
        <v>98</v>
      </c>
      <c r="GQ162" s="7"/>
      <c r="GR162" s="7"/>
      <c r="GS162" s="31" t="str">
        <f>IF(GR162/(INDEX('Standards for Conversions'!$H$34:$H$73,MATCH(GQ$3,'Standards for Conversions'!$A$34:$A$73,0)))=0,"",GR162/(INDEX('Standards for Conversions'!$H$34:$H$73,MATCH(GQ$3,'Standards for Conversions'!$A$34:$A$73,0))))</f>
        <v/>
      </c>
      <c r="GT162" s="10" t="s">
        <v>98</v>
      </c>
      <c r="GU162" s="16">
        <f>3*30</f>
        <v>90</v>
      </c>
      <c r="GV162" s="9">
        <v>400</v>
      </c>
      <c r="GW162" s="31">
        <f>IF(GV162/(INDEX('Standards for Conversions'!$H$34:$H$73,MATCH(GU$3,'Standards for Conversions'!$A$34:$A$73,0)))=0,"",GV162/(INDEX('Standards for Conversions'!$H$34:$H$73,MATCH(GU$3,'Standards for Conversions'!$A$34:$A$73,0))))</f>
        <v>61.485812983401409</v>
      </c>
      <c r="GX162" s="10" t="s">
        <v>98</v>
      </c>
      <c r="GY162" s="16">
        <f>(320+10)*3</f>
        <v>990</v>
      </c>
      <c r="GZ162" s="7">
        <f>15000+25000</f>
        <v>40000</v>
      </c>
      <c r="HA162" s="31">
        <f>IF(GZ162/(INDEX('Standards for Conversions'!$H$34:$H$73,MATCH(GY$3,'Standards for Conversions'!$A$34:$A$73,0)))=0,"",GZ162/(INDEX('Standards for Conversions'!$H$34:$H$73,MATCH(GY$3,'Standards for Conversions'!$A$34:$A$73,0))))</f>
        <v>6148.5812983401411</v>
      </c>
      <c r="HB162" s="10" t="s">
        <v>98</v>
      </c>
      <c r="HC162" s="7"/>
      <c r="HD162" s="7"/>
      <c r="HE162" s="31" t="str">
        <f>IF(HD162/(INDEX('Standards for Conversions'!$H$34:$H$73,MATCH(HC$3,'Standards for Conversions'!$A$34:$A$73,0)))=0,"",HD162/(INDEX('Standards for Conversions'!$H$34:$H$73,MATCH(HC$3,'Standards for Conversions'!$A$34:$A$73,0))))</f>
        <v/>
      </c>
      <c r="HF162" s="10" t="s">
        <v>98</v>
      </c>
      <c r="HG162" s="7"/>
      <c r="HH162" s="7"/>
      <c r="HI162" s="31" t="str">
        <f>IF(HH162/(INDEX('Standards for Conversions'!$H$34:$H$73,MATCH(HG$3,'Standards for Conversions'!$A$34:$A$73,0)))=0,"",HH162/(INDEX('Standards for Conversions'!$H$34:$H$73,MATCH(HG$3,'Standards for Conversions'!$A$34:$A$73,0))))</f>
        <v/>
      </c>
      <c r="HJ162" s="10" t="s">
        <v>98</v>
      </c>
      <c r="HK162" s="16">
        <f>3*50</f>
        <v>150</v>
      </c>
      <c r="HL162" s="9">
        <v>800</v>
      </c>
      <c r="HM162" s="31">
        <f>IF(HL162/(INDEX('Standards for Conversions'!$H$34:$H$73,MATCH(HK$3,'Standards for Conversions'!$A$34:$A$73,0)))=0,"",HL162/(INDEX('Standards for Conversions'!$H$34:$H$73,MATCH(HK$3,'Standards for Conversions'!$A$34:$A$73,0))))</f>
        <v>121.10841951276032</v>
      </c>
      <c r="HN162" s="10" t="s">
        <v>98</v>
      </c>
      <c r="HO162" s="16">
        <f>(400+15)*3</f>
        <v>1245</v>
      </c>
      <c r="HP162" s="7">
        <f>18000+20000</f>
        <v>38000</v>
      </c>
      <c r="HQ162" s="31">
        <f>IF(HP162/(INDEX('Standards for Conversions'!$H$34:$H$73,MATCH(HO$3,'Standards for Conversions'!$A$34:$A$73,0)))=0,"",HP162/(INDEX('Standards for Conversions'!$H$34:$H$73,MATCH(HO$3,'Standards for Conversions'!$A$34:$A$73,0))))</f>
        <v>5752.6499268561156</v>
      </c>
      <c r="HR162" s="33" t="s">
        <v>98</v>
      </c>
      <c r="HU162" s="31" t="str">
        <f>IF(HT162/(INDEX('Standards for Conversions'!$H$47:$H$73,MATCH(HS$3,'Standards for Conversions'!$A$47:$A$73,0)))=0,"",HT162/(INDEX('Standards for Conversions'!$H$47:$H$73,MATCH(HS$3,'Standards for Conversions'!$A$47:$A$73,0))))</f>
        <v/>
      </c>
      <c r="HV162" s="33" t="s">
        <v>98</v>
      </c>
      <c r="HY162" s="31" t="str">
        <f>IF(HX162/(INDEX('Standards for Conversions'!$H$47:$H$73,MATCH(HW$3,'Standards for Conversions'!$A$47:$A$73,0)))=0,"",HX162/(INDEX('Standards for Conversions'!$H$47:$H$73,MATCH(HW$3,'Standards for Conversions'!$A$47:$A$73,0))))</f>
        <v/>
      </c>
      <c r="HZ162" s="29">
        <v>180</v>
      </c>
      <c r="IA162" s="33">
        <v>900</v>
      </c>
      <c r="IB162" s="31">
        <f>IF(IA162/(INDEX('Standards for Conversions'!$H$47:$H$73,MATCH(HZ$3,'Standards for Conversions'!$A$47:$A$73,0)))=0,"",IA162/(INDEX('Standards for Conversions'!$H$47:$H$73,MATCH(HZ$3,'Standards for Conversions'!$A$47:$A$73,0))))</f>
        <v>130.72087099157037</v>
      </c>
      <c r="IC162" s="33" t="s">
        <v>98</v>
      </c>
      <c r="ID162" s="49">
        <f>(450+355)*3</f>
        <v>2415</v>
      </c>
      <c r="IE162" s="29">
        <f>19000+15000</f>
        <v>34000</v>
      </c>
      <c r="IF162" s="31">
        <f>IF(IE162/(INDEX('Standards for Conversions'!$H$47:$H$73,MATCH(ID$3,'Standards for Conversions'!$A$47:$A$73,0)))=0,"",IE162/(INDEX('Standards for Conversions'!$H$47:$H$73,MATCH(ID$3,'Standards for Conversions'!$A$47:$A$73,0))))</f>
        <v>4938.3440152371022</v>
      </c>
      <c r="IG162" s="33" t="s">
        <v>98</v>
      </c>
      <c r="IJ162" s="31" t="str">
        <f>IF(II162/(INDEX('Standards for Conversions'!$H$47:$H$73,MATCH(IH$3,'Standards for Conversions'!$A$47:$A$73,0)))=0,"",II162/(INDEX('Standards for Conversions'!$H$47:$H$73,MATCH(IH$3,'Standards for Conversions'!$A$47:$A$73,0))))</f>
        <v/>
      </c>
      <c r="IK162" s="33" t="s">
        <v>98</v>
      </c>
      <c r="IN162" s="31" t="str">
        <f>IF(IM162/(INDEX('Standards for Conversions'!$H$47:$H$73,MATCH(IL$3,'Standards for Conversions'!$A$47:$A$73,0)))=0,"",IM162/(INDEX('Standards for Conversions'!$H$47:$H$73,MATCH(IL$3,'Standards for Conversions'!$A$47:$A$73,0))))</f>
        <v/>
      </c>
      <c r="IO162" s="33" t="s">
        <v>98</v>
      </c>
      <c r="IP162" s="29">
        <v>300</v>
      </c>
      <c r="IQ162" s="29">
        <v>1100</v>
      </c>
      <c r="IR162" s="31">
        <f>IF(IQ162/(INDEX('Standards for Conversions'!$H$47:$H$73,MATCH(IP$3,'Standards for Conversions'!$A$47:$A$73,0)))=0,"",IQ162/(INDEX('Standards for Conversions'!$H$47:$H$73,MATCH(IP$3,'Standards for Conversions'!$A$47:$A$73,0))))</f>
        <v>159.07125101387561</v>
      </c>
      <c r="IS162" s="33" t="s">
        <v>98</v>
      </c>
      <c r="IT162" s="29">
        <f>(659+15)*3</f>
        <v>2022</v>
      </c>
      <c r="IU162" s="29">
        <f>66930+1500</f>
        <v>68430</v>
      </c>
      <c r="IV162" s="31">
        <f>IF(IU162/(INDEX('Standards for Conversions'!$H$47:$H$73,MATCH(IT$3,'Standards for Conversions'!$A$47:$A$73,0)))=0,"",IU162/(INDEX('Standards for Conversions'!$H$47:$H$73,MATCH(IT$3,'Standards for Conversions'!$A$47:$A$73,0))))</f>
        <v>9895.6779153450061</v>
      </c>
      <c r="IW162" s="33" t="s">
        <v>98</v>
      </c>
      <c r="IZ162" s="31" t="str">
        <f>IF(IY162/(INDEX('Standards for Conversions'!$H$47:$H$73,MATCH(IX$3,'Standards for Conversions'!$A$47:$A$73,0)))=0,"",IY162/(INDEX('Standards for Conversions'!$H$47:$H$73,MATCH(IX$3,'Standards for Conversions'!$A$47:$A$73,0))))</f>
        <v/>
      </c>
      <c r="JA162" s="33" t="s">
        <v>98</v>
      </c>
      <c r="JD162" s="31" t="str">
        <f>IF(JC162/(INDEX('Standards for Conversions'!$H$47:$H$73,MATCH(JB$3,'Standards for Conversions'!$A$47:$A$73,0)))=0,"",JC162/(INDEX('Standards for Conversions'!$H$47:$H$73,MATCH(JB$3,'Standards for Conversions'!$A$47:$A$73,0))))</f>
        <v/>
      </c>
      <c r="JE162" s="33" t="s">
        <v>98</v>
      </c>
      <c r="JF162" s="29">
        <v>234</v>
      </c>
      <c r="JG162" s="29">
        <v>3100</v>
      </c>
      <c r="JH162" s="31">
        <f>IF(JG162/(INDEX('Standards for Conversions'!$H$47:$H$73,MATCH(JF$3,'Standards for Conversions'!$A$47:$A$73,0)))=0,"",JG162/(INDEX('Standards for Conversions'!$H$47:$H$73,MATCH(JF$3,'Standards for Conversions'!$A$47:$A$73,0))))</f>
        <v>501.45660974479296</v>
      </c>
      <c r="JI162" s="48" t="s">
        <v>98</v>
      </c>
      <c r="JJ162" s="29">
        <f>(500+165)*3</f>
        <v>1995</v>
      </c>
      <c r="JK162" s="29">
        <f>50000+1600</f>
        <v>51600</v>
      </c>
      <c r="JL162" s="31">
        <f>IF(JK162/(INDEX('Standards for Conversions'!$H$47:$H$73,MATCH(JJ$3,'Standards for Conversions'!$A$47:$A$73,0)))=0,"",JK162/(INDEX('Standards for Conversions'!$H$47:$H$73,MATCH(JJ$3,'Standards for Conversions'!$A$47:$A$73,0))))</f>
        <v>8346.8261493004247</v>
      </c>
      <c r="JM162" s="33" t="s">
        <v>98</v>
      </c>
      <c r="JP162" s="31" t="str">
        <f>IF(JO162/(INDEX('Standards for Conversions'!$H$47:$H$73,MATCH(JN$3,'Standards for Conversions'!$A$47:$A$73,0)))=0,"",JO162/(INDEX('Standards for Conversions'!$H$47:$H$73,MATCH(JN$3,'Standards for Conversions'!$A$47:$A$73,0))))</f>
        <v/>
      </c>
      <c r="JQ162" s="33" t="s">
        <v>98</v>
      </c>
      <c r="JT162" s="31" t="str">
        <f>IF(JS162/(INDEX('Standards for Conversions'!$H$47:$H$73,MATCH(JR$3,'Standards for Conversions'!$A$47:$A$73,0)))=0,"",JS162/(INDEX('Standards for Conversions'!$H$47:$H$73,MATCH(JR$3,'Standards for Conversions'!$A$47:$A$73,0))))</f>
        <v/>
      </c>
      <c r="JU162" s="33" t="s">
        <v>98</v>
      </c>
      <c r="JV162" s="29">
        <f>(80)*3</f>
        <v>240</v>
      </c>
      <c r="JW162" s="29">
        <v>3000</v>
      </c>
      <c r="JX162" s="31">
        <f>IF(JW162/(INDEX('Standards for Conversions'!$H$47:$H$73,MATCH(JV$3,'Standards for Conversions'!$A$47:$A$73,0)))=0,"",JW162/(INDEX('Standards for Conversions'!$H$47:$H$73,MATCH(JV$3,'Standards for Conversions'!$A$47:$A$73,0))))</f>
        <v>457.96767728339267</v>
      </c>
      <c r="JY162" s="33" t="s">
        <v>98</v>
      </c>
      <c r="JZ162" s="29">
        <f>(600+15)*3</f>
        <v>1845</v>
      </c>
      <c r="KA162" s="29">
        <f>45000+1400</f>
        <v>46400</v>
      </c>
      <c r="KB162" s="31">
        <f>IF(KA162/(INDEX('Standards for Conversions'!$H$47:$H$73,MATCH(JZ$3,'Standards for Conversions'!$A$47:$A$73,0)))=0,"",KA162/(INDEX('Standards for Conversions'!$H$47:$H$73,MATCH(JZ$3,'Standards for Conversions'!$A$47:$A$73,0))))</f>
        <v>7083.2334086498067</v>
      </c>
      <c r="KC162" s="33" t="s">
        <v>98</v>
      </c>
      <c r="KF162" s="31" t="str">
        <f>IF(KE162/(INDEX('Standards for Conversions'!$H$47:$H$73,MATCH(KD$3,'Standards for Conversions'!$A$47:$A$73,0)))=0,"",KE162/(INDEX('Standards for Conversions'!$H$47:$H$73,MATCH(KD$3,'Standards for Conversions'!$A$47:$A$73,0))))</f>
        <v/>
      </c>
      <c r="KG162" s="33" t="s">
        <v>98</v>
      </c>
      <c r="KJ162" s="31" t="str">
        <f>IF(KI162/(INDEX('Standards for Conversions'!$H$47:$H$73,MATCH(KH$3,'Standards for Conversions'!$A$47:$A$73,0)))=0,"",KI162/(INDEX('Standards for Conversions'!$H$47:$H$73,MATCH(KH$3,'Standards for Conversions'!$A$47:$A$73,0))))</f>
        <v/>
      </c>
      <c r="KK162" s="33" t="s">
        <v>98</v>
      </c>
      <c r="KL162" s="29">
        <v>255</v>
      </c>
      <c r="KM162" s="29">
        <v>3100</v>
      </c>
      <c r="KN162" s="31">
        <f>IF(KM162/(INDEX('Standards for Conversions'!$H$47:$H$73,MATCH(KL$3,'Standards for Conversions'!$A$47:$A$73,0)))=0,"",KM162/(INDEX('Standards for Conversions'!$H$47:$H$73,MATCH(KL$3,'Standards for Conversions'!$A$47:$A$73,0))))</f>
        <v>417.44293690796906</v>
      </c>
      <c r="KO162" s="33" t="s">
        <v>98</v>
      </c>
      <c r="KP162" s="29">
        <f>(550+16)*3</f>
        <v>1698</v>
      </c>
      <c r="KQ162" s="29">
        <f>41000+1500</f>
        <v>42500</v>
      </c>
      <c r="KR162" s="31">
        <f>IF(KQ162/(INDEX('Standards for Conversions'!$H$47:$H$73,MATCH(KP$3,'Standards for Conversions'!$A$47:$A$73,0)))=0,"",KQ162/(INDEX('Standards for Conversions'!$H$47:$H$73,MATCH(KP$3,'Standards for Conversions'!$A$47:$A$73,0))))</f>
        <v>5723.0080059963493</v>
      </c>
      <c r="KS162" s="33" t="s">
        <v>98</v>
      </c>
      <c r="KV162" s="31" t="str">
        <f>IF(KU162/(INDEX('Standards for Conversions'!$H$47:$H$73,MATCH(KT$3,'Standards for Conversions'!$A$47:$A$73,0)))=0,"",KU162/(INDEX('Standards for Conversions'!$H$47:$H$73,MATCH(KT$3,'Standards for Conversions'!$A$47:$A$73,0))))</f>
        <v/>
      </c>
      <c r="KW162" s="33" t="s">
        <v>98</v>
      </c>
      <c r="KZ162" s="31" t="str">
        <f>IF(KY162/(INDEX('Standards for Conversions'!$H$47:$H$73,MATCH(KX$3,'Standards for Conversions'!$A$47:$A$73,0)))=0,"",KY162/(INDEX('Standards for Conversions'!$H$47:$H$73,MATCH(KX$3,'Standards for Conversions'!$A$47:$A$73,0))))</f>
        <v/>
      </c>
      <c r="LA162" s="33" t="s">
        <v>98</v>
      </c>
      <c r="LB162" s="29">
        <v>255</v>
      </c>
      <c r="LC162" s="29">
        <v>1140</v>
      </c>
      <c r="LD162" s="31">
        <f>IF(LC162/(INDEX('Standards for Conversions'!$H$47:$H$73,MATCH(LB$3,'Standards for Conversions'!$A$47:$A$73,0)))=0,"",LC162/(INDEX('Standards for Conversions'!$H$47:$H$73,MATCH(LB$3,'Standards for Conversions'!$A$47:$A$73,0))))</f>
        <v>138.64288606934906</v>
      </c>
      <c r="LE162" s="48" t="s">
        <v>98</v>
      </c>
      <c r="LF162" s="29">
        <f>(1185+15)*3</f>
        <v>3600</v>
      </c>
      <c r="LG162" s="29">
        <f>76160+1000</f>
        <v>77160</v>
      </c>
      <c r="LH162" s="31">
        <f>IF(LG162/(INDEX('Standards for Conversions'!$H$47:$H$73,MATCH(LF$3,'Standards for Conversions'!$A$47:$A$73,0)))=0,"",LG162/(INDEX('Standards for Conversions'!$H$47:$H$73,MATCH(LF$3,'Standards for Conversions'!$A$47:$A$73,0))))</f>
        <v>9383.9342886938375</v>
      </c>
      <c r="LI162" s="29" t="s">
        <v>98</v>
      </c>
      <c r="LJ162" s="29">
        <f>1/10*(24300+390)</f>
        <v>2469</v>
      </c>
      <c r="LK162" s="29">
        <f>81000+1300</f>
        <v>82300</v>
      </c>
      <c r="LL162" s="31">
        <f>IF(LK162/(INDEX('Standards for Conversions'!$H$47:$H$73,MATCH(LJ$3,'Standards for Conversions'!$A$47:$A$73,0)))=0,"",LK162/(INDEX('Standards for Conversions'!$H$47:$H$73,MATCH(LJ$3,'Standards for Conversions'!$A$47:$A$73,0))))</f>
        <v>8067.8745012094078</v>
      </c>
      <c r="LM162" s="29">
        <f>1/10*(27300+360)</f>
        <v>2766</v>
      </c>
      <c r="LN162" s="29">
        <f>91000+1200</f>
        <v>92200</v>
      </c>
      <c r="LO162" s="31">
        <f>IF(LN162/(INDEX('Standards for Conversions'!$H$47:$H$73,MATCH(LM$3,'Standards for Conversions'!$A$47:$A$73,0)))=0,"",LN162/(INDEX('Standards for Conversions'!$H$47:$H$73,MATCH(LM$3,'Standards for Conversions'!$A$47:$A$73,0))))</f>
        <v>9311.6706732858238</v>
      </c>
      <c r="LP162" s="29">
        <f>1/10*48000</f>
        <v>4800</v>
      </c>
      <c r="LQ162" s="29">
        <v>160000</v>
      </c>
      <c r="LR162" s="31">
        <f>IF(LQ162/(INDEX('Standards for Conversions'!$H$47:$H$73,MATCH(LP$3,'Standards for Conversions'!$A$47:$A$73,0)))=0,"",LQ162/(INDEX('Standards for Conversions'!$H$47:$H$73,MATCH(LP$3,'Standards for Conversions'!$A$47:$A$73,0))))</f>
        <v>16701.105124417019</v>
      </c>
      <c r="LS162" s="29" t="s">
        <v>98</v>
      </c>
      <c r="LT162" s="29">
        <f>1/10*50000</f>
        <v>5000</v>
      </c>
      <c r="LU162" s="29">
        <v>165000</v>
      </c>
      <c r="LV162" s="31">
        <f>IF(LU162/(INDEX('Standards for Conversions'!$H$47:$H$73,MATCH(LT$3,'Standards for Conversions'!$A$47:$A$73,0)))=0,"",LU162/(INDEX('Standards for Conversions'!$H$47:$H$73,MATCH(LT$3,'Standards for Conversions'!$A$47:$A$73,0))))</f>
        <v>15406.388366863644</v>
      </c>
      <c r="LW162" s="29">
        <f>1/10*(60000)</f>
        <v>6000</v>
      </c>
      <c r="LX162" s="29">
        <v>175000</v>
      </c>
      <c r="LY162" s="31">
        <f>IF(LX162/(INDEX('Standards for Conversions'!$H$47:$H$73,MATCH(LW$3,'Standards for Conversions'!$A$47:$A$73,0)))=0,"",LX162/(INDEX('Standards for Conversions'!$H$47:$H$73,MATCH(LW$3,'Standards for Conversions'!$A$47:$A$73,0))))</f>
        <v>15969.584863199208</v>
      </c>
      <c r="LZ162" s="29">
        <f>1/10*(50000+680)</f>
        <v>5068</v>
      </c>
      <c r="MA162" s="29">
        <f>150000+9000</f>
        <v>159000</v>
      </c>
      <c r="MB162" s="31">
        <f>IF(MA162/(INDEX('Standards for Conversions'!$H$47:$H$73,MATCH(LZ$3,'Standards for Conversions'!$A$47:$A$73,0)))=0,"",MA162/(INDEX('Standards for Conversions'!$H$47:$H$73,MATCH(LZ$3,'Standards for Conversions'!$A$47:$A$73,0))))</f>
        <v>14778.826556661161</v>
      </c>
      <c r="MC162" s="33">
        <f>4715</f>
        <v>4715</v>
      </c>
      <c r="MD162" s="29">
        <v>216357</v>
      </c>
      <c r="ME162" s="31">
        <f>IF(MD162/(INDEX('Standards for Conversions'!$H$47:$H$73,MATCH(MC$3,'Standards for Conversions'!$A$47:$A$73,0)))=0,"",MD162/(INDEX('Standards for Conversions'!$H$47:$H$73,MATCH(MC$3,'Standards for Conversions'!$A$47:$A$73,0))))</f>
        <v>20751.40280978426</v>
      </c>
      <c r="MF162" s="29">
        <f>3633+6</f>
        <v>3639</v>
      </c>
      <c r="MG162" s="29">
        <f>93598+160</f>
        <v>93758</v>
      </c>
      <c r="MH162" s="31">
        <f>IF(MG162/(INDEX('Standards for Conversions'!$H$47:$H$73,MATCH(MF$3,'Standards for Conversions'!$A$47:$A$73,0)))=0,"",MG162/(INDEX('Standards for Conversions'!$H$47:$H$73,MATCH(MF$3,'Standards for Conversions'!$A$47:$A$73,0))))</f>
        <v>8635.2695639067515</v>
      </c>
      <c r="MI162" s="29">
        <v>3750</v>
      </c>
      <c r="MJ162" s="29">
        <v>97400</v>
      </c>
      <c r="MK162" s="31">
        <f>IF(MJ162/(INDEX('Standards for Conversions'!$H$47:$H$73,MATCH(MI$3,'Standards for Conversions'!$A$47:$A$73,0)))=0,"",MJ162/(INDEX('Standards for Conversions'!$H$47:$H$73,MATCH(MI$3,'Standards for Conversions'!$A$47:$A$73,0))))</f>
        <v>7939.5885022884604</v>
      </c>
      <c r="ML162" s="29">
        <v>3800</v>
      </c>
      <c r="MM162" s="29">
        <v>98500</v>
      </c>
      <c r="MN162" s="31">
        <f>IF(MM162/(INDEX('Standards for Conversions'!$H$47:$H$73,MATCH(ML$3,'Standards for Conversions'!$A$47:$A$73,0)))=0,"",MM162/(INDEX('Standards for Conversions'!$H$47:$H$73,MATCH(ML$3,'Standards for Conversions'!$A$47:$A$73,0))))</f>
        <v>8258.6626075432323</v>
      </c>
      <c r="MO162" s="33" t="s">
        <v>98</v>
      </c>
      <c r="MP162" s="33">
        <v>2700</v>
      </c>
      <c r="MQ162" s="29">
        <v>90000</v>
      </c>
      <c r="MR162" s="31">
        <f>IF(MQ162/(INDEX('Standards for Conversions'!$H$47:$H$73,MATCH(MP$3,'Standards for Conversions'!$A$47:$A$73,0)))=0,"",MQ162/(INDEX('Standards for Conversions'!$H$47:$H$73,MATCH(MP$3,'Standards for Conversions'!$A$47:$A$73,0))))</f>
        <v>8050.9574335187272</v>
      </c>
      <c r="MS162" s="29" t="s">
        <v>98</v>
      </c>
      <c r="MT162" s="29">
        <v>3000</v>
      </c>
      <c r="MU162" s="29">
        <v>15000</v>
      </c>
      <c r="MV162" s="29">
        <v>3325</v>
      </c>
      <c r="MW162" s="29">
        <v>16067</v>
      </c>
      <c r="MX162" s="29">
        <v>4100</v>
      </c>
      <c r="MY162" s="29">
        <v>18314</v>
      </c>
      <c r="MZ162" s="29" t="s">
        <v>98</v>
      </c>
      <c r="NA162" s="29">
        <v>4495</v>
      </c>
      <c r="NB162" s="29">
        <v>20923</v>
      </c>
      <c r="NC162" s="29">
        <v>4412</v>
      </c>
      <c r="ND162" s="29">
        <v>21131</v>
      </c>
      <c r="NE162" s="29" t="s">
        <v>98</v>
      </c>
      <c r="NF162" s="29">
        <v>2402</v>
      </c>
      <c r="NG162" s="29">
        <v>11648</v>
      </c>
      <c r="NH162" s="29">
        <v>2334</v>
      </c>
      <c r="NI162" s="29">
        <v>13425</v>
      </c>
    </row>
    <row r="163" spans="1:373" hidden="1" x14ac:dyDescent="0.3">
      <c r="A163" s="103" t="s">
        <v>322</v>
      </c>
      <c r="B163" s="10" t="s">
        <v>45</v>
      </c>
      <c r="C163" s="7"/>
      <c r="D163" s="7"/>
      <c r="E163" s="31" t="str">
        <f>IF(D163/(INDEX('Standards for Conversions'!$H$34:$H$73,MATCH(C$3,'Standards for Conversions'!$A$34:$A$73,0)))=0,"",D163/(INDEX('Standards for Conversions'!$H$34:$H$73,MATCH(C$3,'Standards for Conversions'!$A$34:$A$73,0))))</f>
        <v/>
      </c>
      <c r="F163" s="10" t="s">
        <v>45</v>
      </c>
      <c r="G163" s="7"/>
      <c r="H163" s="7"/>
      <c r="I163" s="31" t="str">
        <f>IF(H163/(INDEX('Standards for Conversions'!$H$34:$H$73,MATCH(G$3,'Standards for Conversions'!$A$34:$A$73,0)))=0,"",H163/(INDEX('Standards for Conversions'!$H$34:$H$73,MATCH(G$3,'Standards for Conversions'!$A$34:$A$73,0))))</f>
        <v/>
      </c>
      <c r="J163" s="10" t="s">
        <v>45</v>
      </c>
      <c r="K163" s="7"/>
      <c r="L163" s="7"/>
      <c r="M163" s="31" t="str">
        <f>IF(L163/(INDEX('Standards for Conversions'!$H$34:$H$73,MATCH(K$3,'Standards for Conversions'!$A$34:$A$73,0)))=0,"",L163/(INDEX('Standards for Conversions'!$H$34:$H$73,MATCH(K$3,'Standards for Conversions'!$A$34:$A$73,0))))</f>
        <v/>
      </c>
      <c r="N163" s="10" t="s">
        <v>45</v>
      </c>
      <c r="O163" s="7"/>
      <c r="P163" s="7"/>
      <c r="Q163" s="31" t="str">
        <f>IF(P163/(INDEX('Standards for Conversions'!$H$34:$H$73,MATCH(O$3,'Standards for Conversions'!$A$34:$A$73,0)))=0,"",P163/(INDEX('Standards for Conversions'!$H$34:$H$73,MATCH(O$3,'Standards for Conversions'!$A$34:$A$73,0))))</f>
        <v/>
      </c>
      <c r="R163" s="10" t="s">
        <v>45</v>
      </c>
      <c r="S163" s="7"/>
      <c r="T163" s="7"/>
      <c r="U163" s="31" t="str">
        <f>IF(T163/(INDEX('Standards for Conversions'!$H$34:$H$73,MATCH(S$3,'Standards for Conversions'!$A$34:$A$73,0)))=0,"",T163/(INDEX('Standards for Conversions'!$H$34:$H$73,MATCH(S$3,'Standards for Conversions'!$A$34:$A$73,0))))</f>
        <v/>
      </c>
      <c r="V163" s="10" t="s">
        <v>45</v>
      </c>
      <c r="W163" s="7"/>
      <c r="X163" s="7"/>
      <c r="Y163" s="31" t="str">
        <f>IF(X163/(INDEX('Standards for Conversions'!$H$34:$H$73,MATCH(W$3,'Standards for Conversions'!$A$34:$A$73,0)))=0,"",X163/(INDEX('Standards for Conversions'!$H$34:$H$73,MATCH(W$3,'Standards for Conversions'!$A$34:$A$73,0))))</f>
        <v/>
      </c>
      <c r="Z163" s="10" t="s">
        <v>45</v>
      </c>
      <c r="AA163" s="7"/>
      <c r="AB163" s="7"/>
      <c r="AC163" s="31" t="str">
        <f>IF(AB163/(INDEX('Standards for Conversions'!$H$34:$H$73,MATCH(AA$3,'Standards for Conversions'!$A$34:$A$73,0)))=0,"",AB163/(INDEX('Standards for Conversions'!$H$34:$H$73,MATCH(AA$3,'Standards for Conversions'!$A$34:$A$73,0))))</f>
        <v/>
      </c>
      <c r="AD163" s="10" t="s">
        <v>45</v>
      </c>
      <c r="AE163" s="7"/>
      <c r="AF163" s="7"/>
      <c r="AG163" s="31" t="str">
        <f>IF(AF163/(INDEX('Standards for Conversions'!$H$34:$H$73,MATCH(AE$3,'Standards for Conversions'!$A$34:$A$73,0)))=0,"",AF163/(INDEX('Standards for Conversions'!$H$34:$H$73,MATCH(AE$3,'Standards for Conversions'!$A$34:$A$73,0))))</f>
        <v/>
      </c>
      <c r="AH163" s="10" t="s">
        <v>45</v>
      </c>
      <c r="AI163" s="7"/>
      <c r="AJ163" s="7"/>
      <c r="AK163" s="31" t="str">
        <f>IF(AJ163/(INDEX('Standards for Conversions'!$H$34:$H$73,MATCH(AI$3,'Standards for Conversions'!$A$34:$A$73,0)))=0,"",AJ163/(INDEX('Standards for Conversions'!$H$34:$H$73,MATCH(AI$3,'Standards for Conversions'!$A$34:$A$73,0))))</f>
        <v/>
      </c>
      <c r="AL163" s="10" t="s">
        <v>45</v>
      </c>
      <c r="AM163" s="7"/>
      <c r="AN163" s="7"/>
      <c r="AO163" s="31" t="str">
        <f>IF(AN163/(INDEX('Standards for Conversions'!$H$34:$H$73,MATCH(AM$3,'Standards for Conversions'!$A$34:$A$73,0)))=0,"",AN163/(INDEX('Standards for Conversions'!$H$34:$H$73,MATCH(AM$3,'Standards for Conversions'!$A$34:$A$73,0))))</f>
        <v/>
      </c>
      <c r="AP163" s="10" t="s">
        <v>45</v>
      </c>
      <c r="AQ163" s="7"/>
      <c r="AR163" s="7"/>
      <c r="AS163" s="31" t="str">
        <f>IF(AR163/(INDEX('Standards for Conversions'!$H$34:$H$73,MATCH(AQ$3,'Standards for Conversions'!$A$34:$A$73,0)))=0,"",AR163/(INDEX('Standards for Conversions'!$H$34:$H$73,MATCH(AQ$3,'Standards for Conversions'!$A$34:$A$73,0))))</f>
        <v/>
      </c>
      <c r="AT163" s="10" t="s">
        <v>45</v>
      </c>
      <c r="AU163" s="7"/>
      <c r="AV163" s="7"/>
      <c r="AW163" s="31" t="str">
        <f>IF(AV163/(INDEX('Standards for Conversions'!$H$34:$H$73,MATCH(AU$3,'Standards for Conversions'!$A$34:$A$73,0)))=0,"",AV163/(INDEX('Standards for Conversions'!$H$34:$H$73,MATCH(AU$3,'Standards for Conversions'!$A$34:$A$73,0))))</f>
        <v/>
      </c>
      <c r="AX163" s="10" t="s">
        <v>45</v>
      </c>
      <c r="AY163" s="7"/>
      <c r="AZ163" s="7"/>
      <c r="BA163" s="31" t="str">
        <f>IF(AZ163/(INDEX('Standards for Conversions'!$H$34:$H$73,MATCH(AY$3,'Standards for Conversions'!$A$34:$A$73,0)))=0,"",AZ163/(INDEX('Standards for Conversions'!$H$34:$H$73,MATCH(AY$3,'Standards for Conversions'!$A$34:$A$73,0))))</f>
        <v/>
      </c>
      <c r="BB163" s="10" t="s">
        <v>45</v>
      </c>
      <c r="BC163" s="7"/>
      <c r="BD163" s="7"/>
      <c r="BE163" s="31" t="str">
        <f>IF(BD163/(INDEX('Standards for Conversions'!$H$34:$H$73,MATCH(BC$3,'Standards for Conversions'!$A$34:$A$73,0)))=0,"",BD163/(INDEX('Standards for Conversions'!$H$34:$H$73,MATCH(BC$3,'Standards for Conversions'!$A$34:$A$73,0))))</f>
        <v/>
      </c>
      <c r="BF163" s="10" t="s">
        <v>45</v>
      </c>
      <c r="BG163" s="7"/>
      <c r="BH163" s="7"/>
      <c r="BI163" s="31" t="str">
        <f>IF(BH163/(INDEX('Standards for Conversions'!$H$34:$H$73,MATCH(BG$3,'Standards for Conversions'!$A$34:$A$73,0)))=0,"",BH163/(INDEX('Standards for Conversions'!$H$34:$H$73,MATCH(BG$3,'Standards for Conversions'!$A$34:$A$73,0))))</f>
        <v/>
      </c>
      <c r="BJ163" s="10" t="s">
        <v>45</v>
      </c>
      <c r="BK163" s="7"/>
      <c r="BL163" s="7"/>
      <c r="BM163" s="31" t="str">
        <f>IF(BL163/(INDEX('Standards for Conversions'!$H$34:$H$73,MATCH(BK$3,'Standards for Conversions'!$A$34:$A$73,0)))=0,"",BL163/(INDEX('Standards for Conversions'!$H$34:$H$73,MATCH(BK$3,'Standards for Conversions'!$A$34:$A$73,0))))</f>
        <v/>
      </c>
      <c r="BN163" s="10" t="s">
        <v>45</v>
      </c>
      <c r="BO163" s="7"/>
      <c r="BP163" s="7"/>
      <c r="BQ163" s="31" t="str">
        <f>IF(BP163/(INDEX('Standards for Conversions'!$H$34:$H$73,MATCH(BO$3,'Standards for Conversions'!$A$34:$A$73,0)))=0,"",BP163/(INDEX('Standards for Conversions'!$H$34:$H$73,MATCH(BO$3,'Standards for Conversions'!$A$34:$A$73,0))))</f>
        <v/>
      </c>
      <c r="BR163" s="10" t="s">
        <v>45</v>
      </c>
      <c r="BS163" s="7"/>
      <c r="BT163" s="7"/>
      <c r="BU163" s="31" t="str">
        <f>IF(BT163/(INDEX('Standards for Conversions'!$H$34:$H$73,MATCH(BS$3,'Standards for Conversions'!$A$34:$A$73,0)))=0,"",BT163/(INDEX('Standards for Conversions'!$H$34:$H$73,MATCH(BS$3,'Standards for Conversions'!$A$34:$A$73,0))))</f>
        <v/>
      </c>
      <c r="BV163" s="10" t="s">
        <v>45</v>
      </c>
      <c r="BW163" s="7"/>
      <c r="BX163" s="7"/>
      <c r="BY163" s="31" t="str">
        <f>IF(BX163/(INDEX('Standards for Conversions'!$H$34:$H$73,MATCH(BW$3,'Standards for Conversions'!$A$34:$A$73,0)))=0,"",BX163/(INDEX('Standards for Conversions'!$H$34:$H$73,MATCH(BW$3,'Standards for Conversions'!$A$34:$A$73,0))))</f>
        <v/>
      </c>
      <c r="BZ163" s="10" t="s">
        <v>45</v>
      </c>
      <c r="CA163" s="7"/>
      <c r="CB163" s="7"/>
      <c r="CC163" s="31" t="str">
        <f>IF(CB163/(INDEX('Standards for Conversions'!$H$34:$H$73,MATCH(CA$3,'Standards for Conversions'!$A$34:$A$73,0)))=0,"",CB163/(INDEX('Standards for Conversions'!$H$34:$H$73,MATCH(CA$3,'Standards for Conversions'!$A$34:$A$73,0))))</f>
        <v/>
      </c>
      <c r="CD163" s="10" t="s">
        <v>45</v>
      </c>
      <c r="CE163" s="7"/>
      <c r="CF163" s="7"/>
      <c r="CG163" s="31" t="str">
        <f>IF(CF163/(INDEX('Standards for Conversions'!$H$34:$H$73,MATCH(CE$3,'Standards for Conversions'!$A$34:$A$73,0)))=0,"",CF163/(INDEX('Standards for Conversions'!$H$34:$H$73,MATCH(CE$3,'Standards for Conversions'!$A$34:$A$73,0))))</f>
        <v/>
      </c>
      <c r="CH163" s="10" t="s">
        <v>45</v>
      </c>
      <c r="CI163" s="7"/>
      <c r="CJ163" s="7"/>
      <c r="CK163" s="31" t="str">
        <f>IF(CJ163/(INDEX('Standards for Conversions'!$H$34:$H$73,MATCH(CI$3,'Standards for Conversions'!$A$34:$A$73,0)))=0,"",CJ163/(INDEX('Standards for Conversions'!$H$34:$H$73,MATCH(CI$3,'Standards for Conversions'!$A$34:$A$73,0))))</f>
        <v/>
      </c>
      <c r="CL163" s="10" t="s">
        <v>45</v>
      </c>
      <c r="CM163" s="7"/>
      <c r="CN163" s="7"/>
      <c r="CO163" s="31" t="str">
        <f>IF(CN163/(INDEX('Standards for Conversions'!$H$34:$H$73,MATCH(CM$3,'Standards for Conversions'!$A$34:$A$73,0)))=0,"",CN163/(INDEX('Standards for Conversions'!$H$34:$H$73,MATCH(CM$3,'Standards for Conversions'!$A$34:$A$73,0))))</f>
        <v/>
      </c>
      <c r="CP163" s="10" t="s">
        <v>45</v>
      </c>
      <c r="CQ163" s="7"/>
      <c r="CR163" s="7"/>
      <c r="CS163" s="31" t="str">
        <f>IF(CR163/(INDEX('Standards for Conversions'!$H$34:$H$73,MATCH(CQ$3,'Standards for Conversions'!$A$34:$A$73,0)))=0,"",CR163/(INDEX('Standards for Conversions'!$H$34:$H$73,MATCH(CQ$3,'Standards for Conversions'!$A$34:$A$73,0))))</f>
        <v/>
      </c>
      <c r="CT163" s="10" t="s">
        <v>45</v>
      </c>
      <c r="CU163" s="7"/>
      <c r="CV163" s="7"/>
      <c r="CW163" s="31" t="str">
        <f>IF(CV163/(INDEX('Standards for Conversions'!$H$34:$H$73,MATCH(CU$3,'Standards for Conversions'!$A$34:$A$73,0)))=0,"",CV163/(INDEX('Standards for Conversions'!$H$34:$H$73,MATCH(CU$3,'Standards for Conversions'!$A$34:$A$73,0))))</f>
        <v/>
      </c>
      <c r="CX163" s="10" t="s">
        <v>45</v>
      </c>
      <c r="CY163" s="7"/>
      <c r="CZ163" s="7"/>
      <c r="DA163" s="31" t="str">
        <f>IF(CZ163/(INDEX('Standards for Conversions'!$H$34:$H$73,MATCH(CY$3,'Standards for Conversions'!$A$34:$A$73,0)))=0,"",CZ163/(INDEX('Standards for Conversions'!$H$34:$H$73,MATCH(CY$3,'Standards for Conversions'!$A$34:$A$73,0))))</f>
        <v/>
      </c>
      <c r="DB163" s="10" t="s">
        <v>45</v>
      </c>
      <c r="DC163" s="7"/>
      <c r="DD163" s="7"/>
      <c r="DE163" s="31" t="str">
        <f>IF(DD163/(INDEX('Standards for Conversions'!$H$34:$H$73,MATCH(DC$3,'Standards for Conversions'!$A$34:$A$73,0)))=0,"",DD163/(INDEX('Standards for Conversions'!$H$34:$H$73,MATCH(DC$3,'Standards for Conversions'!$A$34:$A$73,0))))</f>
        <v/>
      </c>
      <c r="DF163" s="10" t="s">
        <v>45</v>
      </c>
      <c r="DG163" s="7"/>
      <c r="DH163" s="7"/>
      <c r="DI163" s="31" t="str">
        <f>IF(DH163/(INDEX('Standards for Conversions'!$H$34:$H$73,MATCH(DG$3,'Standards for Conversions'!$A$34:$A$73,0)))=0,"",DH163/(INDEX('Standards for Conversions'!$H$34:$H$73,MATCH(DG$3,'Standards for Conversions'!$A$34:$A$73,0))))</f>
        <v/>
      </c>
      <c r="DJ163" s="10" t="s">
        <v>45</v>
      </c>
      <c r="DK163" s="7"/>
      <c r="DL163" s="7"/>
      <c r="DM163" s="31" t="str">
        <f>IF(DL163/(INDEX('Standards for Conversions'!$H$34:$H$73,MATCH(DK$3,'Standards for Conversions'!$A$34:$A$73,0)))=0,"",DL163/(INDEX('Standards for Conversions'!$H$34:$H$73,MATCH(DK$3,'Standards for Conversions'!$A$34:$A$73,0))))</f>
        <v/>
      </c>
      <c r="DN163" s="10" t="s">
        <v>45</v>
      </c>
      <c r="DO163" s="7"/>
      <c r="DP163" s="7"/>
      <c r="DQ163" s="31" t="str">
        <f>IF(DP163/(INDEX('Standards for Conversions'!$H$34:$H$73,MATCH(DO$3,'Standards for Conversions'!$A$34:$A$73,0)))=0,"",DP163/(INDEX('Standards for Conversions'!$H$34:$H$73,MATCH(DO$3,'Standards for Conversions'!$A$34:$A$73,0))))</f>
        <v/>
      </c>
      <c r="DR163" s="10" t="s">
        <v>45</v>
      </c>
      <c r="DS163" s="7"/>
      <c r="DT163" s="7"/>
      <c r="DU163" s="31" t="str">
        <f>IF(DT163/(INDEX('Standards for Conversions'!$H$34:$H$73,MATCH(DS$3,'Standards for Conversions'!$A$34:$A$73,0)))=0,"",DT163/(INDEX('Standards for Conversions'!$H$34:$H$73,MATCH(DS$3,'Standards for Conversions'!$A$34:$A$73,0))))</f>
        <v/>
      </c>
      <c r="DV163" s="10" t="s">
        <v>45</v>
      </c>
      <c r="DW163" s="7"/>
      <c r="DX163" s="7"/>
      <c r="DY163" s="31" t="str">
        <f>IF(DX163/(INDEX('Standards for Conversions'!$H$34:$H$73,MATCH(DW$3,'Standards for Conversions'!$A$34:$A$73,0)))=0,"",DX163/(INDEX('Standards for Conversions'!$H$34:$H$73,MATCH(DW$3,'Standards for Conversions'!$A$34:$A$73,0))))</f>
        <v/>
      </c>
      <c r="DZ163" s="10" t="s">
        <v>45</v>
      </c>
      <c r="EA163" s="7"/>
      <c r="EB163" s="7"/>
      <c r="EC163" s="31" t="str">
        <f>IF(EB163/(INDEX('Standards for Conversions'!$H$34:$H$73,MATCH(EA$3,'Standards for Conversions'!$A$34:$A$73,0)))=0,"",EB163/(INDEX('Standards for Conversions'!$H$34:$H$73,MATCH(EA$3,'Standards for Conversions'!$A$34:$A$73,0))))</f>
        <v/>
      </c>
      <c r="ED163" s="10" t="s">
        <v>45</v>
      </c>
      <c r="EE163" s="7"/>
      <c r="EF163" s="7"/>
      <c r="EG163" s="31" t="str">
        <f>IF(EF163/(INDEX('Standards for Conversions'!$H$34:$H$73,MATCH(EE$3,'Standards for Conversions'!$A$34:$A$73,0)))=0,"",EF163/(INDEX('Standards for Conversions'!$H$34:$H$73,MATCH(EE$3,'Standards for Conversions'!$A$34:$A$73,0))))</f>
        <v/>
      </c>
      <c r="EH163" s="10" t="s">
        <v>45</v>
      </c>
      <c r="EI163" s="7"/>
      <c r="EJ163" s="7"/>
      <c r="EK163" s="31" t="str">
        <f>IF(EJ163/(INDEX('Standards for Conversions'!$H$34:$H$73,MATCH(EI$3,'Standards for Conversions'!$A$34:$A$73,0)))=0,"",EJ163/(INDEX('Standards for Conversions'!$H$34:$H$73,MATCH(EI$3,'Standards for Conversions'!$A$34:$A$73,0))))</f>
        <v/>
      </c>
      <c r="EL163" s="10" t="s">
        <v>45</v>
      </c>
      <c r="EM163" s="7"/>
      <c r="EN163" s="7"/>
      <c r="EO163" s="31" t="str">
        <f>IF(EN163/(INDEX('Standards for Conversions'!$H$34:$H$73,MATCH(EM$3,'Standards for Conversions'!$A$34:$A$73,0)))=0,"",EN163/(INDEX('Standards for Conversions'!$H$34:$H$73,MATCH(EM$3,'Standards for Conversions'!$A$34:$A$73,0))))</f>
        <v/>
      </c>
      <c r="EP163" s="10" t="s">
        <v>45</v>
      </c>
      <c r="EQ163" s="7"/>
      <c r="ER163" s="7"/>
      <c r="ES163" s="31" t="str">
        <f>IF(ER163/(INDEX('Standards for Conversions'!$H$34:$H$73,MATCH(EQ$3,'Standards for Conversions'!$A$34:$A$73,0)))=0,"",ER163/(INDEX('Standards for Conversions'!$H$34:$H$73,MATCH(EQ$3,'Standards for Conversions'!$A$34:$A$73,0))))</f>
        <v/>
      </c>
      <c r="ET163" s="10" t="s">
        <v>45</v>
      </c>
      <c r="EU163" s="7"/>
      <c r="EV163" s="7"/>
      <c r="EW163" s="31" t="str">
        <f>IF(EV163/(INDEX('Standards for Conversions'!$H$34:$H$73,MATCH(EU$3,'Standards for Conversions'!$A$34:$A$73,0)))=0,"",EV163/(INDEX('Standards for Conversions'!$H$34:$H$73,MATCH(EU$3,'Standards for Conversions'!$A$34:$A$73,0))))</f>
        <v/>
      </c>
      <c r="EX163" s="10" t="s">
        <v>45</v>
      </c>
      <c r="EY163" s="9"/>
      <c r="EZ163" s="9"/>
      <c r="FA163" s="31" t="str">
        <f>IF(EZ163/(INDEX('Standards for Conversions'!$H$34:$H$73,MATCH(EY$3,'Standards for Conversions'!$A$34:$A$73,0)))=0,"",EZ163/(INDEX('Standards for Conversions'!$H$34:$H$73,MATCH(EY$3,'Standards for Conversions'!$A$34:$A$73,0))))</f>
        <v/>
      </c>
      <c r="FB163" s="10" t="s">
        <v>45</v>
      </c>
      <c r="FC163" s="7"/>
      <c r="FD163" s="7"/>
      <c r="FE163" s="31" t="str">
        <f>IF(FD163/(INDEX('Standards for Conversions'!$H$34:$H$73,MATCH(FC$3,'Standards for Conversions'!$A$34:$A$73,0)))=0,"",FD163/(INDEX('Standards for Conversions'!$H$34:$H$73,MATCH(FC$3,'Standards for Conversions'!$A$34:$A$73,0))))</f>
        <v/>
      </c>
      <c r="FF163" s="10" t="s">
        <v>45</v>
      </c>
      <c r="FG163" s="7"/>
      <c r="FH163" s="7"/>
      <c r="FI163" s="31" t="str">
        <f>IF(FH163/(INDEX('Standards for Conversions'!$H$34:$H$73,MATCH(FG$3,'Standards for Conversions'!$A$34:$A$73,0)))=0,"",FH163/(INDEX('Standards for Conversions'!$H$34:$H$73,MATCH(FG$3,'Standards for Conversions'!$A$34:$A$73,0))))</f>
        <v/>
      </c>
      <c r="FJ163" s="10" t="s">
        <v>45</v>
      </c>
      <c r="FK163" s="7"/>
      <c r="FL163" s="7"/>
      <c r="FM163" s="31" t="str">
        <f>IF(FL163/(INDEX('Standards for Conversions'!$H$34:$H$73,MATCH(FK$3,'Standards for Conversions'!$A$34:$A$73,0)))=0,"",FL163/(INDEX('Standards for Conversions'!$H$34:$H$73,MATCH(FK$3,'Standards for Conversions'!$A$34:$A$73,0))))</f>
        <v/>
      </c>
      <c r="FN163" s="10" t="s">
        <v>45</v>
      </c>
      <c r="FO163" s="9"/>
      <c r="FP163" s="9"/>
      <c r="FQ163" s="31" t="str">
        <f>IF(FP163/(INDEX('Standards for Conversions'!$H$34:$H$73,MATCH(FO$3,'Standards for Conversions'!$A$34:$A$73,0)))=0,"",FP163/(INDEX('Standards for Conversions'!$H$34:$H$73,MATCH(FO$3,'Standards for Conversions'!$A$34:$A$73,0))))</f>
        <v/>
      </c>
      <c r="FR163" s="10" t="s">
        <v>45</v>
      </c>
      <c r="FS163" s="7"/>
      <c r="FT163" s="7"/>
      <c r="FU163" s="31" t="str">
        <f>IF(FT163/(INDEX('Standards for Conversions'!$H$34:$H$73,MATCH(FS$3,'Standards for Conversions'!$A$34:$A$73,0)))=0,"",FT163/(INDEX('Standards for Conversions'!$H$34:$H$73,MATCH(FS$3,'Standards for Conversions'!$A$34:$A$73,0))))</f>
        <v/>
      </c>
      <c r="FV163" s="10" t="s">
        <v>45</v>
      </c>
      <c r="FW163" s="7"/>
      <c r="FX163" s="7"/>
      <c r="FY163" s="31" t="str">
        <f>IF(FX163/(INDEX('Standards for Conversions'!$H$34:$H$73,MATCH(FW$3,'Standards for Conversions'!$A$34:$A$73,0)))=0,"",FX163/(INDEX('Standards for Conversions'!$H$34:$H$73,MATCH(FW$3,'Standards for Conversions'!$A$34:$A$73,0))))</f>
        <v/>
      </c>
      <c r="FZ163" s="10" t="s">
        <v>45</v>
      </c>
      <c r="GA163" s="7"/>
      <c r="GB163" s="7"/>
      <c r="GC163" s="31" t="str">
        <f>IF(GB163/(INDEX('Standards for Conversions'!$H$34:$H$73,MATCH(GA$3,'Standards for Conversions'!$A$34:$A$73,0)))=0,"",GB163/(INDEX('Standards for Conversions'!$H$34:$H$73,MATCH(GA$3,'Standards for Conversions'!$A$34:$A$73,0))))</f>
        <v/>
      </c>
      <c r="GD163" s="10" t="s">
        <v>45</v>
      </c>
      <c r="GE163" s="9"/>
      <c r="GF163" s="9"/>
      <c r="GG163" s="31" t="str">
        <f>IF(GF163/(INDEX('Standards for Conversions'!$H$34:$H$73,MATCH(GE$3,'Standards for Conversions'!$A$34:$A$73,0)))=0,"",GF163/(INDEX('Standards for Conversions'!$H$34:$H$73,MATCH(GE$3,'Standards for Conversions'!$A$34:$A$73,0))))</f>
        <v/>
      </c>
      <c r="GH163" s="10" t="s">
        <v>45</v>
      </c>
      <c r="GI163" s="7"/>
      <c r="GJ163" s="7"/>
      <c r="GK163" s="31" t="str">
        <f>IF(GJ163/(INDEX('Standards for Conversions'!$H$34:$H$73,MATCH(GI$3,'Standards for Conversions'!$A$34:$A$73,0)))=0,"",GJ163/(INDEX('Standards for Conversions'!$H$34:$H$73,MATCH(GI$3,'Standards for Conversions'!$A$34:$A$73,0))))</f>
        <v/>
      </c>
      <c r="GL163" s="10" t="s">
        <v>45</v>
      </c>
      <c r="GM163" s="7"/>
      <c r="GN163" s="7"/>
      <c r="GO163" s="31" t="str">
        <f>IF(GN163/(INDEX('Standards for Conversions'!$H$34:$H$73,MATCH(GM$3,'Standards for Conversions'!$A$34:$A$73,0)))=0,"",GN163/(INDEX('Standards for Conversions'!$H$34:$H$73,MATCH(GM$3,'Standards for Conversions'!$A$34:$A$73,0))))</f>
        <v/>
      </c>
      <c r="GP163" s="10" t="s">
        <v>45</v>
      </c>
      <c r="GQ163" s="7"/>
      <c r="GR163" s="7"/>
      <c r="GS163" s="31" t="str">
        <f>IF(GR163/(INDEX('Standards for Conversions'!$H$34:$H$73,MATCH(GQ$3,'Standards for Conversions'!$A$34:$A$73,0)))=0,"",GR163/(INDEX('Standards for Conversions'!$H$34:$H$73,MATCH(GQ$3,'Standards for Conversions'!$A$34:$A$73,0))))</f>
        <v/>
      </c>
      <c r="GT163" s="10" t="s">
        <v>45</v>
      </c>
      <c r="GU163" s="9"/>
      <c r="GV163" s="9"/>
      <c r="GW163" s="31" t="str">
        <f>IF(GV163/(INDEX('Standards for Conversions'!$H$34:$H$73,MATCH(GU$3,'Standards for Conversions'!$A$34:$A$73,0)))=0,"",GV163/(INDEX('Standards for Conversions'!$H$34:$H$73,MATCH(GU$3,'Standards for Conversions'!$A$34:$A$73,0))))</f>
        <v/>
      </c>
      <c r="GX163" s="10" t="s">
        <v>45</v>
      </c>
      <c r="GY163" s="7"/>
      <c r="GZ163" s="7"/>
      <c r="HA163" s="31" t="str">
        <f>IF(GZ163/(INDEX('Standards for Conversions'!$H$34:$H$73,MATCH(GY$3,'Standards for Conversions'!$A$34:$A$73,0)))=0,"",GZ163/(INDEX('Standards for Conversions'!$H$34:$H$73,MATCH(GY$3,'Standards for Conversions'!$A$34:$A$73,0))))</f>
        <v/>
      </c>
      <c r="HB163" s="10" t="s">
        <v>45</v>
      </c>
      <c r="HC163" s="7"/>
      <c r="HD163" s="7"/>
      <c r="HE163" s="31" t="str">
        <f>IF(HD163/(INDEX('Standards for Conversions'!$H$34:$H$73,MATCH(HC$3,'Standards for Conversions'!$A$34:$A$73,0)))=0,"",HD163/(INDEX('Standards for Conversions'!$H$34:$H$73,MATCH(HC$3,'Standards for Conversions'!$A$34:$A$73,0))))</f>
        <v/>
      </c>
      <c r="HF163" s="10" t="s">
        <v>45</v>
      </c>
      <c r="HG163" s="7"/>
      <c r="HH163" s="7"/>
      <c r="HI163" s="31" t="str">
        <f>IF(HH163/(INDEX('Standards for Conversions'!$H$34:$H$73,MATCH(HG$3,'Standards for Conversions'!$A$34:$A$73,0)))=0,"",HH163/(INDEX('Standards for Conversions'!$H$34:$H$73,MATCH(HG$3,'Standards for Conversions'!$A$34:$A$73,0))))</f>
        <v/>
      </c>
      <c r="HJ163" s="10" t="s">
        <v>45</v>
      </c>
      <c r="HK163" s="9"/>
      <c r="HL163" s="9"/>
      <c r="HM163" s="31" t="str">
        <f>IF(HL163/(INDEX('Standards for Conversions'!$H$34:$H$73,MATCH(HK$3,'Standards for Conversions'!$A$34:$A$73,0)))=0,"",HL163/(INDEX('Standards for Conversions'!$H$34:$H$73,MATCH(HK$3,'Standards for Conversions'!$A$34:$A$73,0))))</f>
        <v/>
      </c>
      <c r="HN163" s="10" t="s">
        <v>45</v>
      </c>
      <c r="HO163" s="7"/>
      <c r="HP163" s="7"/>
      <c r="HQ163" s="31" t="str">
        <f>IF(HP163/(INDEX('Standards for Conversions'!$H$34:$H$73,MATCH(HO$3,'Standards for Conversions'!$A$34:$A$73,0)))=0,"",HP163/(INDEX('Standards for Conversions'!$H$34:$H$73,MATCH(HO$3,'Standards for Conversions'!$A$34:$A$73,0))))</f>
        <v/>
      </c>
      <c r="HR163" s="33" t="s">
        <v>45</v>
      </c>
      <c r="HU163" s="31" t="str">
        <f>IF(HT163/(INDEX('Standards for Conversions'!$H$47:$H$73,MATCH(HS$3,'Standards for Conversions'!$A$47:$A$73,0)))=0,"",HT163/(INDEX('Standards for Conversions'!$H$47:$H$73,MATCH(HS$3,'Standards for Conversions'!$A$47:$A$73,0))))</f>
        <v/>
      </c>
      <c r="HV163" s="33" t="s">
        <v>45</v>
      </c>
      <c r="HY163" s="31" t="str">
        <f>IF(HX163/(INDEX('Standards for Conversions'!$H$47:$H$73,MATCH(HW$3,'Standards for Conversions'!$A$47:$A$73,0)))=0,"",HX163/(INDEX('Standards for Conversions'!$H$47:$H$73,MATCH(HW$3,'Standards for Conversions'!$A$47:$A$73,0))))</f>
        <v/>
      </c>
      <c r="HZ163" s="33"/>
      <c r="IA163" s="33"/>
      <c r="IB163" s="31" t="str">
        <f>IF(IA163/(INDEX('Standards for Conversions'!$H$47:$H$73,MATCH(HZ$3,'Standards for Conversions'!$A$47:$A$73,0)))=0,"",IA163/(INDEX('Standards for Conversions'!$H$47:$H$73,MATCH(HZ$3,'Standards for Conversions'!$A$47:$A$73,0))))</f>
        <v/>
      </c>
      <c r="IC163" s="33" t="s">
        <v>45</v>
      </c>
      <c r="ID163" s="29">
        <v>15</v>
      </c>
      <c r="IE163" s="29">
        <v>200</v>
      </c>
      <c r="IF163" s="31">
        <f>IF(IE163/(INDEX('Standards for Conversions'!$H$47:$H$73,MATCH(ID$3,'Standards for Conversions'!$A$47:$A$73,0)))=0,"",IE163/(INDEX('Standards for Conversions'!$H$47:$H$73,MATCH(ID$3,'Standards for Conversions'!$A$47:$A$73,0))))</f>
        <v>29.049082442571191</v>
      </c>
      <c r="IG163" s="33" t="s">
        <v>45</v>
      </c>
      <c r="IJ163" s="31" t="str">
        <f>IF(II163/(INDEX('Standards for Conversions'!$H$47:$H$73,MATCH(IH$3,'Standards for Conversions'!$A$47:$A$73,0)))=0,"",II163/(INDEX('Standards for Conversions'!$H$47:$H$73,MATCH(IH$3,'Standards for Conversions'!$A$47:$A$73,0))))</f>
        <v/>
      </c>
      <c r="IK163" s="33" t="s">
        <v>45</v>
      </c>
      <c r="IN163" s="31" t="str">
        <f>IF(IM163/(INDEX('Standards for Conversions'!$H$47:$H$73,MATCH(IL$3,'Standards for Conversions'!$A$47:$A$73,0)))=0,"",IM163/(INDEX('Standards for Conversions'!$H$47:$H$73,MATCH(IL$3,'Standards for Conversions'!$A$47:$A$73,0))))</f>
        <v/>
      </c>
      <c r="IO163" s="33" t="s">
        <v>45</v>
      </c>
      <c r="IR163" s="31" t="str">
        <f>IF(IQ163/(INDEX('Standards for Conversions'!$H$47:$H$73,MATCH(IP$3,'Standards for Conversions'!$A$47:$A$73,0)))=0,"",IQ163/(INDEX('Standards for Conversions'!$H$47:$H$73,MATCH(IP$3,'Standards for Conversions'!$A$47:$A$73,0))))</f>
        <v/>
      </c>
      <c r="IS163" s="33" t="s">
        <v>45</v>
      </c>
      <c r="IT163" s="29">
        <v>8</v>
      </c>
      <c r="IU163" s="29">
        <v>100</v>
      </c>
      <c r="IV163" s="31">
        <f>IF(IU163/(INDEX('Standards for Conversions'!$H$47:$H$73,MATCH(IT$3,'Standards for Conversions'!$A$47:$A$73,0)))=0,"",IU163/(INDEX('Standards for Conversions'!$H$47:$H$73,MATCH(IT$3,'Standards for Conversions'!$A$47:$A$73,0))))</f>
        <v>14.461022819443237</v>
      </c>
      <c r="IW163" s="33" t="s">
        <v>45</v>
      </c>
      <c r="IZ163" s="31" t="str">
        <f>IF(IY163/(INDEX('Standards for Conversions'!$H$47:$H$73,MATCH(IX$3,'Standards for Conversions'!$A$47:$A$73,0)))=0,"",IY163/(INDEX('Standards for Conversions'!$H$47:$H$73,MATCH(IX$3,'Standards for Conversions'!$A$47:$A$73,0))))</f>
        <v/>
      </c>
      <c r="JA163" s="33" t="s">
        <v>45</v>
      </c>
      <c r="JD163" s="31" t="str">
        <f>IF(JC163/(INDEX('Standards for Conversions'!$H$47:$H$73,MATCH(JB$3,'Standards for Conversions'!$A$47:$A$73,0)))=0,"",JC163/(INDEX('Standards for Conversions'!$H$47:$H$73,MATCH(JB$3,'Standards for Conversions'!$A$47:$A$73,0))))</f>
        <v/>
      </c>
      <c r="JE163" s="33" t="s">
        <v>45</v>
      </c>
      <c r="JH163" s="31" t="str">
        <f>IF(JG163/(INDEX('Standards for Conversions'!$H$47:$H$73,MATCH(JF$3,'Standards for Conversions'!$A$47:$A$73,0)))=0,"",JG163/(INDEX('Standards for Conversions'!$H$47:$H$73,MATCH(JF$3,'Standards for Conversions'!$A$47:$A$73,0))))</f>
        <v/>
      </c>
      <c r="JI163" s="48" t="s">
        <v>45</v>
      </c>
      <c r="JJ163" s="29">
        <v>17</v>
      </c>
      <c r="JK163" s="29">
        <v>150</v>
      </c>
      <c r="JL163" s="31">
        <f>IF(JK163/(INDEX('Standards for Conversions'!$H$47:$H$73,MATCH(JJ$3,'Standards for Conversions'!$A$47:$A$73,0)))=0,"",JK163/(INDEX('Standards for Conversions'!$H$47:$H$73,MATCH(JJ$3,'Standards for Conversions'!$A$47:$A$73,0))))</f>
        <v>24.264029503780304</v>
      </c>
      <c r="JM163" s="33" t="s">
        <v>45</v>
      </c>
      <c r="JP163" s="31" t="str">
        <f>IF(JO163/(INDEX('Standards for Conversions'!$H$47:$H$73,MATCH(JN$3,'Standards for Conversions'!$A$47:$A$73,0)))=0,"",JO163/(INDEX('Standards for Conversions'!$H$47:$H$73,MATCH(JN$3,'Standards for Conversions'!$A$47:$A$73,0))))</f>
        <v/>
      </c>
      <c r="JQ163" s="33" t="s">
        <v>45</v>
      </c>
      <c r="JT163" s="31" t="str">
        <f>IF(JS163/(INDEX('Standards for Conversions'!$H$47:$H$73,MATCH(JR$3,'Standards for Conversions'!$A$47:$A$73,0)))=0,"",JS163/(INDEX('Standards for Conversions'!$H$47:$H$73,MATCH(JR$3,'Standards for Conversions'!$A$47:$A$73,0))))</f>
        <v/>
      </c>
      <c r="JU163" s="33" t="s">
        <v>45</v>
      </c>
      <c r="JX163" s="31" t="str">
        <f>IF(JW163/(INDEX('Standards for Conversions'!$H$47:$H$73,MATCH(JV$3,'Standards for Conversions'!$A$47:$A$73,0)))=0,"",JW163/(INDEX('Standards for Conversions'!$H$47:$H$73,MATCH(JV$3,'Standards for Conversions'!$A$47:$A$73,0))))</f>
        <v/>
      </c>
      <c r="JY163" s="33" t="s">
        <v>45</v>
      </c>
      <c r="JZ163" s="29">
        <v>20</v>
      </c>
      <c r="KA163" s="29">
        <v>200</v>
      </c>
      <c r="KB163" s="31">
        <f>IF(KA163/(INDEX('Standards for Conversions'!$H$47:$H$73,MATCH(JZ$3,'Standards for Conversions'!$A$47:$A$73,0)))=0,"",KA163/(INDEX('Standards for Conversions'!$H$47:$H$73,MATCH(JZ$3,'Standards for Conversions'!$A$47:$A$73,0))))</f>
        <v>30.531178485559511</v>
      </c>
      <c r="KC163" s="33" t="s">
        <v>45</v>
      </c>
      <c r="KF163" s="31" t="str">
        <f>IF(KE163/(INDEX('Standards for Conversions'!$H$47:$H$73,MATCH(KD$3,'Standards for Conversions'!$A$47:$A$73,0)))=0,"",KE163/(INDEX('Standards for Conversions'!$H$47:$H$73,MATCH(KD$3,'Standards for Conversions'!$A$47:$A$73,0))))</f>
        <v/>
      </c>
      <c r="KG163" s="33" t="s">
        <v>45</v>
      </c>
      <c r="KJ163" s="31" t="str">
        <f>IF(KI163/(INDEX('Standards for Conversions'!$H$47:$H$73,MATCH(KH$3,'Standards for Conversions'!$A$47:$A$73,0)))=0,"",KI163/(INDEX('Standards for Conversions'!$H$47:$H$73,MATCH(KH$3,'Standards for Conversions'!$A$47:$A$73,0))))</f>
        <v/>
      </c>
      <c r="KK163" s="33" t="s">
        <v>45</v>
      </c>
      <c r="KN163" s="31" t="str">
        <f>IF(KM163/(INDEX('Standards for Conversions'!$H$47:$H$73,MATCH(KL$3,'Standards for Conversions'!$A$47:$A$73,0)))=0,"",KM163/(INDEX('Standards for Conversions'!$H$47:$H$73,MATCH(KL$3,'Standards for Conversions'!$A$47:$A$73,0))))</f>
        <v/>
      </c>
      <c r="KO163" s="33" t="s">
        <v>45</v>
      </c>
      <c r="KP163" s="29">
        <v>21</v>
      </c>
      <c r="KQ163" s="29">
        <v>200</v>
      </c>
      <c r="KR163" s="31">
        <f>IF(KQ163/(INDEX('Standards for Conversions'!$H$47:$H$73,MATCH(KP$3,'Standards for Conversions'!$A$47:$A$73,0)))=0,"",KQ163/(INDEX('Standards for Conversions'!$H$47:$H$73,MATCH(KP$3,'Standards for Conversions'!$A$47:$A$73,0))))</f>
        <v>26.931802381159294</v>
      </c>
      <c r="KS163" s="33" t="s">
        <v>45</v>
      </c>
      <c r="KV163" s="31" t="str">
        <f>IF(KU163/(INDEX('Standards for Conversions'!$H$47:$H$73,MATCH(KT$3,'Standards for Conversions'!$A$47:$A$73,0)))=0,"",KU163/(INDEX('Standards for Conversions'!$H$47:$H$73,MATCH(KT$3,'Standards for Conversions'!$A$47:$A$73,0))))</f>
        <v/>
      </c>
      <c r="KW163" s="33" t="s">
        <v>45</v>
      </c>
      <c r="KZ163" s="31" t="str">
        <f>IF(KY163/(INDEX('Standards for Conversions'!$H$47:$H$73,MATCH(KX$3,'Standards for Conversions'!$A$47:$A$73,0)))=0,"",KY163/(INDEX('Standards for Conversions'!$H$47:$H$73,MATCH(KX$3,'Standards for Conversions'!$A$47:$A$73,0))))</f>
        <v/>
      </c>
      <c r="LA163" s="33" t="s">
        <v>45</v>
      </c>
      <c r="LD163" s="31" t="str">
        <f>IF(LC163/(INDEX('Standards for Conversions'!$H$47:$H$73,MATCH(LB$3,'Standards for Conversions'!$A$47:$A$73,0)))=0,"",LC163/(INDEX('Standards for Conversions'!$H$47:$H$73,MATCH(LB$3,'Standards for Conversions'!$A$47:$A$73,0))))</f>
        <v/>
      </c>
      <c r="LE163" s="48" t="s">
        <v>45</v>
      </c>
      <c r="LF163" s="29">
        <v>9</v>
      </c>
      <c r="LG163" s="29">
        <v>155</v>
      </c>
      <c r="LH163" s="31">
        <f>IF(LG163/(INDEX('Standards for Conversions'!$H$47:$H$73,MATCH(LF$3,'Standards for Conversions'!$A$47:$A$73,0)))=0,"",LG163/(INDEX('Standards for Conversions'!$H$47:$H$73,MATCH(LF$3,'Standards for Conversions'!$A$47:$A$73,0))))</f>
        <v>18.850567842762374</v>
      </c>
      <c r="LL163" s="31" t="str">
        <f>IF(LK163/(INDEX('Standards for Conversions'!$H$47:$H$73,MATCH(LJ$3,'Standards for Conversions'!$A$47:$A$73,0)))=0,"",LK163/(INDEX('Standards for Conversions'!$H$47:$H$73,MATCH(LJ$3,'Standards for Conversions'!$A$47:$A$73,0))))</f>
        <v/>
      </c>
      <c r="LO163" s="31" t="str">
        <f>IF(LN163/(INDEX('Standards for Conversions'!$H$47:$H$73,MATCH(LM$3,'Standards for Conversions'!$A$47:$A$73,0)))=0,"",LN163/(INDEX('Standards for Conversions'!$H$47:$H$73,MATCH(LM$3,'Standards for Conversions'!$A$47:$A$73,0))))</f>
        <v/>
      </c>
      <c r="LR163" s="31" t="str">
        <f>IF(LQ163/(INDEX('Standards for Conversions'!$H$47:$H$73,MATCH(LP$3,'Standards for Conversions'!$A$47:$A$73,0)))=0,"",LQ163/(INDEX('Standards for Conversions'!$H$47:$H$73,MATCH(LP$3,'Standards for Conversions'!$A$47:$A$73,0))))</f>
        <v/>
      </c>
      <c r="LV163" s="31" t="str">
        <f>IF(LU163/(INDEX('Standards for Conversions'!$H$47:$H$73,MATCH(LT$3,'Standards for Conversions'!$A$47:$A$73,0)))=0,"",LU163/(INDEX('Standards for Conversions'!$H$47:$H$73,MATCH(LT$3,'Standards for Conversions'!$A$47:$A$73,0))))</f>
        <v/>
      </c>
      <c r="LY163" s="31" t="str">
        <f>IF(LX163/(INDEX('Standards for Conversions'!$H$47:$H$73,MATCH(LW$3,'Standards for Conversions'!$A$47:$A$73,0)))=0,"",LX163/(INDEX('Standards for Conversions'!$H$47:$H$73,MATCH(LW$3,'Standards for Conversions'!$A$47:$A$73,0))))</f>
        <v/>
      </c>
      <c r="MB163" s="31" t="str">
        <f>IF(MA163/(INDEX('Standards for Conversions'!$H$47:$H$73,MATCH(LZ$3,'Standards for Conversions'!$A$47:$A$73,0)))=0,"",MA163/(INDEX('Standards for Conversions'!$H$47:$H$73,MATCH(LZ$3,'Standards for Conversions'!$A$47:$A$73,0))))</f>
        <v/>
      </c>
      <c r="ME163" s="31" t="str">
        <f>IF(MD163/(INDEX('Standards for Conversions'!$H$47:$H$73,MATCH(MC$3,'Standards for Conversions'!$A$47:$A$73,0)))=0,"",MD163/(INDEX('Standards for Conversions'!$H$47:$H$73,MATCH(MC$3,'Standards for Conversions'!$A$47:$A$73,0))))</f>
        <v/>
      </c>
      <c r="MH163" s="31" t="str">
        <f>IF(MG163/(INDEX('Standards for Conversions'!$H$47:$H$73,MATCH(MF$3,'Standards for Conversions'!$A$47:$A$73,0)))=0,"",MG163/(INDEX('Standards for Conversions'!$H$47:$H$73,MATCH(MF$3,'Standards for Conversions'!$A$47:$A$73,0))))</f>
        <v/>
      </c>
      <c r="MK163" s="31" t="str">
        <f>IF(MJ163/(INDEX('Standards for Conversions'!$H$47:$H$73,MATCH(MI$3,'Standards for Conversions'!$A$47:$A$73,0)))=0,"",MJ163/(INDEX('Standards for Conversions'!$H$47:$H$73,MATCH(MI$3,'Standards for Conversions'!$A$47:$A$73,0))))</f>
        <v/>
      </c>
      <c r="MN163" s="31" t="str">
        <f>IF(MM163/(INDEX('Standards for Conversions'!$H$47:$H$73,MATCH(ML$3,'Standards for Conversions'!$A$47:$A$73,0)))=0,"",MM163/(INDEX('Standards for Conversions'!$H$47:$H$73,MATCH(ML$3,'Standards for Conversions'!$A$47:$A$73,0))))</f>
        <v/>
      </c>
      <c r="MP163" s="33"/>
      <c r="MR163" s="31" t="str">
        <f>IF(MQ163/(INDEX('Standards for Conversions'!$H$47:$H$73,MATCH(MP$3,'Standards for Conversions'!$A$47:$A$73,0)))=0,"",MQ163/(INDEX('Standards for Conversions'!$H$47:$H$73,MATCH(MP$3,'Standards for Conversions'!$A$47:$A$73,0))))</f>
        <v/>
      </c>
    </row>
    <row r="164" spans="1:373" hidden="1" x14ac:dyDescent="0.3">
      <c r="A164" s="103" t="s">
        <v>323</v>
      </c>
      <c r="B164" s="10" t="s">
        <v>45</v>
      </c>
      <c r="C164" s="7"/>
      <c r="D164" s="7"/>
      <c r="E164" s="31" t="str">
        <f>IF(D164/(INDEX('Standards for Conversions'!$H$34:$H$73,MATCH(C$3,'Standards for Conversions'!$A$34:$A$73,0)))=0,"",D164/(INDEX('Standards for Conversions'!$H$34:$H$73,MATCH(C$3,'Standards for Conversions'!$A$34:$A$73,0))))</f>
        <v/>
      </c>
      <c r="F164" s="10" t="s">
        <v>45</v>
      </c>
      <c r="G164" s="7"/>
      <c r="H164" s="7"/>
      <c r="I164" s="31" t="str">
        <f>IF(H164/(INDEX('Standards for Conversions'!$H$34:$H$73,MATCH(G$3,'Standards for Conversions'!$A$34:$A$73,0)))=0,"",H164/(INDEX('Standards for Conversions'!$H$34:$H$73,MATCH(G$3,'Standards for Conversions'!$A$34:$A$73,0))))</f>
        <v/>
      </c>
      <c r="J164" s="10" t="s">
        <v>45</v>
      </c>
      <c r="K164" s="7"/>
      <c r="L164" s="7"/>
      <c r="M164" s="31" t="str">
        <f>IF(L164/(INDEX('Standards for Conversions'!$H$34:$H$73,MATCH(K$3,'Standards for Conversions'!$A$34:$A$73,0)))=0,"",L164/(INDEX('Standards for Conversions'!$H$34:$H$73,MATCH(K$3,'Standards for Conversions'!$A$34:$A$73,0))))</f>
        <v/>
      </c>
      <c r="N164" s="10" t="s">
        <v>45</v>
      </c>
      <c r="O164" s="7"/>
      <c r="P164" s="7"/>
      <c r="Q164" s="31" t="str">
        <f>IF(P164/(INDEX('Standards for Conversions'!$H$34:$H$73,MATCH(O$3,'Standards for Conversions'!$A$34:$A$73,0)))=0,"",P164/(INDEX('Standards for Conversions'!$H$34:$H$73,MATCH(O$3,'Standards for Conversions'!$A$34:$A$73,0))))</f>
        <v/>
      </c>
      <c r="R164" s="10" t="s">
        <v>45</v>
      </c>
      <c r="S164" s="7"/>
      <c r="T164" s="7"/>
      <c r="U164" s="31" t="str">
        <f>IF(T164/(INDEX('Standards for Conversions'!$H$34:$H$73,MATCH(S$3,'Standards for Conversions'!$A$34:$A$73,0)))=0,"",T164/(INDEX('Standards for Conversions'!$H$34:$H$73,MATCH(S$3,'Standards for Conversions'!$A$34:$A$73,0))))</f>
        <v/>
      </c>
      <c r="V164" s="10" t="s">
        <v>45</v>
      </c>
      <c r="W164" s="7"/>
      <c r="X164" s="7"/>
      <c r="Y164" s="31" t="str">
        <f>IF(X164/(INDEX('Standards for Conversions'!$H$34:$H$73,MATCH(W$3,'Standards for Conversions'!$A$34:$A$73,0)))=0,"",X164/(INDEX('Standards for Conversions'!$H$34:$H$73,MATCH(W$3,'Standards for Conversions'!$A$34:$A$73,0))))</f>
        <v/>
      </c>
      <c r="Z164" s="10" t="s">
        <v>45</v>
      </c>
      <c r="AA164" s="7"/>
      <c r="AB164" s="7"/>
      <c r="AC164" s="31" t="str">
        <f>IF(AB164/(INDEX('Standards for Conversions'!$H$34:$H$73,MATCH(AA$3,'Standards for Conversions'!$A$34:$A$73,0)))=0,"",AB164/(INDEX('Standards for Conversions'!$H$34:$H$73,MATCH(AA$3,'Standards for Conversions'!$A$34:$A$73,0))))</f>
        <v/>
      </c>
      <c r="AD164" s="10" t="s">
        <v>45</v>
      </c>
      <c r="AE164" s="7"/>
      <c r="AF164" s="7"/>
      <c r="AG164" s="31" t="str">
        <f>IF(AF164/(INDEX('Standards for Conversions'!$H$34:$H$73,MATCH(AE$3,'Standards for Conversions'!$A$34:$A$73,0)))=0,"",AF164/(INDEX('Standards for Conversions'!$H$34:$H$73,MATCH(AE$3,'Standards for Conversions'!$A$34:$A$73,0))))</f>
        <v/>
      </c>
      <c r="AH164" s="10" t="s">
        <v>45</v>
      </c>
      <c r="AI164" s="7"/>
      <c r="AJ164" s="7"/>
      <c r="AK164" s="31" t="str">
        <f>IF(AJ164/(INDEX('Standards for Conversions'!$H$34:$H$73,MATCH(AI$3,'Standards for Conversions'!$A$34:$A$73,0)))=0,"",AJ164/(INDEX('Standards for Conversions'!$H$34:$H$73,MATCH(AI$3,'Standards for Conversions'!$A$34:$A$73,0))))</f>
        <v/>
      </c>
      <c r="AL164" s="10" t="s">
        <v>45</v>
      </c>
      <c r="AM164" s="7"/>
      <c r="AN164" s="7"/>
      <c r="AO164" s="31" t="str">
        <f>IF(AN164/(INDEX('Standards for Conversions'!$H$34:$H$73,MATCH(AM$3,'Standards for Conversions'!$A$34:$A$73,0)))=0,"",AN164/(INDEX('Standards for Conversions'!$H$34:$H$73,MATCH(AM$3,'Standards for Conversions'!$A$34:$A$73,0))))</f>
        <v/>
      </c>
      <c r="AP164" s="10" t="s">
        <v>45</v>
      </c>
      <c r="AQ164" s="7"/>
      <c r="AR164" s="7"/>
      <c r="AS164" s="31" t="str">
        <f>IF(AR164/(INDEX('Standards for Conversions'!$H$34:$H$73,MATCH(AQ$3,'Standards for Conversions'!$A$34:$A$73,0)))=0,"",AR164/(INDEX('Standards for Conversions'!$H$34:$H$73,MATCH(AQ$3,'Standards for Conversions'!$A$34:$A$73,0))))</f>
        <v/>
      </c>
      <c r="AT164" s="10" t="s">
        <v>45</v>
      </c>
      <c r="AU164" s="7"/>
      <c r="AV164" s="7"/>
      <c r="AW164" s="31" t="str">
        <f>IF(AV164/(INDEX('Standards for Conversions'!$H$34:$H$73,MATCH(AU$3,'Standards for Conversions'!$A$34:$A$73,0)))=0,"",AV164/(INDEX('Standards for Conversions'!$H$34:$H$73,MATCH(AU$3,'Standards for Conversions'!$A$34:$A$73,0))))</f>
        <v/>
      </c>
      <c r="AX164" s="10" t="s">
        <v>45</v>
      </c>
      <c r="AY164" s="7"/>
      <c r="AZ164" s="7"/>
      <c r="BA164" s="31" t="str">
        <f>IF(AZ164/(INDEX('Standards for Conversions'!$H$34:$H$73,MATCH(AY$3,'Standards for Conversions'!$A$34:$A$73,0)))=0,"",AZ164/(INDEX('Standards for Conversions'!$H$34:$H$73,MATCH(AY$3,'Standards for Conversions'!$A$34:$A$73,0))))</f>
        <v/>
      </c>
      <c r="BB164" s="10" t="s">
        <v>45</v>
      </c>
      <c r="BC164" s="7"/>
      <c r="BD164" s="7"/>
      <c r="BE164" s="31" t="str">
        <f>IF(BD164/(INDEX('Standards for Conversions'!$H$34:$H$73,MATCH(BC$3,'Standards for Conversions'!$A$34:$A$73,0)))=0,"",BD164/(INDEX('Standards for Conversions'!$H$34:$H$73,MATCH(BC$3,'Standards for Conversions'!$A$34:$A$73,0))))</f>
        <v/>
      </c>
      <c r="BF164" s="10" t="s">
        <v>45</v>
      </c>
      <c r="BG164" s="7"/>
      <c r="BH164" s="7"/>
      <c r="BI164" s="31" t="str">
        <f>IF(BH164/(INDEX('Standards for Conversions'!$H$34:$H$73,MATCH(BG$3,'Standards for Conversions'!$A$34:$A$73,0)))=0,"",BH164/(INDEX('Standards for Conversions'!$H$34:$H$73,MATCH(BG$3,'Standards for Conversions'!$A$34:$A$73,0))))</f>
        <v/>
      </c>
      <c r="BJ164" s="10" t="s">
        <v>45</v>
      </c>
      <c r="BK164" s="7"/>
      <c r="BL164" s="7"/>
      <c r="BM164" s="31" t="str">
        <f>IF(BL164/(INDEX('Standards for Conversions'!$H$34:$H$73,MATCH(BK$3,'Standards for Conversions'!$A$34:$A$73,0)))=0,"",BL164/(INDEX('Standards for Conversions'!$H$34:$H$73,MATCH(BK$3,'Standards for Conversions'!$A$34:$A$73,0))))</f>
        <v/>
      </c>
      <c r="BN164" s="10" t="s">
        <v>45</v>
      </c>
      <c r="BO164" s="7"/>
      <c r="BP164" s="7"/>
      <c r="BQ164" s="31" t="str">
        <f>IF(BP164/(INDEX('Standards for Conversions'!$H$34:$H$73,MATCH(BO$3,'Standards for Conversions'!$A$34:$A$73,0)))=0,"",BP164/(INDEX('Standards for Conversions'!$H$34:$H$73,MATCH(BO$3,'Standards for Conversions'!$A$34:$A$73,0))))</f>
        <v/>
      </c>
      <c r="BR164" s="10" t="s">
        <v>45</v>
      </c>
      <c r="BS164" s="7"/>
      <c r="BT164" s="7"/>
      <c r="BU164" s="31" t="str">
        <f>IF(BT164/(INDEX('Standards for Conversions'!$H$34:$H$73,MATCH(BS$3,'Standards for Conversions'!$A$34:$A$73,0)))=0,"",BT164/(INDEX('Standards for Conversions'!$H$34:$H$73,MATCH(BS$3,'Standards for Conversions'!$A$34:$A$73,0))))</f>
        <v/>
      </c>
      <c r="BV164" s="10" t="s">
        <v>45</v>
      </c>
      <c r="BW164" s="7"/>
      <c r="BX164" s="7"/>
      <c r="BY164" s="31" t="str">
        <f>IF(BX164/(INDEX('Standards for Conversions'!$H$34:$H$73,MATCH(BW$3,'Standards for Conversions'!$A$34:$A$73,0)))=0,"",BX164/(INDEX('Standards for Conversions'!$H$34:$H$73,MATCH(BW$3,'Standards for Conversions'!$A$34:$A$73,0))))</f>
        <v/>
      </c>
      <c r="BZ164" s="10" t="s">
        <v>45</v>
      </c>
      <c r="CA164" s="7"/>
      <c r="CB164" s="7"/>
      <c r="CC164" s="31" t="str">
        <f>IF(CB164/(INDEX('Standards for Conversions'!$H$34:$H$73,MATCH(CA$3,'Standards for Conversions'!$A$34:$A$73,0)))=0,"",CB164/(INDEX('Standards for Conversions'!$H$34:$H$73,MATCH(CA$3,'Standards for Conversions'!$A$34:$A$73,0))))</f>
        <v/>
      </c>
      <c r="CD164" s="10" t="s">
        <v>45</v>
      </c>
      <c r="CE164" s="7"/>
      <c r="CF164" s="7"/>
      <c r="CG164" s="31" t="str">
        <f>IF(CF164/(INDEX('Standards for Conversions'!$H$34:$H$73,MATCH(CE$3,'Standards for Conversions'!$A$34:$A$73,0)))=0,"",CF164/(INDEX('Standards for Conversions'!$H$34:$H$73,MATCH(CE$3,'Standards for Conversions'!$A$34:$A$73,0))))</f>
        <v/>
      </c>
      <c r="CH164" s="10" t="s">
        <v>45</v>
      </c>
      <c r="CI164" s="7"/>
      <c r="CJ164" s="7"/>
      <c r="CK164" s="31" t="str">
        <f>IF(CJ164/(INDEX('Standards for Conversions'!$H$34:$H$73,MATCH(CI$3,'Standards for Conversions'!$A$34:$A$73,0)))=0,"",CJ164/(INDEX('Standards for Conversions'!$H$34:$H$73,MATCH(CI$3,'Standards for Conversions'!$A$34:$A$73,0))))</f>
        <v/>
      </c>
      <c r="CL164" s="10" t="s">
        <v>45</v>
      </c>
      <c r="CM164" s="7"/>
      <c r="CN164" s="7"/>
      <c r="CO164" s="31" t="str">
        <f>IF(CN164/(INDEX('Standards for Conversions'!$H$34:$H$73,MATCH(CM$3,'Standards for Conversions'!$A$34:$A$73,0)))=0,"",CN164/(INDEX('Standards for Conversions'!$H$34:$H$73,MATCH(CM$3,'Standards for Conversions'!$A$34:$A$73,0))))</f>
        <v/>
      </c>
      <c r="CP164" s="10" t="s">
        <v>45</v>
      </c>
      <c r="CQ164" s="7"/>
      <c r="CR164" s="7"/>
      <c r="CS164" s="31" t="str">
        <f>IF(CR164/(INDEX('Standards for Conversions'!$H$34:$H$73,MATCH(CQ$3,'Standards for Conversions'!$A$34:$A$73,0)))=0,"",CR164/(INDEX('Standards for Conversions'!$H$34:$H$73,MATCH(CQ$3,'Standards for Conversions'!$A$34:$A$73,0))))</f>
        <v/>
      </c>
      <c r="CT164" s="10" t="s">
        <v>45</v>
      </c>
      <c r="CU164" s="7"/>
      <c r="CV164" s="7"/>
      <c r="CW164" s="31" t="str">
        <f>IF(CV164/(INDEX('Standards for Conversions'!$H$34:$H$73,MATCH(CU$3,'Standards for Conversions'!$A$34:$A$73,0)))=0,"",CV164/(INDEX('Standards for Conversions'!$H$34:$H$73,MATCH(CU$3,'Standards for Conversions'!$A$34:$A$73,0))))</f>
        <v/>
      </c>
      <c r="CX164" s="10" t="s">
        <v>45</v>
      </c>
      <c r="CY164" s="7"/>
      <c r="CZ164" s="7"/>
      <c r="DA164" s="31" t="str">
        <f>IF(CZ164/(INDEX('Standards for Conversions'!$H$34:$H$73,MATCH(CY$3,'Standards for Conversions'!$A$34:$A$73,0)))=0,"",CZ164/(INDEX('Standards for Conversions'!$H$34:$H$73,MATCH(CY$3,'Standards for Conversions'!$A$34:$A$73,0))))</f>
        <v/>
      </c>
      <c r="DB164" s="10" t="s">
        <v>45</v>
      </c>
      <c r="DC164" s="7"/>
      <c r="DD164" s="7"/>
      <c r="DE164" s="31" t="str">
        <f>IF(DD164/(INDEX('Standards for Conversions'!$H$34:$H$73,MATCH(DC$3,'Standards for Conversions'!$A$34:$A$73,0)))=0,"",DD164/(INDEX('Standards for Conversions'!$H$34:$H$73,MATCH(DC$3,'Standards for Conversions'!$A$34:$A$73,0))))</f>
        <v/>
      </c>
      <c r="DF164" s="10" t="s">
        <v>45</v>
      </c>
      <c r="DG164" s="7"/>
      <c r="DH164" s="7"/>
      <c r="DI164" s="31" t="str">
        <f>IF(DH164/(INDEX('Standards for Conversions'!$H$34:$H$73,MATCH(DG$3,'Standards for Conversions'!$A$34:$A$73,0)))=0,"",DH164/(INDEX('Standards for Conversions'!$H$34:$H$73,MATCH(DG$3,'Standards for Conversions'!$A$34:$A$73,0))))</f>
        <v/>
      </c>
      <c r="DJ164" s="10" t="s">
        <v>45</v>
      </c>
      <c r="DK164" s="7"/>
      <c r="DL164" s="7"/>
      <c r="DM164" s="31" t="str">
        <f>IF(DL164/(INDEX('Standards for Conversions'!$H$34:$H$73,MATCH(DK$3,'Standards for Conversions'!$A$34:$A$73,0)))=0,"",DL164/(INDEX('Standards for Conversions'!$H$34:$H$73,MATCH(DK$3,'Standards for Conversions'!$A$34:$A$73,0))))</f>
        <v/>
      </c>
      <c r="DN164" s="10" t="s">
        <v>45</v>
      </c>
      <c r="DO164" s="7"/>
      <c r="DP164" s="7"/>
      <c r="DQ164" s="31" t="str">
        <f>IF(DP164/(INDEX('Standards for Conversions'!$H$34:$H$73,MATCH(DO$3,'Standards for Conversions'!$A$34:$A$73,0)))=0,"",DP164/(INDEX('Standards for Conversions'!$H$34:$H$73,MATCH(DO$3,'Standards for Conversions'!$A$34:$A$73,0))))</f>
        <v/>
      </c>
      <c r="DR164" s="10" t="s">
        <v>45</v>
      </c>
      <c r="DS164" s="7"/>
      <c r="DT164" s="7"/>
      <c r="DU164" s="31" t="str">
        <f>IF(DT164/(INDEX('Standards for Conversions'!$H$34:$H$73,MATCH(DS$3,'Standards for Conversions'!$A$34:$A$73,0)))=0,"",DT164/(INDEX('Standards for Conversions'!$H$34:$H$73,MATCH(DS$3,'Standards for Conversions'!$A$34:$A$73,0))))</f>
        <v/>
      </c>
      <c r="DV164" s="10" t="s">
        <v>45</v>
      </c>
      <c r="DW164" s="7"/>
      <c r="DX164" s="7"/>
      <c r="DY164" s="31" t="str">
        <f>IF(DX164/(INDEX('Standards for Conversions'!$H$34:$H$73,MATCH(DW$3,'Standards for Conversions'!$A$34:$A$73,0)))=0,"",DX164/(INDEX('Standards for Conversions'!$H$34:$H$73,MATCH(DW$3,'Standards for Conversions'!$A$34:$A$73,0))))</f>
        <v/>
      </c>
      <c r="DZ164" s="10" t="s">
        <v>45</v>
      </c>
      <c r="EA164" s="7"/>
      <c r="EB164" s="7"/>
      <c r="EC164" s="31" t="str">
        <f>IF(EB164/(INDEX('Standards for Conversions'!$H$34:$H$73,MATCH(EA$3,'Standards for Conversions'!$A$34:$A$73,0)))=0,"",EB164/(INDEX('Standards for Conversions'!$H$34:$H$73,MATCH(EA$3,'Standards for Conversions'!$A$34:$A$73,0))))</f>
        <v/>
      </c>
      <c r="ED164" s="10" t="s">
        <v>45</v>
      </c>
      <c r="EE164" s="7"/>
      <c r="EF164" s="7"/>
      <c r="EG164" s="31" t="str">
        <f>IF(EF164/(INDEX('Standards for Conversions'!$H$34:$H$73,MATCH(EE$3,'Standards for Conversions'!$A$34:$A$73,0)))=0,"",EF164/(INDEX('Standards for Conversions'!$H$34:$H$73,MATCH(EE$3,'Standards for Conversions'!$A$34:$A$73,0))))</f>
        <v/>
      </c>
      <c r="EH164" s="10" t="s">
        <v>45</v>
      </c>
      <c r="EI164" s="7"/>
      <c r="EJ164" s="7"/>
      <c r="EK164" s="31" t="str">
        <f>IF(EJ164/(INDEX('Standards for Conversions'!$H$34:$H$73,MATCH(EI$3,'Standards for Conversions'!$A$34:$A$73,0)))=0,"",EJ164/(INDEX('Standards for Conversions'!$H$34:$H$73,MATCH(EI$3,'Standards for Conversions'!$A$34:$A$73,0))))</f>
        <v/>
      </c>
      <c r="EL164" s="10" t="s">
        <v>45</v>
      </c>
      <c r="EM164" s="7"/>
      <c r="EN164" s="7"/>
      <c r="EO164" s="31" t="str">
        <f>IF(EN164/(INDEX('Standards for Conversions'!$H$34:$H$73,MATCH(EM$3,'Standards for Conversions'!$A$34:$A$73,0)))=0,"",EN164/(INDEX('Standards for Conversions'!$H$34:$H$73,MATCH(EM$3,'Standards for Conversions'!$A$34:$A$73,0))))</f>
        <v/>
      </c>
      <c r="EP164" s="10" t="s">
        <v>45</v>
      </c>
      <c r="EQ164" s="7"/>
      <c r="ER164" s="7"/>
      <c r="ES164" s="31" t="str">
        <f>IF(ER164/(INDEX('Standards for Conversions'!$H$34:$H$73,MATCH(EQ$3,'Standards for Conversions'!$A$34:$A$73,0)))=0,"",ER164/(INDEX('Standards for Conversions'!$H$34:$H$73,MATCH(EQ$3,'Standards for Conversions'!$A$34:$A$73,0))))</f>
        <v/>
      </c>
      <c r="ET164" s="10" t="s">
        <v>45</v>
      </c>
      <c r="EU164" s="7"/>
      <c r="EV164" s="7"/>
      <c r="EW164" s="31" t="str">
        <f>IF(EV164/(INDEX('Standards for Conversions'!$H$34:$H$73,MATCH(EU$3,'Standards for Conversions'!$A$34:$A$73,0)))=0,"",EV164/(INDEX('Standards for Conversions'!$H$34:$H$73,MATCH(EU$3,'Standards for Conversions'!$A$34:$A$73,0))))</f>
        <v/>
      </c>
      <c r="EX164" s="10" t="s">
        <v>45</v>
      </c>
      <c r="EY164" s="9"/>
      <c r="EZ164" s="9"/>
      <c r="FA164" s="31" t="str">
        <f>IF(EZ164/(INDEX('Standards for Conversions'!$H$34:$H$73,MATCH(EY$3,'Standards for Conversions'!$A$34:$A$73,0)))=0,"",EZ164/(INDEX('Standards for Conversions'!$H$34:$H$73,MATCH(EY$3,'Standards for Conversions'!$A$34:$A$73,0))))</f>
        <v/>
      </c>
      <c r="FB164" s="10" t="s">
        <v>45</v>
      </c>
      <c r="FC164" s="7"/>
      <c r="FD164" s="7"/>
      <c r="FE164" s="31" t="str">
        <f>IF(FD164/(INDEX('Standards for Conversions'!$H$34:$H$73,MATCH(FC$3,'Standards for Conversions'!$A$34:$A$73,0)))=0,"",FD164/(INDEX('Standards for Conversions'!$H$34:$H$73,MATCH(FC$3,'Standards for Conversions'!$A$34:$A$73,0))))</f>
        <v/>
      </c>
      <c r="FF164" s="10" t="s">
        <v>45</v>
      </c>
      <c r="FG164" s="7"/>
      <c r="FH164" s="7"/>
      <c r="FI164" s="31" t="str">
        <f>IF(FH164/(INDEX('Standards for Conversions'!$H$34:$H$73,MATCH(FG$3,'Standards for Conversions'!$A$34:$A$73,0)))=0,"",FH164/(INDEX('Standards for Conversions'!$H$34:$H$73,MATCH(FG$3,'Standards for Conversions'!$A$34:$A$73,0))))</f>
        <v/>
      </c>
      <c r="FJ164" s="10" t="s">
        <v>45</v>
      </c>
      <c r="FK164" s="7"/>
      <c r="FL164" s="7"/>
      <c r="FM164" s="31" t="str">
        <f>IF(FL164/(INDEX('Standards for Conversions'!$H$34:$H$73,MATCH(FK$3,'Standards for Conversions'!$A$34:$A$73,0)))=0,"",FL164/(INDEX('Standards for Conversions'!$H$34:$H$73,MATCH(FK$3,'Standards for Conversions'!$A$34:$A$73,0))))</f>
        <v/>
      </c>
      <c r="FN164" s="10" t="s">
        <v>45</v>
      </c>
      <c r="FO164" s="9"/>
      <c r="FP164" s="9"/>
      <c r="FQ164" s="31" t="str">
        <f>IF(FP164/(INDEX('Standards for Conversions'!$H$34:$H$73,MATCH(FO$3,'Standards for Conversions'!$A$34:$A$73,0)))=0,"",FP164/(INDEX('Standards for Conversions'!$H$34:$H$73,MATCH(FO$3,'Standards for Conversions'!$A$34:$A$73,0))))</f>
        <v/>
      </c>
      <c r="FR164" s="10" t="s">
        <v>45</v>
      </c>
      <c r="FS164" s="7"/>
      <c r="FT164" s="7"/>
      <c r="FU164" s="31" t="str">
        <f>IF(FT164/(INDEX('Standards for Conversions'!$H$34:$H$73,MATCH(FS$3,'Standards for Conversions'!$A$34:$A$73,0)))=0,"",FT164/(INDEX('Standards for Conversions'!$H$34:$H$73,MATCH(FS$3,'Standards for Conversions'!$A$34:$A$73,0))))</f>
        <v/>
      </c>
      <c r="FV164" s="10" t="s">
        <v>45</v>
      </c>
      <c r="FW164" s="7"/>
      <c r="FX164" s="7"/>
      <c r="FY164" s="31" t="str">
        <f>IF(FX164/(INDEX('Standards for Conversions'!$H$34:$H$73,MATCH(FW$3,'Standards for Conversions'!$A$34:$A$73,0)))=0,"",FX164/(INDEX('Standards for Conversions'!$H$34:$H$73,MATCH(FW$3,'Standards for Conversions'!$A$34:$A$73,0))))</f>
        <v/>
      </c>
      <c r="FZ164" s="10" t="s">
        <v>45</v>
      </c>
      <c r="GA164" s="7"/>
      <c r="GB164" s="7"/>
      <c r="GC164" s="31" t="str">
        <f>IF(GB164/(INDEX('Standards for Conversions'!$H$34:$H$73,MATCH(GA$3,'Standards for Conversions'!$A$34:$A$73,0)))=0,"",GB164/(INDEX('Standards for Conversions'!$H$34:$H$73,MATCH(GA$3,'Standards for Conversions'!$A$34:$A$73,0))))</f>
        <v/>
      </c>
      <c r="GD164" s="10" t="s">
        <v>45</v>
      </c>
      <c r="GE164" s="9"/>
      <c r="GF164" s="9"/>
      <c r="GG164" s="31" t="str">
        <f>IF(GF164/(INDEX('Standards for Conversions'!$H$34:$H$73,MATCH(GE$3,'Standards for Conversions'!$A$34:$A$73,0)))=0,"",GF164/(INDEX('Standards for Conversions'!$H$34:$H$73,MATCH(GE$3,'Standards for Conversions'!$A$34:$A$73,0))))</f>
        <v/>
      </c>
      <c r="GH164" s="10" t="s">
        <v>45</v>
      </c>
      <c r="GI164" s="7"/>
      <c r="GJ164" s="7"/>
      <c r="GK164" s="31" t="str">
        <f>IF(GJ164/(INDEX('Standards for Conversions'!$H$34:$H$73,MATCH(GI$3,'Standards for Conversions'!$A$34:$A$73,0)))=0,"",GJ164/(INDEX('Standards for Conversions'!$H$34:$H$73,MATCH(GI$3,'Standards for Conversions'!$A$34:$A$73,0))))</f>
        <v/>
      </c>
      <c r="GL164" s="10" t="s">
        <v>45</v>
      </c>
      <c r="GM164" s="7"/>
      <c r="GN164" s="7"/>
      <c r="GO164" s="31" t="str">
        <f>IF(GN164/(INDEX('Standards for Conversions'!$H$34:$H$73,MATCH(GM$3,'Standards for Conversions'!$A$34:$A$73,0)))=0,"",GN164/(INDEX('Standards for Conversions'!$H$34:$H$73,MATCH(GM$3,'Standards for Conversions'!$A$34:$A$73,0))))</f>
        <v/>
      </c>
      <c r="GP164" s="10" t="s">
        <v>45</v>
      </c>
      <c r="GQ164" s="7"/>
      <c r="GR164" s="7"/>
      <c r="GS164" s="31" t="str">
        <f>IF(GR164/(INDEX('Standards for Conversions'!$H$34:$H$73,MATCH(GQ$3,'Standards for Conversions'!$A$34:$A$73,0)))=0,"",GR164/(INDEX('Standards for Conversions'!$H$34:$H$73,MATCH(GQ$3,'Standards for Conversions'!$A$34:$A$73,0))))</f>
        <v/>
      </c>
      <c r="GT164" s="10" t="s">
        <v>45</v>
      </c>
      <c r="GU164" s="9"/>
      <c r="GV164" s="9"/>
      <c r="GW164" s="31" t="str">
        <f>IF(GV164/(INDEX('Standards for Conversions'!$H$34:$H$73,MATCH(GU$3,'Standards for Conversions'!$A$34:$A$73,0)))=0,"",GV164/(INDEX('Standards for Conversions'!$H$34:$H$73,MATCH(GU$3,'Standards for Conversions'!$A$34:$A$73,0))))</f>
        <v/>
      </c>
      <c r="GX164" s="10" t="s">
        <v>45</v>
      </c>
      <c r="GY164" s="7"/>
      <c r="GZ164" s="7"/>
      <c r="HA164" s="31" t="str">
        <f>IF(GZ164/(INDEX('Standards for Conversions'!$H$34:$H$73,MATCH(GY$3,'Standards for Conversions'!$A$34:$A$73,0)))=0,"",GZ164/(INDEX('Standards for Conversions'!$H$34:$H$73,MATCH(GY$3,'Standards for Conversions'!$A$34:$A$73,0))))</f>
        <v/>
      </c>
      <c r="HB164" s="10" t="s">
        <v>45</v>
      </c>
      <c r="HC164" s="7"/>
      <c r="HD164" s="7"/>
      <c r="HE164" s="31" t="str">
        <f>IF(HD164/(INDEX('Standards for Conversions'!$H$34:$H$73,MATCH(HC$3,'Standards for Conversions'!$A$34:$A$73,0)))=0,"",HD164/(INDEX('Standards for Conversions'!$H$34:$H$73,MATCH(HC$3,'Standards for Conversions'!$A$34:$A$73,0))))</f>
        <v/>
      </c>
      <c r="HF164" s="10" t="s">
        <v>45</v>
      </c>
      <c r="HG164" s="7"/>
      <c r="HH164" s="7"/>
      <c r="HI164" s="31" t="str">
        <f>IF(HH164/(INDEX('Standards for Conversions'!$H$34:$H$73,MATCH(HG$3,'Standards for Conversions'!$A$34:$A$73,0)))=0,"",HH164/(INDEX('Standards for Conversions'!$H$34:$H$73,MATCH(HG$3,'Standards for Conversions'!$A$34:$A$73,0))))</f>
        <v/>
      </c>
      <c r="HJ164" s="10" t="s">
        <v>45</v>
      </c>
      <c r="HK164" s="9"/>
      <c r="HL164" s="9"/>
      <c r="HM164" s="31" t="str">
        <f>IF(HL164/(INDEX('Standards for Conversions'!$H$34:$H$73,MATCH(HK$3,'Standards for Conversions'!$A$34:$A$73,0)))=0,"",HL164/(INDEX('Standards for Conversions'!$H$34:$H$73,MATCH(HK$3,'Standards for Conversions'!$A$34:$A$73,0))))</f>
        <v/>
      </c>
      <c r="HN164" s="10" t="s">
        <v>45</v>
      </c>
      <c r="HO164" s="7"/>
      <c r="HP164" s="7"/>
      <c r="HQ164" s="31" t="str">
        <f>IF(HP164/(INDEX('Standards for Conversions'!$H$34:$H$73,MATCH(HO$3,'Standards for Conversions'!$A$34:$A$73,0)))=0,"",HP164/(INDEX('Standards for Conversions'!$H$34:$H$73,MATCH(HO$3,'Standards for Conversions'!$A$34:$A$73,0))))</f>
        <v/>
      </c>
      <c r="HR164" s="33" t="s">
        <v>45</v>
      </c>
      <c r="HU164" s="31" t="str">
        <f>IF(HT164/(INDEX('Standards for Conversions'!$H$47:$H$73,MATCH(HS$3,'Standards for Conversions'!$A$47:$A$73,0)))=0,"",HT164/(INDEX('Standards for Conversions'!$H$47:$H$73,MATCH(HS$3,'Standards for Conversions'!$A$47:$A$73,0))))</f>
        <v/>
      </c>
      <c r="HV164" s="33" t="s">
        <v>45</v>
      </c>
      <c r="HY164" s="31" t="str">
        <f>IF(HX164/(INDEX('Standards for Conversions'!$H$47:$H$73,MATCH(HW$3,'Standards for Conversions'!$A$47:$A$73,0)))=0,"",HX164/(INDEX('Standards for Conversions'!$H$47:$H$73,MATCH(HW$3,'Standards for Conversions'!$A$47:$A$73,0))))</f>
        <v/>
      </c>
      <c r="HZ164" s="33">
        <v>12</v>
      </c>
      <c r="IA164" s="33">
        <v>2000</v>
      </c>
      <c r="IB164" s="31">
        <f>IF(IA164/(INDEX('Standards for Conversions'!$H$47:$H$73,MATCH(HZ$3,'Standards for Conversions'!$A$47:$A$73,0)))=0,"",IA164/(INDEX('Standards for Conversions'!$H$47:$H$73,MATCH(HZ$3,'Standards for Conversions'!$A$47:$A$73,0))))</f>
        <v>290.49082442571193</v>
      </c>
      <c r="IC164" s="33" t="s">
        <v>45</v>
      </c>
      <c r="IF164" s="31" t="str">
        <f>IF(IE164/(INDEX('Standards for Conversions'!$H$47:$H$73,MATCH(ID$3,'Standards for Conversions'!$A$47:$A$73,0)))=0,"",IE164/(INDEX('Standards for Conversions'!$H$47:$H$73,MATCH(ID$3,'Standards for Conversions'!$A$47:$A$73,0))))</f>
        <v/>
      </c>
      <c r="IG164" s="33" t="s">
        <v>45</v>
      </c>
      <c r="IJ164" s="31" t="str">
        <f>IF(II164/(INDEX('Standards for Conversions'!$H$47:$H$73,MATCH(IH$3,'Standards for Conversions'!$A$47:$A$73,0)))=0,"",II164/(INDEX('Standards for Conversions'!$H$47:$H$73,MATCH(IH$3,'Standards for Conversions'!$A$47:$A$73,0))))</f>
        <v/>
      </c>
      <c r="IK164" s="33" t="s">
        <v>45</v>
      </c>
      <c r="IN164" s="31" t="str">
        <f>IF(IM164/(INDEX('Standards for Conversions'!$H$47:$H$73,MATCH(IL$3,'Standards for Conversions'!$A$47:$A$73,0)))=0,"",IM164/(INDEX('Standards for Conversions'!$H$47:$H$73,MATCH(IL$3,'Standards for Conversions'!$A$47:$A$73,0))))</f>
        <v/>
      </c>
      <c r="IO164" s="33" t="s">
        <v>45</v>
      </c>
      <c r="IP164" s="29">
        <v>13</v>
      </c>
      <c r="IQ164" s="29">
        <v>1225</v>
      </c>
      <c r="IR164" s="31">
        <f>IF(IQ164/(INDEX('Standards for Conversions'!$H$47:$H$73,MATCH(IP$3,'Standards for Conversions'!$A$47:$A$73,0)))=0,"",IQ164/(INDEX('Standards for Conversions'!$H$47:$H$73,MATCH(IP$3,'Standards for Conversions'!$A$47:$A$73,0))))</f>
        <v>177.14752953817964</v>
      </c>
      <c r="IS164" s="33" t="s">
        <v>45</v>
      </c>
      <c r="IV164" s="31" t="str">
        <f>IF(IU164/(INDEX('Standards for Conversions'!$H$47:$H$73,MATCH(IT$3,'Standards for Conversions'!$A$47:$A$73,0)))=0,"",IU164/(INDEX('Standards for Conversions'!$H$47:$H$73,MATCH(IT$3,'Standards for Conversions'!$A$47:$A$73,0))))</f>
        <v/>
      </c>
      <c r="IW164" s="33" t="s">
        <v>45</v>
      </c>
      <c r="IZ164" s="31" t="str">
        <f>IF(IY164/(INDEX('Standards for Conversions'!$H$47:$H$73,MATCH(IX$3,'Standards for Conversions'!$A$47:$A$73,0)))=0,"",IY164/(INDEX('Standards for Conversions'!$H$47:$H$73,MATCH(IX$3,'Standards for Conversions'!$A$47:$A$73,0))))</f>
        <v/>
      </c>
      <c r="JA164" s="48" t="s">
        <v>45</v>
      </c>
      <c r="JD164" s="31" t="str">
        <f>IF(JC164/(INDEX('Standards for Conversions'!$H$47:$H$73,MATCH(JB$3,'Standards for Conversions'!$A$47:$A$73,0)))=0,"",JC164/(INDEX('Standards for Conversions'!$H$47:$H$73,MATCH(JB$3,'Standards for Conversions'!$A$47:$A$73,0))))</f>
        <v/>
      </c>
      <c r="JE164" s="48" t="s">
        <v>45</v>
      </c>
      <c r="JF164" s="29">
        <v>30</v>
      </c>
      <c r="JG164" s="29">
        <v>4000</v>
      </c>
      <c r="JH164" s="31">
        <f>IF(JG164/(INDEX('Standards for Conversions'!$H$47:$H$73,MATCH(JF$3,'Standards for Conversions'!$A$47:$A$73,0)))=0,"",JG164/(INDEX('Standards for Conversions'!$H$47:$H$73,MATCH(JF$3,'Standards for Conversions'!$A$47:$A$73,0))))</f>
        <v>647.04078676747474</v>
      </c>
      <c r="JI164" s="33"/>
      <c r="JL164" s="31" t="str">
        <f>IF(JK164/(INDEX('Standards for Conversions'!$H$47:$H$73,MATCH(JJ$3,'Standards for Conversions'!$A$47:$A$73,0)))=0,"",JK164/(INDEX('Standards for Conversions'!$H$47:$H$73,MATCH(JJ$3,'Standards for Conversions'!$A$47:$A$73,0))))</f>
        <v/>
      </c>
      <c r="JM164" s="33" t="s">
        <v>45</v>
      </c>
      <c r="JP164" s="31" t="str">
        <f>IF(JO164/(INDEX('Standards for Conversions'!$H$47:$H$73,MATCH(JN$3,'Standards for Conversions'!$A$47:$A$73,0)))=0,"",JO164/(INDEX('Standards for Conversions'!$H$47:$H$73,MATCH(JN$3,'Standards for Conversions'!$A$47:$A$73,0))))</f>
        <v/>
      </c>
      <c r="JQ164" s="33" t="s">
        <v>45</v>
      </c>
      <c r="JT164" s="31" t="str">
        <f>IF(JS164/(INDEX('Standards for Conversions'!$H$47:$H$73,MATCH(JR$3,'Standards for Conversions'!$A$47:$A$73,0)))=0,"",JS164/(INDEX('Standards for Conversions'!$H$47:$H$73,MATCH(JR$3,'Standards for Conversions'!$A$47:$A$73,0))))</f>
        <v/>
      </c>
      <c r="JU164" s="33" t="s">
        <v>45</v>
      </c>
      <c r="JX164" s="31" t="str">
        <f>IF(JW164/(INDEX('Standards for Conversions'!$H$47:$H$73,MATCH(JV$3,'Standards for Conversions'!$A$47:$A$73,0)))=0,"",JW164/(INDEX('Standards for Conversions'!$H$47:$H$73,MATCH(JV$3,'Standards for Conversions'!$A$47:$A$73,0))))</f>
        <v/>
      </c>
      <c r="JY164" s="33" t="s">
        <v>45</v>
      </c>
      <c r="KB164" s="31" t="str">
        <f>IF(KA164/(INDEX('Standards for Conversions'!$H$47:$H$73,MATCH(JZ$3,'Standards for Conversions'!$A$47:$A$73,0)))=0,"",KA164/(INDEX('Standards for Conversions'!$H$47:$H$73,MATCH(JZ$3,'Standards for Conversions'!$A$47:$A$73,0))))</f>
        <v/>
      </c>
      <c r="KC164" s="33" t="s">
        <v>45</v>
      </c>
      <c r="KF164" s="31" t="str">
        <f>IF(KE164/(INDEX('Standards for Conversions'!$H$47:$H$73,MATCH(KD$3,'Standards for Conversions'!$A$47:$A$73,0)))=0,"",KE164/(INDEX('Standards for Conversions'!$H$47:$H$73,MATCH(KD$3,'Standards for Conversions'!$A$47:$A$73,0))))</f>
        <v/>
      </c>
      <c r="KG164" s="33" t="s">
        <v>45</v>
      </c>
      <c r="KJ164" s="31" t="str">
        <f>IF(KI164/(INDEX('Standards for Conversions'!$H$47:$H$73,MATCH(KH$3,'Standards for Conversions'!$A$47:$A$73,0)))=0,"",KI164/(INDEX('Standards for Conversions'!$H$47:$H$73,MATCH(KH$3,'Standards for Conversions'!$A$47:$A$73,0))))</f>
        <v/>
      </c>
      <c r="KK164" s="33" t="s">
        <v>45</v>
      </c>
      <c r="KL164" s="29">
        <v>20</v>
      </c>
      <c r="KM164" s="29">
        <v>2000</v>
      </c>
      <c r="KN164" s="31">
        <f>IF(KM164/(INDEX('Standards for Conversions'!$H$47:$H$73,MATCH(KL$3,'Standards for Conversions'!$A$47:$A$73,0)))=0,"",KM164/(INDEX('Standards for Conversions'!$H$47:$H$73,MATCH(KL$3,'Standards for Conversions'!$A$47:$A$73,0))))</f>
        <v>269.31802381159292</v>
      </c>
      <c r="KO164" s="33" t="s">
        <v>45</v>
      </c>
      <c r="KR164" s="31" t="str">
        <f>IF(KQ164/(INDEX('Standards for Conversions'!$H$47:$H$73,MATCH(KP$3,'Standards for Conversions'!$A$47:$A$73,0)))=0,"",KQ164/(INDEX('Standards for Conversions'!$H$47:$H$73,MATCH(KP$3,'Standards for Conversions'!$A$47:$A$73,0))))</f>
        <v/>
      </c>
      <c r="KS164" s="33" t="s">
        <v>45</v>
      </c>
      <c r="KV164" s="31" t="str">
        <f>IF(KU164/(INDEX('Standards for Conversions'!$H$47:$H$73,MATCH(KT$3,'Standards for Conversions'!$A$47:$A$73,0)))=0,"",KU164/(INDEX('Standards for Conversions'!$H$47:$H$73,MATCH(KT$3,'Standards for Conversions'!$A$47:$A$73,0))))</f>
        <v/>
      </c>
      <c r="KW164" s="48" t="s">
        <v>45</v>
      </c>
      <c r="KZ164" s="31" t="str">
        <f>IF(KY164/(INDEX('Standards for Conversions'!$H$47:$H$73,MATCH(KX$3,'Standards for Conversions'!$A$47:$A$73,0)))=0,"",KY164/(INDEX('Standards for Conversions'!$H$47:$H$73,MATCH(KX$3,'Standards for Conversions'!$A$47:$A$73,0))))</f>
        <v/>
      </c>
      <c r="LA164" s="48" t="s">
        <v>45</v>
      </c>
      <c r="LB164" s="29">
        <v>7</v>
      </c>
      <c r="LC164" s="29">
        <v>950</v>
      </c>
      <c r="LD164" s="31">
        <f>IF(LC164/(INDEX('Standards for Conversions'!$H$47:$H$73,MATCH(LB$3,'Standards for Conversions'!$A$47:$A$73,0)))=0,"",LC164/(INDEX('Standards for Conversions'!$H$47:$H$73,MATCH(LB$3,'Standards for Conversions'!$A$47:$A$73,0))))</f>
        <v>115.53573839112423</v>
      </c>
      <c r="LE164" s="33"/>
      <c r="LH164" s="31" t="str">
        <f>IF(LG164/(INDEX('Standards for Conversions'!$H$47:$H$73,MATCH(LF$3,'Standards for Conversions'!$A$47:$A$73,0)))=0,"",LG164/(INDEX('Standards for Conversions'!$H$47:$H$73,MATCH(LF$3,'Standards for Conversions'!$A$47:$A$73,0))))</f>
        <v/>
      </c>
      <c r="LL164" s="31" t="str">
        <f>IF(LK164/(INDEX('Standards for Conversions'!$H$47:$H$73,MATCH(LJ$3,'Standards for Conversions'!$A$47:$A$73,0)))=0,"",LK164/(INDEX('Standards for Conversions'!$H$47:$H$73,MATCH(LJ$3,'Standards for Conversions'!$A$47:$A$73,0))))</f>
        <v/>
      </c>
      <c r="LO164" s="31" t="str">
        <f>IF(LN164/(INDEX('Standards for Conversions'!$H$47:$H$73,MATCH(LM$3,'Standards for Conversions'!$A$47:$A$73,0)))=0,"",LN164/(INDEX('Standards for Conversions'!$H$47:$H$73,MATCH(LM$3,'Standards for Conversions'!$A$47:$A$73,0))))</f>
        <v/>
      </c>
      <c r="LR164" s="31" t="str">
        <f>IF(LQ164/(INDEX('Standards for Conversions'!$H$47:$H$73,MATCH(LP$3,'Standards for Conversions'!$A$47:$A$73,0)))=0,"",LQ164/(INDEX('Standards for Conversions'!$H$47:$H$73,MATCH(LP$3,'Standards for Conversions'!$A$47:$A$73,0))))</f>
        <v/>
      </c>
      <c r="LV164" s="31" t="str">
        <f>IF(LU164/(INDEX('Standards for Conversions'!$H$47:$H$73,MATCH(LT$3,'Standards for Conversions'!$A$47:$A$73,0)))=0,"",LU164/(INDEX('Standards for Conversions'!$H$47:$H$73,MATCH(LT$3,'Standards for Conversions'!$A$47:$A$73,0))))</f>
        <v/>
      </c>
      <c r="LY164" s="31" t="str">
        <f>IF(LX164/(INDEX('Standards for Conversions'!$H$47:$H$73,MATCH(LW$3,'Standards for Conversions'!$A$47:$A$73,0)))=0,"",LX164/(INDEX('Standards for Conversions'!$H$47:$H$73,MATCH(LW$3,'Standards for Conversions'!$A$47:$A$73,0))))</f>
        <v/>
      </c>
      <c r="MB164" s="31" t="str">
        <f>IF(MA164/(INDEX('Standards for Conversions'!$H$47:$H$73,MATCH(LZ$3,'Standards for Conversions'!$A$47:$A$73,0)))=0,"",MA164/(INDEX('Standards for Conversions'!$H$47:$H$73,MATCH(LZ$3,'Standards for Conversions'!$A$47:$A$73,0))))</f>
        <v/>
      </c>
      <c r="ME164" s="31" t="str">
        <f>IF(MD164/(INDEX('Standards for Conversions'!$H$47:$H$73,MATCH(MC$3,'Standards for Conversions'!$A$47:$A$73,0)))=0,"",MD164/(INDEX('Standards for Conversions'!$H$47:$H$73,MATCH(MC$3,'Standards for Conversions'!$A$47:$A$73,0))))</f>
        <v/>
      </c>
      <c r="MH164" s="31" t="str">
        <f>IF(MG164/(INDEX('Standards for Conversions'!$H$47:$H$73,MATCH(MF$3,'Standards for Conversions'!$A$47:$A$73,0)))=0,"",MG164/(INDEX('Standards for Conversions'!$H$47:$H$73,MATCH(MF$3,'Standards for Conversions'!$A$47:$A$73,0))))</f>
        <v/>
      </c>
      <c r="MK164" s="31" t="str">
        <f>IF(MJ164/(INDEX('Standards for Conversions'!$H$47:$H$73,MATCH(MI$3,'Standards for Conversions'!$A$47:$A$73,0)))=0,"",MJ164/(INDEX('Standards for Conversions'!$H$47:$H$73,MATCH(MI$3,'Standards for Conversions'!$A$47:$A$73,0))))</f>
        <v/>
      </c>
      <c r="MN164" s="31" t="str">
        <f>IF(MM164/(INDEX('Standards for Conversions'!$H$47:$H$73,MATCH(ML$3,'Standards for Conversions'!$A$47:$A$73,0)))=0,"",MM164/(INDEX('Standards for Conversions'!$H$47:$H$73,MATCH(ML$3,'Standards for Conversions'!$A$47:$A$73,0))))</f>
        <v/>
      </c>
      <c r="MP164" s="33"/>
      <c r="MR164" s="31" t="str">
        <f>IF(MQ164/(INDEX('Standards for Conversions'!$H$47:$H$73,MATCH(MP$3,'Standards for Conversions'!$A$47:$A$73,0)))=0,"",MQ164/(INDEX('Standards for Conversions'!$H$47:$H$73,MATCH(MP$3,'Standards for Conversions'!$A$47:$A$73,0))))</f>
        <v/>
      </c>
    </row>
    <row r="165" spans="1:373" hidden="1" x14ac:dyDescent="0.3">
      <c r="A165" s="103" t="s">
        <v>324</v>
      </c>
      <c r="B165" s="10" t="s">
        <v>38</v>
      </c>
      <c r="C165" s="7"/>
      <c r="D165" s="7"/>
      <c r="E165" s="31" t="str">
        <f>IF(D165/(INDEX('Standards for Conversions'!$H$34:$H$73,MATCH(C$3,'Standards for Conversions'!$A$34:$A$73,0)))=0,"",D165/(INDEX('Standards for Conversions'!$H$34:$H$73,MATCH(C$3,'Standards for Conversions'!$A$34:$A$73,0))))</f>
        <v/>
      </c>
      <c r="F165" s="10" t="s">
        <v>38</v>
      </c>
      <c r="G165" s="7"/>
      <c r="H165" s="7"/>
      <c r="I165" s="31" t="str">
        <f>IF(H165/(INDEX('Standards for Conversions'!$H$34:$H$73,MATCH(G$3,'Standards for Conversions'!$A$34:$A$73,0)))=0,"",H165/(INDEX('Standards for Conversions'!$H$34:$H$73,MATCH(G$3,'Standards for Conversions'!$A$34:$A$73,0))))</f>
        <v/>
      </c>
      <c r="J165" s="10" t="s">
        <v>38</v>
      </c>
      <c r="K165" s="7"/>
      <c r="L165" s="7"/>
      <c r="M165" s="31" t="str">
        <f>IF(L165/(INDEX('Standards for Conversions'!$H$34:$H$73,MATCH(K$3,'Standards for Conversions'!$A$34:$A$73,0)))=0,"",L165/(INDEX('Standards for Conversions'!$H$34:$H$73,MATCH(K$3,'Standards for Conversions'!$A$34:$A$73,0))))</f>
        <v/>
      </c>
      <c r="N165" s="10" t="s">
        <v>38</v>
      </c>
      <c r="O165" s="7"/>
      <c r="P165" s="7"/>
      <c r="Q165" s="31" t="str">
        <f>IF(P165/(INDEX('Standards for Conversions'!$H$34:$H$73,MATCH(O$3,'Standards for Conversions'!$A$34:$A$73,0)))=0,"",P165/(INDEX('Standards for Conversions'!$H$34:$H$73,MATCH(O$3,'Standards for Conversions'!$A$34:$A$73,0))))</f>
        <v/>
      </c>
      <c r="R165" s="10" t="s">
        <v>38</v>
      </c>
      <c r="S165" s="7"/>
      <c r="T165" s="7"/>
      <c r="U165" s="31" t="str">
        <f>IF(T165/(INDEX('Standards for Conversions'!$H$34:$H$73,MATCH(S$3,'Standards for Conversions'!$A$34:$A$73,0)))=0,"",T165/(INDEX('Standards for Conversions'!$H$34:$H$73,MATCH(S$3,'Standards for Conversions'!$A$34:$A$73,0))))</f>
        <v/>
      </c>
      <c r="V165" s="10" t="s">
        <v>38</v>
      </c>
      <c r="W165" s="7"/>
      <c r="X165" s="7"/>
      <c r="Y165" s="31" t="str">
        <f>IF(X165/(INDEX('Standards for Conversions'!$H$34:$H$73,MATCH(W$3,'Standards for Conversions'!$A$34:$A$73,0)))=0,"",X165/(INDEX('Standards for Conversions'!$H$34:$H$73,MATCH(W$3,'Standards for Conversions'!$A$34:$A$73,0))))</f>
        <v/>
      </c>
      <c r="Z165" s="10" t="s">
        <v>38</v>
      </c>
      <c r="AA165" s="7"/>
      <c r="AB165" s="7"/>
      <c r="AC165" s="31" t="str">
        <f>IF(AB165/(INDEX('Standards for Conversions'!$H$34:$H$73,MATCH(AA$3,'Standards for Conversions'!$A$34:$A$73,0)))=0,"",AB165/(INDEX('Standards for Conversions'!$H$34:$H$73,MATCH(AA$3,'Standards for Conversions'!$A$34:$A$73,0))))</f>
        <v/>
      </c>
      <c r="AD165" s="10" t="s">
        <v>38</v>
      </c>
      <c r="AE165" s="7"/>
      <c r="AF165" s="7"/>
      <c r="AG165" s="31" t="str">
        <f>IF(AF165/(INDEX('Standards for Conversions'!$H$34:$H$73,MATCH(AE$3,'Standards for Conversions'!$A$34:$A$73,0)))=0,"",AF165/(INDEX('Standards for Conversions'!$H$34:$H$73,MATCH(AE$3,'Standards for Conversions'!$A$34:$A$73,0))))</f>
        <v/>
      </c>
      <c r="AH165" s="10" t="s">
        <v>38</v>
      </c>
      <c r="AI165" s="7"/>
      <c r="AJ165" s="7"/>
      <c r="AK165" s="31" t="str">
        <f>IF(AJ165/(INDEX('Standards for Conversions'!$H$34:$H$73,MATCH(AI$3,'Standards for Conversions'!$A$34:$A$73,0)))=0,"",AJ165/(INDEX('Standards for Conversions'!$H$34:$H$73,MATCH(AI$3,'Standards for Conversions'!$A$34:$A$73,0))))</f>
        <v/>
      </c>
      <c r="AL165" s="10" t="s">
        <v>38</v>
      </c>
      <c r="AM165" s="7"/>
      <c r="AN165" s="7"/>
      <c r="AO165" s="31" t="str">
        <f>IF(AN165/(INDEX('Standards for Conversions'!$H$34:$H$73,MATCH(AM$3,'Standards for Conversions'!$A$34:$A$73,0)))=0,"",AN165/(INDEX('Standards for Conversions'!$H$34:$H$73,MATCH(AM$3,'Standards for Conversions'!$A$34:$A$73,0))))</f>
        <v/>
      </c>
      <c r="AP165" s="10" t="s">
        <v>38</v>
      </c>
      <c r="AQ165" s="7"/>
      <c r="AR165" s="7"/>
      <c r="AS165" s="31" t="str">
        <f>IF(AR165/(INDEX('Standards for Conversions'!$H$34:$H$73,MATCH(AQ$3,'Standards for Conversions'!$A$34:$A$73,0)))=0,"",AR165/(INDEX('Standards for Conversions'!$H$34:$H$73,MATCH(AQ$3,'Standards for Conversions'!$A$34:$A$73,0))))</f>
        <v/>
      </c>
      <c r="AT165" s="10" t="s">
        <v>38</v>
      </c>
      <c r="AU165" s="7"/>
      <c r="AV165" s="7"/>
      <c r="AW165" s="31" t="str">
        <f>IF(AV165/(INDEX('Standards for Conversions'!$H$34:$H$73,MATCH(AU$3,'Standards for Conversions'!$A$34:$A$73,0)))=0,"",AV165/(INDEX('Standards for Conversions'!$H$34:$H$73,MATCH(AU$3,'Standards for Conversions'!$A$34:$A$73,0))))</f>
        <v/>
      </c>
      <c r="AX165" s="10" t="s">
        <v>38</v>
      </c>
      <c r="AY165" s="7"/>
      <c r="AZ165" s="7"/>
      <c r="BA165" s="31" t="str">
        <f>IF(AZ165/(INDEX('Standards for Conversions'!$H$34:$H$73,MATCH(AY$3,'Standards for Conversions'!$A$34:$A$73,0)))=0,"",AZ165/(INDEX('Standards for Conversions'!$H$34:$H$73,MATCH(AY$3,'Standards for Conversions'!$A$34:$A$73,0))))</f>
        <v/>
      </c>
      <c r="BB165" s="10" t="s">
        <v>38</v>
      </c>
      <c r="BC165" s="7"/>
      <c r="BD165" s="7"/>
      <c r="BE165" s="31" t="str">
        <f>IF(BD165/(INDEX('Standards for Conversions'!$H$34:$H$73,MATCH(BC$3,'Standards for Conversions'!$A$34:$A$73,0)))=0,"",BD165/(INDEX('Standards for Conversions'!$H$34:$H$73,MATCH(BC$3,'Standards for Conversions'!$A$34:$A$73,0))))</f>
        <v/>
      </c>
      <c r="BF165" s="10" t="s">
        <v>38</v>
      </c>
      <c r="BG165" s="7"/>
      <c r="BH165" s="7"/>
      <c r="BI165" s="31" t="str">
        <f>IF(BH165/(INDEX('Standards for Conversions'!$H$34:$H$73,MATCH(BG$3,'Standards for Conversions'!$A$34:$A$73,0)))=0,"",BH165/(INDEX('Standards for Conversions'!$H$34:$H$73,MATCH(BG$3,'Standards for Conversions'!$A$34:$A$73,0))))</f>
        <v/>
      </c>
      <c r="BJ165" s="10" t="s">
        <v>38</v>
      </c>
      <c r="BK165" s="7"/>
      <c r="BL165" s="7"/>
      <c r="BM165" s="31" t="str">
        <f>IF(BL165/(INDEX('Standards for Conversions'!$H$34:$H$73,MATCH(BK$3,'Standards for Conversions'!$A$34:$A$73,0)))=0,"",BL165/(INDEX('Standards for Conversions'!$H$34:$H$73,MATCH(BK$3,'Standards for Conversions'!$A$34:$A$73,0))))</f>
        <v/>
      </c>
      <c r="BN165" s="10" t="s">
        <v>38</v>
      </c>
      <c r="BO165" s="7"/>
      <c r="BP165" s="7"/>
      <c r="BQ165" s="31" t="str">
        <f>IF(BP165/(INDEX('Standards for Conversions'!$H$34:$H$73,MATCH(BO$3,'Standards for Conversions'!$A$34:$A$73,0)))=0,"",BP165/(INDEX('Standards for Conversions'!$H$34:$H$73,MATCH(BO$3,'Standards for Conversions'!$A$34:$A$73,0))))</f>
        <v/>
      </c>
      <c r="BR165" s="10" t="s">
        <v>38</v>
      </c>
      <c r="BS165" s="7"/>
      <c r="BT165" s="7"/>
      <c r="BU165" s="31" t="str">
        <f>IF(BT165/(INDEX('Standards for Conversions'!$H$34:$H$73,MATCH(BS$3,'Standards for Conversions'!$A$34:$A$73,0)))=0,"",BT165/(INDEX('Standards for Conversions'!$H$34:$H$73,MATCH(BS$3,'Standards for Conversions'!$A$34:$A$73,0))))</f>
        <v/>
      </c>
      <c r="BV165" s="10" t="s">
        <v>38</v>
      </c>
      <c r="BW165" s="7"/>
      <c r="BX165" s="7"/>
      <c r="BY165" s="31" t="str">
        <f>IF(BX165/(INDEX('Standards for Conversions'!$H$34:$H$73,MATCH(BW$3,'Standards for Conversions'!$A$34:$A$73,0)))=0,"",BX165/(INDEX('Standards for Conversions'!$H$34:$H$73,MATCH(BW$3,'Standards for Conversions'!$A$34:$A$73,0))))</f>
        <v/>
      </c>
      <c r="BZ165" s="10" t="s">
        <v>38</v>
      </c>
      <c r="CA165" s="7"/>
      <c r="CB165" s="7"/>
      <c r="CC165" s="31" t="str">
        <f>IF(CB165/(INDEX('Standards for Conversions'!$H$34:$H$73,MATCH(CA$3,'Standards for Conversions'!$A$34:$A$73,0)))=0,"",CB165/(INDEX('Standards for Conversions'!$H$34:$H$73,MATCH(CA$3,'Standards for Conversions'!$A$34:$A$73,0))))</f>
        <v/>
      </c>
      <c r="CD165" s="10" t="s">
        <v>38</v>
      </c>
      <c r="CE165" s="7"/>
      <c r="CF165" s="7"/>
      <c r="CG165" s="31" t="str">
        <f>IF(CF165/(INDEX('Standards for Conversions'!$H$34:$H$73,MATCH(CE$3,'Standards for Conversions'!$A$34:$A$73,0)))=0,"",CF165/(INDEX('Standards for Conversions'!$H$34:$H$73,MATCH(CE$3,'Standards for Conversions'!$A$34:$A$73,0))))</f>
        <v/>
      </c>
      <c r="CH165" s="10" t="s">
        <v>38</v>
      </c>
      <c r="CI165" s="7"/>
      <c r="CJ165" s="7"/>
      <c r="CK165" s="31" t="str">
        <f>IF(CJ165/(INDEX('Standards for Conversions'!$H$34:$H$73,MATCH(CI$3,'Standards for Conversions'!$A$34:$A$73,0)))=0,"",CJ165/(INDEX('Standards for Conversions'!$H$34:$H$73,MATCH(CI$3,'Standards for Conversions'!$A$34:$A$73,0))))</f>
        <v/>
      </c>
      <c r="CL165" s="10" t="s">
        <v>38</v>
      </c>
      <c r="CM165" s="7"/>
      <c r="CN165" s="7"/>
      <c r="CO165" s="31" t="str">
        <f>IF(CN165/(INDEX('Standards for Conversions'!$H$34:$H$73,MATCH(CM$3,'Standards for Conversions'!$A$34:$A$73,0)))=0,"",CN165/(INDEX('Standards for Conversions'!$H$34:$H$73,MATCH(CM$3,'Standards for Conversions'!$A$34:$A$73,0))))</f>
        <v/>
      </c>
      <c r="CP165" s="10" t="s">
        <v>38</v>
      </c>
      <c r="CQ165" s="7"/>
      <c r="CR165" s="7"/>
      <c r="CS165" s="31" t="str">
        <f>IF(CR165/(INDEX('Standards for Conversions'!$H$34:$H$73,MATCH(CQ$3,'Standards for Conversions'!$A$34:$A$73,0)))=0,"",CR165/(INDEX('Standards for Conversions'!$H$34:$H$73,MATCH(CQ$3,'Standards for Conversions'!$A$34:$A$73,0))))</f>
        <v/>
      </c>
      <c r="CT165" s="10" t="s">
        <v>38</v>
      </c>
      <c r="CU165" s="7"/>
      <c r="CV165" s="7"/>
      <c r="CW165" s="31" t="str">
        <f>IF(CV165/(INDEX('Standards for Conversions'!$H$34:$H$73,MATCH(CU$3,'Standards for Conversions'!$A$34:$A$73,0)))=0,"",CV165/(INDEX('Standards for Conversions'!$H$34:$H$73,MATCH(CU$3,'Standards for Conversions'!$A$34:$A$73,0))))</f>
        <v/>
      </c>
      <c r="CX165" s="10" t="s">
        <v>38</v>
      </c>
      <c r="CY165" s="7"/>
      <c r="CZ165" s="7"/>
      <c r="DA165" s="31" t="str">
        <f>IF(CZ165/(INDEX('Standards for Conversions'!$H$34:$H$73,MATCH(CY$3,'Standards for Conversions'!$A$34:$A$73,0)))=0,"",CZ165/(INDEX('Standards for Conversions'!$H$34:$H$73,MATCH(CY$3,'Standards for Conversions'!$A$34:$A$73,0))))</f>
        <v/>
      </c>
      <c r="DB165" s="10" t="s">
        <v>38</v>
      </c>
      <c r="DC165" s="7"/>
      <c r="DD165" s="7"/>
      <c r="DE165" s="31" t="str">
        <f>IF(DD165/(INDEX('Standards for Conversions'!$H$34:$H$73,MATCH(DC$3,'Standards for Conversions'!$A$34:$A$73,0)))=0,"",DD165/(INDEX('Standards for Conversions'!$H$34:$H$73,MATCH(DC$3,'Standards for Conversions'!$A$34:$A$73,0))))</f>
        <v/>
      </c>
      <c r="DF165" s="10" t="s">
        <v>38</v>
      </c>
      <c r="DG165" s="7"/>
      <c r="DH165" s="7"/>
      <c r="DI165" s="31" t="str">
        <f>IF(DH165/(INDEX('Standards for Conversions'!$H$34:$H$73,MATCH(DG$3,'Standards for Conversions'!$A$34:$A$73,0)))=0,"",DH165/(INDEX('Standards for Conversions'!$H$34:$H$73,MATCH(DG$3,'Standards for Conversions'!$A$34:$A$73,0))))</f>
        <v/>
      </c>
      <c r="DJ165" s="10" t="s">
        <v>38</v>
      </c>
      <c r="DK165" s="7"/>
      <c r="DL165" s="7"/>
      <c r="DM165" s="31" t="str">
        <f>IF(DL165/(INDEX('Standards for Conversions'!$H$34:$H$73,MATCH(DK$3,'Standards for Conversions'!$A$34:$A$73,0)))=0,"",DL165/(INDEX('Standards for Conversions'!$H$34:$H$73,MATCH(DK$3,'Standards for Conversions'!$A$34:$A$73,0))))</f>
        <v/>
      </c>
      <c r="DN165" s="10" t="s">
        <v>38</v>
      </c>
      <c r="DO165" s="7"/>
      <c r="DP165" s="7"/>
      <c r="DQ165" s="31" t="str">
        <f>IF(DP165/(INDEX('Standards for Conversions'!$H$34:$H$73,MATCH(DO$3,'Standards for Conversions'!$A$34:$A$73,0)))=0,"",DP165/(INDEX('Standards for Conversions'!$H$34:$H$73,MATCH(DO$3,'Standards for Conversions'!$A$34:$A$73,0))))</f>
        <v/>
      </c>
      <c r="DR165" s="10" t="s">
        <v>38</v>
      </c>
      <c r="DS165" s="7"/>
      <c r="DT165" s="7"/>
      <c r="DU165" s="31" t="str">
        <f>IF(DT165/(INDEX('Standards for Conversions'!$H$34:$H$73,MATCH(DS$3,'Standards for Conversions'!$A$34:$A$73,0)))=0,"",DT165/(INDEX('Standards for Conversions'!$H$34:$H$73,MATCH(DS$3,'Standards for Conversions'!$A$34:$A$73,0))))</f>
        <v/>
      </c>
      <c r="DV165" s="10" t="s">
        <v>38</v>
      </c>
      <c r="DW165" s="7"/>
      <c r="DX165" s="7"/>
      <c r="DY165" s="31" t="str">
        <f>IF(DX165/(INDEX('Standards for Conversions'!$H$34:$H$73,MATCH(DW$3,'Standards for Conversions'!$A$34:$A$73,0)))=0,"",DX165/(INDEX('Standards for Conversions'!$H$34:$H$73,MATCH(DW$3,'Standards for Conversions'!$A$34:$A$73,0))))</f>
        <v/>
      </c>
      <c r="DZ165" s="10" t="s">
        <v>38</v>
      </c>
      <c r="EA165" s="7"/>
      <c r="EB165" s="7"/>
      <c r="EC165" s="31" t="str">
        <f>IF(EB165/(INDEX('Standards for Conversions'!$H$34:$H$73,MATCH(EA$3,'Standards for Conversions'!$A$34:$A$73,0)))=0,"",EB165/(INDEX('Standards for Conversions'!$H$34:$H$73,MATCH(EA$3,'Standards for Conversions'!$A$34:$A$73,0))))</f>
        <v/>
      </c>
      <c r="ED165" s="10" t="s">
        <v>38</v>
      </c>
      <c r="EE165" s="7"/>
      <c r="EF165" s="7"/>
      <c r="EG165" s="31" t="str">
        <f>IF(EF165/(INDEX('Standards for Conversions'!$H$34:$H$73,MATCH(EE$3,'Standards for Conversions'!$A$34:$A$73,0)))=0,"",EF165/(INDEX('Standards for Conversions'!$H$34:$H$73,MATCH(EE$3,'Standards for Conversions'!$A$34:$A$73,0))))</f>
        <v/>
      </c>
      <c r="EH165" s="10" t="s">
        <v>38</v>
      </c>
      <c r="EI165" s="7"/>
      <c r="EJ165" s="7"/>
      <c r="EK165" s="31" t="str">
        <f>IF(EJ165/(INDEX('Standards for Conversions'!$H$34:$H$73,MATCH(EI$3,'Standards for Conversions'!$A$34:$A$73,0)))=0,"",EJ165/(INDEX('Standards for Conversions'!$H$34:$H$73,MATCH(EI$3,'Standards for Conversions'!$A$34:$A$73,0))))</f>
        <v/>
      </c>
      <c r="EL165" s="10" t="s">
        <v>38</v>
      </c>
      <c r="EM165" s="7"/>
      <c r="EN165" s="7"/>
      <c r="EO165" s="31" t="str">
        <f>IF(EN165/(INDEX('Standards for Conversions'!$H$34:$H$73,MATCH(EM$3,'Standards for Conversions'!$A$34:$A$73,0)))=0,"",EN165/(INDEX('Standards for Conversions'!$H$34:$H$73,MATCH(EM$3,'Standards for Conversions'!$A$34:$A$73,0))))</f>
        <v/>
      </c>
      <c r="EP165" s="10" t="s">
        <v>38</v>
      </c>
      <c r="EQ165" s="7"/>
      <c r="ER165" s="7"/>
      <c r="ES165" s="31" t="str">
        <f>IF(ER165/(INDEX('Standards for Conversions'!$H$34:$H$73,MATCH(EQ$3,'Standards for Conversions'!$A$34:$A$73,0)))=0,"",ER165/(INDEX('Standards for Conversions'!$H$34:$H$73,MATCH(EQ$3,'Standards for Conversions'!$A$34:$A$73,0))))</f>
        <v/>
      </c>
      <c r="ET165" s="10" t="s">
        <v>38</v>
      </c>
      <c r="EU165" s="7"/>
      <c r="EV165" s="7"/>
      <c r="EW165" s="31" t="str">
        <f>IF(EV165/(INDEX('Standards for Conversions'!$H$34:$H$73,MATCH(EU$3,'Standards for Conversions'!$A$34:$A$73,0)))=0,"",EV165/(INDEX('Standards for Conversions'!$H$34:$H$73,MATCH(EU$3,'Standards for Conversions'!$A$34:$A$73,0))))</f>
        <v/>
      </c>
      <c r="EX165" s="10" t="s">
        <v>38</v>
      </c>
      <c r="EY165" s="9"/>
      <c r="EZ165" s="9"/>
      <c r="FA165" s="31" t="str">
        <f>IF(EZ165/(INDEX('Standards for Conversions'!$H$34:$H$73,MATCH(EY$3,'Standards for Conversions'!$A$34:$A$73,0)))=0,"",EZ165/(INDEX('Standards for Conversions'!$H$34:$H$73,MATCH(EY$3,'Standards for Conversions'!$A$34:$A$73,0))))</f>
        <v/>
      </c>
      <c r="FB165" s="10" t="s">
        <v>38</v>
      </c>
      <c r="FC165" s="7"/>
      <c r="FD165" s="7"/>
      <c r="FE165" s="31" t="str">
        <f>IF(FD165/(INDEX('Standards for Conversions'!$H$34:$H$73,MATCH(FC$3,'Standards for Conversions'!$A$34:$A$73,0)))=0,"",FD165/(INDEX('Standards for Conversions'!$H$34:$H$73,MATCH(FC$3,'Standards for Conversions'!$A$34:$A$73,0))))</f>
        <v/>
      </c>
      <c r="FF165" s="10" t="s">
        <v>38</v>
      </c>
      <c r="FG165" s="7"/>
      <c r="FH165" s="7"/>
      <c r="FI165" s="31" t="str">
        <f>IF(FH165/(INDEX('Standards for Conversions'!$H$34:$H$73,MATCH(FG$3,'Standards for Conversions'!$A$34:$A$73,0)))=0,"",FH165/(INDEX('Standards for Conversions'!$H$34:$H$73,MATCH(FG$3,'Standards for Conversions'!$A$34:$A$73,0))))</f>
        <v/>
      </c>
      <c r="FJ165" s="10" t="s">
        <v>38</v>
      </c>
      <c r="FK165" s="7"/>
      <c r="FL165" s="7"/>
      <c r="FM165" s="31" t="str">
        <f>IF(FL165/(INDEX('Standards for Conversions'!$H$34:$H$73,MATCH(FK$3,'Standards for Conversions'!$A$34:$A$73,0)))=0,"",FL165/(INDEX('Standards for Conversions'!$H$34:$H$73,MATCH(FK$3,'Standards for Conversions'!$A$34:$A$73,0))))</f>
        <v/>
      </c>
      <c r="FN165" s="10" t="s">
        <v>38</v>
      </c>
      <c r="FO165" s="9"/>
      <c r="FP165" s="9"/>
      <c r="FQ165" s="31" t="str">
        <f>IF(FP165/(INDEX('Standards for Conversions'!$H$34:$H$73,MATCH(FO$3,'Standards for Conversions'!$A$34:$A$73,0)))=0,"",FP165/(INDEX('Standards for Conversions'!$H$34:$H$73,MATCH(FO$3,'Standards for Conversions'!$A$34:$A$73,0))))</f>
        <v/>
      </c>
      <c r="FR165" s="10" t="s">
        <v>38</v>
      </c>
      <c r="FS165" s="7"/>
      <c r="FT165" s="7"/>
      <c r="FU165" s="31" t="str">
        <f>IF(FT165/(INDEX('Standards for Conversions'!$H$34:$H$73,MATCH(FS$3,'Standards for Conversions'!$A$34:$A$73,0)))=0,"",FT165/(INDEX('Standards for Conversions'!$H$34:$H$73,MATCH(FS$3,'Standards for Conversions'!$A$34:$A$73,0))))</f>
        <v/>
      </c>
      <c r="FV165" s="10" t="s">
        <v>38</v>
      </c>
      <c r="FW165" s="7"/>
      <c r="FX165" s="7"/>
      <c r="FY165" s="31" t="str">
        <f>IF(FX165/(INDEX('Standards for Conversions'!$H$34:$H$73,MATCH(FW$3,'Standards for Conversions'!$A$34:$A$73,0)))=0,"",FX165/(INDEX('Standards for Conversions'!$H$34:$H$73,MATCH(FW$3,'Standards for Conversions'!$A$34:$A$73,0))))</f>
        <v/>
      </c>
      <c r="FZ165" s="10" t="s">
        <v>38</v>
      </c>
      <c r="GA165" s="7"/>
      <c r="GB165" s="7"/>
      <c r="GC165" s="31" t="str">
        <f>IF(GB165/(INDEX('Standards for Conversions'!$H$34:$H$73,MATCH(GA$3,'Standards for Conversions'!$A$34:$A$73,0)))=0,"",GB165/(INDEX('Standards for Conversions'!$H$34:$H$73,MATCH(GA$3,'Standards for Conversions'!$A$34:$A$73,0))))</f>
        <v/>
      </c>
      <c r="GD165" s="10" t="s">
        <v>38</v>
      </c>
      <c r="GE165" s="9"/>
      <c r="GF165" s="9"/>
      <c r="GG165" s="31" t="str">
        <f>IF(GF165/(INDEX('Standards for Conversions'!$H$34:$H$73,MATCH(GE$3,'Standards for Conversions'!$A$34:$A$73,0)))=0,"",GF165/(INDEX('Standards for Conversions'!$H$34:$H$73,MATCH(GE$3,'Standards for Conversions'!$A$34:$A$73,0))))</f>
        <v/>
      </c>
      <c r="GH165" s="10" t="s">
        <v>38</v>
      </c>
      <c r="GI165" s="7"/>
      <c r="GJ165" s="7"/>
      <c r="GK165" s="31" t="str">
        <f>IF(GJ165/(INDEX('Standards for Conversions'!$H$34:$H$73,MATCH(GI$3,'Standards for Conversions'!$A$34:$A$73,0)))=0,"",GJ165/(INDEX('Standards for Conversions'!$H$34:$H$73,MATCH(GI$3,'Standards for Conversions'!$A$34:$A$73,0))))</f>
        <v/>
      </c>
      <c r="GL165" s="10" t="s">
        <v>38</v>
      </c>
      <c r="GM165" s="7"/>
      <c r="GN165" s="7"/>
      <c r="GO165" s="31" t="str">
        <f>IF(GN165/(INDEX('Standards for Conversions'!$H$34:$H$73,MATCH(GM$3,'Standards for Conversions'!$A$34:$A$73,0)))=0,"",GN165/(INDEX('Standards for Conversions'!$H$34:$H$73,MATCH(GM$3,'Standards for Conversions'!$A$34:$A$73,0))))</f>
        <v/>
      </c>
      <c r="GP165" s="10" t="s">
        <v>38</v>
      </c>
      <c r="GQ165" s="7"/>
      <c r="GR165" s="7"/>
      <c r="GS165" s="31" t="str">
        <f>IF(GR165/(INDEX('Standards for Conversions'!$H$34:$H$73,MATCH(GQ$3,'Standards for Conversions'!$A$34:$A$73,0)))=0,"",GR165/(INDEX('Standards for Conversions'!$H$34:$H$73,MATCH(GQ$3,'Standards for Conversions'!$A$34:$A$73,0))))</f>
        <v/>
      </c>
      <c r="GT165" s="10" t="s">
        <v>38</v>
      </c>
      <c r="GU165" s="9"/>
      <c r="GV165" s="9"/>
      <c r="GW165" s="31" t="str">
        <f>IF(GV165/(INDEX('Standards for Conversions'!$H$34:$H$73,MATCH(GU$3,'Standards for Conversions'!$A$34:$A$73,0)))=0,"",GV165/(INDEX('Standards for Conversions'!$H$34:$H$73,MATCH(GU$3,'Standards for Conversions'!$A$34:$A$73,0))))</f>
        <v/>
      </c>
      <c r="GX165" s="10" t="s">
        <v>38</v>
      </c>
      <c r="GY165" s="7"/>
      <c r="GZ165" s="7"/>
      <c r="HA165" s="31" t="str">
        <f>IF(GZ165/(INDEX('Standards for Conversions'!$H$34:$H$73,MATCH(GY$3,'Standards for Conversions'!$A$34:$A$73,0)))=0,"",GZ165/(INDEX('Standards for Conversions'!$H$34:$H$73,MATCH(GY$3,'Standards for Conversions'!$A$34:$A$73,0))))</f>
        <v/>
      </c>
      <c r="HB165" s="10" t="s">
        <v>38</v>
      </c>
      <c r="HC165" s="7"/>
      <c r="HD165" s="7"/>
      <c r="HE165" s="31" t="str">
        <f>IF(HD165/(INDEX('Standards for Conversions'!$H$34:$H$73,MATCH(HC$3,'Standards for Conversions'!$A$34:$A$73,0)))=0,"",HD165/(INDEX('Standards for Conversions'!$H$34:$H$73,MATCH(HC$3,'Standards for Conversions'!$A$34:$A$73,0))))</f>
        <v/>
      </c>
      <c r="HF165" s="10" t="s">
        <v>38</v>
      </c>
      <c r="HG165" s="7"/>
      <c r="HH165" s="7"/>
      <c r="HI165" s="31" t="str">
        <f>IF(HH165/(INDEX('Standards for Conversions'!$H$34:$H$73,MATCH(HG$3,'Standards for Conversions'!$A$34:$A$73,0)))=0,"",HH165/(INDEX('Standards for Conversions'!$H$34:$H$73,MATCH(HG$3,'Standards for Conversions'!$A$34:$A$73,0))))</f>
        <v/>
      </c>
      <c r="HJ165" s="10" t="s">
        <v>38</v>
      </c>
      <c r="HK165" s="9"/>
      <c r="HL165" s="9"/>
      <c r="HM165" s="31" t="str">
        <f>IF(HL165/(INDEX('Standards for Conversions'!$H$34:$H$73,MATCH(HK$3,'Standards for Conversions'!$A$34:$A$73,0)))=0,"",HL165/(INDEX('Standards for Conversions'!$H$34:$H$73,MATCH(HK$3,'Standards for Conversions'!$A$34:$A$73,0))))</f>
        <v/>
      </c>
      <c r="HN165" s="10" t="s">
        <v>38</v>
      </c>
      <c r="HO165" s="7"/>
      <c r="HP165" s="7"/>
      <c r="HQ165" s="31" t="str">
        <f>IF(HP165/(INDEX('Standards for Conversions'!$H$34:$H$73,MATCH(HO$3,'Standards for Conversions'!$A$34:$A$73,0)))=0,"",HP165/(INDEX('Standards for Conversions'!$H$34:$H$73,MATCH(HO$3,'Standards for Conversions'!$A$34:$A$73,0))))</f>
        <v/>
      </c>
      <c r="HR165" s="33" t="s">
        <v>38</v>
      </c>
      <c r="HU165" s="31" t="str">
        <f>IF(HT165/(INDEX('Standards for Conversions'!$H$47:$H$73,MATCH(HS$3,'Standards for Conversions'!$A$47:$A$73,0)))=0,"",HT165/(INDEX('Standards for Conversions'!$H$47:$H$73,MATCH(HS$3,'Standards for Conversions'!$A$47:$A$73,0))))</f>
        <v/>
      </c>
      <c r="HV165" s="33" t="s">
        <v>38</v>
      </c>
      <c r="HY165" s="31" t="str">
        <f>IF(HX165/(INDEX('Standards for Conversions'!$H$47:$H$73,MATCH(HW$3,'Standards for Conversions'!$A$47:$A$73,0)))=0,"",HX165/(INDEX('Standards for Conversions'!$H$47:$H$73,MATCH(HW$3,'Standards for Conversions'!$A$47:$A$73,0))))</f>
        <v/>
      </c>
      <c r="HZ165" s="33">
        <v>150</v>
      </c>
      <c r="IA165" s="33">
        <v>900</v>
      </c>
      <c r="IB165" s="31">
        <f>IF(IA165/(INDEX('Standards for Conversions'!$H$47:$H$73,MATCH(HZ$3,'Standards for Conversions'!$A$47:$A$73,0)))=0,"",IA165/(INDEX('Standards for Conversions'!$H$47:$H$73,MATCH(HZ$3,'Standards for Conversions'!$A$47:$A$73,0))))</f>
        <v>130.72087099157037</v>
      </c>
      <c r="IC165" s="33" t="s">
        <v>38</v>
      </c>
      <c r="IF165" s="31" t="str">
        <f>IF(IE165/(INDEX('Standards for Conversions'!$H$47:$H$73,MATCH(ID$3,'Standards for Conversions'!$A$47:$A$73,0)))=0,"",IE165/(INDEX('Standards for Conversions'!$H$47:$H$73,MATCH(ID$3,'Standards for Conversions'!$A$47:$A$73,0))))</f>
        <v/>
      </c>
      <c r="IG165" s="33" t="s">
        <v>38</v>
      </c>
      <c r="IJ165" s="31" t="str">
        <f>IF(II165/(INDEX('Standards for Conversions'!$H$47:$H$73,MATCH(IH$3,'Standards for Conversions'!$A$47:$A$73,0)))=0,"",II165/(INDEX('Standards for Conversions'!$H$47:$H$73,MATCH(IH$3,'Standards for Conversions'!$A$47:$A$73,0))))</f>
        <v/>
      </c>
      <c r="IK165" s="33" t="s">
        <v>38</v>
      </c>
      <c r="IN165" s="31" t="str">
        <f>IF(IM165/(INDEX('Standards for Conversions'!$H$47:$H$73,MATCH(IL$3,'Standards for Conversions'!$A$47:$A$73,0)))=0,"",IM165/(INDEX('Standards for Conversions'!$H$47:$H$73,MATCH(IL$3,'Standards for Conversions'!$A$47:$A$73,0))))</f>
        <v/>
      </c>
      <c r="IO165" s="33" t="s">
        <v>38</v>
      </c>
      <c r="IP165" s="29">
        <v>147</v>
      </c>
      <c r="IQ165" s="29">
        <v>1062</v>
      </c>
      <c r="IR165" s="31">
        <f>IF(IQ165/(INDEX('Standards for Conversions'!$H$47:$H$73,MATCH(IP$3,'Standards for Conversions'!$A$47:$A$73,0)))=0,"",IQ165/(INDEX('Standards for Conversions'!$H$47:$H$73,MATCH(IP$3,'Standards for Conversions'!$A$47:$A$73,0))))</f>
        <v>153.57606234248718</v>
      </c>
      <c r="IS165" s="33" t="s">
        <v>38</v>
      </c>
      <c r="IV165" s="31" t="str">
        <f>IF(IU165/(INDEX('Standards for Conversions'!$H$47:$H$73,MATCH(IT$3,'Standards for Conversions'!$A$47:$A$73,0)))=0,"",IU165/(INDEX('Standards for Conversions'!$H$47:$H$73,MATCH(IT$3,'Standards for Conversions'!$A$47:$A$73,0))))</f>
        <v/>
      </c>
      <c r="IW165" s="33" t="s">
        <v>38</v>
      </c>
      <c r="IZ165" s="31" t="str">
        <f>IF(IY165/(INDEX('Standards for Conversions'!$H$47:$H$73,MATCH(IX$3,'Standards for Conversions'!$A$47:$A$73,0)))=0,"",IY165/(INDEX('Standards for Conversions'!$H$47:$H$73,MATCH(IX$3,'Standards for Conversions'!$A$47:$A$73,0))))</f>
        <v/>
      </c>
      <c r="JA165" s="48" t="s">
        <v>38</v>
      </c>
      <c r="JD165" s="31" t="str">
        <f>IF(JC165/(INDEX('Standards for Conversions'!$H$47:$H$73,MATCH(JB$3,'Standards for Conversions'!$A$47:$A$73,0)))=0,"",JC165/(INDEX('Standards for Conversions'!$H$47:$H$73,MATCH(JB$3,'Standards for Conversions'!$A$47:$A$73,0))))</f>
        <v/>
      </c>
      <c r="JE165" s="48" t="s">
        <v>38</v>
      </c>
      <c r="JF165" s="29">
        <v>115</v>
      </c>
      <c r="JG165" s="29">
        <v>250</v>
      </c>
      <c r="JH165" s="31">
        <f>IF(JG165/(INDEX('Standards for Conversions'!$H$47:$H$73,MATCH(JF$3,'Standards for Conversions'!$A$47:$A$73,0)))=0,"",JG165/(INDEX('Standards for Conversions'!$H$47:$H$73,MATCH(JF$3,'Standards for Conversions'!$A$47:$A$73,0))))</f>
        <v>40.440049172967171</v>
      </c>
      <c r="JI165" s="33"/>
      <c r="JL165" s="31" t="str">
        <f>IF(JK165/(INDEX('Standards for Conversions'!$H$47:$H$73,MATCH(JJ$3,'Standards for Conversions'!$A$47:$A$73,0)))=0,"",JK165/(INDEX('Standards for Conversions'!$H$47:$H$73,MATCH(JJ$3,'Standards for Conversions'!$A$47:$A$73,0))))</f>
        <v/>
      </c>
      <c r="JM165" s="33" t="s">
        <v>38</v>
      </c>
      <c r="JP165" s="31" t="str">
        <f>IF(JO165/(INDEX('Standards for Conversions'!$H$47:$H$73,MATCH(JN$3,'Standards for Conversions'!$A$47:$A$73,0)))=0,"",JO165/(INDEX('Standards for Conversions'!$H$47:$H$73,MATCH(JN$3,'Standards for Conversions'!$A$47:$A$73,0))))</f>
        <v/>
      </c>
      <c r="JQ165" s="33" t="s">
        <v>38</v>
      </c>
      <c r="JT165" s="31" t="str">
        <f>IF(JS165/(INDEX('Standards for Conversions'!$H$47:$H$73,MATCH(JR$3,'Standards for Conversions'!$A$47:$A$73,0)))=0,"",JS165/(INDEX('Standards for Conversions'!$H$47:$H$73,MATCH(JR$3,'Standards for Conversions'!$A$47:$A$73,0))))</f>
        <v/>
      </c>
      <c r="JU165" s="33" t="s">
        <v>38</v>
      </c>
      <c r="JV165" s="29">
        <v>200</v>
      </c>
      <c r="JW165" s="29">
        <v>1000</v>
      </c>
      <c r="JX165" s="31">
        <f>IF(JW165/(INDEX('Standards for Conversions'!$H$47:$H$73,MATCH(JV$3,'Standards for Conversions'!$A$47:$A$73,0)))=0,"",JW165/(INDEX('Standards for Conversions'!$H$47:$H$73,MATCH(JV$3,'Standards for Conversions'!$A$47:$A$73,0))))</f>
        <v>152.65589242779757</v>
      </c>
      <c r="JY165" s="33" t="s">
        <v>38</v>
      </c>
      <c r="KB165" s="31" t="str">
        <f>IF(KA165/(INDEX('Standards for Conversions'!$H$47:$H$73,MATCH(JZ$3,'Standards for Conversions'!$A$47:$A$73,0)))=0,"",KA165/(INDEX('Standards for Conversions'!$H$47:$H$73,MATCH(JZ$3,'Standards for Conversions'!$A$47:$A$73,0))))</f>
        <v/>
      </c>
      <c r="KC165" s="33" t="s">
        <v>38</v>
      </c>
      <c r="KF165" s="31" t="str">
        <f>IF(KE165/(INDEX('Standards for Conversions'!$H$47:$H$73,MATCH(KD$3,'Standards for Conversions'!$A$47:$A$73,0)))=0,"",KE165/(INDEX('Standards for Conversions'!$H$47:$H$73,MATCH(KD$3,'Standards for Conversions'!$A$47:$A$73,0))))</f>
        <v/>
      </c>
      <c r="KG165" s="33" t="s">
        <v>38</v>
      </c>
      <c r="KJ165" s="31" t="str">
        <f>IF(KI165/(INDEX('Standards for Conversions'!$H$47:$H$73,MATCH(KH$3,'Standards for Conversions'!$A$47:$A$73,0)))=0,"",KI165/(INDEX('Standards for Conversions'!$H$47:$H$73,MATCH(KH$3,'Standards for Conversions'!$A$47:$A$73,0))))</f>
        <v/>
      </c>
      <c r="KK165" s="33" t="s">
        <v>38</v>
      </c>
      <c r="KL165" s="29">
        <v>125</v>
      </c>
      <c r="KM165" s="29">
        <v>500</v>
      </c>
      <c r="KN165" s="31">
        <f>IF(KM165/(INDEX('Standards for Conversions'!$H$47:$H$73,MATCH(KL$3,'Standards for Conversions'!$A$47:$A$73,0)))=0,"",KM165/(INDEX('Standards for Conversions'!$H$47:$H$73,MATCH(KL$3,'Standards for Conversions'!$A$47:$A$73,0))))</f>
        <v>67.329505952898231</v>
      </c>
      <c r="KO165" s="33" t="s">
        <v>38</v>
      </c>
      <c r="KR165" s="31" t="str">
        <f>IF(KQ165/(INDEX('Standards for Conversions'!$H$47:$H$73,MATCH(KP$3,'Standards for Conversions'!$A$47:$A$73,0)))=0,"",KQ165/(INDEX('Standards for Conversions'!$H$47:$H$73,MATCH(KP$3,'Standards for Conversions'!$A$47:$A$73,0))))</f>
        <v/>
      </c>
      <c r="KS165" s="33" t="s">
        <v>38</v>
      </c>
      <c r="KV165" s="31" t="str">
        <f>IF(KU165/(INDEX('Standards for Conversions'!$H$47:$H$73,MATCH(KT$3,'Standards for Conversions'!$A$47:$A$73,0)))=0,"",KU165/(INDEX('Standards for Conversions'!$H$47:$H$73,MATCH(KT$3,'Standards for Conversions'!$A$47:$A$73,0))))</f>
        <v/>
      </c>
      <c r="KW165" s="48" t="s">
        <v>38</v>
      </c>
      <c r="KZ165" s="31" t="str">
        <f>IF(KY165/(INDEX('Standards for Conversions'!$H$47:$H$73,MATCH(KX$3,'Standards for Conversions'!$A$47:$A$73,0)))=0,"",KY165/(INDEX('Standards for Conversions'!$H$47:$H$73,MATCH(KX$3,'Standards for Conversions'!$A$47:$A$73,0))))</f>
        <v/>
      </c>
      <c r="LA165" s="48" t="s">
        <v>38</v>
      </c>
      <c r="LB165" s="29">
        <v>45</v>
      </c>
      <c r="LC165" s="29">
        <v>240</v>
      </c>
      <c r="LD165" s="31">
        <f>IF(LC165/(INDEX('Standards for Conversions'!$H$47:$H$73,MATCH(LB$3,'Standards for Conversions'!$A$47:$A$73,0)))=0,"",LC165/(INDEX('Standards for Conversions'!$H$47:$H$73,MATCH(LB$3,'Standards for Conversions'!$A$47:$A$73,0))))</f>
        <v>29.187976014599801</v>
      </c>
      <c r="LE165" s="33"/>
      <c r="LH165" s="31" t="str">
        <f>IF(LG165/(INDEX('Standards for Conversions'!$H$47:$H$73,MATCH(LF$3,'Standards for Conversions'!$A$47:$A$73,0)))=0,"",LG165/(INDEX('Standards for Conversions'!$H$47:$H$73,MATCH(LF$3,'Standards for Conversions'!$A$47:$A$73,0))))</f>
        <v/>
      </c>
      <c r="LL165" s="31" t="str">
        <f>IF(LK165/(INDEX('Standards for Conversions'!$H$47:$H$73,MATCH(LJ$3,'Standards for Conversions'!$A$47:$A$73,0)))=0,"",LK165/(INDEX('Standards for Conversions'!$H$47:$H$73,MATCH(LJ$3,'Standards for Conversions'!$A$47:$A$73,0))))</f>
        <v/>
      </c>
      <c r="LO165" s="31" t="str">
        <f>IF(LN165/(INDEX('Standards for Conversions'!$H$47:$H$73,MATCH(LM$3,'Standards for Conversions'!$A$47:$A$73,0)))=0,"",LN165/(INDEX('Standards for Conversions'!$H$47:$H$73,MATCH(LM$3,'Standards for Conversions'!$A$47:$A$73,0))))</f>
        <v/>
      </c>
      <c r="LR165" s="31" t="str">
        <f>IF(LQ165/(INDEX('Standards for Conversions'!$H$47:$H$73,MATCH(LP$3,'Standards for Conversions'!$A$47:$A$73,0)))=0,"",LQ165/(INDEX('Standards for Conversions'!$H$47:$H$73,MATCH(LP$3,'Standards for Conversions'!$A$47:$A$73,0))))</f>
        <v/>
      </c>
      <c r="LV165" s="31" t="str">
        <f>IF(LU165/(INDEX('Standards for Conversions'!$H$47:$H$73,MATCH(LT$3,'Standards for Conversions'!$A$47:$A$73,0)))=0,"",LU165/(INDEX('Standards for Conversions'!$H$47:$H$73,MATCH(LT$3,'Standards for Conversions'!$A$47:$A$73,0))))</f>
        <v/>
      </c>
      <c r="LY165" s="31" t="str">
        <f>IF(LX165/(INDEX('Standards for Conversions'!$H$47:$H$73,MATCH(LW$3,'Standards for Conversions'!$A$47:$A$73,0)))=0,"",LX165/(INDEX('Standards for Conversions'!$H$47:$H$73,MATCH(LW$3,'Standards for Conversions'!$A$47:$A$73,0))))</f>
        <v/>
      </c>
      <c r="MB165" s="31" t="str">
        <f>IF(MA165/(INDEX('Standards for Conversions'!$H$47:$H$73,MATCH(LZ$3,'Standards for Conversions'!$A$47:$A$73,0)))=0,"",MA165/(INDEX('Standards for Conversions'!$H$47:$H$73,MATCH(LZ$3,'Standards for Conversions'!$A$47:$A$73,0))))</f>
        <v/>
      </c>
      <c r="ME165" s="31" t="str">
        <f>IF(MD165/(INDEX('Standards for Conversions'!$H$47:$H$73,MATCH(MC$3,'Standards for Conversions'!$A$47:$A$73,0)))=0,"",MD165/(INDEX('Standards for Conversions'!$H$47:$H$73,MATCH(MC$3,'Standards for Conversions'!$A$47:$A$73,0))))</f>
        <v/>
      </c>
      <c r="MH165" s="31" t="str">
        <f>IF(MG165/(INDEX('Standards for Conversions'!$H$47:$H$73,MATCH(MF$3,'Standards for Conversions'!$A$47:$A$73,0)))=0,"",MG165/(INDEX('Standards for Conversions'!$H$47:$H$73,MATCH(MF$3,'Standards for Conversions'!$A$47:$A$73,0))))</f>
        <v/>
      </c>
      <c r="MK165" s="31" t="str">
        <f>IF(MJ165/(INDEX('Standards for Conversions'!$H$47:$H$73,MATCH(MI$3,'Standards for Conversions'!$A$47:$A$73,0)))=0,"",MJ165/(INDEX('Standards for Conversions'!$H$47:$H$73,MATCH(MI$3,'Standards for Conversions'!$A$47:$A$73,0))))</f>
        <v/>
      </c>
      <c r="MN165" s="31" t="str">
        <f>IF(MM165/(INDEX('Standards for Conversions'!$H$47:$H$73,MATCH(ML$3,'Standards for Conversions'!$A$47:$A$73,0)))=0,"",MM165/(INDEX('Standards for Conversions'!$H$47:$H$73,MATCH(ML$3,'Standards for Conversions'!$A$47:$A$73,0))))</f>
        <v/>
      </c>
      <c r="MP165" s="33"/>
      <c r="MR165" s="31" t="str">
        <f>IF(MQ165/(INDEX('Standards for Conversions'!$H$47:$H$73,MATCH(MP$3,'Standards for Conversions'!$A$47:$A$73,0)))=0,"",MQ165/(INDEX('Standards for Conversions'!$H$47:$H$73,MATCH(MP$3,'Standards for Conversions'!$A$47:$A$73,0))))</f>
        <v/>
      </c>
    </row>
    <row r="166" spans="1:373" x14ac:dyDescent="0.3">
      <c r="A166" s="102" t="s">
        <v>325</v>
      </c>
      <c r="B166" s="10" t="s">
        <v>98</v>
      </c>
      <c r="C166" s="7"/>
      <c r="D166" s="7"/>
      <c r="E166" s="31" t="str">
        <f>IF(D166/(INDEX('Standards for Conversions'!$H$34:$H$73,MATCH(C$3,'Standards for Conversions'!$A$34:$A$73,0)))=0,"",D166/(INDEX('Standards for Conversions'!$H$34:$H$73,MATCH(C$3,'Standards for Conversions'!$A$34:$A$73,0))))</f>
        <v/>
      </c>
      <c r="F166" s="10" t="s">
        <v>98</v>
      </c>
      <c r="G166" s="7"/>
      <c r="H166" s="7"/>
      <c r="I166" s="31" t="str">
        <f>IF(H166/(INDEX('Standards for Conversions'!$H$34:$H$73,MATCH(G$3,'Standards for Conversions'!$A$34:$A$73,0)))=0,"",H166/(INDEX('Standards for Conversions'!$H$34:$H$73,MATCH(G$3,'Standards for Conversions'!$A$34:$A$73,0))))</f>
        <v/>
      </c>
      <c r="J166" s="6" t="s">
        <v>38</v>
      </c>
      <c r="K166" s="7"/>
      <c r="L166" s="7"/>
      <c r="M166" s="31" t="str">
        <f>IF(L166/(INDEX('Standards for Conversions'!$H$34:$H$73,MATCH(K$3,'Standards for Conversions'!$A$34:$A$73,0)))=0,"",L166/(INDEX('Standards for Conversions'!$H$34:$H$73,MATCH(K$3,'Standards for Conversions'!$A$34:$A$73,0))))</f>
        <v/>
      </c>
      <c r="N166" s="10" t="s">
        <v>98</v>
      </c>
      <c r="O166" s="7"/>
      <c r="P166" s="7"/>
      <c r="Q166" s="31" t="str">
        <f>IF(P166/(INDEX('Standards for Conversions'!$H$34:$H$73,MATCH(O$3,'Standards for Conversions'!$A$34:$A$73,0)))=0,"",P166/(INDEX('Standards for Conversions'!$H$34:$H$73,MATCH(O$3,'Standards for Conversions'!$A$34:$A$73,0))))</f>
        <v/>
      </c>
      <c r="R166" s="10" t="s">
        <v>98</v>
      </c>
      <c r="S166" s="7"/>
      <c r="T166" s="7"/>
      <c r="U166" s="31" t="str">
        <f>IF(T166/(INDEX('Standards for Conversions'!$H$34:$H$73,MATCH(S$3,'Standards for Conversions'!$A$34:$A$73,0)))=0,"",T166/(INDEX('Standards for Conversions'!$H$34:$H$73,MATCH(S$3,'Standards for Conversions'!$A$34:$A$73,0))))</f>
        <v/>
      </c>
      <c r="V166" s="10" t="s">
        <v>98</v>
      </c>
      <c r="W166" s="7"/>
      <c r="X166" s="7"/>
      <c r="Y166" s="31" t="str">
        <f>IF(X166/(INDEX('Standards for Conversions'!$H$34:$H$73,MATCH(W$3,'Standards for Conversions'!$A$34:$A$73,0)))=0,"",X166/(INDEX('Standards for Conversions'!$H$34:$H$73,MATCH(W$3,'Standards for Conversions'!$A$34:$A$73,0))))</f>
        <v/>
      </c>
      <c r="Z166" s="6" t="s">
        <v>38</v>
      </c>
      <c r="AA166" s="7"/>
      <c r="AB166" s="7"/>
      <c r="AC166" s="31" t="str">
        <f>IF(AB166/(INDEX('Standards for Conversions'!$H$34:$H$73,MATCH(AA$3,'Standards for Conversions'!$A$34:$A$73,0)))=0,"",AB166/(INDEX('Standards for Conversions'!$H$34:$H$73,MATCH(AA$3,'Standards for Conversions'!$A$34:$A$73,0))))</f>
        <v/>
      </c>
      <c r="AD166" s="10" t="s">
        <v>98</v>
      </c>
      <c r="AE166" s="7"/>
      <c r="AF166" s="7"/>
      <c r="AG166" s="31" t="str">
        <f>IF(AF166/(INDEX('Standards for Conversions'!$H$34:$H$73,MATCH(AE$3,'Standards for Conversions'!$A$34:$A$73,0)))=0,"",AF166/(INDEX('Standards for Conversions'!$H$34:$H$73,MATCH(AE$3,'Standards for Conversions'!$A$34:$A$73,0))))</f>
        <v/>
      </c>
      <c r="AH166" s="10" t="s">
        <v>98</v>
      </c>
      <c r="AI166" s="7"/>
      <c r="AJ166" s="7"/>
      <c r="AK166" s="31" t="str">
        <f>IF(AJ166/(INDEX('Standards for Conversions'!$H$34:$H$73,MATCH(AI$3,'Standards for Conversions'!$A$34:$A$73,0)))=0,"",AJ166/(INDEX('Standards for Conversions'!$H$34:$H$73,MATCH(AI$3,'Standards for Conversions'!$A$34:$A$73,0))))</f>
        <v/>
      </c>
      <c r="AL166" s="10" t="s">
        <v>98</v>
      </c>
      <c r="AM166" s="7"/>
      <c r="AN166" s="7"/>
      <c r="AO166" s="31" t="str">
        <f>IF(AN166/(INDEX('Standards for Conversions'!$H$34:$H$73,MATCH(AM$3,'Standards for Conversions'!$A$34:$A$73,0)))=0,"",AN166/(INDEX('Standards for Conversions'!$H$34:$H$73,MATCH(AM$3,'Standards for Conversions'!$A$34:$A$73,0))))</f>
        <v/>
      </c>
      <c r="AP166" s="6" t="s">
        <v>38</v>
      </c>
      <c r="AQ166" s="7"/>
      <c r="AR166" s="7"/>
      <c r="AS166" s="31" t="str">
        <f>IF(AR166/(INDEX('Standards for Conversions'!$H$34:$H$73,MATCH(AQ$3,'Standards for Conversions'!$A$34:$A$73,0)))=0,"",AR166/(INDEX('Standards for Conversions'!$H$34:$H$73,MATCH(AQ$3,'Standards for Conversions'!$A$34:$A$73,0))))</f>
        <v/>
      </c>
      <c r="AT166" s="10" t="s">
        <v>98</v>
      </c>
      <c r="AU166" s="7"/>
      <c r="AV166" s="7"/>
      <c r="AW166" s="31" t="str">
        <f>IF(AV166/(INDEX('Standards for Conversions'!$H$34:$H$73,MATCH(AU$3,'Standards for Conversions'!$A$34:$A$73,0)))=0,"",AV166/(INDEX('Standards for Conversions'!$H$34:$H$73,MATCH(AU$3,'Standards for Conversions'!$A$34:$A$73,0))))</f>
        <v/>
      </c>
      <c r="AX166" s="10" t="s">
        <v>98</v>
      </c>
      <c r="AY166" s="7"/>
      <c r="AZ166" s="7"/>
      <c r="BA166" s="31" t="str">
        <f>IF(AZ166/(INDEX('Standards for Conversions'!$H$34:$H$73,MATCH(AY$3,'Standards for Conversions'!$A$34:$A$73,0)))=0,"",AZ166/(INDEX('Standards for Conversions'!$H$34:$H$73,MATCH(AY$3,'Standards for Conversions'!$A$34:$A$73,0))))</f>
        <v/>
      </c>
      <c r="BB166" s="10" t="s">
        <v>98</v>
      </c>
      <c r="BC166" s="7"/>
      <c r="BD166" s="7"/>
      <c r="BE166" s="31" t="str">
        <f>IF(BD166/(INDEX('Standards for Conversions'!$H$34:$H$73,MATCH(BC$3,'Standards for Conversions'!$A$34:$A$73,0)))=0,"",BD166/(INDEX('Standards for Conversions'!$H$34:$H$73,MATCH(BC$3,'Standards for Conversions'!$A$34:$A$73,0))))</f>
        <v/>
      </c>
      <c r="BF166" s="6" t="s">
        <v>38</v>
      </c>
      <c r="BG166" s="7"/>
      <c r="BH166" s="7"/>
      <c r="BI166" s="31" t="str">
        <f>IF(BH166/(INDEX('Standards for Conversions'!$H$34:$H$73,MATCH(BG$3,'Standards for Conversions'!$A$34:$A$73,0)))=0,"",BH166/(INDEX('Standards for Conversions'!$H$34:$H$73,MATCH(BG$3,'Standards for Conversions'!$A$34:$A$73,0))))</f>
        <v/>
      </c>
      <c r="BJ166" s="10" t="s">
        <v>98</v>
      </c>
      <c r="BK166" s="7"/>
      <c r="BL166" s="7"/>
      <c r="BM166" s="31" t="str">
        <f>IF(BL166/(INDEX('Standards for Conversions'!$H$34:$H$73,MATCH(BK$3,'Standards for Conversions'!$A$34:$A$73,0)))=0,"",BL166/(INDEX('Standards for Conversions'!$H$34:$H$73,MATCH(BK$3,'Standards for Conversions'!$A$34:$A$73,0))))</f>
        <v/>
      </c>
      <c r="BN166" s="10" t="s">
        <v>98</v>
      </c>
      <c r="BO166" s="7"/>
      <c r="BP166" s="7"/>
      <c r="BQ166" s="31" t="str">
        <f>IF(BP166/(INDEX('Standards for Conversions'!$H$34:$H$73,MATCH(BO$3,'Standards for Conversions'!$A$34:$A$73,0)))=0,"",BP166/(INDEX('Standards for Conversions'!$H$34:$H$73,MATCH(BO$3,'Standards for Conversions'!$A$34:$A$73,0))))</f>
        <v/>
      </c>
      <c r="BR166" s="10" t="s">
        <v>98</v>
      </c>
      <c r="BS166" s="7"/>
      <c r="BT166" s="7"/>
      <c r="BU166" s="31" t="str">
        <f>IF(BT166/(INDEX('Standards for Conversions'!$H$34:$H$73,MATCH(BS$3,'Standards for Conversions'!$A$34:$A$73,0)))=0,"",BT166/(INDEX('Standards for Conversions'!$H$34:$H$73,MATCH(BS$3,'Standards for Conversions'!$A$34:$A$73,0))))</f>
        <v/>
      </c>
      <c r="BV166" s="6" t="s">
        <v>38</v>
      </c>
      <c r="BW166" s="7"/>
      <c r="BX166" s="7"/>
      <c r="BY166" s="31" t="str">
        <f>IF(BX166/(INDEX('Standards for Conversions'!$H$34:$H$73,MATCH(BW$3,'Standards for Conversions'!$A$34:$A$73,0)))=0,"",BX166/(INDEX('Standards for Conversions'!$H$34:$H$73,MATCH(BW$3,'Standards for Conversions'!$A$34:$A$73,0))))</f>
        <v/>
      </c>
      <c r="BZ166" s="10" t="s">
        <v>98</v>
      </c>
      <c r="CA166" s="7"/>
      <c r="CB166" s="7"/>
      <c r="CC166" s="31" t="str">
        <f>IF(CB166/(INDEX('Standards for Conversions'!$H$34:$H$73,MATCH(CA$3,'Standards for Conversions'!$A$34:$A$73,0)))=0,"",CB166/(INDEX('Standards for Conversions'!$H$34:$H$73,MATCH(CA$3,'Standards for Conversions'!$A$34:$A$73,0))))</f>
        <v/>
      </c>
      <c r="CD166" s="10" t="s">
        <v>98</v>
      </c>
      <c r="CE166" s="7"/>
      <c r="CF166" s="7"/>
      <c r="CG166" s="31" t="str">
        <f>IF(CF166/(INDEX('Standards for Conversions'!$H$34:$H$73,MATCH(CE$3,'Standards for Conversions'!$A$34:$A$73,0)))=0,"",CF166/(INDEX('Standards for Conversions'!$H$34:$H$73,MATCH(CE$3,'Standards for Conversions'!$A$34:$A$73,0))))</f>
        <v/>
      </c>
      <c r="CH166" s="10" t="s">
        <v>98</v>
      </c>
      <c r="CI166" s="7"/>
      <c r="CJ166" s="7"/>
      <c r="CK166" s="31" t="str">
        <f>IF(CJ166/(INDEX('Standards for Conversions'!$H$34:$H$73,MATCH(CI$3,'Standards for Conversions'!$A$34:$A$73,0)))=0,"",CJ166/(INDEX('Standards for Conversions'!$H$34:$H$73,MATCH(CI$3,'Standards for Conversions'!$A$34:$A$73,0))))</f>
        <v/>
      </c>
      <c r="CM166" s="7"/>
      <c r="CN166" s="7"/>
      <c r="CO166" s="31"/>
      <c r="CP166" s="10" t="s">
        <v>98</v>
      </c>
      <c r="CQ166" s="7"/>
      <c r="CR166" s="7"/>
      <c r="CS166" s="31" t="str">
        <f>IF(CR166/(INDEX('Standards for Conversions'!$H$34:$H$73,MATCH(CQ$3,'Standards for Conversions'!$A$34:$A$73,0)))=0,"",CR166/(INDEX('Standards for Conversions'!$H$34:$H$73,MATCH(CQ$3,'Standards for Conversions'!$A$34:$A$73,0))))</f>
        <v/>
      </c>
      <c r="CT166" s="10" t="s">
        <v>98</v>
      </c>
      <c r="CU166" s="7"/>
      <c r="CV166" s="7"/>
      <c r="CW166" s="31" t="str">
        <f>IF(CV166/(INDEX('Standards for Conversions'!$H$34:$H$73,MATCH(CU$3,'Standards for Conversions'!$A$34:$A$73,0)))=0,"",CV166/(INDEX('Standards for Conversions'!$H$34:$H$73,MATCH(CU$3,'Standards for Conversions'!$A$34:$A$73,0))))</f>
        <v/>
      </c>
      <c r="CX166" s="10" t="s">
        <v>98</v>
      </c>
      <c r="CY166" s="7"/>
      <c r="CZ166" s="7"/>
      <c r="DA166" s="31" t="str">
        <f>IF(CZ166/(INDEX('Standards for Conversions'!$H$34:$H$73,MATCH(CY$3,'Standards for Conversions'!$A$34:$A$73,0)))=0,"",CZ166/(INDEX('Standards for Conversions'!$H$34:$H$73,MATCH(CY$3,'Standards for Conversions'!$A$34:$A$73,0))))</f>
        <v/>
      </c>
      <c r="DB166" s="6" t="s">
        <v>38</v>
      </c>
      <c r="DC166" s="7">
        <v>331</v>
      </c>
      <c r="DD166" s="7">
        <v>4500</v>
      </c>
      <c r="DE166" s="31">
        <f>IF(DD166/(INDEX('Standards for Conversions'!$H$34:$H$73,MATCH(DC$3,'Standards for Conversions'!$A$34:$A$73,0)))=0,"",DD166/(INDEX('Standards for Conversions'!$H$34:$H$73,MATCH(DC$3,'Standards for Conversions'!$A$34:$A$73,0))))</f>
        <v>796.52075910315466</v>
      </c>
      <c r="DF166" s="10" t="s">
        <v>98</v>
      </c>
      <c r="DG166" s="7"/>
      <c r="DH166" s="7"/>
      <c r="DI166" s="31" t="str">
        <f>IF(DH166/(INDEX('Standards for Conversions'!$H$34:$H$73,MATCH(DG$3,'Standards for Conversions'!$A$34:$A$73,0)))=0,"",DH166/(INDEX('Standards for Conversions'!$H$34:$H$73,MATCH(DG$3,'Standards for Conversions'!$A$34:$A$73,0))))</f>
        <v/>
      </c>
      <c r="DJ166" s="10" t="s">
        <v>98</v>
      </c>
      <c r="DK166" s="7"/>
      <c r="DL166" s="7"/>
      <c r="DM166" s="31" t="str">
        <f>IF(DL166/(INDEX('Standards for Conversions'!$H$34:$H$73,MATCH(DK$3,'Standards for Conversions'!$A$34:$A$73,0)))=0,"",DL166/(INDEX('Standards for Conversions'!$H$34:$H$73,MATCH(DK$3,'Standards for Conversions'!$A$34:$A$73,0))))</f>
        <v/>
      </c>
      <c r="DN166" s="10" t="s">
        <v>98</v>
      </c>
      <c r="DO166" s="7"/>
      <c r="DP166" s="7"/>
      <c r="DQ166" s="31" t="str">
        <f>IF(DP166/(INDEX('Standards for Conversions'!$H$34:$H$73,MATCH(DO$3,'Standards for Conversions'!$A$34:$A$73,0)))=0,"",DP166/(INDEX('Standards for Conversions'!$H$34:$H$73,MATCH(DO$3,'Standards for Conversions'!$A$34:$A$73,0))))</f>
        <v/>
      </c>
      <c r="DR166" s="10" t="s">
        <v>98</v>
      </c>
      <c r="DS166" s="7">
        <f>3*265</f>
        <v>795</v>
      </c>
      <c r="DT166" s="7">
        <v>2220</v>
      </c>
      <c r="DU166" s="31">
        <f>IF(DT166/(INDEX('Standards for Conversions'!$H$34:$H$73,MATCH(DS$3,'Standards for Conversions'!$A$34:$A$73,0)))=0,"",DT166/(INDEX('Standards for Conversions'!$H$34:$H$73,MATCH(DS$3,'Standards for Conversions'!$A$34:$A$73,0))))</f>
        <v>388.71991559485531</v>
      </c>
      <c r="DV166" s="10" t="s">
        <v>98</v>
      </c>
      <c r="DW166" s="7"/>
      <c r="DX166" s="7"/>
      <c r="DY166" s="31" t="str">
        <f>IF(DX166/(INDEX('Standards for Conversions'!$H$34:$H$73,MATCH(DW$3,'Standards for Conversions'!$A$34:$A$73,0)))=0,"",DX166/(INDEX('Standards for Conversions'!$H$34:$H$73,MATCH(DW$3,'Standards for Conversions'!$A$34:$A$73,0))))</f>
        <v/>
      </c>
      <c r="DZ166" s="10" t="s">
        <v>98</v>
      </c>
      <c r="EA166" s="7"/>
      <c r="EB166" s="7"/>
      <c r="EC166" s="31" t="str">
        <f>IF(EB166/(INDEX('Standards for Conversions'!$H$34:$H$73,MATCH(EA$3,'Standards for Conversions'!$A$34:$A$73,0)))=0,"",EB166/(INDEX('Standards for Conversions'!$H$34:$H$73,MATCH(EA$3,'Standards for Conversions'!$A$34:$A$73,0))))</f>
        <v/>
      </c>
      <c r="ED166" s="10" t="s">
        <v>98</v>
      </c>
      <c r="EE166" s="7"/>
      <c r="EF166" s="7"/>
      <c r="EG166" s="31" t="str">
        <f>IF(EF166/(INDEX('Standards for Conversions'!$H$34:$H$73,MATCH(EE$3,'Standards for Conversions'!$A$34:$A$73,0)))=0,"",EF166/(INDEX('Standards for Conversions'!$H$34:$H$73,MATCH(EE$3,'Standards for Conversions'!$A$34:$A$73,0))))</f>
        <v/>
      </c>
      <c r="EH166" s="10" t="s">
        <v>98</v>
      </c>
      <c r="EI166" s="7">
        <f>3*265</f>
        <v>795</v>
      </c>
      <c r="EJ166" s="7">
        <v>2220</v>
      </c>
      <c r="EK166" s="31">
        <f>IF(EJ166/(INDEX('Standards for Conversions'!$H$34:$H$73,MATCH(EI$3,'Standards for Conversions'!$A$34:$A$73,0)))=0,"",EJ166/(INDEX('Standards for Conversions'!$H$34:$H$73,MATCH(EI$3,'Standards for Conversions'!$A$34:$A$73,0))))</f>
        <v>388.24987942122181</v>
      </c>
      <c r="EL166" s="10" t="s">
        <v>98</v>
      </c>
      <c r="EM166" s="7"/>
      <c r="EN166" s="7"/>
      <c r="EO166" s="31" t="str">
        <f>IF(EN166/(INDEX('Standards for Conversions'!$H$34:$H$73,MATCH(EM$3,'Standards for Conversions'!$A$34:$A$73,0)))=0,"",EN166/(INDEX('Standards for Conversions'!$H$34:$H$73,MATCH(EM$3,'Standards for Conversions'!$A$34:$A$73,0))))</f>
        <v/>
      </c>
      <c r="EP166" s="10" t="s">
        <v>98</v>
      </c>
      <c r="EQ166" s="7"/>
      <c r="ER166" s="7"/>
      <c r="ES166" s="31" t="str">
        <f>IF(ER166/(INDEX('Standards for Conversions'!$H$34:$H$73,MATCH(EQ$3,'Standards for Conversions'!$A$34:$A$73,0)))=0,"",ER166/(INDEX('Standards for Conversions'!$H$34:$H$73,MATCH(EQ$3,'Standards for Conversions'!$A$34:$A$73,0))))</f>
        <v/>
      </c>
      <c r="ET166" s="10" t="s">
        <v>98</v>
      </c>
      <c r="EU166" s="7"/>
      <c r="EV166" s="7"/>
      <c r="EW166" s="31" t="str">
        <f>IF(EV166/(INDEX('Standards for Conversions'!$H$34:$H$73,MATCH(EU$3,'Standards for Conversions'!$A$34:$A$73,0)))=0,"",EV166/(INDEX('Standards for Conversions'!$H$34:$H$73,MATCH(EU$3,'Standards for Conversions'!$A$34:$A$73,0))))</f>
        <v/>
      </c>
      <c r="EX166" s="10" t="s">
        <v>98</v>
      </c>
      <c r="EY166" s="9">
        <f>3*219</f>
        <v>657</v>
      </c>
      <c r="EZ166" s="9">
        <v>1955</v>
      </c>
      <c r="FA166" s="31">
        <f>IF(EZ166/(INDEX('Standards for Conversions'!$H$34:$H$73,MATCH(EY$3,'Standards for Conversions'!$A$34:$A$73,0)))=0,"",EZ166/(INDEX('Standards for Conversions'!$H$34:$H$73,MATCH(EY$3,'Standards for Conversions'!$A$34:$A$73,0))))</f>
        <v>334.8679558728744</v>
      </c>
      <c r="FB166" s="10" t="s">
        <v>98</v>
      </c>
      <c r="FC166" s="7"/>
      <c r="FD166" s="7"/>
      <c r="FE166" s="31" t="str">
        <f>IF(FD166/(INDEX('Standards for Conversions'!$H$34:$H$73,MATCH(FC$3,'Standards for Conversions'!$A$34:$A$73,0)))=0,"",FD166/(INDEX('Standards for Conversions'!$H$34:$H$73,MATCH(FC$3,'Standards for Conversions'!$A$34:$A$73,0))))</f>
        <v/>
      </c>
      <c r="FF166" s="10" t="s">
        <v>98</v>
      </c>
      <c r="FG166" s="7"/>
      <c r="FH166" s="7"/>
      <c r="FI166" s="31" t="str">
        <f>IF(FH166/(INDEX('Standards for Conversions'!$H$34:$H$73,MATCH(FG$3,'Standards for Conversions'!$A$34:$A$73,0)))=0,"",FH166/(INDEX('Standards for Conversions'!$H$34:$H$73,MATCH(FG$3,'Standards for Conversions'!$A$34:$A$73,0))))</f>
        <v/>
      </c>
      <c r="FJ166" s="10" t="s">
        <v>98</v>
      </c>
      <c r="FK166" s="7"/>
      <c r="FL166" s="7"/>
      <c r="FM166" s="31" t="str">
        <f>IF(FL166/(INDEX('Standards for Conversions'!$H$34:$H$73,MATCH(FK$3,'Standards for Conversions'!$A$34:$A$73,0)))=0,"",FL166/(INDEX('Standards for Conversions'!$H$34:$H$73,MATCH(FK$3,'Standards for Conversions'!$A$34:$A$73,0))))</f>
        <v/>
      </c>
      <c r="FN166" s="10" t="s">
        <v>98</v>
      </c>
      <c r="FO166" s="9">
        <f>3*250</f>
        <v>750</v>
      </c>
      <c r="FP166" s="9">
        <v>2200</v>
      </c>
      <c r="FQ166" s="31">
        <f>IF(FP166/(INDEX('Standards for Conversions'!$H$34:$H$73,MATCH(FO$3,'Standards for Conversions'!$A$34:$A$73,0)))=0,"",FP166/(INDEX('Standards for Conversions'!$H$34:$H$73,MATCH(FO$3,'Standards for Conversions'!$A$34:$A$73,0))))</f>
        <v>377.2993069435995</v>
      </c>
      <c r="FR166" s="10" t="s">
        <v>98</v>
      </c>
      <c r="FS166" s="7"/>
      <c r="FT166" s="7"/>
      <c r="FU166" s="31" t="str">
        <f>IF(FT166/(INDEX('Standards for Conversions'!$H$34:$H$73,MATCH(FS$3,'Standards for Conversions'!$A$34:$A$73,0)))=0,"",FT166/(INDEX('Standards for Conversions'!$H$34:$H$73,MATCH(FS$3,'Standards for Conversions'!$A$34:$A$73,0))))</f>
        <v/>
      </c>
      <c r="FV166" s="10" t="s">
        <v>98</v>
      </c>
      <c r="FW166" s="7"/>
      <c r="FX166" s="7"/>
      <c r="FY166" s="31" t="str">
        <f>IF(FX166/(INDEX('Standards for Conversions'!$H$34:$H$73,MATCH(FW$3,'Standards for Conversions'!$A$34:$A$73,0)))=0,"",FX166/(INDEX('Standards for Conversions'!$H$34:$H$73,MATCH(FW$3,'Standards for Conversions'!$A$34:$A$73,0))))</f>
        <v/>
      </c>
      <c r="FZ166" s="10" t="s">
        <v>98</v>
      </c>
      <c r="GA166" s="7"/>
      <c r="GB166" s="7"/>
      <c r="GC166" s="31" t="str">
        <f>IF(GB166/(INDEX('Standards for Conversions'!$H$34:$H$73,MATCH(GA$3,'Standards for Conversions'!$A$34:$A$73,0)))=0,"",GB166/(INDEX('Standards for Conversions'!$H$34:$H$73,MATCH(GA$3,'Standards for Conversions'!$A$34:$A$73,0))))</f>
        <v/>
      </c>
      <c r="GD166" s="10" t="s">
        <v>98</v>
      </c>
      <c r="GE166" s="9">
        <f>3*150</f>
        <v>450</v>
      </c>
      <c r="GF166" s="9">
        <v>1200</v>
      </c>
      <c r="GG166" s="31">
        <f>IF(GF166/(INDEX('Standards for Conversions'!$H$34:$H$73,MATCH(GE$3,'Standards for Conversions'!$A$34:$A$73,0)))=0,"",GF166/(INDEX('Standards for Conversions'!$H$34:$H$73,MATCH(GE$3,'Standards for Conversions'!$A$34:$A$73,0))))</f>
        <v>197.41519292604502</v>
      </c>
      <c r="GH166" s="10" t="s">
        <v>98</v>
      </c>
      <c r="GI166" s="7"/>
      <c r="GJ166" s="7"/>
      <c r="GK166" s="31" t="str">
        <f>IF(GJ166/(INDEX('Standards for Conversions'!$H$34:$H$73,MATCH(GI$3,'Standards for Conversions'!$A$34:$A$73,0)))=0,"",GJ166/(INDEX('Standards for Conversions'!$H$34:$H$73,MATCH(GI$3,'Standards for Conversions'!$A$34:$A$73,0))))</f>
        <v/>
      </c>
      <c r="GL166" s="10" t="s">
        <v>98</v>
      </c>
      <c r="GM166" s="7"/>
      <c r="GN166" s="7"/>
      <c r="GO166" s="31" t="str">
        <f>IF(GN166/(INDEX('Standards for Conversions'!$H$34:$H$73,MATCH(GM$3,'Standards for Conversions'!$A$34:$A$73,0)))=0,"",GN166/(INDEX('Standards for Conversions'!$H$34:$H$73,MATCH(GM$3,'Standards for Conversions'!$A$34:$A$73,0))))</f>
        <v/>
      </c>
      <c r="GP166" s="10" t="s">
        <v>98</v>
      </c>
      <c r="GQ166" s="7"/>
      <c r="GR166" s="7"/>
      <c r="GS166" s="31" t="str">
        <f>IF(GR166/(INDEX('Standards for Conversions'!$H$34:$H$73,MATCH(GQ$3,'Standards for Conversions'!$A$34:$A$73,0)))=0,"",GR166/(INDEX('Standards for Conversions'!$H$34:$H$73,MATCH(GQ$3,'Standards for Conversions'!$A$34:$A$73,0))))</f>
        <v/>
      </c>
      <c r="GT166" s="10" t="s">
        <v>98</v>
      </c>
      <c r="GU166" s="9">
        <f>3*100</f>
        <v>300</v>
      </c>
      <c r="GV166" s="9">
        <v>1000</v>
      </c>
      <c r="GW166" s="31">
        <f>IF(GV166/(INDEX('Standards for Conversions'!$H$34:$H$73,MATCH(GU$3,'Standards for Conversions'!$A$34:$A$73,0)))=0,"",GV166/(INDEX('Standards for Conversions'!$H$34:$H$73,MATCH(GU$3,'Standards for Conversions'!$A$34:$A$73,0))))</f>
        <v>153.71453245850353</v>
      </c>
      <c r="GX166" s="10" t="s">
        <v>98</v>
      </c>
      <c r="GY166" s="7"/>
      <c r="GZ166" s="7"/>
      <c r="HA166" s="31" t="str">
        <f>IF(GZ166/(INDEX('Standards for Conversions'!$H$34:$H$73,MATCH(GY$3,'Standards for Conversions'!$A$34:$A$73,0)))=0,"",GZ166/(INDEX('Standards for Conversions'!$H$34:$H$73,MATCH(GY$3,'Standards for Conversions'!$A$34:$A$73,0))))</f>
        <v/>
      </c>
      <c r="HB166" s="10" t="s">
        <v>98</v>
      </c>
      <c r="HC166" s="7"/>
      <c r="HD166" s="7"/>
      <c r="HE166" s="31" t="str">
        <f>IF(HD166/(INDEX('Standards for Conversions'!$H$34:$H$73,MATCH(HC$3,'Standards for Conversions'!$A$34:$A$73,0)))=0,"",HD166/(INDEX('Standards for Conversions'!$H$34:$H$73,MATCH(HC$3,'Standards for Conversions'!$A$34:$A$73,0))))</f>
        <v/>
      </c>
      <c r="HF166" s="10" t="s">
        <v>98</v>
      </c>
      <c r="HG166" s="7"/>
      <c r="HH166" s="7"/>
      <c r="HI166" s="31" t="str">
        <f>IF(HH166/(INDEX('Standards for Conversions'!$H$34:$H$73,MATCH(HG$3,'Standards for Conversions'!$A$34:$A$73,0)))=0,"",HH166/(INDEX('Standards for Conversions'!$H$34:$H$73,MATCH(HG$3,'Standards for Conversions'!$A$34:$A$73,0))))</f>
        <v/>
      </c>
      <c r="HJ166" s="10" t="s">
        <v>98</v>
      </c>
      <c r="HK166" s="9">
        <f>3*150</f>
        <v>450</v>
      </c>
      <c r="HL166" s="9">
        <v>1500</v>
      </c>
      <c r="HM166" s="31">
        <f>IF(HL166/(INDEX('Standards for Conversions'!$H$34:$H$73,MATCH(HK$3,'Standards for Conversions'!$A$34:$A$73,0)))=0,"",HL166/(INDEX('Standards for Conversions'!$H$34:$H$73,MATCH(HK$3,'Standards for Conversions'!$A$34:$A$73,0))))</f>
        <v>227.07828658642561</v>
      </c>
      <c r="HN166" s="10" t="s">
        <v>98</v>
      </c>
      <c r="HO166" s="7"/>
      <c r="HP166" s="7"/>
      <c r="HQ166" s="31" t="str">
        <f>IF(HP166/(INDEX('Standards for Conversions'!$H$34:$H$73,MATCH(HO$3,'Standards for Conversions'!$A$34:$A$73,0)))=0,"",HP166/(INDEX('Standards for Conversions'!$H$34:$H$73,MATCH(HO$3,'Standards for Conversions'!$A$34:$A$73,0))))</f>
        <v/>
      </c>
      <c r="HR166" s="33" t="s">
        <v>98</v>
      </c>
      <c r="HU166" s="31" t="str">
        <f>IF(HT166/(INDEX('Standards for Conversions'!$H$47:$H$73,MATCH(HS$3,'Standards for Conversions'!$A$47:$A$73,0)))=0,"",HT166/(INDEX('Standards for Conversions'!$H$47:$H$73,MATCH(HS$3,'Standards for Conversions'!$A$47:$A$73,0))))</f>
        <v/>
      </c>
      <c r="HV166" s="33" t="s">
        <v>98</v>
      </c>
      <c r="HY166" s="31" t="str">
        <f>IF(HX166/(INDEX('Standards for Conversions'!$H$47:$H$73,MATCH(HW$3,'Standards for Conversions'!$A$47:$A$73,0)))=0,"",HX166/(INDEX('Standards for Conversions'!$H$47:$H$73,MATCH(HW$3,'Standards for Conversions'!$A$47:$A$73,0))))</f>
        <v/>
      </c>
      <c r="HZ166" s="33">
        <f>3*200</f>
        <v>600</v>
      </c>
      <c r="IA166" s="33">
        <v>2000</v>
      </c>
      <c r="IB166" s="31">
        <f>IF(IA166/(INDEX('Standards for Conversions'!$H$47:$H$73,MATCH(HZ$3,'Standards for Conversions'!$A$47:$A$73,0)))=0,"",IA166/(INDEX('Standards for Conversions'!$H$47:$H$73,MATCH(HZ$3,'Standards for Conversions'!$A$47:$A$73,0))))</f>
        <v>290.49082442571193</v>
      </c>
      <c r="IC166" s="33" t="s">
        <v>98</v>
      </c>
      <c r="IF166" s="31" t="str">
        <f>IF(IE166/(INDEX('Standards for Conversions'!$H$47:$H$73,MATCH(ID$3,'Standards for Conversions'!$A$47:$A$73,0)))=0,"",IE166/(INDEX('Standards for Conversions'!$H$47:$H$73,MATCH(ID$3,'Standards for Conversions'!$A$47:$A$73,0))))</f>
        <v/>
      </c>
      <c r="IG166" s="33" t="s">
        <v>98</v>
      </c>
      <c r="IJ166" s="31" t="str">
        <f>IF(II166/(INDEX('Standards for Conversions'!$H$47:$H$73,MATCH(IH$3,'Standards for Conversions'!$A$47:$A$73,0)))=0,"",II166/(INDEX('Standards for Conversions'!$H$47:$H$73,MATCH(IH$3,'Standards for Conversions'!$A$47:$A$73,0))))</f>
        <v/>
      </c>
      <c r="IK166" s="33" t="s">
        <v>98</v>
      </c>
      <c r="IN166" s="31" t="str">
        <f>IF(IM166/(INDEX('Standards for Conversions'!$H$47:$H$73,MATCH(IL$3,'Standards for Conversions'!$A$47:$A$73,0)))=0,"",IM166/(INDEX('Standards for Conversions'!$H$47:$H$73,MATCH(IL$3,'Standards for Conversions'!$A$47:$A$73,0))))</f>
        <v/>
      </c>
      <c r="IO166" s="33" t="s">
        <v>98</v>
      </c>
      <c r="IP166" s="29">
        <f>3*289</f>
        <v>867</v>
      </c>
      <c r="IQ166" s="29">
        <v>4050</v>
      </c>
      <c r="IR166" s="31">
        <f>IF(IQ166/(INDEX('Standards for Conversions'!$H$47:$H$73,MATCH(IP$3,'Standards for Conversions'!$A$47:$A$73,0)))=0,"",IQ166/(INDEX('Standards for Conversions'!$H$47:$H$73,MATCH(IP$3,'Standards for Conversions'!$A$47:$A$73,0))))</f>
        <v>585.67142418745107</v>
      </c>
      <c r="IS166" s="33" t="s">
        <v>98</v>
      </c>
      <c r="IV166" s="31" t="str">
        <f>IF(IU166/(INDEX('Standards for Conversions'!$H$47:$H$73,MATCH(IT$3,'Standards for Conversions'!$A$47:$A$73,0)))=0,"",IU166/(INDEX('Standards for Conversions'!$H$47:$H$73,MATCH(IT$3,'Standards for Conversions'!$A$47:$A$73,0))))</f>
        <v/>
      </c>
      <c r="IW166" s="33" t="s">
        <v>98</v>
      </c>
      <c r="IZ166" s="31" t="str">
        <f>IF(IY166/(INDEX('Standards for Conversions'!$H$47:$H$73,MATCH(IX$3,'Standards for Conversions'!$A$47:$A$73,0)))=0,"",IY166/(INDEX('Standards for Conversions'!$H$47:$H$73,MATCH(IX$3,'Standards for Conversions'!$A$47:$A$73,0))))</f>
        <v/>
      </c>
      <c r="JA166" s="48" t="s">
        <v>98</v>
      </c>
      <c r="JD166" s="31" t="str">
        <f>IF(JC166/(INDEX('Standards for Conversions'!$H$47:$H$73,MATCH(JB$3,'Standards for Conversions'!$A$47:$A$73,0)))=0,"",JC166/(INDEX('Standards for Conversions'!$H$47:$H$73,MATCH(JB$3,'Standards for Conversions'!$A$47:$A$73,0))))</f>
        <v/>
      </c>
      <c r="JE166" s="48" t="s">
        <v>98</v>
      </c>
      <c r="JF166" s="29">
        <f>3*240</f>
        <v>720</v>
      </c>
      <c r="JG166" s="29">
        <v>2700</v>
      </c>
      <c r="JH166" s="31">
        <f>IF(JG166/(INDEX('Standards for Conversions'!$H$47:$H$73,MATCH(JF$3,'Standards for Conversions'!$A$47:$A$73,0)))=0,"",JG166/(INDEX('Standards for Conversions'!$H$47:$H$73,MATCH(JF$3,'Standards for Conversions'!$A$47:$A$73,0))))</f>
        <v>436.75253106804547</v>
      </c>
      <c r="JI166" s="33"/>
      <c r="JL166" s="31" t="str">
        <f>IF(JK166/(INDEX('Standards for Conversions'!$H$47:$H$73,MATCH(JJ$3,'Standards for Conversions'!$A$47:$A$73,0)))=0,"",JK166/(INDEX('Standards for Conversions'!$H$47:$H$73,MATCH(JJ$3,'Standards for Conversions'!$A$47:$A$73,0))))</f>
        <v/>
      </c>
      <c r="JM166" s="33" t="s">
        <v>98</v>
      </c>
      <c r="JP166" s="31" t="str">
        <f>IF(JO166/(INDEX('Standards for Conversions'!$H$47:$H$73,MATCH(JN$3,'Standards for Conversions'!$A$47:$A$73,0)))=0,"",JO166/(INDEX('Standards for Conversions'!$H$47:$H$73,MATCH(JN$3,'Standards for Conversions'!$A$47:$A$73,0))))</f>
        <v/>
      </c>
      <c r="JQ166" s="33" t="s">
        <v>98</v>
      </c>
      <c r="JT166" s="31" t="str">
        <f>IF(JS166/(INDEX('Standards for Conversions'!$H$47:$H$73,MATCH(JR$3,'Standards for Conversions'!$A$47:$A$73,0)))=0,"",JS166/(INDEX('Standards for Conversions'!$H$47:$H$73,MATCH(JR$3,'Standards for Conversions'!$A$47:$A$73,0))))</f>
        <v/>
      </c>
      <c r="JU166" s="33" t="s">
        <v>98</v>
      </c>
      <c r="JV166" s="29">
        <f>3*200</f>
        <v>600</v>
      </c>
      <c r="JW166" s="29">
        <v>2000</v>
      </c>
      <c r="JX166" s="31">
        <f>IF(JW166/(INDEX('Standards for Conversions'!$H$47:$H$73,MATCH(JV$3,'Standards for Conversions'!$A$47:$A$73,0)))=0,"",JW166/(INDEX('Standards for Conversions'!$H$47:$H$73,MATCH(JV$3,'Standards for Conversions'!$A$47:$A$73,0))))</f>
        <v>305.31178485559514</v>
      </c>
      <c r="JY166" s="33" t="s">
        <v>98</v>
      </c>
      <c r="KB166" s="31" t="str">
        <f>IF(KA166/(INDEX('Standards for Conversions'!$H$47:$H$73,MATCH(JZ$3,'Standards for Conversions'!$A$47:$A$73,0)))=0,"",KA166/(INDEX('Standards for Conversions'!$H$47:$H$73,MATCH(JZ$3,'Standards for Conversions'!$A$47:$A$73,0))))</f>
        <v/>
      </c>
      <c r="KC166" s="33" t="s">
        <v>98</v>
      </c>
      <c r="KF166" s="31" t="str">
        <f>IF(KE166/(INDEX('Standards for Conversions'!$H$47:$H$73,MATCH(KD$3,'Standards for Conversions'!$A$47:$A$73,0)))=0,"",KE166/(INDEX('Standards for Conversions'!$H$47:$H$73,MATCH(KD$3,'Standards for Conversions'!$A$47:$A$73,0))))</f>
        <v/>
      </c>
      <c r="KG166" s="33" t="s">
        <v>98</v>
      </c>
      <c r="KJ166" s="31" t="str">
        <f>IF(KI166/(INDEX('Standards for Conversions'!$H$47:$H$73,MATCH(KH$3,'Standards for Conversions'!$A$47:$A$73,0)))=0,"",KI166/(INDEX('Standards for Conversions'!$H$47:$H$73,MATCH(KH$3,'Standards for Conversions'!$A$47:$A$73,0))))</f>
        <v/>
      </c>
      <c r="KK166" s="33" t="s">
        <v>98</v>
      </c>
      <c r="KL166" s="29">
        <f>3*225</f>
        <v>675</v>
      </c>
      <c r="KM166" s="29">
        <v>2400</v>
      </c>
      <c r="KN166" s="31">
        <f>IF(KM166/(INDEX('Standards for Conversions'!$H$47:$H$73,MATCH(KL$3,'Standards for Conversions'!$A$47:$A$73,0)))=0,"",KM166/(INDEX('Standards for Conversions'!$H$47:$H$73,MATCH(KL$3,'Standards for Conversions'!$A$47:$A$73,0))))</f>
        <v>323.1816285739115</v>
      </c>
      <c r="KO166" s="33" t="s">
        <v>98</v>
      </c>
      <c r="KR166" s="31" t="str">
        <f>IF(KQ166/(INDEX('Standards for Conversions'!$H$47:$H$73,MATCH(KP$3,'Standards for Conversions'!$A$47:$A$73,0)))=0,"",KQ166/(INDEX('Standards for Conversions'!$H$47:$H$73,MATCH(KP$3,'Standards for Conversions'!$A$47:$A$73,0))))</f>
        <v/>
      </c>
      <c r="KS166" s="33" t="s">
        <v>98</v>
      </c>
      <c r="KV166" s="31" t="str">
        <f>IF(KU166/(INDEX('Standards for Conversions'!$H$47:$H$73,MATCH(KT$3,'Standards for Conversions'!$A$47:$A$73,0)))=0,"",KU166/(INDEX('Standards for Conversions'!$H$47:$H$73,MATCH(KT$3,'Standards for Conversions'!$A$47:$A$73,0))))</f>
        <v/>
      </c>
      <c r="KW166" s="48" t="s">
        <v>98</v>
      </c>
      <c r="KZ166" s="31" t="str">
        <f>IF(KY166/(INDEX('Standards for Conversions'!$H$47:$H$73,MATCH(KX$3,'Standards for Conversions'!$A$47:$A$73,0)))=0,"",KY166/(INDEX('Standards for Conversions'!$H$47:$H$73,MATCH(KX$3,'Standards for Conversions'!$A$47:$A$73,0))))</f>
        <v/>
      </c>
      <c r="LA166" s="48" t="s">
        <v>98</v>
      </c>
      <c r="LB166" s="29">
        <f>3*154</f>
        <v>462</v>
      </c>
      <c r="LC166" s="29">
        <v>2100</v>
      </c>
      <c r="LD166" s="31">
        <f>IF(LC166/(INDEX('Standards for Conversions'!$H$47:$H$73,MATCH(LB$3,'Standards for Conversions'!$A$47:$A$73,0)))=0,"",LC166/(INDEX('Standards for Conversions'!$H$47:$H$73,MATCH(LB$3,'Standards for Conversions'!$A$47:$A$73,0))))</f>
        <v>255.39479012774828</v>
      </c>
      <c r="LE166" s="33"/>
      <c r="LH166" s="31" t="str">
        <f>IF(LG166/(INDEX('Standards for Conversions'!$H$47:$H$73,MATCH(LF$3,'Standards for Conversions'!$A$47:$A$73,0)))=0,"",LG166/(INDEX('Standards for Conversions'!$H$47:$H$73,MATCH(LF$3,'Standards for Conversions'!$A$47:$A$73,0))))</f>
        <v/>
      </c>
      <c r="LI166" s="29" t="s">
        <v>98</v>
      </c>
      <c r="LJ166" s="29">
        <f>3*200</f>
        <v>600</v>
      </c>
      <c r="LK166" s="29">
        <v>2500</v>
      </c>
      <c r="LL166" s="31">
        <f>IF(LK166/(INDEX('Standards for Conversions'!$H$47:$H$73,MATCH(LJ$3,'Standards for Conversions'!$A$47:$A$73,0)))=0,"",LK166/(INDEX('Standards for Conversions'!$H$47:$H$73,MATCH(LJ$3,'Standards for Conversions'!$A$47:$A$73,0))))</f>
        <v>245.07516710842674</v>
      </c>
      <c r="LO166" s="31" t="str">
        <f>IF(LN166/(INDEX('Standards for Conversions'!$H$47:$H$73,MATCH(LM$3,'Standards for Conversions'!$A$47:$A$73,0)))=0,"",LN166/(INDEX('Standards for Conversions'!$H$47:$H$73,MATCH(LM$3,'Standards for Conversions'!$A$47:$A$73,0))))</f>
        <v/>
      </c>
      <c r="LR166" s="31" t="str">
        <f>IF(LQ166/(INDEX('Standards for Conversions'!$H$47:$H$73,MATCH(LP$3,'Standards for Conversions'!$A$47:$A$73,0)))=0,"",LQ166/(INDEX('Standards for Conversions'!$H$47:$H$73,MATCH(LP$3,'Standards for Conversions'!$A$47:$A$73,0))))</f>
        <v/>
      </c>
      <c r="LV166" s="31" t="str">
        <f>IF(LU166/(INDEX('Standards for Conversions'!$H$47:$H$73,MATCH(LT$3,'Standards for Conversions'!$A$47:$A$73,0)))=0,"",LU166/(INDEX('Standards for Conversions'!$H$47:$H$73,MATCH(LT$3,'Standards for Conversions'!$A$47:$A$73,0))))</f>
        <v/>
      </c>
      <c r="LY166" s="31" t="str">
        <f>IF(LX166/(INDEX('Standards for Conversions'!$H$47:$H$73,MATCH(LW$3,'Standards for Conversions'!$A$47:$A$73,0)))=0,"",LX166/(INDEX('Standards for Conversions'!$H$47:$H$73,MATCH(LW$3,'Standards for Conversions'!$A$47:$A$73,0))))</f>
        <v/>
      </c>
      <c r="MB166" s="31" t="str">
        <f>IF(MA166/(INDEX('Standards for Conversions'!$H$47:$H$73,MATCH(LZ$3,'Standards for Conversions'!$A$47:$A$73,0)))=0,"",MA166/(INDEX('Standards for Conversions'!$H$47:$H$73,MATCH(LZ$3,'Standards for Conversions'!$A$47:$A$73,0))))</f>
        <v/>
      </c>
      <c r="ME166" s="31" t="str">
        <f>IF(MD166/(INDEX('Standards for Conversions'!$H$47:$H$73,MATCH(MC$3,'Standards for Conversions'!$A$47:$A$73,0)))=0,"",MD166/(INDEX('Standards for Conversions'!$H$47:$H$73,MATCH(MC$3,'Standards for Conversions'!$A$47:$A$73,0))))</f>
        <v/>
      </c>
      <c r="MH166" s="31" t="str">
        <f>IF(MG166/(INDEX('Standards for Conversions'!$H$47:$H$73,MATCH(MF$3,'Standards for Conversions'!$A$47:$A$73,0)))=0,"",MG166/(INDEX('Standards for Conversions'!$H$47:$H$73,MATCH(MF$3,'Standards for Conversions'!$A$47:$A$73,0))))</f>
        <v/>
      </c>
      <c r="MK166" s="31" t="str">
        <f>IF(MJ166/(INDEX('Standards for Conversions'!$H$47:$H$73,MATCH(MI$3,'Standards for Conversions'!$A$47:$A$73,0)))=0,"",MJ166/(INDEX('Standards for Conversions'!$H$47:$H$73,MATCH(MI$3,'Standards for Conversions'!$A$47:$A$73,0))))</f>
        <v/>
      </c>
      <c r="MN166" s="31" t="str">
        <f>IF(MM166/(INDEX('Standards for Conversions'!$H$47:$H$73,MATCH(ML$3,'Standards for Conversions'!$A$47:$A$73,0)))=0,"",MM166/(INDEX('Standards for Conversions'!$H$47:$H$73,MATCH(ML$3,'Standards for Conversions'!$A$47:$A$73,0))))</f>
        <v/>
      </c>
      <c r="MP166" s="33"/>
      <c r="MR166" s="31" t="str">
        <f>IF(MQ166/(INDEX('Standards for Conversions'!$H$47:$H$73,MATCH(MP$3,'Standards for Conversions'!$A$47:$A$73,0)))=0,"",MQ166/(INDEX('Standards for Conversions'!$H$47:$H$73,MATCH(MP$3,'Standards for Conversions'!$A$47:$A$73,0))))</f>
        <v/>
      </c>
    </row>
    <row r="167" spans="1:373" hidden="1" x14ac:dyDescent="0.3">
      <c r="A167" s="103" t="s">
        <v>326</v>
      </c>
      <c r="B167" s="10" t="s">
        <v>57</v>
      </c>
      <c r="C167" s="7"/>
      <c r="D167" s="7"/>
      <c r="E167" s="31" t="str">
        <f>IF(D167/(INDEX('Standards for Conversions'!$H$34:$H$73,MATCH(C$3,'Standards for Conversions'!$A$34:$A$73,0)))=0,"",D167/(INDEX('Standards for Conversions'!$H$34:$H$73,MATCH(C$3,'Standards for Conversions'!$A$34:$A$73,0))))</f>
        <v/>
      </c>
      <c r="F167" s="10" t="s">
        <v>57</v>
      </c>
      <c r="G167" s="7"/>
      <c r="H167" s="7"/>
      <c r="I167" s="31" t="str">
        <f>IF(H167/(INDEX('Standards for Conversions'!$H$34:$H$73,MATCH(G$3,'Standards for Conversions'!$A$34:$A$73,0)))=0,"",H167/(INDEX('Standards for Conversions'!$H$34:$H$73,MATCH(G$3,'Standards for Conversions'!$A$34:$A$73,0))))</f>
        <v/>
      </c>
      <c r="J167" s="10" t="s">
        <v>45</v>
      </c>
      <c r="K167" s="7"/>
      <c r="L167" s="7"/>
      <c r="M167" s="31" t="str">
        <f>IF(L167/(INDEX('Standards for Conversions'!$H$34:$H$73,MATCH(K$3,'Standards for Conversions'!$A$34:$A$73,0)))=0,"",L167/(INDEX('Standards for Conversions'!$H$34:$H$73,MATCH(K$3,'Standards for Conversions'!$A$34:$A$73,0))))</f>
        <v/>
      </c>
      <c r="N167" s="10" t="s">
        <v>45</v>
      </c>
      <c r="O167" s="7"/>
      <c r="P167" s="7"/>
      <c r="Q167" s="31" t="str">
        <f>IF(P167/(INDEX('Standards for Conversions'!$H$34:$H$73,MATCH(O$3,'Standards for Conversions'!$A$34:$A$73,0)))=0,"",P167/(INDEX('Standards for Conversions'!$H$34:$H$73,MATCH(O$3,'Standards for Conversions'!$A$34:$A$73,0))))</f>
        <v/>
      </c>
      <c r="R167" s="10" t="s">
        <v>57</v>
      </c>
      <c r="S167" s="7"/>
      <c r="T167" s="7"/>
      <c r="U167" s="31" t="str">
        <f>IF(T167/(INDEX('Standards for Conversions'!$H$34:$H$73,MATCH(S$3,'Standards for Conversions'!$A$34:$A$73,0)))=0,"",T167/(INDEX('Standards for Conversions'!$H$34:$H$73,MATCH(S$3,'Standards for Conversions'!$A$34:$A$73,0))))</f>
        <v/>
      </c>
      <c r="V167" s="10" t="s">
        <v>57</v>
      </c>
      <c r="W167" s="7"/>
      <c r="X167" s="7"/>
      <c r="Y167" s="31" t="str">
        <f>IF(X167/(INDEX('Standards for Conversions'!$H$34:$H$73,MATCH(W$3,'Standards for Conversions'!$A$34:$A$73,0)))=0,"",X167/(INDEX('Standards for Conversions'!$H$34:$H$73,MATCH(W$3,'Standards for Conversions'!$A$34:$A$73,0))))</f>
        <v/>
      </c>
      <c r="Z167" s="10" t="s">
        <v>45</v>
      </c>
      <c r="AA167" s="7"/>
      <c r="AB167" s="7"/>
      <c r="AC167" s="31" t="str">
        <f>IF(AB167/(INDEX('Standards for Conversions'!$H$34:$H$73,MATCH(AA$3,'Standards for Conversions'!$A$34:$A$73,0)))=0,"",AB167/(INDEX('Standards for Conversions'!$H$34:$H$73,MATCH(AA$3,'Standards for Conversions'!$A$34:$A$73,0))))</f>
        <v/>
      </c>
      <c r="AD167" s="10" t="s">
        <v>45</v>
      </c>
      <c r="AE167" s="7"/>
      <c r="AF167" s="7"/>
      <c r="AG167" s="31" t="str">
        <f>IF(AF167/(INDEX('Standards for Conversions'!$H$34:$H$73,MATCH(AE$3,'Standards for Conversions'!$A$34:$A$73,0)))=0,"",AF167/(INDEX('Standards for Conversions'!$H$34:$H$73,MATCH(AE$3,'Standards for Conversions'!$A$34:$A$73,0))))</f>
        <v/>
      </c>
      <c r="AH167" s="10" t="s">
        <v>57</v>
      </c>
      <c r="AI167" s="7"/>
      <c r="AJ167" s="7"/>
      <c r="AK167" s="31" t="str">
        <f>IF(AJ167/(INDEX('Standards for Conversions'!$H$34:$H$73,MATCH(AI$3,'Standards for Conversions'!$A$34:$A$73,0)))=0,"",AJ167/(INDEX('Standards for Conversions'!$H$34:$H$73,MATCH(AI$3,'Standards for Conversions'!$A$34:$A$73,0))))</f>
        <v/>
      </c>
      <c r="AL167" s="10" t="s">
        <v>57</v>
      </c>
      <c r="AM167" s="7"/>
      <c r="AN167" s="7"/>
      <c r="AO167" s="31" t="str">
        <f>IF(AN167/(INDEX('Standards for Conversions'!$H$34:$H$73,MATCH(AM$3,'Standards for Conversions'!$A$34:$A$73,0)))=0,"",AN167/(INDEX('Standards for Conversions'!$H$34:$H$73,MATCH(AM$3,'Standards for Conversions'!$A$34:$A$73,0))))</f>
        <v/>
      </c>
      <c r="AP167" s="10" t="s">
        <v>45</v>
      </c>
      <c r="AQ167" s="7"/>
      <c r="AR167" s="7"/>
      <c r="AS167" s="31" t="str">
        <f>IF(AR167/(INDEX('Standards for Conversions'!$H$34:$H$73,MATCH(AQ$3,'Standards for Conversions'!$A$34:$A$73,0)))=0,"",AR167/(INDEX('Standards for Conversions'!$H$34:$H$73,MATCH(AQ$3,'Standards for Conversions'!$A$34:$A$73,0))))</f>
        <v/>
      </c>
      <c r="AT167" s="10" t="s">
        <v>45</v>
      </c>
      <c r="AU167" s="7"/>
      <c r="AV167" s="7"/>
      <c r="AW167" s="31" t="str">
        <f>IF(AV167/(INDEX('Standards for Conversions'!$H$34:$H$73,MATCH(AU$3,'Standards for Conversions'!$A$34:$A$73,0)))=0,"",AV167/(INDEX('Standards for Conversions'!$H$34:$H$73,MATCH(AU$3,'Standards for Conversions'!$A$34:$A$73,0))))</f>
        <v/>
      </c>
      <c r="AX167" s="10" t="s">
        <v>57</v>
      </c>
      <c r="AY167" s="7"/>
      <c r="AZ167" s="7"/>
      <c r="BA167" s="31" t="str">
        <f>IF(AZ167/(INDEX('Standards for Conversions'!$H$34:$H$73,MATCH(AY$3,'Standards for Conversions'!$A$34:$A$73,0)))=0,"",AZ167/(INDEX('Standards for Conversions'!$H$34:$H$73,MATCH(AY$3,'Standards for Conversions'!$A$34:$A$73,0))))</f>
        <v/>
      </c>
      <c r="BB167" s="10" t="s">
        <v>57</v>
      </c>
      <c r="BC167" s="7"/>
      <c r="BD167" s="7"/>
      <c r="BE167" s="31" t="str">
        <f>IF(BD167/(INDEX('Standards for Conversions'!$H$34:$H$73,MATCH(BC$3,'Standards for Conversions'!$A$34:$A$73,0)))=0,"",BD167/(INDEX('Standards for Conversions'!$H$34:$H$73,MATCH(BC$3,'Standards for Conversions'!$A$34:$A$73,0))))</f>
        <v/>
      </c>
      <c r="BF167" s="10" t="s">
        <v>45</v>
      </c>
      <c r="BG167" s="7"/>
      <c r="BH167" s="7"/>
      <c r="BI167" s="31" t="str">
        <f>IF(BH167/(INDEX('Standards for Conversions'!$H$34:$H$73,MATCH(BG$3,'Standards for Conversions'!$A$34:$A$73,0)))=0,"",BH167/(INDEX('Standards for Conversions'!$H$34:$H$73,MATCH(BG$3,'Standards for Conversions'!$A$34:$A$73,0))))</f>
        <v/>
      </c>
      <c r="BJ167" s="10" t="s">
        <v>45</v>
      </c>
      <c r="BK167" s="7"/>
      <c r="BL167" s="7"/>
      <c r="BM167" s="31" t="str">
        <f>IF(BL167/(INDEX('Standards for Conversions'!$H$34:$H$73,MATCH(BK$3,'Standards for Conversions'!$A$34:$A$73,0)))=0,"",BL167/(INDEX('Standards for Conversions'!$H$34:$H$73,MATCH(BK$3,'Standards for Conversions'!$A$34:$A$73,0))))</f>
        <v/>
      </c>
      <c r="BN167" s="10" t="s">
        <v>57</v>
      </c>
      <c r="BO167" s="7"/>
      <c r="BP167" s="7"/>
      <c r="BQ167" s="31" t="str">
        <f>IF(BP167/(INDEX('Standards for Conversions'!$H$34:$H$73,MATCH(BO$3,'Standards for Conversions'!$A$34:$A$73,0)))=0,"",BP167/(INDEX('Standards for Conversions'!$H$34:$H$73,MATCH(BO$3,'Standards for Conversions'!$A$34:$A$73,0))))</f>
        <v/>
      </c>
      <c r="BR167" s="10" t="s">
        <v>57</v>
      </c>
      <c r="BS167" s="7"/>
      <c r="BT167" s="7"/>
      <c r="BU167" s="31" t="str">
        <f>IF(BT167/(INDEX('Standards for Conversions'!$H$34:$H$73,MATCH(BS$3,'Standards for Conversions'!$A$34:$A$73,0)))=0,"",BT167/(INDEX('Standards for Conversions'!$H$34:$H$73,MATCH(BS$3,'Standards for Conversions'!$A$34:$A$73,0))))</f>
        <v/>
      </c>
      <c r="BV167" s="10" t="s">
        <v>45</v>
      </c>
      <c r="BW167" s="7"/>
      <c r="BX167" s="7"/>
      <c r="BY167" s="31" t="str">
        <f>IF(BX167/(INDEX('Standards for Conversions'!$H$34:$H$73,MATCH(BW$3,'Standards for Conversions'!$A$34:$A$73,0)))=0,"",BX167/(INDEX('Standards for Conversions'!$H$34:$H$73,MATCH(BW$3,'Standards for Conversions'!$A$34:$A$73,0))))</f>
        <v/>
      </c>
      <c r="BZ167" s="10" t="s">
        <v>45</v>
      </c>
      <c r="CA167" s="7"/>
      <c r="CB167" s="7"/>
      <c r="CC167" s="31" t="str">
        <f>IF(CB167/(INDEX('Standards for Conversions'!$H$34:$H$73,MATCH(CA$3,'Standards for Conversions'!$A$34:$A$73,0)))=0,"",CB167/(INDEX('Standards for Conversions'!$H$34:$H$73,MATCH(CA$3,'Standards for Conversions'!$A$34:$A$73,0))))</f>
        <v/>
      </c>
      <c r="CD167" s="10" t="s">
        <v>57</v>
      </c>
      <c r="CE167" s="7"/>
      <c r="CF167" s="7"/>
      <c r="CG167" s="31" t="str">
        <f>IF(CF167/(INDEX('Standards for Conversions'!$H$34:$H$73,MATCH(CE$3,'Standards for Conversions'!$A$34:$A$73,0)))=0,"",CF167/(INDEX('Standards for Conversions'!$H$34:$H$73,MATCH(CE$3,'Standards for Conversions'!$A$34:$A$73,0))))</f>
        <v/>
      </c>
      <c r="CH167" s="10" t="s">
        <v>57</v>
      </c>
      <c r="CI167" s="7"/>
      <c r="CJ167" s="7"/>
      <c r="CK167" s="31" t="str">
        <f>IF(CJ167/(INDEX('Standards for Conversions'!$H$34:$H$73,MATCH(CI$3,'Standards for Conversions'!$A$34:$A$73,0)))=0,"",CJ167/(INDEX('Standards for Conversions'!$H$34:$H$73,MATCH(CI$3,'Standards for Conversions'!$A$34:$A$73,0))))</f>
        <v/>
      </c>
      <c r="CL167" s="10" t="s">
        <v>45</v>
      </c>
      <c r="CM167" s="7"/>
      <c r="CN167" s="7"/>
      <c r="CO167" s="31" t="str">
        <f>IF(CN167/(INDEX('Standards for Conversions'!$H$34:$H$73,MATCH(CM$3,'Standards for Conversions'!$A$34:$A$73,0)))=0,"",CN167/(INDEX('Standards for Conversions'!$H$34:$H$73,MATCH(CM$3,'Standards for Conversions'!$A$34:$A$73,0))))</f>
        <v/>
      </c>
      <c r="CP167" s="10" t="s">
        <v>45</v>
      </c>
      <c r="CQ167" s="7"/>
      <c r="CR167" s="7"/>
      <c r="CS167" s="31" t="str">
        <f>IF(CR167/(INDEX('Standards for Conversions'!$H$34:$H$73,MATCH(CQ$3,'Standards for Conversions'!$A$34:$A$73,0)))=0,"",CR167/(INDEX('Standards for Conversions'!$H$34:$H$73,MATCH(CQ$3,'Standards for Conversions'!$A$34:$A$73,0))))</f>
        <v/>
      </c>
      <c r="CT167" s="10" t="s">
        <v>57</v>
      </c>
      <c r="CU167" s="7"/>
      <c r="CV167" s="7"/>
      <c r="CW167" s="31" t="str">
        <f>IF(CV167/(INDEX('Standards for Conversions'!$H$34:$H$73,MATCH(CU$3,'Standards for Conversions'!$A$34:$A$73,0)))=0,"",CV167/(INDEX('Standards for Conversions'!$H$34:$H$73,MATCH(CU$3,'Standards for Conversions'!$A$34:$A$73,0))))</f>
        <v/>
      </c>
      <c r="CX167" s="10" t="s">
        <v>57</v>
      </c>
      <c r="CY167" s="7"/>
      <c r="CZ167" s="7"/>
      <c r="DA167" s="31" t="str">
        <f>IF(CZ167/(INDEX('Standards for Conversions'!$H$34:$H$73,MATCH(CY$3,'Standards for Conversions'!$A$34:$A$73,0)))=0,"",CZ167/(INDEX('Standards for Conversions'!$H$34:$H$73,MATCH(CY$3,'Standards for Conversions'!$A$34:$A$73,0))))</f>
        <v/>
      </c>
      <c r="DB167" s="10" t="s">
        <v>45</v>
      </c>
      <c r="DC167" s="7"/>
      <c r="DD167" s="7"/>
      <c r="DE167" s="31" t="str">
        <f>IF(DD167/(INDEX('Standards for Conversions'!$H$34:$H$73,MATCH(DC$3,'Standards for Conversions'!$A$34:$A$73,0)))=0,"",DD167/(INDEX('Standards for Conversions'!$H$34:$H$73,MATCH(DC$3,'Standards for Conversions'!$A$34:$A$73,0))))</f>
        <v/>
      </c>
      <c r="DF167" s="10" t="s">
        <v>45</v>
      </c>
      <c r="DG167" s="7"/>
      <c r="DH167" s="7"/>
      <c r="DI167" s="31" t="str">
        <f>IF(DH167/(INDEX('Standards for Conversions'!$H$34:$H$73,MATCH(DG$3,'Standards for Conversions'!$A$34:$A$73,0)))=0,"",DH167/(INDEX('Standards for Conversions'!$H$34:$H$73,MATCH(DG$3,'Standards for Conversions'!$A$34:$A$73,0))))</f>
        <v/>
      </c>
      <c r="DJ167" s="10" t="s">
        <v>57</v>
      </c>
      <c r="DK167" s="7"/>
      <c r="DL167" s="7"/>
      <c r="DM167" s="31" t="str">
        <f>IF(DL167/(INDEX('Standards for Conversions'!$H$34:$H$73,MATCH(DK$3,'Standards for Conversions'!$A$34:$A$73,0)))=0,"",DL167/(INDEX('Standards for Conversions'!$H$34:$H$73,MATCH(DK$3,'Standards for Conversions'!$A$34:$A$73,0))))</f>
        <v/>
      </c>
      <c r="DN167" s="10" t="s">
        <v>57</v>
      </c>
      <c r="DO167" s="7"/>
      <c r="DP167" s="7"/>
      <c r="DQ167" s="31" t="str">
        <f>IF(DP167/(INDEX('Standards for Conversions'!$H$34:$H$73,MATCH(DO$3,'Standards for Conversions'!$A$34:$A$73,0)))=0,"",DP167/(INDEX('Standards for Conversions'!$H$34:$H$73,MATCH(DO$3,'Standards for Conversions'!$A$34:$A$73,0))))</f>
        <v/>
      </c>
      <c r="DR167" s="10" t="s">
        <v>45</v>
      </c>
      <c r="DS167" s="7"/>
      <c r="DT167" s="7"/>
      <c r="DU167" s="31" t="str">
        <f>IF(DT167/(INDEX('Standards for Conversions'!$H$34:$H$73,MATCH(DS$3,'Standards for Conversions'!$A$34:$A$73,0)))=0,"",DT167/(INDEX('Standards for Conversions'!$H$34:$H$73,MATCH(DS$3,'Standards for Conversions'!$A$34:$A$73,0))))</f>
        <v/>
      </c>
      <c r="DV167" s="10" t="s">
        <v>45</v>
      </c>
      <c r="DW167" s="7"/>
      <c r="DX167" s="7"/>
      <c r="DY167" s="31" t="str">
        <f>IF(DX167/(INDEX('Standards for Conversions'!$H$34:$H$73,MATCH(DW$3,'Standards for Conversions'!$A$34:$A$73,0)))=0,"",DX167/(INDEX('Standards for Conversions'!$H$34:$H$73,MATCH(DW$3,'Standards for Conversions'!$A$34:$A$73,0))))</f>
        <v/>
      </c>
      <c r="DZ167" s="10" t="s">
        <v>57</v>
      </c>
      <c r="EA167" s="7"/>
      <c r="EB167" s="7"/>
      <c r="EC167" s="31" t="str">
        <f>IF(EB167/(INDEX('Standards for Conversions'!$H$34:$H$73,MATCH(EA$3,'Standards for Conversions'!$A$34:$A$73,0)))=0,"",EB167/(INDEX('Standards for Conversions'!$H$34:$H$73,MATCH(EA$3,'Standards for Conversions'!$A$34:$A$73,0))))</f>
        <v/>
      </c>
      <c r="ED167" s="10" t="s">
        <v>57</v>
      </c>
      <c r="EE167" s="7"/>
      <c r="EF167" s="7"/>
      <c r="EG167" s="31" t="str">
        <f>IF(EF167/(INDEX('Standards for Conversions'!$H$34:$H$73,MATCH(EE$3,'Standards for Conversions'!$A$34:$A$73,0)))=0,"",EF167/(INDEX('Standards for Conversions'!$H$34:$H$73,MATCH(EE$3,'Standards for Conversions'!$A$34:$A$73,0))))</f>
        <v/>
      </c>
      <c r="EH167" s="10" t="s">
        <v>45</v>
      </c>
      <c r="EI167" s="7"/>
      <c r="EJ167" s="7"/>
      <c r="EK167" s="31" t="str">
        <f>IF(EJ167/(INDEX('Standards for Conversions'!$H$34:$H$73,MATCH(EI$3,'Standards for Conversions'!$A$34:$A$73,0)))=0,"",EJ167/(INDEX('Standards for Conversions'!$H$34:$H$73,MATCH(EI$3,'Standards for Conversions'!$A$34:$A$73,0))))</f>
        <v/>
      </c>
      <c r="EL167" s="10" t="s">
        <v>45</v>
      </c>
      <c r="EM167" s="7"/>
      <c r="EN167" s="7"/>
      <c r="EO167" s="31" t="str">
        <f>IF(EN167/(INDEX('Standards for Conversions'!$H$34:$H$73,MATCH(EM$3,'Standards for Conversions'!$A$34:$A$73,0)))=0,"",EN167/(INDEX('Standards for Conversions'!$H$34:$H$73,MATCH(EM$3,'Standards for Conversions'!$A$34:$A$73,0))))</f>
        <v/>
      </c>
      <c r="EP167" s="10" t="s">
        <v>57</v>
      </c>
      <c r="EQ167" s="7"/>
      <c r="ER167" s="7"/>
      <c r="ES167" s="31" t="str">
        <f>IF(ER167/(INDEX('Standards for Conversions'!$H$34:$H$73,MATCH(EQ$3,'Standards for Conversions'!$A$34:$A$73,0)))=0,"",ER167/(INDEX('Standards for Conversions'!$H$34:$H$73,MATCH(EQ$3,'Standards for Conversions'!$A$34:$A$73,0))))</f>
        <v/>
      </c>
      <c r="ET167" s="10" t="s">
        <v>57</v>
      </c>
      <c r="EU167" s="7"/>
      <c r="EV167" s="7"/>
      <c r="EW167" s="31" t="str">
        <f>IF(EV167/(INDEX('Standards for Conversions'!$H$34:$H$73,MATCH(EU$3,'Standards for Conversions'!$A$34:$A$73,0)))=0,"",EV167/(INDEX('Standards for Conversions'!$H$34:$H$73,MATCH(EU$3,'Standards for Conversions'!$A$34:$A$73,0))))</f>
        <v/>
      </c>
      <c r="EX167" s="10" t="s">
        <v>45</v>
      </c>
      <c r="EY167" s="9"/>
      <c r="EZ167" s="9"/>
      <c r="FA167" s="31" t="str">
        <f>IF(EZ167/(INDEX('Standards for Conversions'!$H$34:$H$73,MATCH(EY$3,'Standards for Conversions'!$A$34:$A$73,0)))=0,"",EZ167/(INDEX('Standards for Conversions'!$H$34:$H$73,MATCH(EY$3,'Standards for Conversions'!$A$34:$A$73,0))))</f>
        <v/>
      </c>
      <c r="FB167" s="10" t="s">
        <v>45</v>
      </c>
      <c r="FC167" s="7"/>
      <c r="FD167" s="7"/>
      <c r="FE167" s="31" t="str">
        <f>IF(FD167/(INDEX('Standards for Conversions'!$H$34:$H$73,MATCH(FC$3,'Standards for Conversions'!$A$34:$A$73,0)))=0,"",FD167/(INDEX('Standards for Conversions'!$H$34:$H$73,MATCH(FC$3,'Standards for Conversions'!$A$34:$A$73,0))))</f>
        <v/>
      </c>
      <c r="FF167" s="10" t="s">
        <v>57</v>
      </c>
      <c r="FG167" s="7"/>
      <c r="FH167" s="7"/>
      <c r="FI167" s="31" t="str">
        <f>IF(FH167/(INDEX('Standards for Conversions'!$H$34:$H$73,MATCH(FG$3,'Standards for Conversions'!$A$34:$A$73,0)))=0,"",FH167/(INDEX('Standards for Conversions'!$H$34:$H$73,MATCH(FG$3,'Standards for Conversions'!$A$34:$A$73,0))))</f>
        <v/>
      </c>
      <c r="FJ167" s="10" t="s">
        <v>57</v>
      </c>
      <c r="FK167" s="7"/>
      <c r="FL167" s="7"/>
      <c r="FM167" s="31" t="str">
        <f>IF(FL167/(INDEX('Standards for Conversions'!$H$34:$H$73,MATCH(FK$3,'Standards for Conversions'!$A$34:$A$73,0)))=0,"",FL167/(INDEX('Standards for Conversions'!$H$34:$H$73,MATCH(FK$3,'Standards for Conversions'!$A$34:$A$73,0))))</f>
        <v/>
      </c>
      <c r="FN167" s="10" t="s">
        <v>45</v>
      </c>
      <c r="FO167" s="9"/>
      <c r="FP167" s="9"/>
      <c r="FQ167" s="31" t="str">
        <f>IF(FP167/(INDEX('Standards for Conversions'!$H$34:$H$73,MATCH(FO$3,'Standards for Conversions'!$A$34:$A$73,0)))=0,"",FP167/(INDEX('Standards for Conversions'!$H$34:$H$73,MATCH(FO$3,'Standards for Conversions'!$A$34:$A$73,0))))</f>
        <v/>
      </c>
      <c r="FR167" s="10" t="s">
        <v>45</v>
      </c>
      <c r="FS167" s="7"/>
      <c r="FT167" s="7"/>
      <c r="FU167" s="31" t="str">
        <f>IF(FT167/(INDEX('Standards for Conversions'!$H$34:$H$73,MATCH(FS$3,'Standards for Conversions'!$A$34:$A$73,0)))=0,"",FT167/(INDEX('Standards for Conversions'!$H$34:$H$73,MATCH(FS$3,'Standards for Conversions'!$A$34:$A$73,0))))</f>
        <v/>
      </c>
      <c r="FV167" s="10" t="s">
        <v>57</v>
      </c>
      <c r="FW167" s="7"/>
      <c r="FX167" s="7"/>
      <c r="FY167" s="31" t="str">
        <f>IF(FX167/(INDEX('Standards for Conversions'!$H$34:$H$73,MATCH(FW$3,'Standards for Conversions'!$A$34:$A$73,0)))=0,"",FX167/(INDEX('Standards for Conversions'!$H$34:$H$73,MATCH(FW$3,'Standards for Conversions'!$A$34:$A$73,0))))</f>
        <v/>
      </c>
      <c r="FZ167" s="10" t="s">
        <v>57</v>
      </c>
      <c r="GA167" s="7"/>
      <c r="GB167" s="7"/>
      <c r="GC167" s="31" t="str">
        <f>IF(GB167/(INDEX('Standards for Conversions'!$H$34:$H$73,MATCH(GA$3,'Standards for Conversions'!$A$34:$A$73,0)))=0,"",GB167/(INDEX('Standards for Conversions'!$H$34:$H$73,MATCH(GA$3,'Standards for Conversions'!$A$34:$A$73,0))))</f>
        <v/>
      </c>
      <c r="GD167" s="10" t="s">
        <v>45</v>
      </c>
      <c r="GE167" s="9"/>
      <c r="GF167" s="9"/>
      <c r="GG167" s="31" t="str">
        <f>IF(GF167/(INDEX('Standards for Conversions'!$H$34:$H$73,MATCH(GE$3,'Standards for Conversions'!$A$34:$A$73,0)))=0,"",GF167/(INDEX('Standards for Conversions'!$H$34:$H$73,MATCH(GE$3,'Standards for Conversions'!$A$34:$A$73,0))))</f>
        <v/>
      </c>
      <c r="GH167" s="10" t="s">
        <v>45</v>
      </c>
      <c r="GI167" s="7"/>
      <c r="GJ167" s="7"/>
      <c r="GK167" s="31" t="str">
        <f>IF(GJ167/(INDEX('Standards for Conversions'!$H$34:$H$73,MATCH(GI$3,'Standards for Conversions'!$A$34:$A$73,0)))=0,"",GJ167/(INDEX('Standards for Conversions'!$H$34:$H$73,MATCH(GI$3,'Standards for Conversions'!$A$34:$A$73,0))))</f>
        <v/>
      </c>
      <c r="GL167" s="10" t="s">
        <v>57</v>
      </c>
      <c r="GM167" s="7"/>
      <c r="GN167" s="7"/>
      <c r="GO167" s="31" t="str">
        <f>IF(GN167/(INDEX('Standards for Conversions'!$H$34:$H$73,MATCH(GM$3,'Standards for Conversions'!$A$34:$A$73,0)))=0,"",GN167/(INDEX('Standards for Conversions'!$H$34:$H$73,MATCH(GM$3,'Standards for Conversions'!$A$34:$A$73,0))))</f>
        <v/>
      </c>
      <c r="GP167" s="10" t="s">
        <v>57</v>
      </c>
      <c r="GQ167" s="7"/>
      <c r="GR167" s="7"/>
      <c r="GS167" s="31" t="str">
        <f>IF(GR167/(INDEX('Standards for Conversions'!$H$34:$H$73,MATCH(GQ$3,'Standards for Conversions'!$A$34:$A$73,0)))=0,"",GR167/(INDEX('Standards for Conversions'!$H$34:$H$73,MATCH(GQ$3,'Standards for Conversions'!$A$34:$A$73,0))))</f>
        <v/>
      </c>
      <c r="GT167" s="10" t="s">
        <v>45</v>
      </c>
      <c r="GU167" s="9"/>
      <c r="GV167" s="9"/>
      <c r="GW167" s="31" t="str">
        <f>IF(GV167/(INDEX('Standards for Conversions'!$H$34:$H$73,MATCH(GU$3,'Standards for Conversions'!$A$34:$A$73,0)))=0,"",GV167/(INDEX('Standards for Conversions'!$H$34:$H$73,MATCH(GU$3,'Standards for Conversions'!$A$34:$A$73,0))))</f>
        <v/>
      </c>
      <c r="GX167" s="10" t="s">
        <v>45</v>
      </c>
      <c r="GY167" s="7"/>
      <c r="GZ167" s="7"/>
      <c r="HA167" s="31" t="str">
        <f>IF(GZ167/(INDEX('Standards for Conversions'!$H$34:$H$73,MATCH(GY$3,'Standards for Conversions'!$A$34:$A$73,0)))=0,"",GZ167/(INDEX('Standards for Conversions'!$H$34:$H$73,MATCH(GY$3,'Standards for Conversions'!$A$34:$A$73,0))))</f>
        <v/>
      </c>
      <c r="HB167" s="10" t="s">
        <v>57</v>
      </c>
      <c r="HC167" s="7"/>
      <c r="HD167" s="7"/>
      <c r="HE167" s="31" t="str">
        <f>IF(HD167/(INDEX('Standards for Conversions'!$H$34:$H$73,MATCH(HC$3,'Standards for Conversions'!$A$34:$A$73,0)))=0,"",HD167/(INDEX('Standards for Conversions'!$H$34:$H$73,MATCH(HC$3,'Standards for Conversions'!$A$34:$A$73,0))))</f>
        <v/>
      </c>
      <c r="HF167" s="10" t="s">
        <v>57</v>
      </c>
      <c r="HG167" s="7"/>
      <c r="HH167" s="7"/>
      <c r="HI167" s="31" t="str">
        <f>IF(HH167/(INDEX('Standards for Conversions'!$H$34:$H$73,MATCH(HG$3,'Standards for Conversions'!$A$34:$A$73,0)))=0,"",HH167/(INDEX('Standards for Conversions'!$H$34:$H$73,MATCH(HG$3,'Standards for Conversions'!$A$34:$A$73,0))))</f>
        <v/>
      </c>
      <c r="HJ167" s="10" t="s">
        <v>45</v>
      </c>
      <c r="HK167" s="9"/>
      <c r="HL167" s="9"/>
      <c r="HM167" s="31" t="str">
        <f>IF(HL167/(INDEX('Standards for Conversions'!$H$34:$H$73,MATCH(HK$3,'Standards for Conversions'!$A$34:$A$73,0)))=0,"",HL167/(INDEX('Standards for Conversions'!$H$34:$H$73,MATCH(HK$3,'Standards for Conversions'!$A$34:$A$73,0))))</f>
        <v/>
      </c>
      <c r="HN167" s="10" t="s">
        <v>45</v>
      </c>
      <c r="HO167" s="7"/>
      <c r="HP167" s="7"/>
      <c r="HQ167" s="31" t="str">
        <f>IF(HP167/(INDEX('Standards for Conversions'!$H$34:$H$73,MATCH(HO$3,'Standards for Conversions'!$A$34:$A$73,0)))=0,"",HP167/(INDEX('Standards for Conversions'!$H$34:$H$73,MATCH(HO$3,'Standards for Conversions'!$A$34:$A$73,0))))</f>
        <v/>
      </c>
      <c r="HR167" s="33" t="s">
        <v>57</v>
      </c>
      <c r="HU167" s="31" t="str">
        <f>IF(HT167/(INDEX('Standards for Conversions'!$H$47:$H$73,MATCH(HS$3,'Standards for Conversions'!$A$47:$A$73,0)))=0,"",HT167/(INDEX('Standards for Conversions'!$H$47:$H$73,MATCH(HS$3,'Standards for Conversions'!$A$47:$A$73,0))))</f>
        <v/>
      </c>
      <c r="HV167" s="48" t="s">
        <v>57</v>
      </c>
      <c r="HW167" s="29">
        <v>50</v>
      </c>
      <c r="HX167" s="29">
        <v>800</v>
      </c>
      <c r="HY167" s="31">
        <f>IF(HX167/(INDEX('Standards for Conversions'!$H$47:$H$73,MATCH(HW$3,'Standards for Conversions'!$A$47:$A$73,0)))=0,"",HX167/(INDEX('Standards for Conversions'!$H$47:$H$73,MATCH(HW$3,'Standards for Conversions'!$A$47:$A$73,0))))</f>
        <v>116.19632977028476</v>
      </c>
      <c r="HZ167" s="33"/>
      <c r="IA167" s="33"/>
      <c r="IB167" s="31" t="str">
        <f>IF(IA167/(INDEX('Standards for Conversions'!$H$47:$H$73,MATCH(HZ$3,'Standards for Conversions'!$A$47:$A$73,0)))=0,"",IA167/(INDEX('Standards for Conversions'!$H$47:$H$73,MATCH(HZ$3,'Standards for Conversions'!$A$47:$A$73,0))))</f>
        <v/>
      </c>
      <c r="IC167" s="33" t="s">
        <v>45</v>
      </c>
      <c r="ID167" s="29">
        <v>100</v>
      </c>
      <c r="IE167" s="29">
        <v>2500</v>
      </c>
      <c r="IF167" s="31">
        <f>IF(IE167/(INDEX('Standards for Conversions'!$H$47:$H$73,MATCH(ID$3,'Standards for Conversions'!$A$47:$A$73,0)))=0,"",IE167/(INDEX('Standards for Conversions'!$H$47:$H$73,MATCH(ID$3,'Standards for Conversions'!$A$47:$A$73,0))))</f>
        <v>363.11353053213992</v>
      </c>
      <c r="IG167" s="33" t="s">
        <v>45</v>
      </c>
      <c r="IJ167" s="31" t="str">
        <f>IF(II167/(INDEX('Standards for Conversions'!$H$47:$H$73,MATCH(IH$3,'Standards for Conversions'!$A$47:$A$73,0)))=0,"",II167/(INDEX('Standards for Conversions'!$H$47:$H$73,MATCH(IH$3,'Standards for Conversions'!$A$47:$A$73,0))))</f>
        <v/>
      </c>
      <c r="IK167" s="33" t="s">
        <v>45</v>
      </c>
      <c r="IL167" s="29">
        <v>15</v>
      </c>
      <c r="IM167" s="29">
        <v>150</v>
      </c>
      <c r="IN167" s="31">
        <f>IF(IM167/(INDEX('Standards for Conversions'!$H$47:$H$73,MATCH(IL$3,'Standards for Conversions'!$A$47:$A$73,0)))=0,"",IM167/(INDEX('Standards for Conversions'!$H$47:$H$73,MATCH(IL$3,'Standards for Conversions'!$A$47:$A$73,0))))</f>
        <v>21.691534229164855</v>
      </c>
      <c r="IO167" s="33" t="s">
        <v>45</v>
      </c>
      <c r="IR167" s="31" t="str">
        <f>IF(IQ167/(INDEX('Standards for Conversions'!$H$47:$H$73,MATCH(IP$3,'Standards for Conversions'!$A$47:$A$73,0)))=0,"",IQ167/(INDEX('Standards for Conversions'!$H$47:$H$73,MATCH(IP$3,'Standards for Conversions'!$A$47:$A$73,0))))</f>
        <v/>
      </c>
      <c r="IS167" s="33" t="s">
        <v>45</v>
      </c>
      <c r="IT167" s="29">
        <v>187</v>
      </c>
      <c r="IU167" s="29">
        <v>1195</v>
      </c>
      <c r="IV167" s="31">
        <f>IF(IU167/(INDEX('Standards for Conversions'!$H$47:$H$73,MATCH(IT$3,'Standards for Conversions'!$A$47:$A$73,0)))=0,"",IU167/(INDEX('Standards for Conversions'!$H$47:$H$73,MATCH(IT$3,'Standards for Conversions'!$A$47:$A$73,0))))</f>
        <v>172.80922269234668</v>
      </c>
      <c r="IW167" s="33" t="s">
        <v>45</v>
      </c>
      <c r="IZ167" s="31" t="str">
        <f>IF(IY167/(INDEX('Standards for Conversions'!$H$47:$H$73,MATCH(IX$3,'Standards for Conversions'!$A$47:$A$73,0)))=0,"",IY167/(INDEX('Standards for Conversions'!$H$47:$H$73,MATCH(IX$3,'Standards for Conversions'!$A$47:$A$73,0))))</f>
        <v/>
      </c>
      <c r="JA167" s="33" t="s">
        <v>45</v>
      </c>
      <c r="JB167" s="29">
        <v>10</v>
      </c>
      <c r="JC167" s="29">
        <v>100</v>
      </c>
      <c r="JD167" s="31">
        <f>IF(JC167/(INDEX('Standards for Conversions'!$H$47:$H$73,MATCH(JB$3,'Standards for Conversions'!$A$47:$A$73,0)))=0,"",JC167/(INDEX('Standards for Conversions'!$H$47:$H$73,MATCH(JB$3,'Standards for Conversions'!$A$47:$A$73,0))))</f>
        <v>16.176019669186868</v>
      </c>
      <c r="JE167" s="33" t="s">
        <v>45</v>
      </c>
      <c r="JF167" s="29">
        <v>12</v>
      </c>
      <c r="JG167" s="29">
        <v>200</v>
      </c>
      <c r="JH167" s="31">
        <f>IF(JG167/(INDEX('Standards for Conversions'!$H$47:$H$73,MATCH(JF$3,'Standards for Conversions'!$A$47:$A$73,0)))=0,"",JG167/(INDEX('Standards for Conversions'!$H$47:$H$73,MATCH(JF$3,'Standards for Conversions'!$A$47:$A$73,0))))</f>
        <v>32.352039338373736</v>
      </c>
      <c r="JI167" s="48" t="s">
        <v>45</v>
      </c>
      <c r="JJ167" s="29">
        <v>125</v>
      </c>
      <c r="JK167" s="29">
        <v>1700</v>
      </c>
      <c r="JL167" s="31">
        <f>IF(JK167/(INDEX('Standards for Conversions'!$H$47:$H$73,MATCH(JJ$3,'Standards for Conversions'!$A$47:$A$73,0)))=0,"",JK167/(INDEX('Standards for Conversions'!$H$47:$H$73,MATCH(JJ$3,'Standards for Conversions'!$A$47:$A$73,0))))</f>
        <v>274.99233437617676</v>
      </c>
      <c r="JM167" s="33" t="s">
        <v>45</v>
      </c>
      <c r="JP167" s="31" t="str">
        <f>IF(JO167/(INDEX('Standards for Conversions'!$H$47:$H$73,MATCH(JN$3,'Standards for Conversions'!$A$47:$A$73,0)))=0,"",JO167/(INDEX('Standards for Conversions'!$H$47:$H$73,MATCH(JN$3,'Standards for Conversions'!$A$47:$A$73,0))))</f>
        <v/>
      </c>
      <c r="JQ167" s="33" t="s">
        <v>45</v>
      </c>
      <c r="JR167" s="29">
        <v>2</v>
      </c>
      <c r="JS167" s="29">
        <v>150</v>
      </c>
      <c r="JT167" s="31">
        <f>IF(JS167/(INDEX('Standards for Conversions'!$H$47:$H$73,MATCH(JR$3,'Standards for Conversions'!$A$47:$A$73,0)))=0,"",JS167/(INDEX('Standards for Conversions'!$H$47:$H$73,MATCH(JR$3,'Standards for Conversions'!$A$47:$A$73,0))))</f>
        <v>22.898383864169634</v>
      </c>
      <c r="JU167" s="33" t="s">
        <v>45</v>
      </c>
      <c r="JV167" s="29">
        <v>15</v>
      </c>
      <c r="JW167" s="29">
        <v>250</v>
      </c>
      <c r="JX167" s="31">
        <f>IF(JW167/(INDEX('Standards for Conversions'!$H$47:$H$73,MATCH(JV$3,'Standards for Conversions'!$A$47:$A$73,0)))=0,"",JW167/(INDEX('Standards for Conversions'!$H$47:$H$73,MATCH(JV$3,'Standards for Conversions'!$A$47:$A$73,0))))</f>
        <v>38.163973106949392</v>
      </c>
      <c r="JY167" s="33" t="s">
        <v>45</v>
      </c>
      <c r="KB167" s="31" t="str">
        <f>IF(KA167/(INDEX('Standards for Conversions'!$H$47:$H$73,MATCH(JZ$3,'Standards for Conversions'!$A$47:$A$73,0)))=0,"",KA167/(INDEX('Standards for Conversions'!$H$47:$H$73,MATCH(JZ$3,'Standards for Conversions'!$A$47:$A$73,0))))</f>
        <v/>
      </c>
      <c r="KC167" s="33" t="s">
        <v>45</v>
      </c>
      <c r="KF167" s="31" t="str">
        <f>IF(KE167/(INDEX('Standards for Conversions'!$H$47:$H$73,MATCH(KD$3,'Standards for Conversions'!$A$47:$A$73,0)))=0,"",KE167/(INDEX('Standards for Conversions'!$H$47:$H$73,MATCH(KD$3,'Standards for Conversions'!$A$47:$A$73,0))))</f>
        <v/>
      </c>
      <c r="KG167" s="33" t="s">
        <v>45</v>
      </c>
      <c r="KH167" s="29">
        <v>20</v>
      </c>
      <c r="KI167" s="29">
        <v>200</v>
      </c>
      <c r="KJ167" s="31">
        <f>IF(KI167/(INDEX('Standards for Conversions'!$H$47:$H$73,MATCH(KH$3,'Standards for Conversions'!$A$47:$A$73,0)))=0,"",KI167/(INDEX('Standards for Conversions'!$H$47:$H$73,MATCH(KH$3,'Standards for Conversions'!$A$47:$A$73,0))))</f>
        <v>26.931802381159294</v>
      </c>
      <c r="KK167" s="33" t="s">
        <v>45</v>
      </c>
      <c r="KL167" s="29">
        <v>17</v>
      </c>
      <c r="KM167" s="29">
        <v>270</v>
      </c>
      <c r="KN167" s="31">
        <f>IF(KM167/(INDEX('Standards for Conversions'!$H$47:$H$73,MATCH(KL$3,'Standards for Conversions'!$A$47:$A$73,0)))=0,"",KM167/(INDEX('Standards for Conversions'!$H$47:$H$73,MATCH(KL$3,'Standards for Conversions'!$A$47:$A$73,0))))</f>
        <v>36.357933214565044</v>
      </c>
      <c r="KO167" s="33" t="s">
        <v>45</v>
      </c>
      <c r="KP167" s="29">
        <v>160</v>
      </c>
      <c r="KQ167" s="29">
        <v>2700</v>
      </c>
      <c r="KR167" s="31">
        <f>IF(KQ167/(INDEX('Standards for Conversions'!$H$47:$H$73,MATCH(KP$3,'Standards for Conversions'!$A$47:$A$73,0)))=0,"",KQ167/(INDEX('Standards for Conversions'!$H$47:$H$73,MATCH(KP$3,'Standards for Conversions'!$A$47:$A$73,0))))</f>
        <v>363.57933214565043</v>
      </c>
      <c r="KS167" s="33" t="s">
        <v>45</v>
      </c>
      <c r="KV167" s="31" t="str">
        <f>IF(KU167/(INDEX('Standards for Conversions'!$H$47:$H$73,MATCH(KT$3,'Standards for Conversions'!$A$47:$A$73,0)))=0,"",KU167/(INDEX('Standards for Conversions'!$H$47:$H$73,MATCH(KT$3,'Standards for Conversions'!$A$47:$A$73,0))))</f>
        <v/>
      </c>
      <c r="KW167" s="33" t="s">
        <v>45</v>
      </c>
      <c r="KX167" s="29">
        <v>30</v>
      </c>
      <c r="KY167" s="29">
        <v>300</v>
      </c>
      <c r="KZ167" s="31">
        <f>IF(KY167/(INDEX('Standards for Conversions'!$H$47:$H$73,MATCH(KX$3,'Standards for Conversions'!$A$47:$A$73,0)))=0,"",KY167/(INDEX('Standards for Conversions'!$H$47:$H$73,MATCH(KX$3,'Standards for Conversions'!$A$47:$A$73,0))))</f>
        <v>36.484970018249754</v>
      </c>
      <c r="LA167" s="33" t="s">
        <v>45</v>
      </c>
      <c r="LB167" s="29">
        <v>6</v>
      </c>
      <c r="LC167" s="29">
        <v>400</v>
      </c>
      <c r="LD167" s="31">
        <f>IF(LC167/(INDEX('Standards for Conversions'!$H$47:$H$73,MATCH(LB$3,'Standards for Conversions'!$A$47:$A$73,0)))=0,"",LC167/(INDEX('Standards for Conversions'!$H$47:$H$73,MATCH(LB$3,'Standards for Conversions'!$A$47:$A$73,0))))</f>
        <v>48.646626690999675</v>
      </c>
      <c r="LE167" s="48" t="s">
        <v>45</v>
      </c>
      <c r="LF167" s="29">
        <v>172</v>
      </c>
      <c r="LG167" s="29">
        <v>1940</v>
      </c>
      <c r="LH167" s="31">
        <f>IF(LG167/(INDEX('Standards for Conversions'!$H$47:$H$73,MATCH(LF$3,'Standards for Conversions'!$A$47:$A$73,0)))=0,"",LG167/(INDEX('Standards for Conversions'!$H$47:$H$73,MATCH(LF$3,'Standards for Conversions'!$A$47:$A$73,0))))</f>
        <v>235.9361394513484</v>
      </c>
      <c r="LL167" s="31" t="str">
        <f>IF(LK167/(INDEX('Standards for Conversions'!$H$47:$H$73,MATCH(LJ$3,'Standards for Conversions'!$A$47:$A$73,0)))=0,"",LK167/(INDEX('Standards for Conversions'!$H$47:$H$73,MATCH(LJ$3,'Standards for Conversions'!$A$47:$A$73,0))))</f>
        <v/>
      </c>
      <c r="LO167" s="31" t="str">
        <f>IF(LN167/(INDEX('Standards for Conversions'!$H$47:$H$73,MATCH(LM$3,'Standards for Conversions'!$A$47:$A$73,0)))=0,"",LN167/(INDEX('Standards for Conversions'!$H$47:$H$73,MATCH(LM$3,'Standards for Conversions'!$A$47:$A$73,0))))</f>
        <v/>
      </c>
      <c r="LR167" s="31" t="str">
        <f>IF(LQ167/(INDEX('Standards for Conversions'!$H$47:$H$73,MATCH(LP$3,'Standards for Conversions'!$A$47:$A$73,0)))=0,"",LQ167/(INDEX('Standards for Conversions'!$H$47:$H$73,MATCH(LP$3,'Standards for Conversions'!$A$47:$A$73,0))))</f>
        <v/>
      </c>
      <c r="LV167" s="31" t="str">
        <f>IF(LU167/(INDEX('Standards for Conversions'!$H$47:$H$73,MATCH(LT$3,'Standards for Conversions'!$A$47:$A$73,0)))=0,"",LU167/(INDEX('Standards for Conversions'!$H$47:$H$73,MATCH(LT$3,'Standards for Conversions'!$A$47:$A$73,0))))</f>
        <v/>
      </c>
      <c r="LY167" s="31" t="str">
        <f>IF(LX167/(INDEX('Standards for Conversions'!$H$47:$H$73,MATCH(LW$3,'Standards for Conversions'!$A$47:$A$73,0)))=0,"",LX167/(INDEX('Standards for Conversions'!$H$47:$H$73,MATCH(LW$3,'Standards for Conversions'!$A$47:$A$73,0))))</f>
        <v/>
      </c>
      <c r="MB167" s="31" t="str">
        <f>IF(MA167/(INDEX('Standards for Conversions'!$H$47:$H$73,MATCH(LZ$3,'Standards for Conversions'!$A$47:$A$73,0)))=0,"",MA167/(INDEX('Standards for Conversions'!$H$47:$H$73,MATCH(LZ$3,'Standards for Conversions'!$A$47:$A$73,0))))</f>
        <v/>
      </c>
      <c r="ME167" s="31" t="str">
        <f>IF(MD167/(INDEX('Standards for Conversions'!$H$47:$H$73,MATCH(MC$3,'Standards for Conversions'!$A$47:$A$73,0)))=0,"",MD167/(INDEX('Standards for Conversions'!$H$47:$H$73,MATCH(MC$3,'Standards for Conversions'!$A$47:$A$73,0))))</f>
        <v/>
      </c>
      <c r="MH167" s="31" t="str">
        <f>IF(MG167/(INDEX('Standards for Conversions'!$H$47:$H$73,MATCH(MF$3,'Standards for Conversions'!$A$47:$A$73,0)))=0,"",MG167/(INDEX('Standards for Conversions'!$H$47:$H$73,MATCH(MF$3,'Standards for Conversions'!$A$47:$A$73,0))))</f>
        <v/>
      </c>
      <c r="MK167" s="31" t="str">
        <f>IF(MJ167/(INDEX('Standards for Conversions'!$H$47:$H$73,MATCH(MI$3,'Standards for Conversions'!$A$47:$A$73,0)))=0,"",MJ167/(INDEX('Standards for Conversions'!$H$47:$H$73,MATCH(MI$3,'Standards for Conversions'!$A$47:$A$73,0))))</f>
        <v/>
      </c>
      <c r="MN167" s="31" t="str">
        <f>IF(MM167/(INDEX('Standards for Conversions'!$H$47:$H$73,MATCH(ML$3,'Standards for Conversions'!$A$47:$A$73,0)))=0,"",MM167/(INDEX('Standards for Conversions'!$H$47:$H$73,MATCH(ML$3,'Standards for Conversions'!$A$47:$A$73,0))))</f>
        <v/>
      </c>
      <c r="MR167" s="31" t="str">
        <f>IF(MQ167/(INDEX('Standards for Conversions'!$H$47:$H$73,MATCH(MP$3,'Standards for Conversions'!$A$47:$A$73,0)))=0,"",MQ167/(INDEX('Standards for Conversions'!$H$47:$H$73,MATCH(MP$3,'Standards for Conversions'!$A$47:$A$73,0))))</f>
        <v/>
      </c>
    </row>
    <row r="168" spans="1:373" hidden="1" x14ac:dyDescent="0.3">
      <c r="A168" s="105" t="s">
        <v>328</v>
      </c>
      <c r="B168" s="10" t="s">
        <v>60</v>
      </c>
      <c r="C168" s="7"/>
      <c r="D168" s="7"/>
      <c r="E168" s="31" t="str">
        <f>IF(D168/(INDEX('Standards for Conversions'!$H$34:$H$73,MATCH(C$3,'Standards for Conversions'!$A$34:$A$73,0)))=0,"",D168/(INDEX('Standards for Conversions'!$H$34:$H$73,MATCH(C$3,'Standards for Conversions'!$A$34:$A$73,0))))</f>
        <v/>
      </c>
      <c r="F168" s="10" t="s">
        <v>60</v>
      </c>
      <c r="G168" s="7"/>
      <c r="H168" s="7"/>
      <c r="I168" s="31" t="str">
        <f>IF(H168/(INDEX('Standards for Conversions'!$H$34:$H$73,MATCH(G$3,'Standards for Conversions'!$A$34:$A$73,0)))=0,"",H168/(INDEX('Standards for Conversions'!$H$34:$H$73,MATCH(G$3,'Standards for Conversions'!$A$34:$A$73,0))))</f>
        <v/>
      </c>
      <c r="J168" s="10" t="s">
        <v>60</v>
      </c>
      <c r="K168" s="7"/>
      <c r="L168" s="7"/>
      <c r="M168" s="31" t="str">
        <f>IF(L168/(INDEX('Standards for Conversions'!$H$34:$H$73,MATCH(K$3,'Standards for Conversions'!$A$34:$A$73,0)))=0,"",L168/(INDEX('Standards for Conversions'!$H$34:$H$73,MATCH(K$3,'Standards for Conversions'!$A$34:$A$73,0))))</f>
        <v/>
      </c>
      <c r="N168" s="10" t="s">
        <v>60</v>
      </c>
      <c r="O168" s="7"/>
      <c r="P168" s="7"/>
      <c r="Q168" s="31" t="str">
        <f>IF(P168/(INDEX('Standards for Conversions'!$H$34:$H$73,MATCH(O$3,'Standards for Conversions'!$A$34:$A$73,0)))=0,"",P168/(INDEX('Standards for Conversions'!$H$34:$H$73,MATCH(O$3,'Standards for Conversions'!$A$34:$A$73,0))))</f>
        <v/>
      </c>
      <c r="R168" s="10" t="s">
        <v>60</v>
      </c>
      <c r="S168" s="7"/>
      <c r="T168" s="7"/>
      <c r="U168" s="31" t="str">
        <f>IF(T168/(INDEX('Standards for Conversions'!$H$34:$H$73,MATCH(S$3,'Standards for Conversions'!$A$34:$A$73,0)))=0,"",T168/(INDEX('Standards for Conversions'!$H$34:$H$73,MATCH(S$3,'Standards for Conversions'!$A$34:$A$73,0))))</f>
        <v/>
      </c>
      <c r="V168" s="10" t="s">
        <v>60</v>
      </c>
      <c r="W168" s="7"/>
      <c r="X168" s="7"/>
      <c r="Y168" s="31" t="str">
        <f>IF(X168/(INDEX('Standards for Conversions'!$H$34:$H$73,MATCH(W$3,'Standards for Conversions'!$A$34:$A$73,0)))=0,"",X168/(INDEX('Standards for Conversions'!$H$34:$H$73,MATCH(W$3,'Standards for Conversions'!$A$34:$A$73,0))))</f>
        <v/>
      </c>
      <c r="Z168" s="10" t="s">
        <v>60</v>
      </c>
      <c r="AA168" s="7"/>
      <c r="AB168" s="7"/>
      <c r="AC168" s="31" t="str">
        <f>IF(AB168/(INDEX('Standards for Conversions'!$H$34:$H$73,MATCH(AA$3,'Standards for Conversions'!$A$34:$A$73,0)))=0,"",AB168/(INDEX('Standards for Conversions'!$H$34:$H$73,MATCH(AA$3,'Standards for Conversions'!$A$34:$A$73,0))))</f>
        <v/>
      </c>
      <c r="AD168" s="10" t="s">
        <v>60</v>
      </c>
      <c r="AE168" s="7"/>
      <c r="AF168" s="7"/>
      <c r="AG168" s="31" t="str">
        <f>IF(AF168/(INDEX('Standards for Conversions'!$H$34:$H$73,MATCH(AE$3,'Standards for Conversions'!$A$34:$A$73,0)))=0,"",AF168/(INDEX('Standards for Conversions'!$H$34:$H$73,MATCH(AE$3,'Standards for Conversions'!$A$34:$A$73,0))))</f>
        <v/>
      </c>
      <c r="AH168" s="10" t="s">
        <v>60</v>
      </c>
      <c r="AI168" s="7"/>
      <c r="AJ168" s="7"/>
      <c r="AK168" s="31" t="str">
        <f>IF(AJ168/(INDEX('Standards for Conversions'!$H$34:$H$73,MATCH(AI$3,'Standards for Conversions'!$A$34:$A$73,0)))=0,"",AJ168/(INDEX('Standards for Conversions'!$H$34:$H$73,MATCH(AI$3,'Standards for Conversions'!$A$34:$A$73,0))))</f>
        <v/>
      </c>
      <c r="AL168" s="10" t="s">
        <v>60</v>
      </c>
      <c r="AM168" s="7"/>
      <c r="AN168" s="7"/>
      <c r="AO168" s="31" t="str">
        <f>IF(AN168/(INDEX('Standards for Conversions'!$H$34:$H$73,MATCH(AM$3,'Standards for Conversions'!$A$34:$A$73,0)))=0,"",AN168/(INDEX('Standards for Conversions'!$H$34:$H$73,MATCH(AM$3,'Standards for Conversions'!$A$34:$A$73,0))))</f>
        <v/>
      </c>
      <c r="AP168" s="10" t="s">
        <v>60</v>
      </c>
      <c r="AQ168" s="7"/>
      <c r="AR168" s="7"/>
      <c r="AS168" s="31" t="str">
        <f>IF(AR168/(INDEX('Standards for Conversions'!$H$34:$H$73,MATCH(AQ$3,'Standards for Conversions'!$A$34:$A$73,0)))=0,"",AR168/(INDEX('Standards for Conversions'!$H$34:$H$73,MATCH(AQ$3,'Standards for Conversions'!$A$34:$A$73,0))))</f>
        <v/>
      </c>
      <c r="AT168" s="10" t="s">
        <v>60</v>
      </c>
      <c r="AU168" s="7"/>
      <c r="AV168" s="7"/>
      <c r="AW168" s="31" t="str">
        <f>IF(AV168/(INDEX('Standards for Conversions'!$H$34:$H$73,MATCH(AU$3,'Standards for Conversions'!$A$34:$A$73,0)))=0,"",AV168/(INDEX('Standards for Conversions'!$H$34:$H$73,MATCH(AU$3,'Standards for Conversions'!$A$34:$A$73,0))))</f>
        <v/>
      </c>
      <c r="AX168" s="10" t="s">
        <v>60</v>
      </c>
      <c r="AY168" s="7"/>
      <c r="AZ168" s="7"/>
      <c r="BA168" s="31" t="str">
        <f>IF(AZ168/(INDEX('Standards for Conversions'!$H$34:$H$73,MATCH(AY$3,'Standards for Conversions'!$A$34:$A$73,0)))=0,"",AZ168/(INDEX('Standards for Conversions'!$H$34:$H$73,MATCH(AY$3,'Standards for Conversions'!$A$34:$A$73,0))))</f>
        <v/>
      </c>
      <c r="BB168" s="10" t="s">
        <v>60</v>
      </c>
      <c r="BC168" s="7"/>
      <c r="BD168" s="7"/>
      <c r="BE168" s="31" t="str">
        <f>IF(BD168/(INDEX('Standards for Conversions'!$H$34:$H$73,MATCH(BC$3,'Standards for Conversions'!$A$34:$A$73,0)))=0,"",BD168/(INDEX('Standards for Conversions'!$H$34:$H$73,MATCH(BC$3,'Standards for Conversions'!$A$34:$A$73,0))))</f>
        <v/>
      </c>
      <c r="BF168" s="10" t="s">
        <v>60</v>
      </c>
      <c r="BG168" s="7"/>
      <c r="BH168" s="7"/>
      <c r="BI168" s="31" t="str">
        <f>IF(BH168/(INDEX('Standards for Conversions'!$H$34:$H$73,MATCH(BG$3,'Standards for Conversions'!$A$34:$A$73,0)))=0,"",BH168/(INDEX('Standards for Conversions'!$H$34:$H$73,MATCH(BG$3,'Standards for Conversions'!$A$34:$A$73,0))))</f>
        <v/>
      </c>
      <c r="BJ168" s="10" t="s">
        <v>60</v>
      </c>
      <c r="BK168" s="7"/>
      <c r="BL168" s="7"/>
      <c r="BM168" s="31" t="str">
        <f>IF(BL168/(INDEX('Standards for Conversions'!$H$34:$H$73,MATCH(BK$3,'Standards for Conversions'!$A$34:$A$73,0)))=0,"",BL168/(INDEX('Standards for Conversions'!$H$34:$H$73,MATCH(BK$3,'Standards for Conversions'!$A$34:$A$73,0))))</f>
        <v/>
      </c>
      <c r="BN168" s="10" t="s">
        <v>60</v>
      </c>
      <c r="BO168" s="7"/>
      <c r="BP168" s="7"/>
      <c r="BQ168" s="31" t="str">
        <f>IF(BP168/(INDEX('Standards for Conversions'!$H$34:$H$73,MATCH(BO$3,'Standards for Conversions'!$A$34:$A$73,0)))=0,"",BP168/(INDEX('Standards for Conversions'!$H$34:$H$73,MATCH(BO$3,'Standards for Conversions'!$A$34:$A$73,0))))</f>
        <v/>
      </c>
      <c r="BR168" s="10" t="s">
        <v>60</v>
      </c>
      <c r="BS168" s="7"/>
      <c r="BT168" s="7"/>
      <c r="BU168" s="31" t="str">
        <f>IF(BT168/(INDEX('Standards for Conversions'!$H$34:$H$73,MATCH(BS$3,'Standards for Conversions'!$A$34:$A$73,0)))=0,"",BT168/(INDEX('Standards for Conversions'!$H$34:$H$73,MATCH(BS$3,'Standards for Conversions'!$A$34:$A$73,0))))</f>
        <v/>
      </c>
      <c r="BV168" s="10" t="s">
        <v>60</v>
      </c>
      <c r="BW168" s="7"/>
      <c r="BX168" s="7"/>
      <c r="BY168" s="31" t="str">
        <f>IF(BX168/(INDEX('Standards for Conversions'!$H$34:$H$73,MATCH(BW$3,'Standards for Conversions'!$A$34:$A$73,0)))=0,"",BX168/(INDEX('Standards for Conversions'!$H$34:$H$73,MATCH(BW$3,'Standards for Conversions'!$A$34:$A$73,0))))</f>
        <v/>
      </c>
      <c r="BZ168" s="10" t="s">
        <v>60</v>
      </c>
      <c r="CA168" s="7"/>
      <c r="CB168" s="7"/>
      <c r="CC168" s="31" t="str">
        <f>IF(CB168/(INDEX('Standards for Conversions'!$H$34:$H$73,MATCH(CA$3,'Standards for Conversions'!$A$34:$A$73,0)))=0,"",CB168/(INDEX('Standards for Conversions'!$H$34:$H$73,MATCH(CA$3,'Standards for Conversions'!$A$34:$A$73,0))))</f>
        <v/>
      </c>
      <c r="CD168" s="10" t="s">
        <v>60</v>
      </c>
      <c r="CE168" s="7"/>
      <c r="CF168" s="7"/>
      <c r="CG168" s="31" t="str">
        <f>IF(CF168/(INDEX('Standards for Conversions'!$H$34:$H$73,MATCH(CE$3,'Standards for Conversions'!$A$34:$A$73,0)))=0,"",CF168/(INDEX('Standards for Conversions'!$H$34:$H$73,MATCH(CE$3,'Standards for Conversions'!$A$34:$A$73,0))))</f>
        <v/>
      </c>
      <c r="CH168" s="10" t="s">
        <v>60</v>
      </c>
      <c r="CI168" s="7"/>
      <c r="CJ168" s="7"/>
      <c r="CK168" s="31" t="str">
        <f>IF(CJ168/(INDEX('Standards for Conversions'!$H$34:$H$73,MATCH(CI$3,'Standards for Conversions'!$A$34:$A$73,0)))=0,"",CJ168/(INDEX('Standards for Conversions'!$H$34:$H$73,MATCH(CI$3,'Standards for Conversions'!$A$34:$A$73,0))))</f>
        <v/>
      </c>
      <c r="CL168" s="10" t="s">
        <v>60</v>
      </c>
      <c r="CM168" s="7"/>
      <c r="CN168" s="7"/>
      <c r="CO168" s="31" t="str">
        <f>IF(CN168/(INDEX('Standards for Conversions'!$H$34:$H$73,MATCH(CM$3,'Standards for Conversions'!$A$34:$A$73,0)))=0,"",CN168/(INDEX('Standards for Conversions'!$H$34:$H$73,MATCH(CM$3,'Standards for Conversions'!$A$34:$A$73,0))))</f>
        <v/>
      </c>
      <c r="CP168" s="10" t="s">
        <v>60</v>
      </c>
      <c r="CQ168" s="7"/>
      <c r="CR168" s="7"/>
      <c r="CS168" s="31" t="str">
        <f>IF(CR168/(INDEX('Standards for Conversions'!$H$34:$H$73,MATCH(CQ$3,'Standards for Conversions'!$A$34:$A$73,0)))=0,"",CR168/(INDEX('Standards for Conversions'!$H$34:$H$73,MATCH(CQ$3,'Standards for Conversions'!$A$34:$A$73,0))))</f>
        <v/>
      </c>
      <c r="CT168" s="10" t="s">
        <v>60</v>
      </c>
      <c r="CU168" s="7"/>
      <c r="CV168" s="7"/>
      <c r="CW168" s="31" t="str">
        <f>IF(CV168/(INDEX('Standards for Conversions'!$H$34:$H$73,MATCH(CU$3,'Standards for Conversions'!$A$34:$A$73,0)))=0,"",CV168/(INDEX('Standards for Conversions'!$H$34:$H$73,MATCH(CU$3,'Standards for Conversions'!$A$34:$A$73,0))))</f>
        <v/>
      </c>
      <c r="CX168" s="10" t="s">
        <v>60</v>
      </c>
      <c r="CY168" s="7"/>
      <c r="CZ168" s="7"/>
      <c r="DA168" s="31" t="str">
        <f>IF(CZ168/(INDEX('Standards for Conversions'!$H$34:$H$73,MATCH(CY$3,'Standards for Conversions'!$A$34:$A$73,0)))=0,"",CZ168/(INDEX('Standards for Conversions'!$H$34:$H$73,MATCH(CY$3,'Standards for Conversions'!$A$34:$A$73,0))))</f>
        <v/>
      </c>
      <c r="DB168" s="10" t="s">
        <v>60</v>
      </c>
      <c r="DC168" s="7"/>
      <c r="DD168" s="7"/>
      <c r="DE168" s="31" t="str">
        <f>IF(DD168/(INDEX('Standards for Conversions'!$H$34:$H$73,MATCH(DC$3,'Standards for Conversions'!$A$34:$A$73,0)))=0,"",DD168/(INDEX('Standards for Conversions'!$H$34:$H$73,MATCH(DC$3,'Standards for Conversions'!$A$34:$A$73,0))))</f>
        <v/>
      </c>
      <c r="DF168" s="10" t="s">
        <v>60</v>
      </c>
      <c r="DG168" s="7"/>
      <c r="DH168" s="7"/>
      <c r="DI168" s="31" t="str">
        <f>IF(DH168/(INDEX('Standards for Conversions'!$H$34:$H$73,MATCH(DG$3,'Standards for Conversions'!$A$34:$A$73,0)))=0,"",DH168/(INDEX('Standards for Conversions'!$H$34:$H$73,MATCH(DG$3,'Standards for Conversions'!$A$34:$A$73,0))))</f>
        <v/>
      </c>
      <c r="DJ168" s="10" t="s">
        <v>60</v>
      </c>
      <c r="DK168" s="7"/>
      <c r="DL168" s="7"/>
      <c r="DM168" s="31" t="str">
        <f>IF(DL168/(INDEX('Standards for Conversions'!$H$34:$H$73,MATCH(DK$3,'Standards for Conversions'!$A$34:$A$73,0)))=0,"",DL168/(INDEX('Standards for Conversions'!$H$34:$H$73,MATCH(DK$3,'Standards for Conversions'!$A$34:$A$73,0))))</f>
        <v/>
      </c>
      <c r="DN168" s="10" t="s">
        <v>60</v>
      </c>
      <c r="DO168" s="7"/>
      <c r="DP168" s="7"/>
      <c r="DQ168" s="31" t="str">
        <f>IF(DP168/(INDEX('Standards for Conversions'!$H$34:$H$73,MATCH(DO$3,'Standards for Conversions'!$A$34:$A$73,0)))=0,"",DP168/(INDEX('Standards for Conversions'!$H$34:$H$73,MATCH(DO$3,'Standards for Conversions'!$A$34:$A$73,0))))</f>
        <v/>
      </c>
      <c r="DR168" s="10" t="s">
        <v>60</v>
      </c>
      <c r="DS168" s="7"/>
      <c r="DT168" s="7"/>
      <c r="DU168" s="31" t="str">
        <f>IF(DT168/(INDEX('Standards for Conversions'!$H$34:$H$73,MATCH(DS$3,'Standards for Conversions'!$A$34:$A$73,0)))=0,"",DT168/(INDEX('Standards for Conversions'!$H$34:$H$73,MATCH(DS$3,'Standards for Conversions'!$A$34:$A$73,0))))</f>
        <v/>
      </c>
      <c r="DV168" s="10" t="s">
        <v>60</v>
      </c>
      <c r="DW168" s="7"/>
      <c r="DX168" s="7"/>
      <c r="DY168" s="31" t="str">
        <f>IF(DX168/(INDEX('Standards for Conversions'!$H$34:$H$73,MATCH(DW$3,'Standards for Conversions'!$A$34:$A$73,0)))=0,"",DX168/(INDEX('Standards for Conversions'!$H$34:$H$73,MATCH(DW$3,'Standards for Conversions'!$A$34:$A$73,0))))</f>
        <v/>
      </c>
      <c r="DZ168" s="10" t="s">
        <v>60</v>
      </c>
      <c r="EA168" s="7"/>
      <c r="EB168" s="7"/>
      <c r="EC168" s="31" t="str">
        <f>IF(EB168/(INDEX('Standards for Conversions'!$H$34:$H$73,MATCH(EA$3,'Standards for Conversions'!$A$34:$A$73,0)))=0,"",EB168/(INDEX('Standards for Conversions'!$H$34:$H$73,MATCH(EA$3,'Standards for Conversions'!$A$34:$A$73,0))))</f>
        <v/>
      </c>
      <c r="ED168" s="10" t="s">
        <v>60</v>
      </c>
      <c r="EE168" s="7"/>
      <c r="EF168" s="7"/>
      <c r="EG168" s="31" t="str">
        <f>IF(EF168/(INDEX('Standards for Conversions'!$H$34:$H$73,MATCH(EE$3,'Standards for Conversions'!$A$34:$A$73,0)))=0,"",EF168/(INDEX('Standards for Conversions'!$H$34:$H$73,MATCH(EE$3,'Standards for Conversions'!$A$34:$A$73,0))))</f>
        <v/>
      </c>
      <c r="EH168" s="10" t="s">
        <v>60</v>
      </c>
      <c r="EI168" s="7"/>
      <c r="EJ168" s="7"/>
      <c r="EK168" s="31" t="str">
        <f>IF(EJ168/(INDEX('Standards for Conversions'!$H$34:$H$73,MATCH(EI$3,'Standards for Conversions'!$A$34:$A$73,0)))=0,"",EJ168/(INDEX('Standards for Conversions'!$H$34:$H$73,MATCH(EI$3,'Standards for Conversions'!$A$34:$A$73,0))))</f>
        <v/>
      </c>
      <c r="EL168" s="10" t="s">
        <v>60</v>
      </c>
      <c r="EM168" s="7"/>
      <c r="EN168" s="7"/>
      <c r="EO168" s="31" t="str">
        <f>IF(EN168/(INDEX('Standards for Conversions'!$H$34:$H$73,MATCH(EM$3,'Standards for Conversions'!$A$34:$A$73,0)))=0,"",EN168/(INDEX('Standards for Conversions'!$H$34:$H$73,MATCH(EM$3,'Standards for Conversions'!$A$34:$A$73,0))))</f>
        <v/>
      </c>
      <c r="EP168" s="10" t="s">
        <v>60</v>
      </c>
      <c r="EQ168" s="7"/>
      <c r="ER168" s="7"/>
      <c r="ES168" s="31" t="str">
        <f>IF(ER168/(INDEX('Standards for Conversions'!$H$34:$H$73,MATCH(EQ$3,'Standards for Conversions'!$A$34:$A$73,0)))=0,"",ER168/(INDEX('Standards for Conversions'!$H$34:$H$73,MATCH(EQ$3,'Standards for Conversions'!$A$34:$A$73,0))))</f>
        <v/>
      </c>
      <c r="ET168" s="10" t="s">
        <v>60</v>
      </c>
      <c r="EU168" s="7"/>
      <c r="EV168" s="7"/>
      <c r="EW168" s="31" t="str">
        <f>IF(EV168/(INDEX('Standards for Conversions'!$H$34:$H$73,MATCH(EU$3,'Standards for Conversions'!$A$34:$A$73,0)))=0,"",EV168/(INDEX('Standards for Conversions'!$H$34:$H$73,MATCH(EU$3,'Standards for Conversions'!$A$34:$A$73,0))))</f>
        <v/>
      </c>
      <c r="EX168" s="10" t="s">
        <v>60</v>
      </c>
      <c r="EY168" s="9"/>
      <c r="EZ168" s="9"/>
      <c r="FA168" s="31" t="str">
        <f>IF(EZ168/(INDEX('Standards for Conversions'!$H$34:$H$73,MATCH(EY$3,'Standards for Conversions'!$A$34:$A$73,0)))=0,"",EZ168/(INDEX('Standards for Conversions'!$H$34:$H$73,MATCH(EY$3,'Standards for Conversions'!$A$34:$A$73,0))))</f>
        <v/>
      </c>
      <c r="FB168" s="10" t="s">
        <v>60</v>
      </c>
      <c r="FC168" s="7"/>
      <c r="FD168" s="7"/>
      <c r="FE168" s="31" t="str">
        <f>IF(FD168/(INDEX('Standards for Conversions'!$H$34:$H$73,MATCH(FC$3,'Standards for Conversions'!$A$34:$A$73,0)))=0,"",FD168/(INDEX('Standards for Conversions'!$H$34:$H$73,MATCH(FC$3,'Standards for Conversions'!$A$34:$A$73,0))))</f>
        <v/>
      </c>
      <c r="FF168" s="10" t="s">
        <v>60</v>
      </c>
      <c r="FG168" s="7"/>
      <c r="FH168" s="7"/>
      <c r="FI168" s="31" t="str">
        <f>IF(FH168/(INDEX('Standards for Conversions'!$H$34:$H$73,MATCH(FG$3,'Standards for Conversions'!$A$34:$A$73,0)))=0,"",FH168/(INDEX('Standards for Conversions'!$H$34:$H$73,MATCH(FG$3,'Standards for Conversions'!$A$34:$A$73,0))))</f>
        <v/>
      </c>
      <c r="FJ168" s="10" t="s">
        <v>60</v>
      </c>
      <c r="FK168" s="7"/>
      <c r="FL168" s="7"/>
      <c r="FM168" s="31" t="str">
        <f>IF(FL168/(INDEX('Standards for Conversions'!$H$34:$H$73,MATCH(FK$3,'Standards for Conversions'!$A$34:$A$73,0)))=0,"",FL168/(INDEX('Standards for Conversions'!$H$34:$H$73,MATCH(FK$3,'Standards for Conversions'!$A$34:$A$73,0))))</f>
        <v/>
      </c>
      <c r="FN168" s="10" t="s">
        <v>60</v>
      </c>
      <c r="FO168" s="9"/>
      <c r="FP168" s="9"/>
      <c r="FQ168" s="31" t="str">
        <f>IF(FP168/(INDEX('Standards for Conversions'!$H$34:$H$73,MATCH(FO$3,'Standards for Conversions'!$A$34:$A$73,0)))=0,"",FP168/(INDEX('Standards for Conversions'!$H$34:$H$73,MATCH(FO$3,'Standards for Conversions'!$A$34:$A$73,0))))</f>
        <v/>
      </c>
      <c r="FR168" s="10" t="s">
        <v>60</v>
      </c>
      <c r="FS168" s="7"/>
      <c r="FT168" s="7"/>
      <c r="FU168" s="31" t="str">
        <f>IF(FT168/(INDEX('Standards for Conversions'!$H$34:$H$73,MATCH(FS$3,'Standards for Conversions'!$A$34:$A$73,0)))=0,"",FT168/(INDEX('Standards for Conversions'!$H$34:$H$73,MATCH(FS$3,'Standards for Conversions'!$A$34:$A$73,0))))</f>
        <v/>
      </c>
      <c r="FV168" s="10" t="s">
        <v>60</v>
      </c>
      <c r="FW168" s="7"/>
      <c r="FX168" s="7"/>
      <c r="FY168" s="31" t="str">
        <f>IF(FX168/(INDEX('Standards for Conversions'!$H$34:$H$73,MATCH(FW$3,'Standards for Conversions'!$A$34:$A$73,0)))=0,"",FX168/(INDEX('Standards for Conversions'!$H$34:$H$73,MATCH(FW$3,'Standards for Conversions'!$A$34:$A$73,0))))</f>
        <v/>
      </c>
      <c r="FZ168" s="10" t="s">
        <v>60</v>
      </c>
      <c r="GA168" s="7"/>
      <c r="GB168" s="7"/>
      <c r="GC168" s="31" t="str">
        <f>IF(GB168/(INDEX('Standards for Conversions'!$H$34:$H$73,MATCH(GA$3,'Standards for Conversions'!$A$34:$A$73,0)))=0,"",GB168/(INDEX('Standards for Conversions'!$H$34:$H$73,MATCH(GA$3,'Standards for Conversions'!$A$34:$A$73,0))))</f>
        <v/>
      </c>
      <c r="GD168" s="10" t="s">
        <v>60</v>
      </c>
      <c r="GE168" s="9"/>
      <c r="GF168" s="9"/>
      <c r="GG168" s="31" t="str">
        <f>IF(GF168/(INDEX('Standards for Conversions'!$H$34:$H$73,MATCH(GE$3,'Standards for Conversions'!$A$34:$A$73,0)))=0,"",GF168/(INDEX('Standards for Conversions'!$H$34:$H$73,MATCH(GE$3,'Standards for Conversions'!$A$34:$A$73,0))))</f>
        <v/>
      </c>
      <c r="GH168" s="10" t="s">
        <v>60</v>
      </c>
      <c r="GI168" s="7"/>
      <c r="GJ168" s="7"/>
      <c r="GK168" s="31" t="str">
        <f>IF(GJ168/(INDEX('Standards for Conversions'!$H$34:$H$73,MATCH(GI$3,'Standards for Conversions'!$A$34:$A$73,0)))=0,"",GJ168/(INDEX('Standards for Conversions'!$H$34:$H$73,MATCH(GI$3,'Standards for Conversions'!$A$34:$A$73,0))))</f>
        <v/>
      </c>
      <c r="GL168" s="10" t="s">
        <v>60</v>
      </c>
      <c r="GM168" s="7"/>
      <c r="GN168" s="7"/>
      <c r="GO168" s="31" t="str">
        <f>IF(GN168/(INDEX('Standards for Conversions'!$H$34:$H$73,MATCH(GM$3,'Standards for Conversions'!$A$34:$A$73,0)))=0,"",GN168/(INDEX('Standards for Conversions'!$H$34:$H$73,MATCH(GM$3,'Standards for Conversions'!$A$34:$A$73,0))))</f>
        <v/>
      </c>
      <c r="GP168" s="10" t="s">
        <v>60</v>
      </c>
      <c r="GQ168" s="7"/>
      <c r="GR168" s="7"/>
      <c r="GS168" s="31" t="str">
        <f>IF(GR168/(INDEX('Standards for Conversions'!$H$34:$H$73,MATCH(GQ$3,'Standards for Conversions'!$A$34:$A$73,0)))=0,"",GR168/(INDEX('Standards for Conversions'!$H$34:$H$73,MATCH(GQ$3,'Standards for Conversions'!$A$34:$A$73,0))))</f>
        <v/>
      </c>
      <c r="GT168" s="10" t="s">
        <v>60</v>
      </c>
      <c r="GU168" s="9"/>
      <c r="GV168" s="9"/>
      <c r="GW168" s="31" t="str">
        <f>IF(GV168/(INDEX('Standards for Conversions'!$H$34:$H$73,MATCH(GU$3,'Standards for Conversions'!$A$34:$A$73,0)))=0,"",GV168/(INDEX('Standards for Conversions'!$H$34:$H$73,MATCH(GU$3,'Standards for Conversions'!$A$34:$A$73,0))))</f>
        <v/>
      </c>
      <c r="GX168" s="10" t="s">
        <v>60</v>
      </c>
      <c r="GY168" s="7"/>
      <c r="GZ168" s="7"/>
      <c r="HA168" s="31" t="str">
        <f>IF(GZ168/(INDEX('Standards for Conversions'!$H$34:$H$73,MATCH(GY$3,'Standards for Conversions'!$A$34:$A$73,0)))=0,"",GZ168/(INDEX('Standards for Conversions'!$H$34:$H$73,MATCH(GY$3,'Standards for Conversions'!$A$34:$A$73,0))))</f>
        <v/>
      </c>
      <c r="HB168" s="10" t="s">
        <v>60</v>
      </c>
      <c r="HC168" s="7"/>
      <c r="HD168" s="7"/>
      <c r="HE168" s="31" t="str">
        <f>IF(HD168/(INDEX('Standards for Conversions'!$H$34:$H$73,MATCH(HC$3,'Standards for Conversions'!$A$34:$A$73,0)))=0,"",HD168/(INDEX('Standards for Conversions'!$H$34:$H$73,MATCH(HC$3,'Standards for Conversions'!$A$34:$A$73,0))))</f>
        <v/>
      </c>
      <c r="HF168" s="10" t="s">
        <v>60</v>
      </c>
      <c r="HG168" s="7"/>
      <c r="HH168" s="7"/>
      <c r="HI168" s="31" t="str">
        <f>IF(HH168/(INDEX('Standards for Conversions'!$H$34:$H$73,MATCH(HG$3,'Standards for Conversions'!$A$34:$A$73,0)))=0,"",HH168/(INDEX('Standards for Conversions'!$H$34:$H$73,MATCH(HG$3,'Standards for Conversions'!$A$34:$A$73,0))))</f>
        <v/>
      </c>
      <c r="HJ168" s="10" t="s">
        <v>60</v>
      </c>
      <c r="HK168" s="9"/>
      <c r="HL168" s="9"/>
      <c r="HM168" s="31" t="str">
        <f>IF(HL168/(INDEX('Standards for Conversions'!$H$34:$H$73,MATCH(HK$3,'Standards for Conversions'!$A$34:$A$73,0)))=0,"",HL168/(INDEX('Standards for Conversions'!$H$34:$H$73,MATCH(HK$3,'Standards for Conversions'!$A$34:$A$73,0))))</f>
        <v/>
      </c>
      <c r="HN168" s="10" t="s">
        <v>60</v>
      </c>
      <c r="HO168" s="7"/>
      <c r="HP168" s="7"/>
      <c r="HQ168" s="31" t="str">
        <f>IF(HP168/(INDEX('Standards for Conversions'!$H$34:$H$73,MATCH(HO$3,'Standards for Conversions'!$A$34:$A$73,0)))=0,"",HP168/(INDEX('Standards for Conversions'!$H$34:$H$73,MATCH(HO$3,'Standards for Conversions'!$A$34:$A$73,0))))</f>
        <v/>
      </c>
      <c r="HR168" s="33" t="s">
        <v>60</v>
      </c>
      <c r="HU168" s="31" t="str">
        <f>IF(HT168/(INDEX('Standards for Conversions'!$H$47:$H$73,MATCH(HS$3,'Standards for Conversions'!$A$47:$A$73,0)))=0,"",HT168/(INDEX('Standards for Conversions'!$H$47:$H$73,MATCH(HS$3,'Standards for Conversions'!$A$47:$A$73,0))))</f>
        <v/>
      </c>
      <c r="HV168" s="33" t="s">
        <v>60</v>
      </c>
      <c r="HW168" s="29">
        <v>250</v>
      </c>
      <c r="HX168" s="29">
        <v>20000</v>
      </c>
      <c r="HY168" s="31">
        <f>IF(HX168/(INDEX('Standards for Conversions'!$H$47:$H$73,MATCH(HW$3,'Standards for Conversions'!$A$47:$A$73,0)))=0,"",HX168/(INDEX('Standards for Conversions'!$H$47:$H$73,MATCH(HW$3,'Standards for Conversions'!$A$47:$A$73,0))))</f>
        <v>2904.9082442571193</v>
      </c>
      <c r="HZ168" s="33">
        <v>200</v>
      </c>
      <c r="IA168" s="33">
        <v>17000</v>
      </c>
      <c r="IB168" s="31">
        <f>IF(IA168/(INDEX('Standards for Conversions'!$H$47:$H$73,MATCH(HZ$3,'Standards for Conversions'!$A$47:$A$73,0)))=0,"",IA168/(INDEX('Standards for Conversions'!$H$47:$H$73,MATCH(HZ$3,'Standards for Conversions'!$A$47:$A$73,0))))</f>
        <v>2469.1720076185511</v>
      </c>
      <c r="IC168" s="33" t="s">
        <v>60</v>
      </c>
      <c r="IF168" s="31" t="str">
        <f>IF(IE168/(INDEX('Standards for Conversions'!$H$47:$H$73,MATCH(ID$3,'Standards for Conversions'!$A$47:$A$73,0)))=0,"",IE168/(INDEX('Standards for Conversions'!$H$47:$H$73,MATCH(ID$3,'Standards for Conversions'!$A$47:$A$73,0))))</f>
        <v/>
      </c>
      <c r="IG168" s="33" t="s">
        <v>60</v>
      </c>
      <c r="IJ168" s="31" t="str">
        <f>IF(II168/(INDEX('Standards for Conversions'!$H$47:$H$73,MATCH(IH$3,'Standards for Conversions'!$A$47:$A$73,0)))=0,"",II168/(INDEX('Standards for Conversions'!$H$47:$H$73,MATCH(IH$3,'Standards for Conversions'!$A$47:$A$73,0))))</f>
        <v/>
      </c>
      <c r="IK168" s="33" t="s">
        <v>60</v>
      </c>
      <c r="IL168" s="29">
        <v>200</v>
      </c>
      <c r="IM168" s="29">
        <v>16000</v>
      </c>
      <c r="IN168" s="31">
        <f>IF(IM168/(INDEX('Standards for Conversions'!$H$47:$H$73,MATCH(IL$3,'Standards for Conversions'!$A$47:$A$73,0)))=0,"",IM168/(INDEX('Standards for Conversions'!$H$47:$H$73,MATCH(IL$3,'Standards for Conversions'!$A$47:$A$73,0))))</f>
        <v>2313.7636511109176</v>
      </c>
      <c r="IO168" s="33" t="s">
        <v>60</v>
      </c>
      <c r="IP168" s="29">
        <v>162</v>
      </c>
      <c r="IQ168" s="29">
        <v>15725</v>
      </c>
      <c r="IR168" s="31">
        <f>IF(IQ168/(INDEX('Standards for Conversions'!$H$47:$H$73,MATCH(IP$3,'Standards for Conversions'!$A$47:$A$73,0)))=0,"",IQ168/(INDEX('Standards for Conversions'!$H$47:$H$73,MATCH(IP$3,'Standards for Conversions'!$A$47:$A$73,0))))</f>
        <v>2273.995838357449</v>
      </c>
      <c r="IS168" s="33" t="s">
        <v>60</v>
      </c>
      <c r="IV168" s="31" t="str">
        <f>IF(IU168/(INDEX('Standards for Conversions'!$H$47:$H$73,MATCH(IT$3,'Standards for Conversions'!$A$47:$A$73,0)))=0,"",IU168/(INDEX('Standards for Conversions'!$H$47:$H$73,MATCH(IT$3,'Standards for Conversions'!$A$47:$A$73,0))))</f>
        <v/>
      </c>
      <c r="IW168" s="33" t="s">
        <v>60</v>
      </c>
      <c r="IZ168" s="31" t="str">
        <f>IF(IY168/(INDEX('Standards for Conversions'!$H$47:$H$73,MATCH(IX$3,'Standards for Conversions'!$A$47:$A$73,0)))=0,"",IY168/(INDEX('Standards for Conversions'!$H$47:$H$73,MATCH(IX$3,'Standards for Conversions'!$A$47:$A$73,0))))</f>
        <v/>
      </c>
      <c r="JA168" s="48" t="s">
        <v>60</v>
      </c>
      <c r="JB168" s="29">
        <v>48</v>
      </c>
      <c r="JC168" s="29">
        <v>4300</v>
      </c>
      <c r="JD168" s="31">
        <f>IF(JC168/(INDEX('Standards for Conversions'!$H$47:$H$73,MATCH(JB$3,'Standards for Conversions'!$A$47:$A$73,0)))=0,"",JC168/(INDEX('Standards for Conversions'!$H$47:$H$73,MATCH(JB$3,'Standards for Conversions'!$A$47:$A$73,0))))</f>
        <v>695.56884577503536</v>
      </c>
      <c r="JE168" s="33"/>
      <c r="JH168" s="31" t="str">
        <f>IF(JG168/(INDEX('Standards for Conversions'!$H$47:$H$73,MATCH(JF$3,'Standards for Conversions'!$A$47:$A$73,0)))=0,"",JG168/(INDEX('Standards for Conversions'!$H$47:$H$73,MATCH(JF$3,'Standards for Conversions'!$A$47:$A$73,0))))</f>
        <v/>
      </c>
      <c r="JI168" s="33"/>
      <c r="JL168" s="31" t="str">
        <f>IF(JK168/(INDEX('Standards for Conversions'!$H$47:$H$73,MATCH(JJ$3,'Standards for Conversions'!$A$47:$A$73,0)))=0,"",JK168/(INDEX('Standards for Conversions'!$H$47:$H$73,MATCH(JJ$3,'Standards for Conversions'!$A$47:$A$73,0))))</f>
        <v/>
      </c>
      <c r="JM168" s="33" t="s">
        <v>60</v>
      </c>
      <c r="JP168" s="31" t="str">
        <f>IF(JO168/(INDEX('Standards for Conversions'!$H$47:$H$73,MATCH(JN$3,'Standards for Conversions'!$A$47:$A$73,0)))=0,"",JO168/(INDEX('Standards for Conversions'!$H$47:$H$73,MATCH(JN$3,'Standards for Conversions'!$A$47:$A$73,0))))</f>
        <v/>
      </c>
      <c r="JQ168" s="33" t="s">
        <v>60</v>
      </c>
      <c r="JR168" s="29">
        <v>100</v>
      </c>
      <c r="JS168" s="29">
        <v>9000</v>
      </c>
      <c r="JT168" s="31">
        <f>IF(JS168/(INDEX('Standards for Conversions'!$H$47:$H$73,MATCH(JR$3,'Standards for Conversions'!$A$47:$A$73,0)))=0,"",JS168/(INDEX('Standards for Conversions'!$H$47:$H$73,MATCH(JR$3,'Standards for Conversions'!$A$47:$A$73,0))))</f>
        <v>1373.903031850178</v>
      </c>
      <c r="JU168" s="33" t="s">
        <v>60</v>
      </c>
      <c r="JV168" s="29">
        <v>220</v>
      </c>
      <c r="JW168" s="29">
        <v>20000</v>
      </c>
      <c r="JX168" s="31">
        <f>IF(JW168/(INDEX('Standards for Conversions'!$H$47:$H$73,MATCH(JV$3,'Standards for Conversions'!$A$47:$A$73,0)))=0,"",JW168/(INDEX('Standards for Conversions'!$H$47:$H$73,MATCH(JV$3,'Standards for Conversions'!$A$47:$A$73,0))))</f>
        <v>3053.1178485559512</v>
      </c>
      <c r="JY168" s="33" t="s">
        <v>60</v>
      </c>
      <c r="KB168" s="31" t="str">
        <f>IF(KA168/(INDEX('Standards for Conversions'!$H$47:$H$73,MATCH(JZ$3,'Standards for Conversions'!$A$47:$A$73,0)))=0,"",KA168/(INDEX('Standards for Conversions'!$H$47:$H$73,MATCH(JZ$3,'Standards for Conversions'!$A$47:$A$73,0))))</f>
        <v/>
      </c>
      <c r="KC168" s="33" t="s">
        <v>60</v>
      </c>
      <c r="KF168" s="31" t="str">
        <f>IF(KE168/(INDEX('Standards for Conversions'!$H$47:$H$73,MATCH(KD$3,'Standards for Conversions'!$A$47:$A$73,0)))=0,"",KE168/(INDEX('Standards for Conversions'!$H$47:$H$73,MATCH(KD$3,'Standards for Conversions'!$A$47:$A$73,0))))</f>
        <v/>
      </c>
      <c r="KG168" s="33" t="s">
        <v>60</v>
      </c>
      <c r="KH168" s="29">
        <v>110</v>
      </c>
      <c r="KI168" s="29">
        <v>11000</v>
      </c>
      <c r="KJ168" s="31">
        <f>IF(KI168/(INDEX('Standards for Conversions'!$H$47:$H$73,MATCH(KH$3,'Standards for Conversions'!$A$47:$A$73,0)))=0,"",KI168/(INDEX('Standards for Conversions'!$H$47:$H$73,MATCH(KH$3,'Standards for Conversions'!$A$47:$A$73,0))))</f>
        <v>1481.249130963761</v>
      </c>
      <c r="KK168" s="33" t="s">
        <v>60</v>
      </c>
      <c r="KL168" s="29">
        <v>250</v>
      </c>
      <c r="KM168" s="29">
        <v>50000</v>
      </c>
      <c r="KN168" s="31">
        <f>IF(KM168/(INDEX('Standards for Conversions'!$H$47:$H$73,MATCH(KL$3,'Standards for Conversions'!$A$47:$A$73,0)))=0,"",KM168/(INDEX('Standards for Conversions'!$H$47:$H$73,MATCH(KL$3,'Standards for Conversions'!$A$47:$A$73,0))))</f>
        <v>6732.9505952898235</v>
      </c>
      <c r="KO168" s="33" t="s">
        <v>60</v>
      </c>
      <c r="KR168" s="31" t="str">
        <f>IF(KQ168/(INDEX('Standards for Conversions'!$H$47:$H$73,MATCH(KP$3,'Standards for Conversions'!$A$47:$A$73,0)))=0,"",KQ168/(INDEX('Standards for Conversions'!$H$47:$H$73,MATCH(KP$3,'Standards for Conversions'!$A$47:$A$73,0))))</f>
        <v/>
      </c>
      <c r="KS168" s="33" t="s">
        <v>60</v>
      </c>
      <c r="KV168" s="31" t="str">
        <f>IF(KU168/(INDEX('Standards for Conversions'!$H$47:$H$73,MATCH(KT$3,'Standards for Conversions'!$A$47:$A$73,0)))=0,"",KU168/(INDEX('Standards for Conversions'!$H$47:$H$73,MATCH(KT$3,'Standards for Conversions'!$A$47:$A$73,0))))</f>
        <v/>
      </c>
      <c r="KW168" s="48" t="s">
        <v>60</v>
      </c>
      <c r="KX168" s="29">
        <v>300</v>
      </c>
      <c r="KY168" s="29">
        <v>33000</v>
      </c>
      <c r="KZ168" s="31">
        <f>IF(KY168/(INDEX('Standards for Conversions'!$H$47:$H$73,MATCH(KX$3,'Standards for Conversions'!$A$47:$A$73,0)))=0,"",KY168/(INDEX('Standards for Conversions'!$H$47:$H$73,MATCH(KX$3,'Standards for Conversions'!$A$47:$A$73,0))))</f>
        <v>4013.3467020074727</v>
      </c>
      <c r="LD168" s="31" t="str">
        <f>IF(LC168/(INDEX('Standards for Conversions'!$H$47:$H$73,MATCH(LB$3,'Standards for Conversions'!$A$47:$A$73,0)))=0,"",LC168/(INDEX('Standards for Conversions'!$H$47:$H$73,MATCH(LB$3,'Standards for Conversions'!$A$47:$A$73,0))))</f>
        <v/>
      </c>
      <c r="LE168" s="33"/>
      <c r="LH168" s="31" t="str">
        <f>IF(LG168/(INDEX('Standards for Conversions'!$H$47:$H$73,MATCH(LF$3,'Standards for Conversions'!$A$47:$A$73,0)))=0,"",LG168/(INDEX('Standards for Conversions'!$H$47:$H$73,MATCH(LF$3,'Standards for Conversions'!$A$47:$A$73,0))))</f>
        <v/>
      </c>
      <c r="LL168" s="31" t="str">
        <f>IF(LK168/(INDEX('Standards for Conversions'!$H$47:$H$73,MATCH(LJ$3,'Standards for Conversions'!$A$47:$A$73,0)))=0,"",LK168/(INDEX('Standards for Conversions'!$H$47:$H$73,MATCH(LJ$3,'Standards for Conversions'!$A$47:$A$73,0))))</f>
        <v/>
      </c>
      <c r="LO168" s="31" t="str">
        <f>IF(LN168/(INDEX('Standards for Conversions'!$H$47:$H$73,MATCH(LM$3,'Standards for Conversions'!$A$47:$A$73,0)))=0,"",LN168/(INDEX('Standards for Conversions'!$H$47:$H$73,MATCH(LM$3,'Standards for Conversions'!$A$47:$A$73,0))))</f>
        <v/>
      </c>
      <c r="LR168" s="31" t="str">
        <f>IF(LQ168/(INDEX('Standards for Conversions'!$H$47:$H$73,MATCH(LP$3,'Standards for Conversions'!$A$47:$A$73,0)))=0,"",LQ168/(INDEX('Standards for Conversions'!$H$47:$H$73,MATCH(LP$3,'Standards for Conversions'!$A$47:$A$73,0))))</f>
        <v/>
      </c>
      <c r="LV168" s="31" t="str">
        <f>IF(LU168/(INDEX('Standards for Conversions'!$H$47:$H$73,MATCH(LT$3,'Standards for Conversions'!$A$47:$A$73,0)))=0,"",LU168/(INDEX('Standards for Conversions'!$H$47:$H$73,MATCH(LT$3,'Standards for Conversions'!$A$47:$A$73,0))))</f>
        <v/>
      </c>
      <c r="LY168" s="31" t="str">
        <f>IF(LX168/(INDEX('Standards for Conversions'!$H$47:$H$73,MATCH(LW$3,'Standards for Conversions'!$A$47:$A$73,0)))=0,"",LX168/(INDEX('Standards for Conversions'!$H$47:$H$73,MATCH(LW$3,'Standards for Conversions'!$A$47:$A$73,0))))</f>
        <v/>
      </c>
      <c r="MB168" s="31" t="str">
        <f>IF(MA168/(INDEX('Standards for Conversions'!$H$47:$H$73,MATCH(LZ$3,'Standards for Conversions'!$A$47:$A$73,0)))=0,"",MA168/(INDEX('Standards for Conversions'!$H$47:$H$73,MATCH(LZ$3,'Standards for Conversions'!$A$47:$A$73,0))))</f>
        <v/>
      </c>
      <c r="ME168" s="31" t="str">
        <f>IF(MD168/(INDEX('Standards for Conversions'!$H$47:$H$73,MATCH(MC$3,'Standards for Conversions'!$A$47:$A$73,0)))=0,"",MD168/(INDEX('Standards for Conversions'!$H$47:$H$73,MATCH(MC$3,'Standards for Conversions'!$A$47:$A$73,0))))</f>
        <v/>
      </c>
      <c r="MH168" s="31" t="str">
        <f>IF(MG168/(INDEX('Standards for Conversions'!$H$47:$H$73,MATCH(MF$3,'Standards for Conversions'!$A$47:$A$73,0)))=0,"",MG168/(INDEX('Standards for Conversions'!$H$47:$H$73,MATCH(MF$3,'Standards for Conversions'!$A$47:$A$73,0))))</f>
        <v/>
      </c>
      <c r="MK168" s="31" t="str">
        <f>IF(MJ168/(INDEX('Standards for Conversions'!$H$47:$H$73,MATCH(MI$3,'Standards for Conversions'!$A$47:$A$73,0)))=0,"",MJ168/(INDEX('Standards for Conversions'!$H$47:$H$73,MATCH(MI$3,'Standards for Conversions'!$A$47:$A$73,0))))</f>
        <v/>
      </c>
      <c r="MN168" s="31" t="str">
        <f>IF(MM168/(INDEX('Standards for Conversions'!$H$47:$H$73,MATCH(ML$3,'Standards for Conversions'!$A$47:$A$73,0)))=0,"",MM168/(INDEX('Standards for Conversions'!$H$47:$H$73,MATCH(ML$3,'Standards for Conversions'!$A$47:$A$73,0))))</f>
        <v/>
      </c>
      <c r="MR168" s="31" t="str">
        <f>IF(MQ168/(INDEX('Standards for Conversions'!$H$47:$H$73,MATCH(MP$3,'Standards for Conversions'!$A$47:$A$73,0)))=0,"",MQ168/(INDEX('Standards for Conversions'!$H$47:$H$73,MATCH(MP$3,'Standards for Conversions'!$A$47:$A$73,0))))</f>
        <v/>
      </c>
    </row>
    <row r="169" spans="1:373" hidden="1" x14ac:dyDescent="0.3">
      <c r="A169" s="105" t="s">
        <v>328</v>
      </c>
      <c r="B169" s="10" t="s">
        <v>38</v>
      </c>
      <c r="C169" s="7"/>
      <c r="D169" s="7"/>
      <c r="E169" s="31" t="str">
        <f>IF(D169/(INDEX('Standards for Conversions'!$H$34:$H$73,MATCH(C$3,'Standards for Conversions'!$A$34:$A$73,0)))=0,"",D169/(INDEX('Standards for Conversions'!$H$34:$H$73,MATCH(C$3,'Standards for Conversions'!$A$34:$A$73,0))))</f>
        <v/>
      </c>
      <c r="F169" s="10" t="s">
        <v>38</v>
      </c>
      <c r="G169" s="7"/>
      <c r="H169" s="7"/>
      <c r="I169" s="31" t="str">
        <f>IF(H169/(INDEX('Standards for Conversions'!$H$34:$H$73,MATCH(G$3,'Standards for Conversions'!$A$34:$A$73,0)))=0,"",H169/(INDEX('Standards for Conversions'!$H$34:$H$73,MATCH(G$3,'Standards for Conversions'!$A$34:$A$73,0))))</f>
        <v/>
      </c>
      <c r="J169" s="10" t="s">
        <v>38</v>
      </c>
      <c r="K169" s="7"/>
      <c r="L169" s="7"/>
      <c r="M169" s="31" t="str">
        <f>IF(L169/(INDEX('Standards for Conversions'!$H$34:$H$73,MATCH(K$3,'Standards for Conversions'!$A$34:$A$73,0)))=0,"",L169/(INDEX('Standards for Conversions'!$H$34:$H$73,MATCH(K$3,'Standards for Conversions'!$A$34:$A$73,0))))</f>
        <v/>
      </c>
      <c r="N169" s="10" t="s">
        <v>38</v>
      </c>
      <c r="O169" s="7"/>
      <c r="P169" s="7"/>
      <c r="Q169" s="31" t="str">
        <f>IF(P169/(INDEX('Standards for Conversions'!$H$34:$H$73,MATCH(O$3,'Standards for Conversions'!$A$34:$A$73,0)))=0,"",P169/(INDEX('Standards for Conversions'!$H$34:$H$73,MATCH(O$3,'Standards for Conversions'!$A$34:$A$73,0))))</f>
        <v/>
      </c>
      <c r="R169" s="10" t="s">
        <v>38</v>
      </c>
      <c r="S169" s="7"/>
      <c r="T169" s="7"/>
      <c r="U169" s="31" t="str">
        <f>IF(T169/(INDEX('Standards for Conversions'!$H$34:$H$73,MATCH(S$3,'Standards for Conversions'!$A$34:$A$73,0)))=0,"",T169/(INDEX('Standards for Conversions'!$H$34:$H$73,MATCH(S$3,'Standards for Conversions'!$A$34:$A$73,0))))</f>
        <v/>
      </c>
      <c r="V169" s="10" t="s">
        <v>38</v>
      </c>
      <c r="W169" s="7"/>
      <c r="X169" s="7"/>
      <c r="Y169" s="31" t="str">
        <f>IF(X169/(INDEX('Standards for Conversions'!$H$34:$H$73,MATCH(W$3,'Standards for Conversions'!$A$34:$A$73,0)))=0,"",X169/(INDEX('Standards for Conversions'!$H$34:$H$73,MATCH(W$3,'Standards for Conversions'!$A$34:$A$73,0))))</f>
        <v/>
      </c>
      <c r="Z169" s="10" t="s">
        <v>38</v>
      </c>
      <c r="AA169" s="7"/>
      <c r="AB169" s="7"/>
      <c r="AC169" s="31" t="str">
        <f>IF(AB169/(INDEX('Standards for Conversions'!$H$34:$H$73,MATCH(AA$3,'Standards for Conversions'!$A$34:$A$73,0)))=0,"",AB169/(INDEX('Standards for Conversions'!$H$34:$H$73,MATCH(AA$3,'Standards for Conversions'!$A$34:$A$73,0))))</f>
        <v/>
      </c>
      <c r="AD169" s="10" t="s">
        <v>38</v>
      </c>
      <c r="AE169" s="7"/>
      <c r="AF169" s="7"/>
      <c r="AG169" s="31" t="str">
        <f>IF(AF169/(INDEX('Standards for Conversions'!$H$34:$H$73,MATCH(AE$3,'Standards for Conversions'!$A$34:$A$73,0)))=0,"",AF169/(INDEX('Standards for Conversions'!$H$34:$H$73,MATCH(AE$3,'Standards for Conversions'!$A$34:$A$73,0))))</f>
        <v/>
      </c>
      <c r="AH169" s="10" t="s">
        <v>38</v>
      </c>
      <c r="AI169" s="7"/>
      <c r="AJ169" s="7"/>
      <c r="AK169" s="31" t="str">
        <f>IF(AJ169/(INDEX('Standards for Conversions'!$H$34:$H$73,MATCH(AI$3,'Standards for Conversions'!$A$34:$A$73,0)))=0,"",AJ169/(INDEX('Standards for Conversions'!$H$34:$H$73,MATCH(AI$3,'Standards for Conversions'!$A$34:$A$73,0))))</f>
        <v/>
      </c>
      <c r="AL169" s="10" t="s">
        <v>38</v>
      </c>
      <c r="AM169" s="7"/>
      <c r="AN169" s="7"/>
      <c r="AO169" s="31" t="str">
        <f>IF(AN169/(INDEX('Standards for Conversions'!$H$34:$H$73,MATCH(AM$3,'Standards for Conversions'!$A$34:$A$73,0)))=0,"",AN169/(INDEX('Standards for Conversions'!$H$34:$H$73,MATCH(AM$3,'Standards for Conversions'!$A$34:$A$73,0))))</f>
        <v/>
      </c>
      <c r="AP169" s="10" t="s">
        <v>38</v>
      </c>
      <c r="AQ169" s="7"/>
      <c r="AR169" s="7"/>
      <c r="AS169" s="31" t="str">
        <f>IF(AR169/(INDEX('Standards for Conversions'!$H$34:$H$73,MATCH(AQ$3,'Standards for Conversions'!$A$34:$A$73,0)))=0,"",AR169/(INDEX('Standards for Conversions'!$H$34:$H$73,MATCH(AQ$3,'Standards for Conversions'!$A$34:$A$73,0))))</f>
        <v/>
      </c>
      <c r="AT169" s="10" t="s">
        <v>38</v>
      </c>
      <c r="AU169" s="7"/>
      <c r="AV169" s="7"/>
      <c r="AW169" s="31" t="str">
        <f>IF(AV169/(INDEX('Standards for Conversions'!$H$34:$H$73,MATCH(AU$3,'Standards for Conversions'!$A$34:$A$73,0)))=0,"",AV169/(INDEX('Standards for Conversions'!$H$34:$H$73,MATCH(AU$3,'Standards for Conversions'!$A$34:$A$73,0))))</f>
        <v/>
      </c>
      <c r="AX169" s="10" t="s">
        <v>38</v>
      </c>
      <c r="AY169" s="7"/>
      <c r="AZ169" s="7"/>
      <c r="BA169" s="31" t="str">
        <f>IF(AZ169/(INDEX('Standards for Conversions'!$H$34:$H$73,MATCH(AY$3,'Standards for Conversions'!$A$34:$A$73,0)))=0,"",AZ169/(INDEX('Standards for Conversions'!$H$34:$H$73,MATCH(AY$3,'Standards for Conversions'!$A$34:$A$73,0))))</f>
        <v/>
      </c>
      <c r="BB169" s="10" t="s">
        <v>38</v>
      </c>
      <c r="BC169" s="7"/>
      <c r="BD169" s="7"/>
      <c r="BE169" s="31" t="str">
        <f>IF(BD169/(INDEX('Standards for Conversions'!$H$34:$H$73,MATCH(BC$3,'Standards for Conversions'!$A$34:$A$73,0)))=0,"",BD169/(INDEX('Standards for Conversions'!$H$34:$H$73,MATCH(BC$3,'Standards for Conversions'!$A$34:$A$73,0))))</f>
        <v/>
      </c>
      <c r="BF169" s="10" t="s">
        <v>38</v>
      </c>
      <c r="BG169" s="7"/>
      <c r="BH169" s="7"/>
      <c r="BI169" s="31" t="str">
        <f>IF(BH169/(INDEX('Standards for Conversions'!$H$34:$H$73,MATCH(BG$3,'Standards for Conversions'!$A$34:$A$73,0)))=0,"",BH169/(INDEX('Standards for Conversions'!$H$34:$H$73,MATCH(BG$3,'Standards for Conversions'!$A$34:$A$73,0))))</f>
        <v/>
      </c>
      <c r="BJ169" s="10" t="s">
        <v>38</v>
      </c>
      <c r="BK169" s="7"/>
      <c r="BL169" s="7"/>
      <c r="BM169" s="31" t="str">
        <f>IF(BL169/(INDEX('Standards for Conversions'!$H$34:$H$73,MATCH(BK$3,'Standards for Conversions'!$A$34:$A$73,0)))=0,"",BL169/(INDEX('Standards for Conversions'!$H$34:$H$73,MATCH(BK$3,'Standards for Conversions'!$A$34:$A$73,0))))</f>
        <v/>
      </c>
      <c r="BN169" s="10" t="s">
        <v>38</v>
      </c>
      <c r="BO169" s="7"/>
      <c r="BP169" s="7"/>
      <c r="BQ169" s="31" t="str">
        <f>IF(BP169/(INDEX('Standards for Conversions'!$H$34:$H$73,MATCH(BO$3,'Standards for Conversions'!$A$34:$A$73,0)))=0,"",BP169/(INDEX('Standards for Conversions'!$H$34:$H$73,MATCH(BO$3,'Standards for Conversions'!$A$34:$A$73,0))))</f>
        <v/>
      </c>
      <c r="BR169" s="10" t="s">
        <v>38</v>
      </c>
      <c r="BS169" s="7"/>
      <c r="BT169" s="7"/>
      <c r="BU169" s="31" t="str">
        <f>IF(BT169/(INDEX('Standards for Conversions'!$H$34:$H$73,MATCH(BS$3,'Standards for Conversions'!$A$34:$A$73,0)))=0,"",BT169/(INDEX('Standards for Conversions'!$H$34:$H$73,MATCH(BS$3,'Standards for Conversions'!$A$34:$A$73,0))))</f>
        <v/>
      </c>
      <c r="BV169" s="10" t="s">
        <v>38</v>
      </c>
      <c r="BW169" s="7"/>
      <c r="BX169" s="7"/>
      <c r="BY169" s="31" t="str">
        <f>IF(BX169/(INDEX('Standards for Conversions'!$H$34:$H$73,MATCH(BW$3,'Standards for Conversions'!$A$34:$A$73,0)))=0,"",BX169/(INDEX('Standards for Conversions'!$H$34:$H$73,MATCH(BW$3,'Standards for Conversions'!$A$34:$A$73,0))))</f>
        <v/>
      </c>
      <c r="BZ169" s="10" t="s">
        <v>38</v>
      </c>
      <c r="CA169" s="7"/>
      <c r="CB169" s="7"/>
      <c r="CC169" s="31" t="str">
        <f>IF(CB169/(INDEX('Standards for Conversions'!$H$34:$H$73,MATCH(CA$3,'Standards for Conversions'!$A$34:$A$73,0)))=0,"",CB169/(INDEX('Standards for Conversions'!$H$34:$H$73,MATCH(CA$3,'Standards for Conversions'!$A$34:$A$73,0))))</f>
        <v/>
      </c>
      <c r="CD169" s="10" t="s">
        <v>38</v>
      </c>
      <c r="CE169" s="7"/>
      <c r="CF169" s="7"/>
      <c r="CG169" s="31" t="str">
        <f>IF(CF169/(INDEX('Standards for Conversions'!$H$34:$H$73,MATCH(CE$3,'Standards for Conversions'!$A$34:$A$73,0)))=0,"",CF169/(INDEX('Standards for Conversions'!$H$34:$H$73,MATCH(CE$3,'Standards for Conversions'!$A$34:$A$73,0))))</f>
        <v/>
      </c>
      <c r="CH169" s="10" t="s">
        <v>38</v>
      </c>
      <c r="CI169" s="7"/>
      <c r="CJ169" s="7"/>
      <c r="CK169" s="31" t="str">
        <f>IF(CJ169/(INDEX('Standards for Conversions'!$H$34:$H$73,MATCH(CI$3,'Standards for Conversions'!$A$34:$A$73,0)))=0,"",CJ169/(INDEX('Standards for Conversions'!$H$34:$H$73,MATCH(CI$3,'Standards for Conversions'!$A$34:$A$73,0))))</f>
        <v/>
      </c>
      <c r="CL169" s="10" t="s">
        <v>38</v>
      </c>
      <c r="CM169" s="7"/>
      <c r="CN169" s="7"/>
      <c r="CO169" s="31" t="str">
        <f>IF(CN169/(INDEX('Standards for Conversions'!$H$34:$H$73,MATCH(CM$3,'Standards for Conversions'!$A$34:$A$73,0)))=0,"",CN169/(INDEX('Standards for Conversions'!$H$34:$H$73,MATCH(CM$3,'Standards for Conversions'!$A$34:$A$73,0))))</f>
        <v/>
      </c>
      <c r="CP169" s="10" t="s">
        <v>38</v>
      </c>
      <c r="CQ169" s="7"/>
      <c r="CR169" s="7"/>
      <c r="CS169" s="31" t="str">
        <f>IF(CR169/(INDEX('Standards for Conversions'!$H$34:$H$73,MATCH(CQ$3,'Standards for Conversions'!$A$34:$A$73,0)))=0,"",CR169/(INDEX('Standards for Conversions'!$H$34:$H$73,MATCH(CQ$3,'Standards for Conversions'!$A$34:$A$73,0))))</f>
        <v/>
      </c>
      <c r="CT169" s="10" t="s">
        <v>38</v>
      </c>
      <c r="CU169" s="7"/>
      <c r="CV169" s="7"/>
      <c r="CW169" s="31" t="str">
        <f>IF(CV169/(INDEX('Standards for Conversions'!$H$34:$H$73,MATCH(CU$3,'Standards for Conversions'!$A$34:$A$73,0)))=0,"",CV169/(INDEX('Standards for Conversions'!$H$34:$H$73,MATCH(CU$3,'Standards for Conversions'!$A$34:$A$73,0))))</f>
        <v/>
      </c>
      <c r="CX169" s="10" t="s">
        <v>38</v>
      </c>
      <c r="CY169" s="7"/>
      <c r="CZ169" s="7"/>
      <c r="DA169" s="31" t="str">
        <f>IF(CZ169/(INDEX('Standards for Conversions'!$H$34:$H$73,MATCH(CY$3,'Standards for Conversions'!$A$34:$A$73,0)))=0,"",CZ169/(INDEX('Standards for Conversions'!$H$34:$H$73,MATCH(CY$3,'Standards for Conversions'!$A$34:$A$73,0))))</f>
        <v/>
      </c>
      <c r="DB169" s="10" t="s">
        <v>38</v>
      </c>
      <c r="DC169" s="7"/>
      <c r="DD169" s="7"/>
      <c r="DE169" s="31" t="str">
        <f>IF(DD169/(INDEX('Standards for Conversions'!$H$34:$H$73,MATCH(DC$3,'Standards for Conversions'!$A$34:$A$73,0)))=0,"",DD169/(INDEX('Standards for Conversions'!$H$34:$H$73,MATCH(DC$3,'Standards for Conversions'!$A$34:$A$73,0))))</f>
        <v/>
      </c>
      <c r="DF169" s="10" t="s">
        <v>38</v>
      </c>
      <c r="DG169" s="7"/>
      <c r="DH169" s="7"/>
      <c r="DI169" s="31" t="str">
        <f>IF(DH169/(INDEX('Standards for Conversions'!$H$34:$H$73,MATCH(DG$3,'Standards for Conversions'!$A$34:$A$73,0)))=0,"",DH169/(INDEX('Standards for Conversions'!$H$34:$H$73,MATCH(DG$3,'Standards for Conversions'!$A$34:$A$73,0))))</f>
        <v/>
      </c>
      <c r="DJ169" s="10" t="s">
        <v>38</v>
      </c>
      <c r="DK169" s="7"/>
      <c r="DL169" s="7"/>
      <c r="DM169" s="31" t="str">
        <f>IF(DL169/(INDEX('Standards for Conversions'!$H$34:$H$73,MATCH(DK$3,'Standards for Conversions'!$A$34:$A$73,0)))=0,"",DL169/(INDEX('Standards for Conversions'!$H$34:$H$73,MATCH(DK$3,'Standards for Conversions'!$A$34:$A$73,0))))</f>
        <v/>
      </c>
      <c r="DN169" s="10" t="s">
        <v>38</v>
      </c>
      <c r="DO169" s="7"/>
      <c r="DP169" s="7"/>
      <c r="DQ169" s="31" t="str">
        <f>IF(DP169/(INDEX('Standards for Conversions'!$H$34:$H$73,MATCH(DO$3,'Standards for Conversions'!$A$34:$A$73,0)))=0,"",DP169/(INDEX('Standards for Conversions'!$H$34:$H$73,MATCH(DO$3,'Standards for Conversions'!$A$34:$A$73,0))))</f>
        <v/>
      </c>
      <c r="DR169" s="10" t="s">
        <v>38</v>
      </c>
      <c r="DS169" s="7"/>
      <c r="DT169" s="7"/>
      <c r="DU169" s="31" t="str">
        <f>IF(DT169/(INDEX('Standards for Conversions'!$H$34:$H$73,MATCH(DS$3,'Standards for Conversions'!$A$34:$A$73,0)))=0,"",DT169/(INDEX('Standards for Conversions'!$H$34:$H$73,MATCH(DS$3,'Standards for Conversions'!$A$34:$A$73,0))))</f>
        <v/>
      </c>
      <c r="DV169" s="10" t="s">
        <v>38</v>
      </c>
      <c r="DW169" s="7"/>
      <c r="DX169" s="7"/>
      <c r="DY169" s="31" t="str">
        <f>IF(DX169/(INDEX('Standards for Conversions'!$H$34:$H$73,MATCH(DW$3,'Standards for Conversions'!$A$34:$A$73,0)))=0,"",DX169/(INDEX('Standards for Conversions'!$H$34:$H$73,MATCH(DW$3,'Standards for Conversions'!$A$34:$A$73,0))))</f>
        <v/>
      </c>
      <c r="DZ169" s="10" t="s">
        <v>38</v>
      </c>
      <c r="EA169" s="7"/>
      <c r="EB169" s="7"/>
      <c r="EC169" s="31" t="str">
        <f>IF(EB169/(INDEX('Standards for Conversions'!$H$34:$H$73,MATCH(EA$3,'Standards for Conversions'!$A$34:$A$73,0)))=0,"",EB169/(INDEX('Standards for Conversions'!$H$34:$H$73,MATCH(EA$3,'Standards for Conversions'!$A$34:$A$73,0))))</f>
        <v/>
      </c>
      <c r="ED169" s="10" t="s">
        <v>38</v>
      </c>
      <c r="EE169" s="7"/>
      <c r="EF169" s="7"/>
      <c r="EG169" s="31" t="str">
        <f>IF(EF169/(INDEX('Standards for Conversions'!$H$34:$H$73,MATCH(EE$3,'Standards for Conversions'!$A$34:$A$73,0)))=0,"",EF169/(INDEX('Standards for Conversions'!$H$34:$H$73,MATCH(EE$3,'Standards for Conversions'!$A$34:$A$73,0))))</f>
        <v/>
      </c>
      <c r="EH169" s="10" t="s">
        <v>38</v>
      </c>
      <c r="EI169" s="7"/>
      <c r="EJ169" s="7"/>
      <c r="EK169" s="31" t="str">
        <f>IF(EJ169/(INDEX('Standards for Conversions'!$H$34:$H$73,MATCH(EI$3,'Standards for Conversions'!$A$34:$A$73,0)))=0,"",EJ169/(INDEX('Standards for Conversions'!$H$34:$H$73,MATCH(EI$3,'Standards for Conversions'!$A$34:$A$73,0))))</f>
        <v/>
      </c>
      <c r="EL169" s="10" t="s">
        <v>38</v>
      </c>
      <c r="EM169" s="7"/>
      <c r="EN169" s="7"/>
      <c r="EO169" s="31" t="str">
        <f>IF(EN169/(INDEX('Standards for Conversions'!$H$34:$H$73,MATCH(EM$3,'Standards for Conversions'!$A$34:$A$73,0)))=0,"",EN169/(INDEX('Standards for Conversions'!$H$34:$H$73,MATCH(EM$3,'Standards for Conversions'!$A$34:$A$73,0))))</f>
        <v/>
      </c>
      <c r="EP169" s="10" t="s">
        <v>38</v>
      </c>
      <c r="EQ169" s="7"/>
      <c r="ER169" s="7"/>
      <c r="ES169" s="31" t="str">
        <f>IF(ER169/(INDEX('Standards for Conversions'!$H$34:$H$73,MATCH(EQ$3,'Standards for Conversions'!$A$34:$A$73,0)))=0,"",ER169/(INDEX('Standards for Conversions'!$H$34:$H$73,MATCH(EQ$3,'Standards for Conversions'!$A$34:$A$73,0))))</f>
        <v/>
      </c>
      <c r="ET169" s="10" t="s">
        <v>38</v>
      </c>
      <c r="EU169" s="7"/>
      <c r="EV169" s="7"/>
      <c r="EW169" s="31" t="str">
        <f>IF(EV169/(INDEX('Standards for Conversions'!$H$34:$H$73,MATCH(EU$3,'Standards for Conversions'!$A$34:$A$73,0)))=0,"",EV169/(INDEX('Standards for Conversions'!$H$34:$H$73,MATCH(EU$3,'Standards for Conversions'!$A$34:$A$73,0))))</f>
        <v/>
      </c>
      <c r="EX169" s="10" t="s">
        <v>38</v>
      </c>
      <c r="EY169" s="9"/>
      <c r="EZ169" s="9"/>
      <c r="FA169" s="31" t="str">
        <f>IF(EZ169/(INDEX('Standards for Conversions'!$H$34:$H$73,MATCH(EY$3,'Standards for Conversions'!$A$34:$A$73,0)))=0,"",EZ169/(INDEX('Standards for Conversions'!$H$34:$H$73,MATCH(EY$3,'Standards for Conversions'!$A$34:$A$73,0))))</f>
        <v/>
      </c>
      <c r="FB169" s="10" t="s">
        <v>38</v>
      </c>
      <c r="FC169" s="7"/>
      <c r="FD169" s="7"/>
      <c r="FE169" s="31" t="str">
        <f>IF(FD169/(INDEX('Standards for Conversions'!$H$34:$H$73,MATCH(FC$3,'Standards for Conversions'!$A$34:$A$73,0)))=0,"",FD169/(INDEX('Standards for Conversions'!$H$34:$H$73,MATCH(FC$3,'Standards for Conversions'!$A$34:$A$73,0))))</f>
        <v/>
      </c>
      <c r="FF169" s="10" t="s">
        <v>38</v>
      </c>
      <c r="FG169" s="7"/>
      <c r="FH169" s="7"/>
      <c r="FI169" s="31" t="str">
        <f>IF(FH169/(INDEX('Standards for Conversions'!$H$34:$H$73,MATCH(FG$3,'Standards for Conversions'!$A$34:$A$73,0)))=0,"",FH169/(INDEX('Standards for Conversions'!$H$34:$H$73,MATCH(FG$3,'Standards for Conversions'!$A$34:$A$73,0))))</f>
        <v/>
      </c>
      <c r="FJ169" s="10" t="s">
        <v>38</v>
      </c>
      <c r="FK169" s="7"/>
      <c r="FL169" s="7"/>
      <c r="FM169" s="31" t="str">
        <f>IF(FL169/(INDEX('Standards for Conversions'!$H$34:$H$73,MATCH(FK$3,'Standards for Conversions'!$A$34:$A$73,0)))=0,"",FL169/(INDEX('Standards for Conversions'!$H$34:$H$73,MATCH(FK$3,'Standards for Conversions'!$A$34:$A$73,0))))</f>
        <v/>
      </c>
      <c r="FN169" s="10" t="s">
        <v>38</v>
      </c>
      <c r="FO169" s="9"/>
      <c r="FP169" s="9"/>
      <c r="FQ169" s="31" t="str">
        <f>IF(FP169/(INDEX('Standards for Conversions'!$H$34:$H$73,MATCH(FO$3,'Standards for Conversions'!$A$34:$A$73,0)))=0,"",FP169/(INDEX('Standards for Conversions'!$H$34:$H$73,MATCH(FO$3,'Standards for Conversions'!$A$34:$A$73,0))))</f>
        <v/>
      </c>
      <c r="FR169" s="10" t="s">
        <v>38</v>
      </c>
      <c r="FS169" s="7"/>
      <c r="FT169" s="7"/>
      <c r="FU169" s="31" t="str">
        <f>IF(FT169/(INDEX('Standards for Conversions'!$H$34:$H$73,MATCH(FS$3,'Standards for Conversions'!$A$34:$A$73,0)))=0,"",FT169/(INDEX('Standards for Conversions'!$H$34:$H$73,MATCH(FS$3,'Standards for Conversions'!$A$34:$A$73,0))))</f>
        <v/>
      </c>
      <c r="FV169" s="10" t="s">
        <v>38</v>
      </c>
      <c r="FW169" s="7"/>
      <c r="FX169" s="7"/>
      <c r="FY169" s="31" t="str">
        <f>IF(FX169/(INDEX('Standards for Conversions'!$H$34:$H$73,MATCH(FW$3,'Standards for Conversions'!$A$34:$A$73,0)))=0,"",FX169/(INDEX('Standards for Conversions'!$H$34:$H$73,MATCH(FW$3,'Standards for Conversions'!$A$34:$A$73,0))))</f>
        <v/>
      </c>
      <c r="FZ169" s="10" t="s">
        <v>38</v>
      </c>
      <c r="GA169" s="7"/>
      <c r="GB169" s="7"/>
      <c r="GC169" s="31" t="str">
        <f>IF(GB169/(INDEX('Standards for Conversions'!$H$34:$H$73,MATCH(GA$3,'Standards for Conversions'!$A$34:$A$73,0)))=0,"",GB169/(INDEX('Standards for Conversions'!$H$34:$H$73,MATCH(GA$3,'Standards for Conversions'!$A$34:$A$73,0))))</f>
        <v/>
      </c>
      <c r="GD169" s="10" t="s">
        <v>38</v>
      </c>
      <c r="GE169" s="9"/>
      <c r="GF169" s="9"/>
      <c r="GG169" s="31" t="str">
        <f>IF(GF169/(INDEX('Standards for Conversions'!$H$34:$H$73,MATCH(GE$3,'Standards for Conversions'!$A$34:$A$73,0)))=0,"",GF169/(INDEX('Standards for Conversions'!$H$34:$H$73,MATCH(GE$3,'Standards for Conversions'!$A$34:$A$73,0))))</f>
        <v/>
      </c>
      <c r="GH169" s="10" t="s">
        <v>38</v>
      </c>
      <c r="GI169" s="7"/>
      <c r="GJ169" s="7"/>
      <c r="GK169" s="31" t="str">
        <f>IF(GJ169/(INDEX('Standards for Conversions'!$H$34:$H$73,MATCH(GI$3,'Standards for Conversions'!$A$34:$A$73,0)))=0,"",GJ169/(INDEX('Standards for Conversions'!$H$34:$H$73,MATCH(GI$3,'Standards for Conversions'!$A$34:$A$73,0))))</f>
        <v/>
      </c>
      <c r="GL169" s="10" t="s">
        <v>38</v>
      </c>
      <c r="GM169" s="7"/>
      <c r="GN169" s="7"/>
      <c r="GO169" s="31" t="str">
        <f>IF(GN169/(INDEX('Standards for Conversions'!$H$34:$H$73,MATCH(GM$3,'Standards for Conversions'!$A$34:$A$73,0)))=0,"",GN169/(INDEX('Standards for Conversions'!$H$34:$H$73,MATCH(GM$3,'Standards for Conversions'!$A$34:$A$73,0))))</f>
        <v/>
      </c>
      <c r="GP169" s="10" t="s">
        <v>38</v>
      </c>
      <c r="GQ169" s="7"/>
      <c r="GR169" s="7"/>
      <c r="GS169" s="31" t="str">
        <f>IF(GR169/(INDEX('Standards for Conversions'!$H$34:$H$73,MATCH(GQ$3,'Standards for Conversions'!$A$34:$A$73,0)))=0,"",GR169/(INDEX('Standards for Conversions'!$H$34:$H$73,MATCH(GQ$3,'Standards for Conversions'!$A$34:$A$73,0))))</f>
        <v/>
      </c>
      <c r="GT169" s="10" t="s">
        <v>38</v>
      </c>
      <c r="GU169" s="9"/>
      <c r="GV169" s="9"/>
      <c r="GW169" s="31" t="str">
        <f>IF(GV169/(INDEX('Standards for Conversions'!$H$34:$H$73,MATCH(GU$3,'Standards for Conversions'!$A$34:$A$73,0)))=0,"",GV169/(INDEX('Standards for Conversions'!$H$34:$H$73,MATCH(GU$3,'Standards for Conversions'!$A$34:$A$73,0))))</f>
        <v/>
      </c>
      <c r="GX169" s="10" t="s">
        <v>38</v>
      </c>
      <c r="GY169" s="7"/>
      <c r="GZ169" s="7"/>
      <c r="HA169" s="31" t="str">
        <f>IF(GZ169/(INDEX('Standards for Conversions'!$H$34:$H$73,MATCH(GY$3,'Standards for Conversions'!$A$34:$A$73,0)))=0,"",GZ169/(INDEX('Standards for Conversions'!$H$34:$H$73,MATCH(GY$3,'Standards for Conversions'!$A$34:$A$73,0))))</f>
        <v/>
      </c>
      <c r="HB169" s="10" t="s">
        <v>38</v>
      </c>
      <c r="HC169" s="7"/>
      <c r="HD169" s="7"/>
      <c r="HE169" s="31" t="str">
        <f>IF(HD169/(INDEX('Standards for Conversions'!$H$34:$H$73,MATCH(HC$3,'Standards for Conversions'!$A$34:$A$73,0)))=0,"",HD169/(INDEX('Standards for Conversions'!$H$34:$H$73,MATCH(HC$3,'Standards for Conversions'!$A$34:$A$73,0))))</f>
        <v/>
      </c>
      <c r="HF169" s="10" t="s">
        <v>38</v>
      </c>
      <c r="HG169" s="7"/>
      <c r="HH169" s="7"/>
      <c r="HI169" s="31" t="str">
        <f>IF(HH169/(INDEX('Standards for Conversions'!$H$34:$H$73,MATCH(HG$3,'Standards for Conversions'!$A$34:$A$73,0)))=0,"",HH169/(INDEX('Standards for Conversions'!$H$34:$H$73,MATCH(HG$3,'Standards for Conversions'!$A$34:$A$73,0))))</f>
        <v/>
      </c>
      <c r="HJ169" s="10" t="s">
        <v>38</v>
      </c>
      <c r="HK169" s="9"/>
      <c r="HL169" s="9"/>
      <c r="HM169" s="31" t="str">
        <f>IF(HL169/(INDEX('Standards for Conversions'!$H$34:$H$73,MATCH(HK$3,'Standards for Conversions'!$A$34:$A$73,0)))=0,"",HL169/(INDEX('Standards for Conversions'!$H$34:$H$73,MATCH(HK$3,'Standards for Conversions'!$A$34:$A$73,0))))</f>
        <v/>
      </c>
      <c r="HN169" s="10" t="s">
        <v>38</v>
      </c>
      <c r="HO169" s="7"/>
      <c r="HP169" s="7"/>
      <c r="HQ169" s="31" t="str">
        <f>IF(HP169/(INDEX('Standards for Conversions'!$H$34:$H$73,MATCH(HO$3,'Standards for Conversions'!$A$34:$A$73,0)))=0,"",HP169/(INDEX('Standards for Conversions'!$H$34:$H$73,MATCH(HO$3,'Standards for Conversions'!$A$34:$A$73,0))))</f>
        <v/>
      </c>
      <c r="HR169" s="33" t="s">
        <v>38</v>
      </c>
      <c r="HU169" s="31" t="str">
        <f>IF(HT169/(INDEX('Standards for Conversions'!$H$47:$H$73,MATCH(HS$3,'Standards for Conversions'!$A$47:$A$73,0)))=0,"",HT169/(INDEX('Standards for Conversions'!$H$47:$H$73,MATCH(HS$3,'Standards for Conversions'!$A$47:$A$73,0))))</f>
        <v/>
      </c>
      <c r="HV169" s="33" t="s">
        <v>38</v>
      </c>
      <c r="HY169" s="31" t="str">
        <f>IF(HX169/(INDEX('Standards for Conversions'!$H$47:$H$73,MATCH(HW$3,'Standards for Conversions'!$A$47:$A$73,0)))=0,"",HX169/(INDEX('Standards for Conversions'!$H$47:$H$73,MATCH(HW$3,'Standards for Conversions'!$A$47:$A$73,0))))</f>
        <v/>
      </c>
      <c r="HZ169" s="33"/>
      <c r="IA169" s="33"/>
      <c r="IB169" s="31" t="str">
        <f>IF(IA169/(INDEX('Standards for Conversions'!$H$47:$H$73,MATCH(HZ$3,'Standards for Conversions'!$A$47:$A$73,0)))=0,"",IA169/(INDEX('Standards for Conversions'!$H$47:$H$73,MATCH(HZ$3,'Standards for Conversions'!$A$47:$A$73,0))))</f>
        <v/>
      </c>
      <c r="IC169" s="33" t="s">
        <v>38</v>
      </c>
      <c r="IF169" s="31" t="str">
        <f>IF(IE169/(INDEX('Standards for Conversions'!$H$47:$H$73,MATCH(ID$3,'Standards for Conversions'!$A$47:$A$73,0)))=0,"",IE169/(INDEX('Standards for Conversions'!$H$47:$H$73,MATCH(ID$3,'Standards for Conversions'!$A$47:$A$73,0))))</f>
        <v/>
      </c>
      <c r="IG169" s="33" t="s">
        <v>38</v>
      </c>
      <c r="IJ169" s="31" t="str">
        <f>IF(II169/(INDEX('Standards for Conversions'!$H$47:$H$73,MATCH(IH$3,'Standards for Conversions'!$A$47:$A$73,0)))=0,"",II169/(INDEX('Standards for Conversions'!$H$47:$H$73,MATCH(IH$3,'Standards for Conversions'!$A$47:$A$73,0))))</f>
        <v/>
      </c>
      <c r="IK169" s="33" t="s">
        <v>38</v>
      </c>
      <c r="IN169" s="31" t="str">
        <f>IF(IM169/(INDEX('Standards for Conversions'!$H$47:$H$73,MATCH(IL$3,'Standards for Conversions'!$A$47:$A$73,0)))=0,"",IM169/(INDEX('Standards for Conversions'!$H$47:$H$73,MATCH(IL$3,'Standards for Conversions'!$A$47:$A$73,0))))</f>
        <v/>
      </c>
      <c r="IO169" s="33" t="s">
        <v>38</v>
      </c>
      <c r="IR169" s="31" t="str">
        <f>IF(IQ169/(INDEX('Standards for Conversions'!$H$47:$H$73,MATCH(IP$3,'Standards for Conversions'!$A$47:$A$73,0)))=0,"",IQ169/(INDEX('Standards for Conversions'!$H$47:$H$73,MATCH(IP$3,'Standards for Conversions'!$A$47:$A$73,0))))</f>
        <v/>
      </c>
      <c r="IS169" s="33" t="s">
        <v>38</v>
      </c>
      <c r="IV169" s="31" t="str">
        <f>IF(IU169/(INDEX('Standards for Conversions'!$H$47:$H$73,MATCH(IT$3,'Standards for Conversions'!$A$47:$A$73,0)))=0,"",IU169/(INDEX('Standards for Conversions'!$H$47:$H$73,MATCH(IT$3,'Standards for Conversions'!$A$47:$A$73,0))))</f>
        <v/>
      </c>
      <c r="IW169" s="33" t="s">
        <v>38</v>
      </c>
      <c r="IZ169" s="31" t="str">
        <f>IF(IY169/(INDEX('Standards for Conversions'!$H$47:$H$73,MATCH(IX$3,'Standards for Conversions'!$A$47:$A$73,0)))=0,"",IY169/(INDEX('Standards for Conversions'!$H$47:$H$73,MATCH(IX$3,'Standards for Conversions'!$A$47:$A$73,0))))</f>
        <v/>
      </c>
      <c r="JA169" s="33" t="s">
        <v>38</v>
      </c>
      <c r="JD169" s="31" t="str">
        <f>IF(JC169/(INDEX('Standards for Conversions'!$H$47:$H$73,MATCH(JB$3,'Standards for Conversions'!$A$47:$A$73,0)))=0,"",JC169/(INDEX('Standards for Conversions'!$H$47:$H$73,MATCH(JB$3,'Standards for Conversions'!$A$47:$A$73,0))))</f>
        <v/>
      </c>
      <c r="JE169" s="33" t="s">
        <v>38</v>
      </c>
      <c r="JF169" s="29">
        <v>275</v>
      </c>
      <c r="JG169" s="29">
        <v>11000</v>
      </c>
      <c r="JH169" s="31">
        <f>IF(JG169/(INDEX('Standards for Conversions'!$H$47:$H$73,MATCH(JF$3,'Standards for Conversions'!$A$47:$A$73,0)))=0,"",JG169/(INDEX('Standards for Conversions'!$H$47:$H$73,MATCH(JF$3,'Standards for Conversions'!$A$47:$A$73,0))))</f>
        <v>1779.3621636105556</v>
      </c>
      <c r="JI169" s="33"/>
      <c r="JL169" s="31" t="str">
        <f>IF(JK169/(INDEX('Standards for Conversions'!$H$47:$H$73,MATCH(JJ$3,'Standards for Conversions'!$A$47:$A$73,0)))=0,"",JK169/(INDEX('Standards for Conversions'!$H$47:$H$73,MATCH(JJ$3,'Standards for Conversions'!$A$47:$A$73,0))))</f>
        <v/>
      </c>
      <c r="JM169" s="33" t="s">
        <v>38</v>
      </c>
      <c r="JP169" s="31" t="str">
        <f>IF(JO169/(INDEX('Standards for Conversions'!$H$47:$H$73,MATCH(JN$3,'Standards for Conversions'!$A$47:$A$73,0)))=0,"",JO169/(INDEX('Standards for Conversions'!$H$47:$H$73,MATCH(JN$3,'Standards for Conversions'!$A$47:$A$73,0))))</f>
        <v/>
      </c>
      <c r="JQ169" s="33" t="s">
        <v>38</v>
      </c>
      <c r="JT169" s="31" t="str">
        <f>IF(JS169/(INDEX('Standards for Conversions'!$H$47:$H$73,MATCH(JR$3,'Standards for Conversions'!$A$47:$A$73,0)))=0,"",JS169/(INDEX('Standards for Conversions'!$H$47:$H$73,MATCH(JR$3,'Standards for Conversions'!$A$47:$A$73,0))))</f>
        <v/>
      </c>
      <c r="JU169" s="33" t="s">
        <v>38</v>
      </c>
      <c r="JX169" s="31" t="str">
        <f>IF(JW169/(INDEX('Standards for Conversions'!$H$47:$H$73,MATCH(JV$3,'Standards for Conversions'!$A$47:$A$73,0)))=0,"",JW169/(INDEX('Standards for Conversions'!$H$47:$H$73,MATCH(JV$3,'Standards for Conversions'!$A$47:$A$73,0))))</f>
        <v/>
      </c>
      <c r="JY169" s="33" t="s">
        <v>38</v>
      </c>
      <c r="KB169" s="31" t="str">
        <f>IF(KA169/(INDEX('Standards for Conversions'!$H$47:$H$73,MATCH(JZ$3,'Standards for Conversions'!$A$47:$A$73,0)))=0,"",KA169/(INDEX('Standards for Conversions'!$H$47:$H$73,MATCH(JZ$3,'Standards for Conversions'!$A$47:$A$73,0))))</f>
        <v/>
      </c>
      <c r="KC169" s="33" t="s">
        <v>38</v>
      </c>
      <c r="KF169" s="31" t="str">
        <f>IF(KE169/(INDEX('Standards for Conversions'!$H$47:$H$73,MATCH(KD$3,'Standards for Conversions'!$A$47:$A$73,0)))=0,"",KE169/(INDEX('Standards for Conversions'!$H$47:$H$73,MATCH(KD$3,'Standards for Conversions'!$A$47:$A$73,0))))</f>
        <v/>
      </c>
      <c r="KG169" s="33" t="s">
        <v>38</v>
      </c>
      <c r="KJ169" s="31" t="str">
        <f>IF(KI169/(INDEX('Standards for Conversions'!$H$47:$H$73,MATCH(KH$3,'Standards for Conversions'!$A$47:$A$73,0)))=0,"",KI169/(INDEX('Standards for Conversions'!$H$47:$H$73,MATCH(KH$3,'Standards for Conversions'!$A$47:$A$73,0))))</f>
        <v/>
      </c>
      <c r="KK169" s="33" t="s">
        <v>38</v>
      </c>
      <c r="KN169" s="31" t="str">
        <f>IF(KM169/(INDEX('Standards for Conversions'!$H$47:$H$73,MATCH(KL$3,'Standards for Conversions'!$A$47:$A$73,0)))=0,"",KM169/(INDEX('Standards for Conversions'!$H$47:$H$73,MATCH(KL$3,'Standards for Conversions'!$A$47:$A$73,0))))</f>
        <v/>
      </c>
      <c r="KO169" s="33" t="s">
        <v>38</v>
      </c>
      <c r="KR169" s="31" t="str">
        <f>IF(KQ169/(INDEX('Standards for Conversions'!$H$47:$H$73,MATCH(KP$3,'Standards for Conversions'!$A$47:$A$73,0)))=0,"",KQ169/(INDEX('Standards for Conversions'!$H$47:$H$73,MATCH(KP$3,'Standards for Conversions'!$A$47:$A$73,0))))</f>
        <v/>
      </c>
      <c r="KS169" s="33" t="s">
        <v>38</v>
      </c>
      <c r="KV169" s="31" t="str">
        <f>IF(KU169/(INDEX('Standards for Conversions'!$H$47:$H$73,MATCH(KT$3,'Standards for Conversions'!$A$47:$A$73,0)))=0,"",KU169/(INDEX('Standards for Conversions'!$H$47:$H$73,MATCH(KT$3,'Standards for Conversions'!$A$47:$A$73,0))))</f>
        <v/>
      </c>
      <c r="KW169" s="33" t="s">
        <v>38</v>
      </c>
      <c r="KZ169" s="31" t="str">
        <f>IF(KY169/(INDEX('Standards for Conversions'!$H$47:$H$73,MATCH(KX$3,'Standards for Conversions'!$A$47:$A$73,0)))=0,"",KY169/(INDEX('Standards for Conversions'!$H$47:$H$73,MATCH(KX$3,'Standards for Conversions'!$A$47:$A$73,0))))</f>
        <v/>
      </c>
      <c r="LA169" s="33" t="s">
        <v>38</v>
      </c>
      <c r="LD169" s="31" t="str">
        <f>IF(LC169/(INDEX('Standards for Conversions'!$H$47:$H$73,MATCH(LB$3,'Standards for Conversions'!$A$47:$A$73,0)))=0,"",LC169/(INDEX('Standards for Conversions'!$H$47:$H$73,MATCH(LB$3,'Standards for Conversions'!$A$47:$A$73,0))))</f>
        <v/>
      </c>
      <c r="LE169" s="33"/>
      <c r="LH169" s="31" t="str">
        <f>IF(LG169/(INDEX('Standards for Conversions'!$H$47:$H$73,MATCH(LF$3,'Standards for Conversions'!$A$47:$A$73,0)))=0,"",LG169/(INDEX('Standards for Conversions'!$H$47:$H$73,MATCH(LF$3,'Standards for Conversions'!$A$47:$A$73,0))))</f>
        <v/>
      </c>
      <c r="LL169" s="31" t="str">
        <f>IF(LK169/(INDEX('Standards for Conversions'!$H$47:$H$73,MATCH(LJ$3,'Standards for Conversions'!$A$47:$A$73,0)))=0,"",LK169/(INDEX('Standards for Conversions'!$H$47:$H$73,MATCH(LJ$3,'Standards for Conversions'!$A$47:$A$73,0))))</f>
        <v/>
      </c>
      <c r="LO169" s="31" t="str">
        <f>IF(LN169/(INDEX('Standards for Conversions'!$H$47:$H$73,MATCH(LM$3,'Standards for Conversions'!$A$47:$A$73,0)))=0,"",LN169/(INDEX('Standards for Conversions'!$H$47:$H$73,MATCH(LM$3,'Standards for Conversions'!$A$47:$A$73,0))))</f>
        <v/>
      </c>
      <c r="LR169" s="31" t="str">
        <f>IF(LQ169/(INDEX('Standards for Conversions'!$H$47:$H$73,MATCH(LP$3,'Standards for Conversions'!$A$47:$A$73,0)))=0,"",LQ169/(INDEX('Standards for Conversions'!$H$47:$H$73,MATCH(LP$3,'Standards for Conversions'!$A$47:$A$73,0))))</f>
        <v/>
      </c>
      <c r="LV169" s="31" t="str">
        <f>IF(LU169/(INDEX('Standards for Conversions'!$H$47:$H$73,MATCH(LT$3,'Standards for Conversions'!$A$47:$A$73,0)))=0,"",LU169/(INDEX('Standards for Conversions'!$H$47:$H$73,MATCH(LT$3,'Standards for Conversions'!$A$47:$A$73,0))))</f>
        <v/>
      </c>
      <c r="LY169" s="31" t="str">
        <f>IF(LX169/(INDEX('Standards for Conversions'!$H$47:$H$73,MATCH(LW$3,'Standards for Conversions'!$A$47:$A$73,0)))=0,"",LX169/(INDEX('Standards for Conversions'!$H$47:$H$73,MATCH(LW$3,'Standards for Conversions'!$A$47:$A$73,0))))</f>
        <v/>
      </c>
      <c r="MB169" s="31" t="str">
        <f>IF(MA169/(INDEX('Standards for Conversions'!$H$47:$H$73,MATCH(LZ$3,'Standards for Conversions'!$A$47:$A$73,0)))=0,"",MA169/(INDEX('Standards for Conversions'!$H$47:$H$73,MATCH(LZ$3,'Standards for Conversions'!$A$47:$A$73,0))))</f>
        <v/>
      </c>
      <c r="ME169" s="31" t="str">
        <f>IF(MD169/(INDEX('Standards for Conversions'!$H$47:$H$73,MATCH(MC$3,'Standards for Conversions'!$A$47:$A$73,0)))=0,"",MD169/(INDEX('Standards for Conversions'!$H$47:$H$73,MATCH(MC$3,'Standards for Conversions'!$A$47:$A$73,0))))</f>
        <v/>
      </c>
      <c r="MH169" s="31" t="str">
        <f>IF(MG169/(INDEX('Standards for Conversions'!$H$47:$H$73,MATCH(MF$3,'Standards for Conversions'!$A$47:$A$73,0)))=0,"",MG169/(INDEX('Standards for Conversions'!$H$47:$H$73,MATCH(MF$3,'Standards for Conversions'!$A$47:$A$73,0))))</f>
        <v/>
      </c>
      <c r="MK169" s="31" t="str">
        <f>IF(MJ169/(INDEX('Standards for Conversions'!$H$47:$H$73,MATCH(MI$3,'Standards for Conversions'!$A$47:$A$73,0)))=0,"",MJ169/(INDEX('Standards for Conversions'!$H$47:$H$73,MATCH(MI$3,'Standards for Conversions'!$A$47:$A$73,0))))</f>
        <v/>
      </c>
      <c r="MN169" s="31" t="str">
        <f>IF(MM169/(INDEX('Standards for Conversions'!$H$47:$H$73,MATCH(ML$3,'Standards for Conversions'!$A$47:$A$73,0)))=0,"",MM169/(INDEX('Standards for Conversions'!$H$47:$H$73,MATCH(ML$3,'Standards for Conversions'!$A$47:$A$73,0))))</f>
        <v/>
      </c>
      <c r="MR169" s="31" t="str">
        <f>IF(MQ169/(INDEX('Standards for Conversions'!$H$47:$H$73,MATCH(MP$3,'Standards for Conversions'!$A$47:$A$73,0)))=0,"",MQ169/(INDEX('Standards for Conversions'!$H$47:$H$73,MATCH(MP$3,'Standards for Conversions'!$A$47:$A$73,0))))</f>
        <v/>
      </c>
    </row>
    <row r="170" spans="1:373" hidden="1" x14ac:dyDescent="0.3">
      <c r="A170" s="105" t="s">
        <v>329</v>
      </c>
      <c r="C170" s="7"/>
      <c r="D170" s="7"/>
      <c r="E170" s="31" t="str">
        <f>IF(D170/(INDEX('Standards for Conversions'!$H$34:$H$73,MATCH(C$3,'Standards for Conversions'!$A$34:$A$73,0)))=0,"",D170/(INDEX('Standards for Conversions'!$H$34:$H$73,MATCH(C$3,'Standards for Conversions'!$A$34:$A$73,0))))</f>
        <v/>
      </c>
      <c r="G170" s="7"/>
      <c r="H170" s="7"/>
      <c r="I170" s="31" t="str">
        <f>IF(H170/(INDEX('Standards for Conversions'!$H$34:$H$73,MATCH(G$3,'Standards for Conversions'!$A$34:$A$73,0)))=0,"",H170/(INDEX('Standards for Conversions'!$H$34:$H$73,MATCH(G$3,'Standards for Conversions'!$A$34:$A$73,0))))</f>
        <v/>
      </c>
      <c r="K170" s="7"/>
      <c r="L170" s="7"/>
      <c r="M170" s="31" t="str">
        <f>IF(L170/(INDEX('Standards for Conversions'!$H$34:$H$73,MATCH(K$3,'Standards for Conversions'!$A$34:$A$73,0)))=0,"",L170/(INDEX('Standards for Conversions'!$H$34:$H$73,MATCH(K$3,'Standards for Conversions'!$A$34:$A$73,0))))</f>
        <v/>
      </c>
      <c r="O170" s="7"/>
      <c r="P170" s="7"/>
      <c r="Q170" s="31" t="str">
        <f>IF(P170/(INDEX('Standards for Conversions'!$H$34:$H$73,MATCH(O$3,'Standards for Conversions'!$A$34:$A$73,0)))=0,"",P170/(INDEX('Standards for Conversions'!$H$34:$H$73,MATCH(O$3,'Standards for Conversions'!$A$34:$A$73,0))))</f>
        <v/>
      </c>
      <c r="S170" s="7"/>
      <c r="T170" s="7"/>
      <c r="U170" s="31" t="str">
        <f>IF(T170/(INDEX('Standards for Conversions'!$H$34:$H$73,MATCH(S$3,'Standards for Conversions'!$A$34:$A$73,0)))=0,"",T170/(INDEX('Standards for Conversions'!$H$34:$H$73,MATCH(S$3,'Standards for Conversions'!$A$34:$A$73,0))))</f>
        <v/>
      </c>
      <c r="W170" s="7"/>
      <c r="X170" s="7"/>
      <c r="Y170" s="31" t="str">
        <f>IF(X170/(INDEX('Standards for Conversions'!$H$34:$H$73,MATCH(W$3,'Standards for Conversions'!$A$34:$A$73,0)))=0,"",X170/(INDEX('Standards for Conversions'!$H$34:$H$73,MATCH(W$3,'Standards for Conversions'!$A$34:$A$73,0))))</f>
        <v/>
      </c>
      <c r="AA170" s="7"/>
      <c r="AB170" s="7"/>
      <c r="AC170" s="31" t="str">
        <f>IF(AB170/(INDEX('Standards for Conversions'!$H$34:$H$73,MATCH(AA$3,'Standards for Conversions'!$A$34:$A$73,0)))=0,"",AB170/(INDEX('Standards for Conversions'!$H$34:$H$73,MATCH(AA$3,'Standards for Conversions'!$A$34:$A$73,0))))</f>
        <v/>
      </c>
      <c r="AE170" s="7"/>
      <c r="AF170" s="7"/>
      <c r="AG170" s="31" t="str">
        <f>IF(AF170/(INDEX('Standards for Conversions'!$H$34:$H$73,MATCH(AE$3,'Standards for Conversions'!$A$34:$A$73,0)))=0,"",AF170/(INDEX('Standards for Conversions'!$H$34:$H$73,MATCH(AE$3,'Standards for Conversions'!$A$34:$A$73,0))))</f>
        <v/>
      </c>
      <c r="AI170" s="7"/>
      <c r="AJ170" s="7"/>
      <c r="AK170" s="31" t="str">
        <f>IF(AJ170/(INDEX('Standards for Conversions'!$H$34:$H$73,MATCH(AI$3,'Standards for Conversions'!$A$34:$A$73,0)))=0,"",AJ170/(INDEX('Standards for Conversions'!$H$34:$H$73,MATCH(AI$3,'Standards for Conversions'!$A$34:$A$73,0))))</f>
        <v/>
      </c>
      <c r="AM170" s="7"/>
      <c r="AN170" s="7"/>
      <c r="AO170" s="31" t="str">
        <f>IF(AN170/(INDEX('Standards for Conversions'!$H$34:$H$73,MATCH(AM$3,'Standards for Conversions'!$A$34:$A$73,0)))=0,"",AN170/(INDEX('Standards for Conversions'!$H$34:$H$73,MATCH(AM$3,'Standards for Conversions'!$A$34:$A$73,0))))</f>
        <v/>
      </c>
      <c r="AQ170" s="7"/>
      <c r="AR170" s="7"/>
      <c r="AS170" s="31" t="str">
        <f>IF(AR170/(INDEX('Standards for Conversions'!$H$34:$H$73,MATCH(AQ$3,'Standards for Conversions'!$A$34:$A$73,0)))=0,"",AR170/(INDEX('Standards for Conversions'!$H$34:$H$73,MATCH(AQ$3,'Standards for Conversions'!$A$34:$A$73,0))))</f>
        <v/>
      </c>
      <c r="AU170" s="7"/>
      <c r="AV170" s="7"/>
      <c r="AW170" s="31" t="str">
        <f>IF(AV170/(INDEX('Standards for Conversions'!$H$34:$H$73,MATCH(AU$3,'Standards for Conversions'!$A$34:$A$73,0)))=0,"",AV170/(INDEX('Standards for Conversions'!$H$34:$H$73,MATCH(AU$3,'Standards for Conversions'!$A$34:$A$73,0))))</f>
        <v/>
      </c>
      <c r="AY170" s="7"/>
      <c r="AZ170" s="7"/>
      <c r="BA170" s="31" t="str">
        <f>IF(AZ170/(INDEX('Standards for Conversions'!$H$34:$H$73,MATCH(AY$3,'Standards for Conversions'!$A$34:$A$73,0)))=0,"",AZ170/(INDEX('Standards for Conversions'!$H$34:$H$73,MATCH(AY$3,'Standards for Conversions'!$A$34:$A$73,0))))</f>
        <v/>
      </c>
      <c r="BC170" s="7"/>
      <c r="BD170" s="7"/>
      <c r="BE170" s="31" t="str">
        <f>IF(BD170/(INDEX('Standards for Conversions'!$H$34:$H$73,MATCH(BC$3,'Standards for Conversions'!$A$34:$A$73,0)))=0,"",BD170/(INDEX('Standards for Conversions'!$H$34:$H$73,MATCH(BC$3,'Standards for Conversions'!$A$34:$A$73,0))))</f>
        <v/>
      </c>
      <c r="BG170" s="7"/>
      <c r="BH170" s="7"/>
      <c r="BI170" s="31" t="str">
        <f>IF(BH170/(INDEX('Standards for Conversions'!$H$34:$H$73,MATCH(BG$3,'Standards for Conversions'!$A$34:$A$73,0)))=0,"",BH170/(INDEX('Standards for Conversions'!$H$34:$H$73,MATCH(BG$3,'Standards for Conversions'!$A$34:$A$73,0))))</f>
        <v/>
      </c>
      <c r="BK170" s="7"/>
      <c r="BL170" s="7"/>
      <c r="BM170" s="31" t="str">
        <f>IF(BL170/(INDEX('Standards for Conversions'!$H$34:$H$73,MATCH(BK$3,'Standards for Conversions'!$A$34:$A$73,0)))=0,"",BL170/(INDEX('Standards for Conversions'!$H$34:$H$73,MATCH(BK$3,'Standards for Conversions'!$A$34:$A$73,0))))</f>
        <v/>
      </c>
      <c r="BO170" s="7"/>
      <c r="BP170" s="7"/>
      <c r="BQ170" s="31" t="str">
        <f>IF(BP170/(INDEX('Standards for Conversions'!$H$34:$H$73,MATCH(BO$3,'Standards for Conversions'!$A$34:$A$73,0)))=0,"",BP170/(INDEX('Standards for Conversions'!$H$34:$H$73,MATCH(BO$3,'Standards for Conversions'!$A$34:$A$73,0))))</f>
        <v/>
      </c>
      <c r="BS170" s="7"/>
      <c r="BT170" s="7"/>
      <c r="BU170" s="31" t="str">
        <f>IF(BT170/(INDEX('Standards for Conversions'!$H$34:$H$73,MATCH(BS$3,'Standards for Conversions'!$A$34:$A$73,0)))=0,"",BT170/(INDEX('Standards for Conversions'!$H$34:$H$73,MATCH(BS$3,'Standards for Conversions'!$A$34:$A$73,0))))</f>
        <v/>
      </c>
      <c r="BW170" s="7"/>
      <c r="BX170" s="7"/>
      <c r="BY170" s="31" t="str">
        <f>IF(BX170/(INDEX('Standards for Conversions'!$H$34:$H$73,MATCH(BW$3,'Standards for Conversions'!$A$34:$A$73,0)))=0,"",BX170/(INDEX('Standards for Conversions'!$H$34:$H$73,MATCH(BW$3,'Standards for Conversions'!$A$34:$A$73,0))))</f>
        <v/>
      </c>
      <c r="CA170" s="7"/>
      <c r="CB170" s="7"/>
      <c r="CC170" s="31" t="str">
        <f>IF(CB170/(INDEX('Standards for Conversions'!$H$34:$H$73,MATCH(CA$3,'Standards for Conversions'!$A$34:$A$73,0)))=0,"",CB170/(INDEX('Standards for Conversions'!$H$34:$H$73,MATCH(CA$3,'Standards for Conversions'!$A$34:$A$73,0))))</f>
        <v/>
      </c>
      <c r="CE170" s="7"/>
      <c r="CF170" s="7"/>
      <c r="CG170" s="31" t="str">
        <f>IF(CF170/(INDEX('Standards for Conversions'!$H$34:$H$73,MATCH(CE$3,'Standards for Conversions'!$A$34:$A$73,0)))=0,"",CF170/(INDEX('Standards for Conversions'!$H$34:$H$73,MATCH(CE$3,'Standards for Conversions'!$A$34:$A$73,0))))</f>
        <v/>
      </c>
      <c r="CI170" s="7"/>
      <c r="CJ170" s="7"/>
      <c r="CK170" s="31" t="str">
        <f>IF(CJ170/(INDEX('Standards for Conversions'!$H$34:$H$73,MATCH(CI$3,'Standards for Conversions'!$A$34:$A$73,0)))=0,"",CJ170/(INDEX('Standards for Conversions'!$H$34:$H$73,MATCH(CI$3,'Standards for Conversions'!$A$34:$A$73,0))))</f>
        <v/>
      </c>
      <c r="CM170" s="7"/>
      <c r="CN170" s="7"/>
      <c r="CO170" s="31" t="str">
        <f>IF(CN170/(INDEX('Standards for Conversions'!$H$34:$H$73,MATCH(CM$3,'Standards for Conversions'!$A$34:$A$73,0)))=0,"",CN170/(INDEX('Standards for Conversions'!$H$34:$H$73,MATCH(CM$3,'Standards for Conversions'!$A$34:$A$73,0))))</f>
        <v/>
      </c>
      <c r="CQ170" s="7"/>
      <c r="CR170" s="7"/>
      <c r="CS170" s="31" t="str">
        <f>IF(CR170/(INDEX('Standards for Conversions'!$H$34:$H$73,MATCH(CQ$3,'Standards for Conversions'!$A$34:$A$73,0)))=0,"",CR170/(INDEX('Standards for Conversions'!$H$34:$H$73,MATCH(CQ$3,'Standards for Conversions'!$A$34:$A$73,0))))</f>
        <v/>
      </c>
      <c r="CU170" s="7"/>
      <c r="CV170" s="7"/>
      <c r="CW170" s="31" t="str">
        <f>IF(CV170/(INDEX('Standards for Conversions'!$H$34:$H$73,MATCH(CU$3,'Standards for Conversions'!$A$34:$A$73,0)))=0,"",CV170/(INDEX('Standards for Conversions'!$H$34:$H$73,MATCH(CU$3,'Standards for Conversions'!$A$34:$A$73,0))))</f>
        <v/>
      </c>
      <c r="CY170" s="7"/>
      <c r="CZ170" s="7"/>
      <c r="DA170" s="31" t="str">
        <f>IF(CZ170/(INDEX('Standards for Conversions'!$H$34:$H$73,MATCH(CY$3,'Standards for Conversions'!$A$34:$A$73,0)))=0,"",CZ170/(INDEX('Standards for Conversions'!$H$34:$H$73,MATCH(CY$3,'Standards for Conversions'!$A$34:$A$73,0))))</f>
        <v/>
      </c>
      <c r="DC170" s="7"/>
      <c r="DD170" s="7"/>
      <c r="DE170" s="31" t="str">
        <f>IF(DD170/(INDEX('Standards for Conversions'!$H$34:$H$73,MATCH(DC$3,'Standards for Conversions'!$A$34:$A$73,0)))=0,"",DD170/(INDEX('Standards for Conversions'!$H$34:$H$73,MATCH(DC$3,'Standards for Conversions'!$A$34:$A$73,0))))</f>
        <v/>
      </c>
      <c r="DG170" s="7"/>
      <c r="DH170" s="7"/>
      <c r="DI170" s="31" t="str">
        <f>IF(DH170/(INDEX('Standards for Conversions'!$H$34:$H$73,MATCH(DG$3,'Standards for Conversions'!$A$34:$A$73,0)))=0,"",DH170/(INDEX('Standards for Conversions'!$H$34:$H$73,MATCH(DG$3,'Standards for Conversions'!$A$34:$A$73,0))))</f>
        <v/>
      </c>
      <c r="DK170" s="7"/>
      <c r="DL170" s="7"/>
      <c r="DM170" s="31" t="str">
        <f>IF(DL170/(INDEX('Standards for Conversions'!$H$34:$H$73,MATCH(DK$3,'Standards for Conversions'!$A$34:$A$73,0)))=0,"",DL170/(INDEX('Standards for Conversions'!$H$34:$H$73,MATCH(DK$3,'Standards for Conversions'!$A$34:$A$73,0))))</f>
        <v/>
      </c>
      <c r="DO170" s="7"/>
      <c r="DP170" s="7"/>
      <c r="DQ170" s="31" t="str">
        <f>IF(DP170/(INDEX('Standards for Conversions'!$H$34:$H$73,MATCH(DO$3,'Standards for Conversions'!$A$34:$A$73,0)))=0,"",DP170/(INDEX('Standards for Conversions'!$H$34:$H$73,MATCH(DO$3,'Standards for Conversions'!$A$34:$A$73,0))))</f>
        <v/>
      </c>
      <c r="DS170" s="7"/>
      <c r="DT170" s="7"/>
      <c r="DU170" s="31" t="str">
        <f>IF(DT170/(INDEX('Standards for Conversions'!$H$34:$H$73,MATCH(DS$3,'Standards for Conversions'!$A$34:$A$73,0)))=0,"",DT170/(INDEX('Standards for Conversions'!$H$34:$H$73,MATCH(DS$3,'Standards for Conversions'!$A$34:$A$73,0))))</f>
        <v/>
      </c>
      <c r="DW170" s="7"/>
      <c r="DX170" s="7"/>
      <c r="DY170" s="31" t="str">
        <f>IF(DX170/(INDEX('Standards for Conversions'!$H$34:$H$73,MATCH(DW$3,'Standards for Conversions'!$A$34:$A$73,0)))=0,"",DX170/(INDEX('Standards for Conversions'!$H$34:$H$73,MATCH(DW$3,'Standards for Conversions'!$A$34:$A$73,0))))</f>
        <v/>
      </c>
      <c r="EA170" s="7"/>
      <c r="EB170" s="7"/>
      <c r="EC170" s="31" t="str">
        <f>IF(EB170/(INDEX('Standards for Conversions'!$H$34:$H$73,MATCH(EA$3,'Standards for Conversions'!$A$34:$A$73,0)))=0,"",EB170/(INDEX('Standards for Conversions'!$H$34:$H$73,MATCH(EA$3,'Standards for Conversions'!$A$34:$A$73,0))))</f>
        <v/>
      </c>
      <c r="EE170" s="7"/>
      <c r="EF170" s="7"/>
      <c r="EG170" s="31" t="str">
        <f>IF(EF170/(INDEX('Standards for Conversions'!$H$34:$H$73,MATCH(EE$3,'Standards for Conversions'!$A$34:$A$73,0)))=0,"",EF170/(INDEX('Standards for Conversions'!$H$34:$H$73,MATCH(EE$3,'Standards for Conversions'!$A$34:$A$73,0))))</f>
        <v/>
      </c>
      <c r="EI170" s="7"/>
      <c r="EJ170" s="7"/>
      <c r="EK170" s="31" t="str">
        <f>IF(EJ170/(INDEX('Standards for Conversions'!$H$34:$H$73,MATCH(EI$3,'Standards for Conversions'!$A$34:$A$73,0)))=0,"",EJ170/(INDEX('Standards for Conversions'!$H$34:$H$73,MATCH(EI$3,'Standards for Conversions'!$A$34:$A$73,0))))</f>
        <v/>
      </c>
      <c r="EM170" s="7"/>
      <c r="EN170" s="7"/>
      <c r="EO170" s="31" t="str">
        <f>IF(EN170/(INDEX('Standards for Conversions'!$H$34:$H$73,MATCH(EM$3,'Standards for Conversions'!$A$34:$A$73,0)))=0,"",EN170/(INDEX('Standards for Conversions'!$H$34:$H$73,MATCH(EM$3,'Standards for Conversions'!$A$34:$A$73,0))))</f>
        <v/>
      </c>
      <c r="EQ170" s="7"/>
      <c r="ER170" s="7"/>
      <c r="ES170" s="31" t="str">
        <f>IF(ER170/(INDEX('Standards for Conversions'!$H$34:$H$73,MATCH(EQ$3,'Standards for Conversions'!$A$34:$A$73,0)))=0,"",ER170/(INDEX('Standards for Conversions'!$H$34:$H$73,MATCH(EQ$3,'Standards for Conversions'!$A$34:$A$73,0))))</f>
        <v/>
      </c>
      <c r="EU170" s="7"/>
      <c r="EV170" s="7"/>
      <c r="EW170" s="31" t="str">
        <f>IF(EV170/(INDEX('Standards for Conversions'!$H$34:$H$73,MATCH(EU$3,'Standards for Conversions'!$A$34:$A$73,0)))=0,"",EV170/(INDEX('Standards for Conversions'!$H$34:$H$73,MATCH(EU$3,'Standards for Conversions'!$A$34:$A$73,0))))</f>
        <v/>
      </c>
      <c r="EY170" s="9"/>
      <c r="EZ170" s="9"/>
      <c r="FA170" s="31" t="str">
        <f>IF(EZ170/(INDEX('Standards for Conversions'!$H$34:$H$73,MATCH(EY$3,'Standards for Conversions'!$A$34:$A$73,0)))=0,"",EZ170/(INDEX('Standards for Conversions'!$H$34:$H$73,MATCH(EY$3,'Standards for Conversions'!$A$34:$A$73,0))))</f>
        <v/>
      </c>
      <c r="FC170" s="7"/>
      <c r="FD170" s="7"/>
      <c r="FE170" s="31" t="str">
        <f>IF(FD170/(INDEX('Standards for Conversions'!$H$34:$H$73,MATCH(FC$3,'Standards for Conversions'!$A$34:$A$73,0)))=0,"",FD170/(INDEX('Standards for Conversions'!$H$34:$H$73,MATCH(FC$3,'Standards for Conversions'!$A$34:$A$73,0))))</f>
        <v/>
      </c>
      <c r="FG170" s="7"/>
      <c r="FH170" s="7"/>
      <c r="FI170" s="31" t="str">
        <f>IF(FH170/(INDEX('Standards for Conversions'!$H$34:$H$73,MATCH(FG$3,'Standards for Conversions'!$A$34:$A$73,0)))=0,"",FH170/(INDEX('Standards for Conversions'!$H$34:$H$73,MATCH(FG$3,'Standards for Conversions'!$A$34:$A$73,0))))</f>
        <v/>
      </c>
      <c r="FK170" s="7"/>
      <c r="FL170" s="7"/>
      <c r="FM170" s="31" t="str">
        <f>IF(FL170/(INDEX('Standards for Conversions'!$H$34:$H$73,MATCH(FK$3,'Standards for Conversions'!$A$34:$A$73,0)))=0,"",FL170/(INDEX('Standards for Conversions'!$H$34:$H$73,MATCH(FK$3,'Standards for Conversions'!$A$34:$A$73,0))))</f>
        <v/>
      </c>
      <c r="FO170" s="9"/>
      <c r="FP170" s="9"/>
      <c r="FQ170" s="31" t="str">
        <f>IF(FP170/(INDEX('Standards for Conversions'!$H$34:$H$73,MATCH(FO$3,'Standards for Conversions'!$A$34:$A$73,0)))=0,"",FP170/(INDEX('Standards for Conversions'!$H$34:$H$73,MATCH(FO$3,'Standards for Conversions'!$A$34:$A$73,0))))</f>
        <v/>
      </c>
      <c r="FS170" s="7"/>
      <c r="FT170" s="7"/>
      <c r="FU170" s="31" t="str">
        <f>IF(FT170/(INDEX('Standards for Conversions'!$H$34:$H$73,MATCH(FS$3,'Standards for Conversions'!$A$34:$A$73,0)))=0,"",FT170/(INDEX('Standards for Conversions'!$H$34:$H$73,MATCH(FS$3,'Standards for Conversions'!$A$34:$A$73,0))))</f>
        <v/>
      </c>
      <c r="FW170" s="7"/>
      <c r="FX170" s="7"/>
      <c r="FY170" s="31" t="str">
        <f>IF(FX170/(INDEX('Standards for Conversions'!$H$34:$H$73,MATCH(FW$3,'Standards for Conversions'!$A$34:$A$73,0)))=0,"",FX170/(INDEX('Standards for Conversions'!$H$34:$H$73,MATCH(FW$3,'Standards for Conversions'!$A$34:$A$73,0))))</f>
        <v/>
      </c>
      <c r="GA170" s="7"/>
      <c r="GB170" s="7"/>
      <c r="GC170" s="31" t="str">
        <f>IF(GB170/(INDEX('Standards for Conversions'!$H$34:$H$73,MATCH(GA$3,'Standards for Conversions'!$A$34:$A$73,0)))=0,"",GB170/(INDEX('Standards for Conversions'!$H$34:$H$73,MATCH(GA$3,'Standards for Conversions'!$A$34:$A$73,0))))</f>
        <v/>
      </c>
      <c r="GE170" s="9"/>
      <c r="GF170" s="9"/>
      <c r="GG170" s="31" t="str">
        <f>IF(GF170/(INDEX('Standards for Conversions'!$H$34:$H$73,MATCH(GE$3,'Standards for Conversions'!$A$34:$A$73,0)))=0,"",GF170/(INDEX('Standards for Conversions'!$H$34:$H$73,MATCH(GE$3,'Standards for Conversions'!$A$34:$A$73,0))))</f>
        <v/>
      </c>
      <c r="GI170" s="7"/>
      <c r="GJ170" s="7"/>
      <c r="GK170" s="31" t="str">
        <f>IF(GJ170/(INDEX('Standards for Conversions'!$H$34:$H$73,MATCH(GI$3,'Standards for Conversions'!$A$34:$A$73,0)))=0,"",GJ170/(INDEX('Standards for Conversions'!$H$34:$H$73,MATCH(GI$3,'Standards for Conversions'!$A$34:$A$73,0))))</f>
        <v/>
      </c>
      <c r="GM170" s="7"/>
      <c r="GN170" s="7"/>
      <c r="GO170" s="31" t="str">
        <f>IF(GN170/(INDEX('Standards for Conversions'!$H$34:$H$73,MATCH(GM$3,'Standards for Conversions'!$A$34:$A$73,0)))=0,"",GN170/(INDEX('Standards for Conversions'!$H$34:$H$73,MATCH(GM$3,'Standards for Conversions'!$A$34:$A$73,0))))</f>
        <v/>
      </c>
      <c r="GQ170" s="7"/>
      <c r="GR170" s="7"/>
      <c r="GS170" s="31" t="str">
        <f>IF(GR170/(INDEX('Standards for Conversions'!$H$34:$H$73,MATCH(GQ$3,'Standards for Conversions'!$A$34:$A$73,0)))=0,"",GR170/(INDEX('Standards for Conversions'!$H$34:$H$73,MATCH(GQ$3,'Standards for Conversions'!$A$34:$A$73,0))))</f>
        <v/>
      </c>
      <c r="GU170" s="9"/>
      <c r="GV170" s="9"/>
      <c r="GW170" s="31" t="str">
        <f>IF(GV170/(INDEX('Standards for Conversions'!$H$34:$H$73,MATCH(GU$3,'Standards for Conversions'!$A$34:$A$73,0)))=0,"",GV170/(INDEX('Standards for Conversions'!$H$34:$H$73,MATCH(GU$3,'Standards for Conversions'!$A$34:$A$73,0))))</f>
        <v/>
      </c>
      <c r="GY170" s="7"/>
      <c r="GZ170" s="7"/>
      <c r="HA170" s="31" t="str">
        <f>IF(GZ170/(INDEX('Standards for Conversions'!$H$34:$H$73,MATCH(GY$3,'Standards for Conversions'!$A$34:$A$73,0)))=0,"",GZ170/(INDEX('Standards for Conversions'!$H$34:$H$73,MATCH(GY$3,'Standards for Conversions'!$A$34:$A$73,0))))</f>
        <v/>
      </c>
      <c r="HC170" s="7"/>
      <c r="HD170" s="7"/>
      <c r="HE170" s="31" t="str">
        <f>IF(HD170/(INDEX('Standards for Conversions'!$H$34:$H$73,MATCH(HC$3,'Standards for Conversions'!$A$34:$A$73,0)))=0,"",HD170/(INDEX('Standards for Conversions'!$H$34:$H$73,MATCH(HC$3,'Standards for Conversions'!$A$34:$A$73,0))))</f>
        <v/>
      </c>
      <c r="HG170" s="7"/>
      <c r="HH170" s="7"/>
      <c r="HI170" s="31" t="str">
        <f>IF(HH170/(INDEX('Standards for Conversions'!$H$34:$H$73,MATCH(HG$3,'Standards for Conversions'!$A$34:$A$73,0)))=0,"",HH170/(INDEX('Standards for Conversions'!$H$34:$H$73,MATCH(HG$3,'Standards for Conversions'!$A$34:$A$73,0))))</f>
        <v/>
      </c>
      <c r="HK170" s="9"/>
      <c r="HL170" s="9"/>
      <c r="HM170" s="31" t="str">
        <f>IF(HL170/(INDEX('Standards for Conversions'!$H$34:$H$73,MATCH(HK$3,'Standards for Conversions'!$A$34:$A$73,0)))=0,"",HL170/(INDEX('Standards for Conversions'!$H$34:$H$73,MATCH(HK$3,'Standards for Conversions'!$A$34:$A$73,0))))</f>
        <v/>
      </c>
      <c r="HO170" s="7"/>
      <c r="HP170" s="7"/>
      <c r="HQ170" s="31" t="str">
        <f>IF(HP170/(INDEX('Standards for Conversions'!$H$34:$H$73,MATCH(HO$3,'Standards for Conversions'!$A$34:$A$73,0)))=0,"",HP170/(INDEX('Standards for Conversions'!$H$34:$H$73,MATCH(HO$3,'Standards for Conversions'!$A$34:$A$73,0))))</f>
        <v/>
      </c>
      <c r="HU170" s="31" t="str">
        <f>IF(HT170/(INDEX('Standards for Conversions'!$H$47:$H$73,MATCH(HS$3,'Standards for Conversions'!$A$47:$A$73,0)))=0,"",HT170/(INDEX('Standards for Conversions'!$H$47:$H$73,MATCH(HS$3,'Standards for Conversions'!$A$47:$A$73,0))))</f>
        <v/>
      </c>
      <c r="HX170" s="29">
        <v>10000</v>
      </c>
      <c r="HY170" s="31">
        <f>IF(HX170/(INDEX('Standards for Conversions'!$H$47:$H$73,MATCH(HW$3,'Standards for Conversions'!$A$47:$A$73,0)))=0,"",HX170/(INDEX('Standards for Conversions'!$H$47:$H$73,MATCH(HW$3,'Standards for Conversions'!$A$47:$A$73,0))))</f>
        <v>1452.4541221285597</v>
      </c>
      <c r="HZ170" s="33"/>
      <c r="IA170" s="33">
        <v>100000</v>
      </c>
      <c r="IB170" s="31">
        <f>IF(IA170/(INDEX('Standards for Conversions'!$H$47:$H$73,MATCH(HZ$3,'Standards for Conversions'!$A$47:$A$73,0)))=0,"",IA170/(INDEX('Standards for Conversions'!$H$47:$H$73,MATCH(HZ$3,'Standards for Conversions'!$A$47:$A$73,0))))</f>
        <v>14524.541221285595</v>
      </c>
      <c r="IF170" s="31" t="str">
        <f>IF(IE170/(INDEX('Standards for Conversions'!$H$47:$H$73,MATCH(ID$3,'Standards for Conversions'!$A$47:$A$73,0)))=0,"",IE170/(INDEX('Standards for Conversions'!$H$47:$H$73,MATCH(ID$3,'Standards for Conversions'!$A$47:$A$73,0))))</f>
        <v/>
      </c>
      <c r="IJ170" s="31" t="str">
        <f>IF(II170/(INDEX('Standards for Conversions'!$H$47:$H$73,MATCH(IH$3,'Standards for Conversions'!$A$47:$A$73,0)))=0,"",II170/(INDEX('Standards for Conversions'!$H$47:$H$73,MATCH(IH$3,'Standards for Conversions'!$A$47:$A$73,0))))</f>
        <v/>
      </c>
      <c r="IM170" s="29">
        <v>50000</v>
      </c>
      <c r="IN170" s="31">
        <f>IF(IM170/(INDEX('Standards for Conversions'!$H$47:$H$73,MATCH(IL$3,'Standards for Conversions'!$A$47:$A$73,0)))=0,"",IM170/(INDEX('Standards for Conversions'!$H$47:$H$73,MATCH(IL$3,'Standards for Conversions'!$A$47:$A$73,0))))</f>
        <v>7230.5114097216183</v>
      </c>
      <c r="IQ170" s="29">
        <v>90000</v>
      </c>
      <c r="IR170" s="31">
        <f>IF(IQ170/(INDEX('Standards for Conversions'!$H$47:$H$73,MATCH(IP$3,'Standards for Conversions'!$A$47:$A$73,0)))=0,"",IQ170/(INDEX('Standards for Conversions'!$H$47:$H$73,MATCH(IP$3,'Standards for Conversions'!$A$47:$A$73,0))))</f>
        <v>13014.920537498912</v>
      </c>
      <c r="IV170" s="31" t="str">
        <f>IF(IU170/(INDEX('Standards for Conversions'!$H$47:$H$73,MATCH(IT$3,'Standards for Conversions'!$A$47:$A$73,0)))=0,"",IU170/(INDEX('Standards for Conversions'!$H$47:$H$73,MATCH(IT$3,'Standards for Conversions'!$A$47:$A$73,0))))</f>
        <v/>
      </c>
      <c r="IZ170" s="31" t="str">
        <f>IF(IY170/(INDEX('Standards for Conversions'!$H$47:$H$73,MATCH(IX$3,'Standards for Conversions'!$A$47:$A$73,0)))=0,"",IY170/(INDEX('Standards for Conversions'!$H$47:$H$73,MATCH(IX$3,'Standards for Conversions'!$A$47:$A$73,0))))</f>
        <v/>
      </c>
      <c r="JA170" s="33"/>
      <c r="JC170" s="29">
        <v>40000</v>
      </c>
      <c r="JD170" s="31">
        <f>IF(JC170/(INDEX('Standards for Conversions'!$H$47:$H$73,MATCH(JB$3,'Standards for Conversions'!$A$47:$A$73,0)))=0,"",JC170/(INDEX('Standards for Conversions'!$H$47:$H$73,MATCH(JB$3,'Standards for Conversions'!$A$47:$A$73,0))))</f>
        <v>6470.4078676747476</v>
      </c>
      <c r="JE170" s="33"/>
      <c r="JG170" s="29">
        <v>70000</v>
      </c>
      <c r="JH170" s="31">
        <f>IF(JG170/(INDEX('Standards for Conversions'!$H$47:$H$73,MATCH(JF$3,'Standards for Conversions'!$A$47:$A$73,0)))=0,"",JG170/(INDEX('Standards for Conversions'!$H$47:$H$73,MATCH(JF$3,'Standards for Conversions'!$A$47:$A$73,0))))</f>
        <v>11323.213768430809</v>
      </c>
      <c r="JI170" s="33"/>
      <c r="JL170" s="31" t="str">
        <f>IF(JK170/(INDEX('Standards for Conversions'!$H$47:$H$73,MATCH(JJ$3,'Standards for Conversions'!$A$47:$A$73,0)))=0,"",JK170/(INDEX('Standards for Conversions'!$H$47:$H$73,MATCH(JJ$3,'Standards for Conversions'!$A$47:$A$73,0))))</f>
        <v/>
      </c>
      <c r="JP170" s="31" t="str">
        <f>IF(JO170/(INDEX('Standards for Conversions'!$H$47:$H$73,MATCH(JN$3,'Standards for Conversions'!$A$47:$A$73,0)))=0,"",JO170/(INDEX('Standards for Conversions'!$H$47:$H$73,MATCH(JN$3,'Standards for Conversions'!$A$47:$A$73,0))))</f>
        <v/>
      </c>
      <c r="JS170" s="29">
        <v>35000</v>
      </c>
      <c r="JT170" s="31">
        <f>IF(JS170/(INDEX('Standards for Conversions'!$H$47:$H$73,MATCH(JR$3,'Standards for Conversions'!$A$47:$A$73,0)))=0,"",JS170/(INDEX('Standards for Conversions'!$H$47:$H$73,MATCH(JR$3,'Standards for Conversions'!$A$47:$A$73,0))))</f>
        <v>5342.9562349729149</v>
      </c>
      <c r="JW170" s="29">
        <v>60000</v>
      </c>
      <c r="JX170" s="31">
        <f>IF(JW170/(INDEX('Standards for Conversions'!$H$47:$H$73,MATCH(JV$3,'Standards for Conversions'!$A$47:$A$73,0)))=0,"",JW170/(INDEX('Standards for Conversions'!$H$47:$H$73,MATCH(JV$3,'Standards for Conversions'!$A$47:$A$73,0))))</f>
        <v>9159.3535456678546</v>
      </c>
      <c r="KB170" s="31" t="str">
        <f>IF(KA170/(INDEX('Standards for Conversions'!$H$47:$H$73,MATCH(JZ$3,'Standards for Conversions'!$A$47:$A$73,0)))=0,"",KA170/(INDEX('Standards for Conversions'!$H$47:$H$73,MATCH(JZ$3,'Standards for Conversions'!$A$47:$A$73,0))))</f>
        <v/>
      </c>
      <c r="KF170" s="31" t="str">
        <f>IF(KE170/(INDEX('Standards for Conversions'!$H$47:$H$73,MATCH(KD$3,'Standards for Conversions'!$A$47:$A$73,0)))=0,"",KE170/(INDEX('Standards for Conversions'!$H$47:$H$73,MATCH(KD$3,'Standards for Conversions'!$A$47:$A$73,0))))</f>
        <v/>
      </c>
      <c r="KI170" s="29">
        <v>30000</v>
      </c>
      <c r="KJ170" s="31">
        <f>IF(KI170/(INDEX('Standards for Conversions'!$H$47:$H$73,MATCH(KH$3,'Standards for Conversions'!$A$47:$A$73,0)))=0,"",KI170/(INDEX('Standards for Conversions'!$H$47:$H$73,MATCH(KH$3,'Standards for Conversions'!$A$47:$A$73,0))))</f>
        <v>4039.7703571738939</v>
      </c>
      <c r="KM170" s="29">
        <v>50000</v>
      </c>
      <c r="KN170" s="31">
        <f>IF(KM170/(INDEX('Standards for Conversions'!$H$47:$H$73,MATCH(KL$3,'Standards for Conversions'!$A$47:$A$73,0)))=0,"",KM170/(INDEX('Standards for Conversions'!$H$47:$H$73,MATCH(KL$3,'Standards for Conversions'!$A$47:$A$73,0))))</f>
        <v>6732.9505952898235</v>
      </c>
      <c r="KR170" s="31" t="str">
        <f>IF(KQ170/(INDEX('Standards for Conversions'!$H$47:$H$73,MATCH(KP$3,'Standards for Conversions'!$A$47:$A$73,0)))=0,"",KQ170/(INDEX('Standards for Conversions'!$H$47:$H$73,MATCH(KP$3,'Standards for Conversions'!$A$47:$A$73,0))))</f>
        <v/>
      </c>
      <c r="KV170" s="31" t="str">
        <f>IF(KU170/(INDEX('Standards for Conversions'!$H$47:$H$73,MATCH(KT$3,'Standards for Conversions'!$A$47:$A$73,0)))=0,"",KU170/(INDEX('Standards for Conversions'!$H$47:$H$73,MATCH(KT$3,'Standards for Conversions'!$A$47:$A$73,0))))</f>
        <v/>
      </c>
      <c r="KW170" s="33"/>
      <c r="KY170" s="29">
        <v>60000</v>
      </c>
      <c r="KZ170" s="31">
        <f>IF(KY170/(INDEX('Standards for Conversions'!$H$47:$H$73,MATCH(KX$3,'Standards for Conversions'!$A$47:$A$73,0)))=0,"",KY170/(INDEX('Standards for Conversions'!$H$47:$H$73,MATCH(KX$3,'Standards for Conversions'!$A$47:$A$73,0))))</f>
        <v>7296.9940036499511</v>
      </c>
      <c r="LC170" s="29">
        <v>45000</v>
      </c>
      <c r="LD170" s="31">
        <f>IF(LC170/(INDEX('Standards for Conversions'!$H$47:$H$73,MATCH(LB$3,'Standards for Conversions'!$A$47:$A$73,0)))=0,"",LC170/(INDEX('Standards for Conversions'!$H$47:$H$73,MATCH(LB$3,'Standards for Conversions'!$A$47:$A$73,0))))</f>
        <v>5472.7455027374626</v>
      </c>
      <c r="LE170" s="33"/>
      <c r="LH170" s="31" t="str">
        <f>IF(LG170/(INDEX('Standards for Conversions'!$H$47:$H$73,MATCH(LF$3,'Standards for Conversions'!$A$47:$A$73,0)))=0,"",LG170/(INDEX('Standards for Conversions'!$H$47:$H$73,MATCH(LF$3,'Standards for Conversions'!$A$47:$A$73,0))))</f>
        <v/>
      </c>
      <c r="LL170" s="31" t="str">
        <f>IF(LK170/(INDEX('Standards for Conversions'!$H$47:$H$73,MATCH(LJ$3,'Standards for Conversions'!$A$47:$A$73,0)))=0,"",LK170/(INDEX('Standards for Conversions'!$H$47:$H$73,MATCH(LJ$3,'Standards for Conversions'!$A$47:$A$73,0))))</f>
        <v/>
      </c>
      <c r="LO170" s="31" t="str">
        <f>IF(LN170/(INDEX('Standards for Conversions'!$H$47:$H$73,MATCH(LM$3,'Standards for Conversions'!$A$47:$A$73,0)))=0,"",LN170/(INDEX('Standards for Conversions'!$H$47:$H$73,MATCH(LM$3,'Standards for Conversions'!$A$47:$A$73,0))))</f>
        <v/>
      </c>
      <c r="LR170" s="31" t="str">
        <f>IF(LQ170/(INDEX('Standards for Conversions'!$H$47:$H$73,MATCH(LP$3,'Standards for Conversions'!$A$47:$A$73,0)))=0,"",LQ170/(INDEX('Standards for Conversions'!$H$47:$H$73,MATCH(LP$3,'Standards for Conversions'!$A$47:$A$73,0))))</f>
        <v/>
      </c>
      <c r="LV170" s="31" t="str">
        <f>IF(LU170/(INDEX('Standards for Conversions'!$H$47:$H$73,MATCH(LT$3,'Standards for Conversions'!$A$47:$A$73,0)))=0,"",LU170/(INDEX('Standards for Conversions'!$H$47:$H$73,MATCH(LT$3,'Standards for Conversions'!$A$47:$A$73,0))))</f>
        <v/>
      </c>
      <c r="LY170" s="31" t="str">
        <f>IF(LX170/(INDEX('Standards for Conversions'!$H$47:$H$73,MATCH(LW$3,'Standards for Conversions'!$A$47:$A$73,0)))=0,"",LX170/(INDEX('Standards for Conversions'!$H$47:$H$73,MATCH(LW$3,'Standards for Conversions'!$A$47:$A$73,0))))</f>
        <v/>
      </c>
      <c r="MB170" s="31" t="str">
        <f>IF(MA170/(INDEX('Standards for Conversions'!$H$47:$H$73,MATCH(LZ$3,'Standards for Conversions'!$A$47:$A$73,0)))=0,"",MA170/(INDEX('Standards for Conversions'!$H$47:$H$73,MATCH(LZ$3,'Standards for Conversions'!$A$47:$A$73,0))))</f>
        <v/>
      </c>
      <c r="ME170" s="31" t="str">
        <f>IF(MD170/(INDEX('Standards for Conversions'!$H$47:$H$73,MATCH(MC$3,'Standards for Conversions'!$A$47:$A$73,0)))=0,"",MD170/(INDEX('Standards for Conversions'!$H$47:$H$73,MATCH(MC$3,'Standards for Conversions'!$A$47:$A$73,0))))</f>
        <v/>
      </c>
      <c r="MH170" s="31" t="str">
        <f>IF(MG170/(INDEX('Standards for Conversions'!$H$47:$H$73,MATCH(MF$3,'Standards for Conversions'!$A$47:$A$73,0)))=0,"",MG170/(INDEX('Standards for Conversions'!$H$47:$H$73,MATCH(MF$3,'Standards for Conversions'!$A$47:$A$73,0))))</f>
        <v/>
      </c>
      <c r="MK170" s="31" t="str">
        <f>IF(MJ170/(INDEX('Standards for Conversions'!$H$47:$H$73,MATCH(MI$3,'Standards for Conversions'!$A$47:$A$73,0)))=0,"",MJ170/(INDEX('Standards for Conversions'!$H$47:$H$73,MATCH(MI$3,'Standards for Conversions'!$A$47:$A$73,0))))</f>
        <v/>
      </c>
      <c r="MN170" s="31" t="str">
        <f>IF(MM170/(INDEX('Standards for Conversions'!$H$47:$H$73,MATCH(ML$3,'Standards for Conversions'!$A$47:$A$73,0)))=0,"",MM170/(INDEX('Standards for Conversions'!$H$47:$H$73,MATCH(ML$3,'Standards for Conversions'!$A$47:$A$73,0))))</f>
        <v/>
      </c>
      <c r="MR170" s="31" t="str">
        <f>IF(MQ170/(INDEX('Standards for Conversions'!$H$47:$H$73,MATCH(MP$3,'Standards for Conversions'!$A$47:$A$73,0)))=0,"",MQ170/(INDEX('Standards for Conversions'!$H$47:$H$73,MATCH(MP$3,'Standards for Conversions'!$A$47:$A$73,0))))</f>
        <v/>
      </c>
    </row>
    <row r="171" spans="1:373" hidden="1" x14ac:dyDescent="0.3">
      <c r="A171" s="105" t="s">
        <v>330</v>
      </c>
      <c r="B171" s="10" t="s">
        <v>40</v>
      </c>
      <c r="C171" s="7"/>
      <c r="D171" s="7"/>
      <c r="E171" s="31" t="str">
        <f>IF(D171/(INDEX('Standards for Conversions'!$H$34:$H$73,MATCH(C$3,'Standards for Conversions'!$A$34:$A$73,0)))=0,"",D171/(INDEX('Standards for Conversions'!$H$34:$H$73,MATCH(C$3,'Standards for Conversions'!$A$34:$A$73,0))))</f>
        <v/>
      </c>
      <c r="F171" s="10" t="s">
        <v>40</v>
      </c>
      <c r="G171" s="7"/>
      <c r="H171" s="7"/>
      <c r="I171" s="31" t="str">
        <f>IF(H171/(INDEX('Standards for Conversions'!$H$34:$H$73,MATCH(G$3,'Standards for Conversions'!$A$34:$A$73,0)))=0,"",H171/(INDEX('Standards for Conversions'!$H$34:$H$73,MATCH(G$3,'Standards for Conversions'!$A$34:$A$73,0))))</f>
        <v/>
      </c>
      <c r="J171" s="10" t="s">
        <v>40</v>
      </c>
      <c r="K171" s="7"/>
      <c r="L171" s="7"/>
      <c r="M171" s="31" t="str">
        <f>IF(L171/(INDEX('Standards for Conversions'!$H$34:$H$73,MATCH(K$3,'Standards for Conversions'!$A$34:$A$73,0)))=0,"",L171/(INDEX('Standards for Conversions'!$H$34:$H$73,MATCH(K$3,'Standards for Conversions'!$A$34:$A$73,0))))</f>
        <v/>
      </c>
      <c r="N171" s="10" t="s">
        <v>40</v>
      </c>
      <c r="O171" s="7"/>
      <c r="P171" s="7"/>
      <c r="Q171" s="31" t="str">
        <f>IF(P171/(INDEX('Standards for Conversions'!$H$34:$H$73,MATCH(O$3,'Standards for Conversions'!$A$34:$A$73,0)))=0,"",P171/(INDEX('Standards for Conversions'!$H$34:$H$73,MATCH(O$3,'Standards for Conversions'!$A$34:$A$73,0))))</f>
        <v/>
      </c>
      <c r="R171" s="10" t="s">
        <v>40</v>
      </c>
      <c r="S171" s="7"/>
      <c r="T171" s="7"/>
      <c r="U171" s="31" t="str">
        <f>IF(T171/(INDEX('Standards for Conversions'!$H$34:$H$73,MATCH(S$3,'Standards for Conversions'!$A$34:$A$73,0)))=0,"",T171/(INDEX('Standards for Conversions'!$H$34:$H$73,MATCH(S$3,'Standards for Conversions'!$A$34:$A$73,0))))</f>
        <v/>
      </c>
      <c r="V171" s="10" t="s">
        <v>40</v>
      </c>
      <c r="W171" s="7"/>
      <c r="X171" s="7"/>
      <c r="Y171" s="31" t="str">
        <f>IF(X171/(INDEX('Standards for Conversions'!$H$34:$H$73,MATCH(W$3,'Standards for Conversions'!$A$34:$A$73,0)))=0,"",X171/(INDEX('Standards for Conversions'!$H$34:$H$73,MATCH(W$3,'Standards for Conversions'!$A$34:$A$73,0))))</f>
        <v/>
      </c>
      <c r="Z171" s="10" t="s">
        <v>40</v>
      </c>
      <c r="AA171" s="7"/>
      <c r="AB171" s="7"/>
      <c r="AC171" s="31" t="str">
        <f>IF(AB171/(INDEX('Standards for Conversions'!$H$34:$H$73,MATCH(AA$3,'Standards for Conversions'!$A$34:$A$73,0)))=0,"",AB171/(INDEX('Standards for Conversions'!$H$34:$H$73,MATCH(AA$3,'Standards for Conversions'!$A$34:$A$73,0))))</f>
        <v/>
      </c>
      <c r="AD171" s="10" t="s">
        <v>40</v>
      </c>
      <c r="AE171" s="7"/>
      <c r="AF171" s="7"/>
      <c r="AG171" s="31" t="str">
        <f>IF(AF171/(INDEX('Standards for Conversions'!$H$34:$H$73,MATCH(AE$3,'Standards for Conversions'!$A$34:$A$73,0)))=0,"",AF171/(INDEX('Standards for Conversions'!$H$34:$H$73,MATCH(AE$3,'Standards for Conversions'!$A$34:$A$73,0))))</f>
        <v/>
      </c>
      <c r="AH171" s="10" t="s">
        <v>40</v>
      </c>
      <c r="AI171" s="7"/>
      <c r="AJ171" s="7"/>
      <c r="AK171" s="31" t="str">
        <f>IF(AJ171/(INDEX('Standards for Conversions'!$H$34:$H$73,MATCH(AI$3,'Standards for Conversions'!$A$34:$A$73,0)))=0,"",AJ171/(INDEX('Standards for Conversions'!$H$34:$H$73,MATCH(AI$3,'Standards for Conversions'!$A$34:$A$73,0))))</f>
        <v/>
      </c>
      <c r="AL171" s="10" t="s">
        <v>40</v>
      </c>
      <c r="AM171" s="7"/>
      <c r="AN171" s="7"/>
      <c r="AO171" s="31" t="str">
        <f>IF(AN171/(INDEX('Standards for Conversions'!$H$34:$H$73,MATCH(AM$3,'Standards for Conversions'!$A$34:$A$73,0)))=0,"",AN171/(INDEX('Standards for Conversions'!$H$34:$H$73,MATCH(AM$3,'Standards for Conversions'!$A$34:$A$73,0))))</f>
        <v/>
      </c>
      <c r="AP171" s="10" t="s">
        <v>40</v>
      </c>
      <c r="AQ171" s="7"/>
      <c r="AR171" s="7"/>
      <c r="AS171" s="31" t="str">
        <f>IF(AR171/(INDEX('Standards for Conversions'!$H$34:$H$73,MATCH(AQ$3,'Standards for Conversions'!$A$34:$A$73,0)))=0,"",AR171/(INDEX('Standards for Conversions'!$H$34:$H$73,MATCH(AQ$3,'Standards for Conversions'!$A$34:$A$73,0))))</f>
        <v/>
      </c>
      <c r="AT171" s="10" t="s">
        <v>40</v>
      </c>
      <c r="AU171" s="7"/>
      <c r="AV171" s="7"/>
      <c r="AW171" s="31" t="str">
        <f>IF(AV171/(INDEX('Standards for Conversions'!$H$34:$H$73,MATCH(AU$3,'Standards for Conversions'!$A$34:$A$73,0)))=0,"",AV171/(INDEX('Standards for Conversions'!$H$34:$H$73,MATCH(AU$3,'Standards for Conversions'!$A$34:$A$73,0))))</f>
        <v/>
      </c>
      <c r="AX171" s="10" t="s">
        <v>40</v>
      </c>
      <c r="AY171" s="7"/>
      <c r="AZ171" s="7"/>
      <c r="BA171" s="31" t="str">
        <f>IF(AZ171/(INDEX('Standards for Conversions'!$H$34:$H$73,MATCH(AY$3,'Standards for Conversions'!$A$34:$A$73,0)))=0,"",AZ171/(INDEX('Standards for Conversions'!$H$34:$H$73,MATCH(AY$3,'Standards for Conversions'!$A$34:$A$73,0))))</f>
        <v/>
      </c>
      <c r="BB171" s="10" t="s">
        <v>40</v>
      </c>
      <c r="BC171" s="7"/>
      <c r="BD171" s="7"/>
      <c r="BE171" s="31" t="str">
        <f>IF(BD171/(INDEX('Standards for Conversions'!$H$34:$H$73,MATCH(BC$3,'Standards for Conversions'!$A$34:$A$73,0)))=0,"",BD171/(INDEX('Standards for Conversions'!$H$34:$H$73,MATCH(BC$3,'Standards for Conversions'!$A$34:$A$73,0))))</f>
        <v/>
      </c>
      <c r="BF171" s="10" t="s">
        <v>40</v>
      </c>
      <c r="BG171" s="7"/>
      <c r="BH171" s="7"/>
      <c r="BI171" s="31" t="str">
        <f>IF(BH171/(INDEX('Standards for Conversions'!$H$34:$H$73,MATCH(BG$3,'Standards for Conversions'!$A$34:$A$73,0)))=0,"",BH171/(INDEX('Standards for Conversions'!$H$34:$H$73,MATCH(BG$3,'Standards for Conversions'!$A$34:$A$73,0))))</f>
        <v/>
      </c>
      <c r="BJ171" s="10" t="s">
        <v>40</v>
      </c>
      <c r="BK171" s="7"/>
      <c r="BL171" s="7"/>
      <c r="BM171" s="31" t="str">
        <f>IF(BL171/(INDEX('Standards for Conversions'!$H$34:$H$73,MATCH(BK$3,'Standards for Conversions'!$A$34:$A$73,0)))=0,"",BL171/(INDEX('Standards for Conversions'!$H$34:$H$73,MATCH(BK$3,'Standards for Conversions'!$A$34:$A$73,0))))</f>
        <v/>
      </c>
      <c r="BN171" s="10" t="s">
        <v>40</v>
      </c>
      <c r="BO171" s="7"/>
      <c r="BP171" s="7"/>
      <c r="BQ171" s="31" t="str">
        <f>IF(BP171/(INDEX('Standards for Conversions'!$H$34:$H$73,MATCH(BO$3,'Standards for Conversions'!$A$34:$A$73,0)))=0,"",BP171/(INDEX('Standards for Conversions'!$H$34:$H$73,MATCH(BO$3,'Standards for Conversions'!$A$34:$A$73,0))))</f>
        <v/>
      </c>
      <c r="BR171" s="10" t="s">
        <v>40</v>
      </c>
      <c r="BS171" s="7"/>
      <c r="BT171" s="7"/>
      <c r="BU171" s="31" t="str">
        <f>IF(BT171/(INDEX('Standards for Conversions'!$H$34:$H$73,MATCH(BS$3,'Standards for Conversions'!$A$34:$A$73,0)))=0,"",BT171/(INDEX('Standards for Conversions'!$H$34:$H$73,MATCH(BS$3,'Standards for Conversions'!$A$34:$A$73,0))))</f>
        <v/>
      </c>
      <c r="BV171" s="10" t="s">
        <v>40</v>
      </c>
      <c r="BW171" s="7"/>
      <c r="BX171" s="7"/>
      <c r="BY171" s="31" t="str">
        <f>IF(BX171/(INDEX('Standards for Conversions'!$H$34:$H$73,MATCH(BW$3,'Standards for Conversions'!$A$34:$A$73,0)))=0,"",BX171/(INDEX('Standards for Conversions'!$H$34:$H$73,MATCH(BW$3,'Standards for Conversions'!$A$34:$A$73,0))))</f>
        <v/>
      </c>
      <c r="BZ171" s="10" t="s">
        <v>40</v>
      </c>
      <c r="CA171" s="7"/>
      <c r="CB171" s="7"/>
      <c r="CC171" s="31" t="str">
        <f>IF(CB171/(INDEX('Standards for Conversions'!$H$34:$H$73,MATCH(CA$3,'Standards for Conversions'!$A$34:$A$73,0)))=0,"",CB171/(INDEX('Standards for Conversions'!$H$34:$H$73,MATCH(CA$3,'Standards for Conversions'!$A$34:$A$73,0))))</f>
        <v/>
      </c>
      <c r="CD171" s="10" t="s">
        <v>40</v>
      </c>
      <c r="CE171" s="7"/>
      <c r="CF171" s="7"/>
      <c r="CG171" s="31" t="str">
        <f>IF(CF171/(INDEX('Standards for Conversions'!$H$34:$H$73,MATCH(CE$3,'Standards for Conversions'!$A$34:$A$73,0)))=0,"",CF171/(INDEX('Standards for Conversions'!$H$34:$H$73,MATCH(CE$3,'Standards for Conversions'!$A$34:$A$73,0))))</f>
        <v/>
      </c>
      <c r="CH171" s="10" t="s">
        <v>40</v>
      </c>
      <c r="CI171" s="7"/>
      <c r="CJ171" s="7"/>
      <c r="CK171" s="31" t="str">
        <f>IF(CJ171/(INDEX('Standards for Conversions'!$H$34:$H$73,MATCH(CI$3,'Standards for Conversions'!$A$34:$A$73,0)))=0,"",CJ171/(INDEX('Standards for Conversions'!$H$34:$H$73,MATCH(CI$3,'Standards for Conversions'!$A$34:$A$73,0))))</f>
        <v/>
      </c>
      <c r="CL171" s="10" t="s">
        <v>40</v>
      </c>
      <c r="CM171" s="7"/>
      <c r="CN171" s="7"/>
      <c r="CO171" s="31" t="str">
        <f>IF(CN171/(INDEX('Standards for Conversions'!$H$34:$H$73,MATCH(CM$3,'Standards for Conversions'!$A$34:$A$73,0)))=0,"",CN171/(INDEX('Standards for Conversions'!$H$34:$H$73,MATCH(CM$3,'Standards for Conversions'!$A$34:$A$73,0))))</f>
        <v/>
      </c>
      <c r="CP171" s="10" t="s">
        <v>40</v>
      </c>
      <c r="CQ171" s="7"/>
      <c r="CR171" s="7"/>
      <c r="CS171" s="31" t="str">
        <f>IF(CR171/(INDEX('Standards for Conversions'!$H$34:$H$73,MATCH(CQ$3,'Standards for Conversions'!$A$34:$A$73,0)))=0,"",CR171/(INDEX('Standards for Conversions'!$H$34:$H$73,MATCH(CQ$3,'Standards for Conversions'!$A$34:$A$73,0))))</f>
        <v/>
      </c>
      <c r="CT171" s="10" t="s">
        <v>40</v>
      </c>
      <c r="CU171" s="7"/>
      <c r="CV171" s="7"/>
      <c r="CW171" s="31" t="str">
        <f>IF(CV171/(INDEX('Standards for Conversions'!$H$34:$H$73,MATCH(CU$3,'Standards for Conversions'!$A$34:$A$73,0)))=0,"",CV171/(INDEX('Standards for Conversions'!$H$34:$H$73,MATCH(CU$3,'Standards for Conversions'!$A$34:$A$73,0))))</f>
        <v/>
      </c>
      <c r="CX171" s="10" t="s">
        <v>40</v>
      </c>
      <c r="CY171" s="7"/>
      <c r="CZ171" s="7"/>
      <c r="DA171" s="31" t="str">
        <f>IF(CZ171/(INDEX('Standards for Conversions'!$H$34:$H$73,MATCH(CY$3,'Standards for Conversions'!$A$34:$A$73,0)))=0,"",CZ171/(INDEX('Standards for Conversions'!$H$34:$H$73,MATCH(CY$3,'Standards for Conversions'!$A$34:$A$73,0))))</f>
        <v/>
      </c>
      <c r="DB171" s="10" t="s">
        <v>40</v>
      </c>
      <c r="DC171" s="7"/>
      <c r="DD171" s="7"/>
      <c r="DE171" s="31" t="str">
        <f>IF(DD171/(INDEX('Standards for Conversions'!$H$34:$H$73,MATCH(DC$3,'Standards for Conversions'!$A$34:$A$73,0)))=0,"",DD171/(INDEX('Standards for Conversions'!$H$34:$H$73,MATCH(DC$3,'Standards for Conversions'!$A$34:$A$73,0))))</f>
        <v/>
      </c>
      <c r="DF171" s="10" t="s">
        <v>40</v>
      </c>
      <c r="DG171" s="7"/>
      <c r="DH171" s="7"/>
      <c r="DI171" s="31" t="str">
        <f>IF(DH171/(INDEX('Standards for Conversions'!$H$34:$H$73,MATCH(DG$3,'Standards for Conversions'!$A$34:$A$73,0)))=0,"",DH171/(INDEX('Standards for Conversions'!$H$34:$H$73,MATCH(DG$3,'Standards for Conversions'!$A$34:$A$73,0))))</f>
        <v/>
      </c>
      <c r="DJ171" s="10" t="s">
        <v>40</v>
      </c>
      <c r="DK171" s="7"/>
      <c r="DL171" s="7"/>
      <c r="DM171" s="31" t="str">
        <f>IF(DL171/(INDEX('Standards for Conversions'!$H$34:$H$73,MATCH(DK$3,'Standards for Conversions'!$A$34:$A$73,0)))=0,"",DL171/(INDEX('Standards for Conversions'!$H$34:$H$73,MATCH(DK$3,'Standards for Conversions'!$A$34:$A$73,0))))</f>
        <v/>
      </c>
      <c r="DN171" s="10" t="s">
        <v>40</v>
      </c>
      <c r="DO171" s="7"/>
      <c r="DP171" s="7"/>
      <c r="DQ171" s="31" t="str">
        <f>IF(DP171/(INDEX('Standards for Conversions'!$H$34:$H$73,MATCH(DO$3,'Standards for Conversions'!$A$34:$A$73,0)))=0,"",DP171/(INDEX('Standards for Conversions'!$H$34:$H$73,MATCH(DO$3,'Standards for Conversions'!$A$34:$A$73,0))))</f>
        <v/>
      </c>
      <c r="DR171" s="10" t="s">
        <v>40</v>
      </c>
      <c r="DS171" s="7"/>
      <c r="DT171" s="7"/>
      <c r="DU171" s="31" t="str">
        <f>IF(DT171/(INDEX('Standards for Conversions'!$H$34:$H$73,MATCH(DS$3,'Standards for Conversions'!$A$34:$A$73,0)))=0,"",DT171/(INDEX('Standards for Conversions'!$H$34:$H$73,MATCH(DS$3,'Standards for Conversions'!$A$34:$A$73,0))))</f>
        <v/>
      </c>
      <c r="DV171" s="10" t="s">
        <v>40</v>
      </c>
      <c r="DW171" s="7"/>
      <c r="DX171" s="7"/>
      <c r="DY171" s="31" t="str">
        <f>IF(DX171/(INDEX('Standards for Conversions'!$H$34:$H$73,MATCH(DW$3,'Standards for Conversions'!$A$34:$A$73,0)))=0,"",DX171/(INDEX('Standards for Conversions'!$H$34:$H$73,MATCH(DW$3,'Standards for Conversions'!$A$34:$A$73,0))))</f>
        <v/>
      </c>
      <c r="DZ171" s="10" t="s">
        <v>40</v>
      </c>
      <c r="EA171" s="7"/>
      <c r="EB171" s="7"/>
      <c r="EC171" s="31" t="str">
        <f>IF(EB171/(INDEX('Standards for Conversions'!$H$34:$H$73,MATCH(EA$3,'Standards for Conversions'!$A$34:$A$73,0)))=0,"",EB171/(INDEX('Standards for Conversions'!$H$34:$H$73,MATCH(EA$3,'Standards for Conversions'!$A$34:$A$73,0))))</f>
        <v/>
      </c>
      <c r="ED171" s="10" t="s">
        <v>40</v>
      </c>
      <c r="EE171" s="7"/>
      <c r="EF171" s="7"/>
      <c r="EG171" s="31" t="str">
        <f>IF(EF171/(INDEX('Standards for Conversions'!$H$34:$H$73,MATCH(EE$3,'Standards for Conversions'!$A$34:$A$73,0)))=0,"",EF171/(INDEX('Standards for Conversions'!$H$34:$H$73,MATCH(EE$3,'Standards for Conversions'!$A$34:$A$73,0))))</f>
        <v/>
      </c>
      <c r="EH171" s="10" t="s">
        <v>40</v>
      </c>
      <c r="EI171" s="7"/>
      <c r="EJ171" s="7"/>
      <c r="EK171" s="31" t="str">
        <f>IF(EJ171/(INDEX('Standards for Conversions'!$H$34:$H$73,MATCH(EI$3,'Standards for Conversions'!$A$34:$A$73,0)))=0,"",EJ171/(INDEX('Standards for Conversions'!$H$34:$H$73,MATCH(EI$3,'Standards for Conversions'!$A$34:$A$73,0))))</f>
        <v/>
      </c>
      <c r="EL171" s="10" t="s">
        <v>40</v>
      </c>
      <c r="EM171" s="7"/>
      <c r="EN171" s="7"/>
      <c r="EO171" s="31" t="str">
        <f>IF(EN171/(INDEX('Standards for Conversions'!$H$34:$H$73,MATCH(EM$3,'Standards for Conversions'!$A$34:$A$73,0)))=0,"",EN171/(INDEX('Standards for Conversions'!$H$34:$H$73,MATCH(EM$3,'Standards for Conversions'!$A$34:$A$73,0))))</f>
        <v/>
      </c>
      <c r="EP171" s="10" t="s">
        <v>40</v>
      </c>
      <c r="EQ171" s="7"/>
      <c r="ER171" s="7"/>
      <c r="ES171" s="31" t="str">
        <f>IF(ER171/(INDEX('Standards for Conversions'!$H$34:$H$73,MATCH(EQ$3,'Standards for Conversions'!$A$34:$A$73,0)))=0,"",ER171/(INDEX('Standards for Conversions'!$H$34:$H$73,MATCH(EQ$3,'Standards for Conversions'!$A$34:$A$73,0))))</f>
        <v/>
      </c>
      <c r="ET171" s="10" t="s">
        <v>40</v>
      </c>
      <c r="EU171" s="7"/>
      <c r="EV171" s="7"/>
      <c r="EW171" s="31" t="str">
        <f>IF(EV171/(INDEX('Standards for Conversions'!$H$34:$H$73,MATCH(EU$3,'Standards for Conversions'!$A$34:$A$73,0)))=0,"",EV171/(INDEX('Standards for Conversions'!$H$34:$H$73,MATCH(EU$3,'Standards for Conversions'!$A$34:$A$73,0))))</f>
        <v/>
      </c>
      <c r="EX171" s="10" t="s">
        <v>40</v>
      </c>
      <c r="EY171" s="9"/>
      <c r="EZ171" s="9"/>
      <c r="FA171" s="31" t="str">
        <f>IF(EZ171/(INDEX('Standards for Conversions'!$H$34:$H$73,MATCH(EY$3,'Standards for Conversions'!$A$34:$A$73,0)))=0,"",EZ171/(INDEX('Standards for Conversions'!$H$34:$H$73,MATCH(EY$3,'Standards for Conversions'!$A$34:$A$73,0))))</f>
        <v/>
      </c>
      <c r="FB171" s="10" t="s">
        <v>40</v>
      </c>
      <c r="FC171" s="7"/>
      <c r="FD171" s="7"/>
      <c r="FE171" s="31" t="str">
        <f>IF(FD171/(INDEX('Standards for Conversions'!$H$34:$H$73,MATCH(FC$3,'Standards for Conversions'!$A$34:$A$73,0)))=0,"",FD171/(INDEX('Standards for Conversions'!$H$34:$H$73,MATCH(FC$3,'Standards for Conversions'!$A$34:$A$73,0))))</f>
        <v/>
      </c>
      <c r="FF171" s="10" t="s">
        <v>40</v>
      </c>
      <c r="FG171" s="7"/>
      <c r="FH171" s="7"/>
      <c r="FI171" s="31" t="str">
        <f>IF(FH171/(INDEX('Standards for Conversions'!$H$34:$H$73,MATCH(FG$3,'Standards for Conversions'!$A$34:$A$73,0)))=0,"",FH171/(INDEX('Standards for Conversions'!$H$34:$H$73,MATCH(FG$3,'Standards for Conversions'!$A$34:$A$73,0))))</f>
        <v/>
      </c>
      <c r="FJ171" s="10" t="s">
        <v>40</v>
      </c>
      <c r="FK171" s="7"/>
      <c r="FL171" s="7"/>
      <c r="FM171" s="31" t="str">
        <f>IF(FL171/(INDEX('Standards for Conversions'!$H$34:$H$73,MATCH(FK$3,'Standards for Conversions'!$A$34:$A$73,0)))=0,"",FL171/(INDEX('Standards for Conversions'!$H$34:$H$73,MATCH(FK$3,'Standards for Conversions'!$A$34:$A$73,0))))</f>
        <v/>
      </c>
      <c r="FN171" s="10" t="s">
        <v>40</v>
      </c>
      <c r="FO171" s="9"/>
      <c r="FP171" s="9"/>
      <c r="FQ171" s="31" t="str">
        <f>IF(FP171/(INDEX('Standards for Conversions'!$H$34:$H$73,MATCH(FO$3,'Standards for Conversions'!$A$34:$A$73,0)))=0,"",FP171/(INDEX('Standards for Conversions'!$H$34:$H$73,MATCH(FO$3,'Standards for Conversions'!$A$34:$A$73,0))))</f>
        <v/>
      </c>
      <c r="FR171" s="10" t="s">
        <v>40</v>
      </c>
      <c r="FS171" s="7"/>
      <c r="FT171" s="7"/>
      <c r="FU171" s="31" t="str">
        <f>IF(FT171/(INDEX('Standards for Conversions'!$H$34:$H$73,MATCH(FS$3,'Standards for Conversions'!$A$34:$A$73,0)))=0,"",FT171/(INDEX('Standards for Conversions'!$H$34:$H$73,MATCH(FS$3,'Standards for Conversions'!$A$34:$A$73,0))))</f>
        <v/>
      </c>
      <c r="FV171" s="10" t="s">
        <v>40</v>
      </c>
      <c r="FW171" s="7"/>
      <c r="FX171" s="7"/>
      <c r="FY171" s="31" t="str">
        <f>IF(FX171/(INDEX('Standards for Conversions'!$H$34:$H$73,MATCH(FW$3,'Standards for Conversions'!$A$34:$A$73,0)))=0,"",FX171/(INDEX('Standards for Conversions'!$H$34:$H$73,MATCH(FW$3,'Standards for Conversions'!$A$34:$A$73,0))))</f>
        <v/>
      </c>
      <c r="FZ171" s="10" t="s">
        <v>40</v>
      </c>
      <c r="GA171" s="7"/>
      <c r="GB171" s="7"/>
      <c r="GC171" s="31" t="str">
        <f>IF(GB171/(INDEX('Standards for Conversions'!$H$34:$H$73,MATCH(GA$3,'Standards for Conversions'!$A$34:$A$73,0)))=0,"",GB171/(INDEX('Standards for Conversions'!$H$34:$H$73,MATCH(GA$3,'Standards for Conversions'!$A$34:$A$73,0))))</f>
        <v/>
      </c>
      <c r="GD171" s="10" t="s">
        <v>40</v>
      </c>
      <c r="GE171" s="9"/>
      <c r="GF171" s="9"/>
      <c r="GG171" s="31" t="str">
        <f>IF(GF171/(INDEX('Standards for Conversions'!$H$34:$H$73,MATCH(GE$3,'Standards for Conversions'!$A$34:$A$73,0)))=0,"",GF171/(INDEX('Standards for Conversions'!$H$34:$H$73,MATCH(GE$3,'Standards for Conversions'!$A$34:$A$73,0))))</f>
        <v/>
      </c>
      <c r="GH171" s="10" t="s">
        <v>40</v>
      </c>
      <c r="GI171" s="7"/>
      <c r="GJ171" s="7"/>
      <c r="GK171" s="31" t="str">
        <f>IF(GJ171/(INDEX('Standards for Conversions'!$H$34:$H$73,MATCH(GI$3,'Standards for Conversions'!$A$34:$A$73,0)))=0,"",GJ171/(INDEX('Standards for Conversions'!$H$34:$H$73,MATCH(GI$3,'Standards for Conversions'!$A$34:$A$73,0))))</f>
        <v/>
      </c>
      <c r="GL171" s="10" t="s">
        <v>40</v>
      </c>
      <c r="GM171" s="7"/>
      <c r="GN171" s="7"/>
      <c r="GO171" s="31" t="str">
        <f>IF(GN171/(INDEX('Standards for Conversions'!$H$34:$H$73,MATCH(GM$3,'Standards for Conversions'!$A$34:$A$73,0)))=0,"",GN171/(INDEX('Standards for Conversions'!$H$34:$H$73,MATCH(GM$3,'Standards for Conversions'!$A$34:$A$73,0))))</f>
        <v/>
      </c>
      <c r="GP171" s="10" t="s">
        <v>40</v>
      </c>
      <c r="GQ171" s="7"/>
      <c r="GR171" s="7"/>
      <c r="GS171" s="31" t="str">
        <f>IF(GR171/(INDEX('Standards for Conversions'!$H$34:$H$73,MATCH(GQ$3,'Standards for Conversions'!$A$34:$A$73,0)))=0,"",GR171/(INDEX('Standards for Conversions'!$H$34:$H$73,MATCH(GQ$3,'Standards for Conversions'!$A$34:$A$73,0))))</f>
        <v/>
      </c>
      <c r="GT171" s="10" t="s">
        <v>40</v>
      </c>
      <c r="GU171" s="9"/>
      <c r="GV171" s="9"/>
      <c r="GW171" s="31" t="str">
        <f>IF(GV171/(INDEX('Standards for Conversions'!$H$34:$H$73,MATCH(GU$3,'Standards for Conversions'!$A$34:$A$73,0)))=0,"",GV171/(INDEX('Standards for Conversions'!$H$34:$H$73,MATCH(GU$3,'Standards for Conversions'!$A$34:$A$73,0))))</f>
        <v/>
      </c>
      <c r="GX171" s="10" t="s">
        <v>40</v>
      </c>
      <c r="GY171" s="7"/>
      <c r="GZ171" s="7"/>
      <c r="HA171" s="31" t="str">
        <f>IF(GZ171/(INDEX('Standards for Conversions'!$H$34:$H$73,MATCH(GY$3,'Standards for Conversions'!$A$34:$A$73,0)))=0,"",GZ171/(INDEX('Standards for Conversions'!$H$34:$H$73,MATCH(GY$3,'Standards for Conversions'!$A$34:$A$73,0))))</f>
        <v/>
      </c>
      <c r="HB171" s="10" t="s">
        <v>40</v>
      </c>
      <c r="HC171" s="7"/>
      <c r="HD171" s="7"/>
      <c r="HE171" s="31" t="str">
        <f>IF(HD171/(INDEX('Standards for Conversions'!$H$34:$H$73,MATCH(HC$3,'Standards for Conversions'!$A$34:$A$73,0)))=0,"",HD171/(INDEX('Standards for Conversions'!$H$34:$H$73,MATCH(HC$3,'Standards for Conversions'!$A$34:$A$73,0))))</f>
        <v/>
      </c>
      <c r="HF171" s="10" t="s">
        <v>40</v>
      </c>
      <c r="HG171" s="7"/>
      <c r="HH171" s="7"/>
      <c r="HI171" s="31" t="str">
        <f>IF(HH171/(INDEX('Standards for Conversions'!$H$34:$H$73,MATCH(HG$3,'Standards for Conversions'!$A$34:$A$73,0)))=0,"",HH171/(INDEX('Standards for Conversions'!$H$34:$H$73,MATCH(HG$3,'Standards for Conversions'!$A$34:$A$73,0))))</f>
        <v/>
      </c>
      <c r="HJ171" s="10" t="s">
        <v>40</v>
      </c>
      <c r="HK171" s="9"/>
      <c r="HL171" s="9"/>
      <c r="HM171" s="31" t="str">
        <f>IF(HL171/(INDEX('Standards for Conversions'!$H$34:$H$73,MATCH(HK$3,'Standards for Conversions'!$A$34:$A$73,0)))=0,"",HL171/(INDEX('Standards for Conversions'!$H$34:$H$73,MATCH(HK$3,'Standards for Conversions'!$A$34:$A$73,0))))</f>
        <v/>
      </c>
      <c r="HN171" s="10" t="s">
        <v>40</v>
      </c>
      <c r="HO171" s="7"/>
      <c r="HP171" s="7"/>
      <c r="HQ171" s="31" t="str">
        <f>IF(HP171/(INDEX('Standards for Conversions'!$H$34:$H$73,MATCH(HO$3,'Standards for Conversions'!$A$34:$A$73,0)))=0,"",HP171/(INDEX('Standards for Conversions'!$H$34:$H$73,MATCH(HO$3,'Standards for Conversions'!$A$34:$A$73,0))))</f>
        <v/>
      </c>
      <c r="HR171" s="33" t="s">
        <v>40</v>
      </c>
      <c r="HU171" s="31" t="str">
        <f>IF(HT171/(INDEX('Standards for Conversions'!$H$47:$H$73,MATCH(HS$3,'Standards for Conversions'!$A$47:$A$73,0)))=0,"",HT171/(INDEX('Standards for Conversions'!$H$47:$H$73,MATCH(HS$3,'Standards for Conversions'!$A$47:$A$73,0))))</f>
        <v/>
      </c>
      <c r="HV171" s="33" t="s">
        <v>40</v>
      </c>
      <c r="HW171" s="29">
        <v>12</v>
      </c>
      <c r="HX171" s="29">
        <v>700</v>
      </c>
      <c r="HY171" s="31">
        <f>IF(HX171/(INDEX('Standards for Conversions'!$H$47:$H$73,MATCH(HW$3,'Standards for Conversions'!$A$47:$A$73,0)))=0,"",HX171/(INDEX('Standards for Conversions'!$H$47:$H$73,MATCH(HW$3,'Standards for Conversions'!$A$47:$A$73,0))))</f>
        <v>101.67178854899917</v>
      </c>
      <c r="HZ171" s="33"/>
      <c r="IA171" s="33"/>
      <c r="IB171" s="31" t="str">
        <f>IF(IA171/(INDEX('Standards for Conversions'!$H$47:$H$73,MATCH(HZ$3,'Standards for Conversions'!$A$47:$A$73,0)))=0,"",IA171/(INDEX('Standards for Conversions'!$H$47:$H$73,MATCH(HZ$3,'Standards for Conversions'!$A$47:$A$73,0))))</f>
        <v/>
      </c>
      <c r="IC171" s="33" t="s">
        <v>40</v>
      </c>
      <c r="IF171" s="31" t="str">
        <f>IF(IE171/(INDEX('Standards for Conversions'!$H$47:$H$73,MATCH(ID$3,'Standards for Conversions'!$A$47:$A$73,0)))=0,"",IE171/(INDEX('Standards for Conversions'!$H$47:$H$73,MATCH(ID$3,'Standards for Conversions'!$A$47:$A$73,0))))</f>
        <v/>
      </c>
      <c r="IG171" s="33" t="s">
        <v>40</v>
      </c>
      <c r="IJ171" s="31" t="str">
        <f>IF(II171/(INDEX('Standards for Conversions'!$H$47:$H$73,MATCH(IH$3,'Standards for Conversions'!$A$47:$A$73,0)))=0,"",II171/(INDEX('Standards for Conversions'!$H$47:$H$73,MATCH(IH$3,'Standards for Conversions'!$A$47:$A$73,0))))</f>
        <v/>
      </c>
      <c r="IK171" s="33" t="s">
        <v>40</v>
      </c>
      <c r="IL171" s="29">
        <v>8</v>
      </c>
      <c r="IM171" s="29">
        <v>1453</v>
      </c>
      <c r="IN171" s="31">
        <f>IF(IM171/(INDEX('Standards for Conversions'!$H$47:$H$73,MATCH(IL$3,'Standards for Conversions'!$A$47:$A$73,0)))=0,"",IM171/(INDEX('Standards for Conversions'!$H$47:$H$73,MATCH(IL$3,'Standards for Conversions'!$A$47:$A$73,0))))</f>
        <v>210.11866156651021</v>
      </c>
      <c r="IO171" s="33" t="s">
        <v>40</v>
      </c>
      <c r="IR171" s="31" t="str">
        <f>IF(IQ171/(INDEX('Standards for Conversions'!$H$47:$H$73,MATCH(IP$3,'Standards for Conversions'!$A$47:$A$73,0)))=0,"",IQ171/(INDEX('Standards for Conversions'!$H$47:$H$73,MATCH(IP$3,'Standards for Conversions'!$A$47:$A$73,0))))</f>
        <v/>
      </c>
      <c r="IS171" s="33" t="s">
        <v>40</v>
      </c>
      <c r="IV171" s="31" t="str">
        <f>IF(IU171/(INDEX('Standards for Conversions'!$H$47:$H$73,MATCH(IT$3,'Standards for Conversions'!$A$47:$A$73,0)))=0,"",IU171/(INDEX('Standards for Conversions'!$H$47:$H$73,MATCH(IT$3,'Standards for Conversions'!$A$47:$A$73,0))))</f>
        <v/>
      </c>
      <c r="IW171" s="33" t="s">
        <v>40</v>
      </c>
      <c r="IZ171" s="31" t="str">
        <f>IF(IY171/(INDEX('Standards for Conversions'!$H$47:$H$73,MATCH(IX$3,'Standards for Conversions'!$A$47:$A$73,0)))=0,"",IY171/(INDEX('Standards for Conversions'!$H$47:$H$73,MATCH(IX$3,'Standards for Conversions'!$A$47:$A$73,0))))</f>
        <v/>
      </c>
      <c r="JA171" s="48" t="s">
        <v>40</v>
      </c>
      <c r="JB171" s="29">
        <v>8</v>
      </c>
      <c r="JC171" s="29">
        <v>200</v>
      </c>
      <c r="JD171" s="31">
        <f>IF(JC171/(INDEX('Standards for Conversions'!$H$47:$H$73,MATCH(JB$3,'Standards for Conversions'!$A$47:$A$73,0)))=0,"",JC171/(INDEX('Standards for Conversions'!$H$47:$H$73,MATCH(JB$3,'Standards for Conversions'!$A$47:$A$73,0))))</f>
        <v>32.352039338373736</v>
      </c>
      <c r="JE171" s="33"/>
      <c r="JH171" s="31" t="str">
        <f>IF(JG171/(INDEX('Standards for Conversions'!$H$47:$H$73,MATCH(JF$3,'Standards for Conversions'!$A$47:$A$73,0)))=0,"",JG171/(INDEX('Standards for Conversions'!$H$47:$H$73,MATCH(JF$3,'Standards for Conversions'!$A$47:$A$73,0))))</f>
        <v/>
      </c>
      <c r="JI171" s="33"/>
      <c r="JL171" s="31" t="str">
        <f>IF(JK171/(INDEX('Standards for Conversions'!$H$47:$H$73,MATCH(JJ$3,'Standards for Conversions'!$A$47:$A$73,0)))=0,"",JK171/(INDEX('Standards for Conversions'!$H$47:$H$73,MATCH(JJ$3,'Standards for Conversions'!$A$47:$A$73,0))))</f>
        <v/>
      </c>
      <c r="JM171" s="33" t="s">
        <v>40</v>
      </c>
      <c r="JP171" s="31" t="str">
        <f>IF(JO171/(INDEX('Standards for Conversions'!$H$47:$H$73,MATCH(JN$3,'Standards for Conversions'!$A$47:$A$73,0)))=0,"",JO171/(INDEX('Standards for Conversions'!$H$47:$H$73,MATCH(JN$3,'Standards for Conversions'!$A$47:$A$73,0))))</f>
        <v/>
      </c>
      <c r="JQ171" s="33" t="s">
        <v>40</v>
      </c>
      <c r="JR171" s="29">
        <v>12</v>
      </c>
      <c r="JS171" s="29">
        <v>600</v>
      </c>
      <c r="JT171" s="31">
        <f>IF(JS171/(INDEX('Standards for Conversions'!$H$47:$H$73,MATCH(JR$3,'Standards for Conversions'!$A$47:$A$73,0)))=0,"",JS171/(INDEX('Standards for Conversions'!$H$47:$H$73,MATCH(JR$3,'Standards for Conversions'!$A$47:$A$73,0))))</f>
        <v>91.593535456678538</v>
      </c>
      <c r="JU171" s="33" t="s">
        <v>40</v>
      </c>
      <c r="JX171" s="31" t="str">
        <f>IF(JW171/(INDEX('Standards for Conversions'!$H$47:$H$73,MATCH(JV$3,'Standards for Conversions'!$A$47:$A$73,0)))=0,"",JW171/(INDEX('Standards for Conversions'!$H$47:$H$73,MATCH(JV$3,'Standards for Conversions'!$A$47:$A$73,0))))</f>
        <v/>
      </c>
      <c r="JY171" s="33" t="s">
        <v>40</v>
      </c>
      <c r="KB171" s="31" t="str">
        <f>IF(KA171/(INDEX('Standards for Conversions'!$H$47:$H$73,MATCH(JZ$3,'Standards for Conversions'!$A$47:$A$73,0)))=0,"",KA171/(INDEX('Standards for Conversions'!$H$47:$H$73,MATCH(JZ$3,'Standards for Conversions'!$A$47:$A$73,0))))</f>
        <v/>
      </c>
      <c r="KC171" s="33" t="s">
        <v>40</v>
      </c>
      <c r="KF171" s="31" t="str">
        <f>IF(KE171/(INDEX('Standards for Conversions'!$H$47:$H$73,MATCH(KD$3,'Standards for Conversions'!$A$47:$A$73,0)))=0,"",KE171/(INDEX('Standards for Conversions'!$H$47:$H$73,MATCH(KD$3,'Standards for Conversions'!$A$47:$A$73,0))))</f>
        <v/>
      </c>
      <c r="KG171" s="33" t="s">
        <v>40</v>
      </c>
      <c r="KH171" s="29">
        <v>20</v>
      </c>
      <c r="KI171" s="29">
        <v>1000</v>
      </c>
      <c r="KJ171" s="31">
        <f>IF(KI171/(INDEX('Standards for Conversions'!$H$47:$H$73,MATCH(KH$3,'Standards for Conversions'!$A$47:$A$73,0)))=0,"",KI171/(INDEX('Standards for Conversions'!$H$47:$H$73,MATCH(KH$3,'Standards for Conversions'!$A$47:$A$73,0))))</f>
        <v>134.65901190579646</v>
      </c>
      <c r="KK171" s="33" t="s">
        <v>40</v>
      </c>
      <c r="KN171" s="31" t="str">
        <f>IF(KM171/(INDEX('Standards for Conversions'!$H$47:$H$73,MATCH(KL$3,'Standards for Conversions'!$A$47:$A$73,0)))=0,"",KM171/(INDEX('Standards for Conversions'!$H$47:$H$73,MATCH(KL$3,'Standards for Conversions'!$A$47:$A$73,0))))</f>
        <v/>
      </c>
      <c r="KO171" s="33" t="s">
        <v>40</v>
      </c>
      <c r="KR171" s="31" t="str">
        <f>IF(KQ171/(INDEX('Standards for Conversions'!$H$47:$H$73,MATCH(KP$3,'Standards for Conversions'!$A$47:$A$73,0)))=0,"",KQ171/(INDEX('Standards for Conversions'!$H$47:$H$73,MATCH(KP$3,'Standards for Conversions'!$A$47:$A$73,0))))</f>
        <v/>
      </c>
      <c r="KS171" s="33" t="s">
        <v>40</v>
      </c>
      <c r="KV171" s="31" t="str">
        <f>IF(KU171/(INDEX('Standards for Conversions'!$H$47:$H$73,MATCH(KT$3,'Standards for Conversions'!$A$47:$A$73,0)))=0,"",KU171/(INDEX('Standards for Conversions'!$H$47:$H$73,MATCH(KT$3,'Standards for Conversions'!$A$47:$A$73,0))))</f>
        <v/>
      </c>
      <c r="KW171" s="48" t="s">
        <v>40</v>
      </c>
      <c r="KX171" s="29">
        <v>7</v>
      </c>
      <c r="KY171" s="29">
        <v>600</v>
      </c>
      <c r="KZ171" s="31">
        <f>IF(KY171/(INDEX('Standards for Conversions'!$H$47:$H$73,MATCH(KX$3,'Standards for Conversions'!$A$47:$A$73,0)))=0,"",KY171/(INDEX('Standards for Conversions'!$H$47:$H$73,MATCH(KX$3,'Standards for Conversions'!$A$47:$A$73,0))))</f>
        <v>72.969940036499509</v>
      </c>
      <c r="LD171" s="31" t="str">
        <f>IF(LC171/(INDEX('Standards for Conversions'!$H$47:$H$73,MATCH(LB$3,'Standards for Conversions'!$A$47:$A$73,0)))=0,"",LC171/(INDEX('Standards for Conversions'!$H$47:$H$73,MATCH(LB$3,'Standards for Conversions'!$A$47:$A$73,0))))</f>
        <v/>
      </c>
      <c r="LE171" s="33"/>
      <c r="LH171" s="31" t="str">
        <f>IF(LG171/(INDEX('Standards for Conversions'!$H$47:$H$73,MATCH(LF$3,'Standards for Conversions'!$A$47:$A$73,0)))=0,"",LG171/(INDEX('Standards for Conversions'!$H$47:$H$73,MATCH(LF$3,'Standards for Conversions'!$A$47:$A$73,0))))</f>
        <v/>
      </c>
      <c r="LL171" s="31" t="str">
        <f>IF(LK171/(INDEX('Standards for Conversions'!$H$47:$H$73,MATCH(LJ$3,'Standards for Conversions'!$A$47:$A$73,0)))=0,"",LK171/(INDEX('Standards for Conversions'!$H$47:$H$73,MATCH(LJ$3,'Standards for Conversions'!$A$47:$A$73,0))))</f>
        <v/>
      </c>
      <c r="LO171" s="31" t="str">
        <f>IF(LN171/(INDEX('Standards for Conversions'!$H$47:$H$73,MATCH(LM$3,'Standards for Conversions'!$A$47:$A$73,0)))=0,"",LN171/(INDEX('Standards for Conversions'!$H$47:$H$73,MATCH(LM$3,'Standards for Conversions'!$A$47:$A$73,0))))</f>
        <v/>
      </c>
      <c r="LR171" s="31" t="str">
        <f>IF(LQ171/(INDEX('Standards for Conversions'!$H$47:$H$73,MATCH(LP$3,'Standards for Conversions'!$A$47:$A$73,0)))=0,"",LQ171/(INDEX('Standards for Conversions'!$H$47:$H$73,MATCH(LP$3,'Standards for Conversions'!$A$47:$A$73,0))))</f>
        <v/>
      </c>
      <c r="LV171" s="31" t="str">
        <f>IF(LU171/(INDEX('Standards for Conversions'!$H$47:$H$73,MATCH(LT$3,'Standards for Conversions'!$A$47:$A$73,0)))=0,"",LU171/(INDEX('Standards for Conversions'!$H$47:$H$73,MATCH(LT$3,'Standards for Conversions'!$A$47:$A$73,0))))</f>
        <v/>
      </c>
      <c r="LY171" s="31" t="str">
        <f>IF(LX171/(INDEX('Standards for Conversions'!$H$47:$H$73,MATCH(LW$3,'Standards for Conversions'!$A$47:$A$73,0)))=0,"",LX171/(INDEX('Standards for Conversions'!$H$47:$H$73,MATCH(LW$3,'Standards for Conversions'!$A$47:$A$73,0))))</f>
        <v/>
      </c>
      <c r="MB171" s="31" t="str">
        <f>IF(MA171/(INDEX('Standards for Conversions'!$H$47:$H$73,MATCH(LZ$3,'Standards for Conversions'!$A$47:$A$73,0)))=0,"",MA171/(INDEX('Standards for Conversions'!$H$47:$H$73,MATCH(LZ$3,'Standards for Conversions'!$A$47:$A$73,0))))</f>
        <v/>
      </c>
      <c r="ME171" s="31" t="str">
        <f>IF(MD171/(INDEX('Standards for Conversions'!$H$47:$H$73,MATCH(MC$3,'Standards for Conversions'!$A$47:$A$73,0)))=0,"",MD171/(INDEX('Standards for Conversions'!$H$47:$H$73,MATCH(MC$3,'Standards for Conversions'!$A$47:$A$73,0))))</f>
        <v/>
      </c>
      <c r="MH171" s="31" t="str">
        <f>IF(MG171/(INDEX('Standards for Conversions'!$H$47:$H$73,MATCH(MF$3,'Standards for Conversions'!$A$47:$A$73,0)))=0,"",MG171/(INDEX('Standards for Conversions'!$H$47:$H$73,MATCH(MF$3,'Standards for Conversions'!$A$47:$A$73,0))))</f>
        <v/>
      </c>
      <c r="MK171" s="31" t="str">
        <f>IF(MJ171/(INDEX('Standards for Conversions'!$H$47:$H$73,MATCH(MI$3,'Standards for Conversions'!$A$47:$A$73,0)))=0,"",MJ171/(INDEX('Standards for Conversions'!$H$47:$H$73,MATCH(MI$3,'Standards for Conversions'!$A$47:$A$73,0))))</f>
        <v/>
      </c>
      <c r="MN171" s="31" t="str">
        <f>IF(MM171/(INDEX('Standards for Conversions'!$H$47:$H$73,MATCH(ML$3,'Standards for Conversions'!$A$47:$A$73,0)))=0,"",MM171/(INDEX('Standards for Conversions'!$H$47:$H$73,MATCH(ML$3,'Standards for Conversions'!$A$47:$A$73,0))))</f>
        <v/>
      </c>
      <c r="MR171" s="31" t="str">
        <f>IF(MQ171/(INDEX('Standards for Conversions'!$H$47:$H$73,MATCH(MP$3,'Standards for Conversions'!$A$47:$A$73,0)))=0,"",MQ171/(INDEX('Standards for Conversions'!$H$47:$H$73,MATCH(MP$3,'Standards for Conversions'!$A$47:$A$73,0))))</f>
        <v/>
      </c>
    </row>
    <row r="172" spans="1:373" hidden="1" x14ac:dyDescent="0.3">
      <c r="A172" s="105" t="s">
        <v>331</v>
      </c>
      <c r="B172" s="10" t="s">
        <v>42</v>
      </c>
      <c r="C172" s="7"/>
      <c r="D172" s="7"/>
      <c r="E172" s="31" t="str">
        <f>IF(D172/(INDEX('Standards for Conversions'!$H$34:$H$73,MATCH(C$3,'Standards for Conversions'!$A$34:$A$73,0)))=0,"",D172/(INDEX('Standards for Conversions'!$H$34:$H$73,MATCH(C$3,'Standards for Conversions'!$A$34:$A$73,0))))</f>
        <v/>
      </c>
      <c r="F172" s="10" t="s">
        <v>42</v>
      </c>
      <c r="G172" s="7"/>
      <c r="H172" s="7"/>
      <c r="I172" s="31" t="str">
        <f>IF(H172/(INDEX('Standards for Conversions'!$H$34:$H$73,MATCH(G$3,'Standards for Conversions'!$A$34:$A$73,0)))=0,"",H172/(INDEX('Standards for Conversions'!$H$34:$H$73,MATCH(G$3,'Standards for Conversions'!$A$34:$A$73,0))))</f>
        <v/>
      </c>
      <c r="K172" s="7"/>
      <c r="L172" s="7"/>
      <c r="M172" s="31" t="str">
        <f>IF(L172/(INDEX('Standards for Conversions'!$H$34:$H$73,MATCH(K$3,'Standards for Conversions'!$A$34:$A$73,0)))=0,"",L172/(INDEX('Standards for Conversions'!$H$34:$H$73,MATCH(K$3,'Standards for Conversions'!$A$34:$A$73,0))))</f>
        <v/>
      </c>
      <c r="O172" s="7"/>
      <c r="P172" s="7"/>
      <c r="Q172" s="31" t="str">
        <f>IF(P172/(INDEX('Standards for Conversions'!$H$34:$H$73,MATCH(O$3,'Standards for Conversions'!$A$34:$A$73,0)))=0,"",P172/(INDEX('Standards for Conversions'!$H$34:$H$73,MATCH(O$3,'Standards for Conversions'!$A$34:$A$73,0))))</f>
        <v/>
      </c>
      <c r="R172" s="10" t="s">
        <v>42</v>
      </c>
      <c r="S172" s="7"/>
      <c r="T172" s="7"/>
      <c r="U172" s="31" t="str">
        <f>IF(T172/(INDEX('Standards for Conversions'!$H$34:$H$73,MATCH(S$3,'Standards for Conversions'!$A$34:$A$73,0)))=0,"",T172/(INDEX('Standards for Conversions'!$H$34:$H$73,MATCH(S$3,'Standards for Conversions'!$A$34:$A$73,0))))</f>
        <v/>
      </c>
      <c r="V172" s="10" t="s">
        <v>42</v>
      </c>
      <c r="W172" s="7"/>
      <c r="X172" s="7"/>
      <c r="Y172" s="31" t="str">
        <f>IF(X172/(INDEX('Standards for Conversions'!$H$34:$H$73,MATCH(W$3,'Standards for Conversions'!$A$34:$A$73,0)))=0,"",X172/(INDEX('Standards for Conversions'!$H$34:$H$73,MATCH(W$3,'Standards for Conversions'!$A$34:$A$73,0))))</f>
        <v/>
      </c>
      <c r="AA172" s="7"/>
      <c r="AB172" s="7"/>
      <c r="AC172" s="31" t="str">
        <f>IF(AB172/(INDEX('Standards for Conversions'!$H$34:$H$73,MATCH(AA$3,'Standards for Conversions'!$A$34:$A$73,0)))=0,"",AB172/(INDEX('Standards for Conversions'!$H$34:$H$73,MATCH(AA$3,'Standards for Conversions'!$A$34:$A$73,0))))</f>
        <v/>
      </c>
      <c r="AE172" s="7"/>
      <c r="AF172" s="7"/>
      <c r="AG172" s="31" t="str">
        <f>IF(AF172/(INDEX('Standards for Conversions'!$H$34:$H$73,MATCH(AE$3,'Standards for Conversions'!$A$34:$A$73,0)))=0,"",AF172/(INDEX('Standards for Conversions'!$H$34:$H$73,MATCH(AE$3,'Standards for Conversions'!$A$34:$A$73,0))))</f>
        <v/>
      </c>
      <c r="AH172" s="10" t="s">
        <v>42</v>
      </c>
      <c r="AI172" s="7"/>
      <c r="AJ172" s="7"/>
      <c r="AK172" s="31" t="str">
        <f>IF(AJ172/(INDEX('Standards for Conversions'!$H$34:$H$73,MATCH(AI$3,'Standards for Conversions'!$A$34:$A$73,0)))=0,"",AJ172/(INDEX('Standards for Conversions'!$H$34:$H$73,MATCH(AI$3,'Standards for Conversions'!$A$34:$A$73,0))))</f>
        <v/>
      </c>
      <c r="AL172" s="10" t="s">
        <v>42</v>
      </c>
      <c r="AM172" s="7"/>
      <c r="AN172" s="7"/>
      <c r="AO172" s="31" t="str">
        <f>IF(AN172/(INDEX('Standards for Conversions'!$H$34:$H$73,MATCH(AM$3,'Standards for Conversions'!$A$34:$A$73,0)))=0,"",AN172/(INDEX('Standards for Conversions'!$H$34:$H$73,MATCH(AM$3,'Standards for Conversions'!$A$34:$A$73,0))))</f>
        <v/>
      </c>
      <c r="AQ172" s="7"/>
      <c r="AR172" s="7"/>
      <c r="AS172" s="31" t="str">
        <f>IF(AR172/(INDEX('Standards for Conversions'!$H$34:$H$73,MATCH(AQ$3,'Standards for Conversions'!$A$34:$A$73,0)))=0,"",AR172/(INDEX('Standards for Conversions'!$H$34:$H$73,MATCH(AQ$3,'Standards for Conversions'!$A$34:$A$73,0))))</f>
        <v/>
      </c>
      <c r="AU172" s="7"/>
      <c r="AV172" s="7"/>
      <c r="AW172" s="31" t="str">
        <f>IF(AV172/(INDEX('Standards for Conversions'!$H$34:$H$73,MATCH(AU$3,'Standards for Conversions'!$A$34:$A$73,0)))=0,"",AV172/(INDEX('Standards for Conversions'!$H$34:$H$73,MATCH(AU$3,'Standards for Conversions'!$A$34:$A$73,0))))</f>
        <v/>
      </c>
      <c r="AX172" s="10" t="s">
        <v>42</v>
      </c>
      <c r="AY172" s="7"/>
      <c r="AZ172" s="7"/>
      <c r="BA172" s="31" t="str">
        <f>IF(AZ172/(INDEX('Standards for Conversions'!$H$34:$H$73,MATCH(AY$3,'Standards for Conversions'!$A$34:$A$73,0)))=0,"",AZ172/(INDEX('Standards for Conversions'!$H$34:$H$73,MATCH(AY$3,'Standards for Conversions'!$A$34:$A$73,0))))</f>
        <v/>
      </c>
      <c r="BB172" s="10" t="s">
        <v>42</v>
      </c>
      <c r="BC172" s="7"/>
      <c r="BD172" s="7"/>
      <c r="BE172" s="31" t="str">
        <f>IF(BD172/(INDEX('Standards for Conversions'!$H$34:$H$73,MATCH(BC$3,'Standards for Conversions'!$A$34:$A$73,0)))=0,"",BD172/(INDEX('Standards for Conversions'!$H$34:$H$73,MATCH(BC$3,'Standards for Conversions'!$A$34:$A$73,0))))</f>
        <v/>
      </c>
      <c r="BG172" s="7"/>
      <c r="BH172" s="7"/>
      <c r="BI172" s="31" t="str">
        <f>IF(BH172/(INDEX('Standards for Conversions'!$H$34:$H$73,MATCH(BG$3,'Standards for Conversions'!$A$34:$A$73,0)))=0,"",BH172/(INDEX('Standards for Conversions'!$H$34:$H$73,MATCH(BG$3,'Standards for Conversions'!$A$34:$A$73,0))))</f>
        <v/>
      </c>
      <c r="BK172" s="7"/>
      <c r="BL172" s="7"/>
      <c r="BM172" s="31" t="str">
        <f>IF(BL172/(INDEX('Standards for Conversions'!$H$34:$H$73,MATCH(BK$3,'Standards for Conversions'!$A$34:$A$73,0)))=0,"",BL172/(INDEX('Standards for Conversions'!$H$34:$H$73,MATCH(BK$3,'Standards for Conversions'!$A$34:$A$73,0))))</f>
        <v/>
      </c>
      <c r="BN172" s="10" t="s">
        <v>42</v>
      </c>
      <c r="BO172" s="7"/>
      <c r="BP172" s="7"/>
      <c r="BQ172" s="31" t="str">
        <f>IF(BP172/(INDEX('Standards for Conversions'!$H$34:$H$73,MATCH(BO$3,'Standards for Conversions'!$A$34:$A$73,0)))=0,"",BP172/(INDEX('Standards for Conversions'!$H$34:$H$73,MATCH(BO$3,'Standards for Conversions'!$A$34:$A$73,0))))</f>
        <v/>
      </c>
      <c r="BR172" s="10" t="s">
        <v>42</v>
      </c>
      <c r="BS172" s="7"/>
      <c r="BT172" s="7"/>
      <c r="BU172" s="31" t="str">
        <f>IF(BT172/(INDEX('Standards for Conversions'!$H$34:$H$73,MATCH(BS$3,'Standards for Conversions'!$A$34:$A$73,0)))=0,"",BT172/(INDEX('Standards for Conversions'!$H$34:$H$73,MATCH(BS$3,'Standards for Conversions'!$A$34:$A$73,0))))</f>
        <v/>
      </c>
      <c r="BW172" s="7"/>
      <c r="BX172" s="7"/>
      <c r="BY172" s="31" t="str">
        <f>IF(BX172/(INDEX('Standards for Conversions'!$H$34:$H$73,MATCH(BW$3,'Standards for Conversions'!$A$34:$A$73,0)))=0,"",BX172/(INDEX('Standards for Conversions'!$H$34:$H$73,MATCH(BW$3,'Standards for Conversions'!$A$34:$A$73,0))))</f>
        <v/>
      </c>
      <c r="CA172" s="7"/>
      <c r="CB172" s="7"/>
      <c r="CC172" s="31" t="str">
        <f>IF(CB172/(INDEX('Standards for Conversions'!$H$34:$H$73,MATCH(CA$3,'Standards for Conversions'!$A$34:$A$73,0)))=0,"",CB172/(INDEX('Standards for Conversions'!$H$34:$H$73,MATCH(CA$3,'Standards for Conversions'!$A$34:$A$73,0))))</f>
        <v/>
      </c>
      <c r="CD172" s="10" t="s">
        <v>42</v>
      </c>
      <c r="CE172" s="7"/>
      <c r="CF172" s="7"/>
      <c r="CG172" s="31" t="str">
        <f>IF(CF172/(INDEX('Standards for Conversions'!$H$34:$H$73,MATCH(CE$3,'Standards for Conversions'!$A$34:$A$73,0)))=0,"",CF172/(INDEX('Standards for Conversions'!$H$34:$H$73,MATCH(CE$3,'Standards for Conversions'!$A$34:$A$73,0))))</f>
        <v/>
      </c>
      <c r="CH172" s="10" t="s">
        <v>42</v>
      </c>
      <c r="CI172" s="7"/>
      <c r="CJ172" s="7"/>
      <c r="CK172" s="31" t="str">
        <f>IF(CJ172/(INDEX('Standards for Conversions'!$H$34:$H$73,MATCH(CI$3,'Standards for Conversions'!$A$34:$A$73,0)))=0,"",CJ172/(INDEX('Standards for Conversions'!$H$34:$H$73,MATCH(CI$3,'Standards for Conversions'!$A$34:$A$73,0))))</f>
        <v/>
      </c>
      <c r="CM172" s="7"/>
      <c r="CN172" s="7"/>
      <c r="CO172" s="31" t="str">
        <f>IF(CN172/(INDEX('Standards for Conversions'!$H$34:$H$73,MATCH(CM$3,'Standards for Conversions'!$A$34:$A$73,0)))=0,"",CN172/(INDEX('Standards for Conversions'!$H$34:$H$73,MATCH(CM$3,'Standards for Conversions'!$A$34:$A$73,0))))</f>
        <v/>
      </c>
      <c r="CQ172" s="7"/>
      <c r="CR172" s="7"/>
      <c r="CS172" s="31" t="str">
        <f>IF(CR172/(INDEX('Standards for Conversions'!$H$34:$H$73,MATCH(CQ$3,'Standards for Conversions'!$A$34:$A$73,0)))=0,"",CR172/(INDEX('Standards for Conversions'!$H$34:$H$73,MATCH(CQ$3,'Standards for Conversions'!$A$34:$A$73,0))))</f>
        <v/>
      </c>
      <c r="CT172" s="10" t="s">
        <v>42</v>
      </c>
      <c r="CU172" s="7"/>
      <c r="CV172" s="7"/>
      <c r="CW172" s="31" t="str">
        <f>IF(CV172/(INDEX('Standards for Conversions'!$H$34:$H$73,MATCH(CU$3,'Standards for Conversions'!$A$34:$A$73,0)))=0,"",CV172/(INDEX('Standards for Conversions'!$H$34:$H$73,MATCH(CU$3,'Standards for Conversions'!$A$34:$A$73,0))))</f>
        <v/>
      </c>
      <c r="CX172" s="10" t="s">
        <v>42</v>
      </c>
      <c r="CY172" s="7"/>
      <c r="CZ172" s="7"/>
      <c r="DA172" s="31" t="str">
        <f>IF(CZ172/(INDEX('Standards for Conversions'!$H$34:$H$73,MATCH(CY$3,'Standards for Conversions'!$A$34:$A$73,0)))=0,"",CZ172/(INDEX('Standards for Conversions'!$H$34:$H$73,MATCH(CY$3,'Standards for Conversions'!$A$34:$A$73,0))))</f>
        <v/>
      </c>
      <c r="DC172" s="7"/>
      <c r="DD172" s="7"/>
      <c r="DE172" s="31" t="str">
        <f>IF(DD172/(INDEX('Standards for Conversions'!$H$34:$H$73,MATCH(DC$3,'Standards for Conversions'!$A$34:$A$73,0)))=0,"",DD172/(INDEX('Standards for Conversions'!$H$34:$H$73,MATCH(DC$3,'Standards for Conversions'!$A$34:$A$73,0))))</f>
        <v/>
      </c>
      <c r="DG172" s="7"/>
      <c r="DH172" s="7"/>
      <c r="DI172" s="31" t="str">
        <f>IF(DH172/(INDEX('Standards for Conversions'!$H$34:$H$73,MATCH(DG$3,'Standards for Conversions'!$A$34:$A$73,0)))=0,"",DH172/(INDEX('Standards for Conversions'!$H$34:$H$73,MATCH(DG$3,'Standards for Conversions'!$A$34:$A$73,0))))</f>
        <v/>
      </c>
      <c r="DJ172" s="10" t="s">
        <v>42</v>
      </c>
      <c r="DK172" s="7"/>
      <c r="DL172" s="7"/>
      <c r="DM172" s="31" t="str">
        <f>IF(DL172/(INDEX('Standards for Conversions'!$H$34:$H$73,MATCH(DK$3,'Standards for Conversions'!$A$34:$A$73,0)))=0,"",DL172/(INDEX('Standards for Conversions'!$H$34:$H$73,MATCH(DK$3,'Standards for Conversions'!$A$34:$A$73,0))))</f>
        <v/>
      </c>
      <c r="DN172" s="10" t="s">
        <v>42</v>
      </c>
      <c r="DO172" s="7"/>
      <c r="DP172" s="7"/>
      <c r="DQ172" s="31" t="str">
        <f>IF(DP172/(INDEX('Standards for Conversions'!$H$34:$H$73,MATCH(DO$3,'Standards for Conversions'!$A$34:$A$73,0)))=0,"",DP172/(INDEX('Standards for Conversions'!$H$34:$H$73,MATCH(DO$3,'Standards for Conversions'!$A$34:$A$73,0))))</f>
        <v/>
      </c>
      <c r="DS172" s="7"/>
      <c r="DT172" s="7"/>
      <c r="DU172" s="31" t="str">
        <f>IF(DT172/(INDEX('Standards for Conversions'!$H$34:$H$73,MATCH(DS$3,'Standards for Conversions'!$A$34:$A$73,0)))=0,"",DT172/(INDEX('Standards for Conversions'!$H$34:$H$73,MATCH(DS$3,'Standards for Conversions'!$A$34:$A$73,0))))</f>
        <v/>
      </c>
      <c r="DW172" s="7"/>
      <c r="DX172" s="7"/>
      <c r="DY172" s="31" t="str">
        <f>IF(DX172/(INDEX('Standards for Conversions'!$H$34:$H$73,MATCH(DW$3,'Standards for Conversions'!$A$34:$A$73,0)))=0,"",DX172/(INDEX('Standards for Conversions'!$H$34:$H$73,MATCH(DW$3,'Standards for Conversions'!$A$34:$A$73,0))))</f>
        <v/>
      </c>
      <c r="DZ172" s="10" t="s">
        <v>42</v>
      </c>
      <c r="EA172" s="7"/>
      <c r="EB172" s="7"/>
      <c r="EC172" s="31" t="str">
        <f>IF(EB172/(INDEX('Standards for Conversions'!$H$34:$H$73,MATCH(EA$3,'Standards for Conversions'!$A$34:$A$73,0)))=0,"",EB172/(INDEX('Standards for Conversions'!$H$34:$H$73,MATCH(EA$3,'Standards for Conversions'!$A$34:$A$73,0))))</f>
        <v/>
      </c>
      <c r="ED172" s="10" t="s">
        <v>42</v>
      </c>
      <c r="EE172" s="7"/>
      <c r="EF172" s="7"/>
      <c r="EG172" s="31" t="str">
        <f>IF(EF172/(INDEX('Standards for Conversions'!$H$34:$H$73,MATCH(EE$3,'Standards for Conversions'!$A$34:$A$73,0)))=0,"",EF172/(INDEX('Standards for Conversions'!$H$34:$H$73,MATCH(EE$3,'Standards for Conversions'!$A$34:$A$73,0))))</f>
        <v/>
      </c>
      <c r="EI172" s="7"/>
      <c r="EJ172" s="7"/>
      <c r="EK172" s="31" t="str">
        <f>IF(EJ172/(INDEX('Standards for Conversions'!$H$34:$H$73,MATCH(EI$3,'Standards for Conversions'!$A$34:$A$73,0)))=0,"",EJ172/(INDEX('Standards for Conversions'!$H$34:$H$73,MATCH(EI$3,'Standards for Conversions'!$A$34:$A$73,0))))</f>
        <v/>
      </c>
      <c r="EM172" s="7"/>
      <c r="EN172" s="7"/>
      <c r="EO172" s="31" t="str">
        <f>IF(EN172/(INDEX('Standards for Conversions'!$H$34:$H$73,MATCH(EM$3,'Standards for Conversions'!$A$34:$A$73,0)))=0,"",EN172/(INDEX('Standards for Conversions'!$H$34:$H$73,MATCH(EM$3,'Standards for Conversions'!$A$34:$A$73,0))))</f>
        <v/>
      </c>
      <c r="EP172" s="10" t="s">
        <v>42</v>
      </c>
      <c r="EQ172" s="7"/>
      <c r="ER172" s="7"/>
      <c r="ES172" s="31" t="str">
        <f>IF(ER172/(INDEX('Standards for Conversions'!$H$34:$H$73,MATCH(EQ$3,'Standards for Conversions'!$A$34:$A$73,0)))=0,"",ER172/(INDEX('Standards for Conversions'!$H$34:$H$73,MATCH(EQ$3,'Standards for Conversions'!$A$34:$A$73,0))))</f>
        <v/>
      </c>
      <c r="ET172" s="10" t="s">
        <v>42</v>
      </c>
      <c r="EU172" s="7"/>
      <c r="EV172" s="7"/>
      <c r="EW172" s="31" t="str">
        <f>IF(EV172/(INDEX('Standards for Conversions'!$H$34:$H$73,MATCH(EU$3,'Standards for Conversions'!$A$34:$A$73,0)))=0,"",EV172/(INDEX('Standards for Conversions'!$H$34:$H$73,MATCH(EU$3,'Standards for Conversions'!$A$34:$A$73,0))))</f>
        <v/>
      </c>
      <c r="EY172" s="9"/>
      <c r="EZ172" s="9"/>
      <c r="FA172" s="31" t="str">
        <f>IF(EZ172/(INDEX('Standards for Conversions'!$H$34:$H$73,MATCH(EY$3,'Standards for Conversions'!$A$34:$A$73,0)))=0,"",EZ172/(INDEX('Standards for Conversions'!$H$34:$H$73,MATCH(EY$3,'Standards for Conversions'!$A$34:$A$73,0))))</f>
        <v/>
      </c>
      <c r="FC172" s="7"/>
      <c r="FD172" s="7"/>
      <c r="FE172" s="31" t="str">
        <f>IF(FD172/(INDEX('Standards for Conversions'!$H$34:$H$73,MATCH(FC$3,'Standards for Conversions'!$A$34:$A$73,0)))=0,"",FD172/(INDEX('Standards for Conversions'!$H$34:$H$73,MATCH(FC$3,'Standards for Conversions'!$A$34:$A$73,0))))</f>
        <v/>
      </c>
      <c r="FF172" s="10" t="s">
        <v>42</v>
      </c>
      <c r="FG172" s="7"/>
      <c r="FH172" s="7"/>
      <c r="FI172" s="31" t="str">
        <f>IF(FH172/(INDEX('Standards for Conversions'!$H$34:$H$73,MATCH(FG$3,'Standards for Conversions'!$A$34:$A$73,0)))=0,"",FH172/(INDEX('Standards for Conversions'!$H$34:$H$73,MATCH(FG$3,'Standards for Conversions'!$A$34:$A$73,0))))</f>
        <v/>
      </c>
      <c r="FJ172" s="10" t="s">
        <v>42</v>
      </c>
      <c r="FK172" s="7"/>
      <c r="FL172" s="7"/>
      <c r="FM172" s="31" t="str">
        <f>IF(FL172/(INDEX('Standards for Conversions'!$H$34:$H$73,MATCH(FK$3,'Standards for Conversions'!$A$34:$A$73,0)))=0,"",FL172/(INDEX('Standards for Conversions'!$H$34:$H$73,MATCH(FK$3,'Standards for Conversions'!$A$34:$A$73,0))))</f>
        <v/>
      </c>
      <c r="FO172" s="9"/>
      <c r="FP172" s="9"/>
      <c r="FQ172" s="31" t="str">
        <f>IF(FP172/(INDEX('Standards for Conversions'!$H$34:$H$73,MATCH(FO$3,'Standards for Conversions'!$A$34:$A$73,0)))=0,"",FP172/(INDEX('Standards for Conversions'!$H$34:$H$73,MATCH(FO$3,'Standards for Conversions'!$A$34:$A$73,0))))</f>
        <v/>
      </c>
      <c r="FS172" s="7"/>
      <c r="FT172" s="7"/>
      <c r="FU172" s="31" t="str">
        <f>IF(FT172/(INDEX('Standards for Conversions'!$H$34:$H$73,MATCH(FS$3,'Standards for Conversions'!$A$34:$A$73,0)))=0,"",FT172/(INDEX('Standards for Conversions'!$H$34:$H$73,MATCH(FS$3,'Standards for Conversions'!$A$34:$A$73,0))))</f>
        <v/>
      </c>
      <c r="FV172" s="10" t="s">
        <v>42</v>
      </c>
      <c r="FW172" s="7"/>
      <c r="FX172" s="7"/>
      <c r="FY172" s="31" t="str">
        <f>IF(FX172/(INDEX('Standards for Conversions'!$H$34:$H$73,MATCH(FW$3,'Standards for Conversions'!$A$34:$A$73,0)))=0,"",FX172/(INDEX('Standards for Conversions'!$H$34:$H$73,MATCH(FW$3,'Standards for Conversions'!$A$34:$A$73,0))))</f>
        <v/>
      </c>
      <c r="FZ172" s="10" t="s">
        <v>42</v>
      </c>
      <c r="GA172" s="7"/>
      <c r="GB172" s="7"/>
      <c r="GC172" s="31" t="str">
        <f>IF(GB172/(INDEX('Standards for Conversions'!$H$34:$H$73,MATCH(GA$3,'Standards for Conversions'!$A$34:$A$73,0)))=0,"",GB172/(INDEX('Standards for Conversions'!$H$34:$H$73,MATCH(GA$3,'Standards for Conversions'!$A$34:$A$73,0))))</f>
        <v/>
      </c>
      <c r="GE172" s="9"/>
      <c r="GF172" s="9"/>
      <c r="GG172" s="31" t="str">
        <f>IF(GF172/(INDEX('Standards for Conversions'!$H$34:$H$73,MATCH(GE$3,'Standards for Conversions'!$A$34:$A$73,0)))=0,"",GF172/(INDEX('Standards for Conversions'!$H$34:$H$73,MATCH(GE$3,'Standards for Conversions'!$A$34:$A$73,0))))</f>
        <v/>
      </c>
      <c r="GI172" s="7"/>
      <c r="GJ172" s="7"/>
      <c r="GK172" s="31" t="str">
        <f>IF(GJ172/(INDEX('Standards for Conversions'!$H$34:$H$73,MATCH(GI$3,'Standards for Conversions'!$A$34:$A$73,0)))=0,"",GJ172/(INDEX('Standards for Conversions'!$H$34:$H$73,MATCH(GI$3,'Standards for Conversions'!$A$34:$A$73,0))))</f>
        <v/>
      </c>
      <c r="GL172" s="10" t="s">
        <v>42</v>
      </c>
      <c r="GM172" s="7"/>
      <c r="GN172" s="7"/>
      <c r="GO172" s="31" t="str">
        <f>IF(GN172/(INDEX('Standards for Conversions'!$H$34:$H$73,MATCH(GM$3,'Standards for Conversions'!$A$34:$A$73,0)))=0,"",GN172/(INDEX('Standards for Conversions'!$H$34:$H$73,MATCH(GM$3,'Standards for Conversions'!$A$34:$A$73,0))))</f>
        <v/>
      </c>
      <c r="GP172" s="10" t="s">
        <v>42</v>
      </c>
      <c r="GQ172" s="7"/>
      <c r="GR172" s="7"/>
      <c r="GS172" s="31" t="str">
        <f>IF(GR172/(INDEX('Standards for Conversions'!$H$34:$H$73,MATCH(GQ$3,'Standards for Conversions'!$A$34:$A$73,0)))=0,"",GR172/(INDEX('Standards for Conversions'!$H$34:$H$73,MATCH(GQ$3,'Standards for Conversions'!$A$34:$A$73,0))))</f>
        <v/>
      </c>
      <c r="GU172" s="9"/>
      <c r="GV172" s="9"/>
      <c r="GW172" s="31" t="str">
        <f>IF(GV172/(INDEX('Standards for Conversions'!$H$34:$H$73,MATCH(GU$3,'Standards for Conversions'!$A$34:$A$73,0)))=0,"",GV172/(INDEX('Standards for Conversions'!$H$34:$H$73,MATCH(GU$3,'Standards for Conversions'!$A$34:$A$73,0))))</f>
        <v/>
      </c>
      <c r="GY172" s="7"/>
      <c r="GZ172" s="7"/>
      <c r="HA172" s="31" t="str">
        <f>IF(GZ172/(INDEX('Standards for Conversions'!$H$34:$H$73,MATCH(GY$3,'Standards for Conversions'!$A$34:$A$73,0)))=0,"",GZ172/(INDEX('Standards for Conversions'!$H$34:$H$73,MATCH(GY$3,'Standards for Conversions'!$A$34:$A$73,0))))</f>
        <v/>
      </c>
      <c r="HB172" s="10" t="s">
        <v>42</v>
      </c>
      <c r="HC172" s="7"/>
      <c r="HD172" s="7"/>
      <c r="HE172" s="31" t="str">
        <f>IF(HD172/(INDEX('Standards for Conversions'!$H$34:$H$73,MATCH(HC$3,'Standards for Conversions'!$A$34:$A$73,0)))=0,"",HD172/(INDEX('Standards for Conversions'!$H$34:$H$73,MATCH(HC$3,'Standards for Conversions'!$A$34:$A$73,0))))</f>
        <v/>
      </c>
      <c r="HF172" s="10" t="s">
        <v>42</v>
      </c>
      <c r="HG172" s="7"/>
      <c r="HH172" s="7"/>
      <c r="HI172" s="31" t="str">
        <f>IF(HH172/(INDEX('Standards for Conversions'!$H$34:$H$73,MATCH(HG$3,'Standards for Conversions'!$A$34:$A$73,0)))=0,"",HH172/(INDEX('Standards for Conversions'!$H$34:$H$73,MATCH(HG$3,'Standards for Conversions'!$A$34:$A$73,0))))</f>
        <v/>
      </c>
      <c r="HK172" s="9"/>
      <c r="HL172" s="9"/>
      <c r="HM172" s="31" t="str">
        <f>IF(HL172/(INDEX('Standards for Conversions'!$H$34:$H$73,MATCH(HK$3,'Standards for Conversions'!$A$34:$A$73,0)))=0,"",HL172/(INDEX('Standards for Conversions'!$H$34:$H$73,MATCH(HK$3,'Standards for Conversions'!$A$34:$A$73,0))))</f>
        <v/>
      </c>
      <c r="HO172" s="7"/>
      <c r="HP172" s="7"/>
      <c r="HQ172" s="31" t="str">
        <f>IF(HP172/(INDEX('Standards for Conversions'!$H$34:$H$73,MATCH(HO$3,'Standards for Conversions'!$A$34:$A$73,0)))=0,"",HP172/(INDEX('Standards for Conversions'!$H$34:$H$73,MATCH(HO$3,'Standards for Conversions'!$A$34:$A$73,0))))</f>
        <v/>
      </c>
      <c r="HR172" s="33" t="s">
        <v>42</v>
      </c>
      <c r="HU172" s="31" t="str">
        <f>IF(HT172/(INDEX('Standards for Conversions'!$H$47:$H$73,MATCH(HS$3,'Standards for Conversions'!$A$47:$A$73,0)))=0,"",HT172/(INDEX('Standards for Conversions'!$H$47:$H$73,MATCH(HS$3,'Standards for Conversions'!$A$47:$A$73,0))))</f>
        <v/>
      </c>
      <c r="HV172" s="48" t="s">
        <v>42</v>
      </c>
      <c r="HW172" s="29">
        <v>10</v>
      </c>
      <c r="HX172" s="29">
        <v>80</v>
      </c>
      <c r="HY172" s="31">
        <f>IF(HX172/(INDEX('Standards for Conversions'!$H$47:$H$73,MATCH(HW$3,'Standards for Conversions'!$A$47:$A$73,0)))=0,"",HX172/(INDEX('Standards for Conversions'!$H$47:$H$73,MATCH(HW$3,'Standards for Conversions'!$A$47:$A$73,0))))</f>
        <v>11.619632977028477</v>
      </c>
      <c r="HZ172" s="33"/>
      <c r="IA172" s="33"/>
      <c r="IB172" s="31" t="str">
        <f>IF(IA172/(INDEX('Standards for Conversions'!$H$47:$H$73,MATCH(HZ$3,'Standards for Conversions'!$A$47:$A$73,0)))=0,"",IA172/(INDEX('Standards for Conversions'!$H$47:$H$73,MATCH(HZ$3,'Standards for Conversions'!$A$47:$A$73,0))))</f>
        <v/>
      </c>
      <c r="IF172" s="31" t="str">
        <f>IF(IE172/(INDEX('Standards for Conversions'!$H$47:$H$73,MATCH(ID$3,'Standards for Conversions'!$A$47:$A$73,0)))=0,"",IE172/(INDEX('Standards for Conversions'!$H$47:$H$73,MATCH(ID$3,'Standards for Conversions'!$A$47:$A$73,0))))</f>
        <v/>
      </c>
      <c r="IJ172" s="31" t="str">
        <f>IF(II172/(INDEX('Standards for Conversions'!$H$47:$H$73,MATCH(IH$3,'Standards for Conversions'!$A$47:$A$73,0)))=0,"",II172/(INDEX('Standards for Conversions'!$H$47:$H$73,MATCH(IH$3,'Standards for Conversions'!$A$47:$A$73,0))))</f>
        <v/>
      </c>
      <c r="IN172" s="31" t="str">
        <f>IF(IM172/(INDEX('Standards for Conversions'!$H$47:$H$73,MATCH(IL$3,'Standards for Conversions'!$A$47:$A$73,0)))=0,"",IM172/(INDEX('Standards for Conversions'!$H$47:$H$73,MATCH(IL$3,'Standards for Conversions'!$A$47:$A$73,0))))</f>
        <v/>
      </c>
      <c r="IR172" s="31" t="str">
        <f>IF(IQ172/(INDEX('Standards for Conversions'!$H$47:$H$73,MATCH(IP$3,'Standards for Conversions'!$A$47:$A$73,0)))=0,"",IQ172/(INDEX('Standards for Conversions'!$H$47:$H$73,MATCH(IP$3,'Standards for Conversions'!$A$47:$A$73,0))))</f>
        <v/>
      </c>
      <c r="IV172" s="31" t="str">
        <f>IF(IU172/(INDEX('Standards for Conversions'!$H$47:$H$73,MATCH(IT$3,'Standards for Conversions'!$A$47:$A$73,0)))=0,"",IU172/(INDEX('Standards for Conversions'!$H$47:$H$73,MATCH(IT$3,'Standards for Conversions'!$A$47:$A$73,0))))</f>
        <v/>
      </c>
      <c r="IZ172" s="31" t="str">
        <f>IF(IY172/(INDEX('Standards for Conversions'!$H$47:$H$73,MATCH(IX$3,'Standards for Conversions'!$A$47:$A$73,0)))=0,"",IY172/(INDEX('Standards for Conversions'!$H$47:$H$73,MATCH(IX$3,'Standards for Conversions'!$A$47:$A$73,0))))</f>
        <v/>
      </c>
      <c r="JA172" s="48"/>
      <c r="JD172" s="31" t="str">
        <f>IF(JC172/(INDEX('Standards for Conversions'!$H$47:$H$73,MATCH(JB$3,'Standards for Conversions'!$A$47:$A$73,0)))=0,"",JC172/(INDEX('Standards for Conversions'!$H$47:$H$73,MATCH(JB$3,'Standards for Conversions'!$A$47:$A$73,0))))</f>
        <v/>
      </c>
      <c r="JE172" s="33"/>
      <c r="JH172" s="31" t="str">
        <f>IF(JG172/(INDEX('Standards for Conversions'!$H$47:$H$73,MATCH(JF$3,'Standards for Conversions'!$A$47:$A$73,0)))=0,"",JG172/(INDEX('Standards for Conversions'!$H$47:$H$73,MATCH(JF$3,'Standards for Conversions'!$A$47:$A$73,0))))</f>
        <v/>
      </c>
      <c r="JI172" s="33"/>
      <c r="JL172" s="31" t="str">
        <f>IF(JK172/(INDEX('Standards for Conversions'!$H$47:$H$73,MATCH(JJ$3,'Standards for Conversions'!$A$47:$A$73,0)))=0,"",JK172/(INDEX('Standards for Conversions'!$H$47:$H$73,MATCH(JJ$3,'Standards for Conversions'!$A$47:$A$73,0))))</f>
        <v/>
      </c>
      <c r="JM172" s="33" t="s">
        <v>92</v>
      </c>
      <c r="JP172" s="31" t="str">
        <f>IF(JO172/(INDEX('Standards for Conversions'!$H$47:$H$73,MATCH(JN$3,'Standards for Conversions'!$A$47:$A$73,0)))=0,"",JO172/(INDEX('Standards for Conversions'!$H$47:$H$73,MATCH(JN$3,'Standards for Conversions'!$A$47:$A$73,0))))</f>
        <v/>
      </c>
      <c r="JQ172" s="33" t="s">
        <v>92</v>
      </c>
      <c r="JT172" s="31" t="str">
        <f>IF(JS172/(INDEX('Standards for Conversions'!$H$47:$H$73,MATCH(JR$3,'Standards for Conversions'!$A$47:$A$73,0)))=0,"",JS172/(INDEX('Standards for Conversions'!$H$47:$H$73,MATCH(JR$3,'Standards for Conversions'!$A$47:$A$73,0))))</f>
        <v/>
      </c>
      <c r="JU172" s="33" t="s">
        <v>92</v>
      </c>
      <c r="JX172" s="31" t="str">
        <f>IF(JW172/(INDEX('Standards for Conversions'!$H$47:$H$73,MATCH(JV$3,'Standards for Conversions'!$A$47:$A$73,0)))=0,"",JW172/(INDEX('Standards for Conversions'!$H$47:$H$73,MATCH(JV$3,'Standards for Conversions'!$A$47:$A$73,0))))</f>
        <v/>
      </c>
      <c r="JY172" s="33" t="s">
        <v>92</v>
      </c>
      <c r="KB172" s="31" t="str">
        <f>IF(KA172/(INDEX('Standards for Conversions'!$H$47:$H$73,MATCH(JZ$3,'Standards for Conversions'!$A$47:$A$73,0)))=0,"",KA172/(INDEX('Standards for Conversions'!$H$47:$H$73,MATCH(JZ$3,'Standards for Conversions'!$A$47:$A$73,0))))</f>
        <v/>
      </c>
      <c r="KC172" s="33" t="s">
        <v>92</v>
      </c>
      <c r="KF172" s="31" t="str">
        <f>IF(KE172/(INDEX('Standards for Conversions'!$H$47:$H$73,MATCH(KD$3,'Standards for Conversions'!$A$47:$A$73,0)))=0,"",KE172/(INDEX('Standards for Conversions'!$H$47:$H$73,MATCH(KD$3,'Standards for Conversions'!$A$47:$A$73,0))))</f>
        <v/>
      </c>
      <c r="KG172" s="33" t="s">
        <v>92</v>
      </c>
      <c r="KJ172" s="31" t="str">
        <f>IF(KI172/(INDEX('Standards for Conversions'!$H$47:$H$73,MATCH(KH$3,'Standards for Conversions'!$A$47:$A$73,0)))=0,"",KI172/(INDEX('Standards for Conversions'!$H$47:$H$73,MATCH(KH$3,'Standards for Conversions'!$A$47:$A$73,0))))</f>
        <v/>
      </c>
      <c r="KK172" s="33" t="s">
        <v>92</v>
      </c>
      <c r="KN172" s="31" t="str">
        <f>IF(KM172/(INDEX('Standards for Conversions'!$H$47:$H$73,MATCH(KL$3,'Standards for Conversions'!$A$47:$A$73,0)))=0,"",KM172/(INDEX('Standards for Conversions'!$H$47:$H$73,MATCH(KL$3,'Standards for Conversions'!$A$47:$A$73,0))))</f>
        <v/>
      </c>
      <c r="KO172" s="33" t="s">
        <v>92</v>
      </c>
      <c r="KR172" s="31" t="str">
        <f>IF(KQ172/(INDEX('Standards for Conversions'!$H$47:$H$73,MATCH(KP$3,'Standards for Conversions'!$A$47:$A$73,0)))=0,"",KQ172/(INDEX('Standards for Conversions'!$H$47:$H$73,MATCH(KP$3,'Standards for Conversions'!$A$47:$A$73,0))))</f>
        <v/>
      </c>
      <c r="KS172" s="33" t="s">
        <v>92</v>
      </c>
      <c r="KV172" s="31" t="str">
        <f>IF(KU172/(INDEX('Standards for Conversions'!$H$47:$H$73,MATCH(KT$3,'Standards for Conversions'!$A$47:$A$73,0)))=0,"",KU172/(INDEX('Standards for Conversions'!$H$47:$H$73,MATCH(KT$3,'Standards for Conversions'!$A$47:$A$73,0))))</f>
        <v/>
      </c>
      <c r="KW172" s="48" t="s">
        <v>92</v>
      </c>
      <c r="KX172" s="29">
        <v>2</v>
      </c>
      <c r="KY172" s="29">
        <v>50</v>
      </c>
      <c r="KZ172" s="31">
        <f>IF(KY172/(INDEX('Standards for Conversions'!$H$47:$H$73,MATCH(KX$3,'Standards for Conversions'!$A$47:$A$73,0)))=0,"",KY172/(INDEX('Standards for Conversions'!$H$47:$H$73,MATCH(KX$3,'Standards for Conversions'!$A$47:$A$73,0))))</f>
        <v>6.0808283363749593</v>
      </c>
      <c r="LD172" s="31" t="str">
        <f>IF(LC172/(INDEX('Standards for Conversions'!$H$47:$H$73,MATCH(LB$3,'Standards for Conversions'!$A$47:$A$73,0)))=0,"",LC172/(INDEX('Standards for Conversions'!$H$47:$H$73,MATCH(LB$3,'Standards for Conversions'!$A$47:$A$73,0))))</f>
        <v/>
      </c>
      <c r="LE172" s="33"/>
      <c r="LH172" s="31" t="str">
        <f>IF(LG172/(INDEX('Standards for Conversions'!$H$47:$H$73,MATCH(LF$3,'Standards for Conversions'!$A$47:$A$73,0)))=0,"",LG172/(INDEX('Standards for Conversions'!$H$47:$H$73,MATCH(LF$3,'Standards for Conversions'!$A$47:$A$73,0))))</f>
        <v/>
      </c>
      <c r="LL172" s="31" t="str">
        <f>IF(LK172/(INDEX('Standards for Conversions'!$H$47:$H$73,MATCH(LJ$3,'Standards for Conversions'!$A$47:$A$73,0)))=0,"",LK172/(INDEX('Standards for Conversions'!$H$47:$H$73,MATCH(LJ$3,'Standards for Conversions'!$A$47:$A$73,0))))</f>
        <v/>
      </c>
      <c r="LO172" s="31" t="str">
        <f>IF(LN172/(INDEX('Standards for Conversions'!$H$47:$H$73,MATCH(LM$3,'Standards for Conversions'!$A$47:$A$73,0)))=0,"",LN172/(INDEX('Standards for Conversions'!$H$47:$H$73,MATCH(LM$3,'Standards for Conversions'!$A$47:$A$73,0))))</f>
        <v/>
      </c>
      <c r="LR172" s="31" t="str">
        <f>IF(LQ172/(INDEX('Standards for Conversions'!$H$47:$H$73,MATCH(LP$3,'Standards for Conversions'!$A$47:$A$73,0)))=0,"",LQ172/(INDEX('Standards for Conversions'!$H$47:$H$73,MATCH(LP$3,'Standards for Conversions'!$A$47:$A$73,0))))</f>
        <v/>
      </c>
      <c r="LV172" s="31" t="str">
        <f>IF(LU172/(INDEX('Standards for Conversions'!$H$47:$H$73,MATCH(LT$3,'Standards for Conversions'!$A$47:$A$73,0)))=0,"",LU172/(INDEX('Standards for Conversions'!$H$47:$H$73,MATCH(LT$3,'Standards for Conversions'!$A$47:$A$73,0))))</f>
        <v/>
      </c>
      <c r="LY172" s="31" t="str">
        <f>IF(LX172/(INDEX('Standards for Conversions'!$H$47:$H$73,MATCH(LW$3,'Standards for Conversions'!$A$47:$A$73,0)))=0,"",LX172/(INDEX('Standards for Conversions'!$H$47:$H$73,MATCH(LW$3,'Standards for Conversions'!$A$47:$A$73,0))))</f>
        <v/>
      </c>
      <c r="MB172" s="31" t="str">
        <f>IF(MA172/(INDEX('Standards for Conversions'!$H$47:$H$73,MATCH(LZ$3,'Standards for Conversions'!$A$47:$A$73,0)))=0,"",MA172/(INDEX('Standards for Conversions'!$H$47:$H$73,MATCH(LZ$3,'Standards for Conversions'!$A$47:$A$73,0))))</f>
        <v/>
      </c>
      <c r="ME172" s="31" t="str">
        <f>IF(MD172/(INDEX('Standards for Conversions'!$H$47:$H$73,MATCH(MC$3,'Standards for Conversions'!$A$47:$A$73,0)))=0,"",MD172/(INDEX('Standards for Conversions'!$H$47:$H$73,MATCH(MC$3,'Standards for Conversions'!$A$47:$A$73,0))))</f>
        <v/>
      </c>
      <c r="MH172" s="31" t="str">
        <f>IF(MG172/(INDEX('Standards for Conversions'!$H$47:$H$73,MATCH(MF$3,'Standards for Conversions'!$A$47:$A$73,0)))=0,"",MG172/(INDEX('Standards for Conversions'!$H$47:$H$73,MATCH(MF$3,'Standards for Conversions'!$A$47:$A$73,0))))</f>
        <v/>
      </c>
      <c r="MK172" s="31" t="str">
        <f>IF(MJ172/(INDEX('Standards for Conversions'!$H$47:$H$73,MATCH(MI$3,'Standards for Conversions'!$A$47:$A$73,0)))=0,"",MJ172/(INDEX('Standards for Conversions'!$H$47:$H$73,MATCH(MI$3,'Standards for Conversions'!$A$47:$A$73,0))))</f>
        <v/>
      </c>
      <c r="MN172" s="31" t="str">
        <f>IF(MM172/(INDEX('Standards for Conversions'!$H$47:$H$73,MATCH(ML$3,'Standards for Conversions'!$A$47:$A$73,0)))=0,"",MM172/(INDEX('Standards for Conversions'!$H$47:$H$73,MATCH(ML$3,'Standards for Conversions'!$A$47:$A$73,0))))</f>
        <v/>
      </c>
      <c r="MR172" s="31" t="str">
        <f>IF(MQ172/(INDEX('Standards for Conversions'!$H$47:$H$73,MATCH(MP$3,'Standards for Conversions'!$A$47:$A$73,0)))=0,"",MQ172/(INDEX('Standards for Conversions'!$H$47:$H$73,MATCH(MP$3,'Standards for Conversions'!$A$47:$A$73,0))))</f>
        <v/>
      </c>
    </row>
    <row r="173" spans="1:373" x14ac:dyDescent="0.3">
      <c r="A173" s="50" t="s">
        <v>61</v>
      </c>
      <c r="C173" s="7"/>
      <c r="D173" s="7">
        <v>24200</v>
      </c>
      <c r="E173" s="31">
        <f>IF(D173/(INDEX('Standards for Conversions'!$H$34:$H$73,MATCH(C$3,'Standards for Conversions'!$A$34:$A$73,0)))=0,"",D173/(INDEX('Standards for Conversions'!$H$34:$H$73,MATCH(C$3,'Standards for Conversions'!$A$34:$A$73,0))))</f>
        <v>4780.5219594594591</v>
      </c>
      <c r="G173" s="7"/>
      <c r="H173" s="7">
        <v>48800</v>
      </c>
      <c r="I173" s="31">
        <f>IF(H173/(INDEX('Standards for Conversions'!$H$34:$H$73,MATCH(G$3,'Standards for Conversions'!$A$34:$A$73,0)))=0,"",H173/(INDEX('Standards for Conversions'!$H$34:$H$73,MATCH(G$3,'Standards for Conversions'!$A$34:$A$73,0))))</f>
        <v>9640.0608108108099</v>
      </c>
      <c r="K173" s="7"/>
      <c r="L173" s="7">
        <v>451320</v>
      </c>
      <c r="M173" s="31">
        <f>IF(L173/(INDEX('Standards for Conversions'!$H$34:$H$73,MATCH(K$3,'Standards for Conversions'!$A$34:$A$73,0)))=0,"",L173/(INDEX('Standards for Conversions'!$H$34:$H$73,MATCH(K$3,'Standards for Conversions'!$A$34:$A$73,0))))</f>
        <v>89154.75912162161</v>
      </c>
      <c r="O173" s="7"/>
      <c r="P173" s="7">
        <v>936195</v>
      </c>
      <c r="Q173" s="31">
        <f>IF(P173/(INDEX('Standards for Conversions'!$H$34:$H$73,MATCH(O$3,'Standards for Conversions'!$A$34:$A$73,0)))=0,"",P173/(INDEX('Standards for Conversions'!$H$34:$H$73,MATCH(O$3,'Standards for Conversions'!$A$34:$A$73,0))))</f>
        <v>184938.0477618243</v>
      </c>
      <c r="S173" s="7"/>
      <c r="T173" s="7">
        <f>7300+4140</f>
        <v>11440</v>
      </c>
      <c r="U173" s="31">
        <f>IF(T173/(INDEX('Standards for Conversions'!$H$34:$H$73,MATCH(S$3,'Standards for Conversions'!$A$34:$A$73,0)))=0,"",T173/(INDEX('Standards for Conversions'!$H$34:$H$73,MATCH(S$3,'Standards for Conversions'!$A$34:$A$73,0))))</f>
        <v>2204.173235132238</v>
      </c>
      <c r="W173" s="7"/>
      <c r="X173" s="7">
        <v>61700</v>
      </c>
      <c r="Y173" s="31">
        <f>IF(X173/(INDEX('Standards for Conversions'!$H$34:$H$73,MATCH(W$3,'Standards for Conversions'!$A$34:$A$73,0)))=0,"",X173/(INDEX('Standards for Conversions'!$H$34:$H$73,MATCH(W$3,'Standards for Conversions'!$A$34:$A$73,0))))</f>
        <v>11887.892360809361</v>
      </c>
      <c r="AA173" s="7"/>
      <c r="AB173" s="7">
        <v>478750</v>
      </c>
      <c r="AC173" s="31">
        <f>IF(AB173/(INDEX('Standards for Conversions'!$H$34:$H$73,MATCH(AA$3,'Standards for Conversions'!$A$34:$A$73,0)))=0,"",AB173/(INDEX('Standards for Conversions'!$H$34:$H$73,MATCH(AA$3,'Standards for Conversions'!$A$34:$A$73,0))))</f>
        <v>92241.95247548593</v>
      </c>
      <c r="AE173" s="7"/>
      <c r="AF173" s="7">
        <v>1124390</v>
      </c>
      <c r="AG173" s="31">
        <f>IF(AF173/(INDEX('Standards for Conversions'!$H$34:$H$73,MATCH(AE$3,'Standards for Conversions'!$A$34:$A$73,0)))=0,"",AF173/(INDEX('Standards for Conversions'!$H$34:$H$73,MATCH(AE$3,'Standards for Conversions'!$A$34:$A$73,0))))</f>
        <v>216639.01607083366</v>
      </c>
      <c r="AI173" s="7"/>
      <c r="AJ173" s="7">
        <f>14000+1890</f>
        <v>15890</v>
      </c>
      <c r="AK173" s="31">
        <f>IF(AJ173/(INDEX('Standards for Conversions'!$H$34:$H$73,MATCH(AI$3,'Standards for Conversions'!$A$34:$A$73,0)))=0,"",AJ173/(INDEX('Standards for Conversions'!$H$34:$H$73,MATCH(AI$3,'Standards for Conversions'!$A$34:$A$73,0))))</f>
        <v>2839.5181668404734</v>
      </c>
      <c r="AM173" s="7"/>
      <c r="AN173" s="7">
        <v>107340</v>
      </c>
      <c r="AO173" s="31">
        <f>IF(AN173/(INDEX('Standards for Conversions'!$H$34:$H$73,MATCH(AM$3,'Standards for Conversions'!$A$34:$A$73,0)))=0,"",AN173/(INDEX('Standards for Conversions'!$H$34:$H$73,MATCH(AM$3,'Standards for Conversions'!$A$34:$A$73,0))))</f>
        <v>19181.490247240807</v>
      </c>
      <c r="AQ173" s="7"/>
      <c r="AR173" s="7">
        <v>325950</v>
      </c>
      <c r="AS173" s="31">
        <f>IF(AR173/(INDEX('Standards for Conversions'!$H$34:$H$73,MATCH(AQ$3,'Standards for Conversions'!$A$34:$A$73,0)))=0,"",AR173/(INDEX('Standards for Conversions'!$H$34:$H$73,MATCH(AQ$3,'Standards for Conversions'!$A$34:$A$73,0))))</f>
        <v>58246.755599852258</v>
      </c>
      <c r="AU173" s="7"/>
      <c r="AV173" s="7">
        <v>864630</v>
      </c>
      <c r="AW173" s="31">
        <f>IF(AV173/(INDEX('Standards for Conversions'!$H$34:$H$73,MATCH(AU$3,'Standards for Conversions'!$A$34:$A$73,0)))=0,"",AV173/(INDEX('Standards for Conversions'!$H$34:$H$73,MATCH(AU$3,'Standards for Conversions'!$A$34:$A$73,0))))</f>
        <v>154508.02974167897</v>
      </c>
      <c r="AY173" s="7"/>
      <c r="AZ173" s="7"/>
      <c r="BA173" s="31" t="str">
        <f>IF(AZ173/(INDEX('Standards for Conversions'!$H$34:$H$73,MATCH(AY$3,'Standards for Conversions'!$A$34:$A$73,0)))=0,"",AZ173/(INDEX('Standards for Conversions'!$H$34:$H$73,MATCH(AY$3,'Standards for Conversions'!$A$34:$A$73,0))))</f>
        <v/>
      </c>
      <c r="BC173" s="7"/>
      <c r="BD173" s="7">
        <v>152050</v>
      </c>
      <c r="BE173" s="31">
        <f>IF(BD173/(INDEX('Standards for Conversions'!$H$34:$H$73,MATCH(BC$3,'Standards for Conversions'!$A$34:$A$73,0)))=0,"",BD173/(INDEX('Standards for Conversions'!$H$34:$H$73,MATCH(BC$3,'Standards for Conversions'!$A$34:$A$73,0))))</f>
        <v>28233.474403714405</v>
      </c>
      <c r="BG173" s="7"/>
      <c r="BH173" s="7">
        <v>505650</v>
      </c>
      <c r="BI173" s="31">
        <f>IF(BH173/(INDEX('Standards for Conversions'!$H$34:$H$73,MATCH(BG$3,'Standards for Conversions'!$A$34:$A$73,0)))=0,"",BH173/(INDEX('Standards for Conversions'!$H$34:$H$73,MATCH(BG$3,'Standards for Conversions'!$A$34:$A$73,0))))</f>
        <v>93891.853549741456</v>
      </c>
      <c r="BK173" s="7"/>
      <c r="BL173" s="7">
        <v>1030800</v>
      </c>
      <c r="BM173" s="31">
        <f>IF(BL173/(INDEX('Standards for Conversions'!$H$34:$H$73,MATCH(BK$3,'Standards for Conversions'!$A$34:$A$73,0)))=0,"",BL173/(INDEX('Standards for Conversions'!$H$34:$H$73,MATCH(BK$3,'Standards for Conversions'!$A$34:$A$73,0))))</f>
        <v>191404.57359650647</v>
      </c>
      <c r="BO173" s="7"/>
      <c r="BP173" s="7">
        <f>5000+8450</f>
        <v>13450</v>
      </c>
      <c r="BQ173" s="31">
        <f>IF(BP173/(INDEX('Standards for Conversions'!$H$34:$H$73,MATCH(BO$3,'Standards for Conversions'!$A$34:$A$73,0)))=0,"",BP173/(INDEX('Standards for Conversions'!$H$34:$H$73,MATCH(BO$3,'Standards for Conversions'!$A$34:$A$73,0))))</f>
        <v>2394.9507550657568</v>
      </c>
      <c r="BS173" s="7"/>
      <c r="BT173" s="7">
        <v>104240</v>
      </c>
      <c r="BU173" s="31">
        <f>IF(BT173/(INDEX('Standards for Conversions'!$H$34:$H$73,MATCH(BS$3,'Standards for Conversions'!$A$34:$A$73,0)))=0,"",BT173/(INDEX('Standards for Conversions'!$H$34:$H$73,MATCH(BS$3,'Standards for Conversions'!$A$34:$A$73,0))))</f>
        <v>18561.313509892527</v>
      </c>
      <c r="BW173" s="7"/>
      <c r="BX173" s="7">
        <v>189070</v>
      </c>
      <c r="BY173" s="31">
        <f>IF(BX173/(INDEX('Standards for Conversions'!$H$34:$H$73,MATCH(BW$3,'Standards for Conversions'!$A$34:$A$73,0)))=0,"",BX173/(INDEX('Standards for Conversions'!$H$34:$H$73,MATCH(BW$3,'Standards for Conversions'!$A$34:$A$73,0))))</f>
        <v>33666.419275857443</v>
      </c>
      <c r="CA173" s="7"/>
      <c r="CB173" s="7">
        <v>914575</v>
      </c>
      <c r="CC173" s="31">
        <f>IF(CB173/(INDEX('Standards for Conversions'!$H$34:$H$73,MATCH(CA$3,'Standards for Conversions'!$A$34:$A$73,0)))=0,"",CB173/(INDEX('Standards for Conversions'!$H$34:$H$73,MATCH(CA$3,'Standards for Conversions'!$A$34:$A$73,0))))</f>
        <v>162852.19976314233</v>
      </c>
      <c r="CE173" s="7"/>
      <c r="CF173" s="7">
        <f>18100+8350</f>
        <v>26450</v>
      </c>
      <c r="CG173" s="31">
        <f>IF(CF173/(INDEX('Standards for Conversions'!$H$34:$H$73,MATCH(CE$3,'Standards for Conversions'!$A$34:$A$73,0)))=0,"",CF173/(INDEX('Standards for Conversions'!$H$34:$H$73,MATCH(CE$3,'Standards for Conversions'!$A$34:$A$73,0))))</f>
        <v>4592.1687251962576</v>
      </c>
      <c r="CI173" s="7"/>
      <c r="CJ173" s="7">
        <v>148640</v>
      </c>
      <c r="CK173" s="31">
        <f>IF(CJ173/(INDEX('Standards for Conversions'!$H$34:$H$73,MATCH(CI$3,'Standards for Conversions'!$A$34:$A$73,0)))=0,"",CJ173/(INDEX('Standards for Conversions'!$H$34:$H$73,MATCH(CI$3,'Standards for Conversions'!$A$34:$A$73,0))))</f>
        <v>25806.425682917645</v>
      </c>
      <c r="CM173" s="7"/>
      <c r="CN173" s="7">
        <v>301610</v>
      </c>
      <c r="CO173" s="31">
        <f>IF(CN173/(INDEX('Standards for Conversions'!$H$34:$H$73,MATCH(CM$3,'Standards for Conversions'!$A$34:$A$73,0)))=0,"",CN173/(INDEX('Standards for Conversions'!$H$34:$H$73,MATCH(CM$3,'Standards for Conversions'!$A$34:$A$73,0))))</f>
        <v>52364.612824440192</v>
      </c>
      <c r="CQ173" s="7"/>
      <c r="CR173" s="7">
        <v>1222940</v>
      </c>
      <c r="CS173" s="31">
        <f>IF(CR173/(INDEX('Standards for Conversions'!$H$34:$H$73,MATCH(CQ$3,'Standards for Conversions'!$A$34:$A$73,0)))=0,"",CR173/(INDEX('Standards for Conversions'!$H$34:$H$73,MATCH(CQ$3,'Standards for Conversions'!$A$34:$A$73,0))))</f>
        <v>212323.13122085106</v>
      </c>
      <c r="CU173" s="7"/>
      <c r="CV173" s="7">
        <v>9850</v>
      </c>
      <c r="CW173" s="31">
        <f>IF(CV173/(INDEX('Standards for Conversions'!$H$34:$H$73,MATCH(CU$3,'Standards for Conversions'!$A$34:$A$73,0)))=0,"",CV173/(INDEX('Standards for Conversions'!$H$34:$H$73,MATCH(CU$3,'Standards for Conversions'!$A$34:$A$73,0))))</f>
        <v>1743.4954393702385</v>
      </c>
      <c r="CY173" s="7"/>
      <c r="CZ173" s="7">
        <v>148640</v>
      </c>
      <c r="DA173" s="31">
        <f>IF(CZ173/(INDEX('Standards for Conversions'!$H$34:$H$73,MATCH(CY$3,'Standards for Conversions'!$A$34:$A$73,0)))=0,"",CZ173/(INDEX('Standards for Conversions'!$H$34:$H$73,MATCH(CY$3,'Standards for Conversions'!$A$34:$A$73,0))))</f>
        <v>26309.965696242867</v>
      </c>
      <c r="DC173" s="7"/>
      <c r="DD173" s="7">
        <v>208645</v>
      </c>
      <c r="DE173" s="31">
        <f>IF(DD173/(INDEX('Standards for Conversions'!$H$34:$H$73,MATCH(DC$3,'Standards for Conversions'!$A$34:$A$73,0)))=0,"",DD173/(INDEX('Standards for Conversions'!$H$34:$H$73,MATCH(DC$3,'Standards for Conversions'!$A$34:$A$73,0))))</f>
        <v>36931.127507350597</v>
      </c>
      <c r="DG173" s="7"/>
      <c r="DH173" s="7">
        <v>1285237</v>
      </c>
      <c r="DI173" s="31">
        <f>IF(DH173/(INDEX('Standards for Conversions'!$H$34:$H$73,MATCH(DG$3,'Standards for Conversions'!$A$34:$A$73,0)))=0,"",DH173/(INDEX('Standards for Conversions'!$H$34:$H$73,MATCH(DG$3,'Standards for Conversions'!$A$34:$A$73,0))))</f>
        <v>227492.87797054692</v>
      </c>
      <c r="DK173" s="7"/>
      <c r="DL173" s="7">
        <v>13150</v>
      </c>
      <c r="DM173" s="31">
        <f>IF(DL173/(INDEX('Standards for Conversions'!$H$34:$H$73,MATCH(DK$3,'Standards for Conversions'!$A$34:$A$73,0)))=0,"",DL173/(INDEX('Standards for Conversions'!$H$34:$H$73,MATCH(DK$3,'Standards for Conversions'!$A$34:$A$73,0))))</f>
        <v>2302.5526531857417</v>
      </c>
      <c r="DO173" s="7"/>
      <c r="DP173" s="7">
        <v>144920</v>
      </c>
      <c r="DQ173" s="31">
        <f>IF(DP173/(INDEX('Standards for Conversions'!$H$34:$H$73,MATCH(DO$3,'Standards for Conversions'!$A$34:$A$73,0)))=0,"",DP173/(INDEX('Standards for Conversions'!$H$34:$H$73,MATCH(DO$3,'Standards for Conversions'!$A$34:$A$73,0))))</f>
        <v>25375.355931534428</v>
      </c>
      <c r="DS173" s="7"/>
      <c r="DT173" s="7">
        <v>350845</v>
      </c>
      <c r="DU173" s="31">
        <f>IF(DT173/(INDEX('Standards for Conversions'!$H$34:$H$73,MATCH(DS$3,'Standards for Conversions'!$A$34:$A$73,0)))=0,"",DT173/(INDEX('Standards for Conversions'!$H$34:$H$73,MATCH(DS$3,'Standards for Conversions'!$A$34:$A$73,0))))</f>
        <v>61432.630084178832</v>
      </c>
      <c r="DW173" s="7"/>
      <c r="DX173" s="7">
        <v>1175090</v>
      </c>
      <c r="DY173" s="31">
        <f>IF(DX173/(INDEX('Standards for Conversions'!$H$34:$H$73,MATCH(DW$3,'Standards for Conversions'!$A$34:$A$73,0)))=0,"",DX173/(INDEX('Standards for Conversions'!$H$34:$H$73,MATCH(DW$3,'Standards for Conversions'!$A$34:$A$73,0))))</f>
        <v>205757.15568304437</v>
      </c>
      <c r="EA173" s="7"/>
      <c r="EB173" s="7">
        <v>23215</v>
      </c>
      <c r="EC173" s="31">
        <f>IF(EB173/(INDEX('Standards for Conversions'!$H$34:$H$73,MATCH(EA$3,'Standards for Conversions'!$A$34:$A$73,0)))=0,"",EB173/(INDEX('Standards for Conversions'!$H$34:$H$73,MATCH(EA$3,'Standards for Conversions'!$A$34:$A$73,0))))</f>
        <v>4060.0094372809299</v>
      </c>
      <c r="EE173" s="7"/>
      <c r="EF173" s="7">
        <v>210025</v>
      </c>
      <c r="EG173" s="31">
        <f>IF(EF173/(INDEX('Standards for Conversions'!$H$34:$H$73,MATCH(EE$3,'Standards for Conversions'!$A$34:$A$73,0)))=0,"",EF173/(INDEX('Standards for Conversions'!$H$34:$H$73,MATCH(EE$3,'Standards for Conversions'!$A$34:$A$73,0))))</f>
        <v>36730.712128577528</v>
      </c>
      <c r="EI173" s="7"/>
      <c r="EJ173" s="7">
        <v>401305</v>
      </c>
      <c r="EK173" s="31">
        <f>IF(EJ173/(INDEX('Standards for Conversions'!$H$34:$H$73,MATCH(EI$3,'Standards for Conversions'!$A$34:$A$73,0)))=0,"",EJ173/(INDEX('Standards for Conversions'!$H$34:$H$73,MATCH(EI$3,'Standards for Conversions'!$A$34:$A$73,0))))</f>
        <v>70183.161198708753</v>
      </c>
      <c r="EM173" s="7"/>
      <c r="EN173" s="7">
        <v>1262728</v>
      </c>
      <c r="EO173" s="31">
        <f>IF(EN173/(INDEX('Standards for Conversions'!$H$34:$H$73,MATCH(EM$3,'Standards for Conversions'!$A$34:$A$73,0)))=0,"",EN173/(INDEX('Standards for Conversions'!$H$34:$H$73,MATCH(EM$3,'Standards for Conversions'!$A$34:$A$73,0))))</f>
        <v>220835.1323161264</v>
      </c>
      <c r="EQ173" s="7"/>
      <c r="ER173" s="7">
        <v>74735</v>
      </c>
      <c r="ES173" s="31">
        <f>IF(ER173/(INDEX('Standards for Conversions'!$H$34:$H$73,MATCH(EQ$3,'Standards for Conversions'!$A$34:$A$73,0)))=0,"",ER173/(INDEX('Standards for Conversions'!$H$34:$H$73,MATCH(EQ$3,'Standards for Conversions'!$A$34:$A$73,0))))</f>
        <v>12801.205464020088</v>
      </c>
      <c r="EU173" s="7"/>
      <c r="EV173" s="7">
        <v>153285</v>
      </c>
      <c r="EW173" s="31">
        <f>IF(EV173/(INDEX('Standards for Conversions'!$H$34:$H$73,MATCH(EU$3,'Standards for Conversions'!$A$34:$A$73,0)))=0,"",EV173/(INDEX('Standards for Conversions'!$H$34:$H$73,MATCH(EU$3,'Standards for Conversions'!$A$34:$A$73,0))))</f>
        <v>26255.87448387394</v>
      </c>
      <c r="EY173" s="9"/>
      <c r="EZ173" s="9">
        <v>413393</v>
      </c>
      <c r="FA173" s="31">
        <f>IF(EZ173/(INDEX('Standards for Conversions'!$H$34:$H$73,MATCH(EY$3,'Standards for Conversions'!$A$34:$A$73,0)))=0,"",EZ173/(INDEX('Standards for Conversions'!$H$34:$H$73,MATCH(EY$3,'Standards for Conversions'!$A$34:$A$73,0))))</f>
        <v>70809.242394964283</v>
      </c>
      <c r="FC173" s="7"/>
      <c r="FD173" s="7">
        <v>1341568</v>
      </c>
      <c r="FE173" s="31">
        <f>IF(FD173/(INDEX('Standards for Conversions'!$H$34:$H$73,MATCH(FC$3,'Standards for Conversions'!$A$34:$A$73,0)))=0,"",FD173/(INDEX('Standards for Conversions'!$H$34:$H$73,MATCH(FC$3,'Standards for Conversions'!$A$34:$A$73,0))))</f>
        <v>229794.44185394395</v>
      </c>
      <c r="FG173" s="7"/>
      <c r="FH173" s="7">
        <v>77200</v>
      </c>
      <c r="FI173" s="31">
        <f>IF(FH173/(INDEX('Standards for Conversions'!$H$34:$H$73,MATCH(FG$3,'Standards for Conversions'!$A$34:$A$73,0)))=0,"",FH173/(INDEX('Standards for Conversions'!$H$34:$H$73,MATCH(FG$3,'Standards for Conversions'!$A$34:$A$73,0))))</f>
        <v>13239.775680020855</v>
      </c>
      <c r="FK173" s="7"/>
      <c r="FL173" s="7">
        <v>145990</v>
      </c>
      <c r="FM173" s="31">
        <f>IF(FL173/(INDEX('Standards for Conversions'!$H$34:$H$73,MATCH(FK$3,'Standards for Conversions'!$A$34:$A$73,0)))=0,"",FL173/(INDEX('Standards for Conversions'!$H$34:$H$73,MATCH(FK$3,'Standards for Conversions'!$A$34:$A$73,0))))</f>
        <v>25037.239009407313</v>
      </c>
      <c r="FO173" s="9"/>
      <c r="FP173" s="9">
        <v>433880</v>
      </c>
      <c r="FQ173" s="31">
        <f>IF(FP173/(INDEX('Standards for Conversions'!$H$34:$H$73,MATCH(FO$3,'Standards for Conversions'!$A$34:$A$73,0)))=0,"",FP173/(INDEX('Standards for Conversions'!$H$34:$H$73,MATCH(FO$3,'Standards for Conversions'!$A$34:$A$73,0))))</f>
        <v>74410.283316676796</v>
      </c>
      <c r="FS173" s="7"/>
      <c r="FT173" s="7">
        <v>1320955</v>
      </c>
      <c r="FU173" s="31">
        <f>IF(FT173/(INDEX('Standards for Conversions'!$H$34:$H$73,MATCH(FS$3,'Standards for Conversions'!$A$34:$A$73,0)))=0,"",FT173/(INDEX('Standards for Conversions'!$H$34:$H$73,MATCH(FS$3,'Standards for Conversions'!$A$34:$A$73,0))))</f>
        <v>226543.36636531021</v>
      </c>
      <c r="FW173" s="7"/>
      <c r="FX173" s="7">
        <v>126400</v>
      </c>
      <c r="FY173" s="31">
        <f>IF(FX173/(INDEX('Standards for Conversions'!$H$34:$H$73,MATCH(FW$3,'Standards for Conversions'!$A$34:$A$73,0)))=0,"",FX173/(INDEX('Standards for Conversions'!$H$34:$H$73,MATCH(FW$3,'Standards for Conversions'!$A$34:$A$73,0))))</f>
        <v>20794.40032154341</v>
      </c>
      <c r="GA173" s="7"/>
      <c r="GB173" s="7">
        <v>187350</v>
      </c>
      <c r="GC173" s="31">
        <f>IF(GB173/(INDEX('Standards for Conversions'!$H$34:$H$73,MATCH(GA$3,'Standards for Conversions'!$A$34:$A$73,0)))=0,"",GB173/(INDEX('Standards for Conversions'!$H$34:$H$73,MATCH(GA$3,'Standards for Conversions'!$A$34:$A$73,0))))</f>
        <v>30821.446995578775</v>
      </c>
      <c r="GE173" s="9"/>
      <c r="GF173" s="9">
        <v>391690</v>
      </c>
      <c r="GG173" s="31">
        <f>IF(GF173/(INDEX('Standards for Conversions'!$H$34:$H$73,MATCH(GE$3,'Standards for Conversions'!$A$34:$A$73,0)))=0,"",GF173/(INDEX('Standards for Conversions'!$H$34:$H$73,MATCH(GE$3,'Standards for Conversions'!$A$34:$A$73,0))))</f>
        <v>64437.96409766881</v>
      </c>
      <c r="GI173" s="7"/>
      <c r="GJ173" s="7">
        <v>991857</v>
      </c>
      <c r="GK173" s="31">
        <f>IF(GJ173/(INDEX('Standards for Conversions'!$H$34:$H$73,MATCH(GI$3,'Standards for Conversions'!$A$34:$A$73,0)))=0,"",GJ173/(INDEX('Standards for Conversions'!$H$34:$H$73,MATCH(GI$3,'Standards for Conversions'!$A$34:$A$73,0))))</f>
        <v>163173.0341750402</v>
      </c>
      <c r="GM173" s="7"/>
      <c r="GN173" s="7">
        <v>92100</v>
      </c>
      <c r="GO173" s="31">
        <f>IF(GN173/(INDEX('Standards for Conversions'!$H$34:$H$73,MATCH(GM$3,'Standards for Conversions'!$A$34:$A$73,0)))=0,"",GN173/(INDEX('Standards for Conversions'!$H$34:$H$73,MATCH(GM$3,'Standards for Conversions'!$A$34:$A$73,0))))</f>
        <v>14157.108439428175</v>
      </c>
      <c r="GQ173" s="7"/>
      <c r="GR173" s="7">
        <v>180885</v>
      </c>
      <c r="GS173" s="31">
        <f>IF(GR173/(INDEX('Standards for Conversions'!$H$34:$H$73,MATCH(GQ$3,'Standards for Conversions'!$A$34:$A$73,0)))=0,"",GR173/(INDEX('Standards for Conversions'!$H$34:$H$73,MATCH(GQ$3,'Standards for Conversions'!$A$34:$A$73,0))))</f>
        <v>27804.65320375641</v>
      </c>
      <c r="GU173" s="9"/>
      <c r="GV173" s="9">
        <v>367475</v>
      </c>
      <c r="GW173" s="31">
        <f>IF(GV173/(INDEX('Standards for Conversions'!$H$34:$H$73,MATCH(GU$3,'Standards for Conversions'!$A$34:$A$73,0)))=0,"",GV173/(INDEX('Standards for Conversions'!$H$34:$H$73,MATCH(GU$3,'Standards for Conversions'!$A$34:$A$73,0))))</f>
        <v>56486.247815188581</v>
      </c>
      <c r="GY173" s="7"/>
      <c r="GZ173" s="7">
        <v>1137350</v>
      </c>
      <c r="HA173" s="31">
        <f>IF(GZ173/(INDEX('Standards for Conversions'!$H$34:$H$73,MATCH(GY$3,'Standards for Conversions'!$A$34:$A$73,0)))=0,"",GZ173/(INDEX('Standards for Conversions'!$H$34:$H$73,MATCH(GY$3,'Standards for Conversions'!$A$34:$A$73,0))))</f>
        <v>174827.22349167897</v>
      </c>
      <c r="HC173" s="7"/>
      <c r="HD173" s="7">
        <v>61200</v>
      </c>
      <c r="HE173" s="31">
        <f>IF(HD173/(INDEX('Standards for Conversions'!$H$34:$H$73,MATCH(HC$3,'Standards for Conversions'!$A$34:$A$73,0)))=0,"",HD173/(INDEX('Standards for Conversions'!$H$34:$H$73,MATCH(HC$3,'Standards for Conversions'!$A$34:$A$73,0))))</f>
        <v>9264.7940927261643</v>
      </c>
      <c r="HG173" s="7"/>
      <c r="HH173" s="7">
        <v>208525</v>
      </c>
      <c r="HI173" s="31">
        <f>IF(HH173/(INDEX('Standards for Conversions'!$H$34:$H$73,MATCH(HG$3,'Standards for Conversions'!$A$34:$A$73,0)))=0,"",HH173/(INDEX('Standards for Conversions'!$H$34:$H$73,MATCH(HG$3,'Standards for Conversions'!$A$34:$A$73,0))))</f>
        <v>31567.666473622932</v>
      </c>
      <c r="HK173" s="9"/>
      <c r="HL173" s="9">
        <v>416840</v>
      </c>
      <c r="HM173" s="31">
        <f>IF(HL173/(INDEX('Standards for Conversions'!$H$34:$H$73,MATCH(HK$3,'Standards for Conversions'!$A$34:$A$73,0)))=0,"",HL173/(INDEX('Standards for Conversions'!$H$34:$H$73,MATCH(HK$3,'Standards for Conversions'!$A$34:$A$73,0))))</f>
        <v>63103.541987123768</v>
      </c>
      <c r="HO173" s="7"/>
      <c r="HP173" s="7">
        <v>1175830</v>
      </c>
      <c r="HQ173" s="31">
        <f>IF(HP173/(INDEX('Standards for Conversions'!$H$34:$H$73,MATCH(HO$3,'Standards for Conversions'!$A$34:$A$73,0)))=0,"",HP173/(INDEX('Standards for Conversions'!$H$34:$H$73,MATCH(HO$3,'Standards for Conversions'!$A$34:$A$73,0))))</f>
        <v>178003.6411446112</v>
      </c>
      <c r="HT173" s="29">
        <v>52600</v>
      </c>
      <c r="HU173" s="31">
        <f>IF(HT173/(INDEX('Standards for Conversions'!$H$47:$H$73,MATCH(HS$3,'Standards for Conversions'!$A$47:$A$73,0)))=0,"",HT173/(INDEX('Standards for Conversions'!$H$47:$H$73,MATCH(HS$3,'Standards for Conversions'!$A$47:$A$73,0))))</f>
        <v>7639.9086823962234</v>
      </c>
      <c r="HX173" s="29">
        <v>210030</v>
      </c>
      <c r="HY173" s="31">
        <f>IF(HX173/(INDEX('Standards for Conversions'!$H$47:$H$73,MATCH(HW$3,'Standards for Conversions'!$A$47:$A$73,0)))=0,"",HX173/(INDEX('Standards for Conversions'!$H$47:$H$73,MATCH(HW$3,'Standards for Conversions'!$A$47:$A$73,0))))</f>
        <v>30505.893927066136</v>
      </c>
      <c r="HZ173" s="33"/>
      <c r="IA173" s="33">
        <v>401560</v>
      </c>
      <c r="IB173" s="31">
        <f>IF(IA173/(INDEX('Standards for Conversions'!$H$47:$H$73,MATCH(HZ$3,'Standards for Conversions'!$A$47:$A$73,0)))=0,"",IA173/(INDEX('Standards for Conversions'!$H$47:$H$73,MATCH(HZ$3,'Standards for Conversions'!$A$47:$A$73,0))))</f>
        <v>58324.747728194438</v>
      </c>
      <c r="IE173" s="29">
        <v>1193080</v>
      </c>
      <c r="IF173" s="31">
        <f>IF(IE173/(INDEX('Standards for Conversions'!$H$47:$H$73,MATCH(ID$3,'Standards for Conversions'!$A$47:$A$73,0)))=0,"",IE173/(INDEX('Standards for Conversions'!$H$47:$H$73,MATCH(ID$3,'Standards for Conversions'!$A$47:$A$73,0))))</f>
        <v>173289.39640291419</v>
      </c>
      <c r="II173" s="29">
        <v>41925</v>
      </c>
      <c r="IJ173" s="31">
        <f>IF(II173/(INDEX('Standards for Conversions'!$H$47:$H$73,MATCH(IH$3,'Standards for Conversions'!$A$47:$A$73,0)))=0,"",II173/(INDEX('Standards for Conversions'!$H$47:$H$73,MATCH(IH$3,'Standards for Conversions'!$A$47:$A$73,0))))</f>
        <v>6062.783817051577</v>
      </c>
      <c r="IM173" s="29">
        <v>194394</v>
      </c>
      <c r="IN173" s="31">
        <f>IF(IM173/(INDEX('Standards for Conversions'!$H$47:$H$73,MATCH(IL$3,'Standards for Conversions'!$A$47:$A$73,0)))=0,"",IM173/(INDEX('Standards for Conversions'!$H$47:$H$73,MATCH(IL$3,'Standards for Conversions'!$A$47:$A$73,0))))</f>
        <v>28111.360699628483</v>
      </c>
      <c r="IQ173" s="29">
        <v>373004</v>
      </c>
      <c r="IR173" s="31">
        <f>IF(IQ173/(INDEX('Standards for Conversions'!$H$47:$H$73,MATCH(IP$3,'Standards for Conversions'!$A$47:$A$73,0)))=0,"",IQ173/(INDEX('Standards for Conversions'!$H$47:$H$73,MATCH(IP$3,'Standards for Conversions'!$A$47:$A$73,0))))</f>
        <v>53940.193557436047</v>
      </c>
      <c r="IU173" s="29">
        <v>1388403</v>
      </c>
      <c r="IV173" s="31">
        <f>IF(IU173/(INDEX('Standards for Conversions'!$H$47:$H$73,MATCH(IT$3,'Standards for Conversions'!$A$47:$A$73,0)))=0,"",IU173/(INDEX('Standards for Conversions'!$H$47:$H$73,MATCH(IT$3,'Standards for Conversions'!$A$47:$A$73,0))))</f>
        <v>200777.27465583448</v>
      </c>
      <c r="IY173" s="29">
        <v>40850</v>
      </c>
      <c r="IZ173" s="31">
        <f>IF(IY173/(INDEX('Standards for Conversions'!$H$47:$H$73,MATCH(IX$3,'Standards for Conversions'!$A$47:$A$73,0)))=0,"",IY173/(INDEX('Standards for Conversions'!$H$47:$H$73,MATCH(IX$3,'Standards for Conversions'!$A$47:$A$73,0))))</f>
        <v>6607.9040348628359</v>
      </c>
      <c r="JC173" s="29">
        <v>162340</v>
      </c>
      <c r="JD173" s="31">
        <f>IF(JC173/(INDEX('Standards for Conversions'!$H$47:$H$73,MATCH(JB$3,'Standards for Conversions'!$A$47:$A$73,0)))=0,"",JC173/(INDEX('Standards for Conversions'!$H$47:$H$73,MATCH(JB$3,'Standards for Conversions'!$A$47:$A$73,0))))</f>
        <v>26260.150330957964</v>
      </c>
      <c r="JG173" s="29">
        <v>341470</v>
      </c>
      <c r="JH173" s="31">
        <f>IF(JG173/(INDEX('Standards for Conversions'!$H$47:$H$73,MATCH(JF$3,'Standards for Conversions'!$A$47:$A$73,0)))=0,"",JG173/(INDEX('Standards for Conversions'!$H$47:$H$73,MATCH(JF$3,'Standards for Conversions'!$A$47:$A$73,0))))</f>
        <v>55236.254364372406</v>
      </c>
      <c r="JK173" s="29">
        <v>1438610</v>
      </c>
      <c r="JL173" s="31">
        <f>IF(JK173/(INDEX('Standards for Conversions'!$H$47:$H$73,MATCH(JJ$3,'Standards for Conversions'!$A$47:$A$73,0)))=0,"",JK173/(INDEX('Standards for Conversions'!$H$47:$H$73,MATCH(JJ$3,'Standards for Conversions'!$A$47:$A$73,0))))</f>
        <v>232709.83656288922</v>
      </c>
      <c r="JO173" s="29">
        <v>31550</v>
      </c>
      <c r="JP173" s="31">
        <f>IF(JO173/(INDEX('Standards for Conversions'!$H$47:$H$73,MATCH(JN$3,'Standards for Conversions'!$A$47:$A$73,0)))=0,"",JO173/(INDEX('Standards for Conversions'!$H$47:$H$73,MATCH(JN$3,'Standards for Conversions'!$A$47:$A$73,0))))</f>
        <v>4816.2934060970128</v>
      </c>
      <c r="JS173" s="29">
        <v>189120</v>
      </c>
      <c r="JT173" s="31">
        <f>IF(JS173/(INDEX('Standards for Conversions'!$H$47:$H$73,MATCH(JR$3,'Standards for Conversions'!$A$47:$A$73,0)))=0,"",JS173/(INDEX('Standards for Conversions'!$H$47:$H$73,MATCH(JR$3,'Standards for Conversions'!$A$47:$A$73,0))))</f>
        <v>28870.282375945077</v>
      </c>
      <c r="JW173" s="29">
        <v>326980</v>
      </c>
      <c r="JX173" s="31">
        <f>IF(JW173/(INDEX('Standards for Conversions'!$H$47:$H$73,MATCH(JV$3,'Standards for Conversions'!$A$47:$A$73,0)))=0,"",JW173/(INDEX('Standards for Conversions'!$H$47:$H$73,MATCH(JV$3,'Standards for Conversions'!$A$47:$A$73,0))))</f>
        <v>49915.423706041249</v>
      </c>
      <c r="KA173" s="29">
        <v>1318582</v>
      </c>
      <c r="KB173" s="31">
        <f>IF(KA173/(INDEX('Standards for Conversions'!$H$47:$H$73,MATCH(JZ$3,'Standards for Conversions'!$A$47:$A$73,0)))=0,"",KA173/(INDEX('Standards for Conversions'!$H$47:$H$73,MATCH(JZ$3,'Standards for Conversions'!$A$47:$A$73,0))))</f>
        <v>201289.31194923018</v>
      </c>
      <c r="KE173" s="29">
        <v>13150</v>
      </c>
      <c r="KF173" s="31">
        <f>IF(KE173/(INDEX('Standards for Conversions'!$H$47:$H$73,MATCH(KD$3,'Standards for Conversions'!$A$47:$A$73,0)))=0,"",KE173/(INDEX('Standards for Conversions'!$H$47:$H$73,MATCH(KD$3,'Standards for Conversions'!$A$47:$A$73,0))))</f>
        <v>1770.7660065612235</v>
      </c>
      <c r="KI173" s="29">
        <v>184710</v>
      </c>
      <c r="KJ173" s="31">
        <f>IF(KI173/(INDEX('Standards for Conversions'!$H$47:$H$73,MATCH(KH$3,'Standards for Conversions'!$A$47:$A$73,0)))=0,"",KI173/(INDEX('Standards for Conversions'!$H$47:$H$73,MATCH(KH$3,'Standards for Conversions'!$A$47:$A$73,0))))</f>
        <v>24872.866089119663</v>
      </c>
      <c r="KM173" s="29">
        <v>345640</v>
      </c>
      <c r="KN173" s="31">
        <f>IF(KM173/(INDEX('Standards for Conversions'!$H$47:$H$73,MATCH(KL$3,'Standards for Conversions'!$A$47:$A$73,0)))=0,"",KM173/(INDEX('Standards for Conversions'!$H$47:$H$73,MATCH(KL$3,'Standards for Conversions'!$A$47:$A$73,0))))</f>
        <v>46543.540875119492</v>
      </c>
      <c r="KQ173" s="29">
        <v>1438340</v>
      </c>
      <c r="KR173" s="31">
        <f>IF(KQ173/(INDEX('Standards for Conversions'!$H$47:$H$73,MATCH(KP$3,'Standards for Conversions'!$A$47:$A$73,0)))=0,"",KQ173/(INDEX('Standards for Conversions'!$H$47:$H$73,MATCH(KP$3,'Standards for Conversions'!$A$47:$A$73,0))))</f>
        <v>193685.44318458327</v>
      </c>
      <c r="KU173" s="29">
        <v>15780</v>
      </c>
      <c r="KV173" s="31">
        <f>IF(KU173/(INDEX('Standards for Conversions'!$H$47:$H$73,MATCH(KT$3,'Standards for Conversions'!$A$47:$A$73,0)))=0,"",KU173/(INDEX('Standards for Conversions'!$H$47:$H$73,MATCH(KT$3,'Standards for Conversions'!$A$47:$A$73,0))))</f>
        <v>1919.1094229599371</v>
      </c>
      <c r="KY173" s="29">
        <v>227180</v>
      </c>
      <c r="KZ173" s="31">
        <f>IF(KY173/(INDEX('Standards for Conversions'!$H$47:$H$73,MATCH(KX$3,'Standards for Conversions'!$A$47:$A$73,0)))=0,"",KY173/(INDEX('Standards for Conversions'!$H$47:$H$73,MATCH(KX$3,'Standards for Conversions'!$A$47:$A$73,0))))</f>
        <v>27628.851629153265</v>
      </c>
      <c r="LC173" s="29">
        <v>313141</v>
      </c>
      <c r="LD173" s="31">
        <f>IF(LC173/(INDEX('Standards for Conversions'!$H$47:$H$73,MATCH(LB$3,'Standards for Conversions'!$A$47:$A$73,0)))=0,"",LC173/(INDEX('Standards for Conversions'!$H$47:$H$73,MATCH(LB$3,'Standards for Conversions'!$A$47:$A$73,0))))</f>
        <v>38083.133321615824</v>
      </c>
      <c r="LG173" s="29">
        <v>1498905</v>
      </c>
      <c r="LH173" s="31">
        <f>IF(LG173/(INDEX('Standards for Conversions'!$H$47:$H$73,MATCH(LF$3,'Standards for Conversions'!$A$47:$A$73,0)))=0,"",LG173/(INDEX('Standards for Conversions'!$H$47:$H$73,MATCH(LF$3,'Standards for Conversions'!$A$47:$A$73,0))))</f>
        <v>182291.67995068216</v>
      </c>
      <c r="LI173" s="50"/>
      <c r="LK173" s="29">
        <v>2079600</v>
      </c>
      <c r="LL173" s="31">
        <f>IF(LK173/(INDEX('Standards for Conversions'!$H$47:$H$73,MATCH(LJ$3,'Standards for Conversions'!$A$47:$A$73,0)))=0,"",LK173/(INDEX('Standards for Conversions'!$H$47:$H$73,MATCH(LJ$3,'Standards for Conversions'!$A$47:$A$73,0))))</f>
        <v>203863.32700747368</v>
      </c>
      <c r="LN173" s="29">
        <v>2288760</v>
      </c>
      <c r="LO173" s="31">
        <f>IF(LN173/(INDEX('Standards for Conversions'!$H$47:$H$73,MATCH(LM$3,'Standards for Conversions'!$A$47:$A$73,0)))=0,"",LN173/(INDEX('Standards for Conversions'!$H$47:$H$73,MATCH(LM$3,'Standards for Conversions'!$A$47:$A$73,0))))</f>
        <v>231151.62006713299</v>
      </c>
      <c r="LQ173" s="29">
        <v>2879500</v>
      </c>
      <c r="LR173" s="31">
        <f>IF(LQ173/(INDEX('Standards for Conversions'!$H$47:$H$73,MATCH(LP$3,'Standards for Conversions'!$A$47:$A$73,0)))=0,"",LQ173/(INDEX('Standards for Conversions'!$H$47:$H$73,MATCH(LP$3,'Standards for Conversions'!$A$47:$A$73,0))))</f>
        <v>300567.70128599257</v>
      </c>
      <c r="LU173" s="29">
        <v>3537500</v>
      </c>
      <c r="LV173" s="31">
        <f>IF(LU173/(INDEX('Standards for Conversions'!$H$47:$H$73,MATCH(LT$3,'Standards for Conversions'!$A$47:$A$73,0)))=0,"",LU173/(INDEX('Standards for Conversions'!$H$47:$H$73,MATCH(LT$3,'Standards for Conversions'!$A$47:$A$73,0))))</f>
        <v>330303.62938048574</v>
      </c>
      <c r="LX173" s="29">
        <v>2592200</v>
      </c>
      <c r="LY173" s="31">
        <f>IF(LX173/(INDEX('Standards for Conversions'!$H$47:$H$73,MATCH(LW$3,'Standards for Conversions'!$A$47:$A$73,0)))=0,"",LX173/(INDEX('Standards for Conversions'!$H$47:$H$73,MATCH(LW$3,'Standards for Conversions'!$A$47:$A$73,0))))</f>
        <v>236550.61647077138</v>
      </c>
      <c r="MA173" s="29">
        <v>2600720</v>
      </c>
      <c r="MB173" s="31">
        <f>IF(MA173/(INDEX('Standards for Conversions'!$H$47:$H$73,MATCH(LZ$3,'Standards for Conversions'!$A$47:$A$73,0)))=0,"",MA173/(INDEX('Standards for Conversions'!$H$47:$H$73,MATCH(LZ$3,'Standards for Conversions'!$A$47:$A$73,0))))</f>
        <v>241733.26919773465</v>
      </c>
      <c r="MD173" s="29">
        <v>3365883</v>
      </c>
      <c r="ME173" s="31">
        <f>IF(MD173/(INDEX('Standards for Conversions'!$H$47:$H$73,MATCH(MC$3,'Standards for Conversions'!$A$47:$A$73,0)))=0,"",MD173/(INDEX('Standards for Conversions'!$H$47:$H$73,MATCH(MC$3,'Standards for Conversions'!$A$47:$A$73,0))))</f>
        <v>322831.21851201984</v>
      </c>
      <c r="MG173" s="29">
        <v>2996688</v>
      </c>
      <c r="MH173" s="31">
        <f>IF(MG173/(INDEX('Standards for Conversions'!$H$47:$H$73,MATCH(MF$3,'Standards for Conversions'!$A$47:$A$73,0)))=0,"",MG173/(INDEX('Standards for Conversions'!$H$47:$H$73,MATCH(MF$3,'Standards for Conversions'!$A$47:$A$73,0))))</f>
        <v>276000.00724124443</v>
      </c>
      <c r="MJ173" s="29">
        <v>3205435</v>
      </c>
      <c r="MK173" s="31">
        <f>IF(MJ173/(INDEX('Standards for Conversions'!$H$47:$H$73,MATCH(MI$3,'Standards for Conversions'!$A$47:$A$73,0)))=0,"",MJ173/(INDEX('Standards for Conversions'!$H$47:$H$73,MATCH(MI$3,'Standards for Conversions'!$A$47:$A$73,0))))</f>
        <v>261291.93912559559</v>
      </c>
      <c r="MM173" s="29">
        <v>3880580</v>
      </c>
      <c r="MN173" s="31">
        <f>IF(MM173/(INDEX('Standards for Conversions'!$H$47:$H$73,MATCH(ML$3,'Standards for Conversions'!$A$47:$A$73,0)))=0,"",MM173/(INDEX('Standards for Conversions'!$H$47:$H$73,MATCH(ML$3,'Standards for Conversions'!$A$47:$A$73,0))))</f>
        <v>325364.47656426515</v>
      </c>
      <c r="MQ173" s="29">
        <v>4044549</v>
      </c>
      <c r="MR173" s="31">
        <f>IF(MQ173/(INDEX('Standards for Conversions'!$H$47:$H$73,MATCH(MP$3,'Standards for Conversions'!$A$47:$A$73,0)))=0,"",MQ173/(INDEX('Standards for Conversions'!$H$47:$H$73,MATCH(MP$3,'Standards for Conversions'!$A$47:$A$73,0))))</f>
        <v>361805.46485311928</v>
      </c>
      <c r="MU173" s="29">
        <v>371945</v>
      </c>
      <c r="MW173" s="29">
        <v>461425</v>
      </c>
      <c r="MY173" s="29">
        <v>656438</v>
      </c>
      <c r="NB173" s="29">
        <v>683821</v>
      </c>
      <c r="ND173" s="29">
        <v>553724</v>
      </c>
      <c r="NG173" s="29">
        <v>394483</v>
      </c>
      <c r="NI173" s="29">
        <v>401320</v>
      </c>
    </row>
    <row r="174" spans="1:373" x14ac:dyDescent="0.3">
      <c r="C174" s="7"/>
      <c r="D174" s="7"/>
      <c r="G174" s="7"/>
      <c r="H174" s="7"/>
      <c r="K174" s="7"/>
      <c r="L174" s="7"/>
      <c r="O174" s="7"/>
      <c r="P174" s="7"/>
      <c r="S174" s="7"/>
      <c r="T174" s="7"/>
      <c r="W174" s="7"/>
      <c r="X174" s="7"/>
      <c r="AA174" s="7"/>
      <c r="AB174" s="7"/>
      <c r="AE174" s="7"/>
      <c r="AF174" s="7"/>
      <c r="AI174" s="7"/>
      <c r="AJ174" s="7"/>
      <c r="AM174" s="7"/>
      <c r="AN174" s="7"/>
      <c r="AQ174" s="7"/>
      <c r="AR174" s="7"/>
      <c r="AU174" s="7"/>
      <c r="AV174" s="7"/>
      <c r="AY174" s="7"/>
      <c r="AZ174" s="7"/>
      <c r="BC174" s="7"/>
      <c r="BD174" s="7"/>
      <c r="BG174" s="7"/>
      <c r="BH174" s="7"/>
      <c r="BK174" s="7"/>
      <c r="BL174" s="7"/>
      <c r="BO174" s="7"/>
      <c r="BP174" s="7"/>
      <c r="BS174" s="7"/>
      <c r="BT174" s="7"/>
      <c r="BW174" s="7"/>
      <c r="BX174" s="7"/>
      <c r="CA174" s="7"/>
      <c r="CB174" s="7"/>
      <c r="CE174" s="7"/>
      <c r="CF174" s="7"/>
      <c r="CI174" s="7"/>
      <c r="CJ174" s="7"/>
      <c r="CM174" s="7"/>
      <c r="CN174" s="7"/>
      <c r="CQ174" s="7"/>
      <c r="CR174" s="7"/>
      <c r="CU174" s="7"/>
      <c r="CV174" s="7"/>
      <c r="CY174" s="7"/>
      <c r="CZ174" s="7"/>
      <c r="DC174" s="7"/>
      <c r="DD174" s="7"/>
      <c r="DG174" s="7"/>
      <c r="DH174" s="7"/>
      <c r="DK174" s="7"/>
      <c r="DL174" s="7"/>
      <c r="DO174" s="7"/>
      <c r="DP174" s="7"/>
      <c r="DS174" s="7"/>
      <c r="DT174" s="7"/>
      <c r="DW174" s="7"/>
      <c r="DX174" s="7"/>
      <c r="EA174" s="7"/>
      <c r="EB174" s="7"/>
      <c r="EE174" s="7"/>
      <c r="EF174" s="7"/>
      <c r="EI174" s="7"/>
      <c r="EJ174" s="7"/>
      <c r="EM174" s="7"/>
      <c r="EN174" s="7"/>
      <c r="EQ174" s="7"/>
      <c r="ER174" s="7"/>
      <c r="EU174" s="7"/>
      <c r="EV174" s="7"/>
      <c r="EY174" s="7"/>
      <c r="EZ174" s="7"/>
      <c r="FC174" s="7"/>
      <c r="FD174" s="7"/>
      <c r="FG174" s="7"/>
      <c r="FH174" s="7"/>
      <c r="FK174" s="7"/>
      <c r="FL174" s="7"/>
      <c r="FO174" s="7"/>
      <c r="FP174" s="7"/>
      <c r="FS174" s="7"/>
      <c r="FT174" s="7"/>
      <c r="FW174" s="7"/>
      <c r="FX174" s="7"/>
      <c r="GA174" s="7"/>
      <c r="GB174" s="7"/>
      <c r="GE174" s="7"/>
      <c r="GF174" s="7"/>
      <c r="GI174" s="7"/>
      <c r="GJ174" s="7"/>
      <c r="GM174" s="7"/>
      <c r="GN174" s="7"/>
      <c r="GQ174" s="7"/>
      <c r="GR174" s="7"/>
      <c r="GU174" s="7"/>
      <c r="GV174" s="7"/>
      <c r="GY174" s="7"/>
      <c r="GZ174" s="7"/>
      <c r="HC174" s="7"/>
      <c r="HD174" s="7"/>
      <c r="HG174" s="7"/>
      <c r="HH174" s="7"/>
      <c r="HK174" s="7"/>
      <c r="HL174" s="7"/>
      <c r="HO174" s="7"/>
      <c r="HP174" s="7"/>
    </row>
    <row r="175" spans="1:373" x14ac:dyDescent="0.3">
      <c r="C175" s="7"/>
      <c r="D175" s="7"/>
      <c r="G175" s="7"/>
      <c r="H175" s="7"/>
      <c r="K175" s="7"/>
      <c r="L175" s="7"/>
      <c r="O175" s="7"/>
      <c r="P175" s="7"/>
      <c r="S175" s="7"/>
      <c r="T175" s="7"/>
      <c r="W175" s="7"/>
      <c r="X175" s="7"/>
      <c r="AA175" s="7"/>
      <c r="AB175" s="7"/>
      <c r="AE175" s="7"/>
      <c r="AF175" s="7"/>
      <c r="AI175" s="7"/>
      <c r="AJ175" s="7"/>
      <c r="AM175" s="7"/>
      <c r="AN175" s="7"/>
      <c r="AQ175" s="7"/>
      <c r="AR175" s="7"/>
      <c r="AU175" s="7"/>
      <c r="AV175" s="7"/>
      <c r="AY175" s="7"/>
      <c r="AZ175" s="7"/>
      <c r="BC175" s="7"/>
      <c r="BD175" s="7"/>
      <c r="BG175" s="7"/>
      <c r="BH175" s="7"/>
      <c r="BK175" s="7"/>
      <c r="BL175" s="7"/>
      <c r="BO175" s="7"/>
      <c r="BP175" s="7"/>
      <c r="BS175" s="7"/>
      <c r="BT175" s="7"/>
      <c r="BW175" s="7"/>
      <c r="BX175" s="7"/>
      <c r="CA175" s="7"/>
      <c r="CB175" s="7"/>
      <c r="CE175" s="7"/>
      <c r="CF175" s="7"/>
      <c r="CI175" s="7"/>
      <c r="CJ175" s="7"/>
      <c r="CM175" s="7"/>
      <c r="CN175" s="7"/>
      <c r="CQ175" s="7"/>
      <c r="CR175" s="7"/>
      <c r="CU175" s="7"/>
      <c r="CV175" s="7"/>
      <c r="CY175" s="7"/>
      <c r="CZ175" s="7"/>
      <c r="DC175" s="7"/>
      <c r="DD175" s="7"/>
      <c r="DG175" s="7"/>
      <c r="DH175" s="7"/>
      <c r="DK175" s="7"/>
      <c r="DL175" s="7"/>
      <c r="DO175" s="7"/>
      <c r="DP175" s="7"/>
      <c r="DS175" s="7"/>
      <c r="DT175" s="7"/>
      <c r="DW175" s="7"/>
      <c r="DX175" s="7"/>
      <c r="EA175" s="7"/>
      <c r="EB175" s="7"/>
      <c r="EE175" s="7"/>
      <c r="EF175" s="7"/>
      <c r="EI175" s="7"/>
      <c r="EJ175" s="7"/>
      <c r="EM175" s="7"/>
      <c r="EN175" s="7"/>
      <c r="EQ175" s="7"/>
      <c r="ER175" s="7"/>
      <c r="EU175" s="7"/>
      <c r="EV175" s="7"/>
      <c r="EY175" s="7"/>
      <c r="EZ175" s="7"/>
      <c r="FC175" s="7"/>
      <c r="FD175" s="7"/>
      <c r="FG175" s="7"/>
      <c r="FH175" s="7"/>
      <c r="FK175" s="7"/>
      <c r="FL175" s="7"/>
      <c r="FO175" s="7"/>
      <c r="FP175" s="7"/>
      <c r="FS175" s="7"/>
      <c r="FT175" s="7"/>
      <c r="FW175" s="7"/>
      <c r="FX175" s="7"/>
      <c r="GA175" s="7"/>
      <c r="GB175" s="7"/>
      <c r="GE175" s="7"/>
      <c r="GF175" s="7"/>
      <c r="GI175" s="7"/>
      <c r="GJ175" s="7"/>
      <c r="GM175" s="7"/>
      <c r="GN175" s="7"/>
      <c r="GQ175" s="7"/>
      <c r="GR175" s="7"/>
      <c r="GU175" s="7"/>
      <c r="GV175" s="7"/>
      <c r="GY175" s="7"/>
      <c r="GZ175" s="7"/>
      <c r="HC175" s="7"/>
      <c r="HD175" s="7"/>
      <c r="HG175" s="7"/>
      <c r="HH175" s="7"/>
      <c r="HK175" s="7"/>
      <c r="HL175" s="7"/>
      <c r="HO175" s="7"/>
      <c r="HP175" s="7"/>
    </row>
    <row r="176" spans="1:373" x14ac:dyDescent="0.3">
      <c r="C176" s="7"/>
      <c r="D176" s="7"/>
      <c r="G176" s="7"/>
      <c r="H176" s="7"/>
      <c r="K176" s="7"/>
      <c r="L176" s="7"/>
      <c r="O176" s="7"/>
      <c r="P176" s="7"/>
      <c r="S176" s="7"/>
      <c r="T176" s="7"/>
      <c r="W176" s="7"/>
      <c r="X176" s="7"/>
      <c r="AA176" s="7"/>
      <c r="AB176" s="7"/>
      <c r="AE176" s="7"/>
      <c r="AF176" s="7"/>
      <c r="AI176" s="7"/>
      <c r="AJ176" s="7"/>
      <c r="AM176" s="7"/>
      <c r="AN176" s="7"/>
      <c r="AQ176" s="7"/>
      <c r="AR176" s="7"/>
      <c r="AU176" s="7"/>
      <c r="AV176" s="7"/>
      <c r="AY176" s="7"/>
      <c r="AZ176" s="7"/>
      <c r="BC176" s="7"/>
      <c r="BD176" s="7"/>
      <c r="BG176" s="7"/>
      <c r="BH176" s="7"/>
      <c r="BK176" s="7"/>
      <c r="BL176" s="7"/>
      <c r="BO176" s="7"/>
      <c r="BP176" s="7"/>
      <c r="BS176" s="7"/>
      <c r="BT176" s="7"/>
      <c r="BW176" s="7"/>
      <c r="BX176" s="7"/>
      <c r="CA176" s="7"/>
      <c r="CB176" s="7"/>
      <c r="CE176" s="7"/>
      <c r="CF176" s="7"/>
      <c r="CI176" s="7"/>
      <c r="CJ176" s="7"/>
      <c r="CM176" s="7"/>
      <c r="CN176" s="7"/>
      <c r="CQ176" s="7"/>
      <c r="CR176" s="7"/>
      <c r="CU176" s="7"/>
      <c r="CV176" s="7"/>
      <c r="CY176" s="7"/>
      <c r="CZ176" s="7"/>
      <c r="DC176" s="7"/>
      <c r="DD176" s="7"/>
      <c r="DG176" s="7"/>
      <c r="DH176" s="7"/>
      <c r="DK176" s="7"/>
      <c r="DL176" s="7"/>
      <c r="DO176" s="7"/>
      <c r="DP176" s="7"/>
      <c r="DS176" s="7"/>
      <c r="DT176" s="7"/>
      <c r="DW176" s="7"/>
      <c r="DX176" s="7"/>
      <c r="EA176" s="7"/>
      <c r="EB176" s="7"/>
      <c r="EE176" s="7"/>
      <c r="EF176" s="7"/>
      <c r="EI176" s="7"/>
      <c r="EJ176" s="7"/>
      <c r="EM176" s="7"/>
      <c r="EN176" s="7"/>
      <c r="EQ176" s="7"/>
      <c r="ER176" s="7"/>
      <c r="EU176" s="7"/>
      <c r="EV176" s="7"/>
      <c r="EY176" s="7"/>
      <c r="EZ176" s="7"/>
      <c r="FC176" s="7"/>
      <c r="FD176" s="7"/>
      <c r="FG176" s="7"/>
      <c r="FH176" s="7"/>
      <c r="FK176" s="7"/>
      <c r="FL176" s="7"/>
      <c r="FO176" s="7"/>
      <c r="FP176" s="7"/>
      <c r="FS176" s="7"/>
      <c r="FT176" s="7"/>
      <c r="FW176" s="7"/>
      <c r="FX176" s="7"/>
      <c r="GA176" s="7"/>
      <c r="GB176" s="7"/>
      <c r="GE176" s="7"/>
      <c r="GF176" s="7"/>
      <c r="GI176" s="7"/>
      <c r="GJ176" s="7"/>
      <c r="GM176" s="7"/>
      <c r="GN176" s="7"/>
      <c r="GQ176" s="7"/>
      <c r="GR176" s="7"/>
      <c r="GU176" s="7"/>
      <c r="GV176" s="7"/>
      <c r="GY176" s="7"/>
      <c r="GZ176" s="7"/>
      <c r="HC176" s="7"/>
      <c r="HD176" s="7"/>
      <c r="HG176" s="7"/>
      <c r="HH176" s="7"/>
      <c r="HK176" s="7"/>
      <c r="HL176" s="7"/>
      <c r="HO176" s="7"/>
      <c r="HP176" s="7"/>
    </row>
    <row r="177" spans="3:239" x14ac:dyDescent="0.3">
      <c r="C177" s="7"/>
      <c r="D177" s="7"/>
      <c r="G177" s="7"/>
      <c r="H177" s="7"/>
      <c r="K177" s="7"/>
      <c r="L177" s="7"/>
      <c r="O177" s="7"/>
      <c r="P177" s="7"/>
      <c r="S177" s="7"/>
      <c r="T177" s="7"/>
      <c r="W177" s="7"/>
      <c r="X177" s="7"/>
      <c r="AA177" s="7"/>
      <c r="AB177" s="7"/>
      <c r="AE177" s="7"/>
      <c r="AF177" s="7"/>
      <c r="AI177" s="7"/>
      <c r="AJ177" s="7"/>
      <c r="AM177" s="7"/>
      <c r="AN177" s="7"/>
      <c r="AQ177" s="7"/>
      <c r="AR177" s="7"/>
      <c r="AU177" s="7"/>
      <c r="AV177" s="7"/>
      <c r="AY177" s="7"/>
      <c r="AZ177" s="7"/>
      <c r="BC177" s="7"/>
      <c r="BD177" s="7"/>
      <c r="BG177" s="7"/>
      <c r="BH177" s="7"/>
      <c r="BK177" s="7"/>
      <c r="BL177" s="7"/>
      <c r="BO177" s="7"/>
      <c r="BP177" s="7"/>
      <c r="BS177" s="7"/>
      <c r="BT177" s="7"/>
      <c r="BW177" s="7"/>
      <c r="BX177" s="7"/>
      <c r="CA177" s="7"/>
      <c r="CB177" s="7"/>
      <c r="CE177" s="7"/>
      <c r="CF177" s="7"/>
      <c r="CI177" s="7"/>
      <c r="CJ177" s="7"/>
      <c r="CM177" s="7"/>
      <c r="CN177" s="7"/>
      <c r="CQ177" s="7"/>
      <c r="CR177" s="7"/>
      <c r="CU177" s="7"/>
      <c r="CV177" s="7"/>
      <c r="CY177" s="7"/>
      <c r="CZ177" s="7"/>
      <c r="DC177" s="7"/>
      <c r="DD177" s="7"/>
      <c r="DG177" s="7"/>
      <c r="DH177" s="7"/>
      <c r="DK177" s="7"/>
      <c r="DL177" s="7"/>
      <c r="DO177" s="7">
        <f>DO86*9</f>
        <v>315</v>
      </c>
      <c r="DP177" s="129">
        <f>500/DO177</f>
        <v>1.5873015873015872</v>
      </c>
      <c r="DS177" s="7"/>
      <c r="DT177" s="7"/>
      <c r="DW177" s="7"/>
      <c r="DX177" s="7"/>
      <c r="EA177" s="7"/>
      <c r="EB177" s="7"/>
      <c r="EE177" s="7"/>
      <c r="EF177" s="7"/>
      <c r="EI177" s="7"/>
      <c r="EJ177" s="7"/>
      <c r="EM177" s="7"/>
      <c r="EN177" s="7"/>
      <c r="EQ177" s="7"/>
      <c r="ER177" s="7"/>
      <c r="EU177" s="7"/>
      <c r="EV177" s="7"/>
      <c r="EY177" s="7"/>
      <c r="EZ177" s="7"/>
      <c r="FC177" s="7"/>
      <c r="FD177" s="7"/>
      <c r="FG177" s="7"/>
      <c r="FH177" s="7"/>
      <c r="FK177" s="7"/>
      <c r="FL177" s="7"/>
      <c r="FO177" s="7"/>
      <c r="FP177" s="7"/>
      <c r="FS177" s="7"/>
      <c r="FT177" s="7"/>
      <c r="FW177" s="7"/>
      <c r="FX177" s="7"/>
      <c r="GA177" s="7"/>
      <c r="GB177" s="7"/>
      <c r="GE177" s="7"/>
      <c r="GF177" s="7"/>
      <c r="GI177" s="7"/>
      <c r="GJ177" s="7"/>
      <c r="GM177" s="7"/>
      <c r="GN177" s="7"/>
      <c r="GQ177" s="7"/>
      <c r="GR177" s="7"/>
      <c r="GU177" s="7"/>
      <c r="GV177" s="7"/>
      <c r="GY177" s="7"/>
      <c r="GZ177" s="7"/>
      <c r="HC177" s="7"/>
      <c r="HD177" s="7"/>
      <c r="HG177" s="7"/>
      <c r="HH177" s="7"/>
      <c r="HK177" s="7"/>
      <c r="HL177" s="7"/>
      <c r="HO177" s="7"/>
      <c r="HP177" s="7"/>
      <c r="HW177" s="66"/>
      <c r="HY177" s="128"/>
      <c r="IE177" s="66"/>
    </row>
    <row r="178" spans="3:239" x14ac:dyDescent="0.3">
      <c r="C178" s="7"/>
      <c r="D178" s="7"/>
      <c r="G178" s="7"/>
      <c r="H178" s="7"/>
      <c r="K178" s="7"/>
      <c r="L178" s="7"/>
      <c r="O178" s="7"/>
      <c r="P178" s="7"/>
      <c r="S178" s="7"/>
      <c r="T178" s="7"/>
      <c r="W178" s="7"/>
      <c r="X178" s="7"/>
      <c r="AA178" s="7"/>
      <c r="AB178" s="7"/>
      <c r="AE178" s="7"/>
      <c r="AF178" s="7"/>
      <c r="AI178" s="7"/>
      <c r="AJ178" s="7"/>
      <c r="AM178" s="7"/>
      <c r="AN178" s="7"/>
      <c r="AQ178" s="7"/>
      <c r="AR178" s="7"/>
      <c r="AU178" s="7"/>
      <c r="AV178" s="7"/>
      <c r="AY178" s="7"/>
      <c r="AZ178" s="7"/>
      <c r="BC178" s="7"/>
      <c r="BD178" s="7"/>
      <c r="BG178" s="7"/>
      <c r="BH178" s="7"/>
      <c r="BK178" s="7"/>
      <c r="BL178" s="7"/>
      <c r="BO178" s="7"/>
      <c r="BP178" s="7"/>
      <c r="BS178" s="7"/>
      <c r="BT178" s="7"/>
      <c r="BW178" s="7"/>
      <c r="BX178" s="7"/>
      <c r="CA178" s="7"/>
      <c r="CB178" s="7"/>
      <c r="CE178" s="7"/>
      <c r="CF178" s="7"/>
      <c r="CI178" s="7"/>
      <c r="CJ178" s="7"/>
      <c r="CM178" s="7"/>
      <c r="CN178" s="7"/>
      <c r="CQ178" s="7"/>
      <c r="CR178" s="7"/>
      <c r="CU178" s="7"/>
      <c r="CV178" s="7"/>
      <c r="CY178" s="7"/>
      <c r="CZ178" s="7"/>
      <c r="DC178" s="7"/>
      <c r="DD178" s="7"/>
      <c r="DG178" s="7"/>
      <c r="DH178" s="7"/>
      <c r="DK178" s="7"/>
      <c r="DL178" s="7"/>
      <c r="DO178" s="7"/>
      <c r="DP178" s="7"/>
      <c r="DS178" s="7"/>
      <c r="DT178" s="7"/>
      <c r="DW178" s="7"/>
      <c r="DX178" s="7"/>
      <c r="EA178" s="7"/>
      <c r="EB178" s="7"/>
      <c r="EE178" s="7"/>
      <c r="EF178" s="7"/>
      <c r="EI178" s="7"/>
      <c r="EJ178" s="7"/>
      <c r="EM178" s="7"/>
      <c r="EN178" s="7"/>
      <c r="EQ178" s="7"/>
      <c r="ER178" s="7"/>
      <c r="EU178" s="7"/>
      <c r="EV178" s="7"/>
      <c r="EY178" s="7"/>
      <c r="EZ178" s="7"/>
      <c r="FC178" s="7"/>
      <c r="FD178" s="7"/>
      <c r="FG178" s="7"/>
      <c r="FH178" s="7"/>
      <c r="FK178" s="7"/>
      <c r="FL178" s="7"/>
      <c r="FO178" s="7"/>
      <c r="FP178" s="7"/>
      <c r="FS178" s="7"/>
      <c r="FT178" s="7"/>
      <c r="FW178" s="7"/>
      <c r="FX178" s="7"/>
      <c r="GA178" s="7"/>
      <c r="GB178" s="7"/>
      <c r="GE178" s="7"/>
      <c r="GF178" s="7"/>
      <c r="GI178" s="7"/>
      <c r="GJ178" s="7"/>
      <c r="GM178" s="7"/>
      <c r="GN178" s="7"/>
      <c r="GQ178" s="7"/>
      <c r="GR178" s="7"/>
      <c r="GU178" s="7"/>
      <c r="GV178" s="7"/>
      <c r="GY178" s="7"/>
      <c r="GZ178" s="7"/>
      <c r="HC178" s="7"/>
      <c r="HD178" s="7"/>
      <c r="HG178" s="7"/>
      <c r="HH178" s="7"/>
      <c r="HK178" s="7"/>
      <c r="HL178" s="7"/>
      <c r="HO178" s="7"/>
      <c r="HP178" s="7"/>
    </row>
    <row r="179" spans="3:239" x14ac:dyDescent="0.3">
      <c r="C179" s="7"/>
      <c r="D179" s="7"/>
      <c r="G179" s="7"/>
      <c r="H179" s="7"/>
      <c r="K179" s="7"/>
      <c r="L179" s="7"/>
      <c r="O179" s="7"/>
      <c r="P179" s="7"/>
      <c r="S179" s="7"/>
      <c r="T179" s="7"/>
      <c r="W179" s="7"/>
      <c r="X179" s="7"/>
      <c r="AA179" s="7"/>
      <c r="AB179" s="7"/>
      <c r="AE179" s="7"/>
      <c r="AF179" s="7"/>
      <c r="AI179" s="7"/>
      <c r="AJ179" s="7"/>
      <c r="AM179" s="7"/>
      <c r="AN179" s="7"/>
      <c r="AQ179" s="7"/>
      <c r="AR179" s="7"/>
      <c r="AU179" s="7"/>
      <c r="AV179" s="7"/>
      <c r="AY179" s="7"/>
      <c r="AZ179" s="7"/>
      <c r="BC179" s="7"/>
      <c r="BD179" s="7"/>
      <c r="BG179" s="7"/>
      <c r="BH179" s="7"/>
      <c r="BK179" s="7"/>
      <c r="BL179" s="7"/>
      <c r="BO179" s="7"/>
      <c r="BP179" s="7"/>
      <c r="BS179" s="7"/>
      <c r="BT179" s="7"/>
      <c r="BW179" s="7"/>
      <c r="BX179" s="7"/>
      <c r="CA179" s="7"/>
      <c r="CB179" s="7"/>
      <c r="CE179" s="7"/>
      <c r="CF179" s="7"/>
      <c r="CI179" s="7"/>
      <c r="CJ179" s="7"/>
      <c r="CM179" s="7"/>
      <c r="CN179" s="7"/>
      <c r="CQ179" s="7"/>
      <c r="CR179" s="7"/>
      <c r="CU179" s="7"/>
      <c r="CV179" s="7"/>
      <c r="CY179" s="7"/>
      <c r="CZ179" s="7"/>
      <c r="DC179" s="7"/>
      <c r="DD179" s="7"/>
      <c r="DG179" s="7"/>
      <c r="DH179" s="7"/>
      <c r="DK179" s="7"/>
      <c r="DL179" s="7"/>
      <c r="DO179" s="7"/>
      <c r="DP179" s="7"/>
      <c r="DS179" s="7"/>
      <c r="DT179" s="7"/>
      <c r="DW179" s="7"/>
      <c r="DX179" s="7"/>
      <c r="EA179" s="7"/>
      <c r="EB179" s="7"/>
      <c r="EE179" s="7"/>
      <c r="EF179" s="7"/>
      <c r="EI179" s="7"/>
      <c r="EJ179" s="7"/>
      <c r="EM179" s="7"/>
      <c r="EN179" s="7"/>
      <c r="EQ179" s="7"/>
      <c r="ER179" s="7"/>
      <c r="EU179" s="7"/>
      <c r="EV179" s="7"/>
      <c r="EY179" s="7"/>
      <c r="EZ179" s="7"/>
      <c r="FC179" s="7"/>
      <c r="FD179" s="7"/>
      <c r="FG179" s="7"/>
      <c r="FH179" s="7"/>
      <c r="FK179" s="7"/>
      <c r="FL179" s="7"/>
      <c r="FO179" s="7"/>
      <c r="FP179" s="7"/>
      <c r="FS179" s="7"/>
      <c r="FT179" s="7"/>
      <c r="FW179" s="7"/>
      <c r="FX179" s="7"/>
      <c r="GA179" s="7"/>
      <c r="GB179" s="7"/>
      <c r="GE179" s="7"/>
      <c r="GF179" s="7"/>
      <c r="GI179" s="7"/>
      <c r="GJ179" s="7"/>
      <c r="GM179" s="7"/>
      <c r="GN179" s="7"/>
      <c r="GQ179" s="7"/>
      <c r="GR179" s="7"/>
      <c r="GU179" s="7"/>
      <c r="GV179" s="7"/>
      <c r="GY179" s="7"/>
      <c r="GZ179" s="7"/>
      <c r="HC179" s="7"/>
      <c r="HD179" s="7"/>
      <c r="HG179" s="7"/>
      <c r="HH179" s="7"/>
      <c r="HK179" s="7"/>
      <c r="HL179" s="7"/>
      <c r="HO179" s="7"/>
      <c r="HP179" s="7"/>
    </row>
    <row r="180" spans="3:239" x14ac:dyDescent="0.3">
      <c r="C180" s="7"/>
      <c r="D180" s="7"/>
      <c r="G180" s="7"/>
      <c r="H180" s="7"/>
      <c r="K180" s="7"/>
      <c r="L180" s="7"/>
      <c r="O180" s="7"/>
      <c r="P180" s="7"/>
      <c r="S180" s="7"/>
      <c r="T180" s="7"/>
      <c r="W180" s="7"/>
      <c r="X180" s="7"/>
      <c r="AA180" s="7"/>
      <c r="AB180" s="7"/>
      <c r="AE180" s="7"/>
      <c r="AF180" s="7"/>
      <c r="AI180" s="7"/>
      <c r="AJ180" s="7"/>
      <c r="AM180" s="7"/>
      <c r="AN180" s="7"/>
      <c r="AQ180" s="7"/>
      <c r="AR180" s="7"/>
      <c r="AU180" s="7"/>
      <c r="AV180" s="7"/>
      <c r="AY180" s="7"/>
      <c r="AZ180" s="7"/>
      <c r="BC180" s="7"/>
      <c r="BD180" s="7"/>
      <c r="BG180" s="7"/>
      <c r="BH180" s="7"/>
      <c r="BK180" s="7"/>
      <c r="BL180" s="7"/>
      <c r="BO180" s="7"/>
      <c r="BP180" s="7"/>
      <c r="BS180" s="7"/>
      <c r="BT180" s="7"/>
      <c r="BW180" s="7"/>
      <c r="BX180" s="7"/>
      <c r="CA180" s="7"/>
      <c r="CB180" s="7"/>
      <c r="CE180" s="7"/>
      <c r="CF180" s="7"/>
      <c r="CI180" s="7"/>
      <c r="CJ180" s="7"/>
      <c r="CM180" s="7"/>
      <c r="CN180" s="7"/>
      <c r="CQ180" s="7"/>
      <c r="CR180" s="7"/>
      <c r="CU180" s="7"/>
      <c r="CV180" s="7"/>
      <c r="CY180" s="7"/>
      <c r="CZ180" s="7"/>
      <c r="DC180" s="7"/>
      <c r="DD180" s="7"/>
      <c r="DG180" s="7"/>
      <c r="DH180" s="7"/>
      <c r="DK180" s="7"/>
      <c r="DL180" s="7"/>
      <c r="DO180" s="7"/>
      <c r="DP180" s="7"/>
      <c r="DS180" s="7"/>
      <c r="DT180" s="7"/>
      <c r="DW180" s="7"/>
      <c r="DX180" s="7"/>
      <c r="EA180" s="7"/>
      <c r="EB180" s="7"/>
      <c r="EE180" s="7"/>
      <c r="EF180" s="7"/>
      <c r="EI180" s="7"/>
      <c r="EJ180" s="7"/>
      <c r="EM180" s="7"/>
      <c r="EN180" s="7"/>
      <c r="EQ180" s="7"/>
      <c r="ER180" s="7"/>
      <c r="EU180" s="7"/>
      <c r="EV180" s="7"/>
      <c r="EY180" s="7"/>
      <c r="EZ180" s="7"/>
      <c r="FC180" s="7"/>
      <c r="FD180" s="7"/>
      <c r="FG180" s="7"/>
      <c r="FH180" s="7"/>
      <c r="FK180" s="7"/>
      <c r="FL180" s="7"/>
      <c r="FO180" s="7"/>
      <c r="FP180" s="7"/>
      <c r="FS180" s="7"/>
      <c r="FT180" s="7"/>
      <c r="FW180" s="7"/>
      <c r="FX180" s="7"/>
      <c r="GA180" s="7"/>
      <c r="GB180" s="7"/>
      <c r="GE180" s="7"/>
      <c r="GF180" s="7"/>
      <c r="GI180" s="7"/>
      <c r="GJ180" s="7"/>
      <c r="GM180" s="7"/>
      <c r="GN180" s="7"/>
      <c r="GQ180" s="7"/>
      <c r="GR180" s="7"/>
      <c r="GU180" s="7"/>
      <c r="GV180" s="7"/>
      <c r="GY180" s="7"/>
      <c r="GZ180" s="7"/>
      <c r="HC180" s="7"/>
      <c r="HD180" s="7"/>
      <c r="HG180" s="7"/>
      <c r="HH180" s="7"/>
      <c r="HK180" s="7"/>
      <c r="HL180" s="7"/>
      <c r="HO180" s="7"/>
      <c r="HP180" s="7"/>
    </row>
    <row r="181" spans="3:239" x14ac:dyDescent="0.3">
      <c r="C181" s="7"/>
      <c r="D181" s="7"/>
      <c r="G181" s="7"/>
      <c r="H181" s="7"/>
      <c r="K181" s="7"/>
      <c r="L181" s="7"/>
      <c r="O181" s="7"/>
      <c r="P181" s="7"/>
      <c r="S181" s="7"/>
      <c r="T181" s="7"/>
      <c r="W181" s="7"/>
      <c r="X181" s="7"/>
      <c r="AA181" s="7"/>
      <c r="AB181" s="7"/>
      <c r="AE181" s="7"/>
      <c r="AF181" s="7"/>
      <c r="AI181" s="7"/>
      <c r="AJ181" s="7"/>
      <c r="AM181" s="7"/>
      <c r="AN181" s="7"/>
      <c r="AQ181" s="7"/>
      <c r="AR181" s="7"/>
      <c r="AU181" s="7"/>
      <c r="AV181" s="7"/>
      <c r="AY181" s="7"/>
      <c r="AZ181" s="7"/>
      <c r="BC181" s="7"/>
      <c r="BD181" s="7"/>
      <c r="BG181" s="7"/>
      <c r="BH181" s="7"/>
      <c r="BK181" s="7"/>
      <c r="BL181" s="7"/>
      <c r="BO181" s="7"/>
      <c r="BP181" s="7"/>
      <c r="BS181" s="7"/>
      <c r="BT181" s="7"/>
      <c r="BW181" s="7"/>
      <c r="BX181" s="7"/>
      <c r="CA181" s="7"/>
      <c r="CB181" s="7"/>
      <c r="CE181" s="7"/>
      <c r="CF181" s="7"/>
      <c r="CI181" s="7"/>
      <c r="CJ181" s="7"/>
      <c r="CM181" s="7"/>
      <c r="CN181" s="7"/>
      <c r="CQ181" s="7"/>
      <c r="CR181" s="7"/>
      <c r="CU181" s="7"/>
      <c r="CV181" s="7"/>
      <c r="CY181" s="7"/>
      <c r="CZ181" s="7"/>
      <c r="DC181" s="7"/>
      <c r="DD181" s="7"/>
      <c r="DG181" s="7"/>
      <c r="DH181" s="7"/>
      <c r="DK181" s="7"/>
      <c r="DL181" s="7"/>
      <c r="DO181" s="7"/>
      <c r="DP181" s="7"/>
      <c r="DS181" s="7"/>
      <c r="DT181" s="7"/>
      <c r="DW181" s="7"/>
      <c r="DX181" s="7"/>
      <c r="EA181" s="7"/>
      <c r="EB181" s="7"/>
      <c r="EE181" s="7"/>
      <c r="EF181" s="7"/>
      <c r="EI181" s="7"/>
      <c r="EJ181" s="7"/>
      <c r="EM181" s="7"/>
      <c r="EN181" s="7"/>
      <c r="EQ181" s="7"/>
      <c r="ER181" s="7"/>
      <c r="EU181" s="7"/>
      <c r="EV181" s="7"/>
      <c r="EY181" s="7"/>
      <c r="EZ181" s="7"/>
      <c r="FC181" s="7"/>
      <c r="FD181" s="7"/>
      <c r="FG181" s="7"/>
      <c r="FH181" s="7"/>
      <c r="FK181" s="7"/>
      <c r="FL181" s="7"/>
      <c r="FO181" s="7"/>
      <c r="FP181" s="7"/>
      <c r="FS181" s="7"/>
      <c r="FT181" s="7"/>
      <c r="FW181" s="7"/>
      <c r="FX181" s="7"/>
      <c r="GA181" s="7"/>
      <c r="GB181" s="7"/>
      <c r="GE181" s="7"/>
      <c r="GF181" s="7"/>
      <c r="GI181" s="7"/>
      <c r="GJ181" s="7"/>
      <c r="GM181" s="7"/>
      <c r="GN181" s="7"/>
      <c r="GQ181" s="7"/>
      <c r="GR181" s="7"/>
      <c r="GU181" s="7"/>
      <c r="GV181" s="7"/>
      <c r="GY181" s="7"/>
      <c r="GZ181" s="7"/>
      <c r="HC181" s="7"/>
      <c r="HD181" s="7"/>
      <c r="HG181" s="7"/>
      <c r="HH181" s="7"/>
      <c r="HK181" s="7"/>
      <c r="HL181" s="7"/>
      <c r="HO181" s="7"/>
      <c r="HP181" s="7"/>
    </row>
    <row r="182" spans="3:239" x14ac:dyDescent="0.3">
      <c r="C182" s="7"/>
      <c r="D182" s="7"/>
      <c r="G182" s="7"/>
      <c r="H182" s="7"/>
      <c r="K182" s="7"/>
      <c r="L182" s="7"/>
      <c r="O182" s="7"/>
      <c r="P182" s="7"/>
      <c r="S182" s="7"/>
      <c r="T182" s="7"/>
      <c r="W182" s="7"/>
      <c r="X182" s="7"/>
      <c r="AA182" s="7"/>
      <c r="AB182" s="7"/>
      <c r="AE182" s="7"/>
      <c r="AF182" s="7"/>
      <c r="AI182" s="7"/>
      <c r="AJ182" s="7"/>
      <c r="AM182" s="7"/>
      <c r="AN182" s="7"/>
      <c r="AQ182" s="7"/>
      <c r="AR182" s="7"/>
      <c r="AU182" s="7"/>
      <c r="AV182" s="7"/>
      <c r="AY182" s="7"/>
      <c r="AZ182" s="7"/>
      <c r="BC182" s="7"/>
      <c r="BD182" s="7"/>
      <c r="BG182" s="7"/>
      <c r="BH182" s="7"/>
      <c r="BK182" s="7"/>
      <c r="BL182" s="7"/>
      <c r="BO182" s="7"/>
      <c r="BP182" s="7"/>
      <c r="BS182" s="7"/>
      <c r="BT182" s="7"/>
      <c r="BW182" s="7"/>
      <c r="BX182" s="7"/>
      <c r="CA182" s="7"/>
      <c r="CB182" s="7"/>
      <c r="CE182" s="7"/>
      <c r="CF182" s="7"/>
      <c r="CI182" s="7"/>
      <c r="CJ182" s="7"/>
      <c r="CM182" s="7"/>
      <c r="CN182" s="7"/>
      <c r="CQ182" s="7"/>
      <c r="CR182" s="7"/>
      <c r="CU182" s="7"/>
      <c r="CV182" s="7"/>
      <c r="CY182" s="7"/>
      <c r="CZ182" s="7"/>
      <c r="DC182" s="7"/>
      <c r="DD182" s="7"/>
      <c r="DG182" s="7"/>
      <c r="DH182" s="7"/>
      <c r="DK182" s="7"/>
      <c r="DL182" s="7"/>
      <c r="DO182" s="7"/>
      <c r="DP182" s="7"/>
      <c r="DS182" s="7"/>
      <c r="DT182" s="7"/>
      <c r="DW182" s="7"/>
      <c r="DX182" s="7"/>
      <c r="EA182" s="7"/>
      <c r="EB182" s="7"/>
      <c r="EE182" s="7"/>
      <c r="EF182" s="7"/>
      <c r="EI182" s="7"/>
      <c r="EJ182" s="7"/>
      <c r="EM182" s="7"/>
      <c r="EN182" s="7"/>
      <c r="EQ182" s="7"/>
      <c r="ER182" s="7"/>
      <c r="EU182" s="7"/>
      <c r="EV182" s="7"/>
      <c r="EY182" s="7"/>
      <c r="EZ182" s="7"/>
      <c r="FC182" s="7"/>
      <c r="FD182" s="7"/>
      <c r="FG182" s="7"/>
      <c r="FH182" s="7"/>
      <c r="FK182" s="7"/>
      <c r="FL182" s="7"/>
      <c r="FO182" s="7"/>
      <c r="FP182" s="7"/>
      <c r="FS182" s="7"/>
      <c r="FT182" s="7"/>
      <c r="FW182" s="7"/>
      <c r="FX182" s="7"/>
      <c r="GA182" s="7"/>
      <c r="GB182" s="7"/>
      <c r="GE182" s="7"/>
      <c r="GF182" s="7"/>
      <c r="GI182" s="7"/>
      <c r="GJ182" s="7"/>
      <c r="GM182" s="7"/>
      <c r="GN182" s="7"/>
      <c r="GQ182" s="7"/>
      <c r="GR182" s="7"/>
      <c r="GU182" s="7"/>
      <c r="GV182" s="7"/>
      <c r="GY182" s="7"/>
      <c r="GZ182" s="7"/>
      <c r="HC182" s="7"/>
      <c r="HD182" s="7"/>
      <c r="HG182" s="7"/>
      <c r="HH182" s="7"/>
      <c r="HK182" s="7"/>
      <c r="HL182" s="7"/>
      <c r="HO182" s="7"/>
      <c r="HP182" s="7"/>
    </row>
    <row r="183" spans="3:239" x14ac:dyDescent="0.3">
      <c r="C183" s="7"/>
      <c r="D183" s="7"/>
      <c r="G183" s="7"/>
      <c r="H183" s="7"/>
      <c r="K183" s="7"/>
      <c r="L183" s="7"/>
      <c r="O183" s="7"/>
      <c r="P183" s="7"/>
      <c r="S183" s="7"/>
      <c r="T183" s="7"/>
      <c r="W183" s="7"/>
      <c r="X183" s="7"/>
      <c r="AA183" s="7"/>
      <c r="AB183" s="7"/>
      <c r="AE183" s="7"/>
      <c r="AF183" s="7"/>
      <c r="AI183" s="7"/>
      <c r="AJ183" s="7"/>
      <c r="AM183" s="7"/>
      <c r="AN183" s="7"/>
      <c r="AQ183" s="7"/>
      <c r="AR183" s="7"/>
      <c r="AU183" s="7"/>
      <c r="AV183" s="7"/>
      <c r="AY183" s="7"/>
      <c r="AZ183" s="7"/>
      <c r="BC183" s="7"/>
      <c r="BD183" s="7"/>
      <c r="BG183" s="7"/>
      <c r="BH183" s="7"/>
      <c r="BK183" s="7"/>
      <c r="BL183" s="7"/>
      <c r="BO183" s="7"/>
      <c r="BP183" s="7"/>
      <c r="BS183" s="7"/>
      <c r="BT183" s="7"/>
      <c r="BW183" s="7"/>
      <c r="BX183" s="7"/>
      <c r="CA183" s="7"/>
      <c r="CB183" s="7"/>
      <c r="CE183" s="7"/>
      <c r="CF183" s="7"/>
      <c r="CI183" s="7"/>
      <c r="CJ183" s="7"/>
      <c r="CM183" s="7"/>
      <c r="CN183" s="7"/>
      <c r="CQ183" s="7"/>
      <c r="CR183" s="7"/>
      <c r="CU183" s="7"/>
      <c r="CV183" s="7"/>
      <c r="CY183" s="7"/>
      <c r="CZ183" s="7"/>
      <c r="DC183" s="7"/>
      <c r="DD183" s="7"/>
      <c r="DG183" s="7"/>
      <c r="DH183" s="7"/>
      <c r="DK183" s="7"/>
      <c r="DL183" s="7"/>
      <c r="DO183" s="7"/>
      <c r="DP183" s="7"/>
      <c r="DS183" s="7"/>
      <c r="DT183" s="7"/>
      <c r="DW183" s="7"/>
      <c r="DX183" s="7"/>
      <c r="EA183" s="7"/>
      <c r="EB183" s="7"/>
      <c r="EE183" s="7"/>
      <c r="EF183" s="7"/>
      <c r="EI183" s="7"/>
      <c r="EJ183" s="7"/>
      <c r="EM183" s="7"/>
      <c r="EN183" s="7"/>
      <c r="EQ183" s="7"/>
      <c r="ER183" s="7"/>
      <c r="EU183" s="7"/>
      <c r="EV183" s="7"/>
      <c r="EY183" s="7"/>
      <c r="EZ183" s="7"/>
      <c r="FC183" s="7"/>
      <c r="FD183" s="7"/>
      <c r="FG183" s="7"/>
      <c r="FH183" s="7"/>
      <c r="FK183" s="7"/>
      <c r="FL183" s="7"/>
      <c r="FO183" s="7"/>
      <c r="FP183" s="7"/>
      <c r="FS183" s="7"/>
      <c r="FT183" s="7"/>
      <c r="FW183" s="7"/>
      <c r="FX183" s="7"/>
      <c r="GA183" s="7"/>
      <c r="GB183" s="7"/>
      <c r="GE183" s="7"/>
      <c r="GF183" s="7"/>
      <c r="GI183" s="7"/>
      <c r="GJ183" s="7"/>
      <c r="GM183" s="7"/>
      <c r="GN183" s="7"/>
      <c r="GQ183" s="7"/>
      <c r="GR183" s="7"/>
      <c r="GU183" s="7"/>
      <c r="GV183" s="7"/>
      <c r="GY183" s="7"/>
      <c r="GZ183" s="7"/>
      <c r="HC183" s="7"/>
      <c r="HD183" s="7"/>
      <c r="HG183" s="7"/>
      <c r="HH183" s="7"/>
      <c r="HK183" s="7"/>
      <c r="HL183" s="7"/>
      <c r="HO183" s="7"/>
      <c r="HP183" s="7"/>
    </row>
    <row r="184" spans="3:239" x14ac:dyDescent="0.3">
      <c r="C184" s="7"/>
      <c r="D184" s="7"/>
      <c r="G184" s="7"/>
      <c r="H184" s="7"/>
      <c r="K184" s="7"/>
      <c r="L184" s="7"/>
      <c r="O184" s="7"/>
      <c r="P184" s="7"/>
      <c r="S184" s="7"/>
      <c r="T184" s="7"/>
      <c r="W184" s="7"/>
      <c r="X184" s="7"/>
      <c r="AA184" s="7"/>
      <c r="AB184" s="7"/>
      <c r="AE184" s="7"/>
      <c r="AF184" s="7"/>
      <c r="AI184" s="7"/>
      <c r="AJ184" s="7"/>
      <c r="AM184" s="7"/>
      <c r="AN184" s="7"/>
      <c r="AQ184" s="7"/>
      <c r="AR184" s="7"/>
      <c r="AU184" s="7"/>
      <c r="AV184" s="7"/>
      <c r="AY184" s="7"/>
      <c r="AZ184" s="7"/>
      <c r="BC184" s="7"/>
      <c r="BD184" s="7"/>
      <c r="BG184" s="7"/>
      <c r="BH184" s="7"/>
      <c r="BK184" s="7"/>
      <c r="BL184" s="7"/>
      <c r="BO184" s="7"/>
      <c r="BP184" s="7"/>
      <c r="BS184" s="7"/>
      <c r="BT184" s="7"/>
      <c r="BW184" s="7"/>
      <c r="BX184" s="7"/>
      <c r="CA184" s="7"/>
      <c r="CB184" s="7"/>
      <c r="CE184" s="7"/>
      <c r="CF184" s="7"/>
      <c r="CI184" s="7"/>
      <c r="CJ184" s="7"/>
      <c r="CM184" s="7"/>
      <c r="CN184" s="7"/>
      <c r="CQ184" s="7"/>
      <c r="CR184" s="7"/>
      <c r="CU184" s="7"/>
      <c r="CV184" s="7"/>
      <c r="CY184" s="7"/>
      <c r="CZ184" s="7"/>
      <c r="DC184" s="7"/>
      <c r="DD184" s="7"/>
      <c r="DG184" s="7"/>
      <c r="DH184" s="7"/>
      <c r="DK184" s="7"/>
      <c r="DL184" s="7"/>
      <c r="DO184" s="7"/>
      <c r="DP184" s="7"/>
      <c r="DS184" s="7"/>
      <c r="DT184" s="7"/>
      <c r="DW184" s="7"/>
      <c r="DX184" s="7"/>
      <c r="EA184" s="7"/>
      <c r="EB184" s="7"/>
      <c r="EE184" s="7"/>
      <c r="EF184" s="7"/>
      <c r="EI184" s="7"/>
      <c r="EJ184" s="7"/>
      <c r="EM184" s="7"/>
      <c r="EN184" s="7"/>
      <c r="EQ184" s="7"/>
      <c r="ER184" s="7"/>
      <c r="EU184" s="7"/>
      <c r="EV184" s="7"/>
      <c r="EY184" s="7"/>
      <c r="EZ184" s="7"/>
      <c r="FC184" s="7"/>
      <c r="FD184" s="7"/>
      <c r="FG184" s="7"/>
      <c r="FH184" s="7"/>
      <c r="FK184" s="7"/>
      <c r="FL184" s="7"/>
      <c r="FO184" s="7"/>
      <c r="FP184" s="7"/>
      <c r="FS184" s="7"/>
      <c r="FT184" s="7"/>
      <c r="FW184" s="7"/>
      <c r="FX184" s="7"/>
      <c r="GA184" s="7"/>
      <c r="GB184" s="7"/>
      <c r="GE184" s="7"/>
      <c r="GF184" s="7"/>
      <c r="GI184" s="7"/>
      <c r="GJ184" s="7"/>
      <c r="GM184" s="7"/>
      <c r="GN184" s="7"/>
      <c r="GQ184" s="7"/>
      <c r="GR184" s="7"/>
      <c r="GU184" s="7"/>
      <c r="GV184" s="7"/>
      <c r="GY184" s="7"/>
      <c r="GZ184" s="7"/>
      <c r="HC184" s="7"/>
      <c r="HD184" s="7"/>
      <c r="HG184" s="7"/>
      <c r="HH184" s="7"/>
      <c r="HK184" s="7"/>
      <c r="HL184" s="7"/>
      <c r="HO184" s="7"/>
      <c r="HP184" s="7"/>
    </row>
    <row r="185" spans="3:239" x14ac:dyDescent="0.3">
      <c r="C185" s="7"/>
      <c r="D185" s="7"/>
      <c r="G185" s="7"/>
      <c r="H185" s="7"/>
      <c r="K185" s="7"/>
      <c r="L185" s="7"/>
      <c r="O185" s="7"/>
      <c r="P185" s="7"/>
      <c r="S185" s="7"/>
      <c r="T185" s="7"/>
      <c r="W185" s="7"/>
      <c r="X185" s="7"/>
      <c r="AA185" s="7"/>
      <c r="AB185" s="7"/>
      <c r="AE185" s="7"/>
      <c r="AF185" s="7"/>
      <c r="AI185" s="7"/>
      <c r="AJ185" s="7"/>
      <c r="AM185" s="7"/>
      <c r="AN185" s="7"/>
      <c r="AQ185" s="7"/>
      <c r="AR185" s="7"/>
      <c r="AU185" s="7"/>
      <c r="AV185" s="7"/>
      <c r="AY185" s="7"/>
      <c r="AZ185" s="7"/>
      <c r="BC185" s="7"/>
      <c r="BD185" s="7"/>
      <c r="BG185" s="7"/>
      <c r="BH185" s="7"/>
      <c r="BK185" s="7"/>
      <c r="BL185" s="7"/>
      <c r="BO185" s="7"/>
      <c r="BP185" s="7"/>
      <c r="BS185" s="7"/>
      <c r="BT185" s="7"/>
      <c r="BW185" s="7"/>
      <c r="BX185" s="7"/>
      <c r="CA185" s="7"/>
      <c r="CB185" s="7"/>
      <c r="CE185" s="7"/>
      <c r="CF185" s="7"/>
      <c r="CI185" s="7"/>
      <c r="CJ185" s="7"/>
      <c r="CM185" s="7"/>
      <c r="CN185" s="7"/>
      <c r="CQ185" s="7"/>
      <c r="CR185" s="7"/>
      <c r="CU185" s="7"/>
      <c r="CV185" s="7"/>
      <c r="CY185" s="7"/>
      <c r="CZ185" s="7"/>
      <c r="DC185" s="7"/>
      <c r="DD185" s="7"/>
      <c r="DG185" s="7"/>
      <c r="DH185" s="7"/>
      <c r="DK185" s="7"/>
      <c r="DL185" s="7"/>
      <c r="DO185" s="7"/>
      <c r="DP185" s="7"/>
      <c r="DS185" s="7"/>
      <c r="DT185" s="7"/>
      <c r="DW185" s="7"/>
      <c r="DX185" s="7"/>
      <c r="EA185" s="7"/>
      <c r="EB185" s="7"/>
      <c r="EE185" s="7"/>
      <c r="EF185" s="7"/>
      <c r="EI185" s="7"/>
      <c r="EJ185" s="7"/>
      <c r="EM185" s="7"/>
      <c r="EN185" s="7"/>
      <c r="EQ185" s="7"/>
      <c r="ER185" s="7"/>
      <c r="EU185" s="7"/>
      <c r="EV185" s="7"/>
      <c r="EY185" s="7"/>
      <c r="EZ185" s="7"/>
      <c r="FC185" s="7"/>
      <c r="FD185" s="7"/>
      <c r="FG185" s="7"/>
      <c r="FH185" s="7"/>
      <c r="FK185" s="7"/>
      <c r="FL185" s="7"/>
      <c r="FO185" s="7"/>
      <c r="FP185" s="7"/>
      <c r="FS185" s="7"/>
      <c r="FT185" s="7"/>
      <c r="FW185" s="7"/>
      <c r="FX185" s="7"/>
      <c r="GA185" s="7"/>
      <c r="GB185" s="7"/>
      <c r="GE185" s="7"/>
      <c r="GF185" s="7"/>
      <c r="GI185" s="7"/>
      <c r="GJ185" s="7"/>
      <c r="GM185" s="7"/>
      <c r="GN185" s="7"/>
      <c r="GQ185" s="7"/>
      <c r="GR185" s="7"/>
      <c r="GU185" s="7"/>
      <c r="GV185" s="7"/>
      <c r="GY185" s="7"/>
      <c r="GZ185" s="7"/>
      <c r="HC185" s="7"/>
      <c r="HD185" s="7"/>
      <c r="HG185" s="7"/>
      <c r="HH185" s="7"/>
      <c r="HK185" s="7"/>
      <c r="HL185" s="7"/>
      <c r="HO185" s="7"/>
      <c r="HP185" s="7"/>
    </row>
    <row r="186" spans="3:239" x14ac:dyDescent="0.3">
      <c r="C186" s="7"/>
      <c r="D186" s="7"/>
      <c r="G186" s="7"/>
      <c r="H186" s="7"/>
      <c r="K186" s="7"/>
      <c r="L186" s="7"/>
      <c r="O186" s="7"/>
      <c r="P186" s="7"/>
      <c r="S186" s="7"/>
      <c r="T186" s="7"/>
      <c r="W186" s="7"/>
      <c r="X186" s="7"/>
      <c r="AA186" s="7"/>
      <c r="AB186" s="7"/>
      <c r="AE186" s="7"/>
      <c r="AF186" s="7"/>
      <c r="AI186" s="7"/>
      <c r="AJ186" s="7"/>
      <c r="AM186" s="7"/>
      <c r="AN186" s="7"/>
      <c r="AQ186" s="7"/>
      <c r="AR186" s="7"/>
      <c r="AU186" s="7"/>
      <c r="AV186" s="7"/>
      <c r="AY186" s="7"/>
      <c r="AZ186" s="7"/>
      <c r="BC186" s="7"/>
      <c r="BD186" s="7"/>
      <c r="BG186" s="7"/>
      <c r="BH186" s="7"/>
      <c r="BK186" s="7"/>
      <c r="BL186" s="7"/>
      <c r="BO186" s="7"/>
      <c r="BP186" s="7"/>
      <c r="BS186" s="7"/>
      <c r="BT186" s="7"/>
      <c r="BW186" s="7"/>
      <c r="BX186" s="7"/>
      <c r="CA186" s="7"/>
      <c r="CB186" s="7"/>
      <c r="CE186" s="7"/>
      <c r="CF186" s="7"/>
      <c r="CI186" s="7"/>
      <c r="CJ186" s="7"/>
      <c r="CM186" s="7"/>
      <c r="CN186" s="7"/>
      <c r="CQ186" s="7"/>
      <c r="CR186" s="7"/>
      <c r="CU186" s="7"/>
      <c r="CV186" s="7"/>
      <c r="CY186" s="7"/>
      <c r="CZ186" s="7"/>
      <c r="DC186" s="7"/>
      <c r="DD186" s="7"/>
      <c r="DG186" s="7"/>
      <c r="DH186" s="7"/>
      <c r="DK186" s="7"/>
      <c r="DL186" s="7"/>
      <c r="DO186" s="7"/>
      <c r="DP186" s="7"/>
      <c r="DS186" s="7"/>
      <c r="DT186" s="7"/>
      <c r="DW186" s="7"/>
      <c r="DX186" s="7"/>
      <c r="EA186" s="7"/>
      <c r="EB186" s="7"/>
      <c r="EE186" s="7"/>
      <c r="EF186" s="7"/>
      <c r="EI186" s="7"/>
      <c r="EJ186" s="7"/>
      <c r="EM186" s="7"/>
      <c r="EN186" s="7"/>
      <c r="EQ186" s="7"/>
      <c r="ER186" s="7"/>
      <c r="EU186" s="7"/>
      <c r="EV186" s="7"/>
      <c r="EY186" s="7"/>
      <c r="EZ186" s="7"/>
      <c r="FC186" s="7"/>
      <c r="FD186" s="7"/>
      <c r="FG186" s="7"/>
      <c r="FH186" s="7"/>
      <c r="FK186" s="7"/>
      <c r="FL186" s="7"/>
      <c r="FO186" s="7"/>
      <c r="FP186" s="7"/>
      <c r="FS186" s="7"/>
      <c r="FT186" s="7"/>
      <c r="FW186" s="7"/>
      <c r="FX186" s="7"/>
      <c r="GA186" s="7"/>
      <c r="GB186" s="7"/>
      <c r="GE186" s="7"/>
      <c r="GF186" s="7"/>
      <c r="GI186" s="7"/>
      <c r="GJ186" s="7"/>
      <c r="GM186" s="7"/>
      <c r="GN186" s="7"/>
      <c r="GQ186" s="7"/>
      <c r="GR186" s="7"/>
      <c r="GU186" s="7"/>
      <c r="GV186" s="7"/>
      <c r="GY186" s="7"/>
      <c r="GZ186" s="7"/>
      <c r="HC186" s="7"/>
      <c r="HD186" s="7"/>
      <c r="HG186" s="7"/>
      <c r="HH186" s="7"/>
      <c r="HK186" s="7"/>
      <c r="HL186" s="7"/>
      <c r="HO186" s="7"/>
      <c r="HP186" s="7"/>
    </row>
    <row r="187" spans="3:239" x14ac:dyDescent="0.3">
      <c r="C187" s="7"/>
      <c r="D187" s="7"/>
      <c r="G187" s="7"/>
      <c r="H187" s="7"/>
      <c r="K187" s="7"/>
      <c r="L187" s="7"/>
      <c r="O187" s="7"/>
      <c r="P187" s="7"/>
      <c r="S187" s="7"/>
      <c r="T187" s="7"/>
      <c r="W187" s="7"/>
      <c r="X187" s="7"/>
      <c r="AA187" s="7"/>
      <c r="AB187" s="7"/>
      <c r="AE187" s="7"/>
      <c r="AF187" s="7"/>
      <c r="AI187" s="7"/>
      <c r="AJ187" s="7"/>
      <c r="AM187" s="7"/>
      <c r="AN187" s="7"/>
      <c r="AQ187" s="7"/>
      <c r="AR187" s="7"/>
      <c r="AU187" s="7"/>
      <c r="AV187" s="7"/>
      <c r="AY187" s="7"/>
      <c r="AZ187" s="7"/>
      <c r="BC187" s="7"/>
      <c r="BD187" s="7"/>
      <c r="BG187" s="7"/>
      <c r="BH187" s="7"/>
      <c r="BK187" s="7"/>
      <c r="BL187" s="7"/>
      <c r="BO187" s="7"/>
      <c r="BP187" s="7"/>
      <c r="BS187" s="7"/>
      <c r="BT187" s="7"/>
      <c r="BW187" s="7"/>
      <c r="BX187" s="7"/>
      <c r="CA187" s="7"/>
      <c r="CB187" s="7"/>
      <c r="CE187" s="7"/>
      <c r="CF187" s="7"/>
      <c r="CI187" s="7"/>
      <c r="CJ187" s="7"/>
      <c r="CM187" s="7"/>
      <c r="CN187" s="7"/>
      <c r="CQ187" s="7"/>
      <c r="CR187" s="7"/>
      <c r="CU187" s="7"/>
      <c r="CV187" s="7"/>
      <c r="CY187" s="7"/>
      <c r="CZ187" s="7"/>
      <c r="DC187" s="7"/>
      <c r="DD187" s="7"/>
      <c r="DG187" s="7"/>
      <c r="DH187" s="7"/>
      <c r="DK187" s="7"/>
      <c r="DL187" s="7"/>
      <c r="DO187" s="7"/>
      <c r="DP187" s="7"/>
      <c r="DS187" s="7"/>
      <c r="DT187" s="7"/>
      <c r="DW187" s="7"/>
      <c r="DX187" s="7"/>
      <c r="EA187" s="7"/>
      <c r="EB187" s="7"/>
      <c r="EE187" s="7"/>
      <c r="EF187" s="7"/>
      <c r="EI187" s="7"/>
      <c r="EJ187" s="7"/>
      <c r="EM187" s="7"/>
      <c r="EN187" s="7"/>
      <c r="EQ187" s="7"/>
      <c r="ER187" s="7"/>
      <c r="EU187" s="7"/>
      <c r="EV187" s="7"/>
      <c r="EY187" s="7"/>
      <c r="EZ187" s="7"/>
      <c r="FC187" s="7"/>
      <c r="FD187" s="7"/>
      <c r="FG187" s="7"/>
      <c r="FH187" s="7"/>
      <c r="FK187" s="7"/>
      <c r="FL187" s="7"/>
      <c r="FO187" s="7"/>
      <c r="FP187" s="7"/>
      <c r="FS187" s="7"/>
      <c r="FT187" s="7"/>
      <c r="FW187" s="7"/>
      <c r="FX187" s="7"/>
      <c r="GA187" s="7"/>
      <c r="GB187" s="7"/>
      <c r="GE187" s="7"/>
      <c r="GF187" s="7"/>
      <c r="GI187" s="7"/>
      <c r="GJ187" s="7"/>
      <c r="GM187" s="7"/>
      <c r="GN187" s="7"/>
      <c r="GQ187" s="7"/>
      <c r="GR187" s="7"/>
      <c r="GU187" s="7"/>
      <c r="GV187" s="7"/>
      <c r="GY187" s="7"/>
      <c r="GZ187" s="7"/>
      <c r="HC187" s="7"/>
      <c r="HD187" s="7"/>
      <c r="HG187" s="7"/>
      <c r="HH187" s="7"/>
      <c r="HK187" s="7"/>
      <c r="HL187" s="7"/>
      <c r="HO187" s="7"/>
      <c r="HP187" s="7"/>
    </row>
    <row r="188" spans="3:239" x14ac:dyDescent="0.3">
      <c r="C188" s="7"/>
      <c r="D188" s="7"/>
      <c r="G188" s="7"/>
      <c r="H188" s="7"/>
      <c r="K188" s="7"/>
      <c r="L188" s="7"/>
      <c r="O188" s="7"/>
      <c r="P188" s="7"/>
      <c r="S188" s="7"/>
      <c r="T188" s="7"/>
      <c r="W188" s="7"/>
      <c r="X188" s="7"/>
      <c r="AA188" s="7"/>
      <c r="AB188" s="7"/>
      <c r="AE188" s="7"/>
      <c r="AF188" s="7"/>
      <c r="AI188" s="7"/>
      <c r="AJ188" s="7"/>
      <c r="AM188" s="7"/>
      <c r="AN188" s="7"/>
      <c r="AQ188" s="7"/>
      <c r="AR188" s="7"/>
      <c r="AU188" s="7"/>
      <c r="AV188" s="7"/>
      <c r="AY188" s="7"/>
      <c r="AZ188" s="7"/>
      <c r="BC188" s="7"/>
      <c r="BD188" s="7"/>
      <c r="BG188" s="7"/>
      <c r="BH188" s="7"/>
      <c r="BK188" s="7"/>
      <c r="BL188" s="7"/>
      <c r="BO188" s="7"/>
      <c r="BP188" s="7"/>
      <c r="BS188" s="7"/>
      <c r="BT188" s="7"/>
      <c r="BW188" s="7"/>
      <c r="BX188" s="7"/>
      <c r="CA188" s="7"/>
      <c r="CB188" s="7"/>
      <c r="CE188" s="7"/>
      <c r="CF188" s="7"/>
      <c r="CI188" s="7"/>
      <c r="CJ188" s="7"/>
      <c r="CM188" s="7"/>
      <c r="CN188" s="7"/>
      <c r="CQ188" s="7"/>
      <c r="CR188" s="7"/>
      <c r="CU188" s="7"/>
      <c r="CV188" s="7"/>
      <c r="CY188" s="7"/>
      <c r="CZ188" s="7"/>
      <c r="DC188" s="7"/>
      <c r="DD188" s="7"/>
      <c r="DG188" s="7"/>
      <c r="DH188" s="7"/>
      <c r="DK188" s="7"/>
      <c r="DL188" s="7"/>
      <c r="DO188" s="7"/>
      <c r="DP188" s="7"/>
      <c r="DS188" s="7"/>
      <c r="DT188" s="7"/>
      <c r="DW188" s="7"/>
      <c r="DX188" s="7"/>
      <c r="EA188" s="7"/>
      <c r="EB188" s="7"/>
      <c r="EE188" s="7"/>
      <c r="EF188" s="7"/>
      <c r="EI188" s="7"/>
      <c r="EJ188" s="7"/>
      <c r="EM188" s="7"/>
      <c r="EN188" s="7"/>
      <c r="EQ188" s="7"/>
      <c r="ER188" s="7"/>
      <c r="EU188" s="7"/>
      <c r="EV188" s="7"/>
      <c r="EY188" s="7"/>
      <c r="EZ188" s="7"/>
      <c r="FC188" s="7"/>
      <c r="FD188" s="7"/>
      <c r="FG188" s="7"/>
      <c r="FH188" s="7"/>
      <c r="FK188" s="7"/>
      <c r="FL188" s="7"/>
      <c r="FO188" s="7"/>
      <c r="FP188" s="7"/>
      <c r="FS188" s="7"/>
      <c r="FT188" s="7"/>
      <c r="FW188" s="7"/>
      <c r="FX188" s="7"/>
      <c r="GA188" s="7"/>
      <c r="GB188" s="7"/>
      <c r="GE188" s="7"/>
      <c r="GF188" s="7"/>
      <c r="GI188" s="7"/>
      <c r="GJ188" s="7"/>
      <c r="GM188" s="7"/>
      <c r="GN188" s="7"/>
      <c r="GQ188" s="7"/>
      <c r="GR188" s="7"/>
      <c r="GU188" s="7"/>
      <c r="GV188" s="7"/>
      <c r="GY188" s="7"/>
      <c r="GZ188" s="7"/>
      <c r="HC188" s="7"/>
      <c r="HD188" s="7"/>
      <c r="HG188" s="7"/>
      <c r="HH188" s="7"/>
      <c r="HK188" s="7"/>
      <c r="HL188" s="7"/>
      <c r="HO188" s="7"/>
      <c r="HP188" s="7"/>
    </row>
    <row r="189" spans="3:239" x14ac:dyDescent="0.3">
      <c r="C189" s="7"/>
      <c r="D189" s="7"/>
      <c r="G189" s="7"/>
      <c r="H189" s="7"/>
      <c r="K189" s="7"/>
      <c r="L189" s="7"/>
      <c r="O189" s="7"/>
      <c r="P189" s="7"/>
      <c r="S189" s="7"/>
      <c r="T189" s="7"/>
      <c r="W189" s="7"/>
      <c r="X189" s="7"/>
      <c r="AA189" s="7"/>
      <c r="AB189" s="7"/>
      <c r="AE189" s="7"/>
      <c r="AF189" s="7"/>
      <c r="AI189" s="7"/>
      <c r="AJ189" s="7"/>
      <c r="AM189" s="7"/>
      <c r="AN189" s="7"/>
      <c r="AQ189" s="7"/>
      <c r="AR189" s="7"/>
      <c r="AU189" s="7"/>
      <c r="AV189" s="7"/>
      <c r="AY189" s="7"/>
      <c r="AZ189" s="7"/>
      <c r="BC189" s="7"/>
      <c r="BD189" s="7"/>
      <c r="BG189" s="7"/>
      <c r="BH189" s="7"/>
      <c r="BK189" s="7"/>
      <c r="BL189" s="7"/>
      <c r="BO189" s="7"/>
      <c r="BP189" s="7"/>
      <c r="BS189" s="7"/>
      <c r="BT189" s="7"/>
      <c r="BW189" s="7"/>
      <c r="BX189" s="7"/>
      <c r="CA189" s="7"/>
      <c r="CB189" s="7"/>
      <c r="CE189" s="7"/>
      <c r="CF189" s="7"/>
      <c r="CI189" s="7"/>
      <c r="CJ189" s="7"/>
      <c r="CM189" s="7"/>
      <c r="CN189" s="7"/>
      <c r="CQ189" s="7"/>
      <c r="CR189" s="7"/>
      <c r="CU189" s="7"/>
      <c r="CV189" s="7"/>
      <c r="CY189" s="7"/>
      <c r="CZ189" s="7"/>
      <c r="DC189" s="7"/>
      <c r="DD189" s="7"/>
      <c r="DG189" s="7"/>
      <c r="DH189" s="7"/>
      <c r="DK189" s="7"/>
      <c r="DL189" s="7"/>
      <c r="DO189" s="7"/>
      <c r="DP189" s="7"/>
      <c r="DS189" s="7"/>
      <c r="DT189" s="7"/>
      <c r="DW189" s="7"/>
      <c r="DX189" s="7"/>
      <c r="EA189" s="7"/>
      <c r="EB189" s="7"/>
      <c r="EE189" s="7"/>
      <c r="EF189" s="7"/>
      <c r="EI189" s="7"/>
      <c r="EJ189" s="7"/>
      <c r="EM189" s="7"/>
      <c r="EN189" s="7"/>
      <c r="EQ189" s="7"/>
      <c r="ER189" s="7"/>
      <c r="EU189" s="7"/>
      <c r="EV189" s="7"/>
      <c r="EY189" s="7"/>
      <c r="EZ189" s="7"/>
      <c r="FC189" s="7"/>
      <c r="FD189" s="7"/>
      <c r="FG189" s="7"/>
      <c r="FH189" s="7"/>
      <c r="FK189" s="7"/>
      <c r="FL189" s="7"/>
      <c r="FO189" s="7"/>
      <c r="FP189" s="7"/>
      <c r="FS189" s="7"/>
      <c r="FT189" s="7"/>
      <c r="FW189" s="7"/>
      <c r="FX189" s="7"/>
      <c r="GA189" s="7"/>
      <c r="GB189" s="7"/>
      <c r="GE189" s="7"/>
      <c r="GF189" s="7"/>
      <c r="GI189" s="7"/>
      <c r="GJ189" s="7"/>
      <c r="GM189" s="7"/>
      <c r="GN189" s="7"/>
      <c r="GQ189" s="7"/>
      <c r="GR189" s="7"/>
      <c r="GU189" s="7"/>
      <c r="GV189" s="7"/>
      <c r="GY189" s="7"/>
      <c r="GZ189" s="7"/>
      <c r="HC189" s="7"/>
      <c r="HD189" s="7"/>
      <c r="HG189" s="7"/>
      <c r="HH189" s="7"/>
      <c r="HK189" s="7"/>
      <c r="HL189" s="7"/>
      <c r="HO189" s="7"/>
      <c r="HP189" s="7"/>
    </row>
    <row r="190" spans="3:239" x14ac:dyDescent="0.3">
      <c r="C190" s="7"/>
      <c r="D190" s="7"/>
      <c r="G190" s="7"/>
      <c r="H190" s="7"/>
      <c r="K190" s="7"/>
      <c r="L190" s="7"/>
      <c r="O190" s="7"/>
      <c r="P190" s="7"/>
      <c r="S190" s="7"/>
      <c r="T190" s="7"/>
      <c r="W190" s="7"/>
      <c r="X190" s="7"/>
      <c r="AA190" s="7"/>
      <c r="AB190" s="7"/>
      <c r="AE190" s="7"/>
      <c r="AF190" s="7"/>
      <c r="AI190" s="7"/>
      <c r="AJ190" s="7"/>
      <c r="AM190" s="7"/>
      <c r="AN190" s="7"/>
      <c r="AQ190" s="7"/>
      <c r="AR190" s="7"/>
      <c r="AU190" s="7"/>
      <c r="AV190" s="7"/>
      <c r="AY190" s="7"/>
      <c r="AZ190" s="7"/>
      <c r="BC190" s="7"/>
      <c r="BD190" s="7"/>
      <c r="BG190" s="7"/>
      <c r="BH190" s="7"/>
      <c r="BK190" s="7"/>
      <c r="BL190" s="7"/>
      <c r="BO190" s="7"/>
      <c r="BP190" s="7"/>
      <c r="BS190" s="7"/>
      <c r="BT190" s="7"/>
      <c r="BW190" s="7"/>
      <c r="BX190" s="7"/>
      <c r="CA190" s="7"/>
      <c r="CB190" s="7"/>
      <c r="CE190" s="7"/>
      <c r="CF190" s="7"/>
      <c r="CI190" s="7"/>
      <c r="CJ190" s="7"/>
      <c r="CM190" s="7"/>
      <c r="CN190" s="7"/>
      <c r="CQ190" s="7"/>
      <c r="CR190" s="7"/>
      <c r="CU190" s="7"/>
      <c r="CV190" s="7"/>
      <c r="CY190" s="7"/>
      <c r="CZ190" s="7"/>
      <c r="DC190" s="7"/>
      <c r="DD190" s="7"/>
      <c r="DG190" s="7"/>
      <c r="DH190" s="7"/>
      <c r="DK190" s="7"/>
      <c r="DL190" s="7"/>
      <c r="DO190" s="7"/>
      <c r="DP190" s="7"/>
      <c r="DS190" s="7"/>
      <c r="DT190" s="7"/>
      <c r="DW190" s="7"/>
      <c r="DX190" s="7"/>
      <c r="EA190" s="7"/>
      <c r="EB190" s="7"/>
      <c r="EE190" s="7"/>
      <c r="EF190" s="7"/>
      <c r="EI190" s="7"/>
      <c r="EJ190" s="7"/>
      <c r="EM190" s="7"/>
      <c r="EN190" s="7"/>
      <c r="EQ190" s="7"/>
      <c r="ER190" s="7"/>
      <c r="EU190" s="7"/>
      <c r="EV190" s="7"/>
      <c r="EY190" s="7"/>
      <c r="EZ190" s="7"/>
      <c r="FC190" s="7"/>
      <c r="FD190" s="7"/>
      <c r="FG190" s="7"/>
      <c r="FH190" s="7"/>
      <c r="FK190" s="7"/>
      <c r="FL190" s="7"/>
      <c r="FO190" s="7"/>
      <c r="FP190" s="7"/>
      <c r="FS190" s="7"/>
      <c r="FT190" s="7"/>
      <c r="FW190" s="7"/>
      <c r="FX190" s="7"/>
      <c r="GA190" s="7"/>
      <c r="GB190" s="7"/>
      <c r="GE190" s="7"/>
      <c r="GF190" s="7"/>
      <c r="GI190" s="7"/>
      <c r="GJ190" s="7"/>
      <c r="GM190" s="7"/>
      <c r="GN190" s="7"/>
      <c r="GQ190" s="7"/>
      <c r="GR190" s="7"/>
      <c r="GU190" s="7"/>
      <c r="GV190" s="7"/>
      <c r="GY190" s="7"/>
      <c r="GZ190" s="7"/>
      <c r="HC190" s="7"/>
      <c r="HD190" s="7"/>
      <c r="HG190" s="7"/>
      <c r="HH190" s="7"/>
      <c r="HK190" s="7"/>
      <c r="HL190" s="7"/>
      <c r="HO190" s="7"/>
      <c r="HP190" s="7"/>
    </row>
    <row r="191" spans="3:239" x14ac:dyDescent="0.3">
      <c r="C191" s="7"/>
      <c r="D191" s="7"/>
      <c r="G191" s="7"/>
      <c r="H191" s="7"/>
      <c r="K191" s="7"/>
      <c r="L191" s="7"/>
      <c r="O191" s="7"/>
      <c r="P191" s="7"/>
      <c r="S191" s="7"/>
      <c r="T191" s="7"/>
      <c r="W191" s="7"/>
      <c r="X191" s="7"/>
      <c r="AA191" s="7"/>
      <c r="AB191" s="7"/>
      <c r="AE191" s="7"/>
      <c r="AF191" s="7"/>
      <c r="AI191" s="7"/>
      <c r="AJ191" s="7"/>
      <c r="AM191" s="7"/>
      <c r="AN191" s="7"/>
      <c r="AQ191" s="7"/>
      <c r="AR191" s="7"/>
      <c r="AU191" s="7"/>
      <c r="AV191" s="7"/>
      <c r="AY191" s="7"/>
      <c r="AZ191" s="7"/>
      <c r="BC191" s="7"/>
      <c r="BD191" s="7"/>
      <c r="BG191" s="7"/>
      <c r="BH191" s="7"/>
      <c r="BK191" s="7"/>
      <c r="BL191" s="7"/>
      <c r="BO191" s="7"/>
      <c r="BP191" s="7"/>
      <c r="BS191" s="7"/>
      <c r="BT191" s="7"/>
      <c r="BW191" s="7"/>
      <c r="BX191" s="7"/>
      <c r="CA191" s="7"/>
      <c r="CB191" s="7"/>
      <c r="CE191" s="7"/>
      <c r="CF191" s="7"/>
      <c r="CI191" s="7"/>
      <c r="CJ191" s="7"/>
      <c r="CM191" s="7"/>
      <c r="CN191" s="7"/>
      <c r="CQ191" s="7"/>
      <c r="CR191" s="7"/>
      <c r="CU191" s="7"/>
      <c r="CV191" s="7"/>
      <c r="CY191" s="7"/>
      <c r="CZ191" s="7"/>
      <c r="DC191" s="7"/>
      <c r="DD191" s="7"/>
      <c r="DG191" s="7"/>
      <c r="DH191" s="7"/>
      <c r="DK191" s="7"/>
      <c r="DL191" s="7"/>
      <c r="DO191" s="7"/>
      <c r="DP191" s="7"/>
      <c r="DS191" s="7"/>
      <c r="DT191" s="7"/>
      <c r="DW191" s="7"/>
      <c r="DX191" s="7"/>
      <c r="EA191" s="7"/>
      <c r="EB191" s="7"/>
      <c r="EE191" s="7"/>
      <c r="EF191" s="7"/>
      <c r="EI191" s="7"/>
      <c r="EJ191" s="7"/>
      <c r="EM191" s="7"/>
      <c r="EN191" s="7"/>
      <c r="EQ191" s="7"/>
      <c r="ER191" s="7"/>
      <c r="EU191" s="7"/>
      <c r="EV191" s="7"/>
      <c r="EY191" s="7"/>
      <c r="EZ191" s="7"/>
      <c r="FC191" s="7"/>
      <c r="FD191" s="7"/>
      <c r="FG191" s="7"/>
      <c r="FH191" s="7"/>
      <c r="FK191" s="7"/>
      <c r="FL191" s="7"/>
      <c r="FO191" s="7"/>
      <c r="FP191" s="7"/>
      <c r="FS191" s="7"/>
      <c r="FT191" s="7"/>
      <c r="FW191" s="7"/>
      <c r="FX191" s="7"/>
      <c r="GA191" s="7"/>
      <c r="GB191" s="7"/>
      <c r="GE191" s="7"/>
      <c r="GF191" s="7"/>
      <c r="GI191" s="7"/>
      <c r="GJ191" s="7"/>
      <c r="GM191" s="7"/>
      <c r="GN191" s="7"/>
      <c r="GQ191" s="7"/>
      <c r="GR191" s="7"/>
      <c r="GU191" s="7"/>
      <c r="GV191" s="7"/>
      <c r="GY191" s="7"/>
      <c r="GZ191" s="7"/>
      <c r="HC191" s="7"/>
      <c r="HD191" s="7"/>
      <c r="HG191" s="7"/>
      <c r="HH191" s="7"/>
      <c r="HK191" s="7"/>
      <c r="HL191" s="7"/>
      <c r="HO191" s="7"/>
      <c r="HP191" s="7"/>
    </row>
    <row r="192" spans="3:239" x14ac:dyDescent="0.3">
      <c r="C192" s="7"/>
      <c r="D192" s="7"/>
      <c r="G192" s="7"/>
      <c r="H192" s="7"/>
      <c r="K192" s="7"/>
      <c r="L192" s="7"/>
      <c r="O192" s="7"/>
      <c r="P192" s="7"/>
      <c r="S192" s="7"/>
      <c r="T192" s="7"/>
      <c r="W192" s="7"/>
      <c r="X192" s="7"/>
      <c r="AA192" s="7"/>
      <c r="AB192" s="7"/>
      <c r="AE192" s="7"/>
      <c r="AF192" s="7"/>
      <c r="AI192" s="7"/>
      <c r="AJ192" s="7"/>
      <c r="AM192" s="7"/>
      <c r="AN192" s="7"/>
      <c r="AQ192" s="7"/>
      <c r="AR192" s="7"/>
      <c r="AU192" s="7"/>
      <c r="AV192" s="7"/>
      <c r="AY192" s="7"/>
      <c r="AZ192" s="7"/>
      <c r="BC192" s="7"/>
      <c r="BD192" s="7"/>
      <c r="BG192" s="7"/>
      <c r="BH192" s="7"/>
      <c r="BK192" s="7"/>
      <c r="BL192" s="7"/>
      <c r="BO192" s="7"/>
      <c r="BP192" s="7"/>
      <c r="BS192" s="7"/>
      <c r="BT192" s="7"/>
      <c r="BW192" s="7"/>
      <c r="BX192" s="7"/>
      <c r="CA192" s="7"/>
      <c r="CB192" s="7"/>
      <c r="CE192" s="7"/>
      <c r="CF192" s="7"/>
      <c r="CI192" s="7"/>
      <c r="CJ192" s="7"/>
      <c r="CM192" s="7"/>
      <c r="CN192" s="7"/>
      <c r="CQ192" s="7"/>
      <c r="CR192" s="7"/>
      <c r="CU192" s="7"/>
      <c r="CV192" s="7"/>
      <c r="CY192" s="7"/>
      <c r="CZ192" s="7"/>
      <c r="DC192" s="7"/>
      <c r="DD192" s="7"/>
      <c r="DG192" s="7"/>
      <c r="DH192" s="7"/>
      <c r="DK192" s="7"/>
      <c r="DL192" s="7"/>
      <c r="DO192" s="7"/>
      <c r="DP192" s="7"/>
      <c r="DS192" s="7"/>
      <c r="DT192" s="7"/>
      <c r="DW192" s="7"/>
      <c r="DX192" s="7"/>
      <c r="EA192" s="7"/>
      <c r="EB192" s="7"/>
      <c r="EE192" s="7"/>
      <c r="EF192" s="7"/>
      <c r="EI192" s="7"/>
      <c r="EJ192" s="7"/>
      <c r="EM192" s="7"/>
      <c r="EN192" s="7"/>
      <c r="EQ192" s="7"/>
      <c r="ER192" s="7"/>
      <c r="EU192" s="7"/>
      <c r="EV192" s="7"/>
      <c r="EY192" s="7"/>
      <c r="EZ192" s="7"/>
      <c r="FC192" s="7"/>
      <c r="FD192" s="7"/>
      <c r="FG192" s="7"/>
      <c r="FH192" s="7"/>
      <c r="FK192" s="7"/>
      <c r="FL192" s="7"/>
      <c r="FO192" s="7"/>
      <c r="FP192" s="7"/>
      <c r="FS192" s="7"/>
      <c r="FT192" s="7"/>
      <c r="FW192" s="7"/>
      <c r="FX192" s="7"/>
      <c r="GA192" s="7"/>
      <c r="GB192" s="7"/>
      <c r="GE192" s="7"/>
      <c r="GF192" s="7"/>
      <c r="GI192" s="7"/>
      <c r="GJ192" s="7"/>
      <c r="GM192" s="7"/>
      <c r="GN192" s="7"/>
      <c r="GQ192" s="7"/>
      <c r="GR192" s="7"/>
      <c r="GU192" s="7"/>
      <c r="GV192" s="7"/>
      <c r="GY192" s="7"/>
      <c r="GZ192" s="7"/>
      <c r="HC192" s="7"/>
      <c r="HD192" s="7"/>
      <c r="HG192" s="7"/>
      <c r="HH192" s="7"/>
      <c r="HK192" s="7"/>
      <c r="HL192" s="7"/>
      <c r="HO192" s="7"/>
      <c r="HP192" s="7"/>
    </row>
    <row r="193" spans="3:224" x14ac:dyDescent="0.3">
      <c r="C193" s="7"/>
      <c r="D193" s="7"/>
      <c r="G193" s="7"/>
      <c r="H193" s="7"/>
      <c r="K193" s="7"/>
      <c r="L193" s="7"/>
      <c r="O193" s="7"/>
      <c r="P193" s="7"/>
      <c r="S193" s="7"/>
      <c r="T193" s="7"/>
      <c r="W193" s="7"/>
      <c r="X193" s="7"/>
      <c r="AA193" s="7"/>
      <c r="AB193" s="7"/>
      <c r="AE193" s="7"/>
      <c r="AF193" s="7"/>
      <c r="AI193" s="7"/>
      <c r="AJ193" s="7"/>
      <c r="AM193" s="7"/>
      <c r="AN193" s="7"/>
      <c r="AQ193" s="7"/>
      <c r="AR193" s="7"/>
      <c r="AU193" s="7"/>
      <c r="AV193" s="7"/>
      <c r="AY193" s="7"/>
      <c r="AZ193" s="7"/>
      <c r="BC193" s="7"/>
      <c r="BD193" s="7"/>
      <c r="BG193" s="7"/>
      <c r="BH193" s="7"/>
      <c r="BK193" s="7"/>
      <c r="BL193" s="7"/>
      <c r="BO193" s="7"/>
      <c r="BP193" s="7"/>
      <c r="BS193" s="7"/>
      <c r="BT193" s="7"/>
      <c r="BW193" s="7"/>
      <c r="BX193" s="7"/>
      <c r="CA193" s="7"/>
      <c r="CB193" s="7"/>
      <c r="CE193" s="7"/>
      <c r="CF193" s="7"/>
      <c r="CI193" s="7"/>
      <c r="CJ193" s="7"/>
      <c r="CM193" s="7"/>
      <c r="CN193" s="7"/>
      <c r="CQ193" s="7"/>
      <c r="CR193" s="7"/>
      <c r="CU193" s="7"/>
      <c r="CV193" s="7"/>
      <c r="CY193" s="7"/>
      <c r="CZ193" s="7"/>
      <c r="DC193" s="7"/>
      <c r="DD193" s="7"/>
      <c r="DG193" s="7"/>
      <c r="DH193" s="7"/>
      <c r="DK193" s="7"/>
      <c r="DL193" s="7"/>
      <c r="DO193" s="7"/>
      <c r="DP193" s="7"/>
      <c r="DS193" s="7"/>
      <c r="DT193" s="7"/>
      <c r="DW193" s="7"/>
      <c r="DX193" s="7"/>
      <c r="EA193" s="7"/>
      <c r="EB193" s="7"/>
      <c r="EE193" s="7"/>
      <c r="EF193" s="7"/>
      <c r="EI193" s="7"/>
      <c r="EJ193" s="7"/>
      <c r="EM193" s="7"/>
      <c r="EN193" s="7"/>
      <c r="EQ193" s="7"/>
      <c r="ER193" s="7"/>
      <c r="EU193" s="7"/>
      <c r="EV193" s="7"/>
      <c r="EY193" s="7"/>
      <c r="EZ193" s="7"/>
      <c r="FC193" s="7"/>
      <c r="FD193" s="7"/>
      <c r="FG193" s="7"/>
      <c r="FH193" s="7"/>
      <c r="FK193" s="7"/>
      <c r="FL193" s="7"/>
      <c r="FO193" s="7"/>
      <c r="FP193" s="7"/>
      <c r="FS193" s="7"/>
      <c r="FT193" s="7"/>
      <c r="FW193" s="7"/>
      <c r="FX193" s="7"/>
      <c r="GA193" s="7"/>
      <c r="GB193" s="7"/>
      <c r="GE193" s="7"/>
      <c r="GF193" s="7"/>
      <c r="GI193" s="7"/>
      <c r="GJ193" s="7"/>
      <c r="GM193" s="7"/>
      <c r="GN193" s="7"/>
      <c r="GQ193" s="7"/>
      <c r="GR193" s="7"/>
      <c r="GU193" s="7"/>
      <c r="GV193" s="7"/>
      <c r="GY193" s="7"/>
      <c r="GZ193" s="7"/>
      <c r="HC193" s="7"/>
      <c r="HD193" s="7"/>
      <c r="HG193" s="7"/>
      <c r="HH193" s="7"/>
      <c r="HK193" s="7"/>
      <c r="HL193" s="7"/>
      <c r="HO193" s="7"/>
      <c r="HP193" s="7"/>
    </row>
    <row r="194" spans="3:224" x14ac:dyDescent="0.3">
      <c r="C194" s="7"/>
      <c r="D194" s="7"/>
      <c r="G194" s="7"/>
      <c r="H194" s="7"/>
      <c r="K194" s="7"/>
      <c r="L194" s="7"/>
      <c r="O194" s="7"/>
      <c r="P194" s="7"/>
      <c r="S194" s="7"/>
      <c r="T194" s="7"/>
      <c r="W194" s="7"/>
      <c r="X194" s="7"/>
      <c r="AA194" s="7"/>
      <c r="AB194" s="7"/>
      <c r="AE194" s="7"/>
      <c r="AF194" s="7"/>
      <c r="AI194" s="7"/>
      <c r="AJ194" s="7"/>
      <c r="AM194" s="7"/>
      <c r="AN194" s="7"/>
      <c r="AQ194" s="7"/>
      <c r="AR194" s="7"/>
      <c r="AU194" s="7"/>
      <c r="AV194" s="7"/>
      <c r="AY194" s="7"/>
      <c r="AZ194" s="7"/>
      <c r="BC194" s="7"/>
      <c r="BD194" s="7"/>
      <c r="BG194" s="7"/>
      <c r="BH194" s="7"/>
      <c r="BK194" s="7"/>
      <c r="BL194" s="7"/>
      <c r="BO194" s="7"/>
      <c r="BP194" s="7"/>
      <c r="BS194" s="7"/>
      <c r="BT194" s="7"/>
      <c r="BW194" s="7"/>
      <c r="BX194" s="7"/>
      <c r="CA194" s="7"/>
      <c r="CB194" s="7"/>
      <c r="CE194" s="7"/>
      <c r="CF194" s="7"/>
      <c r="CI194" s="7"/>
      <c r="CJ194" s="7"/>
      <c r="CM194" s="7"/>
      <c r="CN194" s="7"/>
      <c r="CQ194" s="7"/>
      <c r="CR194" s="7"/>
      <c r="CU194" s="7"/>
      <c r="CV194" s="7"/>
      <c r="CY194" s="7"/>
      <c r="CZ194" s="7"/>
      <c r="DC194" s="7"/>
      <c r="DD194" s="7"/>
      <c r="DG194" s="7"/>
      <c r="DH194" s="7"/>
      <c r="DK194" s="7"/>
      <c r="DL194" s="7"/>
      <c r="DO194" s="7"/>
      <c r="DP194" s="7"/>
      <c r="DS194" s="7"/>
      <c r="DT194" s="7"/>
      <c r="DW194" s="7"/>
      <c r="DX194" s="7"/>
      <c r="EA194" s="7"/>
      <c r="EB194" s="7"/>
      <c r="EE194" s="7"/>
      <c r="EF194" s="7"/>
      <c r="EI194" s="7"/>
      <c r="EJ194" s="7"/>
      <c r="EM194" s="7"/>
      <c r="EN194" s="7"/>
      <c r="EQ194" s="7"/>
      <c r="ER194" s="7"/>
      <c r="EU194" s="7"/>
      <c r="EV194" s="7"/>
      <c r="EY194" s="7"/>
      <c r="EZ194" s="7"/>
      <c r="FC194" s="7"/>
      <c r="FD194" s="7"/>
      <c r="FG194" s="7"/>
      <c r="FH194" s="7"/>
      <c r="FK194" s="7"/>
      <c r="FL194" s="7"/>
      <c r="FO194" s="7"/>
      <c r="FP194" s="7"/>
      <c r="FS194" s="7"/>
      <c r="FT194" s="7"/>
      <c r="FW194" s="7"/>
      <c r="FX194" s="7"/>
      <c r="GA194" s="7"/>
      <c r="GB194" s="7"/>
      <c r="GE194" s="7"/>
      <c r="GF194" s="7"/>
      <c r="GI194" s="7"/>
      <c r="GJ194" s="7"/>
      <c r="GM194" s="7"/>
      <c r="GN194" s="7"/>
      <c r="GQ194" s="7"/>
      <c r="GR194" s="7"/>
      <c r="GU194" s="7"/>
      <c r="GV194" s="7"/>
      <c r="GY194" s="7"/>
      <c r="GZ194" s="7"/>
      <c r="HC194" s="7"/>
      <c r="HD194" s="7"/>
      <c r="HG194" s="7"/>
      <c r="HH194" s="7"/>
      <c r="HK194" s="7"/>
      <c r="HL194" s="7"/>
      <c r="HO194" s="7"/>
      <c r="HP194" s="7"/>
    </row>
    <row r="195" spans="3:224" x14ac:dyDescent="0.3">
      <c r="C195" s="7"/>
      <c r="D195" s="7"/>
      <c r="G195" s="7"/>
      <c r="H195" s="7"/>
      <c r="K195" s="7"/>
      <c r="L195" s="7"/>
      <c r="O195" s="7"/>
      <c r="P195" s="7"/>
      <c r="S195" s="7"/>
      <c r="T195" s="7"/>
      <c r="W195" s="7"/>
      <c r="X195" s="7"/>
      <c r="AA195" s="7"/>
      <c r="AB195" s="7"/>
      <c r="AE195" s="7"/>
      <c r="AF195" s="7"/>
      <c r="AI195" s="7"/>
      <c r="AJ195" s="7"/>
      <c r="AM195" s="7"/>
      <c r="AN195" s="7"/>
      <c r="AQ195" s="7"/>
      <c r="AR195" s="7"/>
      <c r="AU195" s="7"/>
      <c r="AV195" s="7"/>
      <c r="AY195" s="7"/>
      <c r="AZ195" s="7"/>
      <c r="BC195" s="7"/>
      <c r="BD195" s="7"/>
      <c r="BG195" s="7"/>
      <c r="BH195" s="7"/>
      <c r="BK195" s="7"/>
      <c r="BL195" s="7"/>
      <c r="BO195" s="7"/>
      <c r="BP195" s="7"/>
      <c r="BS195" s="7"/>
      <c r="BT195" s="7"/>
      <c r="BW195" s="7"/>
      <c r="BX195" s="7"/>
      <c r="CA195" s="7"/>
      <c r="CB195" s="7"/>
      <c r="CE195" s="7"/>
      <c r="CF195" s="7"/>
      <c r="CI195" s="7"/>
      <c r="CJ195" s="7"/>
      <c r="CM195" s="7"/>
      <c r="CN195" s="7"/>
      <c r="CQ195" s="7"/>
      <c r="CR195" s="7"/>
      <c r="CU195" s="7"/>
      <c r="CV195" s="7"/>
      <c r="CY195" s="7"/>
      <c r="CZ195" s="7"/>
      <c r="DC195" s="7"/>
      <c r="DD195" s="7"/>
      <c r="DG195" s="7"/>
      <c r="DH195" s="7"/>
      <c r="DK195" s="7"/>
      <c r="DL195" s="7"/>
      <c r="DO195" s="7"/>
      <c r="DP195" s="7"/>
      <c r="DS195" s="7"/>
      <c r="DT195" s="7"/>
      <c r="DW195" s="7"/>
      <c r="DX195" s="7"/>
      <c r="EA195" s="7"/>
      <c r="EB195" s="7"/>
      <c r="EE195" s="7"/>
      <c r="EF195" s="7"/>
      <c r="EI195" s="7"/>
      <c r="EJ195" s="7"/>
      <c r="EM195" s="7"/>
      <c r="EN195" s="7"/>
      <c r="EQ195" s="7"/>
      <c r="ER195" s="7"/>
      <c r="EU195" s="7"/>
      <c r="EV195" s="7"/>
      <c r="EY195" s="7"/>
      <c r="EZ195" s="7"/>
      <c r="FC195" s="7"/>
      <c r="FD195" s="7"/>
      <c r="FG195" s="7"/>
      <c r="FH195" s="7"/>
      <c r="FK195" s="7"/>
      <c r="FL195" s="7"/>
      <c r="FO195" s="7"/>
      <c r="FP195" s="7"/>
      <c r="FS195" s="7"/>
      <c r="FT195" s="7"/>
      <c r="FW195" s="7"/>
      <c r="FX195" s="7"/>
      <c r="GA195" s="7"/>
      <c r="GB195" s="7"/>
      <c r="GE195" s="7"/>
      <c r="GF195" s="7"/>
      <c r="GI195" s="7"/>
      <c r="GJ195" s="7"/>
      <c r="GM195" s="7"/>
      <c r="GN195" s="7"/>
      <c r="GQ195" s="7"/>
      <c r="GR195" s="7"/>
      <c r="GU195" s="7"/>
      <c r="GV195" s="7"/>
      <c r="GY195" s="7"/>
      <c r="GZ195" s="7"/>
      <c r="HC195" s="7"/>
      <c r="HD195" s="7"/>
      <c r="HG195" s="7"/>
      <c r="HH195" s="7"/>
      <c r="HK195" s="7"/>
      <c r="HL195" s="7"/>
      <c r="HO195" s="7"/>
      <c r="HP195" s="7"/>
    </row>
    <row r="196" spans="3:224" x14ac:dyDescent="0.3">
      <c r="C196" s="7"/>
      <c r="D196" s="7"/>
      <c r="G196" s="7"/>
      <c r="H196" s="7"/>
      <c r="K196" s="7"/>
      <c r="L196" s="7"/>
      <c r="O196" s="7"/>
      <c r="P196" s="7"/>
      <c r="S196" s="7"/>
      <c r="T196" s="7"/>
      <c r="W196" s="7"/>
      <c r="X196" s="7"/>
      <c r="AA196" s="7"/>
      <c r="AB196" s="7"/>
      <c r="AE196" s="7"/>
      <c r="AF196" s="7"/>
      <c r="AI196" s="7"/>
      <c r="AJ196" s="7"/>
      <c r="AM196" s="7"/>
      <c r="AN196" s="7"/>
      <c r="AQ196" s="7"/>
      <c r="AR196" s="7"/>
      <c r="AU196" s="7"/>
      <c r="AV196" s="7"/>
      <c r="AY196" s="7"/>
      <c r="AZ196" s="7"/>
      <c r="BC196" s="7"/>
      <c r="BD196" s="7"/>
      <c r="BG196" s="7"/>
      <c r="BH196" s="7"/>
      <c r="BK196" s="7"/>
      <c r="BL196" s="7"/>
      <c r="BO196" s="7"/>
      <c r="BP196" s="7"/>
      <c r="BS196" s="7"/>
      <c r="BT196" s="7"/>
      <c r="BW196" s="7"/>
      <c r="BX196" s="7"/>
      <c r="CA196" s="7"/>
      <c r="CB196" s="7"/>
      <c r="CE196" s="7"/>
      <c r="CF196" s="7"/>
      <c r="CI196" s="7"/>
      <c r="CJ196" s="7"/>
      <c r="CM196" s="7"/>
      <c r="CN196" s="7"/>
      <c r="CQ196" s="7"/>
      <c r="CR196" s="7"/>
      <c r="CU196" s="7"/>
      <c r="CV196" s="7"/>
      <c r="CY196" s="7"/>
      <c r="CZ196" s="7"/>
      <c r="DC196" s="7"/>
      <c r="DD196" s="7"/>
      <c r="DG196" s="7"/>
      <c r="DH196" s="7"/>
      <c r="DK196" s="7"/>
      <c r="DL196" s="7"/>
      <c r="DO196" s="7"/>
      <c r="DP196" s="7"/>
      <c r="DS196" s="7"/>
      <c r="DT196" s="7"/>
      <c r="DW196" s="7"/>
      <c r="DX196" s="7"/>
      <c r="EA196" s="7"/>
      <c r="EB196" s="7"/>
      <c r="EE196" s="7"/>
      <c r="EF196" s="7"/>
      <c r="EI196" s="7"/>
      <c r="EJ196" s="7"/>
      <c r="EM196" s="7"/>
      <c r="EN196" s="7"/>
      <c r="EQ196" s="7"/>
      <c r="ER196" s="7"/>
      <c r="EU196" s="7"/>
      <c r="EV196" s="7"/>
      <c r="EY196" s="7"/>
      <c r="EZ196" s="7"/>
      <c r="FC196" s="7"/>
      <c r="FD196" s="7"/>
      <c r="FG196" s="7"/>
      <c r="FH196" s="7"/>
      <c r="FK196" s="7"/>
      <c r="FL196" s="7"/>
      <c r="FO196" s="7"/>
      <c r="FP196" s="7"/>
      <c r="FS196" s="7"/>
      <c r="FT196" s="7"/>
      <c r="FW196" s="7"/>
      <c r="FX196" s="7"/>
      <c r="GA196" s="7"/>
      <c r="GB196" s="7"/>
      <c r="GE196" s="7"/>
      <c r="GF196" s="7"/>
      <c r="GI196" s="7"/>
      <c r="GJ196" s="7"/>
      <c r="GM196" s="7"/>
      <c r="GN196" s="7"/>
      <c r="GQ196" s="7"/>
      <c r="GR196" s="7"/>
      <c r="GU196" s="7"/>
      <c r="GV196" s="7"/>
      <c r="GY196" s="7"/>
      <c r="GZ196" s="7"/>
      <c r="HC196" s="7"/>
      <c r="HD196" s="7"/>
      <c r="HG196" s="7"/>
      <c r="HH196" s="7"/>
      <c r="HK196" s="7"/>
      <c r="HL196" s="7"/>
      <c r="HO196" s="7"/>
      <c r="HP196" s="7"/>
    </row>
    <row r="197" spans="3:224" x14ac:dyDescent="0.3">
      <c r="C197" s="7"/>
      <c r="D197" s="7"/>
      <c r="G197" s="7"/>
      <c r="H197" s="7"/>
      <c r="K197" s="7"/>
      <c r="L197" s="7"/>
      <c r="O197" s="7"/>
      <c r="P197" s="7"/>
      <c r="S197" s="7"/>
      <c r="T197" s="7"/>
      <c r="W197" s="7"/>
      <c r="X197" s="7"/>
      <c r="AA197" s="7"/>
      <c r="AB197" s="7"/>
      <c r="AE197" s="7"/>
      <c r="AF197" s="7"/>
      <c r="AI197" s="7"/>
      <c r="AJ197" s="7"/>
      <c r="AM197" s="7"/>
      <c r="AN197" s="7"/>
      <c r="AQ197" s="7"/>
      <c r="AR197" s="7"/>
      <c r="AU197" s="7"/>
      <c r="AV197" s="7"/>
      <c r="AY197" s="7"/>
      <c r="AZ197" s="7"/>
      <c r="BC197" s="7"/>
      <c r="BD197" s="7"/>
      <c r="BG197" s="7"/>
      <c r="BH197" s="7"/>
      <c r="BK197" s="7"/>
      <c r="BL197" s="7"/>
      <c r="BO197" s="7"/>
      <c r="BP197" s="7"/>
      <c r="BS197" s="7"/>
      <c r="BT197" s="7"/>
      <c r="BW197" s="7"/>
      <c r="BX197" s="7"/>
      <c r="CA197" s="7"/>
      <c r="CB197" s="7"/>
      <c r="CE197" s="7"/>
      <c r="CF197" s="7"/>
      <c r="CI197" s="7"/>
      <c r="CJ197" s="7"/>
      <c r="CM197" s="7"/>
      <c r="CN197" s="7"/>
      <c r="CQ197" s="7"/>
      <c r="CR197" s="7"/>
      <c r="CU197" s="7"/>
      <c r="CV197" s="7"/>
      <c r="CY197" s="7"/>
      <c r="CZ197" s="7"/>
      <c r="DC197" s="7"/>
      <c r="DD197" s="7"/>
      <c r="DG197" s="7"/>
      <c r="DH197" s="7"/>
      <c r="DK197" s="7"/>
      <c r="DL197" s="7"/>
      <c r="DO197" s="7"/>
      <c r="DP197" s="7"/>
      <c r="DS197" s="7"/>
      <c r="DT197" s="7"/>
      <c r="DW197" s="7"/>
      <c r="DX197" s="7"/>
      <c r="EA197" s="7"/>
      <c r="EB197" s="7"/>
      <c r="EE197" s="7"/>
      <c r="EF197" s="7"/>
      <c r="EI197" s="7"/>
      <c r="EJ197" s="7"/>
      <c r="EM197" s="7"/>
      <c r="EN197" s="7"/>
      <c r="EQ197" s="7"/>
      <c r="ER197" s="7"/>
      <c r="EU197" s="7"/>
      <c r="EV197" s="7"/>
      <c r="EY197" s="7"/>
      <c r="EZ197" s="7"/>
      <c r="FC197" s="7"/>
      <c r="FD197" s="7"/>
      <c r="FG197" s="7"/>
      <c r="FH197" s="7"/>
      <c r="FK197" s="7"/>
      <c r="FL197" s="7"/>
      <c r="FO197" s="7"/>
      <c r="FP197" s="7"/>
      <c r="FS197" s="7"/>
      <c r="FT197" s="7"/>
      <c r="FW197" s="7"/>
      <c r="FX197" s="7"/>
      <c r="GA197" s="7"/>
      <c r="GB197" s="7"/>
      <c r="GE197" s="7"/>
      <c r="GF197" s="7"/>
      <c r="GI197" s="7"/>
      <c r="GJ197" s="7"/>
      <c r="GM197" s="7"/>
      <c r="GN197" s="7"/>
      <c r="GQ197" s="7"/>
      <c r="GR197" s="7"/>
      <c r="GU197" s="7"/>
      <c r="GV197" s="7"/>
      <c r="GY197" s="7"/>
      <c r="GZ197" s="7"/>
      <c r="HC197" s="7"/>
      <c r="HD197" s="7"/>
      <c r="HG197" s="7"/>
      <c r="HH197" s="7"/>
      <c r="HK197" s="7"/>
      <c r="HL197" s="7"/>
      <c r="HO197" s="7"/>
      <c r="HP197" s="7"/>
    </row>
    <row r="198" spans="3:224" x14ac:dyDescent="0.3">
      <c r="C198" s="7"/>
      <c r="D198" s="7"/>
      <c r="G198" s="7"/>
      <c r="H198" s="7"/>
      <c r="K198" s="7"/>
      <c r="L198" s="7"/>
      <c r="O198" s="7"/>
      <c r="P198" s="7"/>
      <c r="S198" s="7"/>
      <c r="T198" s="7"/>
      <c r="W198" s="7"/>
      <c r="X198" s="7"/>
      <c r="AA198" s="7"/>
      <c r="AB198" s="7"/>
      <c r="AE198" s="7"/>
      <c r="AF198" s="7"/>
      <c r="AI198" s="7"/>
      <c r="AJ198" s="7"/>
      <c r="AM198" s="7"/>
      <c r="AN198" s="7"/>
      <c r="AQ198" s="7"/>
      <c r="AR198" s="7"/>
      <c r="AU198" s="7"/>
      <c r="AV198" s="7"/>
      <c r="AY198" s="7"/>
      <c r="AZ198" s="7"/>
      <c r="BC198" s="7"/>
      <c r="BD198" s="7"/>
      <c r="BG198" s="7"/>
      <c r="BH198" s="7"/>
      <c r="BK198" s="7"/>
      <c r="BL198" s="7"/>
      <c r="BO198" s="7"/>
      <c r="BP198" s="7"/>
      <c r="BS198" s="7"/>
      <c r="BT198" s="7"/>
      <c r="BW198" s="7"/>
      <c r="BX198" s="7"/>
      <c r="CA198" s="7"/>
      <c r="CB198" s="7"/>
      <c r="CE198" s="7"/>
      <c r="CF198" s="7"/>
      <c r="CI198" s="7"/>
      <c r="CJ198" s="7"/>
      <c r="CM198" s="7"/>
      <c r="CN198" s="7"/>
      <c r="CQ198" s="7"/>
      <c r="CR198" s="7"/>
      <c r="CU198" s="7"/>
      <c r="CV198" s="7"/>
      <c r="CY198" s="7"/>
      <c r="CZ198" s="7"/>
      <c r="DC198" s="7"/>
      <c r="DD198" s="7"/>
      <c r="DG198" s="7"/>
      <c r="DH198" s="7"/>
      <c r="DK198" s="7"/>
      <c r="DL198" s="7"/>
      <c r="DO198" s="7"/>
      <c r="DP198" s="7"/>
      <c r="DS198" s="7"/>
      <c r="DT198" s="7"/>
      <c r="DW198" s="7"/>
      <c r="DX198" s="7"/>
      <c r="EA198" s="7"/>
      <c r="EB198" s="7"/>
      <c r="EE198" s="7"/>
      <c r="EF198" s="7"/>
      <c r="EI198" s="7"/>
      <c r="EJ198" s="7"/>
      <c r="EM198" s="7"/>
      <c r="EN198" s="7"/>
      <c r="EQ198" s="7"/>
      <c r="ER198" s="7"/>
      <c r="EU198" s="7"/>
      <c r="EV198" s="7"/>
      <c r="EY198" s="7"/>
      <c r="EZ198" s="7"/>
      <c r="FC198" s="7"/>
      <c r="FD198" s="7"/>
      <c r="FG198" s="7"/>
      <c r="FH198" s="7"/>
      <c r="FK198" s="7"/>
      <c r="FL198" s="7"/>
      <c r="FO198" s="7"/>
      <c r="FP198" s="7"/>
      <c r="FS198" s="7"/>
      <c r="FT198" s="7"/>
      <c r="FW198" s="7"/>
      <c r="FX198" s="7"/>
      <c r="GA198" s="7"/>
      <c r="GB198" s="7"/>
      <c r="GE198" s="7"/>
      <c r="GF198" s="7"/>
      <c r="GI198" s="7"/>
      <c r="GJ198" s="7"/>
      <c r="GM198" s="7"/>
      <c r="GN198" s="7"/>
      <c r="GQ198" s="7"/>
      <c r="GR198" s="7"/>
      <c r="GU198" s="7"/>
      <c r="GV198" s="7"/>
      <c r="GY198" s="7"/>
      <c r="GZ198" s="7"/>
      <c r="HC198" s="7"/>
      <c r="HD198" s="7"/>
      <c r="HG198" s="7"/>
      <c r="HH198" s="7"/>
      <c r="HK198" s="7"/>
      <c r="HL198" s="7"/>
      <c r="HO198" s="7"/>
      <c r="HP198" s="7"/>
    </row>
    <row r="199" spans="3:224" x14ac:dyDescent="0.3">
      <c r="C199" s="7"/>
      <c r="D199" s="7"/>
      <c r="G199" s="7"/>
      <c r="H199" s="7"/>
      <c r="K199" s="7"/>
      <c r="L199" s="7"/>
      <c r="O199" s="7"/>
      <c r="P199" s="7"/>
      <c r="S199" s="7"/>
      <c r="T199" s="7"/>
      <c r="W199" s="7"/>
      <c r="X199" s="7"/>
      <c r="AA199" s="7"/>
      <c r="AB199" s="7"/>
      <c r="AE199" s="7"/>
      <c r="AF199" s="7"/>
      <c r="AI199" s="7"/>
      <c r="AJ199" s="7"/>
      <c r="AM199" s="7"/>
      <c r="AN199" s="7"/>
      <c r="AQ199" s="7"/>
      <c r="AR199" s="7"/>
      <c r="AU199" s="7"/>
      <c r="AV199" s="7"/>
      <c r="AY199" s="7"/>
      <c r="AZ199" s="7"/>
      <c r="BC199" s="7"/>
      <c r="BD199" s="7"/>
      <c r="BG199" s="7"/>
      <c r="BH199" s="7"/>
      <c r="BK199" s="7"/>
      <c r="BL199" s="7"/>
      <c r="BO199" s="7"/>
      <c r="BP199" s="7"/>
      <c r="BS199" s="7"/>
      <c r="BT199" s="7"/>
      <c r="BW199" s="7"/>
      <c r="BX199" s="7"/>
      <c r="CA199" s="7"/>
      <c r="CB199" s="7"/>
      <c r="CE199" s="7"/>
      <c r="CF199" s="7"/>
      <c r="CI199" s="7"/>
      <c r="CJ199" s="7"/>
      <c r="CM199" s="7"/>
      <c r="CN199" s="7"/>
      <c r="CQ199" s="7"/>
      <c r="CR199" s="7"/>
      <c r="CU199" s="7"/>
      <c r="CV199" s="7"/>
      <c r="CY199" s="7"/>
      <c r="CZ199" s="7"/>
      <c r="DC199" s="7"/>
      <c r="DD199" s="7"/>
      <c r="DG199" s="7"/>
      <c r="DH199" s="7"/>
      <c r="DK199" s="7"/>
      <c r="DL199" s="7"/>
      <c r="DO199" s="7"/>
      <c r="DP199" s="7"/>
      <c r="DS199" s="7"/>
      <c r="DT199" s="7"/>
      <c r="DW199" s="7"/>
      <c r="DX199" s="7"/>
      <c r="EA199" s="7"/>
      <c r="EB199" s="7"/>
      <c r="EE199" s="7"/>
      <c r="EF199" s="7"/>
      <c r="EI199" s="7"/>
      <c r="EJ199" s="7"/>
      <c r="EM199" s="7"/>
      <c r="EN199" s="7"/>
      <c r="EQ199" s="7"/>
      <c r="ER199" s="7"/>
      <c r="EU199" s="7"/>
      <c r="EV199" s="7"/>
      <c r="EY199" s="7"/>
      <c r="EZ199" s="7"/>
      <c r="FC199" s="7"/>
      <c r="FD199" s="7"/>
      <c r="FG199" s="7"/>
      <c r="FH199" s="7"/>
      <c r="FK199" s="7"/>
      <c r="FL199" s="7"/>
      <c r="FO199" s="7"/>
      <c r="FP199" s="7"/>
      <c r="FS199" s="7"/>
      <c r="FT199" s="7"/>
      <c r="FW199" s="7"/>
      <c r="FX199" s="7"/>
      <c r="GA199" s="7"/>
      <c r="GB199" s="7"/>
      <c r="GE199" s="7"/>
      <c r="GF199" s="7"/>
      <c r="GI199" s="7"/>
      <c r="GJ199" s="7"/>
      <c r="GM199" s="7"/>
      <c r="GN199" s="7"/>
      <c r="GQ199" s="7"/>
      <c r="GR199" s="7"/>
      <c r="GU199" s="7"/>
      <c r="GV199" s="7"/>
      <c r="GY199" s="7"/>
      <c r="GZ199" s="7"/>
      <c r="HC199" s="7"/>
      <c r="HD199" s="7"/>
      <c r="HG199" s="7"/>
      <c r="HH199" s="7"/>
      <c r="HK199" s="7"/>
      <c r="HL199" s="7"/>
      <c r="HO199" s="7"/>
      <c r="HP199" s="7"/>
    </row>
    <row r="200" spans="3:224" x14ac:dyDescent="0.3">
      <c r="C200" s="7"/>
      <c r="D200" s="7"/>
      <c r="G200" s="7"/>
      <c r="H200" s="7"/>
      <c r="K200" s="7"/>
      <c r="L200" s="7"/>
      <c r="O200" s="7"/>
      <c r="P200" s="7"/>
      <c r="S200" s="7"/>
      <c r="T200" s="7"/>
      <c r="W200" s="7"/>
      <c r="X200" s="7"/>
      <c r="AA200" s="7"/>
      <c r="AB200" s="7"/>
      <c r="AE200" s="7"/>
      <c r="AF200" s="7"/>
      <c r="AI200" s="7"/>
      <c r="AJ200" s="7"/>
      <c r="AM200" s="7"/>
      <c r="AN200" s="7"/>
      <c r="AQ200" s="7"/>
      <c r="AR200" s="7"/>
      <c r="AU200" s="7"/>
      <c r="AV200" s="7"/>
      <c r="AY200" s="7"/>
      <c r="AZ200" s="7"/>
      <c r="BC200" s="7"/>
      <c r="BD200" s="7"/>
      <c r="BG200" s="7"/>
      <c r="BH200" s="7"/>
      <c r="BK200" s="7"/>
      <c r="BL200" s="7"/>
      <c r="BO200" s="7"/>
      <c r="BP200" s="7"/>
      <c r="BS200" s="7"/>
      <c r="BT200" s="7"/>
      <c r="BW200" s="7"/>
      <c r="BX200" s="7"/>
      <c r="CA200" s="7"/>
      <c r="CB200" s="7"/>
      <c r="CE200" s="7"/>
      <c r="CF200" s="7"/>
      <c r="CI200" s="7"/>
      <c r="CJ200" s="7"/>
      <c r="CM200" s="7"/>
      <c r="CN200" s="7"/>
      <c r="CQ200" s="7"/>
      <c r="CR200" s="7"/>
      <c r="CU200" s="7"/>
      <c r="CV200" s="7"/>
      <c r="CY200" s="7"/>
      <c r="CZ200" s="7"/>
      <c r="DC200" s="7"/>
      <c r="DD200" s="7"/>
      <c r="DG200" s="7"/>
      <c r="DH200" s="7"/>
      <c r="DK200" s="7"/>
      <c r="DL200" s="7"/>
      <c r="DO200" s="7"/>
      <c r="DP200" s="7"/>
      <c r="DS200" s="7"/>
      <c r="DT200" s="7"/>
      <c r="DW200" s="7"/>
      <c r="DX200" s="7"/>
      <c r="EA200" s="7"/>
      <c r="EB200" s="7"/>
      <c r="EE200" s="7"/>
      <c r="EF200" s="7"/>
      <c r="EI200" s="7"/>
      <c r="EJ200" s="7"/>
      <c r="EM200" s="7"/>
      <c r="EN200" s="7"/>
      <c r="EQ200" s="7"/>
      <c r="ER200" s="7"/>
      <c r="EU200" s="7"/>
      <c r="EV200" s="7"/>
      <c r="EY200" s="7"/>
      <c r="EZ200" s="7"/>
      <c r="FC200" s="7"/>
      <c r="FD200" s="7"/>
      <c r="FG200" s="7"/>
      <c r="FH200" s="7"/>
      <c r="FK200" s="7"/>
      <c r="FL200" s="7"/>
      <c r="FO200" s="7"/>
      <c r="FP200" s="7"/>
      <c r="FS200" s="7"/>
      <c r="FT200" s="7"/>
      <c r="FW200" s="7"/>
      <c r="FX200" s="7"/>
      <c r="GA200" s="7"/>
      <c r="GB200" s="7"/>
      <c r="GE200" s="7"/>
      <c r="GF200" s="7"/>
      <c r="GI200" s="7"/>
      <c r="GJ200" s="7"/>
      <c r="GM200" s="7"/>
      <c r="GN200" s="7"/>
      <c r="GQ200" s="7"/>
      <c r="GR200" s="7"/>
      <c r="GU200" s="7"/>
      <c r="GV200" s="7"/>
      <c r="GY200" s="7"/>
      <c r="GZ200" s="7"/>
      <c r="HC200" s="7"/>
      <c r="HD200" s="7"/>
      <c r="HG200" s="7"/>
      <c r="HH200" s="7"/>
      <c r="HK200" s="7"/>
      <c r="HL200" s="7"/>
      <c r="HO200" s="7"/>
      <c r="HP200" s="7"/>
    </row>
    <row r="201" spans="3:224" x14ac:dyDescent="0.3">
      <c r="C201" s="7"/>
      <c r="D201" s="7"/>
      <c r="G201" s="7"/>
      <c r="H201" s="7"/>
      <c r="K201" s="7"/>
      <c r="L201" s="7"/>
      <c r="O201" s="7"/>
      <c r="P201" s="7"/>
      <c r="S201" s="7"/>
      <c r="T201" s="7"/>
      <c r="W201" s="7"/>
      <c r="X201" s="7"/>
      <c r="AA201" s="7"/>
      <c r="AB201" s="7"/>
      <c r="AE201" s="7"/>
      <c r="AF201" s="7"/>
      <c r="AI201" s="7"/>
      <c r="AJ201" s="7"/>
      <c r="AM201" s="7"/>
      <c r="AN201" s="7"/>
      <c r="AQ201" s="7"/>
      <c r="AR201" s="7"/>
      <c r="AU201" s="7"/>
      <c r="AV201" s="7"/>
      <c r="AY201" s="7"/>
      <c r="AZ201" s="7"/>
      <c r="BC201" s="7"/>
      <c r="BD201" s="7"/>
      <c r="BG201" s="7"/>
      <c r="BH201" s="7"/>
      <c r="BK201" s="7"/>
      <c r="BL201" s="7"/>
      <c r="BO201" s="7"/>
      <c r="BP201" s="7"/>
      <c r="BS201" s="7"/>
      <c r="BT201" s="7"/>
      <c r="BW201" s="7"/>
      <c r="BX201" s="7"/>
      <c r="CA201" s="7"/>
      <c r="CB201" s="7"/>
      <c r="CE201" s="7"/>
      <c r="CF201" s="7"/>
      <c r="CI201" s="7"/>
      <c r="CJ201" s="7"/>
      <c r="CM201" s="7"/>
      <c r="CN201" s="7"/>
      <c r="CQ201" s="7"/>
      <c r="CR201" s="7"/>
      <c r="CU201" s="7"/>
      <c r="CV201" s="7"/>
      <c r="CY201" s="7"/>
      <c r="CZ201" s="7"/>
      <c r="DC201" s="7"/>
      <c r="DD201" s="7"/>
      <c r="DG201" s="7"/>
      <c r="DH201" s="7"/>
      <c r="DK201" s="7"/>
      <c r="DL201" s="7"/>
      <c r="DO201" s="7"/>
      <c r="DP201" s="7"/>
      <c r="DS201" s="7"/>
      <c r="DT201" s="7"/>
      <c r="DW201" s="7"/>
      <c r="DX201" s="7"/>
      <c r="EA201" s="7"/>
      <c r="EB201" s="7"/>
      <c r="EE201" s="7"/>
      <c r="EF201" s="7"/>
      <c r="EI201" s="7"/>
      <c r="EJ201" s="7"/>
      <c r="EM201" s="7"/>
      <c r="EN201" s="7"/>
      <c r="EQ201" s="7"/>
      <c r="ER201" s="7"/>
      <c r="EU201" s="7"/>
      <c r="EV201" s="7"/>
      <c r="EY201" s="7"/>
      <c r="EZ201" s="7"/>
      <c r="FC201" s="7"/>
      <c r="FD201" s="7"/>
      <c r="FG201" s="7"/>
      <c r="FH201" s="7"/>
      <c r="FK201" s="7"/>
      <c r="FL201" s="7"/>
      <c r="FO201" s="7"/>
      <c r="FP201" s="7"/>
      <c r="FS201" s="7"/>
      <c r="FT201" s="7"/>
      <c r="FW201" s="7"/>
      <c r="FX201" s="7"/>
      <c r="GA201" s="7"/>
      <c r="GB201" s="7"/>
      <c r="GE201" s="7"/>
      <c r="GF201" s="7"/>
      <c r="GI201" s="7"/>
      <c r="GJ201" s="7"/>
      <c r="GM201" s="7"/>
      <c r="GN201" s="7"/>
      <c r="GQ201" s="7"/>
      <c r="GR201" s="7"/>
      <c r="GU201" s="7"/>
      <c r="GV201" s="7"/>
      <c r="GY201" s="7"/>
      <c r="GZ201" s="7"/>
      <c r="HC201" s="7"/>
      <c r="HD201" s="7"/>
      <c r="HG201" s="7"/>
      <c r="HH201" s="7"/>
      <c r="HK201" s="7"/>
      <c r="HL201" s="7"/>
      <c r="HO201" s="7"/>
      <c r="HP201" s="7"/>
    </row>
    <row r="202" spans="3:224" x14ac:dyDescent="0.3">
      <c r="C202" s="7"/>
      <c r="D202" s="7"/>
      <c r="G202" s="7"/>
      <c r="H202" s="7"/>
      <c r="K202" s="7"/>
      <c r="L202" s="7"/>
      <c r="O202" s="7"/>
      <c r="P202" s="7"/>
      <c r="S202" s="7"/>
      <c r="T202" s="7"/>
      <c r="W202" s="7"/>
      <c r="X202" s="7"/>
      <c r="AA202" s="7"/>
      <c r="AB202" s="7"/>
      <c r="AE202" s="7"/>
      <c r="AF202" s="7"/>
      <c r="AI202" s="7"/>
      <c r="AJ202" s="7"/>
      <c r="AM202" s="7"/>
      <c r="AN202" s="7"/>
      <c r="AQ202" s="7"/>
      <c r="AR202" s="7"/>
      <c r="AU202" s="7"/>
      <c r="AV202" s="7"/>
      <c r="AY202" s="7"/>
      <c r="AZ202" s="7"/>
      <c r="BC202" s="7"/>
      <c r="BD202" s="7"/>
      <c r="BG202" s="7"/>
      <c r="BH202" s="7"/>
      <c r="BK202" s="7"/>
      <c r="BL202" s="7"/>
      <c r="BO202" s="7"/>
      <c r="BP202" s="7"/>
      <c r="BS202" s="7"/>
      <c r="BT202" s="7"/>
      <c r="BW202" s="7"/>
      <c r="BX202" s="7"/>
      <c r="CA202" s="7"/>
      <c r="CB202" s="7"/>
      <c r="CE202" s="7"/>
      <c r="CF202" s="7"/>
      <c r="CI202" s="7"/>
      <c r="CJ202" s="7"/>
      <c r="CM202" s="7"/>
      <c r="CN202" s="7"/>
      <c r="CQ202" s="7"/>
      <c r="CR202" s="7"/>
      <c r="CU202" s="7"/>
      <c r="CV202" s="7"/>
      <c r="CY202" s="7"/>
      <c r="CZ202" s="7"/>
      <c r="DC202" s="7"/>
      <c r="DD202" s="7"/>
      <c r="DG202" s="7"/>
      <c r="DH202" s="7"/>
      <c r="DK202" s="7"/>
      <c r="DL202" s="7"/>
      <c r="DO202" s="7"/>
      <c r="DP202" s="7"/>
      <c r="DS202" s="7"/>
      <c r="DT202" s="7"/>
      <c r="DW202" s="7"/>
      <c r="DX202" s="7"/>
      <c r="EA202" s="7"/>
      <c r="EB202" s="7"/>
      <c r="EE202" s="7"/>
      <c r="EF202" s="7"/>
      <c r="EI202" s="7"/>
      <c r="EJ202" s="7"/>
      <c r="EM202" s="7"/>
      <c r="EN202" s="7"/>
      <c r="EQ202" s="7"/>
      <c r="ER202" s="7"/>
      <c r="EU202" s="7"/>
      <c r="EV202" s="7"/>
      <c r="EY202" s="7"/>
      <c r="EZ202" s="7"/>
      <c r="FC202" s="7"/>
      <c r="FD202" s="7"/>
      <c r="FG202" s="7"/>
      <c r="FH202" s="7"/>
      <c r="FK202" s="7"/>
      <c r="FL202" s="7"/>
      <c r="FO202" s="7"/>
      <c r="FP202" s="7"/>
      <c r="FS202" s="7"/>
      <c r="FT202" s="7"/>
      <c r="FW202" s="7"/>
      <c r="FX202" s="7"/>
      <c r="GA202" s="7"/>
      <c r="GB202" s="7"/>
      <c r="GE202" s="7"/>
      <c r="GF202" s="7"/>
      <c r="GI202" s="7"/>
      <c r="GJ202" s="7"/>
      <c r="GM202" s="7"/>
      <c r="GN202" s="7"/>
      <c r="GQ202" s="7"/>
      <c r="GR202" s="7"/>
      <c r="GU202" s="7"/>
      <c r="GV202" s="7"/>
      <c r="GY202" s="7"/>
      <c r="GZ202" s="7"/>
      <c r="HC202" s="7"/>
      <c r="HD202" s="7"/>
      <c r="HG202" s="7"/>
      <c r="HH202" s="7"/>
      <c r="HK202" s="7"/>
      <c r="HL202" s="7"/>
      <c r="HO202" s="7"/>
      <c r="HP202" s="7"/>
    </row>
    <row r="203" spans="3:224" x14ac:dyDescent="0.3">
      <c r="C203" s="7"/>
      <c r="D203" s="7"/>
      <c r="G203" s="7"/>
      <c r="H203" s="7"/>
      <c r="K203" s="7"/>
      <c r="L203" s="7"/>
      <c r="O203" s="7"/>
      <c r="P203" s="7"/>
      <c r="S203" s="7"/>
      <c r="T203" s="7"/>
      <c r="W203" s="7"/>
      <c r="X203" s="7"/>
      <c r="AA203" s="7"/>
      <c r="AB203" s="7"/>
      <c r="AE203" s="7"/>
      <c r="AF203" s="7"/>
      <c r="AI203" s="7"/>
      <c r="AJ203" s="7"/>
      <c r="AM203" s="7"/>
      <c r="AN203" s="7"/>
      <c r="AQ203" s="7"/>
      <c r="AR203" s="7"/>
      <c r="AU203" s="7"/>
      <c r="AV203" s="7"/>
      <c r="AY203" s="7"/>
      <c r="AZ203" s="7"/>
      <c r="BC203" s="7"/>
      <c r="BD203" s="7"/>
      <c r="BG203" s="7"/>
      <c r="BH203" s="7"/>
      <c r="BK203" s="7"/>
      <c r="BL203" s="7"/>
      <c r="BO203" s="7"/>
      <c r="BP203" s="7"/>
      <c r="BS203" s="7"/>
      <c r="BT203" s="7"/>
      <c r="BW203" s="7"/>
      <c r="BX203" s="7"/>
      <c r="CA203" s="7"/>
      <c r="CB203" s="7"/>
      <c r="CE203" s="7"/>
      <c r="CF203" s="7"/>
      <c r="CI203" s="7"/>
      <c r="CJ203" s="7"/>
      <c r="CM203" s="7"/>
      <c r="CN203" s="7"/>
      <c r="CQ203" s="7"/>
      <c r="CR203" s="7"/>
      <c r="CU203" s="7"/>
      <c r="CV203" s="7"/>
      <c r="CY203" s="7"/>
      <c r="CZ203" s="7"/>
      <c r="DC203" s="7"/>
      <c r="DD203" s="7"/>
      <c r="DG203" s="7"/>
      <c r="DH203" s="7"/>
      <c r="DK203" s="7"/>
      <c r="DL203" s="7"/>
      <c r="DO203" s="7"/>
      <c r="DP203" s="7"/>
      <c r="DS203" s="7"/>
      <c r="DT203" s="7"/>
      <c r="DW203" s="7"/>
      <c r="DX203" s="7"/>
      <c r="EA203" s="7"/>
      <c r="EB203" s="7"/>
      <c r="EE203" s="7"/>
      <c r="EF203" s="7"/>
      <c r="EI203" s="7"/>
      <c r="EJ203" s="7"/>
      <c r="EM203" s="7"/>
      <c r="EN203" s="7"/>
      <c r="EQ203" s="7"/>
      <c r="ER203" s="7"/>
      <c r="EU203" s="7"/>
      <c r="EV203" s="7"/>
      <c r="EY203" s="7"/>
      <c r="EZ203" s="7"/>
      <c r="FC203" s="7"/>
      <c r="FD203" s="7"/>
      <c r="FG203" s="7"/>
      <c r="FH203" s="7"/>
      <c r="FK203" s="7"/>
      <c r="FL203" s="7"/>
      <c r="FO203" s="7"/>
      <c r="FP203" s="7"/>
      <c r="FS203" s="7"/>
      <c r="FT203" s="7"/>
      <c r="FW203" s="7"/>
      <c r="FX203" s="7"/>
      <c r="GA203" s="7"/>
      <c r="GB203" s="7"/>
      <c r="GE203" s="7"/>
      <c r="GF203" s="7"/>
      <c r="GI203" s="7"/>
      <c r="GJ203" s="7"/>
      <c r="GM203" s="7"/>
      <c r="GN203" s="7"/>
      <c r="GQ203" s="7"/>
      <c r="GR203" s="7"/>
      <c r="GU203" s="7"/>
      <c r="GV203" s="7"/>
      <c r="GY203" s="7"/>
      <c r="GZ203" s="7"/>
      <c r="HC203" s="7"/>
      <c r="HD203" s="7"/>
      <c r="HG203" s="7"/>
      <c r="HH203" s="7"/>
      <c r="HK203" s="7"/>
      <c r="HL203" s="7"/>
      <c r="HO203" s="7"/>
      <c r="HP203" s="7"/>
    </row>
    <row r="204" spans="3:224" x14ac:dyDescent="0.3">
      <c r="C204" s="7"/>
      <c r="D204" s="7"/>
      <c r="G204" s="7"/>
      <c r="H204" s="7"/>
      <c r="K204" s="7"/>
      <c r="L204" s="7"/>
      <c r="O204" s="7"/>
      <c r="P204" s="7"/>
      <c r="S204" s="7"/>
      <c r="T204" s="7"/>
      <c r="W204" s="7"/>
      <c r="X204" s="7"/>
      <c r="AA204" s="7"/>
      <c r="AB204" s="7"/>
      <c r="AE204" s="7"/>
      <c r="AF204" s="7"/>
      <c r="AI204" s="7"/>
      <c r="AJ204" s="7"/>
      <c r="AM204" s="7"/>
      <c r="AN204" s="7"/>
      <c r="AQ204" s="7"/>
      <c r="AR204" s="7"/>
      <c r="AU204" s="7"/>
      <c r="AV204" s="7"/>
      <c r="AY204" s="7"/>
      <c r="AZ204" s="7"/>
      <c r="BC204" s="7"/>
      <c r="BD204" s="7"/>
      <c r="BG204" s="7"/>
      <c r="BH204" s="7"/>
      <c r="BK204" s="7"/>
      <c r="BL204" s="7"/>
      <c r="BO204" s="7"/>
      <c r="BP204" s="7"/>
      <c r="BS204" s="7"/>
      <c r="BT204" s="7"/>
      <c r="BW204" s="7"/>
      <c r="BX204" s="7"/>
      <c r="CA204" s="7"/>
      <c r="CB204" s="7"/>
      <c r="CE204" s="7"/>
      <c r="CF204" s="7"/>
      <c r="CI204" s="7"/>
      <c r="CJ204" s="7"/>
      <c r="CM204" s="7"/>
      <c r="CN204" s="7"/>
      <c r="CQ204" s="7"/>
      <c r="CR204" s="7"/>
      <c r="CU204" s="7"/>
      <c r="CV204" s="7"/>
      <c r="CY204" s="7"/>
      <c r="CZ204" s="7"/>
      <c r="DC204" s="7"/>
      <c r="DD204" s="7"/>
      <c r="DG204" s="7"/>
      <c r="DH204" s="7"/>
      <c r="DK204" s="7"/>
      <c r="DL204" s="7"/>
      <c r="DO204" s="7"/>
      <c r="DP204" s="7"/>
      <c r="DS204" s="7"/>
      <c r="DT204" s="7"/>
      <c r="DW204" s="7"/>
      <c r="DX204" s="7"/>
      <c r="EA204" s="7"/>
      <c r="EB204" s="7"/>
      <c r="EE204" s="7"/>
      <c r="EF204" s="7"/>
      <c r="EI204" s="7"/>
      <c r="EJ204" s="7"/>
      <c r="EM204" s="7"/>
      <c r="EN204" s="7"/>
      <c r="EQ204" s="7"/>
      <c r="ER204" s="7"/>
      <c r="EU204" s="7"/>
      <c r="EV204" s="7"/>
      <c r="EY204" s="7"/>
      <c r="EZ204" s="7"/>
      <c r="FC204" s="7"/>
      <c r="FD204" s="7"/>
      <c r="FG204" s="7"/>
      <c r="FH204" s="7"/>
      <c r="FK204" s="7"/>
      <c r="FL204" s="7"/>
      <c r="FO204" s="7"/>
      <c r="FP204" s="7"/>
      <c r="FS204" s="7"/>
      <c r="FT204" s="7"/>
      <c r="FW204" s="7"/>
      <c r="FX204" s="7"/>
      <c r="GA204" s="7"/>
      <c r="GB204" s="7"/>
      <c r="GE204" s="7"/>
      <c r="GF204" s="7"/>
      <c r="GI204" s="7"/>
      <c r="GJ204" s="7"/>
      <c r="GM204" s="7"/>
      <c r="GN204" s="7"/>
      <c r="GQ204" s="7"/>
      <c r="GR204" s="7"/>
      <c r="GU204" s="7"/>
      <c r="GV204" s="7"/>
      <c r="GY204" s="7"/>
      <c r="GZ204" s="7"/>
      <c r="HC204" s="7"/>
      <c r="HD204" s="7"/>
      <c r="HG204" s="7"/>
      <c r="HH204" s="7"/>
      <c r="HK204" s="7"/>
      <c r="HL204" s="7"/>
      <c r="HO204" s="7"/>
      <c r="HP204" s="7"/>
    </row>
    <row r="205" spans="3:224" x14ac:dyDescent="0.3">
      <c r="C205" s="7"/>
      <c r="D205" s="7"/>
      <c r="G205" s="7"/>
      <c r="H205" s="7"/>
      <c r="K205" s="7"/>
      <c r="L205" s="7"/>
      <c r="O205" s="7"/>
      <c r="P205" s="7"/>
      <c r="S205" s="7"/>
      <c r="T205" s="7"/>
      <c r="W205" s="7"/>
      <c r="X205" s="7"/>
      <c r="AA205" s="7"/>
      <c r="AB205" s="7"/>
      <c r="AE205" s="7"/>
      <c r="AF205" s="7"/>
      <c r="AI205" s="7"/>
      <c r="AJ205" s="7"/>
      <c r="AM205" s="7"/>
      <c r="AN205" s="7"/>
      <c r="AQ205" s="7"/>
      <c r="AR205" s="7"/>
      <c r="AU205" s="7"/>
      <c r="AV205" s="7"/>
      <c r="AY205" s="7"/>
      <c r="AZ205" s="7"/>
      <c r="BC205" s="7"/>
      <c r="BD205" s="7"/>
      <c r="BG205" s="7"/>
      <c r="BH205" s="7"/>
      <c r="BK205" s="7"/>
      <c r="BL205" s="7"/>
      <c r="BO205" s="7"/>
      <c r="BP205" s="7"/>
      <c r="BS205" s="7"/>
      <c r="BT205" s="7"/>
      <c r="BW205" s="7"/>
      <c r="BX205" s="7"/>
      <c r="CA205" s="7"/>
      <c r="CB205" s="7"/>
      <c r="CE205" s="7"/>
      <c r="CF205" s="7"/>
      <c r="CI205" s="7"/>
      <c r="CJ205" s="7"/>
      <c r="CM205" s="7"/>
      <c r="CN205" s="7"/>
      <c r="CQ205" s="7"/>
      <c r="CR205" s="7"/>
      <c r="CU205" s="7"/>
      <c r="CV205" s="7"/>
      <c r="CY205" s="7"/>
      <c r="CZ205" s="7"/>
      <c r="DC205" s="7"/>
      <c r="DD205" s="7"/>
      <c r="DG205" s="7"/>
      <c r="DH205" s="7"/>
      <c r="DK205" s="7"/>
      <c r="DL205" s="7"/>
      <c r="DO205" s="7"/>
      <c r="DP205" s="7"/>
      <c r="DS205" s="7"/>
      <c r="DT205" s="7"/>
      <c r="DW205" s="7"/>
      <c r="DX205" s="7"/>
      <c r="EA205" s="7"/>
      <c r="EB205" s="7"/>
      <c r="EE205" s="7"/>
      <c r="EF205" s="7"/>
      <c r="EI205" s="7"/>
      <c r="EJ205" s="7"/>
      <c r="EM205" s="7"/>
      <c r="EN205" s="7"/>
      <c r="EQ205" s="7"/>
      <c r="ER205" s="7"/>
      <c r="EU205" s="7"/>
      <c r="EV205" s="7"/>
      <c r="EY205" s="7"/>
      <c r="EZ205" s="7"/>
      <c r="FC205" s="7"/>
      <c r="FD205" s="7"/>
      <c r="FG205" s="7"/>
      <c r="FH205" s="7"/>
      <c r="FK205" s="7"/>
      <c r="FL205" s="7"/>
      <c r="FO205" s="7"/>
      <c r="FP205" s="7"/>
      <c r="FS205" s="7"/>
      <c r="FT205" s="7"/>
      <c r="FW205" s="7"/>
      <c r="FX205" s="7"/>
      <c r="GA205" s="7"/>
      <c r="GB205" s="7"/>
      <c r="GE205" s="7"/>
      <c r="GF205" s="7"/>
      <c r="GI205" s="7"/>
      <c r="GJ205" s="7"/>
      <c r="GM205" s="7"/>
      <c r="GN205" s="7"/>
      <c r="GQ205" s="7"/>
      <c r="GR205" s="7"/>
      <c r="GU205" s="7"/>
      <c r="GV205" s="7"/>
      <c r="GY205" s="7"/>
      <c r="GZ205" s="7"/>
      <c r="HC205" s="7"/>
      <c r="HD205" s="7"/>
      <c r="HG205" s="7"/>
      <c r="HH205" s="7"/>
      <c r="HK205" s="7"/>
      <c r="HL205" s="7"/>
      <c r="HO205" s="7"/>
      <c r="HP205" s="7"/>
    </row>
    <row r="206" spans="3:224" x14ac:dyDescent="0.3">
      <c r="C206" s="7"/>
      <c r="D206" s="7"/>
      <c r="G206" s="7"/>
      <c r="H206" s="7"/>
      <c r="K206" s="7"/>
      <c r="L206" s="7"/>
      <c r="O206" s="7"/>
      <c r="P206" s="7"/>
      <c r="S206" s="7"/>
      <c r="T206" s="7"/>
      <c r="W206" s="7"/>
      <c r="X206" s="7"/>
      <c r="AA206" s="7"/>
      <c r="AB206" s="7"/>
      <c r="AE206" s="7"/>
      <c r="AF206" s="7"/>
      <c r="AI206" s="7"/>
      <c r="AJ206" s="7"/>
      <c r="AM206" s="7"/>
      <c r="AN206" s="7"/>
      <c r="AQ206" s="7"/>
      <c r="AR206" s="7"/>
      <c r="AU206" s="7"/>
      <c r="AV206" s="7"/>
      <c r="AY206" s="7"/>
      <c r="AZ206" s="7"/>
      <c r="BC206" s="7"/>
      <c r="BD206" s="7"/>
      <c r="BG206" s="7"/>
      <c r="BH206" s="7"/>
      <c r="BK206" s="7"/>
      <c r="BL206" s="7"/>
      <c r="BO206" s="7"/>
      <c r="BP206" s="7"/>
      <c r="BS206" s="7"/>
      <c r="BT206" s="7"/>
      <c r="BW206" s="7"/>
      <c r="BX206" s="7"/>
      <c r="CA206" s="7"/>
      <c r="CB206" s="7"/>
      <c r="CE206" s="7"/>
      <c r="CF206" s="7"/>
      <c r="CI206" s="7"/>
      <c r="CJ206" s="7"/>
      <c r="CM206" s="7"/>
      <c r="CN206" s="7"/>
      <c r="CQ206" s="7"/>
      <c r="CR206" s="7"/>
      <c r="CU206" s="7"/>
      <c r="CV206" s="7"/>
      <c r="CY206" s="7"/>
      <c r="CZ206" s="7"/>
      <c r="DC206" s="7"/>
      <c r="DD206" s="7"/>
      <c r="DG206" s="7"/>
      <c r="DH206" s="7"/>
      <c r="DK206" s="7"/>
      <c r="DL206" s="7"/>
      <c r="DO206" s="7"/>
      <c r="DP206" s="7"/>
      <c r="DS206" s="7"/>
      <c r="DT206" s="7"/>
      <c r="DW206" s="7"/>
      <c r="DX206" s="7"/>
      <c r="EA206" s="7"/>
      <c r="EB206" s="7"/>
      <c r="EE206" s="7"/>
      <c r="EF206" s="7"/>
      <c r="EI206" s="7"/>
      <c r="EJ206" s="7"/>
      <c r="EM206" s="7"/>
      <c r="EN206" s="7"/>
      <c r="EQ206" s="7"/>
      <c r="ER206" s="7"/>
      <c r="EU206" s="7"/>
      <c r="EV206" s="7"/>
      <c r="EY206" s="7"/>
      <c r="EZ206" s="7"/>
      <c r="FC206" s="7"/>
      <c r="FD206" s="7"/>
      <c r="FG206" s="7"/>
      <c r="FH206" s="7"/>
      <c r="FK206" s="7"/>
      <c r="FL206" s="7"/>
      <c r="FO206" s="7"/>
      <c r="FP206" s="7"/>
      <c r="FS206" s="7"/>
      <c r="FT206" s="7"/>
      <c r="FW206" s="7"/>
      <c r="FX206" s="7"/>
      <c r="GA206" s="7"/>
      <c r="GB206" s="7"/>
      <c r="GE206" s="7"/>
      <c r="GF206" s="7"/>
      <c r="GI206" s="7"/>
      <c r="GJ206" s="7"/>
      <c r="GM206" s="7"/>
      <c r="GN206" s="7"/>
      <c r="GQ206" s="7"/>
      <c r="GR206" s="7"/>
      <c r="GU206" s="7"/>
      <c r="GV206" s="7"/>
      <c r="GY206" s="7"/>
      <c r="GZ206" s="7"/>
      <c r="HC206" s="7"/>
      <c r="HD206" s="7"/>
      <c r="HG206" s="7"/>
      <c r="HH206" s="7"/>
      <c r="HK206" s="7"/>
      <c r="HL206" s="7"/>
      <c r="HO206" s="7"/>
      <c r="HP206" s="7"/>
    </row>
    <row r="207" spans="3:224" x14ac:dyDescent="0.3">
      <c r="C207" s="7"/>
      <c r="D207" s="7"/>
      <c r="G207" s="7"/>
      <c r="H207" s="7"/>
      <c r="K207" s="7"/>
      <c r="L207" s="7"/>
      <c r="O207" s="7"/>
      <c r="P207" s="7"/>
      <c r="S207" s="7"/>
      <c r="T207" s="7"/>
      <c r="W207" s="7"/>
      <c r="X207" s="7"/>
      <c r="AA207" s="7"/>
      <c r="AB207" s="7"/>
      <c r="AE207" s="7"/>
      <c r="AF207" s="7"/>
      <c r="AI207" s="7"/>
      <c r="AJ207" s="7"/>
      <c r="AM207" s="7"/>
      <c r="AN207" s="7"/>
      <c r="AQ207" s="7"/>
      <c r="AR207" s="7"/>
      <c r="AU207" s="7"/>
      <c r="AV207" s="7"/>
      <c r="AY207" s="7"/>
      <c r="AZ207" s="7"/>
      <c r="BC207" s="7"/>
      <c r="BD207" s="7"/>
      <c r="BG207" s="7"/>
      <c r="BH207" s="7"/>
      <c r="BK207" s="7"/>
      <c r="BL207" s="7"/>
      <c r="BO207" s="7"/>
      <c r="BP207" s="7"/>
      <c r="BS207" s="7"/>
      <c r="BT207" s="7"/>
      <c r="BW207" s="7"/>
      <c r="BX207" s="7"/>
      <c r="CA207" s="7"/>
      <c r="CB207" s="7"/>
      <c r="CE207" s="7"/>
      <c r="CF207" s="7"/>
      <c r="CI207" s="7"/>
      <c r="CJ207" s="7"/>
      <c r="CM207" s="7"/>
      <c r="CN207" s="7"/>
      <c r="CQ207" s="7"/>
      <c r="CR207" s="7"/>
      <c r="CU207" s="7"/>
      <c r="CV207" s="7"/>
      <c r="CY207" s="7"/>
      <c r="CZ207" s="7"/>
      <c r="DC207" s="7"/>
      <c r="DD207" s="7"/>
      <c r="DG207" s="7"/>
      <c r="DH207" s="7"/>
      <c r="DK207" s="7"/>
      <c r="DL207" s="7"/>
      <c r="DO207" s="7"/>
      <c r="DP207" s="7"/>
      <c r="DS207" s="7"/>
      <c r="DT207" s="7"/>
      <c r="DW207" s="7"/>
      <c r="DX207" s="7"/>
      <c r="EA207" s="7"/>
      <c r="EB207" s="7"/>
      <c r="EE207" s="7"/>
      <c r="EF207" s="7"/>
      <c r="EI207" s="7"/>
      <c r="EJ207" s="7"/>
      <c r="EM207" s="7"/>
      <c r="EN207" s="7"/>
      <c r="EQ207" s="7"/>
      <c r="ER207" s="7"/>
      <c r="EU207" s="7"/>
      <c r="EV207" s="7"/>
      <c r="EY207" s="7"/>
      <c r="EZ207" s="7"/>
      <c r="FC207" s="7"/>
      <c r="FD207" s="7"/>
      <c r="FG207" s="7"/>
      <c r="FH207" s="7"/>
      <c r="FK207" s="7"/>
      <c r="FL207" s="7"/>
      <c r="FO207" s="7"/>
      <c r="FP207" s="7"/>
      <c r="FS207" s="7"/>
      <c r="FT207" s="7"/>
      <c r="FW207" s="7"/>
      <c r="FX207" s="7"/>
      <c r="GA207" s="7"/>
      <c r="GB207" s="7"/>
      <c r="GE207" s="7"/>
      <c r="GF207" s="7"/>
      <c r="GI207" s="7"/>
      <c r="GJ207" s="7"/>
      <c r="GM207" s="7"/>
      <c r="GN207" s="7"/>
      <c r="GQ207" s="7"/>
      <c r="GR207" s="7"/>
      <c r="GU207" s="7"/>
      <c r="GV207" s="7"/>
      <c r="GY207" s="7"/>
      <c r="GZ207" s="7"/>
      <c r="HC207" s="7"/>
      <c r="HD207" s="7"/>
      <c r="HG207" s="7"/>
      <c r="HH207" s="7"/>
      <c r="HK207" s="7"/>
      <c r="HL207" s="7"/>
      <c r="HO207" s="7"/>
      <c r="HP207" s="7"/>
    </row>
    <row r="208" spans="3:224" x14ac:dyDescent="0.3">
      <c r="C208" s="7"/>
      <c r="D208" s="7"/>
      <c r="G208" s="7"/>
      <c r="H208" s="7"/>
      <c r="K208" s="7"/>
      <c r="L208" s="7"/>
      <c r="O208" s="7"/>
      <c r="P208" s="7"/>
      <c r="S208" s="7"/>
      <c r="T208" s="7"/>
      <c r="W208" s="7"/>
      <c r="X208" s="7"/>
      <c r="AA208" s="7"/>
      <c r="AB208" s="7"/>
      <c r="AE208" s="7"/>
      <c r="AF208" s="7"/>
      <c r="AI208" s="7"/>
      <c r="AJ208" s="7"/>
      <c r="AM208" s="7"/>
      <c r="AN208" s="7"/>
      <c r="AQ208" s="7"/>
      <c r="AR208" s="7"/>
      <c r="AU208" s="7"/>
      <c r="AV208" s="7"/>
      <c r="AY208" s="7"/>
      <c r="AZ208" s="7"/>
      <c r="BC208" s="7"/>
      <c r="BD208" s="7"/>
      <c r="BG208" s="7"/>
      <c r="BH208" s="7"/>
      <c r="BK208" s="7"/>
      <c r="BL208" s="7"/>
      <c r="BO208" s="7"/>
      <c r="BP208" s="7"/>
      <c r="BS208" s="7"/>
      <c r="BT208" s="7"/>
      <c r="BW208" s="7"/>
      <c r="BX208" s="7"/>
      <c r="CA208" s="7"/>
      <c r="CB208" s="7"/>
      <c r="CE208" s="7"/>
      <c r="CF208" s="7"/>
      <c r="CI208" s="7"/>
      <c r="CJ208" s="7"/>
      <c r="CM208" s="7"/>
      <c r="CN208" s="7"/>
      <c r="CQ208" s="7"/>
      <c r="CR208" s="7"/>
      <c r="CU208" s="7"/>
      <c r="CV208" s="7"/>
      <c r="CY208" s="7"/>
      <c r="CZ208" s="7"/>
      <c r="DC208" s="7"/>
      <c r="DD208" s="7"/>
      <c r="DG208" s="7"/>
      <c r="DH208" s="7"/>
      <c r="DK208" s="7"/>
      <c r="DL208" s="7"/>
      <c r="DO208" s="7"/>
      <c r="DP208" s="7"/>
      <c r="DS208" s="7"/>
      <c r="DT208" s="7"/>
      <c r="DW208" s="7"/>
      <c r="DX208" s="7"/>
      <c r="EA208" s="7"/>
      <c r="EB208" s="7"/>
      <c r="EE208" s="7"/>
      <c r="EF208" s="7"/>
      <c r="EI208" s="7"/>
      <c r="EJ208" s="7"/>
      <c r="EM208" s="7"/>
      <c r="EN208" s="7"/>
      <c r="EQ208" s="7"/>
      <c r="ER208" s="7"/>
      <c r="EU208" s="7"/>
      <c r="EV208" s="7"/>
      <c r="EY208" s="7"/>
      <c r="EZ208" s="7"/>
      <c r="FC208" s="7"/>
      <c r="FD208" s="7"/>
      <c r="FG208" s="7"/>
      <c r="FH208" s="7"/>
      <c r="FK208" s="7"/>
      <c r="FL208" s="7"/>
      <c r="FO208" s="7"/>
      <c r="FP208" s="7"/>
      <c r="FS208" s="7"/>
      <c r="FT208" s="7"/>
      <c r="FW208" s="7"/>
      <c r="FX208" s="7"/>
      <c r="GA208" s="7"/>
      <c r="GB208" s="7"/>
      <c r="GE208" s="7"/>
      <c r="GF208" s="7"/>
      <c r="GI208" s="7"/>
      <c r="GJ208" s="7"/>
      <c r="GM208" s="7"/>
      <c r="GN208" s="7"/>
      <c r="GQ208" s="7"/>
      <c r="GR208" s="7"/>
      <c r="GU208" s="7"/>
      <c r="GV208" s="7"/>
      <c r="GY208" s="7"/>
      <c r="GZ208" s="7"/>
      <c r="HC208" s="7"/>
      <c r="HD208" s="7"/>
      <c r="HG208" s="7"/>
      <c r="HH208" s="7"/>
      <c r="HK208" s="7"/>
      <c r="HL208" s="7"/>
      <c r="HO208" s="7"/>
      <c r="HP208" s="7"/>
    </row>
    <row r="209" spans="3:224" x14ac:dyDescent="0.3">
      <c r="C209" s="7"/>
      <c r="D209" s="7"/>
      <c r="G209" s="7"/>
      <c r="H209" s="7"/>
      <c r="K209" s="7"/>
      <c r="L209" s="7"/>
      <c r="O209" s="7"/>
      <c r="P209" s="7"/>
      <c r="S209" s="7"/>
      <c r="T209" s="7"/>
      <c r="W209" s="7"/>
      <c r="X209" s="7"/>
      <c r="AA209" s="7"/>
      <c r="AB209" s="7"/>
      <c r="AE209" s="7"/>
      <c r="AF209" s="7"/>
      <c r="AI209" s="7"/>
      <c r="AJ209" s="7"/>
      <c r="AM209" s="7"/>
      <c r="AN209" s="7"/>
      <c r="AQ209" s="7"/>
      <c r="AR209" s="7"/>
      <c r="AU209" s="7"/>
      <c r="AV209" s="7"/>
      <c r="AY209" s="7"/>
      <c r="AZ209" s="7"/>
      <c r="BC209" s="7"/>
      <c r="BD209" s="7"/>
      <c r="BG209" s="7"/>
      <c r="BH209" s="7"/>
      <c r="BK209" s="7"/>
      <c r="BL209" s="7"/>
      <c r="BO209" s="7"/>
      <c r="BP209" s="7"/>
      <c r="BS209" s="7"/>
      <c r="BT209" s="7"/>
      <c r="BW209" s="7"/>
      <c r="BX209" s="7"/>
      <c r="CA209" s="7"/>
      <c r="CB209" s="7"/>
      <c r="CE209" s="7"/>
      <c r="CF209" s="7"/>
      <c r="CI209" s="7"/>
      <c r="CJ209" s="7"/>
      <c r="CM209" s="7"/>
      <c r="CN209" s="7"/>
      <c r="CQ209" s="7"/>
      <c r="CR209" s="7"/>
      <c r="CU209" s="7"/>
      <c r="CV209" s="7"/>
      <c r="CY209" s="7"/>
      <c r="CZ209" s="7"/>
      <c r="DC209" s="7"/>
      <c r="DD209" s="7"/>
      <c r="DG209" s="7"/>
      <c r="DH209" s="7"/>
      <c r="DK209" s="7"/>
      <c r="DL209" s="7"/>
      <c r="DO209" s="7"/>
      <c r="DP209" s="7"/>
      <c r="DS209" s="7"/>
      <c r="DT209" s="7"/>
      <c r="DW209" s="7"/>
      <c r="DX209" s="7"/>
      <c r="EA209" s="7"/>
      <c r="EB209" s="7"/>
      <c r="EE209" s="7"/>
      <c r="EF209" s="7"/>
      <c r="EI209" s="7"/>
      <c r="EJ209" s="7"/>
      <c r="EM209" s="7"/>
      <c r="EN209" s="7"/>
      <c r="EQ209" s="7"/>
      <c r="ER209" s="7"/>
      <c r="EU209" s="7"/>
      <c r="EV209" s="7"/>
      <c r="EY209" s="7"/>
      <c r="EZ209" s="7"/>
      <c r="FC209" s="7"/>
      <c r="FD209" s="7"/>
      <c r="FG209" s="7"/>
      <c r="FH209" s="7"/>
      <c r="FK209" s="7"/>
      <c r="FL209" s="7"/>
      <c r="FO209" s="7"/>
      <c r="FP209" s="7"/>
      <c r="FS209" s="7"/>
      <c r="FT209" s="7"/>
      <c r="FW209" s="7"/>
      <c r="FX209" s="7"/>
      <c r="GA209" s="7"/>
      <c r="GB209" s="7"/>
      <c r="GE209" s="7"/>
      <c r="GF209" s="7"/>
      <c r="GI209" s="7"/>
      <c r="GJ209" s="7"/>
      <c r="GM209" s="7"/>
      <c r="GN209" s="7"/>
      <c r="GQ209" s="7"/>
      <c r="GR209" s="7"/>
      <c r="GU209" s="7"/>
      <c r="GV209" s="7"/>
      <c r="GY209" s="7"/>
      <c r="GZ209" s="7"/>
      <c r="HC209" s="7"/>
      <c r="HD209" s="7"/>
      <c r="HG209" s="7"/>
      <c r="HH209" s="7"/>
      <c r="HK209" s="7"/>
      <c r="HL209" s="7"/>
      <c r="HO209" s="7"/>
      <c r="HP209" s="7"/>
    </row>
    <row r="210" spans="3:224" x14ac:dyDescent="0.3">
      <c r="C210" s="7"/>
      <c r="D210" s="7"/>
      <c r="G210" s="7"/>
      <c r="H210" s="7"/>
      <c r="K210" s="7"/>
      <c r="L210" s="7"/>
      <c r="O210" s="7"/>
      <c r="P210" s="7"/>
      <c r="S210" s="7"/>
      <c r="T210" s="7"/>
      <c r="W210" s="7"/>
      <c r="X210" s="7"/>
      <c r="AA210" s="7"/>
      <c r="AB210" s="7"/>
      <c r="AE210" s="7"/>
      <c r="AF210" s="7"/>
      <c r="AI210" s="7"/>
      <c r="AJ210" s="7"/>
      <c r="AM210" s="7"/>
      <c r="AN210" s="7"/>
      <c r="AQ210" s="7"/>
      <c r="AR210" s="7"/>
      <c r="AU210" s="7"/>
      <c r="AV210" s="7"/>
      <c r="AY210" s="7"/>
      <c r="AZ210" s="7"/>
      <c r="BC210" s="7"/>
      <c r="BD210" s="7"/>
      <c r="BG210" s="7"/>
      <c r="BH210" s="7"/>
      <c r="BK210" s="7"/>
      <c r="BL210" s="7"/>
      <c r="BO210" s="7"/>
      <c r="BP210" s="7"/>
      <c r="BS210" s="7"/>
      <c r="BT210" s="7"/>
      <c r="BW210" s="7"/>
      <c r="BX210" s="7"/>
      <c r="CA210" s="7"/>
      <c r="CB210" s="7"/>
      <c r="CE210" s="7"/>
      <c r="CF210" s="7"/>
      <c r="CI210" s="7"/>
      <c r="CJ210" s="7"/>
      <c r="CM210" s="7"/>
      <c r="CN210" s="7"/>
      <c r="CQ210" s="7"/>
      <c r="CR210" s="7"/>
      <c r="CU210" s="7"/>
      <c r="CV210" s="7"/>
      <c r="CY210" s="7"/>
      <c r="CZ210" s="7"/>
      <c r="DC210" s="7"/>
      <c r="DD210" s="7"/>
      <c r="DG210" s="7"/>
      <c r="DH210" s="7"/>
      <c r="DK210" s="7"/>
      <c r="DL210" s="7"/>
      <c r="DO210" s="7"/>
      <c r="DP210" s="7"/>
      <c r="DS210" s="7"/>
      <c r="DT210" s="7"/>
      <c r="DW210" s="7"/>
      <c r="DX210" s="7"/>
      <c r="EA210" s="7"/>
      <c r="EB210" s="7"/>
      <c r="EE210" s="7"/>
      <c r="EF210" s="7"/>
      <c r="EI210" s="7"/>
      <c r="EJ210" s="7"/>
      <c r="EM210" s="7"/>
      <c r="EN210" s="7"/>
      <c r="EQ210" s="7"/>
      <c r="ER210" s="7"/>
      <c r="EU210" s="7"/>
      <c r="EV210" s="7"/>
      <c r="EY210" s="7"/>
      <c r="EZ210" s="7"/>
      <c r="FC210" s="7"/>
      <c r="FD210" s="7"/>
      <c r="FG210" s="7"/>
      <c r="FH210" s="7"/>
      <c r="FK210" s="7"/>
      <c r="FL210" s="7"/>
      <c r="FO210" s="7"/>
      <c r="FP210" s="7"/>
      <c r="FS210" s="7"/>
      <c r="FT210" s="7"/>
      <c r="FW210" s="7"/>
      <c r="FX210" s="7"/>
      <c r="GA210" s="7"/>
      <c r="GB210" s="7"/>
      <c r="GE210" s="7"/>
      <c r="GF210" s="7"/>
      <c r="GI210" s="7"/>
      <c r="GJ210" s="7"/>
      <c r="GM210" s="7"/>
      <c r="GN210" s="7"/>
      <c r="GQ210" s="7"/>
      <c r="GR210" s="7"/>
      <c r="GU210" s="7"/>
      <c r="GV210" s="7"/>
      <c r="GY210" s="7"/>
      <c r="GZ210" s="7"/>
      <c r="HC210" s="7"/>
      <c r="HD210" s="7"/>
      <c r="HG210" s="7"/>
      <c r="HH210" s="7"/>
      <c r="HK210" s="7"/>
      <c r="HL210" s="7"/>
      <c r="HO210" s="7"/>
      <c r="HP210" s="7"/>
    </row>
    <row r="211" spans="3:224" x14ac:dyDescent="0.3">
      <c r="C211" s="7"/>
      <c r="D211" s="7"/>
      <c r="G211" s="7"/>
      <c r="H211" s="7"/>
      <c r="K211" s="7"/>
      <c r="L211" s="7"/>
      <c r="O211" s="7"/>
      <c r="P211" s="7"/>
      <c r="S211" s="7"/>
      <c r="T211" s="7"/>
      <c r="W211" s="7"/>
      <c r="X211" s="7"/>
      <c r="AA211" s="7"/>
      <c r="AB211" s="7"/>
      <c r="AE211" s="7"/>
      <c r="AF211" s="7"/>
      <c r="AI211" s="7"/>
      <c r="AJ211" s="7"/>
      <c r="AM211" s="7"/>
      <c r="AN211" s="7"/>
      <c r="AQ211" s="7"/>
      <c r="AR211" s="7"/>
      <c r="AU211" s="7"/>
      <c r="AV211" s="7"/>
      <c r="AY211" s="7"/>
      <c r="AZ211" s="7"/>
      <c r="BC211" s="7"/>
      <c r="BD211" s="7"/>
      <c r="BG211" s="7"/>
      <c r="BH211" s="7"/>
      <c r="BK211" s="7"/>
      <c r="BL211" s="7"/>
      <c r="BO211" s="7"/>
      <c r="BP211" s="7"/>
      <c r="BS211" s="7"/>
      <c r="BT211" s="7"/>
      <c r="BW211" s="7"/>
      <c r="BX211" s="7"/>
      <c r="CA211" s="7"/>
      <c r="CB211" s="7"/>
      <c r="CE211" s="7"/>
      <c r="CF211" s="7"/>
      <c r="CI211" s="7"/>
      <c r="CJ211" s="7"/>
      <c r="CM211" s="7"/>
      <c r="CN211" s="7"/>
      <c r="CQ211" s="7"/>
      <c r="CR211" s="7"/>
      <c r="CU211" s="7"/>
      <c r="CV211" s="7"/>
      <c r="CY211" s="7"/>
      <c r="CZ211" s="7"/>
      <c r="DC211" s="7"/>
      <c r="DD211" s="7"/>
      <c r="DG211" s="7"/>
      <c r="DH211" s="7"/>
      <c r="DK211" s="7"/>
      <c r="DL211" s="7"/>
      <c r="DO211" s="7"/>
      <c r="DP211" s="7"/>
      <c r="DS211" s="7"/>
      <c r="DT211" s="7"/>
      <c r="DW211" s="7"/>
      <c r="DX211" s="7"/>
      <c r="EA211" s="7"/>
      <c r="EB211" s="7"/>
      <c r="EE211" s="7"/>
      <c r="EF211" s="7"/>
      <c r="EI211" s="7"/>
      <c r="EJ211" s="7"/>
      <c r="EM211" s="7"/>
      <c r="EN211" s="7"/>
      <c r="EQ211" s="7"/>
      <c r="ER211" s="7"/>
      <c r="EU211" s="7"/>
      <c r="EV211" s="7"/>
      <c r="EY211" s="7"/>
      <c r="EZ211" s="7"/>
      <c r="FC211" s="7"/>
      <c r="FD211" s="7"/>
      <c r="FG211" s="7"/>
      <c r="FH211" s="7"/>
      <c r="FK211" s="7"/>
      <c r="FL211" s="7"/>
      <c r="FO211" s="7"/>
      <c r="FP211" s="7"/>
      <c r="FS211" s="7"/>
      <c r="FT211" s="7"/>
      <c r="FW211" s="7"/>
      <c r="FX211" s="7"/>
      <c r="GA211" s="7"/>
      <c r="GB211" s="7"/>
      <c r="GE211" s="7"/>
      <c r="GF211" s="7"/>
      <c r="GI211" s="7"/>
      <c r="GJ211" s="7"/>
      <c r="GM211" s="7"/>
      <c r="GN211" s="7"/>
      <c r="GQ211" s="7"/>
      <c r="GR211" s="7"/>
      <c r="GU211" s="7"/>
      <c r="GV211" s="7"/>
      <c r="GY211" s="7"/>
      <c r="GZ211" s="7"/>
      <c r="HC211" s="7"/>
      <c r="HD211" s="7"/>
      <c r="HG211" s="7"/>
      <c r="HH211" s="7"/>
      <c r="HK211" s="7"/>
      <c r="HL211" s="7"/>
      <c r="HO211" s="7"/>
      <c r="HP211" s="7"/>
    </row>
    <row r="212" spans="3:224" x14ac:dyDescent="0.3">
      <c r="C212" s="7"/>
      <c r="D212" s="7"/>
      <c r="G212" s="7"/>
      <c r="H212" s="7"/>
      <c r="K212" s="7"/>
      <c r="L212" s="7"/>
      <c r="O212" s="7"/>
      <c r="P212" s="7"/>
      <c r="S212" s="7"/>
      <c r="T212" s="7"/>
      <c r="W212" s="7"/>
      <c r="X212" s="7"/>
      <c r="AA212" s="7"/>
      <c r="AB212" s="7"/>
      <c r="AE212" s="7"/>
      <c r="AF212" s="7"/>
      <c r="AI212" s="7"/>
      <c r="AJ212" s="7"/>
      <c r="AM212" s="7"/>
      <c r="AN212" s="7"/>
      <c r="AQ212" s="7"/>
      <c r="AR212" s="7"/>
      <c r="AU212" s="7"/>
      <c r="AV212" s="7"/>
      <c r="AY212" s="7"/>
      <c r="AZ212" s="7"/>
      <c r="BC212" s="7"/>
      <c r="BD212" s="7"/>
      <c r="BG212" s="7"/>
      <c r="BH212" s="7"/>
      <c r="BK212" s="7"/>
      <c r="BL212" s="7"/>
      <c r="BO212" s="7"/>
      <c r="BP212" s="7"/>
      <c r="BS212" s="7"/>
      <c r="BT212" s="7"/>
      <c r="BW212" s="7"/>
      <c r="BX212" s="7"/>
      <c r="CA212" s="7"/>
      <c r="CB212" s="7"/>
      <c r="CE212" s="7"/>
      <c r="CF212" s="7"/>
      <c r="CI212" s="7"/>
      <c r="CJ212" s="7"/>
      <c r="CM212" s="7"/>
      <c r="CN212" s="7"/>
      <c r="CQ212" s="7"/>
      <c r="CR212" s="7"/>
      <c r="CU212" s="7"/>
      <c r="CV212" s="7"/>
      <c r="CY212" s="7"/>
      <c r="CZ212" s="7"/>
      <c r="DC212" s="7"/>
      <c r="DD212" s="7"/>
      <c r="DG212" s="7"/>
      <c r="DH212" s="7"/>
      <c r="DK212" s="7"/>
      <c r="DL212" s="7"/>
      <c r="DO212" s="7"/>
      <c r="DP212" s="7"/>
      <c r="DS212" s="7"/>
      <c r="DT212" s="7"/>
      <c r="DW212" s="7"/>
      <c r="DX212" s="7"/>
      <c r="EA212" s="7"/>
      <c r="EB212" s="7"/>
      <c r="EE212" s="7"/>
      <c r="EF212" s="7"/>
      <c r="EI212" s="7"/>
      <c r="EJ212" s="7"/>
      <c r="EM212" s="7"/>
      <c r="EN212" s="7"/>
      <c r="EQ212" s="7"/>
      <c r="ER212" s="7"/>
      <c r="EU212" s="7"/>
      <c r="EV212" s="7"/>
      <c r="EY212" s="7"/>
      <c r="EZ212" s="7"/>
      <c r="FC212" s="7"/>
      <c r="FD212" s="7"/>
      <c r="FG212" s="7"/>
      <c r="FH212" s="7"/>
      <c r="FK212" s="7"/>
      <c r="FL212" s="7"/>
      <c r="FO212" s="7"/>
      <c r="FP212" s="7"/>
      <c r="FS212" s="7"/>
      <c r="FT212" s="7"/>
      <c r="FW212" s="7"/>
      <c r="FX212" s="7"/>
      <c r="GA212" s="7"/>
      <c r="GB212" s="7"/>
      <c r="GE212" s="7"/>
      <c r="GF212" s="7"/>
      <c r="GI212" s="7"/>
      <c r="GJ212" s="7"/>
      <c r="GM212" s="7"/>
      <c r="GN212" s="7"/>
      <c r="GQ212" s="7"/>
      <c r="GR212" s="7"/>
      <c r="GU212" s="7"/>
      <c r="GV212" s="7"/>
      <c r="GY212" s="7"/>
      <c r="GZ212" s="7"/>
      <c r="HC212" s="7"/>
      <c r="HD212" s="7"/>
      <c r="HG212" s="7"/>
      <c r="HH212" s="7"/>
      <c r="HK212" s="7"/>
      <c r="HL212" s="7"/>
      <c r="HO212" s="7"/>
      <c r="HP212" s="7"/>
    </row>
    <row r="213" spans="3:224" x14ac:dyDescent="0.3">
      <c r="C213" s="7"/>
      <c r="D213" s="7"/>
      <c r="G213" s="7"/>
      <c r="H213" s="7"/>
      <c r="K213" s="7"/>
      <c r="L213" s="7"/>
      <c r="O213" s="7"/>
      <c r="P213" s="7"/>
      <c r="S213" s="7"/>
      <c r="T213" s="7"/>
      <c r="W213" s="7"/>
      <c r="X213" s="7"/>
      <c r="AA213" s="7"/>
      <c r="AB213" s="7"/>
      <c r="AE213" s="7"/>
      <c r="AF213" s="7"/>
      <c r="AI213" s="7"/>
      <c r="AJ213" s="7"/>
      <c r="AM213" s="7"/>
      <c r="AN213" s="7"/>
      <c r="AQ213" s="7"/>
      <c r="AR213" s="7"/>
      <c r="AU213" s="7"/>
      <c r="AV213" s="7"/>
      <c r="AY213" s="7"/>
      <c r="AZ213" s="7"/>
      <c r="BC213" s="7"/>
      <c r="BD213" s="7"/>
      <c r="BG213" s="7"/>
      <c r="BH213" s="7"/>
      <c r="BK213" s="7"/>
      <c r="BL213" s="7"/>
      <c r="BO213" s="7"/>
      <c r="BP213" s="7"/>
      <c r="BS213" s="7"/>
      <c r="BT213" s="7"/>
      <c r="BW213" s="7"/>
      <c r="BX213" s="7"/>
      <c r="CA213" s="7"/>
      <c r="CB213" s="7"/>
      <c r="CE213" s="7"/>
      <c r="CF213" s="7"/>
      <c r="CI213" s="7"/>
      <c r="CJ213" s="7"/>
      <c r="CM213" s="7"/>
      <c r="CN213" s="7"/>
      <c r="CQ213" s="7"/>
      <c r="CR213" s="7"/>
      <c r="CU213" s="7"/>
      <c r="CV213" s="7"/>
      <c r="CY213" s="7"/>
      <c r="CZ213" s="7"/>
      <c r="DC213" s="7"/>
      <c r="DD213" s="7"/>
      <c r="DG213" s="7"/>
      <c r="DH213" s="7"/>
      <c r="DK213" s="7"/>
      <c r="DL213" s="7"/>
      <c r="DO213" s="7"/>
      <c r="DP213" s="7"/>
      <c r="DS213" s="7"/>
      <c r="DT213" s="7"/>
      <c r="DW213" s="7"/>
      <c r="DX213" s="7"/>
      <c r="EA213" s="7"/>
      <c r="EB213" s="7"/>
      <c r="EE213" s="7"/>
      <c r="EF213" s="7"/>
      <c r="EI213" s="7"/>
      <c r="EJ213" s="7"/>
      <c r="EM213" s="7"/>
      <c r="EN213" s="7"/>
      <c r="EQ213" s="7"/>
      <c r="ER213" s="7"/>
      <c r="EU213" s="7"/>
      <c r="EV213" s="7"/>
      <c r="EY213" s="7"/>
      <c r="EZ213" s="7"/>
      <c r="FC213" s="7"/>
      <c r="FD213" s="7"/>
      <c r="FG213" s="7"/>
      <c r="FH213" s="7"/>
      <c r="FK213" s="7"/>
      <c r="FL213" s="7"/>
      <c r="FO213" s="7"/>
      <c r="FP213" s="7"/>
      <c r="FS213" s="7"/>
      <c r="FT213" s="7"/>
      <c r="FW213" s="7"/>
      <c r="FX213" s="7"/>
      <c r="GA213" s="7"/>
      <c r="GB213" s="7"/>
      <c r="GE213" s="7"/>
      <c r="GF213" s="7"/>
      <c r="GI213" s="7"/>
      <c r="GJ213" s="7"/>
      <c r="GM213" s="7"/>
      <c r="GN213" s="7"/>
      <c r="GQ213" s="7"/>
      <c r="GR213" s="7"/>
      <c r="GU213" s="7"/>
      <c r="GV213" s="7"/>
      <c r="GY213" s="7"/>
      <c r="GZ213" s="7"/>
      <c r="HC213" s="7"/>
      <c r="HD213" s="7"/>
      <c r="HG213" s="7"/>
      <c r="HH213" s="7"/>
      <c r="HK213" s="7"/>
      <c r="HL213" s="7"/>
      <c r="HO213" s="7"/>
      <c r="HP213" s="7"/>
    </row>
    <row r="214" spans="3:224" x14ac:dyDescent="0.3">
      <c r="C214" s="7"/>
      <c r="D214" s="7"/>
      <c r="G214" s="7"/>
      <c r="H214" s="7"/>
      <c r="K214" s="7"/>
      <c r="L214" s="7"/>
      <c r="O214" s="7"/>
      <c r="P214" s="7"/>
      <c r="S214" s="7"/>
      <c r="T214" s="7"/>
      <c r="W214" s="7"/>
      <c r="X214" s="7"/>
      <c r="AA214" s="7"/>
      <c r="AB214" s="7"/>
      <c r="AE214" s="7"/>
      <c r="AF214" s="7"/>
      <c r="AI214" s="7"/>
      <c r="AJ214" s="7"/>
      <c r="AM214" s="7"/>
      <c r="AN214" s="7"/>
      <c r="AQ214" s="7"/>
      <c r="AR214" s="7"/>
      <c r="AU214" s="7"/>
      <c r="AV214" s="7"/>
      <c r="AY214" s="7"/>
      <c r="AZ214" s="7"/>
      <c r="BC214" s="7"/>
      <c r="BD214" s="7"/>
      <c r="BG214" s="7"/>
      <c r="BH214" s="7"/>
      <c r="BK214" s="7"/>
      <c r="BL214" s="7"/>
      <c r="BO214" s="7"/>
      <c r="BP214" s="7"/>
      <c r="BS214" s="7"/>
      <c r="BT214" s="7"/>
      <c r="BW214" s="7"/>
      <c r="BX214" s="7"/>
      <c r="CA214" s="7"/>
      <c r="CB214" s="7"/>
      <c r="CE214" s="7"/>
      <c r="CF214" s="7"/>
      <c r="CI214" s="7"/>
      <c r="CJ214" s="7"/>
      <c r="CM214" s="7"/>
      <c r="CN214" s="7"/>
      <c r="CQ214" s="7"/>
      <c r="CR214" s="7"/>
      <c r="CU214" s="7"/>
      <c r="CV214" s="7"/>
      <c r="CY214" s="7"/>
      <c r="CZ214" s="7"/>
      <c r="DC214" s="7"/>
      <c r="DD214" s="7"/>
      <c r="DG214" s="7"/>
      <c r="DH214" s="7"/>
      <c r="DK214" s="7"/>
      <c r="DL214" s="7"/>
      <c r="DO214" s="7"/>
      <c r="DP214" s="7"/>
      <c r="DS214" s="7"/>
      <c r="DT214" s="7"/>
      <c r="DW214" s="7"/>
      <c r="DX214" s="7"/>
      <c r="EA214" s="7"/>
      <c r="EB214" s="7"/>
      <c r="EE214" s="7"/>
      <c r="EF214" s="7"/>
      <c r="EI214" s="7"/>
      <c r="EJ214" s="7"/>
      <c r="EM214" s="7"/>
      <c r="EN214" s="7"/>
      <c r="EQ214" s="7"/>
      <c r="ER214" s="7"/>
      <c r="EU214" s="7"/>
      <c r="EV214" s="7"/>
      <c r="EY214" s="7"/>
      <c r="EZ214" s="7"/>
      <c r="FC214" s="7"/>
      <c r="FD214" s="7"/>
      <c r="FG214" s="7"/>
      <c r="FH214" s="7"/>
      <c r="FK214" s="7"/>
      <c r="FL214" s="7"/>
      <c r="FO214" s="7"/>
      <c r="FP214" s="7"/>
      <c r="FS214" s="7"/>
      <c r="FT214" s="7"/>
      <c r="FW214" s="7"/>
      <c r="FX214" s="7"/>
      <c r="GA214" s="7"/>
      <c r="GB214" s="7"/>
      <c r="GE214" s="7"/>
      <c r="GF214" s="7"/>
      <c r="GI214" s="7"/>
      <c r="GJ214" s="7"/>
      <c r="GM214" s="7"/>
      <c r="GN214" s="7"/>
      <c r="GQ214" s="7"/>
      <c r="GR214" s="7"/>
      <c r="GU214" s="7"/>
      <c r="GV214" s="7"/>
      <c r="GY214" s="7"/>
      <c r="GZ214" s="7"/>
      <c r="HC214" s="7"/>
      <c r="HD214" s="7"/>
      <c r="HG214" s="7"/>
      <c r="HH214" s="7"/>
      <c r="HK214" s="7"/>
      <c r="HL214" s="7"/>
      <c r="HO214" s="7"/>
      <c r="HP214" s="7"/>
    </row>
    <row r="215" spans="3:224" x14ac:dyDescent="0.3">
      <c r="C215" s="7"/>
      <c r="D215" s="7"/>
      <c r="G215" s="7"/>
      <c r="H215" s="7"/>
      <c r="K215" s="7"/>
      <c r="L215" s="7"/>
      <c r="O215" s="7"/>
      <c r="P215" s="7"/>
      <c r="S215" s="7"/>
      <c r="T215" s="7"/>
      <c r="W215" s="7"/>
      <c r="X215" s="7"/>
      <c r="AA215" s="7"/>
      <c r="AB215" s="7"/>
      <c r="AE215" s="7"/>
      <c r="AF215" s="7"/>
      <c r="AI215" s="7"/>
      <c r="AJ215" s="7"/>
      <c r="AM215" s="7"/>
      <c r="AN215" s="7"/>
      <c r="AQ215" s="7"/>
      <c r="AR215" s="7"/>
      <c r="AU215" s="7"/>
      <c r="AV215" s="7"/>
      <c r="AY215" s="7"/>
      <c r="AZ215" s="7"/>
      <c r="BC215" s="7"/>
      <c r="BD215" s="7"/>
      <c r="BG215" s="7"/>
      <c r="BH215" s="7"/>
      <c r="BK215" s="7"/>
      <c r="BL215" s="7"/>
      <c r="BO215" s="7"/>
      <c r="BP215" s="7"/>
      <c r="BS215" s="7"/>
      <c r="BT215" s="7"/>
      <c r="BW215" s="7"/>
      <c r="BX215" s="7"/>
      <c r="CA215" s="7"/>
      <c r="CB215" s="7"/>
      <c r="CE215" s="7"/>
      <c r="CF215" s="7"/>
      <c r="CI215" s="7"/>
      <c r="CJ215" s="7"/>
      <c r="CM215" s="7"/>
      <c r="CN215" s="7"/>
      <c r="CQ215" s="7"/>
      <c r="CR215" s="7"/>
      <c r="CU215" s="7"/>
      <c r="CV215" s="7"/>
      <c r="CY215" s="7"/>
      <c r="CZ215" s="7"/>
      <c r="DC215" s="7"/>
      <c r="DD215" s="7"/>
      <c r="DG215" s="7"/>
      <c r="DH215" s="7"/>
      <c r="DK215" s="7"/>
      <c r="DL215" s="7"/>
      <c r="DO215" s="7"/>
      <c r="DP215" s="7"/>
      <c r="DS215" s="7"/>
      <c r="DT215" s="7"/>
      <c r="DW215" s="7"/>
      <c r="DX215" s="7"/>
      <c r="EA215" s="7"/>
      <c r="EB215" s="7"/>
      <c r="EE215" s="7"/>
      <c r="EF215" s="7"/>
      <c r="EI215" s="7"/>
      <c r="EJ215" s="7"/>
      <c r="EM215" s="7"/>
      <c r="EN215" s="7"/>
      <c r="EQ215" s="7"/>
      <c r="ER215" s="7"/>
      <c r="EU215" s="7"/>
      <c r="EV215" s="7"/>
      <c r="EY215" s="7"/>
      <c r="EZ215" s="7"/>
      <c r="FC215" s="7"/>
      <c r="FD215" s="7"/>
      <c r="FG215" s="7"/>
      <c r="FH215" s="7"/>
      <c r="FK215" s="7"/>
      <c r="FL215" s="7"/>
      <c r="FO215" s="7"/>
      <c r="FP215" s="7"/>
      <c r="FS215" s="7"/>
      <c r="FT215" s="7"/>
      <c r="FW215" s="7"/>
      <c r="FX215" s="7"/>
      <c r="GA215" s="7"/>
      <c r="GB215" s="7"/>
      <c r="GE215" s="7"/>
      <c r="GF215" s="7"/>
      <c r="GI215" s="7"/>
      <c r="GJ215" s="7"/>
      <c r="GM215" s="7"/>
      <c r="GN215" s="7"/>
      <c r="GQ215" s="7"/>
      <c r="GR215" s="7"/>
      <c r="GU215" s="7"/>
      <c r="GV215" s="7"/>
      <c r="GY215" s="7"/>
      <c r="GZ215" s="7"/>
      <c r="HC215" s="7"/>
      <c r="HD215" s="7"/>
      <c r="HG215" s="7"/>
      <c r="HH215" s="7"/>
      <c r="HK215" s="7"/>
      <c r="HL215" s="7"/>
      <c r="HO215" s="7"/>
      <c r="HP215" s="7"/>
    </row>
    <row r="216" spans="3:224" x14ac:dyDescent="0.3">
      <c r="C216" s="7"/>
      <c r="D216" s="7"/>
      <c r="G216" s="7"/>
      <c r="H216" s="7"/>
      <c r="K216" s="7"/>
      <c r="L216" s="7"/>
      <c r="O216" s="7"/>
      <c r="P216" s="7"/>
      <c r="S216" s="7"/>
      <c r="T216" s="7"/>
      <c r="W216" s="7"/>
      <c r="X216" s="7"/>
      <c r="AA216" s="7"/>
      <c r="AB216" s="7"/>
      <c r="AE216" s="7"/>
      <c r="AF216" s="7"/>
      <c r="AI216" s="7"/>
      <c r="AJ216" s="7"/>
      <c r="AM216" s="7"/>
      <c r="AN216" s="7"/>
      <c r="AQ216" s="7"/>
      <c r="AR216" s="7"/>
      <c r="AU216" s="7"/>
      <c r="AV216" s="7"/>
      <c r="AY216" s="7"/>
      <c r="AZ216" s="7"/>
      <c r="BC216" s="7"/>
      <c r="BD216" s="7"/>
      <c r="BG216" s="7"/>
      <c r="BH216" s="7"/>
      <c r="BK216" s="7"/>
      <c r="BL216" s="7"/>
      <c r="BO216" s="7"/>
      <c r="BP216" s="7"/>
      <c r="BS216" s="7"/>
      <c r="BT216" s="7"/>
      <c r="BW216" s="7"/>
      <c r="BX216" s="7"/>
      <c r="CA216" s="7"/>
      <c r="CB216" s="7"/>
      <c r="CE216" s="7"/>
      <c r="CF216" s="7"/>
      <c r="CI216" s="7"/>
      <c r="CJ216" s="7"/>
      <c r="CM216" s="7"/>
      <c r="CN216" s="7"/>
      <c r="CQ216" s="7"/>
      <c r="CR216" s="7"/>
      <c r="CU216" s="7"/>
      <c r="CV216" s="7"/>
      <c r="CY216" s="7"/>
      <c r="CZ216" s="7"/>
      <c r="DC216" s="7"/>
      <c r="DD216" s="7"/>
      <c r="DG216" s="7"/>
      <c r="DH216" s="7"/>
      <c r="DK216" s="7"/>
      <c r="DL216" s="7"/>
      <c r="DO216" s="7"/>
      <c r="DP216" s="7"/>
      <c r="DS216" s="7"/>
      <c r="DT216" s="7"/>
      <c r="DW216" s="7"/>
      <c r="DX216" s="7"/>
      <c r="EA216" s="7"/>
      <c r="EB216" s="7"/>
      <c r="EE216" s="7"/>
      <c r="EF216" s="7"/>
      <c r="EI216" s="7"/>
      <c r="EJ216" s="7"/>
      <c r="EM216" s="7"/>
      <c r="EN216" s="7"/>
      <c r="EQ216" s="7"/>
      <c r="ER216" s="7"/>
      <c r="EU216" s="7"/>
      <c r="EV216" s="7"/>
      <c r="EY216" s="7"/>
      <c r="EZ216" s="7"/>
      <c r="FC216" s="7"/>
      <c r="FD216" s="7"/>
      <c r="FG216" s="7"/>
      <c r="FH216" s="7"/>
      <c r="FK216" s="7"/>
      <c r="FL216" s="7"/>
      <c r="FO216" s="7"/>
      <c r="FP216" s="7"/>
      <c r="FS216" s="7"/>
      <c r="FT216" s="7"/>
      <c r="FW216" s="7"/>
      <c r="FX216" s="7"/>
      <c r="GA216" s="7"/>
      <c r="GB216" s="7"/>
      <c r="GE216" s="7"/>
      <c r="GF216" s="7"/>
      <c r="GI216" s="7"/>
      <c r="GJ216" s="7"/>
      <c r="GM216" s="7"/>
      <c r="GN216" s="7"/>
      <c r="GQ216" s="7"/>
      <c r="GR216" s="7"/>
      <c r="GU216" s="7"/>
      <c r="GV216" s="7"/>
      <c r="GY216" s="7"/>
      <c r="GZ216" s="7"/>
      <c r="HC216" s="7"/>
      <c r="HD216" s="7"/>
      <c r="HG216" s="7"/>
      <c r="HH216" s="7"/>
      <c r="HK216" s="7"/>
      <c r="HL216" s="7"/>
      <c r="HO216" s="7"/>
      <c r="HP216" s="7"/>
    </row>
    <row r="217" spans="3:224" x14ac:dyDescent="0.3">
      <c r="C217" s="7"/>
      <c r="D217" s="7"/>
      <c r="G217" s="7"/>
      <c r="H217" s="7"/>
      <c r="K217" s="7"/>
      <c r="L217" s="7"/>
      <c r="O217" s="7"/>
      <c r="P217" s="7"/>
      <c r="S217" s="7"/>
      <c r="T217" s="7"/>
      <c r="W217" s="7"/>
      <c r="X217" s="7"/>
      <c r="AA217" s="7"/>
      <c r="AB217" s="7"/>
      <c r="AE217" s="7"/>
      <c r="AF217" s="7"/>
      <c r="AI217" s="7"/>
      <c r="AJ217" s="7"/>
      <c r="AM217" s="7"/>
      <c r="AN217" s="7"/>
      <c r="AQ217" s="7"/>
      <c r="AR217" s="7"/>
      <c r="AU217" s="7"/>
      <c r="AV217" s="7"/>
      <c r="AY217" s="7"/>
      <c r="AZ217" s="7"/>
      <c r="BC217" s="7"/>
      <c r="BD217" s="7"/>
      <c r="BG217" s="7"/>
      <c r="BH217" s="7"/>
      <c r="BK217" s="7"/>
      <c r="BL217" s="7"/>
      <c r="BO217" s="7"/>
      <c r="BP217" s="7"/>
      <c r="BS217" s="7"/>
      <c r="BT217" s="7"/>
      <c r="BW217" s="7"/>
      <c r="BX217" s="7"/>
      <c r="CA217" s="7"/>
      <c r="CB217" s="7"/>
      <c r="CE217" s="7"/>
      <c r="CF217" s="7"/>
      <c r="CI217" s="7"/>
      <c r="CJ217" s="7"/>
      <c r="CM217" s="7"/>
      <c r="CN217" s="7"/>
      <c r="CQ217" s="7"/>
      <c r="CR217" s="7"/>
      <c r="CU217" s="7"/>
      <c r="CV217" s="7"/>
      <c r="CY217" s="7"/>
      <c r="CZ217" s="7"/>
      <c r="DC217" s="7"/>
      <c r="DD217" s="7"/>
      <c r="DG217" s="7"/>
      <c r="DH217" s="7"/>
      <c r="DK217" s="7"/>
      <c r="DL217" s="7"/>
      <c r="DO217" s="7"/>
      <c r="DP217" s="7"/>
      <c r="DS217" s="7"/>
      <c r="DT217" s="7"/>
      <c r="DW217" s="7"/>
      <c r="DX217" s="7"/>
      <c r="EA217" s="7"/>
      <c r="EB217" s="7"/>
      <c r="EE217" s="7"/>
      <c r="EF217" s="7"/>
      <c r="EI217" s="7"/>
      <c r="EJ217" s="7"/>
      <c r="EM217" s="7"/>
      <c r="EN217" s="7"/>
      <c r="EQ217" s="7"/>
      <c r="ER217" s="7"/>
      <c r="EU217" s="7"/>
      <c r="EV217" s="7"/>
      <c r="EY217" s="7"/>
      <c r="EZ217" s="7"/>
      <c r="FC217" s="7"/>
      <c r="FD217" s="7"/>
      <c r="FG217" s="7"/>
      <c r="FH217" s="7"/>
      <c r="FK217" s="7"/>
      <c r="FL217" s="7"/>
      <c r="FO217" s="7"/>
      <c r="FP217" s="7"/>
      <c r="FS217" s="7"/>
      <c r="FT217" s="7"/>
      <c r="FW217" s="7"/>
      <c r="FX217" s="7"/>
      <c r="GA217" s="7"/>
      <c r="GB217" s="7"/>
      <c r="GE217" s="7"/>
      <c r="GF217" s="7"/>
      <c r="GI217" s="7"/>
      <c r="GJ217" s="7"/>
      <c r="GM217" s="7"/>
      <c r="GN217" s="7"/>
      <c r="GQ217" s="7"/>
      <c r="GR217" s="7"/>
      <c r="GU217" s="7"/>
      <c r="GV217" s="7"/>
      <c r="GY217" s="7"/>
      <c r="GZ217" s="7"/>
      <c r="HC217" s="7"/>
      <c r="HD217" s="7"/>
      <c r="HG217" s="7"/>
      <c r="HH217" s="7"/>
      <c r="HK217" s="7"/>
      <c r="HL217" s="7"/>
      <c r="HO217" s="7"/>
      <c r="HP217" s="7"/>
    </row>
    <row r="218" spans="3:224" x14ac:dyDescent="0.3">
      <c r="C218" s="7"/>
      <c r="D218" s="7"/>
      <c r="G218" s="7"/>
      <c r="H218" s="7"/>
      <c r="K218" s="7"/>
      <c r="L218" s="7"/>
      <c r="O218" s="7"/>
      <c r="P218" s="7"/>
      <c r="S218" s="7"/>
      <c r="T218" s="7"/>
      <c r="W218" s="7"/>
      <c r="X218" s="7"/>
      <c r="AA218" s="7"/>
      <c r="AB218" s="7"/>
      <c r="AE218" s="7"/>
      <c r="AF218" s="7"/>
      <c r="AI218" s="7"/>
      <c r="AJ218" s="7"/>
      <c r="AM218" s="7"/>
      <c r="AN218" s="7"/>
      <c r="AQ218" s="7"/>
      <c r="AR218" s="7"/>
      <c r="AU218" s="7"/>
      <c r="AV218" s="7"/>
      <c r="AY218" s="7"/>
      <c r="AZ218" s="7"/>
      <c r="BC218" s="7"/>
      <c r="BD218" s="7"/>
      <c r="BG218" s="7"/>
      <c r="BH218" s="7"/>
      <c r="BK218" s="7"/>
      <c r="BL218" s="7"/>
      <c r="BO218" s="7"/>
      <c r="BP218" s="7"/>
      <c r="BS218" s="7"/>
      <c r="BT218" s="7"/>
      <c r="BW218" s="7"/>
      <c r="BX218" s="7"/>
      <c r="CA218" s="7"/>
      <c r="CB218" s="7"/>
      <c r="CE218" s="7"/>
      <c r="CF218" s="7"/>
      <c r="CI218" s="7"/>
      <c r="CJ218" s="7"/>
      <c r="CM218" s="7"/>
      <c r="CN218" s="7"/>
      <c r="CQ218" s="7"/>
      <c r="CR218" s="7"/>
      <c r="CU218" s="7"/>
      <c r="CV218" s="7"/>
      <c r="CY218" s="7"/>
      <c r="CZ218" s="7"/>
      <c r="DC218" s="7"/>
      <c r="DD218" s="7"/>
      <c r="DG218" s="7"/>
      <c r="DH218" s="7"/>
      <c r="DK218" s="7"/>
      <c r="DL218" s="7"/>
      <c r="DO218" s="7"/>
      <c r="DP218" s="7"/>
      <c r="DS218" s="7"/>
      <c r="DT218" s="7"/>
      <c r="DW218" s="7"/>
      <c r="DX218" s="7"/>
      <c r="EA218" s="7"/>
      <c r="EB218" s="7"/>
      <c r="EE218" s="7"/>
      <c r="EF218" s="7"/>
      <c r="EI218" s="7"/>
      <c r="EJ218" s="7"/>
      <c r="EM218" s="7"/>
      <c r="EN218" s="7"/>
      <c r="EQ218" s="7"/>
      <c r="ER218" s="7"/>
      <c r="EU218" s="7"/>
      <c r="EV218" s="7"/>
      <c r="EY218" s="7"/>
      <c r="EZ218" s="7"/>
      <c r="FC218" s="7"/>
      <c r="FD218" s="7"/>
      <c r="FG218" s="7"/>
      <c r="FH218" s="7"/>
      <c r="FK218" s="7"/>
      <c r="FL218" s="7"/>
      <c r="FO218" s="7"/>
      <c r="FP218" s="7"/>
      <c r="FS218" s="7"/>
      <c r="FT218" s="7"/>
      <c r="FW218" s="7"/>
      <c r="FX218" s="7"/>
      <c r="GA218" s="7"/>
      <c r="GB218" s="7"/>
      <c r="GE218" s="7"/>
      <c r="GF218" s="7"/>
      <c r="GI218" s="7"/>
      <c r="GJ218" s="7"/>
      <c r="GM218" s="7"/>
      <c r="GN218" s="7"/>
      <c r="GQ218" s="7"/>
      <c r="GR218" s="7"/>
      <c r="GU218" s="7"/>
      <c r="GV218" s="7"/>
      <c r="GY218" s="7"/>
      <c r="GZ218" s="7"/>
      <c r="HC218" s="7"/>
      <c r="HD218" s="7"/>
      <c r="HG218" s="7"/>
      <c r="HH218" s="7"/>
      <c r="HK218" s="7"/>
      <c r="HL218" s="7"/>
      <c r="HO218" s="7"/>
      <c r="HP218" s="7"/>
    </row>
    <row r="219" spans="3:224" x14ac:dyDescent="0.3">
      <c r="C219" s="7"/>
      <c r="D219" s="7"/>
      <c r="G219" s="7"/>
      <c r="H219" s="7"/>
      <c r="K219" s="7"/>
      <c r="L219" s="7"/>
      <c r="O219" s="7"/>
      <c r="P219" s="7"/>
      <c r="S219" s="7"/>
      <c r="T219" s="7"/>
      <c r="W219" s="7"/>
      <c r="X219" s="7"/>
      <c r="AA219" s="7"/>
      <c r="AB219" s="7"/>
      <c r="AE219" s="7"/>
      <c r="AF219" s="7"/>
      <c r="AI219" s="7"/>
      <c r="AJ219" s="7"/>
      <c r="AM219" s="7"/>
      <c r="AN219" s="7"/>
      <c r="AQ219" s="7"/>
      <c r="AR219" s="7"/>
      <c r="AU219" s="7"/>
      <c r="AV219" s="7"/>
      <c r="AY219" s="7"/>
      <c r="AZ219" s="7"/>
      <c r="BC219" s="7"/>
      <c r="BD219" s="7"/>
      <c r="BG219" s="7"/>
      <c r="BH219" s="7"/>
      <c r="BK219" s="7"/>
      <c r="BL219" s="7"/>
      <c r="BO219" s="7"/>
      <c r="BP219" s="7"/>
      <c r="BS219" s="7"/>
      <c r="BT219" s="7"/>
      <c r="BW219" s="7"/>
      <c r="BX219" s="7"/>
      <c r="CA219" s="7"/>
      <c r="CB219" s="7"/>
      <c r="CE219" s="7"/>
      <c r="CF219" s="7"/>
      <c r="CI219" s="7"/>
      <c r="CJ219" s="7"/>
      <c r="CM219" s="7"/>
      <c r="CN219" s="7"/>
      <c r="CQ219" s="7"/>
      <c r="CR219" s="7"/>
      <c r="CU219" s="7"/>
      <c r="CV219" s="7"/>
      <c r="CY219" s="7"/>
      <c r="CZ219" s="7"/>
      <c r="DC219" s="7"/>
      <c r="DD219" s="7"/>
      <c r="DG219" s="7"/>
      <c r="DH219" s="7"/>
      <c r="DK219" s="7"/>
      <c r="DL219" s="7"/>
      <c r="DO219" s="7"/>
      <c r="DP219" s="7"/>
      <c r="DS219" s="7"/>
      <c r="DT219" s="7"/>
      <c r="DW219" s="7"/>
      <c r="DX219" s="7"/>
      <c r="EA219" s="7"/>
      <c r="EB219" s="7"/>
      <c r="EE219" s="7"/>
      <c r="EF219" s="7"/>
      <c r="EI219" s="7"/>
      <c r="EJ219" s="7"/>
      <c r="EM219" s="7"/>
      <c r="EN219" s="7"/>
      <c r="EQ219" s="7"/>
      <c r="ER219" s="7"/>
      <c r="EU219" s="7"/>
      <c r="EV219" s="7"/>
      <c r="EY219" s="7"/>
      <c r="EZ219" s="7"/>
      <c r="FC219" s="7"/>
      <c r="FD219" s="7"/>
      <c r="FG219" s="7"/>
      <c r="FH219" s="7"/>
      <c r="FK219" s="7"/>
      <c r="FL219" s="7"/>
      <c r="FO219" s="7"/>
      <c r="FP219" s="7"/>
      <c r="FS219" s="7"/>
      <c r="FT219" s="7"/>
      <c r="FW219" s="7"/>
      <c r="FX219" s="7"/>
      <c r="GA219" s="7"/>
      <c r="GB219" s="7"/>
      <c r="GE219" s="7"/>
      <c r="GF219" s="7"/>
      <c r="GI219" s="7"/>
      <c r="GJ219" s="7"/>
      <c r="GM219" s="7"/>
      <c r="GN219" s="7"/>
      <c r="GQ219" s="7"/>
      <c r="GR219" s="7"/>
      <c r="GU219" s="7"/>
      <c r="GV219" s="7"/>
      <c r="GY219" s="7"/>
      <c r="GZ219" s="7"/>
      <c r="HC219" s="7"/>
      <c r="HD219" s="7"/>
      <c r="HG219" s="7"/>
      <c r="HH219" s="7"/>
      <c r="HK219" s="7"/>
      <c r="HL219" s="7"/>
      <c r="HO219" s="7"/>
      <c r="HP219" s="7"/>
    </row>
    <row r="220" spans="3:224" x14ac:dyDescent="0.3">
      <c r="C220" s="7"/>
      <c r="D220" s="7"/>
      <c r="G220" s="7"/>
      <c r="H220" s="7"/>
      <c r="K220" s="7"/>
      <c r="L220" s="7"/>
      <c r="O220" s="7"/>
      <c r="P220" s="7"/>
      <c r="S220" s="7"/>
      <c r="T220" s="7"/>
      <c r="W220" s="7"/>
      <c r="X220" s="7"/>
      <c r="AA220" s="7"/>
      <c r="AB220" s="7"/>
      <c r="AE220" s="7"/>
      <c r="AF220" s="7"/>
      <c r="AI220" s="7"/>
      <c r="AJ220" s="7"/>
      <c r="AM220" s="7"/>
      <c r="AN220" s="7"/>
      <c r="AQ220" s="7"/>
      <c r="AR220" s="7"/>
      <c r="AU220" s="7"/>
      <c r="AV220" s="7"/>
      <c r="AY220" s="7"/>
      <c r="AZ220" s="7"/>
      <c r="BC220" s="7"/>
      <c r="BD220" s="7"/>
      <c r="BG220" s="7"/>
      <c r="BH220" s="7"/>
      <c r="BK220" s="7"/>
      <c r="BL220" s="7"/>
      <c r="BO220" s="7"/>
      <c r="BP220" s="7"/>
      <c r="BS220" s="7"/>
      <c r="BT220" s="7"/>
      <c r="BW220" s="7"/>
      <c r="BX220" s="7"/>
      <c r="CA220" s="7"/>
      <c r="CB220" s="7"/>
      <c r="CE220" s="7"/>
      <c r="CF220" s="7"/>
      <c r="CI220" s="7"/>
      <c r="CJ220" s="7"/>
      <c r="CM220" s="7"/>
      <c r="CN220" s="7"/>
      <c r="CQ220" s="7"/>
      <c r="CR220" s="7"/>
      <c r="CU220" s="7"/>
      <c r="CV220" s="7"/>
      <c r="CY220" s="7"/>
      <c r="CZ220" s="7"/>
      <c r="DC220" s="7"/>
      <c r="DD220" s="7"/>
      <c r="DG220" s="7"/>
      <c r="DH220" s="7"/>
      <c r="DK220" s="7"/>
      <c r="DL220" s="7"/>
      <c r="DO220" s="7"/>
      <c r="DP220" s="7"/>
      <c r="DS220" s="7"/>
      <c r="DT220" s="7"/>
      <c r="DW220" s="7"/>
      <c r="DX220" s="7"/>
      <c r="EA220" s="7"/>
      <c r="EB220" s="7"/>
      <c r="EE220" s="7"/>
      <c r="EF220" s="7"/>
      <c r="EI220" s="7"/>
      <c r="EJ220" s="7"/>
      <c r="EM220" s="7"/>
      <c r="EN220" s="7"/>
      <c r="EQ220" s="7"/>
      <c r="ER220" s="7"/>
      <c r="EU220" s="7"/>
      <c r="EV220" s="7"/>
      <c r="EY220" s="7"/>
      <c r="EZ220" s="7"/>
      <c r="FC220" s="7"/>
      <c r="FD220" s="7"/>
      <c r="FG220" s="7"/>
      <c r="FH220" s="7"/>
      <c r="FK220" s="7"/>
      <c r="FL220" s="7"/>
      <c r="FO220" s="7"/>
      <c r="FP220" s="7"/>
      <c r="FS220" s="7"/>
      <c r="FT220" s="7"/>
      <c r="FW220" s="7"/>
      <c r="FX220" s="7"/>
      <c r="GA220" s="7"/>
      <c r="GB220" s="7"/>
      <c r="GE220" s="7"/>
      <c r="GF220" s="7"/>
      <c r="GI220" s="7"/>
      <c r="GJ220" s="7"/>
      <c r="GM220" s="7"/>
      <c r="GN220" s="7"/>
      <c r="GQ220" s="7"/>
      <c r="GR220" s="7"/>
      <c r="GU220" s="7"/>
      <c r="GV220" s="7"/>
      <c r="GY220" s="7"/>
      <c r="GZ220" s="7"/>
      <c r="HC220" s="7"/>
      <c r="HD220" s="7"/>
      <c r="HG220" s="7"/>
      <c r="HH220" s="7"/>
      <c r="HK220" s="7"/>
      <c r="HL220" s="7"/>
      <c r="HO220" s="7"/>
      <c r="HP220" s="7"/>
    </row>
    <row r="221" spans="3:224" x14ac:dyDescent="0.3">
      <c r="C221" s="7"/>
      <c r="D221" s="7"/>
      <c r="G221" s="7"/>
      <c r="H221" s="7"/>
      <c r="K221" s="7"/>
      <c r="L221" s="7"/>
      <c r="O221" s="7"/>
      <c r="P221" s="7"/>
      <c r="S221" s="7"/>
      <c r="T221" s="7"/>
      <c r="W221" s="7"/>
      <c r="X221" s="7"/>
      <c r="AA221" s="7"/>
      <c r="AB221" s="7"/>
      <c r="AE221" s="7"/>
      <c r="AF221" s="7"/>
      <c r="AI221" s="7"/>
      <c r="AJ221" s="7"/>
      <c r="AM221" s="7"/>
      <c r="AN221" s="7"/>
      <c r="AQ221" s="7"/>
      <c r="AR221" s="7"/>
      <c r="AU221" s="7"/>
      <c r="AV221" s="7"/>
      <c r="AY221" s="7"/>
      <c r="AZ221" s="7"/>
      <c r="BC221" s="7"/>
      <c r="BD221" s="7"/>
      <c r="BG221" s="7"/>
      <c r="BH221" s="7"/>
      <c r="BK221" s="7"/>
      <c r="BL221" s="7"/>
      <c r="BO221" s="7"/>
      <c r="BP221" s="7"/>
      <c r="BS221" s="7"/>
      <c r="BT221" s="7"/>
      <c r="BW221" s="7"/>
      <c r="BX221" s="7"/>
      <c r="CA221" s="7"/>
      <c r="CB221" s="7"/>
      <c r="CE221" s="7"/>
      <c r="CF221" s="7"/>
      <c r="CI221" s="7"/>
      <c r="CJ221" s="7"/>
      <c r="CM221" s="7"/>
      <c r="CN221" s="7"/>
      <c r="CQ221" s="7"/>
      <c r="CR221" s="7"/>
      <c r="CU221" s="7"/>
      <c r="CV221" s="7"/>
      <c r="CY221" s="7"/>
      <c r="CZ221" s="7"/>
      <c r="DC221" s="7"/>
      <c r="DD221" s="7"/>
      <c r="DG221" s="7"/>
      <c r="DH221" s="7"/>
      <c r="DK221" s="7"/>
      <c r="DL221" s="7"/>
      <c r="DO221" s="7"/>
      <c r="DP221" s="7"/>
      <c r="DS221" s="7"/>
      <c r="DT221" s="7"/>
      <c r="DW221" s="7"/>
      <c r="DX221" s="7"/>
      <c r="EA221" s="7"/>
      <c r="EB221" s="7"/>
      <c r="EE221" s="7"/>
      <c r="EF221" s="7"/>
      <c r="EI221" s="7"/>
      <c r="EJ221" s="7"/>
      <c r="EM221" s="7"/>
      <c r="EN221" s="7"/>
      <c r="EQ221" s="7"/>
      <c r="ER221" s="7"/>
      <c r="EU221" s="7"/>
      <c r="EV221" s="7"/>
      <c r="EY221" s="7"/>
      <c r="EZ221" s="7"/>
      <c r="FC221" s="7"/>
      <c r="FD221" s="7"/>
      <c r="FG221" s="7"/>
      <c r="FH221" s="7"/>
      <c r="FK221" s="7"/>
      <c r="FL221" s="7"/>
      <c r="FO221" s="7"/>
      <c r="FP221" s="7"/>
      <c r="FS221" s="7"/>
      <c r="FT221" s="7"/>
      <c r="FW221" s="7"/>
      <c r="FX221" s="7"/>
      <c r="GA221" s="7"/>
      <c r="GB221" s="7"/>
      <c r="GE221" s="7"/>
      <c r="GF221" s="7"/>
      <c r="GI221" s="7"/>
      <c r="GJ221" s="7"/>
      <c r="GM221" s="7"/>
      <c r="GN221" s="7"/>
      <c r="GQ221" s="7"/>
      <c r="GR221" s="7"/>
      <c r="GU221" s="7"/>
      <c r="GV221" s="7"/>
      <c r="GY221" s="7"/>
      <c r="GZ221" s="7"/>
      <c r="HC221" s="7"/>
      <c r="HD221" s="7"/>
      <c r="HG221" s="7"/>
      <c r="HH221" s="7"/>
      <c r="HK221" s="7"/>
      <c r="HL221" s="7"/>
      <c r="HO221" s="7"/>
      <c r="HP221" s="7"/>
    </row>
    <row r="222" spans="3:224" x14ac:dyDescent="0.3">
      <c r="C222" s="7"/>
      <c r="D222" s="7"/>
      <c r="G222" s="7"/>
      <c r="H222" s="7"/>
      <c r="K222" s="7"/>
      <c r="L222" s="7"/>
      <c r="O222" s="7"/>
      <c r="P222" s="7"/>
      <c r="S222" s="7"/>
      <c r="T222" s="7"/>
      <c r="W222" s="7"/>
      <c r="X222" s="7"/>
      <c r="AA222" s="7"/>
      <c r="AB222" s="7"/>
      <c r="AE222" s="7"/>
      <c r="AF222" s="7"/>
      <c r="AI222" s="7"/>
      <c r="AJ222" s="7"/>
      <c r="AM222" s="7"/>
      <c r="AN222" s="7"/>
      <c r="AQ222" s="7"/>
      <c r="AR222" s="7"/>
      <c r="AU222" s="7"/>
      <c r="AV222" s="7"/>
      <c r="AY222" s="7"/>
      <c r="AZ222" s="7"/>
      <c r="BC222" s="7"/>
      <c r="BD222" s="7"/>
      <c r="BG222" s="7"/>
      <c r="BH222" s="7"/>
      <c r="BK222" s="7"/>
      <c r="BL222" s="7"/>
      <c r="BO222" s="7"/>
      <c r="BP222" s="7"/>
      <c r="BS222" s="7"/>
      <c r="BT222" s="7"/>
      <c r="BW222" s="7"/>
      <c r="BX222" s="7"/>
      <c r="CA222" s="7"/>
      <c r="CB222" s="7"/>
      <c r="CE222" s="7"/>
      <c r="CF222" s="7"/>
      <c r="CI222" s="7"/>
      <c r="CJ222" s="7"/>
      <c r="CM222" s="7"/>
      <c r="CN222" s="7"/>
      <c r="CQ222" s="7"/>
      <c r="CR222" s="7"/>
      <c r="CU222" s="7"/>
      <c r="CV222" s="7"/>
      <c r="CY222" s="7"/>
      <c r="CZ222" s="7"/>
      <c r="DC222" s="7"/>
      <c r="DD222" s="7"/>
      <c r="DG222" s="7"/>
      <c r="DH222" s="7"/>
      <c r="DK222" s="7"/>
      <c r="DL222" s="7"/>
      <c r="DO222" s="7"/>
      <c r="DP222" s="7"/>
      <c r="DS222" s="7"/>
      <c r="DT222" s="7"/>
      <c r="DW222" s="7"/>
      <c r="DX222" s="7"/>
      <c r="EA222" s="7"/>
      <c r="EB222" s="7"/>
      <c r="EE222" s="7"/>
      <c r="EF222" s="7"/>
      <c r="EI222" s="7"/>
      <c r="EJ222" s="7"/>
      <c r="EM222" s="7"/>
      <c r="EN222" s="7"/>
      <c r="EQ222" s="7"/>
      <c r="ER222" s="7"/>
      <c r="EU222" s="7"/>
      <c r="EV222" s="7"/>
      <c r="EY222" s="7"/>
      <c r="EZ222" s="7"/>
      <c r="FC222" s="7"/>
      <c r="FD222" s="7"/>
      <c r="FG222" s="7"/>
      <c r="FH222" s="7"/>
      <c r="FK222" s="7"/>
      <c r="FL222" s="7"/>
      <c r="FO222" s="7"/>
      <c r="FP222" s="7"/>
      <c r="FS222" s="7"/>
      <c r="FT222" s="7"/>
      <c r="FW222" s="7"/>
      <c r="FX222" s="7"/>
      <c r="GA222" s="7"/>
      <c r="GB222" s="7"/>
      <c r="GE222" s="7"/>
      <c r="GF222" s="7"/>
      <c r="GI222" s="7"/>
      <c r="GJ222" s="7"/>
      <c r="GM222" s="7"/>
      <c r="GN222" s="7"/>
      <c r="GQ222" s="7"/>
      <c r="GR222" s="7"/>
      <c r="GU222" s="7"/>
      <c r="GV222" s="7"/>
      <c r="GY222" s="7"/>
      <c r="GZ222" s="7"/>
      <c r="HC222" s="7"/>
      <c r="HD222" s="7"/>
      <c r="HG222" s="7"/>
      <c r="HH222" s="7"/>
      <c r="HK222" s="7"/>
      <c r="HL222" s="7"/>
      <c r="HO222" s="7"/>
      <c r="HP222" s="7"/>
    </row>
    <row r="223" spans="3:224" x14ac:dyDescent="0.3">
      <c r="C223" s="7"/>
      <c r="D223" s="7"/>
      <c r="G223" s="7"/>
      <c r="H223" s="7"/>
      <c r="K223" s="7"/>
      <c r="L223" s="7"/>
      <c r="O223" s="7"/>
      <c r="P223" s="7"/>
      <c r="S223" s="7"/>
      <c r="T223" s="7"/>
      <c r="W223" s="7"/>
      <c r="X223" s="7"/>
      <c r="AA223" s="7"/>
      <c r="AB223" s="7"/>
      <c r="AE223" s="7"/>
      <c r="AF223" s="7"/>
      <c r="AI223" s="7"/>
      <c r="AJ223" s="7"/>
      <c r="AM223" s="7"/>
      <c r="AN223" s="7"/>
      <c r="AQ223" s="7"/>
      <c r="AR223" s="7"/>
      <c r="AU223" s="7"/>
      <c r="AV223" s="7"/>
      <c r="AY223" s="7"/>
      <c r="AZ223" s="7"/>
      <c r="BC223" s="7"/>
      <c r="BD223" s="7"/>
      <c r="BG223" s="7"/>
      <c r="BH223" s="7"/>
      <c r="BK223" s="7"/>
      <c r="BL223" s="7"/>
      <c r="BO223" s="7"/>
      <c r="BP223" s="7"/>
      <c r="BS223" s="7"/>
      <c r="BT223" s="7"/>
      <c r="BW223" s="7"/>
      <c r="BX223" s="7"/>
      <c r="CA223" s="7"/>
      <c r="CB223" s="7"/>
      <c r="CE223" s="7"/>
      <c r="CF223" s="7"/>
      <c r="CI223" s="7"/>
      <c r="CJ223" s="7"/>
      <c r="CM223" s="7"/>
      <c r="CN223" s="7"/>
      <c r="CQ223" s="7"/>
      <c r="CR223" s="7"/>
      <c r="CU223" s="7"/>
      <c r="CV223" s="7"/>
      <c r="CY223" s="7"/>
      <c r="CZ223" s="7"/>
      <c r="DC223" s="7"/>
      <c r="DD223" s="7"/>
      <c r="DG223" s="7"/>
      <c r="DH223" s="7"/>
      <c r="DK223" s="7"/>
      <c r="DL223" s="7"/>
      <c r="DO223" s="7"/>
      <c r="DP223" s="7"/>
      <c r="DS223" s="7"/>
      <c r="DT223" s="7"/>
      <c r="DW223" s="7"/>
      <c r="DX223" s="7"/>
      <c r="EA223" s="7"/>
      <c r="EB223" s="7"/>
      <c r="EE223" s="7"/>
      <c r="EF223" s="7"/>
      <c r="EI223" s="7"/>
      <c r="EJ223" s="7"/>
      <c r="EM223" s="7"/>
      <c r="EN223" s="7"/>
      <c r="EQ223" s="7"/>
      <c r="ER223" s="7"/>
      <c r="EU223" s="7"/>
      <c r="EV223" s="7"/>
      <c r="EY223" s="7"/>
      <c r="EZ223" s="7"/>
      <c r="FC223" s="7"/>
      <c r="FD223" s="7"/>
      <c r="FG223" s="7"/>
      <c r="FH223" s="7"/>
      <c r="FK223" s="7"/>
      <c r="FL223" s="7"/>
      <c r="FO223" s="7"/>
      <c r="FP223" s="7"/>
      <c r="FS223" s="7"/>
      <c r="FT223" s="7"/>
      <c r="FW223" s="7"/>
      <c r="FX223" s="7"/>
      <c r="GA223" s="7"/>
      <c r="GB223" s="7"/>
      <c r="GE223" s="7"/>
      <c r="GF223" s="7"/>
      <c r="GI223" s="7"/>
      <c r="GJ223" s="7"/>
      <c r="GM223" s="7"/>
      <c r="GN223" s="7"/>
      <c r="GQ223" s="7"/>
      <c r="GR223" s="7"/>
      <c r="GU223" s="7"/>
      <c r="GV223" s="7"/>
      <c r="GY223" s="7"/>
      <c r="GZ223" s="7"/>
      <c r="HC223" s="7"/>
      <c r="HD223" s="7"/>
      <c r="HG223" s="7"/>
      <c r="HH223" s="7"/>
      <c r="HK223" s="7"/>
      <c r="HL223" s="7"/>
      <c r="HO223" s="7"/>
      <c r="HP223" s="7"/>
    </row>
    <row r="224" spans="3:224" x14ac:dyDescent="0.3">
      <c r="C224" s="7"/>
      <c r="D224" s="7"/>
      <c r="G224" s="7"/>
      <c r="H224" s="7"/>
      <c r="K224" s="7"/>
      <c r="L224" s="7"/>
      <c r="O224" s="7"/>
      <c r="P224" s="7"/>
      <c r="S224" s="7"/>
      <c r="T224" s="7"/>
      <c r="W224" s="7"/>
      <c r="X224" s="7"/>
      <c r="AA224" s="7"/>
      <c r="AB224" s="7"/>
      <c r="AE224" s="7"/>
      <c r="AF224" s="7"/>
      <c r="AI224" s="7"/>
      <c r="AJ224" s="7"/>
      <c r="AM224" s="7"/>
      <c r="AN224" s="7"/>
      <c r="AQ224" s="7"/>
      <c r="AR224" s="7"/>
      <c r="AU224" s="7"/>
      <c r="AV224" s="7"/>
      <c r="AY224" s="7"/>
      <c r="AZ224" s="7"/>
      <c r="BC224" s="7"/>
      <c r="BD224" s="7"/>
      <c r="BG224" s="7"/>
      <c r="BH224" s="7"/>
      <c r="BK224" s="7"/>
      <c r="BL224" s="7"/>
      <c r="BO224" s="7"/>
      <c r="BP224" s="7"/>
      <c r="BS224" s="7"/>
      <c r="BT224" s="7"/>
      <c r="BW224" s="7"/>
      <c r="BX224" s="7"/>
      <c r="CA224" s="7"/>
      <c r="CB224" s="7"/>
      <c r="CE224" s="7"/>
      <c r="CF224" s="7"/>
      <c r="CI224" s="7"/>
      <c r="CJ224" s="7"/>
      <c r="CM224" s="7"/>
      <c r="CN224" s="7"/>
      <c r="CQ224" s="7"/>
      <c r="CR224" s="7"/>
      <c r="CU224" s="7"/>
      <c r="CV224" s="7"/>
      <c r="CY224" s="7"/>
      <c r="CZ224" s="7"/>
      <c r="DC224" s="7"/>
      <c r="DD224" s="7"/>
      <c r="DG224" s="7"/>
      <c r="DH224" s="7"/>
      <c r="DK224" s="7"/>
      <c r="DL224" s="7"/>
      <c r="DO224" s="7"/>
      <c r="DP224" s="7"/>
      <c r="DS224" s="7"/>
      <c r="DT224" s="7"/>
      <c r="DW224" s="7"/>
      <c r="DX224" s="7"/>
      <c r="EA224" s="7"/>
      <c r="EB224" s="7"/>
      <c r="EE224" s="7"/>
      <c r="EF224" s="7"/>
      <c r="EI224" s="7"/>
      <c r="EJ224" s="7"/>
      <c r="EM224" s="7"/>
      <c r="EN224" s="7"/>
      <c r="EQ224" s="7"/>
      <c r="ER224" s="7"/>
      <c r="EU224" s="7"/>
      <c r="EV224" s="7"/>
      <c r="EY224" s="7"/>
      <c r="EZ224" s="7"/>
      <c r="FC224" s="7"/>
      <c r="FD224" s="7"/>
      <c r="FG224" s="7"/>
      <c r="FH224" s="7"/>
      <c r="FK224" s="7"/>
      <c r="FL224" s="7"/>
      <c r="FO224" s="7"/>
      <c r="FP224" s="7"/>
      <c r="FS224" s="7"/>
      <c r="FT224" s="7"/>
      <c r="FW224" s="7"/>
      <c r="FX224" s="7"/>
      <c r="GA224" s="7"/>
      <c r="GB224" s="7"/>
      <c r="GE224" s="7"/>
      <c r="GF224" s="7"/>
      <c r="GI224" s="7"/>
      <c r="GJ224" s="7"/>
      <c r="GM224" s="7"/>
      <c r="GN224" s="7"/>
      <c r="GQ224" s="7"/>
      <c r="GR224" s="7"/>
      <c r="GU224" s="7"/>
      <c r="GV224" s="7"/>
      <c r="GY224" s="7"/>
      <c r="GZ224" s="7"/>
      <c r="HC224" s="7"/>
      <c r="HD224" s="7"/>
      <c r="HG224" s="7"/>
      <c r="HH224" s="7"/>
      <c r="HK224" s="7"/>
      <c r="HL224" s="7"/>
      <c r="HO224" s="7"/>
      <c r="HP224" s="7"/>
    </row>
    <row r="225" spans="3:224" x14ac:dyDescent="0.3">
      <c r="C225" s="7"/>
      <c r="D225" s="7"/>
      <c r="G225" s="7"/>
      <c r="H225" s="7"/>
      <c r="K225" s="7"/>
      <c r="L225" s="7"/>
      <c r="O225" s="7"/>
      <c r="P225" s="7"/>
      <c r="S225" s="7"/>
      <c r="T225" s="7"/>
      <c r="W225" s="7"/>
      <c r="X225" s="7"/>
      <c r="AA225" s="7"/>
      <c r="AB225" s="7"/>
      <c r="AE225" s="7"/>
      <c r="AF225" s="7"/>
      <c r="AI225" s="7"/>
      <c r="AJ225" s="7"/>
      <c r="AM225" s="7"/>
      <c r="AN225" s="7"/>
      <c r="AQ225" s="7"/>
      <c r="AR225" s="7"/>
      <c r="AU225" s="7"/>
      <c r="AV225" s="7"/>
      <c r="AY225" s="7"/>
      <c r="AZ225" s="7"/>
      <c r="BC225" s="7"/>
      <c r="BD225" s="7"/>
      <c r="BG225" s="7"/>
      <c r="BH225" s="7"/>
      <c r="BK225" s="7"/>
      <c r="BL225" s="7"/>
      <c r="BO225" s="7"/>
      <c r="BP225" s="7"/>
      <c r="BS225" s="7"/>
      <c r="BT225" s="7"/>
      <c r="BW225" s="7"/>
      <c r="BX225" s="7"/>
      <c r="CA225" s="7"/>
      <c r="CB225" s="7"/>
      <c r="CE225" s="7"/>
      <c r="CF225" s="7"/>
      <c r="CI225" s="7"/>
      <c r="CJ225" s="7"/>
      <c r="CM225" s="7"/>
      <c r="CN225" s="7"/>
      <c r="CQ225" s="7"/>
      <c r="CR225" s="7"/>
      <c r="CU225" s="7"/>
      <c r="CV225" s="7"/>
      <c r="CY225" s="7"/>
      <c r="CZ225" s="7"/>
      <c r="DC225" s="7"/>
      <c r="DD225" s="7"/>
      <c r="DG225" s="7"/>
      <c r="DH225" s="7"/>
      <c r="DK225" s="7"/>
      <c r="DL225" s="7"/>
      <c r="DO225" s="7"/>
      <c r="DP225" s="7"/>
      <c r="DS225" s="7"/>
      <c r="DT225" s="7"/>
      <c r="DW225" s="7"/>
      <c r="DX225" s="7"/>
      <c r="EA225" s="7"/>
      <c r="EB225" s="7"/>
      <c r="EE225" s="7"/>
      <c r="EF225" s="7"/>
      <c r="EI225" s="7"/>
      <c r="EJ225" s="7"/>
      <c r="EM225" s="7"/>
      <c r="EN225" s="7"/>
      <c r="EQ225" s="7"/>
      <c r="ER225" s="7"/>
      <c r="EU225" s="7"/>
      <c r="EV225" s="7"/>
      <c r="EY225" s="7"/>
      <c r="EZ225" s="7"/>
      <c r="FC225" s="7"/>
      <c r="FD225" s="7"/>
      <c r="FG225" s="7"/>
      <c r="FH225" s="7"/>
      <c r="FK225" s="7"/>
      <c r="FL225" s="7"/>
      <c r="FO225" s="7"/>
      <c r="FP225" s="7"/>
      <c r="FS225" s="7"/>
      <c r="FT225" s="7"/>
      <c r="FW225" s="7"/>
      <c r="FX225" s="7"/>
      <c r="GA225" s="7"/>
      <c r="GB225" s="7"/>
      <c r="GE225" s="7"/>
      <c r="GF225" s="7"/>
      <c r="GI225" s="7"/>
      <c r="GJ225" s="7"/>
      <c r="GM225" s="7"/>
      <c r="GN225" s="7"/>
      <c r="GQ225" s="7"/>
      <c r="GR225" s="7"/>
      <c r="GU225" s="7"/>
      <c r="GV225" s="7"/>
      <c r="GY225" s="7"/>
      <c r="GZ225" s="7"/>
      <c r="HC225" s="7"/>
      <c r="HD225" s="7"/>
      <c r="HG225" s="7"/>
      <c r="HH225" s="7"/>
      <c r="HK225" s="7"/>
      <c r="HL225" s="7"/>
      <c r="HO225" s="7"/>
      <c r="HP225" s="7"/>
    </row>
    <row r="226" spans="3:224" x14ac:dyDescent="0.3">
      <c r="C226" s="7"/>
      <c r="D226" s="7"/>
      <c r="G226" s="7"/>
      <c r="H226" s="7"/>
      <c r="K226" s="7"/>
      <c r="L226" s="7"/>
      <c r="O226" s="7"/>
      <c r="P226" s="7"/>
      <c r="S226" s="7"/>
      <c r="T226" s="7"/>
      <c r="W226" s="7"/>
      <c r="X226" s="7"/>
      <c r="AA226" s="7"/>
      <c r="AB226" s="7"/>
      <c r="AE226" s="7"/>
      <c r="AF226" s="7"/>
      <c r="AI226" s="7"/>
      <c r="AJ226" s="7"/>
      <c r="AM226" s="7"/>
      <c r="AN226" s="7"/>
      <c r="AQ226" s="7"/>
      <c r="AR226" s="7"/>
      <c r="AU226" s="7"/>
      <c r="AV226" s="7"/>
      <c r="AY226" s="7"/>
      <c r="AZ226" s="7"/>
      <c r="BC226" s="7"/>
      <c r="BD226" s="7"/>
      <c r="BG226" s="7"/>
      <c r="BH226" s="7"/>
      <c r="BK226" s="7"/>
      <c r="BL226" s="7"/>
      <c r="BO226" s="7"/>
      <c r="BP226" s="7"/>
      <c r="BS226" s="7"/>
      <c r="BT226" s="7"/>
      <c r="BW226" s="7"/>
      <c r="BX226" s="7"/>
      <c r="CA226" s="7"/>
      <c r="CB226" s="7"/>
      <c r="CE226" s="7"/>
      <c r="CF226" s="7"/>
      <c r="CI226" s="7"/>
      <c r="CJ226" s="7"/>
      <c r="CM226" s="7"/>
      <c r="CN226" s="7"/>
      <c r="CQ226" s="7"/>
      <c r="CR226" s="7"/>
      <c r="CU226" s="7"/>
      <c r="CV226" s="7"/>
      <c r="CY226" s="7"/>
      <c r="CZ226" s="7"/>
      <c r="DC226" s="7"/>
      <c r="DD226" s="7"/>
      <c r="DG226" s="7"/>
      <c r="DH226" s="7"/>
      <c r="DK226" s="7"/>
      <c r="DL226" s="7"/>
      <c r="DO226" s="7"/>
      <c r="DP226" s="7"/>
      <c r="DS226" s="7"/>
      <c r="DT226" s="7"/>
      <c r="DW226" s="7"/>
      <c r="DX226" s="7"/>
      <c r="EA226" s="7"/>
      <c r="EB226" s="7"/>
      <c r="EE226" s="7"/>
      <c r="EF226" s="7"/>
      <c r="EI226" s="7"/>
      <c r="EJ226" s="7"/>
      <c r="EM226" s="7"/>
      <c r="EN226" s="7"/>
      <c r="EQ226" s="7"/>
      <c r="ER226" s="7"/>
      <c r="EU226" s="7"/>
      <c r="EV226" s="7"/>
      <c r="EY226" s="7"/>
      <c r="EZ226" s="7"/>
      <c r="FC226" s="7"/>
      <c r="FD226" s="7"/>
      <c r="FG226" s="7"/>
      <c r="FH226" s="7"/>
      <c r="FK226" s="7"/>
      <c r="FL226" s="7"/>
      <c r="FO226" s="7"/>
      <c r="FP226" s="7"/>
      <c r="FS226" s="7"/>
      <c r="FT226" s="7"/>
      <c r="FW226" s="7"/>
      <c r="FX226" s="7"/>
      <c r="GA226" s="7"/>
      <c r="GB226" s="7"/>
      <c r="GE226" s="7"/>
      <c r="GF226" s="7"/>
      <c r="GI226" s="7"/>
      <c r="GJ226" s="7"/>
      <c r="GM226" s="7"/>
      <c r="GN226" s="7"/>
      <c r="GQ226" s="7"/>
      <c r="GR226" s="7"/>
      <c r="GU226" s="7"/>
      <c r="GV226" s="7"/>
      <c r="GY226" s="7"/>
      <c r="GZ226" s="7"/>
      <c r="HC226" s="7"/>
      <c r="HD226" s="7"/>
      <c r="HG226" s="7"/>
      <c r="HH226" s="7"/>
      <c r="HK226" s="7"/>
      <c r="HL226" s="7"/>
      <c r="HO226" s="7"/>
      <c r="HP226" s="7"/>
    </row>
    <row r="227" spans="3:224" x14ac:dyDescent="0.3">
      <c r="C227" s="7"/>
      <c r="D227" s="7"/>
      <c r="G227" s="7"/>
      <c r="H227" s="7"/>
      <c r="K227" s="7"/>
      <c r="L227" s="7"/>
      <c r="O227" s="7"/>
      <c r="P227" s="7"/>
      <c r="S227" s="7"/>
      <c r="T227" s="7"/>
      <c r="W227" s="7"/>
      <c r="X227" s="7"/>
      <c r="AA227" s="7"/>
      <c r="AB227" s="7"/>
      <c r="AE227" s="7"/>
      <c r="AF227" s="7"/>
      <c r="AI227" s="7"/>
      <c r="AJ227" s="7"/>
      <c r="AM227" s="7"/>
      <c r="AN227" s="7"/>
      <c r="AQ227" s="7"/>
      <c r="AR227" s="7"/>
      <c r="AU227" s="7"/>
      <c r="AV227" s="7"/>
      <c r="AY227" s="7"/>
      <c r="AZ227" s="7"/>
      <c r="BC227" s="7"/>
      <c r="BD227" s="7"/>
      <c r="BG227" s="7"/>
      <c r="BH227" s="7"/>
      <c r="BK227" s="7"/>
      <c r="BL227" s="7"/>
      <c r="BO227" s="7"/>
      <c r="BP227" s="7"/>
      <c r="BS227" s="7"/>
      <c r="BT227" s="7"/>
      <c r="BW227" s="7"/>
      <c r="BX227" s="7"/>
      <c r="CA227" s="7"/>
      <c r="CB227" s="7"/>
      <c r="CE227" s="7"/>
      <c r="CF227" s="7"/>
      <c r="CI227" s="7"/>
      <c r="CJ227" s="7"/>
      <c r="CM227" s="7"/>
      <c r="CN227" s="7"/>
      <c r="CQ227" s="7"/>
      <c r="CR227" s="7"/>
      <c r="CU227" s="7"/>
      <c r="CV227" s="7"/>
      <c r="CY227" s="7"/>
      <c r="CZ227" s="7"/>
      <c r="DC227" s="7"/>
      <c r="DD227" s="7"/>
      <c r="DG227" s="7"/>
      <c r="DH227" s="7"/>
      <c r="DK227" s="7"/>
      <c r="DL227" s="7"/>
      <c r="DO227" s="7"/>
      <c r="DP227" s="7"/>
      <c r="DS227" s="7"/>
      <c r="DT227" s="7"/>
      <c r="DW227" s="7"/>
      <c r="DX227" s="7"/>
      <c r="EA227" s="7"/>
      <c r="EB227" s="7"/>
      <c r="EE227" s="7"/>
      <c r="EF227" s="7"/>
      <c r="EI227" s="7"/>
      <c r="EJ227" s="7"/>
      <c r="EM227" s="7"/>
      <c r="EN227" s="7"/>
      <c r="EQ227" s="7"/>
      <c r="ER227" s="7"/>
      <c r="EU227" s="7"/>
      <c r="EV227" s="7"/>
      <c r="EY227" s="7"/>
      <c r="EZ227" s="7"/>
      <c r="FC227" s="7"/>
      <c r="FD227" s="7"/>
      <c r="FG227" s="7"/>
      <c r="FH227" s="7"/>
      <c r="FK227" s="7"/>
      <c r="FL227" s="7"/>
      <c r="FO227" s="7"/>
      <c r="FP227" s="7"/>
      <c r="FS227" s="7"/>
      <c r="FT227" s="7"/>
      <c r="FW227" s="7"/>
      <c r="FX227" s="7"/>
      <c r="GA227" s="7"/>
      <c r="GB227" s="7"/>
      <c r="GE227" s="7"/>
      <c r="GF227" s="7"/>
      <c r="GI227" s="7"/>
      <c r="GJ227" s="7"/>
      <c r="GM227" s="7"/>
      <c r="GN227" s="7"/>
      <c r="GQ227" s="7"/>
      <c r="GR227" s="7"/>
      <c r="GU227" s="7"/>
      <c r="GV227" s="7"/>
      <c r="GY227" s="7"/>
      <c r="GZ227" s="7"/>
      <c r="HC227" s="7"/>
      <c r="HD227" s="7"/>
      <c r="HG227" s="7"/>
      <c r="HH227" s="7"/>
      <c r="HK227" s="7"/>
      <c r="HL227" s="7"/>
      <c r="HO227" s="7"/>
      <c r="HP227" s="7"/>
    </row>
    <row r="228" spans="3:224" x14ac:dyDescent="0.3">
      <c r="C228" s="7"/>
      <c r="D228" s="7"/>
      <c r="G228" s="7"/>
      <c r="H228" s="7"/>
      <c r="K228" s="7"/>
      <c r="L228" s="7"/>
      <c r="O228" s="7"/>
      <c r="P228" s="7"/>
      <c r="S228" s="7"/>
      <c r="T228" s="7"/>
      <c r="W228" s="7"/>
      <c r="X228" s="7"/>
      <c r="AA228" s="7"/>
      <c r="AB228" s="7"/>
      <c r="AE228" s="7"/>
      <c r="AF228" s="7"/>
      <c r="AI228" s="7"/>
      <c r="AJ228" s="7"/>
      <c r="AM228" s="7"/>
      <c r="AN228" s="7"/>
      <c r="AQ228" s="7"/>
      <c r="AR228" s="7"/>
      <c r="AU228" s="7"/>
      <c r="AV228" s="7"/>
      <c r="AY228" s="7"/>
      <c r="AZ228" s="7"/>
      <c r="BC228" s="7"/>
      <c r="BD228" s="7"/>
      <c r="BG228" s="7"/>
      <c r="BH228" s="7"/>
      <c r="BK228" s="7"/>
      <c r="BL228" s="7"/>
      <c r="BO228" s="7"/>
      <c r="BP228" s="7"/>
      <c r="BS228" s="7"/>
      <c r="BT228" s="7"/>
      <c r="BW228" s="7"/>
      <c r="BX228" s="7"/>
      <c r="CA228" s="7"/>
      <c r="CB228" s="7"/>
      <c r="CE228" s="7"/>
      <c r="CF228" s="7"/>
      <c r="CI228" s="7"/>
      <c r="CJ228" s="7"/>
      <c r="CM228" s="7"/>
      <c r="CN228" s="7"/>
      <c r="CQ228" s="7"/>
      <c r="CR228" s="7"/>
      <c r="CU228" s="7"/>
      <c r="CV228" s="7"/>
      <c r="CY228" s="7"/>
      <c r="CZ228" s="7"/>
      <c r="DC228" s="7"/>
      <c r="DD228" s="7"/>
      <c r="DG228" s="7"/>
      <c r="DH228" s="7"/>
      <c r="DK228" s="7"/>
      <c r="DL228" s="7"/>
      <c r="DO228" s="7"/>
      <c r="DP228" s="7"/>
      <c r="DS228" s="7"/>
      <c r="DT228" s="7"/>
      <c r="DW228" s="7"/>
      <c r="DX228" s="7"/>
      <c r="EA228" s="7"/>
      <c r="EB228" s="7"/>
      <c r="EE228" s="7"/>
      <c r="EF228" s="7"/>
      <c r="EI228" s="7"/>
      <c r="EJ228" s="7"/>
      <c r="EM228" s="7"/>
      <c r="EN228" s="7"/>
      <c r="EQ228" s="7"/>
      <c r="ER228" s="7"/>
      <c r="EU228" s="7"/>
      <c r="EV228" s="7"/>
      <c r="EY228" s="7"/>
      <c r="EZ228" s="7"/>
      <c r="FC228" s="7"/>
      <c r="FD228" s="7"/>
      <c r="FG228" s="7"/>
      <c r="FH228" s="7"/>
      <c r="FK228" s="7"/>
      <c r="FL228" s="7"/>
      <c r="FO228" s="7"/>
      <c r="FP228" s="7"/>
      <c r="FS228" s="7"/>
      <c r="FT228" s="7"/>
      <c r="FW228" s="7"/>
      <c r="FX228" s="7"/>
      <c r="GA228" s="7"/>
      <c r="GB228" s="7"/>
      <c r="GE228" s="7"/>
      <c r="GF228" s="7"/>
      <c r="GI228" s="7"/>
      <c r="GJ228" s="7"/>
      <c r="GM228" s="7"/>
      <c r="GN228" s="7"/>
      <c r="GQ228" s="7"/>
      <c r="GR228" s="7"/>
      <c r="GU228" s="7"/>
      <c r="GV228" s="7"/>
      <c r="GY228" s="7"/>
      <c r="GZ228" s="7"/>
      <c r="HC228" s="7"/>
      <c r="HD228" s="7"/>
      <c r="HG228" s="7"/>
      <c r="HH228" s="7"/>
      <c r="HK228" s="7"/>
      <c r="HL228" s="7"/>
      <c r="HO228" s="7"/>
      <c r="HP228" s="7"/>
    </row>
    <row r="229" spans="3:224" x14ac:dyDescent="0.3">
      <c r="C229" s="7"/>
      <c r="D229" s="7"/>
      <c r="G229" s="7"/>
      <c r="H229" s="7"/>
      <c r="K229" s="7"/>
      <c r="L229" s="7"/>
      <c r="O229" s="7"/>
      <c r="P229" s="7"/>
      <c r="S229" s="7"/>
      <c r="T229" s="7"/>
      <c r="W229" s="7"/>
      <c r="X229" s="7"/>
      <c r="AA229" s="7"/>
      <c r="AB229" s="7"/>
      <c r="AE229" s="7"/>
      <c r="AF229" s="7"/>
      <c r="AI229" s="7"/>
      <c r="AJ229" s="7"/>
      <c r="AM229" s="7"/>
      <c r="AN229" s="7"/>
      <c r="AQ229" s="7"/>
      <c r="AR229" s="7"/>
      <c r="AU229" s="7"/>
      <c r="AV229" s="7"/>
      <c r="AY229" s="7"/>
      <c r="AZ229" s="7"/>
      <c r="BC229" s="7"/>
      <c r="BD229" s="7"/>
      <c r="BG229" s="7"/>
      <c r="BH229" s="7"/>
      <c r="BK229" s="7"/>
      <c r="BL229" s="7"/>
      <c r="BO229" s="7"/>
      <c r="BP229" s="7"/>
      <c r="BS229" s="7"/>
      <c r="BT229" s="7"/>
      <c r="BW229" s="7"/>
      <c r="BX229" s="7"/>
      <c r="CA229" s="7"/>
      <c r="CB229" s="7"/>
      <c r="CE229" s="7"/>
      <c r="CF229" s="7"/>
      <c r="CI229" s="7"/>
      <c r="CJ229" s="7"/>
      <c r="CM229" s="7"/>
      <c r="CN229" s="7"/>
      <c r="CQ229" s="7"/>
      <c r="CR229" s="7"/>
      <c r="CU229" s="7"/>
      <c r="CV229" s="7"/>
      <c r="CY229" s="7"/>
      <c r="CZ229" s="7"/>
      <c r="DC229" s="7"/>
      <c r="DD229" s="7"/>
      <c r="DG229" s="7"/>
      <c r="DH229" s="7"/>
      <c r="DK229" s="7"/>
      <c r="DL229" s="7"/>
      <c r="DO229" s="7"/>
      <c r="DP229" s="7"/>
      <c r="DS229" s="7"/>
      <c r="DT229" s="7"/>
      <c r="DW229" s="7"/>
      <c r="DX229" s="7"/>
      <c r="EA229" s="7"/>
      <c r="EB229" s="7"/>
      <c r="EE229" s="7"/>
      <c r="EF229" s="7"/>
      <c r="EI229" s="7"/>
      <c r="EJ229" s="7"/>
      <c r="EM229" s="7"/>
      <c r="EN229" s="7"/>
      <c r="EQ229" s="7"/>
      <c r="ER229" s="7"/>
      <c r="EU229" s="7"/>
      <c r="EV229" s="7"/>
      <c r="EY229" s="7"/>
      <c r="EZ229" s="7"/>
      <c r="FC229" s="7"/>
      <c r="FD229" s="7"/>
      <c r="FG229" s="7"/>
      <c r="FH229" s="7"/>
      <c r="FK229" s="7"/>
      <c r="FL229" s="7"/>
      <c r="FO229" s="7"/>
      <c r="FP229" s="7"/>
      <c r="FS229" s="7"/>
      <c r="FT229" s="7"/>
      <c r="FW229" s="7"/>
      <c r="FX229" s="7"/>
      <c r="GA229" s="7"/>
      <c r="GB229" s="7"/>
      <c r="GE229" s="7"/>
      <c r="GF229" s="7"/>
      <c r="GI229" s="7"/>
      <c r="GJ229" s="7"/>
      <c r="GM229" s="7"/>
      <c r="GN229" s="7"/>
      <c r="GQ229" s="7"/>
      <c r="GR229" s="7"/>
      <c r="GU229" s="7"/>
      <c r="GV229" s="7"/>
      <c r="GY229" s="7"/>
      <c r="GZ229" s="7"/>
      <c r="HC229" s="7"/>
      <c r="HD229" s="7"/>
      <c r="HG229" s="7"/>
      <c r="HH229" s="7"/>
      <c r="HK229" s="7"/>
      <c r="HL229" s="7"/>
      <c r="HO229" s="7"/>
      <c r="HP229" s="7"/>
    </row>
    <row r="230" spans="3:224" x14ac:dyDescent="0.3">
      <c r="C230" s="7"/>
      <c r="D230" s="7"/>
      <c r="G230" s="7"/>
      <c r="H230" s="7"/>
      <c r="K230" s="7"/>
      <c r="L230" s="7"/>
      <c r="O230" s="7"/>
      <c r="P230" s="7"/>
      <c r="S230" s="7"/>
      <c r="T230" s="7"/>
      <c r="W230" s="7"/>
      <c r="X230" s="7"/>
      <c r="AA230" s="7"/>
      <c r="AB230" s="7"/>
      <c r="AE230" s="7"/>
      <c r="AF230" s="7"/>
      <c r="AI230" s="7"/>
      <c r="AJ230" s="7"/>
      <c r="AM230" s="7"/>
      <c r="AN230" s="7"/>
      <c r="AQ230" s="7"/>
      <c r="AR230" s="7"/>
      <c r="AU230" s="7"/>
      <c r="AV230" s="7"/>
      <c r="AY230" s="7"/>
      <c r="AZ230" s="7"/>
      <c r="BC230" s="7"/>
      <c r="BD230" s="7"/>
      <c r="BG230" s="7"/>
      <c r="BH230" s="7"/>
      <c r="BK230" s="7"/>
      <c r="BL230" s="7"/>
      <c r="BO230" s="7"/>
      <c r="BP230" s="7"/>
      <c r="BS230" s="7"/>
      <c r="BT230" s="7"/>
      <c r="BW230" s="7"/>
      <c r="BX230" s="7"/>
      <c r="CA230" s="7"/>
      <c r="CB230" s="7"/>
      <c r="CE230" s="7"/>
      <c r="CF230" s="7"/>
      <c r="CI230" s="7"/>
      <c r="CJ230" s="7"/>
      <c r="CM230" s="7"/>
      <c r="CN230" s="7"/>
      <c r="CQ230" s="7"/>
      <c r="CR230" s="7"/>
      <c r="CU230" s="7"/>
      <c r="CV230" s="7"/>
      <c r="CY230" s="7"/>
      <c r="CZ230" s="7"/>
      <c r="DC230" s="7"/>
      <c r="DD230" s="7"/>
      <c r="DG230" s="7"/>
      <c r="DH230" s="7"/>
      <c r="DK230" s="7"/>
      <c r="DL230" s="7"/>
      <c r="DO230" s="7"/>
      <c r="DP230" s="7"/>
      <c r="DS230" s="7"/>
      <c r="DT230" s="7"/>
      <c r="DW230" s="7"/>
      <c r="DX230" s="7"/>
      <c r="EA230" s="7"/>
      <c r="EB230" s="7"/>
      <c r="EE230" s="7"/>
      <c r="EF230" s="7"/>
      <c r="EI230" s="7"/>
      <c r="EJ230" s="7"/>
      <c r="EM230" s="7"/>
      <c r="EN230" s="7"/>
      <c r="EQ230" s="7"/>
      <c r="ER230" s="7"/>
      <c r="EU230" s="7"/>
      <c r="EV230" s="7"/>
      <c r="EY230" s="7"/>
      <c r="EZ230" s="7"/>
      <c r="FC230" s="7"/>
      <c r="FD230" s="7"/>
      <c r="FG230" s="7"/>
      <c r="FH230" s="7"/>
      <c r="FK230" s="7"/>
      <c r="FL230" s="7"/>
      <c r="FO230" s="7"/>
      <c r="FP230" s="7"/>
      <c r="FS230" s="7"/>
      <c r="FT230" s="7"/>
      <c r="FW230" s="7"/>
      <c r="FX230" s="7"/>
      <c r="GA230" s="7"/>
      <c r="GB230" s="7"/>
      <c r="GE230" s="7"/>
      <c r="GF230" s="7"/>
      <c r="GI230" s="7"/>
      <c r="GJ230" s="7"/>
      <c r="GM230" s="7"/>
      <c r="GN230" s="7"/>
      <c r="GQ230" s="7"/>
      <c r="GR230" s="7"/>
      <c r="GU230" s="7"/>
      <c r="GV230" s="7"/>
      <c r="GY230" s="7"/>
      <c r="GZ230" s="7"/>
      <c r="HC230" s="7"/>
      <c r="HD230" s="7"/>
      <c r="HG230" s="7"/>
      <c r="HH230" s="7"/>
      <c r="HK230" s="7"/>
      <c r="HL230" s="7"/>
      <c r="HO230" s="7"/>
      <c r="HP230" s="7"/>
    </row>
    <row r="231" spans="3:224" x14ac:dyDescent="0.3">
      <c r="C231" s="7"/>
      <c r="D231" s="7"/>
      <c r="G231" s="7"/>
      <c r="H231" s="7"/>
      <c r="K231" s="7"/>
      <c r="L231" s="7"/>
      <c r="O231" s="7"/>
      <c r="P231" s="7"/>
      <c r="S231" s="7"/>
      <c r="T231" s="7"/>
      <c r="W231" s="7"/>
      <c r="X231" s="7"/>
      <c r="AA231" s="7"/>
      <c r="AB231" s="7"/>
      <c r="AE231" s="7"/>
      <c r="AF231" s="7"/>
      <c r="AI231" s="7"/>
      <c r="AJ231" s="7"/>
      <c r="AM231" s="7"/>
      <c r="AN231" s="7"/>
      <c r="AQ231" s="7"/>
      <c r="AR231" s="7"/>
      <c r="AU231" s="7"/>
      <c r="AV231" s="7"/>
      <c r="AY231" s="7"/>
      <c r="AZ231" s="7"/>
      <c r="BC231" s="7"/>
      <c r="BD231" s="7"/>
      <c r="BG231" s="7"/>
      <c r="BH231" s="7"/>
      <c r="BK231" s="7"/>
      <c r="BL231" s="7"/>
      <c r="BO231" s="7"/>
      <c r="BP231" s="7"/>
      <c r="BS231" s="7"/>
      <c r="BT231" s="7"/>
      <c r="BW231" s="7"/>
      <c r="BX231" s="7"/>
      <c r="CA231" s="7"/>
      <c r="CB231" s="7"/>
      <c r="CE231" s="7"/>
      <c r="CF231" s="7"/>
      <c r="CI231" s="7"/>
      <c r="CJ231" s="7"/>
      <c r="CM231" s="7"/>
      <c r="CN231" s="7"/>
      <c r="CQ231" s="7"/>
      <c r="CR231" s="7"/>
      <c r="CU231" s="7"/>
      <c r="CV231" s="7"/>
      <c r="CY231" s="7"/>
      <c r="CZ231" s="7"/>
      <c r="DC231" s="7"/>
      <c r="DD231" s="7"/>
      <c r="DG231" s="7"/>
      <c r="DH231" s="7"/>
      <c r="DK231" s="7"/>
      <c r="DL231" s="7"/>
      <c r="DO231" s="7"/>
      <c r="DP231" s="7"/>
      <c r="DS231" s="7"/>
      <c r="DT231" s="7"/>
      <c r="DW231" s="7"/>
      <c r="DX231" s="7"/>
      <c r="EA231" s="7"/>
      <c r="EB231" s="7"/>
      <c r="EE231" s="7"/>
      <c r="EF231" s="7"/>
      <c r="EI231" s="7"/>
      <c r="EJ231" s="7"/>
      <c r="EM231" s="7"/>
      <c r="EN231" s="7"/>
      <c r="EQ231" s="7"/>
      <c r="ER231" s="7"/>
      <c r="EU231" s="7"/>
      <c r="EV231" s="7"/>
      <c r="EY231" s="7"/>
      <c r="EZ231" s="7"/>
      <c r="FC231" s="7"/>
      <c r="FD231" s="7"/>
      <c r="FG231" s="7"/>
      <c r="FH231" s="7"/>
      <c r="FK231" s="7"/>
      <c r="FL231" s="7"/>
      <c r="FO231" s="7"/>
      <c r="FP231" s="7"/>
      <c r="FS231" s="7"/>
      <c r="FT231" s="7"/>
      <c r="FW231" s="7"/>
      <c r="FX231" s="7"/>
      <c r="GA231" s="7"/>
      <c r="GB231" s="7"/>
      <c r="GE231" s="7"/>
      <c r="GF231" s="7"/>
      <c r="GI231" s="7"/>
      <c r="GJ231" s="7"/>
      <c r="GM231" s="7"/>
      <c r="GN231" s="7"/>
      <c r="GQ231" s="7"/>
      <c r="GR231" s="7"/>
      <c r="GU231" s="7"/>
      <c r="GV231" s="7"/>
      <c r="GY231" s="7"/>
      <c r="GZ231" s="7"/>
      <c r="HC231" s="7"/>
      <c r="HD231" s="7"/>
      <c r="HG231" s="7"/>
      <c r="HH231" s="7"/>
      <c r="HK231" s="7"/>
      <c r="HL231" s="7"/>
      <c r="HO231" s="7"/>
      <c r="HP231" s="7"/>
    </row>
    <row r="232" spans="3:224" x14ac:dyDescent="0.3">
      <c r="C232" s="7"/>
      <c r="D232" s="7"/>
      <c r="G232" s="7"/>
      <c r="H232" s="7"/>
      <c r="K232" s="7"/>
      <c r="L232" s="7"/>
      <c r="O232" s="7"/>
      <c r="P232" s="7"/>
      <c r="S232" s="7"/>
      <c r="T232" s="7"/>
      <c r="W232" s="7"/>
      <c r="X232" s="7"/>
      <c r="AA232" s="7"/>
      <c r="AB232" s="7"/>
      <c r="AE232" s="7"/>
      <c r="AF232" s="7"/>
      <c r="AI232" s="7"/>
      <c r="AJ232" s="7"/>
      <c r="AM232" s="7"/>
      <c r="AN232" s="7"/>
      <c r="AQ232" s="7"/>
      <c r="AR232" s="7"/>
      <c r="AU232" s="7"/>
      <c r="AV232" s="7"/>
      <c r="AY232" s="7"/>
      <c r="AZ232" s="7"/>
      <c r="BC232" s="7"/>
      <c r="BD232" s="7"/>
      <c r="BG232" s="7"/>
      <c r="BH232" s="7"/>
      <c r="BK232" s="7"/>
      <c r="BL232" s="7"/>
      <c r="BO232" s="7"/>
      <c r="BP232" s="7"/>
      <c r="BS232" s="7"/>
      <c r="BT232" s="7"/>
      <c r="BW232" s="7"/>
      <c r="BX232" s="7"/>
      <c r="CA232" s="7"/>
      <c r="CB232" s="7"/>
      <c r="CE232" s="7"/>
      <c r="CF232" s="7"/>
      <c r="CI232" s="7"/>
      <c r="CJ232" s="7"/>
      <c r="CM232" s="7"/>
      <c r="CN232" s="7"/>
      <c r="CQ232" s="7"/>
      <c r="CR232" s="7"/>
      <c r="CU232" s="7"/>
      <c r="CV232" s="7"/>
      <c r="CY232" s="7"/>
      <c r="CZ232" s="7"/>
      <c r="DC232" s="7"/>
      <c r="DD232" s="7"/>
      <c r="DG232" s="7"/>
      <c r="DH232" s="7"/>
      <c r="DK232" s="7"/>
      <c r="DL232" s="7"/>
      <c r="DO232" s="7"/>
      <c r="DP232" s="7"/>
      <c r="DS232" s="7"/>
      <c r="DT232" s="7"/>
      <c r="DW232" s="7"/>
      <c r="DX232" s="7"/>
      <c r="EA232" s="7"/>
      <c r="EB232" s="7"/>
      <c r="EE232" s="7"/>
      <c r="EF232" s="7"/>
      <c r="EI232" s="7"/>
      <c r="EJ232" s="7"/>
      <c r="EM232" s="7"/>
      <c r="EN232" s="7"/>
      <c r="EQ232" s="7"/>
      <c r="ER232" s="7"/>
      <c r="EU232" s="7"/>
      <c r="EV232" s="7"/>
      <c r="EY232" s="7"/>
      <c r="EZ232" s="7"/>
      <c r="FC232" s="7"/>
      <c r="FD232" s="7"/>
      <c r="FG232" s="7"/>
      <c r="FH232" s="7"/>
      <c r="FK232" s="7"/>
      <c r="FL232" s="7"/>
      <c r="FO232" s="7"/>
      <c r="FP232" s="7"/>
      <c r="FS232" s="7"/>
      <c r="FT232" s="7"/>
      <c r="FW232" s="7"/>
      <c r="FX232" s="7"/>
      <c r="GA232" s="7"/>
      <c r="GB232" s="7"/>
      <c r="GE232" s="7"/>
      <c r="GF232" s="7"/>
      <c r="GI232" s="7"/>
      <c r="GJ232" s="7"/>
      <c r="GM232" s="7"/>
      <c r="GN232" s="7"/>
      <c r="GQ232" s="7"/>
      <c r="GR232" s="7"/>
      <c r="GU232" s="7"/>
      <c r="GV232" s="7"/>
      <c r="GY232" s="7"/>
      <c r="GZ232" s="7"/>
      <c r="HC232" s="7"/>
      <c r="HD232" s="7"/>
      <c r="HG232" s="7"/>
      <c r="HH232" s="7"/>
      <c r="HK232" s="7"/>
      <c r="HL232" s="7"/>
      <c r="HO232" s="7"/>
      <c r="HP232" s="7"/>
    </row>
    <row r="233" spans="3:224" x14ac:dyDescent="0.3">
      <c r="C233" s="7"/>
      <c r="D233" s="7"/>
      <c r="G233" s="7"/>
      <c r="H233" s="7"/>
      <c r="K233" s="7"/>
      <c r="L233" s="7"/>
      <c r="O233" s="7"/>
      <c r="P233" s="7"/>
      <c r="S233" s="7"/>
      <c r="T233" s="7"/>
      <c r="W233" s="7"/>
      <c r="X233" s="7"/>
      <c r="AA233" s="7"/>
      <c r="AB233" s="7"/>
      <c r="AE233" s="7"/>
      <c r="AF233" s="7"/>
      <c r="AI233" s="7"/>
      <c r="AJ233" s="7"/>
      <c r="AM233" s="7"/>
      <c r="AN233" s="7"/>
      <c r="AQ233" s="7"/>
      <c r="AR233" s="7"/>
      <c r="AU233" s="7"/>
      <c r="AV233" s="7"/>
      <c r="AY233" s="7"/>
      <c r="AZ233" s="7"/>
      <c r="BC233" s="7"/>
      <c r="BD233" s="7"/>
      <c r="BG233" s="7"/>
      <c r="BH233" s="7"/>
      <c r="BK233" s="7"/>
      <c r="BL233" s="7"/>
      <c r="BO233" s="7"/>
      <c r="BP233" s="7"/>
      <c r="BS233" s="7"/>
      <c r="BT233" s="7"/>
      <c r="BW233" s="7"/>
      <c r="BX233" s="7"/>
      <c r="CA233" s="7"/>
      <c r="CB233" s="7"/>
      <c r="CE233" s="7"/>
      <c r="CF233" s="7"/>
      <c r="CI233" s="7"/>
      <c r="CJ233" s="7"/>
      <c r="CM233" s="7"/>
      <c r="CN233" s="7"/>
      <c r="CQ233" s="7"/>
      <c r="CR233" s="7"/>
      <c r="CU233" s="7"/>
      <c r="CV233" s="7"/>
      <c r="CY233" s="7"/>
      <c r="CZ233" s="7"/>
      <c r="DC233" s="7"/>
      <c r="DD233" s="7"/>
      <c r="DG233" s="7"/>
      <c r="DH233" s="7"/>
      <c r="DK233" s="7"/>
      <c r="DL233" s="7"/>
      <c r="DO233" s="7"/>
      <c r="DP233" s="7"/>
      <c r="DS233" s="7"/>
      <c r="DT233" s="7"/>
      <c r="DW233" s="7"/>
      <c r="DX233" s="7"/>
      <c r="EA233" s="7"/>
      <c r="EB233" s="7"/>
      <c r="EE233" s="7"/>
      <c r="EF233" s="7"/>
      <c r="EI233" s="7"/>
      <c r="EJ233" s="7"/>
      <c r="EM233" s="7"/>
      <c r="EN233" s="7"/>
      <c r="EQ233" s="7"/>
      <c r="ER233" s="7"/>
      <c r="EU233" s="7"/>
      <c r="EV233" s="7"/>
      <c r="EY233" s="7"/>
      <c r="EZ233" s="7"/>
      <c r="FC233" s="7"/>
      <c r="FD233" s="7"/>
      <c r="FG233" s="7"/>
      <c r="FH233" s="7"/>
      <c r="FK233" s="7"/>
      <c r="FL233" s="7"/>
      <c r="FO233" s="7"/>
      <c r="FP233" s="7"/>
      <c r="FS233" s="7"/>
      <c r="FT233" s="7"/>
      <c r="FW233" s="7"/>
      <c r="FX233" s="7"/>
      <c r="GA233" s="7"/>
      <c r="GB233" s="7"/>
      <c r="GE233" s="7"/>
      <c r="GF233" s="7"/>
      <c r="GI233" s="7"/>
      <c r="GJ233" s="7"/>
      <c r="GM233" s="7"/>
      <c r="GN233" s="7"/>
      <c r="GQ233" s="7"/>
      <c r="GR233" s="7"/>
      <c r="GU233" s="7"/>
      <c r="GV233" s="7"/>
      <c r="GY233" s="7"/>
      <c r="GZ233" s="7"/>
      <c r="HC233" s="7"/>
      <c r="HD233" s="7"/>
      <c r="HG233" s="7"/>
      <c r="HH233" s="7"/>
      <c r="HK233" s="7"/>
      <c r="HL233" s="7"/>
      <c r="HO233" s="7"/>
      <c r="HP233" s="7"/>
    </row>
    <row r="234" spans="3:224" x14ac:dyDescent="0.3">
      <c r="C234" s="7"/>
      <c r="D234" s="7"/>
      <c r="G234" s="7"/>
      <c r="H234" s="7"/>
      <c r="K234" s="7"/>
      <c r="L234" s="7"/>
      <c r="O234" s="7"/>
      <c r="P234" s="7"/>
      <c r="S234" s="7"/>
      <c r="T234" s="7"/>
      <c r="W234" s="7"/>
      <c r="X234" s="7"/>
      <c r="AA234" s="7"/>
      <c r="AB234" s="7"/>
      <c r="AE234" s="7"/>
      <c r="AF234" s="7"/>
      <c r="AI234" s="7"/>
      <c r="AJ234" s="7"/>
      <c r="AM234" s="7"/>
      <c r="AN234" s="7"/>
      <c r="AQ234" s="7"/>
      <c r="AR234" s="7"/>
      <c r="AU234" s="7"/>
      <c r="AV234" s="7"/>
      <c r="AY234" s="7"/>
      <c r="AZ234" s="7"/>
      <c r="BC234" s="7"/>
      <c r="BD234" s="7"/>
      <c r="BG234" s="7"/>
      <c r="BH234" s="7"/>
      <c r="BK234" s="7"/>
      <c r="BL234" s="7"/>
      <c r="BO234" s="7"/>
      <c r="BP234" s="7"/>
      <c r="BS234" s="7"/>
      <c r="BT234" s="7"/>
      <c r="BW234" s="7"/>
      <c r="BX234" s="7"/>
      <c r="CA234" s="7"/>
      <c r="CB234" s="7"/>
      <c r="CE234" s="7"/>
      <c r="CF234" s="7"/>
      <c r="CI234" s="7"/>
      <c r="CJ234" s="7"/>
      <c r="CM234" s="7"/>
      <c r="CN234" s="7"/>
      <c r="CQ234" s="7"/>
      <c r="CR234" s="7"/>
      <c r="CU234" s="7"/>
      <c r="CV234" s="7"/>
      <c r="CY234" s="7"/>
      <c r="CZ234" s="7"/>
      <c r="DC234" s="7"/>
      <c r="DD234" s="7"/>
      <c r="DG234" s="7"/>
      <c r="DH234" s="7"/>
      <c r="DK234" s="7"/>
      <c r="DL234" s="7"/>
      <c r="DO234" s="7"/>
      <c r="DP234" s="7"/>
      <c r="DS234" s="7"/>
      <c r="DT234" s="7"/>
      <c r="DW234" s="7"/>
      <c r="DX234" s="7"/>
      <c r="EA234" s="7"/>
      <c r="EB234" s="7"/>
      <c r="EE234" s="7"/>
      <c r="EF234" s="7"/>
      <c r="EI234" s="7"/>
      <c r="EJ234" s="7"/>
      <c r="EM234" s="7"/>
      <c r="EN234" s="7"/>
      <c r="EQ234" s="7"/>
      <c r="ER234" s="7"/>
      <c r="EU234" s="7"/>
      <c r="EV234" s="7"/>
      <c r="EY234" s="7"/>
      <c r="EZ234" s="7"/>
      <c r="FC234" s="7"/>
      <c r="FD234" s="7"/>
      <c r="FG234" s="7"/>
      <c r="FH234" s="7"/>
      <c r="FK234" s="7"/>
      <c r="FL234" s="7"/>
      <c r="FO234" s="7"/>
      <c r="FP234" s="7"/>
      <c r="FS234" s="7"/>
      <c r="FT234" s="7"/>
      <c r="FW234" s="7"/>
      <c r="FX234" s="7"/>
      <c r="GA234" s="7"/>
      <c r="GB234" s="7"/>
      <c r="GE234" s="7"/>
      <c r="GF234" s="7"/>
      <c r="GI234" s="7"/>
      <c r="GJ234" s="7"/>
      <c r="GM234" s="7"/>
      <c r="GN234" s="7"/>
      <c r="GQ234" s="7"/>
      <c r="GR234" s="7"/>
      <c r="GU234" s="7"/>
      <c r="GV234" s="7"/>
      <c r="GY234" s="7"/>
      <c r="GZ234" s="7"/>
      <c r="HC234" s="7"/>
      <c r="HD234" s="7"/>
      <c r="HG234" s="7"/>
      <c r="HH234" s="7"/>
      <c r="HK234" s="7"/>
      <c r="HL234" s="7"/>
      <c r="HO234" s="7"/>
      <c r="HP234" s="7"/>
    </row>
    <row r="235" spans="3:224" x14ac:dyDescent="0.3">
      <c r="C235" s="7"/>
      <c r="D235" s="7"/>
      <c r="G235" s="7"/>
      <c r="H235" s="7"/>
      <c r="K235" s="7"/>
      <c r="L235" s="7"/>
      <c r="O235" s="7"/>
      <c r="P235" s="7"/>
      <c r="S235" s="7"/>
      <c r="T235" s="7"/>
      <c r="W235" s="7"/>
      <c r="X235" s="7"/>
      <c r="AA235" s="7"/>
      <c r="AB235" s="7"/>
      <c r="AE235" s="7"/>
      <c r="AF235" s="7"/>
      <c r="AI235" s="7"/>
      <c r="AJ235" s="7"/>
      <c r="AM235" s="7"/>
      <c r="AN235" s="7"/>
      <c r="AQ235" s="7"/>
      <c r="AR235" s="7"/>
      <c r="AU235" s="7"/>
      <c r="AV235" s="7"/>
      <c r="AY235" s="7"/>
      <c r="AZ235" s="7"/>
      <c r="BC235" s="7"/>
      <c r="BD235" s="7"/>
      <c r="BG235" s="7"/>
      <c r="BH235" s="7"/>
      <c r="BK235" s="7"/>
      <c r="BL235" s="7"/>
      <c r="BO235" s="7"/>
      <c r="BP235" s="7"/>
      <c r="BS235" s="7"/>
      <c r="BT235" s="7"/>
      <c r="BW235" s="7"/>
      <c r="BX235" s="7"/>
      <c r="CA235" s="7"/>
      <c r="CB235" s="7"/>
      <c r="CE235" s="7"/>
      <c r="CF235" s="7"/>
      <c r="CI235" s="7"/>
      <c r="CJ235" s="7"/>
      <c r="CM235" s="7"/>
      <c r="CN235" s="7"/>
      <c r="CQ235" s="7"/>
      <c r="CR235" s="7"/>
      <c r="CU235" s="7"/>
      <c r="CV235" s="7"/>
      <c r="CY235" s="7"/>
      <c r="CZ235" s="7"/>
      <c r="DC235" s="7"/>
      <c r="DD235" s="7"/>
      <c r="DG235" s="7"/>
      <c r="DH235" s="7"/>
      <c r="DK235" s="7"/>
      <c r="DL235" s="7"/>
      <c r="DO235" s="7"/>
      <c r="DP235" s="7"/>
      <c r="DS235" s="7"/>
      <c r="DT235" s="7"/>
      <c r="DW235" s="7"/>
      <c r="DX235" s="7"/>
      <c r="EA235" s="7"/>
      <c r="EB235" s="7"/>
      <c r="EE235" s="7"/>
      <c r="EF235" s="7"/>
      <c r="EI235" s="7"/>
      <c r="EJ235" s="7"/>
      <c r="EM235" s="7"/>
      <c r="EN235" s="7"/>
      <c r="EQ235" s="7"/>
      <c r="ER235" s="7"/>
      <c r="EU235" s="7"/>
      <c r="EV235" s="7"/>
      <c r="EY235" s="7"/>
      <c r="EZ235" s="7"/>
      <c r="FC235" s="7"/>
      <c r="FD235" s="7"/>
      <c r="FG235" s="7"/>
      <c r="FH235" s="7"/>
      <c r="FK235" s="7"/>
      <c r="FL235" s="7"/>
      <c r="FO235" s="7"/>
      <c r="FP235" s="7"/>
      <c r="FS235" s="7"/>
      <c r="FT235" s="7"/>
      <c r="FW235" s="7"/>
      <c r="FX235" s="7"/>
      <c r="GA235" s="7"/>
      <c r="GB235" s="7"/>
      <c r="GE235" s="7"/>
      <c r="GF235" s="7"/>
      <c r="GI235" s="7"/>
      <c r="GJ235" s="7"/>
      <c r="GM235" s="7"/>
      <c r="GN235" s="7"/>
      <c r="GQ235" s="7"/>
      <c r="GR235" s="7"/>
      <c r="GU235" s="7"/>
      <c r="GV235" s="7"/>
      <c r="GY235" s="7"/>
      <c r="GZ235" s="7"/>
      <c r="HC235" s="7"/>
      <c r="HD235" s="7"/>
      <c r="HG235" s="7"/>
      <c r="HH235" s="7"/>
      <c r="HK235" s="7"/>
      <c r="HL235" s="7"/>
      <c r="HO235" s="7"/>
      <c r="HP235" s="7"/>
    </row>
    <row r="236" spans="3:224" x14ac:dyDescent="0.3">
      <c r="C236" s="7"/>
      <c r="D236" s="7"/>
      <c r="G236" s="7"/>
      <c r="H236" s="7"/>
      <c r="K236" s="7"/>
      <c r="L236" s="7"/>
      <c r="O236" s="7"/>
      <c r="P236" s="7"/>
      <c r="S236" s="7"/>
      <c r="T236" s="7"/>
      <c r="W236" s="7"/>
      <c r="X236" s="7"/>
      <c r="AA236" s="7"/>
      <c r="AB236" s="7"/>
      <c r="AE236" s="7"/>
      <c r="AF236" s="7"/>
      <c r="AI236" s="7"/>
      <c r="AJ236" s="7"/>
      <c r="AM236" s="7"/>
      <c r="AN236" s="7"/>
      <c r="AQ236" s="7"/>
      <c r="AR236" s="7"/>
      <c r="AU236" s="7"/>
      <c r="AV236" s="7"/>
      <c r="AY236" s="7"/>
      <c r="AZ236" s="7"/>
      <c r="BC236" s="7"/>
      <c r="BD236" s="7"/>
      <c r="BG236" s="7"/>
      <c r="BH236" s="7"/>
      <c r="BK236" s="7"/>
      <c r="BL236" s="7"/>
      <c r="BO236" s="7"/>
      <c r="BP236" s="7"/>
      <c r="BS236" s="7"/>
      <c r="BT236" s="7"/>
      <c r="BW236" s="7"/>
      <c r="BX236" s="7"/>
      <c r="CA236" s="7"/>
      <c r="CB236" s="7"/>
      <c r="CE236" s="7"/>
      <c r="CF236" s="7"/>
      <c r="CI236" s="7"/>
      <c r="CJ236" s="7"/>
      <c r="CM236" s="7"/>
      <c r="CN236" s="7"/>
      <c r="CQ236" s="7"/>
      <c r="CR236" s="7"/>
      <c r="CU236" s="7"/>
      <c r="CV236" s="7"/>
      <c r="CY236" s="7"/>
      <c r="CZ236" s="7"/>
      <c r="DC236" s="7"/>
      <c r="DD236" s="7"/>
      <c r="DG236" s="7"/>
      <c r="DH236" s="7"/>
      <c r="DK236" s="7"/>
      <c r="DL236" s="7"/>
      <c r="DO236" s="7"/>
      <c r="DP236" s="7"/>
      <c r="DS236" s="7"/>
      <c r="DT236" s="7"/>
      <c r="DW236" s="7"/>
      <c r="DX236" s="7"/>
      <c r="EA236" s="7"/>
      <c r="EB236" s="7"/>
      <c r="EE236" s="7"/>
      <c r="EF236" s="7"/>
      <c r="EI236" s="7"/>
      <c r="EJ236" s="7"/>
      <c r="EM236" s="7"/>
      <c r="EN236" s="7"/>
      <c r="EQ236" s="7"/>
      <c r="ER236" s="7"/>
      <c r="EU236" s="7"/>
      <c r="EV236" s="7"/>
      <c r="EY236" s="7"/>
      <c r="EZ236" s="7"/>
      <c r="FC236" s="7"/>
      <c r="FD236" s="7"/>
      <c r="FG236" s="7"/>
      <c r="FH236" s="7"/>
      <c r="FK236" s="7"/>
      <c r="FL236" s="7"/>
      <c r="FO236" s="7"/>
      <c r="FP236" s="7"/>
      <c r="FS236" s="7"/>
      <c r="FT236" s="7"/>
      <c r="FW236" s="7"/>
      <c r="FX236" s="7"/>
      <c r="GA236" s="7"/>
      <c r="GB236" s="7"/>
      <c r="GE236" s="7"/>
      <c r="GF236" s="7"/>
      <c r="GI236" s="7"/>
      <c r="GJ236" s="7"/>
      <c r="GM236" s="7"/>
      <c r="GN236" s="7"/>
      <c r="GQ236" s="7"/>
      <c r="GR236" s="7"/>
      <c r="GU236" s="7"/>
      <c r="GV236" s="7"/>
      <c r="GY236" s="7"/>
      <c r="GZ236" s="7"/>
      <c r="HC236" s="7"/>
      <c r="HD236" s="7"/>
      <c r="HG236" s="7"/>
      <c r="HH236" s="7"/>
      <c r="HK236" s="7"/>
      <c r="HL236" s="7"/>
      <c r="HO236" s="7"/>
      <c r="HP236" s="7"/>
    </row>
    <row r="237" spans="3:224" x14ac:dyDescent="0.3">
      <c r="C237" s="7"/>
      <c r="D237" s="7"/>
      <c r="G237" s="7"/>
      <c r="H237" s="7"/>
      <c r="K237" s="7"/>
      <c r="L237" s="7"/>
      <c r="O237" s="7"/>
      <c r="P237" s="7"/>
      <c r="S237" s="7"/>
      <c r="T237" s="7"/>
      <c r="W237" s="7"/>
      <c r="X237" s="7"/>
      <c r="AA237" s="7"/>
      <c r="AB237" s="7"/>
      <c r="AE237" s="7"/>
      <c r="AF237" s="7"/>
      <c r="AI237" s="7"/>
      <c r="AJ237" s="7"/>
      <c r="AM237" s="7"/>
      <c r="AN237" s="7"/>
      <c r="AQ237" s="7"/>
      <c r="AR237" s="7"/>
      <c r="AU237" s="7"/>
      <c r="AV237" s="7"/>
      <c r="AY237" s="7"/>
      <c r="AZ237" s="7"/>
      <c r="BC237" s="7"/>
      <c r="BD237" s="7"/>
      <c r="BG237" s="7"/>
      <c r="BH237" s="7"/>
      <c r="BK237" s="7"/>
      <c r="BL237" s="7"/>
      <c r="BO237" s="7"/>
      <c r="BP237" s="7"/>
      <c r="BS237" s="7"/>
      <c r="BT237" s="7"/>
      <c r="BW237" s="7"/>
      <c r="BX237" s="7"/>
      <c r="CA237" s="7"/>
      <c r="CB237" s="7"/>
      <c r="CE237" s="7"/>
      <c r="CF237" s="7"/>
      <c r="CI237" s="7"/>
      <c r="CJ237" s="7"/>
      <c r="CM237" s="7"/>
      <c r="CN237" s="7"/>
      <c r="CQ237" s="7"/>
      <c r="CR237" s="7"/>
      <c r="CU237" s="7"/>
      <c r="CV237" s="7"/>
      <c r="CY237" s="7"/>
      <c r="CZ237" s="7"/>
      <c r="DC237" s="7"/>
      <c r="DD237" s="7"/>
      <c r="DG237" s="7"/>
      <c r="DH237" s="7"/>
      <c r="DK237" s="7"/>
      <c r="DL237" s="7"/>
      <c r="DO237" s="7"/>
      <c r="DP237" s="7"/>
      <c r="DS237" s="7"/>
      <c r="DT237" s="7"/>
      <c r="DW237" s="7"/>
      <c r="DX237" s="7"/>
      <c r="EA237" s="7"/>
      <c r="EB237" s="7"/>
      <c r="EE237" s="7"/>
      <c r="EF237" s="7"/>
      <c r="EI237" s="7"/>
      <c r="EJ237" s="7"/>
      <c r="EM237" s="7"/>
      <c r="EN237" s="7"/>
      <c r="EQ237" s="7"/>
      <c r="ER237" s="7"/>
      <c r="EU237" s="7"/>
      <c r="EV237" s="7"/>
      <c r="EY237" s="7"/>
      <c r="EZ237" s="7"/>
      <c r="FC237" s="7"/>
      <c r="FD237" s="7"/>
      <c r="FG237" s="7"/>
      <c r="FH237" s="7"/>
      <c r="FK237" s="7"/>
      <c r="FL237" s="7"/>
      <c r="FO237" s="7"/>
      <c r="FP237" s="7"/>
      <c r="FS237" s="7"/>
      <c r="FT237" s="7"/>
      <c r="FW237" s="7"/>
      <c r="FX237" s="7"/>
      <c r="GA237" s="7"/>
      <c r="GB237" s="7"/>
      <c r="GE237" s="7"/>
      <c r="GF237" s="7"/>
      <c r="GI237" s="7"/>
      <c r="GJ237" s="7"/>
      <c r="GM237" s="7"/>
      <c r="GN237" s="7"/>
      <c r="GQ237" s="7"/>
      <c r="GR237" s="7"/>
      <c r="GU237" s="7"/>
      <c r="GV237" s="7"/>
      <c r="GY237" s="7"/>
      <c r="GZ237" s="7"/>
      <c r="HC237" s="7"/>
      <c r="HD237" s="7"/>
      <c r="HG237" s="7"/>
      <c r="HH237" s="7"/>
      <c r="HK237" s="7"/>
      <c r="HL237" s="7"/>
      <c r="HO237" s="7"/>
      <c r="HP237" s="7"/>
    </row>
    <row r="238" spans="3:224" x14ac:dyDescent="0.3">
      <c r="C238" s="7"/>
      <c r="D238" s="7"/>
      <c r="G238" s="7"/>
      <c r="H238" s="7"/>
      <c r="K238" s="7"/>
      <c r="L238" s="7"/>
      <c r="O238" s="7"/>
      <c r="P238" s="7"/>
      <c r="S238" s="7"/>
      <c r="T238" s="7"/>
      <c r="W238" s="7"/>
      <c r="X238" s="7"/>
      <c r="AA238" s="7"/>
      <c r="AB238" s="7"/>
      <c r="AE238" s="7"/>
      <c r="AF238" s="7"/>
      <c r="AI238" s="7"/>
      <c r="AJ238" s="7"/>
      <c r="AM238" s="7"/>
      <c r="AN238" s="7"/>
      <c r="AQ238" s="7"/>
      <c r="AR238" s="7"/>
      <c r="AU238" s="7"/>
      <c r="AV238" s="7"/>
      <c r="AY238" s="7"/>
      <c r="AZ238" s="7"/>
      <c r="BC238" s="7"/>
      <c r="BD238" s="7"/>
      <c r="BG238" s="7"/>
      <c r="BH238" s="7"/>
      <c r="BK238" s="7"/>
      <c r="BL238" s="7"/>
      <c r="BO238" s="7"/>
      <c r="BP238" s="7"/>
      <c r="BS238" s="7"/>
      <c r="BT238" s="7"/>
      <c r="BW238" s="7"/>
      <c r="BX238" s="7"/>
      <c r="CA238" s="7"/>
      <c r="CB238" s="7"/>
      <c r="CE238" s="7"/>
      <c r="CF238" s="7"/>
      <c r="CI238" s="7"/>
      <c r="CJ238" s="7"/>
      <c r="CM238" s="7"/>
      <c r="CN238" s="7"/>
      <c r="CQ238" s="7"/>
      <c r="CR238" s="7"/>
      <c r="CU238" s="7"/>
      <c r="CV238" s="7"/>
      <c r="CY238" s="7"/>
      <c r="CZ238" s="7"/>
      <c r="DC238" s="7"/>
      <c r="DD238" s="7"/>
      <c r="DG238" s="7"/>
      <c r="DH238" s="7"/>
      <c r="DK238" s="7"/>
      <c r="DL238" s="7"/>
      <c r="DO238" s="7"/>
      <c r="DP238" s="7"/>
      <c r="DS238" s="7"/>
      <c r="DT238" s="7"/>
      <c r="DW238" s="7"/>
      <c r="DX238" s="7"/>
      <c r="EA238" s="7"/>
      <c r="EB238" s="7"/>
      <c r="EE238" s="7"/>
      <c r="EF238" s="7"/>
      <c r="EI238" s="7"/>
      <c r="EJ238" s="7"/>
      <c r="EM238" s="7"/>
      <c r="EN238" s="7"/>
      <c r="EQ238" s="7"/>
      <c r="ER238" s="7"/>
      <c r="EU238" s="7"/>
      <c r="EV238" s="7"/>
      <c r="EY238" s="7"/>
      <c r="EZ238" s="7"/>
      <c r="FC238" s="7"/>
      <c r="FD238" s="7"/>
      <c r="FG238" s="7"/>
      <c r="FH238" s="7"/>
      <c r="FK238" s="7"/>
      <c r="FL238" s="7"/>
      <c r="FO238" s="7"/>
      <c r="FP238" s="7"/>
      <c r="FS238" s="7"/>
      <c r="FT238" s="7"/>
      <c r="FW238" s="7"/>
      <c r="FX238" s="7"/>
      <c r="GA238" s="7"/>
      <c r="GB238" s="7"/>
      <c r="GE238" s="7"/>
      <c r="GF238" s="7"/>
      <c r="GI238" s="7"/>
      <c r="GJ238" s="7"/>
      <c r="GM238" s="7"/>
      <c r="GN238" s="7"/>
      <c r="GQ238" s="7"/>
      <c r="GR238" s="7"/>
      <c r="GU238" s="7"/>
      <c r="GV238" s="7"/>
      <c r="GY238" s="7"/>
      <c r="GZ238" s="7"/>
      <c r="HC238" s="7"/>
      <c r="HD238" s="7"/>
      <c r="HG238" s="7"/>
      <c r="HH238" s="7"/>
      <c r="HK238" s="7"/>
      <c r="HL238" s="7"/>
      <c r="HO238" s="7"/>
      <c r="HP238" s="7"/>
    </row>
    <row r="239" spans="3:224" x14ac:dyDescent="0.3">
      <c r="C239" s="7"/>
      <c r="D239" s="7"/>
      <c r="G239" s="7"/>
      <c r="H239" s="7"/>
      <c r="K239" s="7"/>
      <c r="L239" s="7"/>
      <c r="O239" s="7"/>
      <c r="P239" s="7"/>
      <c r="S239" s="7"/>
      <c r="T239" s="7"/>
      <c r="W239" s="7"/>
      <c r="X239" s="7"/>
      <c r="AA239" s="7"/>
      <c r="AB239" s="7"/>
      <c r="AE239" s="7"/>
      <c r="AF239" s="7"/>
      <c r="AI239" s="7"/>
      <c r="AJ239" s="7"/>
      <c r="AM239" s="7"/>
      <c r="AN239" s="7"/>
      <c r="AQ239" s="7"/>
      <c r="AR239" s="7"/>
      <c r="AU239" s="7"/>
      <c r="AV239" s="7"/>
      <c r="AY239" s="7"/>
      <c r="AZ239" s="7"/>
      <c r="BC239" s="7"/>
      <c r="BD239" s="7"/>
      <c r="BG239" s="7"/>
      <c r="BH239" s="7"/>
      <c r="BK239" s="7"/>
      <c r="BL239" s="7"/>
      <c r="BO239" s="7"/>
      <c r="BP239" s="7"/>
      <c r="BS239" s="7"/>
      <c r="BT239" s="7"/>
      <c r="BW239" s="7"/>
      <c r="BX239" s="7"/>
      <c r="CA239" s="7"/>
      <c r="CB239" s="7"/>
      <c r="CE239" s="7"/>
      <c r="CF239" s="7"/>
      <c r="CI239" s="7"/>
      <c r="CJ239" s="7"/>
      <c r="CM239" s="7"/>
      <c r="CN239" s="7"/>
      <c r="CQ239" s="7"/>
      <c r="CR239" s="7"/>
      <c r="CU239" s="7"/>
      <c r="CV239" s="7"/>
      <c r="CY239" s="7"/>
      <c r="CZ239" s="7"/>
      <c r="DC239" s="7"/>
      <c r="DD239" s="7"/>
      <c r="DG239" s="7"/>
      <c r="DH239" s="7"/>
      <c r="DK239" s="7"/>
      <c r="DL239" s="7"/>
      <c r="DO239" s="7"/>
      <c r="DP239" s="7"/>
      <c r="DS239" s="7"/>
      <c r="DT239" s="7"/>
      <c r="DW239" s="7"/>
      <c r="DX239" s="7"/>
      <c r="EA239" s="7"/>
      <c r="EB239" s="7"/>
      <c r="EE239" s="7"/>
      <c r="EF239" s="7"/>
      <c r="EI239" s="7"/>
      <c r="EJ239" s="7"/>
      <c r="EM239" s="7"/>
      <c r="EN239" s="7"/>
      <c r="EQ239" s="7"/>
      <c r="ER239" s="7"/>
      <c r="EU239" s="7"/>
      <c r="EV239" s="7"/>
      <c r="EY239" s="7"/>
      <c r="EZ239" s="7"/>
      <c r="FC239" s="7"/>
      <c r="FD239" s="7"/>
      <c r="FG239" s="7"/>
      <c r="FH239" s="7"/>
      <c r="FK239" s="7"/>
      <c r="FL239" s="7"/>
      <c r="FO239" s="7"/>
      <c r="FP239" s="7"/>
      <c r="FS239" s="7"/>
      <c r="FT239" s="7"/>
      <c r="FW239" s="7"/>
      <c r="FX239" s="7"/>
      <c r="GA239" s="7"/>
      <c r="GB239" s="7"/>
      <c r="GE239" s="7"/>
      <c r="GF239" s="7"/>
      <c r="GI239" s="7"/>
      <c r="GJ239" s="7"/>
      <c r="GM239" s="7"/>
      <c r="GN239" s="7"/>
      <c r="GQ239" s="7"/>
      <c r="GR239" s="7"/>
      <c r="GU239" s="7"/>
      <c r="GV239" s="7"/>
      <c r="GY239" s="7"/>
      <c r="GZ239" s="7"/>
      <c r="HC239" s="7"/>
      <c r="HD239" s="7"/>
      <c r="HG239" s="7"/>
      <c r="HH239" s="7"/>
      <c r="HK239" s="7"/>
      <c r="HL239" s="7"/>
      <c r="HO239" s="7"/>
      <c r="HP239" s="7"/>
    </row>
    <row r="240" spans="3:224" x14ac:dyDescent="0.3">
      <c r="C240" s="7"/>
      <c r="D240" s="7"/>
      <c r="G240" s="7"/>
      <c r="H240" s="7"/>
      <c r="K240" s="7"/>
      <c r="L240" s="7"/>
      <c r="O240" s="7"/>
      <c r="P240" s="7"/>
      <c r="S240" s="7"/>
      <c r="T240" s="7"/>
      <c r="W240" s="7"/>
      <c r="X240" s="7"/>
      <c r="AA240" s="7"/>
      <c r="AB240" s="7"/>
      <c r="AE240" s="7"/>
      <c r="AF240" s="7"/>
      <c r="AI240" s="7"/>
      <c r="AJ240" s="7"/>
      <c r="AM240" s="7"/>
      <c r="AN240" s="7"/>
      <c r="AQ240" s="7"/>
      <c r="AR240" s="7"/>
      <c r="AU240" s="7"/>
      <c r="AV240" s="7"/>
      <c r="AY240" s="7"/>
      <c r="AZ240" s="7"/>
      <c r="BC240" s="7"/>
      <c r="BD240" s="7"/>
      <c r="BG240" s="7"/>
      <c r="BH240" s="7"/>
      <c r="BK240" s="7"/>
      <c r="BL240" s="7"/>
      <c r="BO240" s="7"/>
      <c r="BP240" s="7"/>
      <c r="BS240" s="7"/>
      <c r="BT240" s="7"/>
      <c r="BW240" s="7"/>
      <c r="BX240" s="7"/>
      <c r="CA240" s="7"/>
      <c r="CB240" s="7"/>
      <c r="CE240" s="7"/>
      <c r="CF240" s="7"/>
      <c r="CI240" s="7"/>
      <c r="CJ240" s="7"/>
      <c r="CM240" s="7"/>
      <c r="CN240" s="7"/>
      <c r="CQ240" s="7"/>
      <c r="CR240" s="7"/>
      <c r="CU240" s="7"/>
      <c r="CV240" s="7"/>
      <c r="CY240" s="7"/>
      <c r="CZ240" s="7"/>
      <c r="DC240" s="7"/>
      <c r="DD240" s="7"/>
      <c r="DG240" s="7"/>
      <c r="DH240" s="7"/>
      <c r="DK240" s="7"/>
      <c r="DL240" s="7"/>
      <c r="DO240" s="7"/>
      <c r="DP240" s="7"/>
      <c r="DS240" s="7"/>
      <c r="DT240" s="7"/>
      <c r="DW240" s="7"/>
      <c r="DX240" s="7"/>
      <c r="EA240" s="7"/>
      <c r="EB240" s="7"/>
      <c r="EE240" s="7"/>
      <c r="EF240" s="7"/>
      <c r="EI240" s="7"/>
      <c r="EJ240" s="7"/>
      <c r="EM240" s="7"/>
      <c r="EN240" s="7"/>
      <c r="EQ240" s="7"/>
      <c r="ER240" s="7"/>
      <c r="EU240" s="7"/>
      <c r="EV240" s="7"/>
      <c r="EY240" s="7"/>
      <c r="EZ240" s="7"/>
      <c r="FC240" s="7"/>
      <c r="FD240" s="7"/>
      <c r="FG240" s="7"/>
      <c r="FH240" s="7"/>
      <c r="FK240" s="7"/>
      <c r="FL240" s="7"/>
      <c r="FO240" s="7"/>
      <c r="FP240" s="7"/>
      <c r="FS240" s="7"/>
      <c r="FT240" s="7"/>
      <c r="FW240" s="7"/>
      <c r="FX240" s="7"/>
      <c r="GA240" s="7"/>
      <c r="GB240" s="7"/>
      <c r="GE240" s="7"/>
      <c r="GF240" s="7"/>
      <c r="GI240" s="7"/>
      <c r="GJ240" s="7"/>
      <c r="GM240" s="7"/>
      <c r="GN240" s="7"/>
      <c r="GQ240" s="7"/>
      <c r="GR240" s="7"/>
      <c r="GU240" s="7"/>
      <c r="GV240" s="7"/>
      <c r="GY240" s="7"/>
      <c r="GZ240" s="7"/>
      <c r="HC240" s="7"/>
      <c r="HD240" s="7"/>
      <c r="HG240" s="7"/>
      <c r="HH240" s="7"/>
      <c r="HK240" s="7"/>
      <c r="HL240" s="7"/>
      <c r="HO240" s="7"/>
      <c r="HP240" s="7"/>
    </row>
    <row r="241" spans="3:224" x14ac:dyDescent="0.3">
      <c r="C241" s="7"/>
      <c r="D241" s="7"/>
      <c r="G241" s="7"/>
      <c r="H241" s="7"/>
      <c r="K241" s="7"/>
      <c r="L241" s="7"/>
      <c r="O241" s="7"/>
      <c r="P241" s="7"/>
      <c r="S241" s="7"/>
      <c r="T241" s="7"/>
      <c r="W241" s="7"/>
      <c r="X241" s="7"/>
      <c r="AA241" s="7"/>
      <c r="AB241" s="7"/>
      <c r="AE241" s="7"/>
      <c r="AF241" s="7"/>
      <c r="AI241" s="7"/>
      <c r="AJ241" s="7"/>
      <c r="AM241" s="7"/>
      <c r="AN241" s="7"/>
      <c r="AQ241" s="7"/>
      <c r="AR241" s="7"/>
      <c r="AU241" s="7"/>
      <c r="AV241" s="7"/>
      <c r="AY241" s="7"/>
      <c r="AZ241" s="7"/>
      <c r="BC241" s="7"/>
      <c r="BD241" s="7"/>
      <c r="BG241" s="7"/>
      <c r="BH241" s="7"/>
      <c r="BK241" s="7"/>
      <c r="BL241" s="7"/>
      <c r="BO241" s="7"/>
      <c r="BP241" s="7"/>
      <c r="BS241" s="7"/>
      <c r="BT241" s="7"/>
      <c r="BW241" s="7"/>
      <c r="BX241" s="7"/>
      <c r="CA241" s="7"/>
      <c r="CB241" s="7"/>
      <c r="CE241" s="7"/>
      <c r="CF241" s="7"/>
      <c r="CI241" s="7"/>
      <c r="CJ241" s="7"/>
      <c r="CM241" s="7"/>
      <c r="CN241" s="7"/>
      <c r="CQ241" s="7"/>
      <c r="CR241" s="7"/>
      <c r="CU241" s="7"/>
      <c r="CV241" s="7"/>
      <c r="CY241" s="7"/>
      <c r="CZ241" s="7"/>
      <c r="DC241" s="7"/>
      <c r="DD241" s="7"/>
      <c r="DG241" s="7"/>
      <c r="DH241" s="7"/>
      <c r="DK241" s="7"/>
      <c r="DL241" s="7"/>
      <c r="DO241" s="7"/>
      <c r="DP241" s="7"/>
      <c r="DS241" s="7"/>
      <c r="DT241" s="7"/>
      <c r="DW241" s="7"/>
      <c r="DX241" s="7"/>
      <c r="EA241" s="7"/>
      <c r="EB241" s="7"/>
      <c r="EE241" s="7"/>
      <c r="EF241" s="7"/>
      <c r="EI241" s="7"/>
      <c r="EJ241" s="7"/>
      <c r="EM241" s="7"/>
      <c r="EN241" s="7"/>
      <c r="EQ241" s="7"/>
      <c r="ER241" s="7"/>
      <c r="EU241" s="7"/>
      <c r="EV241" s="7"/>
      <c r="EY241" s="7"/>
      <c r="EZ241" s="7"/>
      <c r="FC241" s="7"/>
      <c r="FD241" s="7"/>
      <c r="FG241" s="7"/>
      <c r="FH241" s="7"/>
      <c r="FK241" s="7"/>
      <c r="FL241" s="7"/>
      <c r="FO241" s="7"/>
      <c r="FP241" s="7"/>
      <c r="FS241" s="7"/>
      <c r="FT241" s="7"/>
      <c r="FW241" s="7"/>
      <c r="FX241" s="7"/>
      <c r="GA241" s="7"/>
      <c r="GB241" s="7"/>
      <c r="GE241" s="7"/>
      <c r="GF241" s="7"/>
      <c r="GI241" s="7"/>
      <c r="GJ241" s="7"/>
      <c r="GM241" s="7"/>
      <c r="GN241" s="7"/>
      <c r="GQ241" s="7"/>
      <c r="GR241" s="7"/>
      <c r="GU241" s="7"/>
      <c r="GV241" s="7"/>
      <c r="GY241" s="7"/>
      <c r="GZ241" s="7"/>
      <c r="HC241" s="7"/>
      <c r="HD241" s="7"/>
      <c r="HG241" s="7"/>
      <c r="HH241" s="7"/>
      <c r="HK241" s="7"/>
      <c r="HL241" s="7"/>
      <c r="HO241" s="7"/>
      <c r="HP241" s="7"/>
    </row>
    <row r="242" spans="3:224" x14ac:dyDescent="0.3">
      <c r="C242" s="7"/>
      <c r="D242" s="7"/>
      <c r="G242" s="7"/>
      <c r="H242" s="7"/>
      <c r="K242" s="7"/>
      <c r="L242" s="7"/>
      <c r="O242" s="7"/>
      <c r="P242" s="7"/>
      <c r="S242" s="7"/>
      <c r="T242" s="7"/>
      <c r="W242" s="7"/>
      <c r="X242" s="7"/>
      <c r="AA242" s="7"/>
      <c r="AB242" s="7"/>
      <c r="AE242" s="7"/>
      <c r="AF242" s="7"/>
      <c r="AI242" s="7"/>
      <c r="AJ242" s="7"/>
      <c r="AM242" s="7"/>
      <c r="AN242" s="7"/>
      <c r="AQ242" s="7"/>
      <c r="AR242" s="7"/>
      <c r="AU242" s="7"/>
      <c r="AV242" s="7"/>
      <c r="AY242" s="7"/>
      <c r="AZ242" s="7"/>
      <c r="BC242" s="7"/>
      <c r="BD242" s="7"/>
      <c r="BG242" s="7"/>
      <c r="BH242" s="7"/>
      <c r="BK242" s="7"/>
      <c r="BL242" s="7"/>
      <c r="BO242" s="7"/>
      <c r="BP242" s="7"/>
      <c r="BS242" s="7"/>
      <c r="BT242" s="7"/>
      <c r="BW242" s="7"/>
      <c r="BX242" s="7"/>
      <c r="CA242" s="7"/>
      <c r="CB242" s="7"/>
      <c r="CE242" s="7"/>
      <c r="CF242" s="7"/>
      <c r="CI242" s="7"/>
      <c r="CJ242" s="7"/>
      <c r="CM242" s="7"/>
      <c r="CN242" s="7"/>
      <c r="CQ242" s="7"/>
      <c r="CR242" s="7"/>
      <c r="CU242" s="7"/>
      <c r="CV242" s="7"/>
      <c r="CY242" s="7"/>
      <c r="CZ242" s="7"/>
      <c r="DC242" s="7"/>
      <c r="DD242" s="7"/>
      <c r="DG242" s="7"/>
      <c r="DH242" s="7"/>
      <c r="DK242" s="7"/>
      <c r="DL242" s="7"/>
      <c r="DO242" s="7"/>
      <c r="DP242" s="7"/>
      <c r="DS242" s="7"/>
      <c r="DT242" s="7"/>
      <c r="DW242" s="7"/>
      <c r="DX242" s="7"/>
      <c r="EA242" s="7"/>
      <c r="EB242" s="7"/>
      <c r="EE242" s="7"/>
      <c r="EF242" s="7"/>
      <c r="EI242" s="7"/>
      <c r="EJ242" s="7"/>
      <c r="EM242" s="7"/>
      <c r="EN242" s="7"/>
      <c r="EQ242" s="7"/>
      <c r="ER242" s="7"/>
      <c r="EU242" s="7"/>
      <c r="EV242" s="7"/>
      <c r="EY242" s="7"/>
      <c r="EZ242" s="7"/>
      <c r="FC242" s="7"/>
      <c r="FD242" s="7"/>
      <c r="FG242" s="7"/>
      <c r="FH242" s="7"/>
      <c r="FK242" s="7"/>
      <c r="FL242" s="7"/>
      <c r="FO242" s="7"/>
      <c r="FP242" s="7"/>
      <c r="FS242" s="7"/>
      <c r="FT242" s="7"/>
      <c r="FW242" s="7"/>
      <c r="FX242" s="7"/>
      <c r="GA242" s="7"/>
      <c r="GB242" s="7"/>
      <c r="GE242" s="7"/>
      <c r="GF242" s="7"/>
      <c r="GI242" s="7"/>
      <c r="GJ242" s="7"/>
      <c r="GM242" s="7"/>
      <c r="GN242" s="7"/>
      <c r="GQ242" s="7"/>
      <c r="GR242" s="7"/>
      <c r="GU242" s="7"/>
      <c r="GV242" s="7"/>
      <c r="GY242" s="7"/>
      <c r="GZ242" s="7"/>
      <c r="HC242" s="7"/>
      <c r="HD242" s="7"/>
      <c r="HG242" s="7"/>
      <c r="HH242" s="7"/>
      <c r="HK242" s="7"/>
      <c r="HL242" s="7"/>
      <c r="HO242" s="7"/>
      <c r="HP242" s="7"/>
    </row>
    <row r="243" spans="3:224" x14ac:dyDescent="0.3">
      <c r="C243" s="7"/>
      <c r="D243" s="7"/>
      <c r="G243" s="7"/>
      <c r="H243" s="7"/>
      <c r="K243" s="7"/>
      <c r="L243" s="7"/>
      <c r="O243" s="7"/>
      <c r="P243" s="7"/>
      <c r="S243" s="7"/>
      <c r="T243" s="7"/>
      <c r="W243" s="7"/>
      <c r="X243" s="7"/>
      <c r="AA243" s="7"/>
      <c r="AB243" s="7"/>
      <c r="AE243" s="7"/>
      <c r="AF243" s="7"/>
      <c r="AI243" s="7"/>
      <c r="AJ243" s="7"/>
      <c r="AM243" s="7"/>
      <c r="AN243" s="7"/>
      <c r="AQ243" s="7"/>
      <c r="AR243" s="7"/>
      <c r="AU243" s="7"/>
      <c r="AV243" s="7"/>
      <c r="AY243" s="7"/>
      <c r="AZ243" s="7"/>
      <c r="BC243" s="7"/>
      <c r="BD243" s="7"/>
      <c r="BG243" s="7"/>
      <c r="BH243" s="7"/>
      <c r="BK243" s="7"/>
      <c r="BL243" s="7"/>
      <c r="BO243" s="7"/>
      <c r="BP243" s="7"/>
      <c r="BS243" s="7"/>
      <c r="BT243" s="7"/>
      <c r="BW243" s="7"/>
      <c r="BX243" s="7"/>
      <c r="CA243" s="7"/>
      <c r="CB243" s="7"/>
      <c r="CE243" s="7"/>
      <c r="CF243" s="7"/>
      <c r="CI243" s="7"/>
      <c r="CJ243" s="7"/>
      <c r="CM243" s="7"/>
      <c r="CN243" s="7"/>
      <c r="CQ243" s="7"/>
      <c r="CR243" s="7"/>
      <c r="CU243" s="7"/>
      <c r="CV243" s="7"/>
      <c r="CY243" s="7"/>
      <c r="CZ243" s="7"/>
      <c r="DC243" s="7"/>
      <c r="DD243" s="7"/>
      <c r="DG243" s="7"/>
      <c r="DH243" s="7"/>
      <c r="DK243" s="7"/>
      <c r="DL243" s="7"/>
      <c r="DO243" s="7"/>
      <c r="DP243" s="7"/>
      <c r="DS243" s="7"/>
      <c r="DT243" s="7"/>
      <c r="DW243" s="7"/>
      <c r="DX243" s="7"/>
      <c r="EA243" s="7"/>
      <c r="EB243" s="7"/>
      <c r="EE243" s="7"/>
      <c r="EF243" s="7"/>
      <c r="EI243" s="7"/>
      <c r="EJ243" s="7"/>
      <c r="EM243" s="7"/>
      <c r="EN243" s="7"/>
      <c r="EQ243" s="7"/>
      <c r="ER243" s="7"/>
      <c r="EU243" s="7"/>
      <c r="EV243" s="7"/>
      <c r="EY243" s="7"/>
      <c r="EZ243" s="7"/>
      <c r="FC243" s="7"/>
      <c r="FD243" s="7"/>
      <c r="FG243" s="7"/>
      <c r="FH243" s="7"/>
      <c r="FK243" s="7"/>
      <c r="FL243" s="7"/>
      <c r="FO243" s="7"/>
      <c r="FP243" s="7"/>
      <c r="FS243" s="7"/>
      <c r="FT243" s="7"/>
      <c r="FW243" s="7"/>
      <c r="FX243" s="7"/>
      <c r="GA243" s="7"/>
      <c r="GB243" s="7"/>
      <c r="GE243" s="7"/>
      <c r="GF243" s="7"/>
      <c r="GI243" s="7"/>
      <c r="GJ243" s="7"/>
      <c r="GM243" s="7"/>
      <c r="GN243" s="7"/>
      <c r="GQ243" s="7"/>
      <c r="GR243" s="7"/>
      <c r="GU243" s="7"/>
      <c r="GV243" s="7"/>
      <c r="GY243" s="7"/>
      <c r="GZ243" s="7"/>
      <c r="HC243" s="7"/>
      <c r="HD243" s="7"/>
      <c r="HG243" s="7"/>
      <c r="HH243" s="7"/>
      <c r="HK243" s="7"/>
      <c r="HL243" s="7"/>
      <c r="HO243" s="7"/>
      <c r="HP243" s="7"/>
    </row>
    <row r="244" spans="3:224" x14ac:dyDescent="0.3">
      <c r="C244" s="7"/>
      <c r="D244" s="7"/>
      <c r="G244" s="7"/>
      <c r="H244" s="7"/>
      <c r="K244" s="7"/>
      <c r="L244" s="7"/>
      <c r="O244" s="7"/>
      <c r="P244" s="7"/>
      <c r="S244" s="7"/>
      <c r="T244" s="7"/>
      <c r="W244" s="7"/>
      <c r="X244" s="7"/>
      <c r="AA244" s="7"/>
      <c r="AB244" s="7"/>
      <c r="AE244" s="7"/>
      <c r="AF244" s="7"/>
      <c r="AI244" s="7"/>
      <c r="AJ244" s="7"/>
      <c r="AM244" s="7"/>
      <c r="AN244" s="7"/>
      <c r="AQ244" s="7"/>
      <c r="AR244" s="7"/>
      <c r="AU244" s="7"/>
      <c r="AV244" s="7"/>
      <c r="AY244" s="7"/>
      <c r="AZ244" s="7"/>
      <c r="BC244" s="7"/>
      <c r="BD244" s="7"/>
      <c r="BG244" s="7"/>
      <c r="BH244" s="7"/>
      <c r="BK244" s="7"/>
      <c r="BL244" s="7"/>
      <c r="BO244" s="7"/>
      <c r="BP244" s="7"/>
      <c r="BS244" s="7"/>
      <c r="BT244" s="7"/>
      <c r="BW244" s="7"/>
      <c r="BX244" s="7"/>
      <c r="CA244" s="7"/>
      <c r="CB244" s="7"/>
      <c r="CE244" s="7"/>
      <c r="CF244" s="7"/>
      <c r="CI244" s="7"/>
      <c r="CJ244" s="7"/>
      <c r="CM244" s="7"/>
      <c r="CN244" s="7"/>
      <c r="CQ244" s="7"/>
      <c r="CR244" s="7"/>
      <c r="CU244" s="7"/>
      <c r="CV244" s="7"/>
      <c r="CY244" s="7"/>
      <c r="CZ244" s="7"/>
      <c r="DC244" s="7"/>
      <c r="DD244" s="7"/>
      <c r="DG244" s="7"/>
      <c r="DH244" s="7"/>
      <c r="DK244" s="7"/>
      <c r="DL244" s="7"/>
      <c r="DO244" s="7"/>
      <c r="DP244" s="7"/>
      <c r="DS244" s="7"/>
      <c r="DT244" s="7"/>
      <c r="DW244" s="7"/>
      <c r="DX244" s="7"/>
      <c r="EA244" s="7"/>
      <c r="EB244" s="7"/>
      <c r="EE244" s="7"/>
      <c r="EF244" s="7"/>
      <c r="EI244" s="7"/>
      <c r="EJ244" s="7"/>
      <c r="EM244" s="7"/>
      <c r="EN244" s="7"/>
      <c r="EQ244" s="7"/>
      <c r="ER244" s="7"/>
      <c r="EU244" s="7"/>
      <c r="EV244" s="7"/>
      <c r="EY244" s="7"/>
      <c r="EZ244" s="7"/>
      <c r="FC244" s="7"/>
      <c r="FD244" s="7"/>
      <c r="FG244" s="7"/>
      <c r="FH244" s="7"/>
      <c r="FK244" s="7"/>
      <c r="FL244" s="7"/>
      <c r="FO244" s="7"/>
      <c r="FP244" s="7"/>
      <c r="FS244" s="7"/>
      <c r="FT244" s="7"/>
      <c r="FW244" s="7"/>
      <c r="FX244" s="7"/>
      <c r="GA244" s="7"/>
      <c r="GB244" s="7"/>
      <c r="GE244" s="7"/>
      <c r="GF244" s="7"/>
      <c r="GI244" s="7"/>
      <c r="GJ244" s="7"/>
      <c r="GM244" s="7"/>
      <c r="GN244" s="7"/>
      <c r="GQ244" s="7"/>
      <c r="GR244" s="7"/>
      <c r="GU244" s="7"/>
      <c r="GV244" s="7"/>
      <c r="GY244" s="7"/>
      <c r="GZ244" s="7"/>
      <c r="HC244" s="7"/>
      <c r="HD244" s="7"/>
      <c r="HG244" s="7"/>
      <c r="HH244" s="7"/>
      <c r="HK244" s="7"/>
      <c r="HL244" s="7"/>
      <c r="HO244" s="7"/>
      <c r="HP244" s="7"/>
    </row>
    <row r="245" spans="3:224" x14ac:dyDescent="0.3">
      <c r="C245" s="7"/>
      <c r="D245" s="7"/>
      <c r="G245" s="7"/>
      <c r="H245" s="7"/>
      <c r="K245" s="7"/>
      <c r="L245" s="7"/>
      <c r="O245" s="7"/>
      <c r="P245" s="7"/>
      <c r="S245" s="7"/>
      <c r="T245" s="7"/>
      <c r="W245" s="7"/>
      <c r="X245" s="7"/>
      <c r="AA245" s="7"/>
      <c r="AB245" s="7"/>
      <c r="AE245" s="7"/>
      <c r="AF245" s="7"/>
      <c r="AI245" s="7"/>
      <c r="AJ245" s="7"/>
      <c r="AM245" s="7"/>
      <c r="AN245" s="7"/>
      <c r="AQ245" s="7"/>
      <c r="AR245" s="7"/>
      <c r="AU245" s="7"/>
      <c r="AV245" s="7"/>
      <c r="AY245" s="7"/>
      <c r="AZ245" s="7"/>
      <c r="BC245" s="7"/>
      <c r="BD245" s="7"/>
      <c r="BG245" s="7"/>
      <c r="BH245" s="7"/>
      <c r="BK245" s="7"/>
      <c r="BL245" s="7"/>
      <c r="BO245" s="7"/>
      <c r="BP245" s="7"/>
      <c r="BS245" s="7"/>
      <c r="BT245" s="7"/>
      <c r="BW245" s="7"/>
      <c r="BX245" s="7"/>
      <c r="CA245" s="7"/>
      <c r="CB245" s="7"/>
      <c r="CE245" s="7"/>
      <c r="CF245" s="7"/>
      <c r="CI245" s="7"/>
      <c r="CJ245" s="7"/>
      <c r="CM245" s="7"/>
      <c r="CN245" s="7"/>
      <c r="CQ245" s="7"/>
      <c r="CR245" s="7"/>
      <c r="CU245" s="7"/>
      <c r="CV245" s="7"/>
      <c r="CY245" s="7"/>
      <c r="CZ245" s="7"/>
      <c r="DC245" s="7"/>
      <c r="DD245" s="7"/>
      <c r="DG245" s="7"/>
      <c r="DH245" s="7"/>
      <c r="DK245" s="7"/>
      <c r="DL245" s="7"/>
      <c r="DO245" s="7"/>
      <c r="DP245" s="7"/>
      <c r="DS245" s="7"/>
      <c r="DT245" s="7"/>
      <c r="DW245" s="7"/>
      <c r="DX245" s="7"/>
      <c r="EA245" s="7"/>
      <c r="EB245" s="7"/>
      <c r="EE245" s="7"/>
      <c r="EF245" s="7"/>
      <c r="EI245" s="7"/>
      <c r="EJ245" s="7"/>
      <c r="EM245" s="7"/>
      <c r="EN245" s="7"/>
      <c r="EQ245" s="7"/>
      <c r="ER245" s="7"/>
      <c r="EU245" s="7"/>
      <c r="EV245" s="7"/>
      <c r="EY245" s="7"/>
      <c r="EZ245" s="7"/>
      <c r="FC245" s="7"/>
      <c r="FD245" s="7"/>
      <c r="FG245" s="7"/>
      <c r="FH245" s="7"/>
      <c r="FK245" s="7"/>
      <c r="FL245" s="7"/>
      <c r="FO245" s="7"/>
      <c r="FP245" s="7"/>
      <c r="FS245" s="7"/>
      <c r="FT245" s="7"/>
      <c r="FW245" s="7"/>
      <c r="FX245" s="7"/>
      <c r="GA245" s="7"/>
      <c r="GB245" s="7"/>
      <c r="GE245" s="7"/>
      <c r="GF245" s="7"/>
      <c r="GI245" s="7"/>
      <c r="GJ245" s="7"/>
      <c r="GM245" s="7"/>
      <c r="GN245" s="7"/>
      <c r="GQ245" s="7"/>
      <c r="GR245" s="7"/>
      <c r="GU245" s="7"/>
      <c r="GV245" s="7"/>
      <c r="GY245" s="7"/>
      <c r="GZ245" s="7"/>
      <c r="HC245" s="7"/>
      <c r="HD245" s="7"/>
      <c r="HG245" s="7"/>
      <c r="HH245" s="7"/>
      <c r="HK245" s="7"/>
      <c r="HL245" s="7"/>
      <c r="HO245" s="7"/>
      <c r="HP245" s="7"/>
    </row>
    <row r="246" spans="3:224" x14ac:dyDescent="0.3">
      <c r="C246" s="7"/>
      <c r="D246" s="7"/>
      <c r="G246" s="7"/>
      <c r="H246" s="7"/>
      <c r="K246" s="7"/>
      <c r="L246" s="7"/>
      <c r="O246" s="7"/>
      <c r="P246" s="7"/>
      <c r="S246" s="7"/>
      <c r="T246" s="7"/>
      <c r="W246" s="7"/>
      <c r="X246" s="7"/>
      <c r="AA246" s="7"/>
      <c r="AB246" s="7"/>
      <c r="AE246" s="7"/>
      <c r="AF246" s="7"/>
      <c r="AI246" s="7"/>
      <c r="AJ246" s="7"/>
      <c r="AM246" s="7"/>
      <c r="AN246" s="7"/>
      <c r="AQ246" s="7"/>
      <c r="AR246" s="7"/>
      <c r="AU246" s="7"/>
      <c r="AV246" s="7"/>
      <c r="AY246" s="7"/>
      <c r="AZ246" s="7"/>
      <c r="BC246" s="7"/>
      <c r="BD246" s="7"/>
      <c r="BG246" s="7"/>
      <c r="BH246" s="7"/>
      <c r="BK246" s="7"/>
      <c r="BL246" s="7"/>
      <c r="BO246" s="7"/>
      <c r="BP246" s="7"/>
      <c r="BS246" s="7"/>
      <c r="BT246" s="7"/>
      <c r="BW246" s="7"/>
      <c r="BX246" s="7"/>
      <c r="CA246" s="7"/>
      <c r="CB246" s="7"/>
      <c r="CE246" s="7"/>
      <c r="CF246" s="7"/>
      <c r="CI246" s="7"/>
      <c r="CJ246" s="7"/>
      <c r="CM246" s="7"/>
      <c r="CN246" s="7"/>
      <c r="CQ246" s="7"/>
      <c r="CR246" s="7"/>
      <c r="CU246" s="7"/>
      <c r="CV246" s="7"/>
      <c r="CY246" s="7"/>
      <c r="CZ246" s="7"/>
      <c r="DC246" s="7"/>
      <c r="DD246" s="7"/>
      <c r="DG246" s="7"/>
      <c r="DH246" s="7"/>
      <c r="DK246" s="7"/>
      <c r="DL246" s="7"/>
      <c r="DO246" s="7"/>
      <c r="DP246" s="7"/>
      <c r="DS246" s="7"/>
      <c r="DT246" s="7"/>
      <c r="DW246" s="7"/>
      <c r="DX246" s="7"/>
      <c r="EA246" s="7"/>
      <c r="EB246" s="7"/>
      <c r="EE246" s="7"/>
      <c r="EF246" s="7"/>
      <c r="EI246" s="7"/>
      <c r="EJ246" s="7"/>
      <c r="EM246" s="7"/>
      <c r="EN246" s="7"/>
      <c r="EQ246" s="7"/>
      <c r="ER246" s="7"/>
      <c r="EU246" s="7"/>
      <c r="EV246" s="7"/>
      <c r="EY246" s="7"/>
      <c r="EZ246" s="7"/>
      <c r="FC246" s="7"/>
      <c r="FD246" s="7"/>
      <c r="FG246" s="7"/>
      <c r="FH246" s="7"/>
      <c r="FK246" s="7"/>
      <c r="FL246" s="7"/>
      <c r="FO246" s="7"/>
      <c r="FP246" s="7"/>
      <c r="FS246" s="7"/>
      <c r="FT246" s="7"/>
      <c r="FW246" s="7"/>
      <c r="FX246" s="7"/>
      <c r="GA246" s="7"/>
      <c r="GB246" s="7"/>
      <c r="GE246" s="7"/>
      <c r="GF246" s="7"/>
      <c r="GI246" s="7"/>
      <c r="GJ246" s="7"/>
      <c r="GM246" s="7"/>
      <c r="GN246" s="7"/>
      <c r="GQ246" s="7"/>
      <c r="GR246" s="7"/>
      <c r="GU246" s="7"/>
      <c r="GV246" s="7"/>
      <c r="GY246" s="7"/>
      <c r="GZ246" s="7"/>
      <c r="HC246" s="7"/>
      <c r="HD246" s="7"/>
      <c r="HG246" s="7"/>
      <c r="HH246" s="7"/>
      <c r="HK246" s="7"/>
      <c r="HL246" s="7"/>
      <c r="HO246" s="7"/>
      <c r="HP246" s="7"/>
    </row>
    <row r="247" spans="3:224" x14ac:dyDescent="0.3">
      <c r="C247" s="7"/>
      <c r="D247" s="7"/>
      <c r="G247" s="7"/>
      <c r="H247" s="7"/>
      <c r="K247" s="7"/>
      <c r="L247" s="7"/>
      <c r="O247" s="7"/>
      <c r="P247" s="7"/>
      <c r="S247" s="7"/>
      <c r="T247" s="7"/>
      <c r="W247" s="7"/>
      <c r="X247" s="7"/>
      <c r="AA247" s="7"/>
      <c r="AB247" s="7"/>
      <c r="AE247" s="7"/>
      <c r="AF247" s="7"/>
      <c r="AI247" s="7"/>
      <c r="AJ247" s="7"/>
      <c r="AM247" s="7"/>
      <c r="AN247" s="7"/>
      <c r="AQ247" s="7"/>
      <c r="AR247" s="7"/>
      <c r="AU247" s="7"/>
      <c r="AV247" s="7"/>
      <c r="AY247" s="7"/>
      <c r="AZ247" s="7"/>
      <c r="BC247" s="7"/>
      <c r="BD247" s="7"/>
      <c r="BG247" s="7"/>
      <c r="BH247" s="7"/>
      <c r="BK247" s="7"/>
      <c r="BL247" s="7"/>
      <c r="BO247" s="7"/>
      <c r="BP247" s="7"/>
      <c r="BS247" s="7"/>
      <c r="BT247" s="7"/>
      <c r="BW247" s="7"/>
      <c r="BX247" s="7"/>
      <c r="CA247" s="7"/>
      <c r="CB247" s="7"/>
      <c r="CE247" s="7"/>
      <c r="CF247" s="7"/>
      <c r="CI247" s="7"/>
      <c r="CJ247" s="7"/>
      <c r="CM247" s="7"/>
      <c r="CN247" s="7"/>
      <c r="CQ247" s="7"/>
      <c r="CR247" s="7"/>
      <c r="CU247" s="7"/>
      <c r="CV247" s="7"/>
      <c r="CY247" s="7"/>
      <c r="CZ247" s="7"/>
      <c r="DC247" s="7"/>
      <c r="DD247" s="7"/>
      <c r="DG247" s="7"/>
      <c r="DH247" s="7"/>
      <c r="DK247" s="7"/>
      <c r="DL247" s="7"/>
      <c r="DO247" s="7"/>
      <c r="DP247" s="7"/>
      <c r="DS247" s="7"/>
      <c r="DT247" s="7"/>
      <c r="DW247" s="7"/>
      <c r="DX247" s="7"/>
      <c r="EA247" s="7"/>
      <c r="EB247" s="7"/>
      <c r="EE247" s="7"/>
      <c r="EF247" s="7"/>
      <c r="EI247" s="7"/>
      <c r="EJ247" s="7"/>
      <c r="EM247" s="7"/>
      <c r="EN247" s="7"/>
      <c r="EQ247" s="7"/>
      <c r="ER247" s="7"/>
      <c r="EU247" s="7"/>
      <c r="EV247" s="7"/>
      <c r="EY247" s="7"/>
      <c r="EZ247" s="7"/>
      <c r="FC247" s="7"/>
      <c r="FD247" s="7"/>
      <c r="FG247" s="7"/>
      <c r="FH247" s="7"/>
      <c r="FK247" s="7"/>
      <c r="FL247" s="7"/>
      <c r="FO247" s="7"/>
      <c r="FP247" s="7"/>
      <c r="FS247" s="7"/>
      <c r="FT247" s="7"/>
      <c r="FW247" s="7"/>
      <c r="FX247" s="7"/>
      <c r="GA247" s="7"/>
      <c r="GB247" s="7"/>
      <c r="GE247" s="7"/>
      <c r="GF247" s="7"/>
      <c r="GI247" s="7"/>
      <c r="GJ247" s="7"/>
      <c r="GM247" s="7"/>
      <c r="GN247" s="7"/>
      <c r="GQ247" s="7"/>
      <c r="GR247" s="7"/>
      <c r="GU247" s="7"/>
      <c r="GV247" s="7"/>
      <c r="GY247" s="7"/>
      <c r="GZ247" s="7"/>
      <c r="HC247" s="7"/>
      <c r="HD247" s="7"/>
      <c r="HG247" s="7"/>
      <c r="HH247" s="7"/>
      <c r="HK247" s="7"/>
      <c r="HL247" s="7"/>
      <c r="HO247" s="7"/>
      <c r="HP247" s="7"/>
    </row>
    <row r="248" spans="3:224" x14ac:dyDescent="0.3">
      <c r="C248" s="7"/>
      <c r="D248" s="7"/>
      <c r="G248" s="7"/>
      <c r="H248" s="7"/>
      <c r="K248" s="7"/>
      <c r="L248" s="7"/>
      <c r="O248" s="7"/>
      <c r="P248" s="7"/>
      <c r="S248" s="7"/>
      <c r="T248" s="7"/>
      <c r="W248" s="7"/>
      <c r="X248" s="7"/>
      <c r="AA248" s="7"/>
      <c r="AB248" s="7"/>
      <c r="AE248" s="7"/>
      <c r="AF248" s="7"/>
      <c r="AI248" s="7"/>
      <c r="AJ248" s="7"/>
      <c r="AM248" s="7"/>
      <c r="AN248" s="7"/>
      <c r="AQ248" s="7"/>
      <c r="AR248" s="7"/>
      <c r="AU248" s="7"/>
      <c r="AV248" s="7"/>
      <c r="AY248" s="7"/>
      <c r="AZ248" s="7"/>
      <c r="BC248" s="7"/>
      <c r="BD248" s="7"/>
      <c r="BG248" s="7"/>
      <c r="BH248" s="7"/>
      <c r="BK248" s="7"/>
      <c r="BL248" s="7"/>
      <c r="BO248" s="7"/>
      <c r="BP248" s="7"/>
      <c r="BS248" s="7"/>
      <c r="BT248" s="7"/>
      <c r="BW248" s="7"/>
      <c r="BX248" s="7"/>
      <c r="CA248" s="7"/>
      <c r="CB248" s="7"/>
      <c r="CE248" s="7"/>
      <c r="CF248" s="7"/>
      <c r="CI248" s="7"/>
      <c r="CJ248" s="7"/>
      <c r="CM248" s="7"/>
      <c r="CN248" s="7"/>
      <c r="CQ248" s="7"/>
      <c r="CR248" s="7"/>
      <c r="CU248" s="7"/>
      <c r="CV248" s="7"/>
      <c r="CY248" s="7"/>
      <c r="CZ248" s="7"/>
      <c r="DC248" s="7"/>
      <c r="DD248" s="7"/>
      <c r="DG248" s="7"/>
      <c r="DH248" s="7"/>
      <c r="DK248" s="7"/>
      <c r="DL248" s="7"/>
      <c r="DO248" s="7"/>
      <c r="DP248" s="7"/>
      <c r="DS248" s="7"/>
      <c r="DT248" s="7"/>
      <c r="DW248" s="7"/>
      <c r="DX248" s="7"/>
      <c r="EA248" s="7"/>
      <c r="EB248" s="7"/>
      <c r="EE248" s="7"/>
      <c r="EF248" s="7"/>
      <c r="EI248" s="7"/>
      <c r="EJ248" s="7"/>
      <c r="EM248" s="7"/>
      <c r="EN248" s="7"/>
      <c r="EQ248" s="7"/>
      <c r="ER248" s="7"/>
      <c r="EU248" s="7"/>
      <c r="EV248" s="7"/>
      <c r="EY248" s="7"/>
      <c r="EZ248" s="7"/>
      <c r="FC248" s="7"/>
      <c r="FD248" s="7"/>
      <c r="FG248" s="7"/>
      <c r="FH248" s="7"/>
      <c r="FK248" s="7"/>
      <c r="FL248" s="7"/>
      <c r="FO248" s="7"/>
      <c r="FP248" s="7"/>
      <c r="FS248" s="7"/>
      <c r="FT248" s="7"/>
      <c r="FW248" s="7"/>
      <c r="FX248" s="7"/>
      <c r="GA248" s="7"/>
      <c r="GB248" s="7"/>
      <c r="GE248" s="7"/>
      <c r="GF248" s="7"/>
      <c r="GI248" s="7"/>
      <c r="GJ248" s="7"/>
      <c r="GM248" s="7"/>
      <c r="GN248" s="7"/>
      <c r="GQ248" s="7"/>
      <c r="GR248" s="7"/>
      <c r="GU248" s="7"/>
      <c r="GV248" s="7"/>
      <c r="GY248" s="7"/>
      <c r="GZ248" s="7"/>
      <c r="HC248" s="7"/>
      <c r="HD248" s="7"/>
      <c r="HG248" s="7"/>
      <c r="HH248" s="7"/>
      <c r="HK248" s="7"/>
      <c r="HL248" s="7"/>
      <c r="HO248" s="7"/>
      <c r="HP248" s="7"/>
    </row>
    <row r="249" spans="3:224" x14ac:dyDescent="0.3">
      <c r="C249" s="7"/>
      <c r="D249" s="7"/>
      <c r="G249" s="7"/>
      <c r="H249" s="7"/>
      <c r="K249" s="7"/>
      <c r="L249" s="7"/>
      <c r="O249" s="7"/>
      <c r="P249" s="7"/>
      <c r="S249" s="7"/>
      <c r="T249" s="7"/>
      <c r="W249" s="7"/>
      <c r="X249" s="7"/>
      <c r="AA249" s="7"/>
      <c r="AB249" s="7"/>
      <c r="AE249" s="7"/>
      <c r="AF249" s="7"/>
      <c r="AI249" s="7"/>
      <c r="AJ249" s="7"/>
      <c r="AM249" s="7"/>
      <c r="AN249" s="7"/>
      <c r="AQ249" s="7"/>
      <c r="AR249" s="7"/>
      <c r="AU249" s="7"/>
      <c r="AV249" s="7"/>
      <c r="AY249" s="7"/>
      <c r="AZ249" s="7"/>
      <c r="BC249" s="7"/>
      <c r="BD249" s="7"/>
      <c r="BG249" s="7"/>
      <c r="BH249" s="7"/>
      <c r="BK249" s="7"/>
      <c r="BL249" s="7"/>
      <c r="BO249" s="7"/>
      <c r="BP249" s="7"/>
      <c r="BS249" s="7"/>
      <c r="BT249" s="7"/>
      <c r="BW249" s="7"/>
      <c r="BX249" s="7"/>
      <c r="CA249" s="7"/>
      <c r="CB249" s="7"/>
      <c r="CE249" s="7"/>
      <c r="CF249" s="7"/>
      <c r="CI249" s="7"/>
      <c r="CJ249" s="7"/>
      <c r="CM249" s="7"/>
      <c r="CN249" s="7"/>
      <c r="CQ249" s="7"/>
      <c r="CR249" s="7"/>
      <c r="CU249" s="7"/>
      <c r="CV249" s="7"/>
      <c r="CY249" s="7"/>
      <c r="CZ249" s="7"/>
      <c r="DC249" s="7"/>
      <c r="DD249" s="7"/>
      <c r="DG249" s="7"/>
      <c r="DH249" s="7"/>
      <c r="DK249" s="7"/>
      <c r="DL249" s="7"/>
      <c r="DO249" s="7"/>
      <c r="DP249" s="7"/>
      <c r="DS249" s="7"/>
      <c r="DT249" s="7"/>
      <c r="DW249" s="7"/>
      <c r="DX249" s="7"/>
      <c r="EA249" s="7"/>
      <c r="EB249" s="7"/>
      <c r="EE249" s="7"/>
      <c r="EF249" s="7"/>
      <c r="EI249" s="7"/>
      <c r="EJ249" s="7"/>
      <c r="EM249" s="7"/>
      <c r="EN249" s="7"/>
      <c r="EQ249" s="7"/>
      <c r="ER249" s="7"/>
      <c r="EU249" s="7"/>
      <c r="EV249" s="7"/>
      <c r="EY249" s="7"/>
      <c r="EZ249" s="7"/>
      <c r="FC249" s="7"/>
      <c r="FD249" s="7"/>
      <c r="FG249" s="7"/>
      <c r="FH249" s="7"/>
      <c r="FK249" s="7"/>
      <c r="FL249" s="7"/>
      <c r="FO249" s="7"/>
      <c r="FP249" s="7"/>
      <c r="FS249" s="7"/>
      <c r="FT249" s="7"/>
      <c r="FW249" s="7"/>
      <c r="FX249" s="7"/>
      <c r="GA249" s="7"/>
      <c r="GB249" s="7"/>
      <c r="GE249" s="7"/>
      <c r="GF249" s="7"/>
      <c r="GI249" s="7"/>
      <c r="GJ249" s="7"/>
      <c r="GM249" s="7"/>
      <c r="GN249" s="7"/>
      <c r="GQ249" s="7"/>
      <c r="GR249" s="7"/>
      <c r="GU249" s="7"/>
      <c r="GV249" s="7"/>
      <c r="GY249" s="7"/>
      <c r="GZ249" s="7"/>
      <c r="HC249" s="7"/>
      <c r="HD249" s="7"/>
      <c r="HG249" s="7"/>
      <c r="HH249" s="7"/>
      <c r="HK249" s="7"/>
      <c r="HL249" s="7"/>
      <c r="HO249" s="7"/>
      <c r="HP249" s="7"/>
    </row>
    <row r="250" spans="3:224" x14ac:dyDescent="0.3">
      <c r="C250" s="7"/>
      <c r="D250" s="7"/>
      <c r="G250" s="7"/>
      <c r="H250" s="7"/>
      <c r="K250" s="7"/>
      <c r="L250" s="7"/>
      <c r="O250" s="7"/>
      <c r="P250" s="7"/>
      <c r="S250" s="7"/>
      <c r="T250" s="7"/>
      <c r="W250" s="7"/>
      <c r="X250" s="7"/>
      <c r="AA250" s="7"/>
      <c r="AB250" s="7"/>
      <c r="AE250" s="7"/>
      <c r="AF250" s="7"/>
      <c r="AI250" s="7"/>
      <c r="AJ250" s="7"/>
      <c r="AM250" s="7"/>
      <c r="AN250" s="7"/>
      <c r="AQ250" s="7"/>
      <c r="AR250" s="7"/>
      <c r="AU250" s="7"/>
      <c r="AV250" s="7"/>
      <c r="AY250" s="7"/>
      <c r="AZ250" s="7"/>
      <c r="BC250" s="7"/>
      <c r="BD250" s="7"/>
      <c r="BG250" s="7"/>
      <c r="BH250" s="7"/>
      <c r="BK250" s="7"/>
      <c r="BL250" s="7"/>
      <c r="BO250" s="7"/>
      <c r="BP250" s="7"/>
      <c r="BS250" s="7"/>
      <c r="BT250" s="7"/>
      <c r="BW250" s="7"/>
      <c r="BX250" s="7"/>
      <c r="CA250" s="7"/>
      <c r="CB250" s="7"/>
      <c r="CE250" s="7"/>
      <c r="CF250" s="7"/>
      <c r="CI250" s="7"/>
      <c r="CJ250" s="7"/>
      <c r="CM250" s="7"/>
      <c r="CN250" s="7"/>
      <c r="CQ250" s="7"/>
      <c r="CR250" s="7"/>
      <c r="CU250" s="7"/>
      <c r="CV250" s="7"/>
      <c r="CY250" s="7"/>
      <c r="CZ250" s="7"/>
      <c r="DC250" s="7"/>
      <c r="DD250" s="7"/>
      <c r="DG250" s="7"/>
      <c r="DH250" s="7"/>
      <c r="DK250" s="7"/>
      <c r="DL250" s="7"/>
      <c r="DO250" s="7"/>
      <c r="DP250" s="7"/>
      <c r="DS250" s="7"/>
      <c r="DT250" s="7"/>
      <c r="DW250" s="7"/>
      <c r="DX250" s="7"/>
      <c r="EA250" s="7"/>
      <c r="EB250" s="7"/>
      <c r="EE250" s="7"/>
      <c r="EF250" s="7"/>
      <c r="EI250" s="7"/>
      <c r="EJ250" s="7"/>
      <c r="EM250" s="7"/>
      <c r="EN250" s="7"/>
      <c r="EQ250" s="7"/>
      <c r="ER250" s="7"/>
      <c r="EU250" s="7"/>
      <c r="EV250" s="7"/>
      <c r="EY250" s="7"/>
      <c r="EZ250" s="7"/>
      <c r="FC250" s="7"/>
      <c r="FD250" s="7"/>
      <c r="FG250" s="7"/>
      <c r="FH250" s="7"/>
      <c r="FK250" s="7"/>
      <c r="FL250" s="7"/>
      <c r="FO250" s="7"/>
      <c r="FP250" s="7"/>
      <c r="FS250" s="7"/>
      <c r="FT250" s="7"/>
      <c r="FW250" s="7"/>
      <c r="FX250" s="7"/>
      <c r="GA250" s="7"/>
      <c r="GB250" s="7"/>
      <c r="GE250" s="7"/>
      <c r="GF250" s="7"/>
      <c r="GI250" s="7"/>
      <c r="GJ250" s="7"/>
      <c r="GM250" s="7"/>
      <c r="GN250" s="7"/>
      <c r="GQ250" s="7"/>
      <c r="GR250" s="7"/>
      <c r="GU250" s="7"/>
      <c r="GV250" s="7"/>
      <c r="GY250" s="7"/>
      <c r="GZ250" s="7"/>
      <c r="HC250" s="7"/>
      <c r="HD250" s="7"/>
      <c r="HG250" s="7"/>
      <c r="HH250" s="7"/>
      <c r="HK250" s="7"/>
      <c r="HL250" s="7"/>
      <c r="HO250" s="7"/>
      <c r="HP250" s="7"/>
    </row>
    <row r="251" spans="3:224" x14ac:dyDescent="0.3">
      <c r="C251" s="7"/>
      <c r="D251" s="7"/>
      <c r="G251" s="7"/>
      <c r="H251" s="7"/>
      <c r="K251" s="7"/>
      <c r="L251" s="7"/>
      <c r="O251" s="7"/>
      <c r="P251" s="7"/>
      <c r="S251" s="7"/>
      <c r="T251" s="7"/>
      <c r="W251" s="7"/>
      <c r="X251" s="7"/>
      <c r="AA251" s="7"/>
      <c r="AB251" s="7"/>
      <c r="AE251" s="7"/>
      <c r="AF251" s="7"/>
      <c r="AI251" s="7"/>
      <c r="AJ251" s="7"/>
      <c r="AM251" s="7"/>
      <c r="AN251" s="7"/>
      <c r="AQ251" s="7"/>
      <c r="AR251" s="7"/>
      <c r="AU251" s="7"/>
      <c r="AV251" s="7"/>
      <c r="AY251" s="7"/>
      <c r="AZ251" s="7"/>
      <c r="BC251" s="7"/>
      <c r="BD251" s="7"/>
      <c r="BG251" s="7"/>
      <c r="BH251" s="7"/>
      <c r="BK251" s="7"/>
      <c r="BL251" s="7"/>
      <c r="BO251" s="7"/>
      <c r="BP251" s="7"/>
      <c r="BS251" s="7"/>
      <c r="BT251" s="7"/>
      <c r="BW251" s="7"/>
      <c r="BX251" s="7"/>
      <c r="CA251" s="7"/>
      <c r="CB251" s="7"/>
      <c r="CE251" s="7"/>
      <c r="CF251" s="7"/>
      <c r="CI251" s="7"/>
      <c r="CJ251" s="7"/>
      <c r="CM251" s="7"/>
      <c r="CN251" s="7"/>
      <c r="CQ251" s="7"/>
      <c r="CR251" s="7"/>
      <c r="CU251" s="7"/>
      <c r="CV251" s="7"/>
      <c r="CY251" s="7"/>
      <c r="CZ251" s="7"/>
      <c r="DC251" s="7"/>
      <c r="DD251" s="7"/>
      <c r="DG251" s="7"/>
      <c r="DH251" s="7"/>
      <c r="DK251" s="7"/>
      <c r="DL251" s="7"/>
      <c r="DO251" s="7"/>
      <c r="DP251" s="7"/>
      <c r="DS251" s="7"/>
      <c r="DT251" s="7"/>
      <c r="DW251" s="7"/>
      <c r="DX251" s="7"/>
      <c r="EA251" s="7"/>
      <c r="EB251" s="7"/>
      <c r="EE251" s="7"/>
      <c r="EF251" s="7"/>
      <c r="EI251" s="7"/>
      <c r="EJ251" s="7"/>
      <c r="EM251" s="7"/>
      <c r="EN251" s="7"/>
      <c r="EQ251" s="7"/>
      <c r="ER251" s="7"/>
      <c r="EU251" s="7"/>
      <c r="EV251" s="7"/>
      <c r="EY251" s="7"/>
      <c r="EZ251" s="7"/>
      <c r="FC251" s="7"/>
      <c r="FD251" s="7"/>
      <c r="FG251" s="7"/>
      <c r="FH251" s="7"/>
      <c r="FK251" s="7"/>
      <c r="FL251" s="7"/>
      <c r="FO251" s="7"/>
      <c r="FP251" s="7"/>
      <c r="FS251" s="7"/>
      <c r="FT251" s="7"/>
      <c r="FW251" s="7"/>
      <c r="FX251" s="7"/>
      <c r="GA251" s="7"/>
      <c r="GB251" s="7"/>
      <c r="GE251" s="7"/>
      <c r="GF251" s="7"/>
      <c r="GI251" s="7"/>
      <c r="GJ251" s="7"/>
      <c r="GM251" s="7"/>
      <c r="GN251" s="7"/>
      <c r="GQ251" s="7"/>
      <c r="GR251" s="7"/>
      <c r="GU251" s="7"/>
      <c r="GV251" s="7"/>
      <c r="GY251" s="7"/>
      <c r="GZ251" s="7"/>
      <c r="HC251" s="7"/>
      <c r="HD251" s="7"/>
      <c r="HG251" s="7"/>
      <c r="HH251" s="7"/>
      <c r="HK251" s="7"/>
      <c r="HL251" s="7"/>
      <c r="HO251" s="7"/>
      <c r="HP251" s="7"/>
    </row>
    <row r="252" spans="3:224" x14ac:dyDescent="0.3">
      <c r="C252" s="7"/>
      <c r="D252" s="7"/>
      <c r="G252" s="7"/>
      <c r="H252" s="7"/>
      <c r="K252" s="7"/>
      <c r="L252" s="7"/>
      <c r="O252" s="7"/>
      <c r="P252" s="7"/>
      <c r="S252" s="7"/>
      <c r="T252" s="7"/>
      <c r="W252" s="7"/>
      <c r="X252" s="7"/>
      <c r="AA252" s="7"/>
      <c r="AB252" s="7"/>
      <c r="AE252" s="7"/>
      <c r="AF252" s="7"/>
      <c r="AI252" s="7"/>
      <c r="AJ252" s="7"/>
      <c r="AM252" s="7"/>
      <c r="AN252" s="7"/>
      <c r="AQ252" s="7"/>
      <c r="AR252" s="7"/>
      <c r="AU252" s="7"/>
      <c r="AV252" s="7"/>
      <c r="AY252" s="7"/>
      <c r="AZ252" s="7"/>
      <c r="BC252" s="7"/>
      <c r="BD252" s="7"/>
      <c r="BG252" s="7"/>
      <c r="BH252" s="7"/>
      <c r="BK252" s="7"/>
      <c r="BL252" s="7"/>
      <c r="BO252" s="7"/>
      <c r="BP252" s="7"/>
      <c r="BS252" s="7"/>
      <c r="BT252" s="7"/>
      <c r="BW252" s="7"/>
      <c r="BX252" s="7"/>
      <c r="CA252" s="7"/>
      <c r="CB252" s="7"/>
      <c r="CE252" s="7"/>
      <c r="CF252" s="7"/>
      <c r="CI252" s="7"/>
      <c r="CJ252" s="7"/>
      <c r="CM252" s="7"/>
      <c r="CN252" s="7"/>
      <c r="CQ252" s="7"/>
      <c r="CR252" s="7"/>
      <c r="CU252" s="7"/>
      <c r="CV252" s="7"/>
      <c r="CY252" s="7"/>
      <c r="CZ252" s="7"/>
      <c r="DC252" s="7"/>
      <c r="DD252" s="7"/>
      <c r="DG252" s="7"/>
      <c r="DH252" s="7"/>
      <c r="DK252" s="7"/>
      <c r="DL252" s="7"/>
      <c r="DO252" s="7"/>
      <c r="DP252" s="7"/>
      <c r="DS252" s="7"/>
      <c r="DT252" s="7"/>
      <c r="DW252" s="7"/>
      <c r="DX252" s="7"/>
      <c r="EA252" s="7"/>
      <c r="EB252" s="7"/>
      <c r="EE252" s="7"/>
      <c r="EF252" s="7"/>
      <c r="EI252" s="7"/>
      <c r="EJ252" s="7"/>
      <c r="EM252" s="7"/>
      <c r="EN252" s="7"/>
      <c r="EQ252" s="7"/>
      <c r="ER252" s="7"/>
      <c r="EU252" s="7"/>
      <c r="EV252" s="7"/>
      <c r="EY252" s="7"/>
      <c r="EZ252" s="7"/>
      <c r="FC252" s="7"/>
      <c r="FD252" s="7"/>
      <c r="FG252" s="7"/>
      <c r="FH252" s="7"/>
      <c r="FK252" s="7"/>
      <c r="FL252" s="7"/>
      <c r="FO252" s="7"/>
      <c r="FP252" s="7"/>
      <c r="FS252" s="7"/>
      <c r="FT252" s="7"/>
      <c r="FW252" s="7"/>
      <c r="FX252" s="7"/>
      <c r="GA252" s="7"/>
      <c r="GB252" s="7"/>
      <c r="GE252" s="7"/>
      <c r="GF252" s="7"/>
      <c r="GI252" s="7"/>
      <c r="GJ252" s="7"/>
      <c r="GM252" s="7"/>
      <c r="GN252" s="7"/>
      <c r="GQ252" s="7"/>
      <c r="GR252" s="7"/>
      <c r="GU252" s="7"/>
      <c r="GV252" s="7"/>
      <c r="GY252" s="7"/>
      <c r="GZ252" s="7"/>
      <c r="HC252" s="7"/>
      <c r="HD252" s="7"/>
      <c r="HG252" s="7"/>
      <c r="HH252" s="7"/>
      <c r="HK252" s="7"/>
      <c r="HL252" s="7"/>
      <c r="HO252" s="7"/>
      <c r="HP252" s="7"/>
    </row>
    <row r="253" spans="3:224" x14ac:dyDescent="0.3">
      <c r="C253" s="7"/>
      <c r="D253" s="7"/>
      <c r="G253" s="7"/>
      <c r="H253" s="7"/>
      <c r="K253" s="7"/>
      <c r="L253" s="7"/>
      <c r="O253" s="7"/>
      <c r="P253" s="7"/>
      <c r="S253" s="7"/>
      <c r="T253" s="7"/>
      <c r="W253" s="7"/>
      <c r="X253" s="7"/>
      <c r="AA253" s="7"/>
      <c r="AB253" s="7"/>
      <c r="AE253" s="7"/>
      <c r="AF253" s="7"/>
      <c r="AI253" s="7"/>
      <c r="AJ253" s="7"/>
      <c r="AM253" s="7"/>
      <c r="AN253" s="7"/>
      <c r="AQ253" s="7"/>
      <c r="AR253" s="7"/>
      <c r="AU253" s="7"/>
      <c r="AV253" s="7"/>
      <c r="AY253" s="7"/>
      <c r="AZ253" s="7"/>
      <c r="BC253" s="7"/>
      <c r="BD253" s="7"/>
      <c r="BG253" s="7"/>
      <c r="BH253" s="7"/>
      <c r="BK253" s="7"/>
      <c r="BL253" s="7"/>
      <c r="BO253" s="7"/>
      <c r="BP253" s="7"/>
      <c r="BS253" s="7"/>
      <c r="BT253" s="7"/>
      <c r="BW253" s="7"/>
      <c r="BX253" s="7"/>
      <c r="CA253" s="7"/>
      <c r="CB253" s="7"/>
      <c r="CE253" s="7"/>
      <c r="CF253" s="7"/>
      <c r="CI253" s="7"/>
      <c r="CJ253" s="7"/>
      <c r="CM253" s="7"/>
      <c r="CN253" s="7"/>
      <c r="CQ253" s="7"/>
      <c r="CR253" s="7"/>
      <c r="CU253" s="7"/>
      <c r="CV253" s="7"/>
      <c r="CY253" s="7"/>
      <c r="CZ253" s="7"/>
      <c r="DC253" s="7"/>
      <c r="DD253" s="7"/>
      <c r="DG253" s="7"/>
      <c r="DH253" s="7"/>
      <c r="DK253" s="7"/>
      <c r="DL253" s="7"/>
      <c r="DO253" s="7"/>
      <c r="DP253" s="7"/>
      <c r="DS253" s="7"/>
      <c r="DT253" s="7"/>
      <c r="DW253" s="7"/>
      <c r="DX253" s="7"/>
      <c r="EA253" s="7"/>
      <c r="EB253" s="7"/>
      <c r="EE253" s="7"/>
      <c r="EF253" s="7"/>
      <c r="EI253" s="7"/>
      <c r="EJ253" s="7"/>
      <c r="EM253" s="7"/>
      <c r="EN253" s="7"/>
      <c r="EQ253" s="7"/>
      <c r="ER253" s="7"/>
      <c r="EU253" s="7"/>
      <c r="EV253" s="7"/>
      <c r="EY253" s="7"/>
      <c r="EZ253" s="7"/>
      <c r="FC253" s="7"/>
      <c r="FD253" s="7"/>
      <c r="FG253" s="7"/>
      <c r="FH253" s="7"/>
      <c r="FK253" s="7"/>
      <c r="FL253" s="7"/>
      <c r="FO253" s="7"/>
      <c r="FP253" s="7"/>
      <c r="FS253" s="7"/>
      <c r="FT253" s="7"/>
      <c r="FW253" s="7"/>
      <c r="FX253" s="7"/>
      <c r="GA253" s="7"/>
      <c r="GB253" s="7"/>
      <c r="GE253" s="7"/>
      <c r="GF253" s="7"/>
      <c r="GI253" s="7"/>
      <c r="GJ253" s="7"/>
      <c r="GM253" s="7"/>
      <c r="GN253" s="7"/>
      <c r="GQ253" s="7"/>
      <c r="GR253" s="7"/>
      <c r="GU253" s="7"/>
      <c r="GV253" s="7"/>
      <c r="GY253" s="7"/>
      <c r="GZ253" s="7"/>
      <c r="HC253" s="7"/>
      <c r="HD253" s="7"/>
      <c r="HG253" s="7"/>
      <c r="HH253" s="7"/>
      <c r="HK253" s="7"/>
      <c r="HL253" s="7"/>
      <c r="HO253" s="7"/>
      <c r="HP253" s="7"/>
    </row>
    <row r="254" spans="3:224" x14ac:dyDescent="0.3">
      <c r="C254" s="7"/>
      <c r="D254" s="7"/>
      <c r="G254" s="7"/>
      <c r="H254" s="7"/>
      <c r="K254" s="7"/>
      <c r="L254" s="7"/>
      <c r="O254" s="7"/>
      <c r="P254" s="7"/>
      <c r="S254" s="7"/>
      <c r="T254" s="7"/>
      <c r="W254" s="7"/>
      <c r="X254" s="7"/>
      <c r="AA254" s="7"/>
      <c r="AB254" s="7"/>
      <c r="AE254" s="7"/>
      <c r="AF254" s="7"/>
      <c r="AI254" s="7"/>
      <c r="AJ254" s="7"/>
      <c r="AM254" s="7"/>
      <c r="AN254" s="7"/>
      <c r="AQ254" s="7"/>
      <c r="AR254" s="7"/>
      <c r="AU254" s="7"/>
      <c r="AV254" s="7"/>
      <c r="AY254" s="7"/>
      <c r="AZ254" s="7"/>
      <c r="BC254" s="7"/>
      <c r="BD254" s="7"/>
      <c r="BG254" s="7"/>
      <c r="BH254" s="7"/>
      <c r="BK254" s="7"/>
      <c r="BL254" s="7"/>
      <c r="BO254" s="7"/>
      <c r="BP254" s="7"/>
      <c r="BS254" s="7"/>
      <c r="BT254" s="7"/>
      <c r="BW254" s="7"/>
      <c r="BX254" s="7"/>
      <c r="CA254" s="7"/>
      <c r="CB254" s="7"/>
      <c r="CE254" s="7"/>
      <c r="CF254" s="7"/>
      <c r="CI254" s="7"/>
      <c r="CJ254" s="7"/>
      <c r="CM254" s="7"/>
      <c r="CN254" s="7"/>
      <c r="CQ254" s="7"/>
      <c r="CR254" s="7"/>
      <c r="CU254" s="7"/>
      <c r="CV254" s="7"/>
      <c r="CY254" s="7"/>
      <c r="CZ254" s="7"/>
      <c r="DC254" s="7"/>
      <c r="DD254" s="7"/>
      <c r="DG254" s="7"/>
      <c r="DH254" s="7"/>
      <c r="DK254" s="7"/>
      <c r="DL254" s="7"/>
      <c r="DO254" s="7"/>
      <c r="DP254" s="7"/>
      <c r="DS254" s="7"/>
      <c r="DT254" s="7"/>
      <c r="DW254" s="7"/>
      <c r="DX254" s="7"/>
      <c r="EA254" s="7"/>
      <c r="EB254" s="7"/>
      <c r="EE254" s="7"/>
      <c r="EF254" s="7"/>
      <c r="EI254" s="7"/>
      <c r="EJ254" s="7"/>
      <c r="EM254" s="7"/>
      <c r="EN254" s="7"/>
      <c r="EQ254" s="7"/>
      <c r="ER254" s="7"/>
      <c r="EU254" s="7"/>
      <c r="EV254" s="7"/>
      <c r="EY254" s="7"/>
      <c r="EZ254" s="7"/>
      <c r="FC254" s="7"/>
      <c r="FD254" s="7"/>
      <c r="FG254" s="7"/>
      <c r="FH254" s="7"/>
      <c r="FK254" s="7"/>
      <c r="FL254" s="7"/>
      <c r="FO254" s="7"/>
      <c r="FP254" s="7"/>
      <c r="FS254" s="7"/>
      <c r="FT254" s="7"/>
      <c r="FW254" s="7"/>
      <c r="FX254" s="7"/>
      <c r="GA254" s="7"/>
      <c r="GB254" s="7"/>
      <c r="GE254" s="7"/>
      <c r="GF254" s="7"/>
      <c r="GI254" s="7"/>
      <c r="GJ254" s="7"/>
      <c r="GM254" s="7"/>
      <c r="GN254" s="7"/>
      <c r="GQ254" s="7"/>
      <c r="GR254" s="7"/>
      <c r="GU254" s="7"/>
      <c r="GV254" s="7"/>
      <c r="GY254" s="7"/>
      <c r="GZ254" s="7"/>
      <c r="HC254" s="7"/>
      <c r="HD254" s="7"/>
      <c r="HG254" s="7"/>
      <c r="HH254" s="7"/>
      <c r="HK254" s="7"/>
      <c r="HL254" s="7"/>
      <c r="HO254" s="7"/>
      <c r="HP254" s="7"/>
    </row>
    <row r="255" spans="3:224" x14ac:dyDescent="0.3">
      <c r="C255" s="7"/>
      <c r="D255" s="7"/>
      <c r="G255" s="7"/>
      <c r="H255" s="7"/>
      <c r="K255" s="7"/>
      <c r="L255" s="7"/>
      <c r="O255" s="7"/>
      <c r="P255" s="7"/>
      <c r="S255" s="7"/>
      <c r="T255" s="7"/>
      <c r="W255" s="7"/>
      <c r="X255" s="7"/>
      <c r="AA255" s="7"/>
      <c r="AB255" s="7"/>
      <c r="AE255" s="7"/>
      <c r="AF255" s="7"/>
      <c r="AI255" s="7"/>
      <c r="AJ255" s="7"/>
      <c r="AM255" s="7"/>
      <c r="AN255" s="7"/>
      <c r="AQ255" s="7"/>
      <c r="AR255" s="7"/>
      <c r="AU255" s="7"/>
      <c r="AV255" s="7"/>
      <c r="AY255" s="7"/>
      <c r="AZ255" s="7"/>
      <c r="BC255" s="7"/>
      <c r="BD255" s="7"/>
      <c r="BG255" s="7"/>
      <c r="BH255" s="7"/>
      <c r="BK255" s="7"/>
      <c r="BL255" s="7"/>
      <c r="BO255" s="7"/>
      <c r="BP255" s="7"/>
      <c r="BS255" s="7"/>
      <c r="BT255" s="7"/>
      <c r="BW255" s="7"/>
      <c r="BX255" s="7"/>
      <c r="CA255" s="7"/>
      <c r="CB255" s="7"/>
      <c r="CE255" s="7"/>
      <c r="CF255" s="7"/>
      <c r="CI255" s="7"/>
      <c r="CJ255" s="7"/>
      <c r="CM255" s="7"/>
      <c r="CN255" s="7"/>
      <c r="CQ255" s="7"/>
      <c r="CR255" s="7"/>
      <c r="CU255" s="7"/>
      <c r="CV255" s="7"/>
      <c r="CY255" s="7"/>
      <c r="CZ255" s="7"/>
      <c r="DC255" s="7"/>
      <c r="DD255" s="7"/>
      <c r="DG255" s="7"/>
      <c r="DH255" s="7"/>
      <c r="DK255" s="7"/>
      <c r="DL255" s="7"/>
      <c r="DO255" s="7"/>
      <c r="DP255" s="7"/>
      <c r="DS255" s="7"/>
      <c r="DT255" s="7"/>
      <c r="DW255" s="7"/>
      <c r="DX255" s="7"/>
      <c r="EA255" s="7"/>
      <c r="EB255" s="7"/>
      <c r="EE255" s="7"/>
      <c r="EF255" s="7"/>
      <c r="EI255" s="7"/>
      <c r="EJ255" s="7"/>
      <c r="EM255" s="7"/>
      <c r="EN255" s="7"/>
      <c r="EQ255" s="7"/>
      <c r="ER255" s="7"/>
      <c r="EU255" s="7"/>
      <c r="EV255" s="7"/>
      <c r="EY255" s="7"/>
      <c r="EZ255" s="7"/>
      <c r="FC255" s="7"/>
      <c r="FD255" s="7"/>
      <c r="FG255" s="7"/>
      <c r="FH255" s="7"/>
      <c r="FK255" s="7"/>
      <c r="FL255" s="7"/>
      <c r="FO255" s="7"/>
      <c r="FP255" s="7"/>
      <c r="FS255" s="7"/>
      <c r="FT255" s="7"/>
      <c r="FW255" s="7"/>
      <c r="FX255" s="7"/>
      <c r="GA255" s="7"/>
      <c r="GB255" s="7"/>
      <c r="GE255" s="7"/>
      <c r="GF255" s="7"/>
      <c r="GI255" s="7"/>
      <c r="GJ255" s="7"/>
      <c r="GM255" s="7"/>
      <c r="GN255" s="7"/>
      <c r="GQ255" s="7"/>
      <c r="GR255" s="7"/>
      <c r="GU255" s="7"/>
      <c r="GV255" s="7"/>
      <c r="GY255" s="7"/>
      <c r="GZ255" s="7"/>
      <c r="HC255" s="7"/>
      <c r="HD255" s="7"/>
      <c r="HG255" s="7"/>
      <c r="HH255" s="7"/>
      <c r="HK255" s="7"/>
      <c r="HL255" s="7"/>
      <c r="HO255" s="7"/>
      <c r="HP255" s="7"/>
    </row>
    <row r="256" spans="3:224" x14ac:dyDescent="0.3">
      <c r="C256" s="7"/>
      <c r="D256" s="7"/>
      <c r="G256" s="7"/>
      <c r="H256" s="7"/>
      <c r="K256" s="7"/>
      <c r="L256" s="7"/>
      <c r="O256" s="7"/>
      <c r="P256" s="7"/>
      <c r="S256" s="7"/>
      <c r="T256" s="7"/>
      <c r="W256" s="7"/>
      <c r="X256" s="7"/>
      <c r="AA256" s="7"/>
      <c r="AB256" s="7"/>
      <c r="AE256" s="7"/>
      <c r="AF256" s="7"/>
      <c r="AI256" s="7"/>
      <c r="AJ256" s="7"/>
      <c r="AM256" s="7"/>
      <c r="AN256" s="7"/>
      <c r="AQ256" s="7"/>
      <c r="AR256" s="7"/>
      <c r="AU256" s="7"/>
      <c r="AV256" s="7"/>
      <c r="AY256" s="7"/>
      <c r="AZ256" s="7"/>
      <c r="BC256" s="7"/>
      <c r="BD256" s="7"/>
      <c r="BG256" s="7"/>
      <c r="BH256" s="7"/>
      <c r="BK256" s="7"/>
      <c r="BL256" s="7"/>
      <c r="BO256" s="7"/>
      <c r="BP256" s="7"/>
      <c r="BS256" s="7"/>
      <c r="BT256" s="7"/>
      <c r="BW256" s="7"/>
      <c r="BX256" s="7"/>
      <c r="CA256" s="7"/>
      <c r="CB256" s="7"/>
      <c r="CE256" s="7"/>
      <c r="CF256" s="7"/>
      <c r="CI256" s="7"/>
      <c r="CJ256" s="7"/>
      <c r="CM256" s="7"/>
      <c r="CN256" s="7"/>
      <c r="CQ256" s="7"/>
      <c r="CR256" s="7"/>
      <c r="CU256" s="7"/>
      <c r="CV256" s="7"/>
      <c r="CY256" s="7"/>
      <c r="CZ256" s="7"/>
      <c r="DC256" s="7"/>
      <c r="DD256" s="7"/>
      <c r="DG256" s="7"/>
      <c r="DH256" s="7"/>
      <c r="DK256" s="7"/>
      <c r="DL256" s="7"/>
      <c r="DO256" s="7"/>
      <c r="DP256" s="7"/>
      <c r="DS256" s="7"/>
      <c r="DT256" s="7"/>
      <c r="DW256" s="7"/>
      <c r="DX256" s="7"/>
      <c r="EA256" s="7"/>
      <c r="EB256" s="7"/>
      <c r="EE256" s="7"/>
      <c r="EF256" s="7"/>
      <c r="EI256" s="7"/>
      <c r="EJ256" s="7"/>
      <c r="EM256" s="7"/>
      <c r="EN256" s="7"/>
      <c r="EQ256" s="7"/>
      <c r="ER256" s="7"/>
      <c r="EU256" s="7"/>
      <c r="EV256" s="7"/>
      <c r="EY256" s="7"/>
      <c r="EZ256" s="7"/>
      <c r="FC256" s="7"/>
      <c r="FD256" s="7"/>
      <c r="FG256" s="7"/>
      <c r="FH256" s="7"/>
      <c r="FK256" s="7"/>
      <c r="FL256" s="7"/>
      <c r="FO256" s="7"/>
      <c r="FP256" s="7"/>
      <c r="FS256" s="7"/>
      <c r="FT256" s="7"/>
      <c r="FW256" s="7"/>
      <c r="FX256" s="7"/>
      <c r="GA256" s="7"/>
      <c r="GB256" s="7"/>
      <c r="GE256" s="7"/>
      <c r="GF256" s="7"/>
      <c r="GI256" s="7"/>
      <c r="GJ256" s="7"/>
      <c r="GM256" s="7"/>
      <c r="GN256" s="7"/>
      <c r="GQ256" s="7"/>
      <c r="GR256" s="7"/>
      <c r="GU256" s="7"/>
      <c r="GV256" s="7"/>
      <c r="GY256" s="7"/>
      <c r="GZ256" s="7"/>
      <c r="HC256" s="7"/>
      <c r="HD256" s="7"/>
      <c r="HG256" s="7"/>
      <c r="HH256" s="7"/>
      <c r="HK256" s="7"/>
      <c r="HL256" s="7"/>
      <c r="HO256" s="7"/>
      <c r="HP256" s="7"/>
    </row>
    <row r="257" spans="3:224" x14ac:dyDescent="0.3">
      <c r="C257" s="7"/>
      <c r="D257" s="7"/>
      <c r="G257" s="7"/>
      <c r="H257" s="7"/>
      <c r="K257" s="7"/>
      <c r="L257" s="7"/>
      <c r="O257" s="7"/>
      <c r="P257" s="7"/>
      <c r="S257" s="7"/>
      <c r="T257" s="7"/>
      <c r="W257" s="7"/>
      <c r="X257" s="7"/>
      <c r="AA257" s="7"/>
      <c r="AB257" s="7"/>
      <c r="AE257" s="7"/>
      <c r="AF257" s="7"/>
      <c r="AI257" s="7"/>
      <c r="AJ257" s="7"/>
      <c r="AM257" s="7"/>
      <c r="AN257" s="7"/>
      <c r="AQ257" s="7"/>
      <c r="AR257" s="7"/>
      <c r="AU257" s="7"/>
      <c r="AV257" s="7"/>
      <c r="AY257" s="7"/>
      <c r="AZ257" s="7"/>
      <c r="BC257" s="7"/>
      <c r="BD257" s="7"/>
      <c r="BG257" s="7"/>
      <c r="BH257" s="7"/>
      <c r="BK257" s="7"/>
      <c r="BL257" s="7"/>
      <c r="BO257" s="7"/>
      <c r="BP257" s="7"/>
      <c r="BS257" s="7"/>
      <c r="BT257" s="7"/>
      <c r="BW257" s="7"/>
      <c r="BX257" s="7"/>
      <c r="CA257" s="7"/>
      <c r="CB257" s="7"/>
      <c r="CE257" s="7"/>
      <c r="CF257" s="7"/>
      <c r="CI257" s="7"/>
      <c r="CJ257" s="7"/>
      <c r="CM257" s="7"/>
      <c r="CN257" s="7"/>
      <c r="CQ257" s="7"/>
      <c r="CR257" s="7"/>
      <c r="CU257" s="7"/>
      <c r="CV257" s="7"/>
      <c r="CY257" s="7"/>
      <c r="CZ257" s="7"/>
      <c r="DC257" s="7"/>
      <c r="DD257" s="7"/>
      <c r="DG257" s="7"/>
      <c r="DH257" s="7"/>
      <c r="DK257" s="7"/>
      <c r="DL257" s="7"/>
      <c r="DO257" s="7"/>
      <c r="DP257" s="7"/>
      <c r="DS257" s="7"/>
      <c r="DT257" s="7"/>
      <c r="DW257" s="7"/>
      <c r="DX257" s="7"/>
      <c r="EA257" s="7"/>
      <c r="EB257" s="7"/>
      <c r="EE257" s="7"/>
      <c r="EF257" s="7"/>
      <c r="EI257" s="7"/>
      <c r="EJ257" s="7"/>
      <c r="EM257" s="7"/>
      <c r="EN257" s="7"/>
      <c r="EQ257" s="7"/>
      <c r="ER257" s="7"/>
      <c r="EU257" s="7"/>
      <c r="EV257" s="7"/>
      <c r="EY257" s="7"/>
      <c r="EZ257" s="7"/>
      <c r="FC257" s="7"/>
      <c r="FD257" s="7"/>
      <c r="FG257" s="7"/>
      <c r="FH257" s="7"/>
      <c r="FK257" s="7"/>
      <c r="FL257" s="7"/>
      <c r="FO257" s="7"/>
      <c r="FP257" s="7"/>
      <c r="FS257" s="7"/>
      <c r="FT257" s="7"/>
      <c r="FW257" s="7"/>
      <c r="FX257" s="7"/>
      <c r="GA257" s="7"/>
      <c r="GB257" s="7"/>
      <c r="GE257" s="7"/>
      <c r="GF257" s="7"/>
      <c r="GI257" s="7"/>
      <c r="GJ257" s="7"/>
      <c r="GM257" s="7"/>
      <c r="GN257" s="7"/>
      <c r="GQ257" s="7"/>
      <c r="GR257" s="7"/>
      <c r="GU257" s="7"/>
      <c r="GV257" s="7"/>
      <c r="GY257" s="7"/>
      <c r="GZ257" s="7"/>
      <c r="HC257" s="7"/>
      <c r="HD257" s="7"/>
      <c r="HG257" s="7"/>
      <c r="HH257" s="7"/>
      <c r="HK257" s="7"/>
      <c r="HL257" s="7"/>
      <c r="HO257" s="7"/>
      <c r="HP257" s="7"/>
    </row>
    <row r="258" spans="3:224" x14ac:dyDescent="0.3">
      <c r="C258" s="7"/>
      <c r="D258" s="7"/>
      <c r="G258" s="7"/>
      <c r="H258" s="7"/>
      <c r="K258" s="7"/>
      <c r="L258" s="7"/>
      <c r="O258" s="7"/>
      <c r="P258" s="7"/>
      <c r="S258" s="7"/>
      <c r="T258" s="7"/>
      <c r="W258" s="7"/>
      <c r="X258" s="7"/>
      <c r="AA258" s="7"/>
      <c r="AB258" s="7"/>
      <c r="AE258" s="7"/>
      <c r="AF258" s="7"/>
      <c r="AI258" s="7"/>
      <c r="AJ258" s="7"/>
      <c r="AM258" s="7"/>
      <c r="AN258" s="7"/>
      <c r="AQ258" s="7"/>
      <c r="AR258" s="7"/>
      <c r="AU258" s="7"/>
      <c r="AV258" s="7"/>
      <c r="AY258" s="7"/>
      <c r="AZ258" s="7"/>
      <c r="BC258" s="7"/>
      <c r="BD258" s="7"/>
      <c r="BG258" s="7"/>
      <c r="BH258" s="7"/>
      <c r="BK258" s="7"/>
      <c r="BL258" s="7"/>
      <c r="BO258" s="7"/>
      <c r="BP258" s="7"/>
      <c r="BS258" s="7"/>
      <c r="BT258" s="7"/>
      <c r="BW258" s="7"/>
      <c r="BX258" s="7"/>
      <c r="CA258" s="7"/>
      <c r="CB258" s="7"/>
      <c r="CE258" s="7"/>
      <c r="CF258" s="7"/>
      <c r="CI258" s="7"/>
      <c r="CJ258" s="7"/>
      <c r="CM258" s="7"/>
      <c r="CN258" s="7"/>
      <c r="CQ258" s="7"/>
      <c r="CR258" s="7"/>
      <c r="CU258" s="7"/>
      <c r="CV258" s="7"/>
      <c r="CY258" s="7"/>
      <c r="CZ258" s="7"/>
      <c r="DC258" s="7"/>
      <c r="DD258" s="7"/>
      <c r="DG258" s="7"/>
      <c r="DH258" s="7"/>
      <c r="DK258" s="7"/>
      <c r="DL258" s="7"/>
      <c r="DO258" s="7"/>
      <c r="DP258" s="7"/>
      <c r="DS258" s="7"/>
      <c r="DT258" s="7"/>
      <c r="DW258" s="7"/>
      <c r="DX258" s="7"/>
      <c r="EA258" s="7"/>
      <c r="EB258" s="7"/>
      <c r="EE258" s="7"/>
      <c r="EF258" s="7"/>
      <c r="EI258" s="7"/>
      <c r="EJ258" s="7"/>
      <c r="EM258" s="7"/>
      <c r="EN258" s="7"/>
      <c r="EQ258" s="7"/>
      <c r="ER258" s="7"/>
      <c r="EU258" s="7"/>
      <c r="EV258" s="7"/>
      <c r="EY258" s="7"/>
      <c r="EZ258" s="7"/>
      <c r="FC258" s="7"/>
      <c r="FD258" s="7"/>
      <c r="FG258" s="7"/>
      <c r="FH258" s="7"/>
      <c r="FK258" s="7"/>
      <c r="FL258" s="7"/>
      <c r="FO258" s="7"/>
      <c r="FP258" s="7"/>
      <c r="FS258" s="7"/>
      <c r="FT258" s="7"/>
      <c r="FW258" s="7"/>
      <c r="FX258" s="7"/>
      <c r="GA258" s="7"/>
      <c r="GB258" s="7"/>
      <c r="GE258" s="7"/>
      <c r="GF258" s="7"/>
      <c r="GI258" s="7"/>
      <c r="GJ258" s="7"/>
      <c r="GM258" s="7"/>
      <c r="GN258" s="7"/>
      <c r="GQ258" s="7"/>
      <c r="GR258" s="7"/>
      <c r="GU258" s="7"/>
      <c r="GV258" s="7"/>
      <c r="GY258" s="7"/>
      <c r="GZ258" s="7"/>
      <c r="HC258" s="7"/>
      <c r="HD258" s="7"/>
      <c r="HG258" s="7"/>
      <c r="HH258" s="7"/>
      <c r="HK258" s="7"/>
      <c r="HL258" s="7"/>
      <c r="HO258" s="7"/>
      <c r="HP258" s="7"/>
    </row>
    <row r="259" spans="3:224" x14ac:dyDescent="0.3">
      <c r="C259" s="7"/>
      <c r="D259" s="7"/>
      <c r="G259" s="7"/>
      <c r="H259" s="7"/>
      <c r="K259" s="7"/>
      <c r="L259" s="7"/>
      <c r="O259" s="7"/>
      <c r="P259" s="7"/>
      <c r="S259" s="7"/>
      <c r="T259" s="7"/>
      <c r="W259" s="7"/>
      <c r="X259" s="7"/>
      <c r="AA259" s="7"/>
      <c r="AB259" s="7"/>
      <c r="AE259" s="7"/>
      <c r="AF259" s="7"/>
      <c r="AI259" s="7"/>
      <c r="AJ259" s="7"/>
      <c r="AM259" s="7"/>
      <c r="AN259" s="7"/>
      <c r="AQ259" s="7"/>
      <c r="AR259" s="7"/>
      <c r="AU259" s="7"/>
      <c r="AV259" s="7"/>
      <c r="AY259" s="7"/>
      <c r="AZ259" s="7"/>
      <c r="BC259" s="7"/>
      <c r="BD259" s="7"/>
      <c r="BG259" s="7"/>
      <c r="BH259" s="7"/>
      <c r="BK259" s="7"/>
      <c r="BL259" s="7"/>
      <c r="BO259" s="7"/>
      <c r="BP259" s="7"/>
      <c r="BS259" s="7"/>
      <c r="BT259" s="7"/>
      <c r="BW259" s="7"/>
      <c r="BX259" s="7"/>
      <c r="CA259" s="7"/>
      <c r="CB259" s="7"/>
      <c r="CE259" s="7"/>
      <c r="CF259" s="7"/>
      <c r="CI259" s="7"/>
      <c r="CJ259" s="7"/>
      <c r="CM259" s="7"/>
      <c r="CN259" s="7"/>
      <c r="CQ259" s="7"/>
      <c r="CR259" s="7"/>
      <c r="CU259" s="7"/>
      <c r="CV259" s="7"/>
      <c r="CY259" s="7"/>
      <c r="CZ259" s="7"/>
      <c r="DC259" s="7"/>
      <c r="DD259" s="7"/>
      <c r="DG259" s="7"/>
      <c r="DH259" s="7"/>
      <c r="DK259" s="7"/>
      <c r="DL259" s="7"/>
      <c r="DO259" s="7"/>
      <c r="DP259" s="7"/>
      <c r="DS259" s="7"/>
      <c r="DT259" s="7"/>
      <c r="DW259" s="7"/>
      <c r="DX259" s="7"/>
      <c r="EA259" s="7"/>
      <c r="EB259" s="7"/>
      <c r="EE259" s="7"/>
      <c r="EF259" s="7"/>
      <c r="EI259" s="7"/>
      <c r="EJ259" s="7"/>
      <c r="EM259" s="7"/>
      <c r="EN259" s="7"/>
      <c r="EQ259" s="7"/>
      <c r="ER259" s="7"/>
      <c r="EU259" s="7"/>
      <c r="EV259" s="7"/>
      <c r="EY259" s="7"/>
      <c r="EZ259" s="7"/>
      <c r="FC259" s="7"/>
      <c r="FD259" s="7"/>
      <c r="FG259" s="7"/>
      <c r="FH259" s="7"/>
      <c r="FK259" s="7"/>
      <c r="FL259" s="7"/>
      <c r="FO259" s="7"/>
      <c r="FP259" s="7"/>
      <c r="FS259" s="7"/>
      <c r="FT259" s="7"/>
      <c r="FW259" s="7"/>
      <c r="FX259" s="7"/>
      <c r="GA259" s="7"/>
      <c r="GB259" s="7"/>
      <c r="GE259" s="7"/>
      <c r="GF259" s="7"/>
      <c r="GI259" s="7"/>
      <c r="GJ259" s="7"/>
      <c r="GM259" s="7"/>
      <c r="GN259" s="7"/>
      <c r="GQ259" s="7"/>
      <c r="GR259" s="7"/>
      <c r="GU259" s="7"/>
      <c r="GV259" s="7"/>
      <c r="GY259" s="7"/>
      <c r="GZ259" s="7"/>
      <c r="HC259" s="7"/>
      <c r="HD259" s="7"/>
      <c r="HG259" s="7"/>
      <c r="HH259" s="7"/>
      <c r="HK259" s="7"/>
      <c r="HL259" s="7"/>
      <c r="HO259" s="7"/>
      <c r="HP259" s="7"/>
    </row>
    <row r="260" spans="3:224" x14ac:dyDescent="0.3">
      <c r="C260" s="7"/>
      <c r="D260" s="7"/>
      <c r="G260" s="7"/>
      <c r="H260" s="7"/>
      <c r="K260" s="7"/>
      <c r="L260" s="7"/>
      <c r="O260" s="7"/>
      <c r="P260" s="7"/>
      <c r="S260" s="7"/>
      <c r="T260" s="7"/>
      <c r="W260" s="7"/>
      <c r="X260" s="7"/>
      <c r="AA260" s="7"/>
      <c r="AB260" s="7"/>
      <c r="AE260" s="7"/>
      <c r="AF260" s="7"/>
      <c r="AI260" s="7"/>
      <c r="AJ260" s="7"/>
      <c r="AM260" s="7"/>
      <c r="AN260" s="7"/>
      <c r="AQ260" s="7"/>
      <c r="AR260" s="7"/>
      <c r="AU260" s="7"/>
      <c r="AV260" s="7"/>
      <c r="AY260" s="7"/>
      <c r="AZ260" s="7"/>
      <c r="BC260" s="7"/>
      <c r="BD260" s="7"/>
      <c r="BG260" s="7"/>
      <c r="BH260" s="7"/>
      <c r="BK260" s="7"/>
      <c r="BL260" s="7"/>
      <c r="BO260" s="7"/>
      <c r="BP260" s="7"/>
      <c r="BS260" s="7"/>
      <c r="BT260" s="7"/>
      <c r="BW260" s="7"/>
      <c r="BX260" s="7"/>
      <c r="CA260" s="7"/>
      <c r="CB260" s="7"/>
      <c r="CE260" s="7"/>
      <c r="CF260" s="7"/>
      <c r="CI260" s="7"/>
      <c r="CJ260" s="7"/>
      <c r="CM260" s="7"/>
      <c r="CN260" s="7"/>
      <c r="CQ260" s="7"/>
      <c r="CR260" s="7"/>
      <c r="CU260" s="7"/>
      <c r="CV260" s="7"/>
      <c r="CY260" s="7"/>
      <c r="CZ260" s="7"/>
      <c r="DC260" s="7"/>
      <c r="DD260" s="7"/>
      <c r="DG260" s="7"/>
      <c r="DH260" s="7"/>
      <c r="DK260" s="7"/>
      <c r="DL260" s="7"/>
      <c r="DO260" s="7"/>
      <c r="DP260" s="7"/>
      <c r="DS260" s="7"/>
      <c r="DT260" s="7"/>
      <c r="DW260" s="7"/>
      <c r="DX260" s="7"/>
      <c r="EA260" s="7"/>
      <c r="EB260" s="7"/>
      <c r="EE260" s="7"/>
      <c r="EF260" s="7"/>
      <c r="EI260" s="7"/>
      <c r="EJ260" s="7"/>
      <c r="EM260" s="7"/>
      <c r="EN260" s="7"/>
      <c r="EQ260" s="7"/>
      <c r="ER260" s="7"/>
      <c r="EU260" s="7"/>
      <c r="EV260" s="7"/>
      <c r="EY260" s="7"/>
      <c r="EZ260" s="7"/>
      <c r="FC260" s="7"/>
      <c r="FD260" s="7"/>
      <c r="FG260" s="7"/>
      <c r="FH260" s="7"/>
      <c r="FK260" s="7"/>
      <c r="FL260" s="7"/>
      <c r="FO260" s="7"/>
      <c r="FP260" s="7"/>
      <c r="FS260" s="7"/>
      <c r="FT260" s="7"/>
      <c r="FW260" s="7"/>
      <c r="FX260" s="7"/>
      <c r="GA260" s="7"/>
      <c r="GB260" s="7"/>
      <c r="GE260" s="7"/>
      <c r="GF260" s="7"/>
      <c r="GI260" s="7"/>
      <c r="GJ260" s="7"/>
      <c r="GM260" s="7"/>
      <c r="GN260" s="7"/>
      <c r="GQ260" s="7"/>
      <c r="GR260" s="7"/>
      <c r="GU260" s="7"/>
      <c r="GV260" s="7"/>
      <c r="GY260" s="7"/>
      <c r="GZ260" s="7"/>
      <c r="HC260" s="7"/>
      <c r="HD260" s="7"/>
      <c r="HG260" s="7"/>
      <c r="HH260" s="7"/>
      <c r="HK260" s="7"/>
      <c r="HL260" s="7"/>
      <c r="HO260" s="7"/>
      <c r="HP260" s="7"/>
    </row>
    <row r="261" spans="3:224" x14ac:dyDescent="0.3">
      <c r="C261" s="7"/>
      <c r="D261" s="7"/>
      <c r="G261" s="7"/>
      <c r="H261" s="7"/>
      <c r="K261" s="7"/>
      <c r="L261" s="7"/>
      <c r="O261" s="7"/>
      <c r="P261" s="7"/>
      <c r="S261" s="7"/>
      <c r="T261" s="7"/>
      <c r="W261" s="7"/>
      <c r="X261" s="7"/>
      <c r="AA261" s="7"/>
      <c r="AB261" s="7"/>
      <c r="AE261" s="7"/>
      <c r="AF261" s="7"/>
      <c r="AI261" s="7"/>
      <c r="AJ261" s="7"/>
      <c r="AM261" s="7"/>
      <c r="AN261" s="7"/>
      <c r="AQ261" s="7"/>
      <c r="AR261" s="7"/>
      <c r="AU261" s="7"/>
      <c r="AV261" s="7"/>
      <c r="AY261" s="7"/>
      <c r="AZ261" s="7"/>
      <c r="BC261" s="7"/>
      <c r="BD261" s="7"/>
      <c r="BG261" s="7"/>
      <c r="BH261" s="7"/>
      <c r="BK261" s="7"/>
      <c r="BL261" s="7"/>
      <c r="BO261" s="7"/>
      <c r="BP261" s="7"/>
      <c r="BS261" s="7"/>
      <c r="BT261" s="7"/>
      <c r="BW261" s="7"/>
      <c r="BX261" s="7"/>
      <c r="CA261" s="7"/>
      <c r="CB261" s="7"/>
      <c r="CE261" s="7"/>
      <c r="CF261" s="7"/>
      <c r="CI261" s="7"/>
      <c r="CJ261" s="7"/>
      <c r="CM261" s="7"/>
      <c r="CN261" s="7"/>
      <c r="CQ261" s="7"/>
      <c r="CR261" s="7"/>
      <c r="CU261" s="7"/>
      <c r="CV261" s="7"/>
      <c r="CY261" s="7"/>
      <c r="CZ261" s="7"/>
      <c r="DC261" s="7"/>
      <c r="DD261" s="7"/>
      <c r="DG261" s="7"/>
      <c r="DH261" s="7"/>
      <c r="DK261" s="7"/>
      <c r="DL261" s="7"/>
      <c r="DO261" s="7"/>
      <c r="DP261" s="7"/>
      <c r="DS261" s="7"/>
      <c r="DT261" s="7"/>
      <c r="DW261" s="7"/>
      <c r="DX261" s="7"/>
      <c r="EA261" s="7"/>
      <c r="EB261" s="7"/>
      <c r="EE261" s="7"/>
      <c r="EF261" s="7"/>
      <c r="EI261" s="7"/>
      <c r="EJ261" s="7"/>
      <c r="EM261" s="7"/>
      <c r="EN261" s="7"/>
      <c r="EQ261" s="7"/>
      <c r="ER261" s="7"/>
      <c r="EU261" s="7"/>
      <c r="EV261" s="7"/>
      <c r="EY261" s="7"/>
      <c r="EZ261" s="7"/>
      <c r="FC261" s="7"/>
      <c r="FD261" s="7"/>
      <c r="FG261" s="7"/>
      <c r="FH261" s="7"/>
      <c r="FK261" s="7"/>
      <c r="FL261" s="7"/>
      <c r="FO261" s="7"/>
      <c r="FP261" s="7"/>
      <c r="FS261" s="7"/>
      <c r="FT261" s="7"/>
      <c r="FW261" s="7"/>
      <c r="FX261" s="7"/>
      <c r="GA261" s="7"/>
      <c r="GB261" s="7"/>
      <c r="GE261" s="7"/>
      <c r="GF261" s="7"/>
      <c r="GI261" s="7"/>
      <c r="GJ261" s="7"/>
      <c r="GM261" s="7"/>
      <c r="GN261" s="7"/>
      <c r="GQ261" s="7"/>
      <c r="GR261" s="7"/>
      <c r="GU261" s="7"/>
      <c r="GV261" s="7"/>
      <c r="GY261" s="7"/>
      <c r="GZ261" s="7"/>
      <c r="HC261" s="7"/>
      <c r="HD261" s="7"/>
      <c r="HG261" s="7"/>
      <c r="HH261" s="7"/>
      <c r="HK261" s="7"/>
      <c r="HL261" s="7"/>
      <c r="HO261" s="7"/>
      <c r="HP261" s="7"/>
    </row>
    <row r="262" spans="3:224" x14ac:dyDescent="0.3">
      <c r="C262" s="7"/>
      <c r="D262" s="7"/>
      <c r="G262" s="7"/>
      <c r="H262" s="7"/>
      <c r="K262" s="7"/>
      <c r="L262" s="7"/>
      <c r="O262" s="7"/>
      <c r="P262" s="7"/>
      <c r="S262" s="7"/>
      <c r="T262" s="7"/>
      <c r="W262" s="7"/>
      <c r="X262" s="7"/>
      <c r="AA262" s="7"/>
      <c r="AB262" s="7"/>
      <c r="AE262" s="7"/>
      <c r="AF262" s="7"/>
      <c r="AI262" s="7"/>
      <c r="AJ262" s="7"/>
      <c r="AM262" s="7"/>
      <c r="AN262" s="7"/>
      <c r="AQ262" s="7"/>
      <c r="AR262" s="7"/>
      <c r="AU262" s="7"/>
      <c r="AV262" s="7"/>
      <c r="AY262" s="7"/>
      <c r="AZ262" s="7"/>
      <c r="BC262" s="7"/>
      <c r="BD262" s="7"/>
      <c r="BG262" s="7"/>
      <c r="BH262" s="7"/>
      <c r="BK262" s="7"/>
      <c r="BL262" s="7"/>
      <c r="BO262" s="7"/>
      <c r="BP262" s="7"/>
      <c r="BS262" s="7"/>
      <c r="BT262" s="7"/>
      <c r="BW262" s="7"/>
      <c r="BX262" s="7"/>
      <c r="CA262" s="7"/>
      <c r="CB262" s="7"/>
      <c r="CE262" s="7"/>
      <c r="CF262" s="7"/>
      <c r="CI262" s="7"/>
      <c r="CJ262" s="7"/>
      <c r="CM262" s="7"/>
      <c r="CN262" s="7"/>
      <c r="CQ262" s="7"/>
      <c r="CR262" s="7"/>
      <c r="CU262" s="7"/>
      <c r="CV262" s="7"/>
      <c r="CY262" s="7"/>
      <c r="CZ262" s="7"/>
      <c r="DC262" s="7"/>
      <c r="DD262" s="7"/>
      <c r="DG262" s="7"/>
      <c r="DH262" s="7"/>
      <c r="DK262" s="7"/>
      <c r="DL262" s="7"/>
      <c r="DO262" s="7"/>
      <c r="DP262" s="7"/>
      <c r="DS262" s="7"/>
      <c r="DT262" s="7"/>
      <c r="DW262" s="7"/>
      <c r="DX262" s="7"/>
      <c r="EA262" s="7"/>
      <c r="EB262" s="7"/>
      <c r="EE262" s="7"/>
      <c r="EF262" s="7"/>
      <c r="EI262" s="7"/>
      <c r="EJ262" s="7"/>
      <c r="EM262" s="7"/>
      <c r="EN262" s="7"/>
      <c r="EQ262" s="7"/>
      <c r="ER262" s="7"/>
      <c r="EU262" s="7"/>
      <c r="EV262" s="7"/>
      <c r="EY262" s="7"/>
      <c r="EZ262" s="7"/>
      <c r="FC262" s="7"/>
      <c r="FD262" s="7"/>
      <c r="FG262" s="7"/>
      <c r="FH262" s="7"/>
      <c r="FK262" s="7"/>
      <c r="FL262" s="7"/>
      <c r="FO262" s="7"/>
      <c r="FP262" s="7"/>
      <c r="FS262" s="7"/>
      <c r="FT262" s="7"/>
      <c r="FW262" s="7"/>
      <c r="FX262" s="7"/>
      <c r="GA262" s="7"/>
      <c r="GB262" s="7"/>
      <c r="GE262" s="7"/>
      <c r="GF262" s="7"/>
      <c r="GI262" s="7"/>
      <c r="GJ262" s="7"/>
      <c r="GM262" s="7"/>
      <c r="GN262" s="7"/>
      <c r="GQ262" s="7"/>
      <c r="GR262" s="7"/>
      <c r="GU262" s="7"/>
      <c r="GV262" s="7"/>
      <c r="GY262" s="7"/>
      <c r="GZ262" s="7"/>
      <c r="HC262" s="7"/>
      <c r="HD262" s="7"/>
      <c r="HG262" s="7"/>
      <c r="HH262" s="7"/>
      <c r="HK262" s="7"/>
      <c r="HL262" s="7"/>
      <c r="HO262" s="7"/>
      <c r="HP262" s="7"/>
    </row>
    <row r="263" spans="3:224" x14ac:dyDescent="0.3">
      <c r="C263" s="7"/>
      <c r="D263" s="7"/>
      <c r="G263" s="7"/>
      <c r="H263" s="7"/>
      <c r="K263" s="7"/>
      <c r="L263" s="7"/>
      <c r="O263" s="7"/>
      <c r="P263" s="7"/>
      <c r="S263" s="7"/>
      <c r="T263" s="7"/>
      <c r="W263" s="7"/>
      <c r="X263" s="7"/>
      <c r="AA263" s="7"/>
      <c r="AB263" s="7"/>
      <c r="AE263" s="7"/>
      <c r="AF263" s="7"/>
      <c r="AI263" s="7"/>
      <c r="AJ263" s="7"/>
      <c r="AM263" s="7"/>
      <c r="AN263" s="7"/>
      <c r="AQ263" s="7"/>
      <c r="AR263" s="7"/>
      <c r="AU263" s="7"/>
      <c r="AV263" s="7"/>
      <c r="AY263" s="7"/>
      <c r="AZ263" s="7"/>
      <c r="BC263" s="7"/>
      <c r="BD263" s="7"/>
      <c r="BG263" s="7"/>
      <c r="BH263" s="7"/>
      <c r="BK263" s="7"/>
      <c r="BL263" s="7"/>
      <c r="BO263" s="7"/>
      <c r="BP263" s="7"/>
      <c r="BS263" s="7"/>
      <c r="BT263" s="7"/>
      <c r="BW263" s="7"/>
      <c r="BX263" s="7"/>
      <c r="CA263" s="7"/>
      <c r="CB263" s="7"/>
      <c r="CE263" s="7"/>
      <c r="CF263" s="7"/>
      <c r="CI263" s="7"/>
      <c r="CJ263" s="7"/>
      <c r="CM263" s="7"/>
      <c r="CN263" s="7"/>
      <c r="CQ263" s="7"/>
      <c r="CR263" s="7"/>
      <c r="CU263" s="7"/>
      <c r="CV263" s="7"/>
      <c r="CY263" s="7"/>
      <c r="CZ263" s="7"/>
      <c r="DC263" s="7"/>
      <c r="DD263" s="7"/>
      <c r="DG263" s="7"/>
      <c r="DH263" s="7"/>
      <c r="DK263" s="7"/>
      <c r="DL263" s="7"/>
      <c r="DO263" s="7"/>
      <c r="DP263" s="7"/>
      <c r="DS263" s="7"/>
      <c r="DT263" s="7"/>
      <c r="DW263" s="7"/>
      <c r="DX263" s="7"/>
      <c r="EA263" s="7"/>
      <c r="EB263" s="7"/>
      <c r="EE263" s="7"/>
      <c r="EF263" s="7"/>
      <c r="EI263" s="7"/>
      <c r="EJ263" s="7"/>
      <c r="EM263" s="7"/>
      <c r="EN263" s="7"/>
      <c r="EQ263" s="7"/>
      <c r="ER263" s="7"/>
      <c r="EU263" s="7"/>
      <c r="EV263" s="7"/>
      <c r="EY263" s="7"/>
      <c r="EZ263" s="7"/>
      <c r="FC263" s="7"/>
      <c r="FD263" s="7"/>
      <c r="FG263" s="7"/>
      <c r="FH263" s="7"/>
      <c r="FK263" s="7"/>
      <c r="FL263" s="7"/>
      <c r="FO263" s="7"/>
      <c r="FP263" s="7"/>
      <c r="FS263" s="7"/>
      <c r="FT263" s="7"/>
      <c r="FW263" s="7"/>
      <c r="FX263" s="7"/>
      <c r="GA263" s="7"/>
      <c r="GB263" s="7"/>
      <c r="GE263" s="7"/>
      <c r="GF263" s="7"/>
      <c r="GI263" s="7"/>
      <c r="GJ263" s="7"/>
      <c r="GM263" s="7"/>
      <c r="GN263" s="7"/>
      <c r="GQ263" s="7"/>
      <c r="GR263" s="7"/>
      <c r="GU263" s="7"/>
      <c r="GV263" s="7"/>
      <c r="GY263" s="7"/>
      <c r="GZ263" s="7"/>
      <c r="HC263" s="7"/>
      <c r="HD263" s="7"/>
      <c r="HG263" s="7"/>
      <c r="HH263" s="7"/>
      <c r="HK263" s="7"/>
      <c r="HL263" s="7"/>
      <c r="HO263" s="7"/>
      <c r="HP263" s="7"/>
    </row>
    <row r="264" spans="3:224" x14ac:dyDescent="0.3">
      <c r="C264" s="7"/>
      <c r="D264" s="7"/>
      <c r="G264" s="7"/>
      <c r="H264" s="7"/>
      <c r="K264" s="7"/>
      <c r="L264" s="7"/>
      <c r="O264" s="7"/>
      <c r="P264" s="7"/>
      <c r="S264" s="7"/>
      <c r="T264" s="7"/>
      <c r="W264" s="7"/>
      <c r="X264" s="7"/>
      <c r="AA264" s="7"/>
      <c r="AB264" s="7"/>
      <c r="AE264" s="7"/>
      <c r="AF264" s="7"/>
      <c r="AI264" s="7"/>
      <c r="AJ264" s="7"/>
      <c r="AM264" s="7"/>
      <c r="AN264" s="7"/>
      <c r="AQ264" s="7"/>
      <c r="AR264" s="7"/>
      <c r="AU264" s="7"/>
      <c r="AV264" s="7"/>
      <c r="AY264" s="7"/>
      <c r="AZ264" s="7"/>
      <c r="BC264" s="7"/>
      <c r="BD264" s="7"/>
      <c r="BG264" s="7"/>
      <c r="BH264" s="7"/>
      <c r="BK264" s="7"/>
      <c r="BL264" s="7"/>
      <c r="BO264" s="7"/>
      <c r="BP264" s="7"/>
      <c r="BS264" s="7"/>
      <c r="BT264" s="7"/>
      <c r="BW264" s="7"/>
      <c r="BX264" s="7"/>
      <c r="CA264" s="7"/>
      <c r="CB264" s="7"/>
      <c r="CE264" s="7"/>
      <c r="CF264" s="7"/>
      <c r="CI264" s="7"/>
      <c r="CJ264" s="7"/>
      <c r="CM264" s="7"/>
      <c r="CN264" s="7"/>
      <c r="CQ264" s="7"/>
      <c r="CR264" s="7"/>
      <c r="CU264" s="7"/>
      <c r="CV264" s="7"/>
      <c r="CY264" s="7"/>
      <c r="CZ264" s="7"/>
      <c r="DC264" s="7"/>
      <c r="DD264" s="7"/>
      <c r="DG264" s="7"/>
      <c r="DH264" s="7"/>
      <c r="DK264" s="7"/>
      <c r="DL264" s="7"/>
      <c r="DO264" s="7"/>
      <c r="DP264" s="7"/>
      <c r="DS264" s="7"/>
      <c r="DT264" s="7"/>
      <c r="DW264" s="7"/>
      <c r="DX264" s="7"/>
      <c r="EA264" s="7"/>
      <c r="EB264" s="7"/>
      <c r="EE264" s="7"/>
      <c r="EF264" s="7"/>
      <c r="EI264" s="7"/>
      <c r="EJ264" s="7"/>
      <c r="EM264" s="7"/>
      <c r="EN264" s="7"/>
      <c r="EQ264" s="7"/>
      <c r="ER264" s="7"/>
      <c r="EU264" s="7"/>
      <c r="EV264" s="7"/>
      <c r="EY264" s="7"/>
      <c r="EZ264" s="7"/>
      <c r="FC264" s="7"/>
      <c r="FD264" s="7"/>
      <c r="FG264" s="7"/>
      <c r="FH264" s="7"/>
      <c r="FK264" s="7"/>
      <c r="FL264" s="7"/>
      <c r="FO264" s="7"/>
      <c r="FP264" s="7"/>
      <c r="FS264" s="7"/>
      <c r="FT264" s="7"/>
      <c r="FW264" s="7"/>
      <c r="FX264" s="7"/>
      <c r="GA264" s="7"/>
      <c r="GB264" s="7"/>
      <c r="GE264" s="7"/>
      <c r="GF264" s="7"/>
      <c r="GI264" s="7"/>
      <c r="GJ264" s="7"/>
      <c r="GM264" s="7"/>
      <c r="GN264" s="7"/>
      <c r="GQ264" s="7"/>
      <c r="GR264" s="7"/>
      <c r="GU264" s="7"/>
      <c r="GV264" s="7"/>
      <c r="GY264" s="7"/>
      <c r="GZ264" s="7"/>
      <c r="HC264" s="7"/>
      <c r="HD264" s="7"/>
      <c r="HG264" s="7"/>
      <c r="HH264" s="7"/>
      <c r="HK264" s="7"/>
      <c r="HL264" s="7"/>
      <c r="HO264" s="7"/>
      <c r="HP264" s="7"/>
    </row>
    <row r="265" spans="3:224" x14ac:dyDescent="0.3">
      <c r="C265" s="7"/>
      <c r="D265" s="7"/>
      <c r="G265" s="7"/>
      <c r="H265" s="7"/>
      <c r="K265" s="7"/>
      <c r="L265" s="7"/>
      <c r="O265" s="7"/>
      <c r="P265" s="7"/>
      <c r="S265" s="7"/>
      <c r="T265" s="7"/>
      <c r="W265" s="7"/>
      <c r="X265" s="7"/>
      <c r="AA265" s="7"/>
      <c r="AB265" s="7"/>
      <c r="AE265" s="7"/>
      <c r="AF265" s="7"/>
      <c r="AI265" s="7"/>
      <c r="AJ265" s="7"/>
      <c r="AM265" s="7"/>
      <c r="AN265" s="7"/>
      <c r="AQ265" s="7"/>
      <c r="AR265" s="7"/>
      <c r="AU265" s="7"/>
      <c r="AV265" s="7"/>
      <c r="AY265" s="7"/>
      <c r="AZ265" s="7"/>
      <c r="BC265" s="7"/>
      <c r="BD265" s="7"/>
      <c r="BG265" s="7"/>
      <c r="BH265" s="7"/>
      <c r="BK265" s="7"/>
      <c r="BL265" s="7"/>
      <c r="BO265" s="7"/>
      <c r="BP265" s="7"/>
      <c r="BS265" s="7"/>
      <c r="BT265" s="7"/>
      <c r="BW265" s="7"/>
      <c r="BX265" s="7"/>
      <c r="CA265" s="7"/>
      <c r="CB265" s="7"/>
      <c r="CE265" s="7"/>
      <c r="CF265" s="7"/>
      <c r="CI265" s="7"/>
      <c r="CJ265" s="7"/>
      <c r="CM265" s="7"/>
      <c r="CN265" s="7"/>
      <c r="CQ265" s="7"/>
      <c r="CR265" s="7"/>
      <c r="CU265" s="7"/>
      <c r="CV265" s="7"/>
      <c r="CY265" s="7"/>
      <c r="CZ265" s="7"/>
      <c r="DC265" s="7"/>
      <c r="DD265" s="7"/>
      <c r="DG265" s="7"/>
      <c r="DH265" s="7"/>
      <c r="DK265" s="7"/>
      <c r="DL265" s="7"/>
      <c r="DO265" s="7"/>
      <c r="DP265" s="7"/>
      <c r="DS265" s="7"/>
      <c r="DT265" s="7"/>
      <c r="DW265" s="7"/>
      <c r="DX265" s="7"/>
      <c r="EA265" s="7"/>
      <c r="EB265" s="7"/>
      <c r="EE265" s="7"/>
      <c r="EF265" s="7"/>
      <c r="EI265" s="7"/>
      <c r="EJ265" s="7"/>
      <c r="EM265" s="7"/>
      <c r="EN265" s="7"/>
      <c r="EQ265" s="7"/>
      <c r="ER265" s="7"/>
      <c r="EU265" s="7"/>
      <c r="EV265" s="7"/>
      <c r="EY265" s="7"/>
      <c r="EZ265" s="7"/>
      <c r="FC265" s="7"/>
      <c r="FD265" s="7"/>
      <c r="FG265" s="7"/>
      <c r="FH265" s="7"/>
      <c r="FK265" s="7"/>
      <c r="FL265" s="7"/>
      <c r="FO265" s="7"/>
      <c r="FP265" s="7"/>
      <c r="FS265" s="7"/>
      <c r="FT265" s="7"/>
      <c r="FW265" s="7"/>
      <c r="FX265" s="7"/>
      <c r="GA265" s="7"/>
      <c r="GB265" s="7"/>
      <c r="GE265" s="7"/>
      <c r="GF265" s="7"/>
      <c r="GI265" s="7"/>
      <c r="GJ265" s="7"/>
      <c r="GM265" s="7"/>
      <c r="GN265" s="7"/>
      <c r="GQ265" s="7"/>
      <c r="GR265" s="7"/>
      <c r="GU265" s="7"/>
      <c r="GV265" s="7"/>
      <c r="GY265" s="7"/>
      <c r="GZ265" s="7"/>
      <c r="HC265" s="7"/>
      <c r="HD265" s="7"/>
      <c r="HG265" s="7"/>
      <c r="HH265" s="7"/>
      <c r="HK265" s="7"/>
      <c r="HL265" s="7"/>
      <c r="HO265" s="7"/>
      <c r="HP265" s="7"/>
    </row>
    <row r="266" spans="3:224" x14ac:dyDescent="0.3">
      <c r="C266" s="7"/>
      <c r="D266" s="7"/>
      <c r="G266" s="7"/>
      <c r="H266" s="7"/>
      <c r="K266" s="7"/>
      <c r="L266" s="7"/>
      <c r="O266" s="7"/>
      <c r="P266" s="7"/>
      <c r="S266" s="7"/>
      <c r="T266" s="7"/>
      <c r="W266" s="7"/>
      <c r="X266" s="7"/>
      <c r="AA266" s="7"/>
      <c r="AB266" s="7"/>
      <c r="AE266" s="7"/>
      <c r="AF266" s="7"/>
      <c r="AI266" s="7"/>
      <c r="AJ266" s="7"/>
      <c r="AM266" s="7"/>
      <c r="AN266" s="7"/>
      <c r="AQ266" s="7"/>
      <c r="AR266" s="7"/>
      <c r="AU266" s="7"/>
      <c r="AV266" s="7"/>
      <c r="AY266" s="7"/>
      <c r="AZ266" s="7"/>
      <c r="BC266" s="7"/>
      <c r="BD266" s="7"/>
      <c r="BG266" s="7"/>
      <c r="BH266" s="7"/>
      <c r="BK266" s="7"/>
      <c r="BL266" s="7"/>
      <c r="BO266" s="7"/>
      <c r="BP266" s="7"/>
      <c r="BS266" s="7"/>
      <c r="BT266" s="7"/>
      <c r="BW266" s="7"/>
      <c r="BX266" s="7"/>
      <c r="CA266" s="7"/>
      <c r="CB266" s="7"/>
      <c r="CE266" s="7"/>
      <c r="CF266" s="7"/>
      <c r="CI266" s="7"/>
      <c r="CJ266" s="7"/>
      <c r="CM266" s="7"/>
      <c r="CN266" s="7"/>
      <c r="CQ266" s="7"/>
      <c r="CR266" s="7"/>
      <c r="CU266" s="7"/>
      <c r="CV266" s="7"/>
      <c r="CY266" s="7"/>
      <c r="CZ266" s="7"/>
      <c r="DC266" s="7"/>
      <c r="DD266" s="7"/>
      <c r="DG266" s="7"/>
      <c r="DH266" s="7"/>
      <c r="DK266" s="7"/>
      <c r="DL266" s="7"/>
      <c r="DO266" s="7"/>
      <c r="DP266" s="7"/>
      <c r="DS266" s="7"/>
      <c r="DT266" s="7"/>
      <c r="DW266" s="7"/>
      <c r="DX266" s="7"/>
      <c r="EA266" s="7"/>
      <c r="EB266" s="7"/>
      <c r="EE266" s="7"/>
      <c r="EF266" s="7"/>
      <c r="EI266" s="7"/>
      <c r="EJ266" s="7"/>
      <c r="EM266" s="7"/>
      <c r="EN266" s="7"/>
      <c r="EQ266" s="7"/>
      <c r="ER266" s="7"/>
      <c r="EU266" s="7"/>
      <c r="EV266" s="7"/>
      <c r="EY266" s="7"/>
      <c r="EZ266" s="7"/>
      <c r="FC266" s="7"/>
      <c r="FD266" s="7"/>
      <c r="FG266" s="7"/>
      <c r="FH266" s="7"/>
      <c r="FK266" s="7"/>
      <c r="FL266" s="7"/>
      <c r="FO266" s="7"/>
      <c r="FP266" s="7"/>
      <c r="FS266" s="7"/>
      <c r="FT266" s="7"/>
      <c r="FW266" s="7"/>
      <c r="FX266" s="7"/>
      <c r="GA266" s="7"/>
      <c r="GB266" s="7"/>
      <c r="GE266" s="7"/>
      <c r="GF266" s="7"/>
      <c r="GI266" s="7"/>
      <c r="GJ266" s="7"/>
      <c r="GM266" s="7"/>
      <c r="GN266" s="7"/>
      <c r="GQ266" s="7"/>
      <c r="GR266" s="7"/>
      <c r="GU266" s="7"/>
      <c r="GV266" s="7"/>
      <c r="GY266" s="7"/>
      <c r="GZ266" s="7"/>
      <c r="HC266" s="7"/>
      <c r="HD266" s="7"/>
      <c r="HG266" s="7"/>
      <c r="HH266" s="7"/>
      <c r="HK266" s="7"/>
      <c r="HL266" s="7"/>
      <c r="HO266" s="7"/>
      <c r="HP266" s="7"/>
    </row>
    <row r="267" spans="3:224" x14ac:dyDescent="0.3">
      <c r="C267" s="7"/>
      <c r="D267" s="7"/>
      <c r="G267" s="7"/>
      <c r="H267" s="7"/>
      <c r="K267" s="7"/>
      <c r="L267" s="7"/>
      <c r="O267" s="7"/>
      <c r="P267" s="7"/>
      <c r="S267" s="7"/>
      <c r="T267" s="7"/>
      <c r="W267" s="7"/>
      <c r="X267" s="7"/>
      <c r="AA267" s="7"/>
      <c r="AB267" s="7"/>
      <c r="AE267" s="7"/>
      <c r="AF267" s="7"/>
      <c r="AI267" s="7"/>
      <c r="AJ267" s="7"/>
      <c r="AM267" s="7"/>
      <c r="AN267" s="7"/>
      <c r="AQ267" s="7"/>
      <c r="AR267" s="7"/>
      <c r="AU267" s="7"/>
      <c r="AV267" s="7"/>
      <c r="AY267" s="7"/>
      <c r="AZ267" s="7"/>
      <c r="BC267" s="7"/>
      <c r="BD267" s="7"/>
      <c r="BG267" s="7"/>
      <c r="BH267" s="7"/>
      <c r="BK267" s="7"/>
      <c r="BL267" s="7"/>
      <c r="BO267" s="7"/>
      <c r="BP267" s="7"/>
      <c r="BS267" s="7"/>
      <c r="BT267" s="7"/>
      <c r="BW267" s="7"/>
      <c r="BX267" s="7"/>
      <c r="CA267" s="7"/>
      <c r="CB267" s="7"/>
      <c r="CE267" s="7"/>
      <c r="CF267" s="7"/>
      <c r="CI267" s="7"/>
      <c r="CJ267" s="7"/>
      <c r="CM267" s="7"/>
      <c r="CN267" s="7"/>
      <c r="CQ267" s="7"/>
      <c r="CR267" s="7"/>
      <c r="CU267" s="7"/>
      <c r="CV267" s="7"/>
      <c r="CY267" s="7"/>
      <c r="CZ267" s="7"/>
      <c r="DC267" s="7"/>
      <c r="DD267" s="7"/>
      <c r="DG267" s="7"/>
      <c r="DH267" s="7"/>
      <c r="DK267" s="7"/>
      <c r="DL267" s="7"/>
      <c r="DO267" s="7"/>
      <c r="DP267" s="7"/>
      <c r="DS267" s="7"/>
      <c r="DT267" s="7"/>
      <c r="DW267" s="7"/>
      <c r="DX267" s="7"/>
      <c r="EA267" s="7"/>
      <c r="EB267" s="7"/>
      <c r="EE267" s="7"/>
      <c r="EF267" s="7"/>
      <c r="EI267" s="7"/>
      <c r="EJ267" s="7"/>
      <c r="EM267" s="7"/>
      <c r="EN267" s="7"/>
      <c r="EQ267" s="7"/>
      <c r="ER267" s="7"/>
      <c r="EU267" s="7"/>
      <c r="EV267" s="7"/>
      <c r="EY267" s="7"/>
      <c r="EZ267" s="7"/>
      <c r="FC267" s="7"/>
      <c r="FD267" s="7"/>
      <c r="FG267" s="7"/>
      <c r="FH267" s="7"/>
      <c r="FK267" s="7"/>
      <c r="FL267" s="7"/>
      <c r="FO267" s="7"/>
      <c r="FP267" s="7"/>
      <c r="FS267" s="7"/>
      <c r="FT267" s="7"/>
      <c r="FW267" s="7"/>
      <c r="FX267" s="7"/>
      <c r="GA267" s="7"/>
      <c r="GB267" s="7"/>
      <c r="GE267" s="7"/>
      <c r="GF267" s="7"/>
      <c r="GI267" s="7"/>
      <c r="GJ267" s="7"/>
      <c r="GM267" s="7"/>
      <c r="GN267" s="7"/>
      <c r="GQ267" s="7"/>
      <c r="GR267" s="7"/>
      <c r="GU267" s="7"/>
      <c r="GV267" s="7"/>
      <c r="GY267" s="7"/>
      <c r="GZ267" s="7"/>
      <c r="HC267" s="7"/>
      <c r="HD267" s="7"/>
      <c r="HG267" s="7"/>
      <c r="HH267" s="7"/>
      <c r="HK267" s="7"/>
      <c r="HL267" s="7"/>
      <c r="HO267" s="7"/>
      <c r="HP267" s="7"/>
    </row>
    <row r="268" spans="3:224" x14ac:dyDescent="0.3">
      <c r="C268" s="7"/>
      <c r="D268" s="7"/>
      <c r="G268" s="7"/>
      <c r="H268" s="7"/>
      <c r="K268" s="7"/>
      <c r="L268" s="7"/>
      <c r="O268" s="7"/>
      <c r="P268" s="7"/>
      <c r="S268" s="7"/>
      <c r="T268" s="7"/>
      <c r="W268" s="7"/>
      <c r="X268" s="7"/>
      <c r="AA268" s="7"/>
      <c r="AB268" s="7"/>
      <c r="AE268" s="7"/>
      <c r="AF268" s="7"/>
      <c r="AI268" s="7"/>
      <c r="AJ268" s="7"/>
      <c r="AM268" s="7"/>
      <c r="AN268" s="7"/>
      <c r="AQ268" s="7"/>
      <c r="AR268" s="7"/>
      <c r="AU268" s="7"/>
      <c r="AV268" s="7"/>
      <c r="AY268" s="7"/>
      <c r="AZ268" s="7"/>
      <c r="BC268" s="7"/>
      <c r="BD268" s="7"/>
      <c r="BG268" s="7"/>
      <c r="BH268" s="7"/>
      <c r="BK268" s="7"/>
      <c r="BL268" s="7"/>
      <c r="BO268" s="7"/>
      <c r="BP268" s="7"/>
      <c r="BS268" s="7"/>
      <c r="BT268" s="7"/>
      <c r="BW268" s="7"/>
      <c r="BX268" s="7"/>
      <c r="CA268" s="7"/>
      <c r="CB268" s="7"/>
      <c r="CE268" s="7"/>
      <c r="CF268" s="7"/>
      <c r="CI268" s="7"/>
      <c r="CJ268" s="7"/>
      <c r="CM268" s="7"/>
      <c r="CN268" s="7"/>
      <c r="CQ268" s="7"/>
      <c r="CR268" s="7"/>
      <c r="CU268" s="7"/>
      <c r="CV268" s="7"/>
      <c r="CY268" s="7"/>
      <c r="CZ268" s="7"/>
      <c r="DC268" s="7"/>
      <c r="DD268" s="7"/>
      <c r="DG268" s="7"/>
      <c r="DH268" s="7"/>
      <c r="DK268" s="7"/>
      <c r="DL268" s="7"/>
      <c r="DO268" s="7"/>
      <c r="DP268" s="7"/>
      <c r="DS268" s="7"/>
      <c r="DT268" s="7"/>
      <c r="DW268" s="7"/>
      <c r="DX268" s="7"/>
      <c r="EA268" s="7"/>
      <c r="EB268" s="7"/>
      <c r="EE268" s="7"/>
      <c r="EF268" s="7"/>
      <c r="EI268" s="7"/>
      <c r="EJ268" s="7"/>
      <c r="EM268" s="7"/>
      <c r="EN268" s="7"/>
      <c r="EQ268" s="7"/>
      <c r="ER268" s="7"/>
      <c r="EU268" s="7"/>
      <c r="EV268" s="7"/>
      <c r="EY268" s="7"/>
      <c r="EZ268" s="7"/>
      <c r="FC268" s="7"/>
      <c r="FD268" s="7"/>
      <c r="FG268" s="7"/>
      <c r="FH268" s="7"/>
      <c r="FK268" s="7"/>
      <c r="FL268" s="7"/>
      <c r="FO268" s="7"/>
      <c r="FP268" s="7"/>
      <c r="FS268" s="7"/>
      <c r="FT268" s="7"/>
      <c r="FW268" s="7"/>
      <c r="FX268" s="7"/>
      <c r="GA268" s="7"/>
      <c r="GB268" s="7"/>
      <c r="GE268" s="7"/>
      <c r="GF268" s="7"/>
      <c r="GI268" s="7"/>
      <c r="GJ268" s="7"/>
      <c r="GM268" s="7"/>
      <c r="GN268" s="7"/>
      <c r="GQ268" s="7"/>
      <c r="GR268" s="7"/>
      <c r="GU268" s="7"/>
      <c r="GV268" s="7"/>
      <c r="GY268" s="7"/>
      <c r="GZ268" s="7"/>
      <c r="HC268" s="7"/>
      <c r="HD268" s="7"/>
      <c r="HG268" s="7"/>
      <c r="HH268" s="7"/>
      <c r="HK268" s="7"/>
      <c r="HL268" s="7"/>
      <c r="HO268" s="7"/>
      <c r="HP268" s="7"/>
    </row>
    <row r="269" spans="3:224" x14ac:dyDescent="0.3">
      <c r="C269" s="7"/>
      <c r="D269" s="7"/>
      <c r="G269" s="7"/>
      <c r="H269" s="7"/>
      <c r="K269" s="7"/>
      <c r="L269" s="7"/>
      <c r="O269" s="7"/>
      <c r="P269" s="7"/>
      <c r="S269" s="7"/>
      <c r="T269" s="7"/>
      <c r="W269" s="7"/>
      <c r="X269" s="7"/>
      <c r="AA269" s="7"/>
      <c r="AB269" s="7"/>
      <c r="AE269" s="7"/>
      <c r="AF269" s="7"/>
      <c r="AI269" s="7"/>
      <c r="AJ269" s="7"/>
      <c r="AM269" s="7"/>
      <c r="AN269" s="7"/>
      <c r="AQ269" s="7"/>
      <c r="AR269" s="7"/>
      <c r="AU269" s="7"/>
      <c r="AV269" s="7"/>
      <c r="AY269" s="7"/>
      <c r="AZ269" s="7"/>
      <c r="BC269" s="7"/>
      <c r="BD269" s="7"/>
      <c r="BG269" s="7"/>
      <c r="BH269" s="7"/>
      <c r="BK269" s="7"/>
      <c r="BL269" s="7"/>
      <c r="BO269" s="7"/>
      <c r="BP269" s="7"/>
      <c r="BS269" s="7"/>
      <c r="BT269" s="7"/>
      <c r="BW269" s="7"/>
      <c r="BX269" s="7"/>
      <c r="CA269" s="7"/>
      <c r="CB269" s="7"/>
      <c r="CE269" s="7"/>
      <c r="CF269" s="7"/>
      <c r="CI269" s="7"/>
      <c r="CJ269" s="7"/>
      <c r="CM269" s="7"/>
      <c r="CN269" s="7"/>
      <c r="CQ269" s="7"/>
      <c r="CR269" s="7"/>
      <c r="CU269" s="7"/>
      <c r="CV269" s="7"/>
      <c r="CY269" s="7"/>
      <c r="CZ269" s="7"/>
      <c r="DC269" s="7"/>
      <c r="DD269" s="7"/>
      <c r="DG269" s="7"/>
      <c r="DH269" s="7"/>
      <c r="DK269" s="7"/>
      <c r="DL269" s="7"/>
      <c r="DO269" s="7"/>
      <c r="DP269" s="7"/>
      <c r="DS269" s="7"/>
      <c r="DT269" s="7"/>
      <c r="DW269" s="7"/>
      <c r="DX269" s="7"/>
      <c r="EA269" s="7"/>
      <c r="EB269" s="7"/>
      <c r="EE269" s="7"/>
      <c r="EF269" s="7"/>
      <c r="EI269" s="7"/>
      <c r="EJ269" s="7"/>
      <c r="EM269" s="7"/>
      <c r="EN269" s="7"/>
      <c r="EQ269" s="7"/>
      <c r="ER269" s="7"/>
      <c r="EU269" s="7"/>
      <c r="EV269" s="7"/>
      <c r="EY269" s="7"/>
      <c r="EZ269" s="7"/>
      <c r="FC269" s="7"/>
      <c r="FD269" s="7"/>
      <c r="FG269" s="7"/>
      <c r="FH269" s="7"/>
      <c r="FK269" s="7"/>
      <c r="FL269" s="7"/>
      <c r="FO269" s="7"/>
      <c r="FP269" s="7"/>
      <c r="FS269" s="7"/>
      <c r="FT269" s="7"/>
      <c r="FW269" s="7"/>
      <c r="FX269" s="7"/>
      <c r="GA269" s="7"/>
      <c r="GB269" s="7"/>
      <c r="GE269" s="7"/>
      <c r="GF269" s="7"/>
      <c r="GI269" s="7"/>
      <c r="GJ269" s="7"/>
      <c r="GM269" s="7"/>
      <c r="GN269" s="7"/>
      <c r="GQ269" s="7"/>
      <c r="GR269" s="7"/>
      <c r="GU269" s="7"/>
      <c r="GV269" s="7"/>
      <c r="GY269" s="7"/>
      <c r="GZ269" s="7"/>
      <c r="HC269" s="7"/>
      <c r="HD269" s="7"/>
      <c r="HG269" s="7"/>
      <c r="HH269" s="7"/>
      <c r="HK269" s="7"/>
      <c r="HL269" s="7"/>
      <c r="HO269" s="7"/>
      <c r="HP269" s="7"/>
    </row>
    <row r="270" spans="3:224" x14ac:dyDescent="0.3">
      <c r="C270" s="7"/>
      <c r="D270" s="7"/>
      <c r="G270" s="7"/>
      <c r="H270" s="7"/>
      <c r="K270" s="7"/>
      <c r="L270" s="7"/>
      <c r="O270" s="7"/>
      <c r="P270" s="7"/>
      <c r="S270" s="7"/>
      <c r="T270" s="7"/>
      <c r="W270" s="7"/>
      <c r="X270" s="7"/>
      <c r="AA270" s="7"/>
      <c r="AB270" s="7"/>
      <c r="AE270" s="7"/>
      <c r="AF270" s="7"/>
      <c r="AI270" s="7"/>
      <c r="AJ270" s="7"/>
      <c r="AM270" s="7"/>
      <c r="AN270" s="7"/>
      <c r="AQ270" s="7"/>
      <c r="AR270" s="7"/>
      <c r="AU270" s="7"/>
      <c r="AV270" s="7"/>
      <c r="AY270" s="7"/>
      <c r="AZ270" s="7"/>
      <c r="BC270" s="7"/>
      <c r="BD270" s="7"/>
      <c r="BG270" s="7"/>
      <c r="BH270" s="7"/>
      <c r="BK270" s="7"/>
      <c r="BL270" s="7"/>
      <c r="BO270" s="7"/>
      <c r="BP270" s="7"/>
      <c r="BS270" s="7"/>
      <c r="BT270" s="7"/>
      <c r="BW270" s="7"/>
      <c r="BX270" s="7"/>
      <c r="CA270" s="7"/>
      <c r="CB270" s="7"/>
      <c r="CE270" s="7"/>
      <c r="CF270" s="7"/>
      <c r="CI270" s="7"/>
      <c r="CJ270" s="7"/>
      <c r="CM270" s="7"/>
      <c r="CN270" s="7"/>
      <c r="CQ270" s="7"/>
      <c r="CR270" s="7"/>
      <c r="CU270" s="7"/>
      <c r="CV270" s="7"/>
      <c r="CY270" s="7"/>
      <c r="CZ270" s="7"/>
      <c r="DC270" s="7"/>
      <c r="DD270" s="7"/>
      <c r="DG270" s="7"/>
      <c r="DH270" s="7"/>
      <c r="DK270" s="7"/>
      <c r="DL270" s="7"/>
      <c r="DO270" s="7"/>
      <c r="DP270" s="7"/>
      <c r="DS270" s="7"/>
      <c r="DT270" s="7"/>
      <c r="DW270" s="7"/>
      <c r="DX270" s="7"/>
      <c r="EA270" s="7"/>
      <c r="EB270" s="7"/>
      <c r="EE270" s="7"/>
      <c r="EF270" s="7"/>
      <c r="EI270" s="7"/>
      <c r="EJ270" s="7"/>
      <c r="EM270" s="7"/>
      <c r="EN270" s="7"/>
      <c r="EQ270" s="7"/>
      <c r="ER270" s="7"/>
      <c r="EU270" s="7"/>
      <c r="EV270" s="7"/>
      <c r="EY270" s="7"/>
      <c r="EZ270" s="7"/>
      <c r="FC270" s="7"/>
      <c r="FD270" s="7"/>
      <c r="FG270" s="7"/>
      <c r="FH270" s="7"/>
      <c r="FK270" s="7"/>
      <c r="FL270" s="7"/>
      <c r="FO270" s="7"/>
      <c r="FP270" s="7"/>
      <c r="FS270" s="7"/>
      <c r="FT270" s="7"/>
      <c r="FW270" s="7"/>
      <c r="FX270" s="7"/>
      <c r="GA270" s="7"/>
      <c r="GB270" s="7"/>
      <c r="GE270" s="7"/>
      <c r="GF270" s="7"/>
      <c r="GI270" s="7"/>
      <c r="GJ270" s="7"/>
      <c r="GM270" s="7"/>
      <c r="GN270" s="7"/>
      <c r="GQ270" s="7"/>
      <c r="GR270" s="7"/>
      <c r="GU270" s="7"/>
      <c r="GV270" s="7"/>
      <c r="GY270" s="7"/>
      <c r="GZ270" s="7"/>
      <c r="HC270" s="7"/>
      <c r="HD270" s="7"/>
      <c r="HG270" s="7"/>
      <c r="HH270" s="7"/>
      <c r="HK270" s="7"/>
      <c r="HL270" s="7"/>
      <c r="HO270" s="7"/>
      <c r="HP270" s="7"/>
    </row>
    <row r="271" spans="3:224" x14ac:dyDescent="0.3">
      <c r="C271" s="7"/>
      <c r="D271" s="7"/>
      <c r="G271" s="7"/>
      <c r="H271" s="7"/>
      <c r="K271" s="7"/>
      <c r="L271" s="7"/>
      <c r="O271" s="7"/>
      <c r="P271" s="7"/>
      <c r="S271" s="7"/>
      <c r="T271" s="7"/>
      <c r="W271" s="7"/>
      <c r="X271" s="7"/>
      <c r="AA271" s="7"/>
      <c r="AB271" s="7"/>
      <c r="AE271" s="7"/>
      <c r="AF271" s="7"/>
      <c r="AI271" s="7"/>
      <c r="AJ271" s="7"/>
      <c r="AM271" s="7"/>
      <c r="AN271" s="7"/>
      <c r="AQ271" s="7"/>
      <c r="AR271" s="7"/>
      <c r="AU271" s="7"/>
      <c r="AV271" s="7"/>
      <c r="AY271" s="7"/>
      <c r="AZ271" s="7"/>
      <c r="BC271" s="7"/>
      <c r="BD271" s="7"/>
      <c r="BG271" s="7"/>
      <c r="BH271" s="7"/>
      <c r="BK271" s="7"/>
      <c r="BL271" s="7"/>
      <c r="BO271" s="7"/>
      <c r="BP271" s="7"/>
      <c r="BS271" s="7"/>
      <c r="BT271" s="7"/>
      <c r="BW271" s="7"/>
      <c r="BX271" s="7"/>
      <c r="CA271" s="7"/>
      <c r="CB271" s="7"/>
      <c r="CE271" s="7"/>
      <c r="CF271" s="7"/>
      <c r="CI271" s="7"/>
      <c r="CJ271" s="7"/>
      <c r="CM271" s="7"/>
      <c r="CN271" s="7"/>
      <c r="CQ271" s="7"/>
      <c r="CR271" s="7"/>
      <c r="CU271" s="7"/>
      <c r="CV271" s="7"/>
      <c r="CY271" s="7"/>
      <c r="CZ271" s="7"/>
      <c r="DC271" s="7"/>
      <c r="DD271" s="7"/>
      <c r="DG271" s="7"/>
      <c r="DH271" s="7"/>
      <c r="DK271" s="7"/>
      <c r="DL271" s="7"/>
      <c r="DO271" s="7"/>
      <c r="DP271" s="7"/>
      <c r="DS271" s="7"/>
      <c r="DT271" s="7"/>
      <c r="DW271" s="7"/>
      <c r="DX271" s="7"/>
      <c r="EA271" s="7"/>
      <c r="EB271" s="7"/>
      <c r="EE271" s="7"/>
      <c r="EF271" s="7"/>
      <c r="EI271" s="7"/>
      <c r="EJ271" s="7"/>
      <c r="EM271" s="7"/>
      <c r="EN271" s="7"/>
      <c r="EQ271" s="7"/>
      <c r="ER271" s="7"/>
      <c r="EU271" s="7"/>
      <c r="EV271" s="7"/>
      <c r="EY271" s="7"/>
      <c r="EZ271" s="7"/>
      <c r="FC271" s="7"/>
      <c r="FD271" s="7"/>
      <c r="FG271" s="7"/>
      <c r="FH271" s="7"/>
      <c r="FK271" s="7"/>
      <c r="FL271" s="7"/>
      <c r="FO271" s="7"/>
      <c r="FP271" s="7"/>
      <c r="FS271" s="7"/>
      <c r="FT271" s="7"/>
      <c r="FW271" s="7"/>
      <c r="FX271" s="7"/>
      <c r="GA271" s="7"/>
      <c r="GB271" s="7"/>
      <c r="GE271" s="7"/>
      <c r="GF271" s="7"/>
      <c r="GI271" s="7"/>
      <c r="GJ271" s="7"/>
      <c r="GM271" s="7"/>
      <c r="GN271" s="7"/>
      <c r="GQ271" s="7"/>
      <c r="GR271" s="7"/>
      <c r="GU271" s="7"/>
      <c r="GV271" s="7"/>
      <c r="GY271" s="7"/>
      <c r="GZ271" s="7"/>
      <c r="HC271" s="7"/>
      <c r="HD271" s="7"/>
      <c r="HG271" s="7"/>
      <c r="HH271" s="7"/>
      <c r="HK271" s="7"/>
      <c r="HL271" s="7"/>
      <c r="HO271" s="7"/>
      <c r="HP271" s="7"/>
    </row>
    <row r="272" spans="3:224" x14ac:dyDescent="0.3">
      <c r="C272" s="7"/>
      <c r="D272" s="7"/>
      <c r="G272" s="7"/>
      <c r="H272" s="7"/>
      <c r="K272" s="7"/>
      <c r="L272" s="7"/>
      <c r="O272" s="7"/>
      <c r="P272" s="7"/>
      <c r="S272" s="7"/>
      <c r="T272" s="7"/>
      <c r="W272" s="7"/>
      <c r="X272" s="7"/>
      <c r="AA272" s="7"/>
      <c r="AB272" s="7"/>
      <c r="AE272" s="7"/>
      <c r="AF272" s="7"/>
      <c r="AI272" s="7"/>
      <c r="AJ272" s="7"/>
      <c r="AM272" s="7"/>
      <c r="AN272" s="7"/>
      <c r="AQ272" s="7"/>
      <c r="AR272" s="7"/>
      <c r="AU272" s="7"/>
      <c r="AV272" s="7"/>
      <c r="AY272" s="7"/>
      <c r="AZ272" s="7"/>
      <c r="BC272" s="7"/>
      <c r="BD272" s="7"/>
      <c r="BG272" s="7"/>
      <c r="BH272" s="7"/>
      <c r="BK272" s="7"/>
      <c r="BL272" s="7"/>
      <c r="BO272" s="7"/>
      <c r="BP272" s="7"/>
      <c r="BS272" s="7"/>
      <c r="BT272" s="7"/>
      <c r="BW272" s="7"/>
      <c r="BX272" s="7"/>
      <c r="CA272" s="7"/>
      <c r="CB272" s="7"/>
      <c r="CE272" s="7"/>
      <c r="CF272" s="7"/>
      <c r="CI272" s="7"/>
      <c r="CJ272" s="7"/>
      <c r="CM272" s="7"/>
      <c r="CN272" s="7"/>
      <c r="CQ272" s="7"/>
      <c r="CR272" s="7"/>
      <c r="CU272" s="7"/>
      <c r="CV272" s="7"/>
      <c r="CY272" s="7"/>
      <c r="CZ272" s="7"/>
      <c r="DC272" s="7"/>
      <c r="DD272" s="7"/>
      <c r="DG272" s="7"/>
      <c r="DH272" s="7"/>
      <c r="DK272" s="7"/>
      <c r="DL272" s="7"/>
      <c r="DO272" s="7"/>
      <c r="DP272" s="7"/>
      <c r="DS272" s="7"/>
      <c r="DT272" s="7"/>
      <c r="DW272" s="7"/>
      <c r="DX272" s="7"/>
      <c r="EA272" s="7"/>
      <c r="EB272" s="7"/>
      <c r="EE272" s="7"/>
      <c r="EF272" s="7"/>
      <c r="EI272" s="7"/>
      <c r="EJ272" s="7"/>
      <c r="EM272" s="7"/>
      <c r="EN272" s="7"/>
      <c r="EQ272" s="7"/>
      <c r="ER272" s="7"/>
      <c r="EU272" s="7"/>
      <c r="EV272" s="7"/>
      <c r="EY272" s="7"/>
      <c r="EZ272" s="7"/>
      <c r="FC272" s="7"/>
      <c r="FD272" s="7"/>
      <c r="FG272" s="7"/>
      <c r="FH272" s="7"/>
      <c r="FK272" s="7"/>
      <c r="FL272" s="7"/>
      <c r="FO272" s="7"/>
      <c r="FP272" s="7"/>
      <c r="FS272" s="7"/>
      <c r="FT272" s="7"/>
      <c r="FW272" s="7"/>
      <c r="FX272" s="7"/>
      <c r="GA272" s="7"/>
      <c r="GB272" s="7"/>
      <c r="GE272" s="7"/>
      <c r="GF272" s="7"/>
      <c r="GI272" s="7"/>
      <c r="GJ272" s="7"/>
      <c r="GM272" s="7"/>
      <c r="GN272" s="7"/>
      <c r="GQ272" s="7"/>
      <c r="GR272" s="7"/>
      <c r="GU272" s="7"/>
      <c r="GV272" s="7"/>
      <c r="GY272" s="7"/>
      <c r="GZ272" s="7"/>
      <c r="HC272" s="7"/>
      <c r="HD272" s="7"/>
      <c r="HG272" s="7"/>
      <c r="HH272" s="7"/>
      <c r="HK272" s="7"/>
      <c r="HL272" s="7"/>
      <c r="HO272" s="7"/>
      <c r="HP272" s="7"/>
    </row>
    <row r="273" spans="3:224" x14ac:dyDescent="0.3">
      <c r="C273" s="7"/>
      <c r="D273" s="7"/>
      <c r="G273" s="7"/>
      <c r="H273" s="7"/>
      <c r="K273" s="7"/>
      <c r="L273" s="7"/>
      <c r="O273" s="7"/>
      <c r="P273" s="7"/>
      <c r="S273" s="7"/>
      <c r="T273" s="7"/>
      <c r="W273" s="7"/>
      <c r="X273" s="7"/>
      <c r="AA273" s="7"/>
      <c r="AB273" s="7"/>
      <c r="AE273" s="7"/>
      <c r="AF273" s="7"/>
      <c r="AI273" s="7"/>
      <c r="AJ273" s="7"/>
      <c r="AM273" s="7"/>
      <c r="AN273" s="7"/>
      <c r="AQ273" s="7"/>
      <c r="AR273" s="7"/>
      <c r="AU273" s="7"/>
      <c r="AV273" s="7"/>
      <c r="AY273" s="7"/>
      <c r="AZ273" s="7"/>
      <c r="BC273" s="7"/>
      <c r="BD273" s="7"/>
      <c r="BG273" s="7"/>
      <c r="BH273" s="7"/>
      <c r="BK273" s="7"/>
      <c r="BL273" s="7"/>
      <c r="BO273" s="7"/>
      <c r="BP273" s="7"/>
      <c r="BS273" s="7"/>
      <c r="BT273" s="7"/>
      <c r="BW273" s="7"/>
      <c r="BX273" s="7"/>
      <c r="CA273" s="7"/>
      <c r="CB273" s="7"/>
      <c r="CE273" s="7"/>
      <c r="CF273" s="7"/>
      <c r="CI273" s="7"/>
      <c r="CJ273" s="7"/>
      <c r="CM273" s="7"/>
      <c r="CN273" s="7"/>
      <c r="CQ273" s="7"/>
      <c r="CR273" s="7"/>
      <c r="CU273" s="7"/>
      <c r="CV273" s="7"/>
      <c r="CY273" s="7"/>
      <c r="CZ273" s="7"/>
      <c r="DC273" s="7"/>
      <c r="DD273" s="7"/>
      <c r="DG273" s="7"/>
      <c r="DH273" s="7"/>
      <c r="DK273" s="7"/>
      <c r="DL273" s="7"/>
      <c r="DO273" s="7"/>
      <c r="DP273" s="7"/>
      <c r="DS273" s="7"/>
      <c r="DT273" s="7"/>
      <c r="DW273" s="7"/>
      <c r="DX273" s="7"/>
      <c r="EA273" s="7"/>
      <c r="EB273" s="7"/>
      <c r="EE273" s="7"/>
      <c r="EF273" s="7"/>
      <c r="EI273" s="7"/>
      <c r="EJ273" s="7"/>
      <c r="EM273" s="7"/>
      <c r="EN273" s="7"/>
      <c r="EQ273" s="7"/>
      <c r="ER273" s="7"/>
      <c r="EU273" s="7"/>
      <c r="EV273" s="7"/>
      <c r="EY273" s="7"/>
      <c r="EZ273" s="7"/>
      <c r="FC273" s="7"/>
      <c r="FD273" s="7"/>
      <c r="FG273" s="7"/>
      <c r="FH273" s="7"/>
      <c r="FK273" s="7"/>
      <c r="FL273" s="7"/>
      <c r="FO273" s="7"/>
      <c r="FP273" s="7"/>
      <c r="FS273" s="7"/>
      <c r="FT273" s="7"/>
      <c r="FW273" s="7"/>
      <c r="FX273" s="7"/>
      <c r="GA273" s="7"/>
      <c r="GB273" s="7"/>
      <c r="GE273" s="7"/>
      <c r="GF273" s="7"/>
      <c r="GI273" s="7"/>
      <c r="GJ273" s="7"/>
      <c r="GM273" s="7"/>
      <c r="GN273" s="7"/>
      <c r="GQ273" s="7"/>
      <c r="GR273" s="7"/>
      <c r="GU273" s="7"/>
      <c r="GV273" s="7"/>
      <c r="GY273" s="7"/>
      <c r="GZ273" s="7"/>
      <c r="HC273" s="7"/>
      <c r="HD273" s="7"/>
      <c r="HG273" s="7"/>
      <c r="HH273" s="7"/>
      <c r="HK273" s="7"/>
      <c r="HL273" s="7"/>
      <c r="HO273" s="7"/>
      <c r="HP273" s="7"/>
    </row>
    <row r="274" spans="3:224" x14ac:dyDescent="0.3">
      <c r="C274" s="7"/>
      <c r="D274" s="7"/>
      <c r="G274" s="7"/>
      <c r="H274" s="7"/>
      <c r="K274" s="7"/>
      <c r="L274" s="7"/>
      <c r="O274" s="7"/>
      <c r="P274" s="7"/>
      <c r="S274" s="7"/>
      <c r="T274" s="7"/>
      <c r="W274" s="7"/>
      <c r="X274" s="7"/>
      <c r="AA274" s="7"/>
      <c r="AB274" s="7"/>
      <c r="AE274" s="7"/>
      <c r="AF274" s="7"/>
      <c r="AI274" s="7"/>
      <c r="AJ274" s="7"/>
      <c r="AM274" s="7"/>
      <c r="AN274" s="7"/>
      <c r="AQ274" s="7"/>
      <c r="AR274" s="7"/>
      <c r="AU274" s="7"/>
      <c r="AV274" s="7"/>
      <c r="AY274" s="7"/>
      <c r="AZ274" s="7"/>
      <c r="BC274" s="7"/>
      <c r="BD274" s="7"/>
      <c r="BG274" s="7"/>
      <c r="BH274" s="7"/>
      <c r="BK274" s="7"/>
      <c r="BL274" s="7"/>
      <c r="BO274" s="7"/>
      <c r="BP274" s="7"/>
      <c r="BS274" s="7"/>
      <c r="BT274" s="7"/>
      <c r="BW274" s="7"/>
      <c r="BX274" s="7"/>
      <c r="CA274" s="7"/>
      <c r="CB274" s="7"/>
      <c r="CE274" s="7"/>
      <c r="CF274" s="7"/>
      <c r="CI274" s="7"/>
      <c r="CJ274" s="7"/>
      <c r="CM274" s="7"/>
      <c r="CN274" s="7"/>
      <c r="CQ274" s="7"/>
      <c r="CR274" s="7"/>
      <c r="CU274" s="7"/>
      <c r="CV274" s="7"/>
      <c r="CY274" s="7"/>
      <c r="CZ274" s="7"/>
      <c r="DC274" s="7"/>
      <c r="DD274" s="7"/>
      <c r="DG274" s="7"/>
      <c r="DH274" s="7"/>
      <c r="DK274" s="7"/>
      <c r="DL274" s="7"/>
      <c r="DO274" s="7"/>
      <c r="DP274" s="7"/>
      <c r="DS274" s="7"/>
      <c r="DT274" s="7"/>
      <c r="DW274" s="7"/>
      <c r="DX274" s="7"/>
      <c r="EA274" s="7"/>
      <c r="EB274" s="7"/>
      <c r="EE274" s="7"/>
      <c r="EF274" s="7"/>
      <c r="EI274" s="7"/>
      <c r="EJ274" s="7"/>
      <c r="EM274" s="7"/>
      <c r="EN274" s="7"/>
      <c r="EQ274" s="7"/>
      <c r="ER274" s="7"/>
      <c r="EU274" s="7"/>
      <c r="EV274" s="7"/>
      <c r="EY274" s="7"/>
      <c r="EZ274" s="7"/>
      <c r="FC274" s="7"/>
      <c r="FD274" s="7"/>
      <c r="FG274" s="7"/>
      <c r="FH274" s="7"/>
      <c r="FK274" s="7"/>
      <c r="FL274" s="7"/>
      <c r="FO274" s="7"/>
      <c r="FP274" s="7"/>
      <c r="FS274" s="7"/>
      <c r="FT274" s="7"/>
      <c r="FW274" s="7"/>
      <c r="FX274" s="7"/>
      <c r="GA274" s="7"/>
      <c r="GB274" s="7"/>
      <c r="GE274" s="7"/>
      <c r="GF274" s="7"/>
      <c r="GI274" s="7"/>
      <c r="GJ274" s="7"/>
      <c r="GM274" s="7"/>
      <c r="GN274" s="7"/>
      <c r="GQ274" s="7"/>
      <c r="GR274" s="7"/>
      <c r="GU274" s="7"/>
      <c r="GV274" s="7"/>
      <c r="GY274" s="7"/>
      <c r="GZ274" s="7"/>
      <c r="HC274" s="7"/>
      <c r="HD274" s="7"/>
      <c r="HG274" s="7"/>
      <c r="HH274" s="7"/>
      <c r="HK274" s="7"/>
      <c r="HL274" s="7"/>
      <c r="HO274" s="7"/>
      <c r="HP274" s="7"/>
    </row>
    <row r="275" spans="3:224" x14ac:dyDescent="0.3">
      <c r="C275" s="7"/>
      <c r="D275" s="7"/>
      <c r="G275" s="7"/>
      <c r="H275" s="7"/>
      <c r="K275" s="7"/>
      <c r="L275" s="7"/>
      <c r="O275" s="7"/>
      <c r="P275" s="7"/>
      <c r="S275" s="7"/>
      <c r="T275" s="7"/>
      <c r="W275" s="7"/>
      <c r="X275" s="7"/>
      <c r="AA275" s="7"/>
      <c r="AB275" s="7"/>
      <c r="AE275" s="7"/>
      <c r="AF275" s="7"/>
      <c r="AI275" s="7"/>
      <c r="AJ275" s="7"/>
      <c r="AM275" s="7"/>
      <c r="AN275" s="7"/>
      <c r="AQ275" s="7"/>
      <c r="AR275" s="7"/>
      <c r="AU275" s="7"/>
      <c r="AV275" s="7"/>
      <c r="AY275" s="7"/>
      <c r="AZ275" s="7"/>
      <c r="BC275" s="7"/>
      <c r="BD275" s="7"/>
      <c r="BG275" s="7"/>
      <c r="BH275" s="7"/>
      <c r="BK275" s="7"/>
      <c r="BL275" s="7"/>
      <c r="BO275" s="7"/>
      <c r="BP275" s="7"/>
      <c r="BS275" s="7"/>
      <c r="BT275" s="7"/>
      <c r="BW275" s="7"/>
      <c r="BX275" s="7"/>
      <c r="CA275" s="7"/>
      <c r="CB275" s="7"/>
      <c r="CE275" s="7"/>
      <c r="CF275" s="7"/>
      <c r="CI275" s="7"/>
      <c r="CJ275" s="7"/>
      <c r="CM275" s="7"/>
      <c r="CN275" s="7"/>
      <c r="CQ275" s="7"/>
      <c r="CR275" s="7"/>
      <c r="CU275" s="7"/>
      <c r="CV275" s="7"/>
      <c r="CY275" s="7"/>
      <c r="CZ275" s="7"/>
      <c r="DC275" s="7"/>
      <c r="DD275" s="7"/>
      <c r="DG275" s="7"/>
      <c r="DH275" s="7"/>
      <c r="DK275" s="7"/>
      <c r="DL275" s="7"/>
      <c r="DO275" s="7"/>
      <c r="DP275" s="7"/>
      <c r="DS275" s="7"/>
      <c r="DT275" s="7"/>
      <c r="DW275" s="7"/>
      <c r="DX275" s="7"/>
      <c r="EA275" s="7"/>
      <c r="EB275" s="7"/>
      <c r="EE275" s="7"/>
      <c r="EF275" s="7"/>
      <c r="EI275" s="7"/>
      <c r="EJ275" s="7"/>
      <c r="EM275" s="7"/>
      <c r="EN275" s="7"/>
      <c r="EQ275" s="7"/>
      <c r="ER275" s="7"/>
      <c r="EU275" s="7"/>
      <c r="EV275" s="7"/>
      <c r="EY275" s="7"/>
      <c r="EZ275" s="7"/>
      <c r="FC275" s="7"/>
      <c r="FD275" s="7"/>
      <c r="FG275" s="7"/>
      <c r="FH275" s="7"/>
      <c r="FK275" s="7"/>
      <c r="FL275" s="7"/>
      <c r="FO275" s="7"/>
      <c r="FP275" s="7"/>
      <c r="FS275" s="7"/>
      <c r="FT275" s="7"/>
      <c r="FW275" s="7"/>
      <c r="FX275" s="7"/>
      <c r="GA275" s="7"/>
      <c r="GB275" s="7"/>
      <c r="GE275" s="7"/>
      <c r="GF275" s="7"/>
      <c r="GI275" s="7"/>
      <c r="GJ275" s="7"/>
      <c r="GM275" s="7"/>
      <c r="GN275" s="7"/>
      <c r="GQ275" s="7"/>
      <c r="GR275" s="7"/>
      <c r="GU275" s="7"/>
      <c r="GV275" s="7"/>
      <c r="GY275" s="7"/>
      <c r="GZ275" s="7"/>
      <c r="HC275" s="7"/>
      <c r="HD275" s="7"/>
      <c r="HG275" s="7"/>
      <c r="HH275" s="7"/>
      <c r="HK275" s="7"/>
      <c r="HL275" s="7"/>
      <c r="HO275" s="7"/>
      <c r="HP275" s="7"/>
    </row>
    <row r="276" spans="3:224" x14ac:dyDescent="0.3">
      <c r="C276" s="7"/>
      <c r="D276" s="7"/>
      <c r="G276" s="7"/>
      <c r="H276" s="7"/>
      <c r="K276" s="7"/>
      <c r="L276" s="7"/>
      <c r="O276" s="7"/>
      <c r="P276" s="7"/>
      <c r="S276" s="7"/>
      <c r="T276" s="7"/>
      <c r="W276" s="7"/>
      <c r="X276" s="7"/>
      <c r="AA276" s="7"/>
      <c r="AB276" s="7"/>
      <c r="AE276" s="7"/>
      <c r="AF276" s="7"/>
      <c r="AI276" s="7"/>
      <c r="AJ276" s="7"/>
      <c r="AM276" s="7"/>
      <c r="AN276" s="7"/>
      <c r="AQ276" s="7"/>
      <c r="AR276" s="7"/>
      <c r="AU276" s="7"/>
      <c r="AV276" s="7"/>
      <c r="AY276" s="7"/>
      <c r="AZ276" s="7"/>
      <c r="BC276" s="7"/>
      <c r="BD276" s="7"/>
      <c r="BG276" s="7"/>
      <c r="BH276" s="7"/>
      <c r="BK276" s="7"/>
      <c r="BL276" s="7"/>
      <c r="BO276" s="7"/>
      <c r="BP276" s="7"/>
      <c r="BS276" s="7"/>
      <c r="BT276" s="7"/>
      <c r="BW276" s="7"/>
      <c r="BX276" s="7"/>
      <c r="CA276" s="7"/>
      <c r="CB276" s="7"/>
      <c r="CE276" s="7"/>
      <c r="CF276" s="7"/>
      <c r="CI276" s="7"/>
      <c r="CJ276" s="7"/>
      <c r="CM276" s="7"/>
      <c r="CN276" s="7"/>
      <c r="CQ276" s="7"/>
      <c r="CR276" s="7"/>
      <c r="CU276" s="7"/>
      <c r="CV276" s="7"/>
      <c r="CY276" s="7"/>
      <c r="CZ276" s="7"/>
      <c r="DC276" s="7"/>
      <c r="DD276" s="7"/>
      <c r="DG276" s="7"/>
      <c r="DH276" s="7"/>
      <c r="DK276" s="7"/>
      <c r="DL276" s="7"/>
      <c r="DO276" s="7"/>
      <c r="DP276" s="7"/>
      <c r="DS276" s="7"/>
      <c r="DT276" s="7"/>
      <c r="DW276" s="7"/>
      <c r="DX276" s="7"/>
      <c r="EA276" s="7"/>
      <c r="EB276" s="7"/>
      <c r="EE276" s="7"/>
      <c r="EF276" s="7"/>
      <c r="EI276" s="7"/>
      <c r="EJ276" s="7"/>
      <c r="EM276" s="7"/>
      <c r="EN276" s="7"/>
      <c r="EQ276" s="7"/>
      <c r="ER276" s="7"/>
      <c r="EU276" s="7"/>
      <c r="EV276" s="7"/>
      <c r="EY276" s="7"/>
      <c r="EZ276" s="7"/>
      <c r="FC276" s="7"/>
      <c r="FD276" s="7"/>
      <c r="FG276" s="7"/>
      <c r="FH276" s="7"/>
      <c r="FK276" s="7"/>
      <c r="FL276" s="7"/>
      <c r="FO276" s="7"/>
      <c r="FP276" s="7"/>
      <c r="FS276" s="7"/>
      <c r="FT276" s="7"/>
      <c r="FW276" s="7"/>
      <c r="FX276" s="7"/>
      <c r="GA276" s="7"/>
      <c r="GB276" s="7"/>
      <c r="GE276" s="7"/>
      <c r="GF276" s="7"/>
      <c r="GI276" s="7"/>
      <c r="GJ276" s="7"/>
      <c r="GM276" s="7"/>
      <c r="GN276" s="7"/>
      <c r="GQ276" s="7"/>
      <c r="GR276" s="7"/>
      <c r="GU276" s="7"/>
      <c r="GV276" s="7"/>
      <c r="GY276" s="7"/>
      <c r="GZ276" s="7"/>
      <c r="HC276" s="7"/>
      <c r="HD276" s="7"/>
      <c r="HG276" s="7"/>
      <c r="HH276" s="7"/>
      <c r="HK276" s="7"/>
      <c r="HL276" s="7"/>
      <c r="HO276" s="7"/>
      <c r="HP276" s="7"/>
    </row>
    <row r="277" spans="3:224" x14ac:dyDescent="0.3">
      <c r="C277" s="7"/>
      <c r="D277" s="7"/>
      <c r="G277" s="7"/>
      <c r="H277" s="7"/>
      <c r="K277" s="7"/>
      <c r="L277" s="7"/>
      <c r="O277" s="7"/>
      <c r="P277" s="7"/>
      <c r="S277" s="7"/>
      <c r="T277" s="7"/>
      <c r="W277" s="7"/>
      <c r="X277" s="7"/>
      <c r="AA277" s="7"/>
      <c r="AB277" s="7"/>
      <c r="AE277" s="7"/>
      <c r="AF277" s="7"/>
      <c r="AI277" s="7"/>
      <c r="AJ277" s="7"/>
      <c r="AM277" s="7"/>
      <c r="AN277" s="7"/>
      <c r="AQ277" s="7"/>
      <c r="AR277" s="7"/>
      <c r="AU277" s="7"/>
      <c r="AV277" s="7"/>
      <c r="AY277" s="7"/>
      <c r="AZ277" s="7"/>
      <c r="BC277" s="7"/>
      <c r="BD277" s="7"/>
      <c r="BG277" s="7"/>
      <c r="BH277" s="7"/>
      <c r="BK277" s="7"/>
      <c r="BL277" s="7"/>
      <c r="BO277" s="7"/>
      <c r="BP277" s="7"/>
      <c r="BS277" s="7"/>
      <c r="BT277" s="7"/>
      <c r="BW277" s="7"/>
      <c r="BX277" s="7"/>
      <c r="CA277" s="7"/>
      <c r="CB277" s="7"/>
      <c r="CE277" s="7"/>
      <c r="CF277" s="7"/>
      <c r="CI277" s="7"/>
      <c r="CJ277" s="7"/>
      <c r="CM277" s="7"/>
      <c r="CN277" s="7"/>
      <c r="CQ277" s="7"/>
      <c r="CR277" s="7"/>
      <c r="CU277" s="7"/>
      <c r="CV277" s="7"/>
      <c r="CY277" s="7"/>
      <c r="CZ277" s="7"/>
      <c r="DC277" s="7"/>
      <c r="DD277" s="7"/>
      <c r="DG277" s="7"/>
      <c r="DH277" s="7"/>
      <c r="DK277" s="7"/>
      <c r="DL277" s="7"/>
      <c r="DO277" s="7"/>
      <c r="DP277" s="7"/>
      <c r="DS277" s="7"/>
      <c r="DT277" s="7"/>
      <c r="DW277" s="7"/>
      <c r="DX277" s="7"/>
      <c r="EA277" s="7"/>
      <c r="EB277" s="7"/>
      <c r="EE277" s="7"/>
      <c r="EF277" s="7"/>
      <c r="EI277" s="7"/>
      <c r="EJ277" s="7"/>
      <c r="EM277" s="7"/>
      <c r="EN277" s="7"/>
      <c r="EQ277" s="7"/>
      <c r="ER277" s="7"/>
      <c r="EU277" s="7"/>
      <c r="EV277" s="7"/>
      <c r="EY277" s="7"/>
      <c r="EZ277" s="7"/>
      <c r="FC277" s="7"/>
      <c r="FD277" s="7"/>
      <c r="FG277" s="7"/>
      <c r="FH277" s="7"/>
      <c r="FK277" s="7"/>
      <c r="FL277" s="7"/>
      <c r="FO277" s="7"/>
      <c r="FP277" s="7"/>
      <c r="FS277" s="7"/>
      <c r="FT277" s="7"/>
      <c r="FW277" s="7"/>
      <c r="FX277" s="7"/>
      <c r="GA277" s="7"/>
      <c r="GB277" s="7"/>
      <c r="GE277" s="7"/>
      <c r="GF277" s="7"/>
      <c r="GI277" s="7"/>
      <c r="GJ277" s="7"/>
      <c r="GM277" s="7"/>
      <c r="GN277" s="7"/>
      <c r="GQ277" s="7"/>
      <c r="GR277" s="7"/>
      <c r="GU277" s="7"/>
      <c r="GV277" s="7"/>
      <c r="GY277" s="7"/>
      <c r="GZ277" s="7"/>
      <c r="HC277" s="7"/>
      <c r="HD277" s="7"/>
      <c r="HG277" s="7"/>
      <c r="HH277" s="7"/>
      <c r="HK277" s="7"/>
      <c r="HL277" s="7"/>
      <c r="HO277" s="7"/>
      <c r="HP277" s="7"/>
    </row>
    <row r="278" spans="3:224" x14ac:dyDescent="0.3">
      <c r="C278" s="7"/>
      <c r="D278" s="7"/>
      <c r="G278" s="7"/>
      <c r="H278" s="7"/>
      <c r="K278" s="7"/>
      <c r="L278" s="7"/>
      <c r="O278" s="7"/>
      <c r="P278" s="7"/>
      <c r="S278" s="7"/>
      <c r="T278" s="7"/>
      <c r="W278" s="7"/>
      <c r="X278" s="7"/>
      <c r="AA278" s="7"/>
      <c r="AB278" s="7"/>
      <c r="AE278" s="7"/>
      <c r="AF278" s="7"/>
      <c r="AI278" s="7"/>
      <c r="AJ278" s="7"/>
      <c r="AM278" s="7"/>
      <c r="AN278" s="7"/>
      <c r="AQ278" s="7"/>
      <c r="AR278" s="7"/>
      <c r="AU278" s="7"/>
      <c r="AV278" s="7"/>
      <c r="AY278" s="7"/>
      <c r="AZ278" s="7"/>
      <c r="BC278" s="7"/>
      <c r="BD278" s="7"/>
      <c r="BG278" s="7"/>
      <c r="BH278" s="7"/>
      <c r="BK278" s="7"/>
      <c r="BL278" s="7"/>
      <c r="BO278" s="7"/>
      <c r="BP278" s="7"/>
      <c r="BS278" s="7"/>
      <c r="BT278" s="7"/>
      <c r="BW278" s="7"/>
      <c r="BX278" s="7"/>
      <c r="CA278" s="7"/>
      <c r="CB278" s="7"/>
      <c r="CE278" s="7"/>
      <c r="CF278" s="7"/>
      <c r="CI278" s="7"/>
      <c r="CJ278" s="7"/>
      <c r="CM278" s="7"/>
      <c r="CN278" s="7"/>
      <c r="CQ278" s="7"/>
      <c r="CR278" s="7"/>
      <c r="CU278" s="7"/>
      <c r="CV278" s="7"/>
      <c r="CY278" s="7"/>
      <c r="CZ278" s="7"/>
      <c r="DC278" s="7"/>
      <c r="DD278" s="7"/>
      <c r="DG278" s="7"/>
      <c r="DH278" s="7"/>
      <c r="DK278" s="7"/>
      <c r="DL278" s="7"/>
      <c r="DO278" s="7"/>
      <c r="DP278" s="7"/>
      <c r="DS278" s="7"/>
      <c r="DT278" s="7"/>
      <c r="DW278" s="7"/>
      <c r="DX278" s="7"/>
      <c r="EA278" s="7"/>
      <c r="EB278" s="7"/>
      <c r="EE278" s="7"/>
      <c r="EF278" s="7"/>
      <c r="EI278" s="7"/>
      <c r="EJ278" s="7"/>
      <c r="EM278" s="7"/>
      <c r="EN278" s="7"/>
      <c r="EQ278" s="7"/>
      <c r="ER278" s="7"/>
      <c r="EU278" s="7"/>
      <c r="EV278" s="7"/>
      <c r="EY278" s="7"/>
      <c r="EZ278" s="7"/>
      <c r="FC278" s="7"/>
      <c r="FD278" s="7"/>
      <c r="FG278" s="7"/>
      <c r="FH278" s="7"/>
      <c r="FK278" s="7"/>
      <c r="FL278" s="7"/>
      <c r="FO278" s="7"/>
      <c r="FP278" s="7"/>
      <c r="FS278" s="7"/>
      <c r="FT278" s="7"/>
      <c r="FW278" s="7"/>
      <c r="FX278" s="7"/>
      <c r="GA278" s="7"/>
      <c r="GB278" s="7"/>
      <c r="GE278" s="7"/>
      <c r="GF278" s="7"/>
      <c r="GI278" s="7"/>
      <c r="GJ278" s="7"/>
      <c r="GM278" s="7"/>
      <c r="GN278" s="7"/>
      <c r="GQ278" s="7"/>
      <c r="GR278" s="7"/>
      <c r="GU278" s="7"/>
      <c r="GV278" s="7"/>
      <c r="GY278" s="7"/>
      <c r="GZ278" s="7"/>
      <c r="HC278" s="7"/>
      <c r="HD278" s="7"/>
      <c r="HG278" s="7"/>
      <c r="HH278" s="7"/>
      <c r="HK278" s="7"/>
      <c r="HL278" s="7"/>
      <c r="HO278" s="7"/>
      <c r="HP278" s="7"/>
    </row>
    <row r="279" spans="3:224" x14ac:dyDescent="0.3">
      <c r="C279" s="7"/>
      <c r="D279" s="7"/>
      <c r="G279" s="7"/>
      <c r="H279" s="7"/>
      <c r="K279" s="7"/>
      <c r="L279" s="7"/>
      <c r="O279" s="7"/>
      <c r="P279" s="7"/>
      <c r="S279" s="7"/>
      <c r="T279" s="7"/>
      <c r="W279" s="7"/>
      <c r="X279" s="7"/>
      <c r="AA279" s="7"/>
      <c r="AB279" s="7"/>
      <c r="AE279" s="7"/>
      <c r="AF279" s="7"/>
      <c r="AI279" s="7"/>
      <c r="AJ279" s="7"/>
      <c r="AM279" s="7"/>
      <c r="AN279" s="7"/>
      <c r="AQ279" s="7"/>
      <c r="AR279" s="7"/>
      <c r="AU279" s="7"/>
      <c r="AV279" s="7"/>
      <c r="AY279" s="7"/>
      <c r="AZ279" s="7"/>
      <c r="BC279" s="7"/>
      <c r="BD279" s="7"/>
      <c r="BG279" s="7"/>
      <c r="BH279" s="7"/>
      <c r="BK279" s="7"/>
      <c r="BL279" s="7"/>
      <c r="BO279" s="7"/>
      <c r="BP279" s="7"/>
      <c r="BS279" s="7"/>
      <c r="BT279" s="7"/>
      <c r="BW279" s="7"/>
      <c r="BX279" s="7"/>
      <c r="CA279" s="7"/>
      <c r="CB279" s="7"/>
      <c r="CE279" s="7"/>
      <c r="CF279" s="7"/>
      <c r="CI279" s="7"/>
      <c r="CJ279" s="7"/>
      <c r="CM279" s="7"/>
      <c r="CN279" s="7"/>
      <c r="CQ279" s="7"/>
      <c r="CR279" s="7"/>
      <c r="CU279" s="7"/>
      <c r="CV279" s="7"/>
      <c r="CY279" s="7"/>
      <c r="CZ279" s="7"/>
      <c r="DC279" s="7"/>
      <c r="DD279" s="7"/>
      <c r="DG279" s="7"/>
      <c r="DH279" s="7"/>
      <c r="DK279" s="7"/>
      <c r="DL279" s="7"/>
      <c r="DO279" s="7"/>
      <c r="DP279" s="7"/>
      <c r="DS279" s="7"/>
      <c r="DT279" s="7"/>
      <c r="DW279" s="7"/>
      <c r="DX279" s="7"/>
      <c r="EA279" s="7"/>
      <c r="EB279" s="7"/>
      <c r="EE279" s="7"/>
      <c r="EF279" s="7"/>
      <c r="EI279" s="7"/>
      <c r="EJ279" s="7"/>
      <c r="EM279" s="7"/>
      <c r="EN279" s="7"/>
      <c r="EQ279" s="7"/>
      <c r="ER279" s="7"/>
      <c r="EU279" s="7"/>
      <c r="EV279" s="7"/>
      <c r="EY279" s="7"/>
      <c r="EZ279" s="7"/>
      <c r="FC279" s="7"/>
      <c r="FD279" s="7"/>
      <c r="FG279" s="7"/>
      <c r="FH279" s="7"/>
      <c r="FK279" s="7"/>
      <c r="FL279" s="7"/>
      <c r="FO279" s="7"/>
      <c r="FP279" s="7"/>
      <c r="FS279" s="7"/>
      <c r="FT279" s="7"/>
      <c r="FW279" s="7"/>
      <c r="FX279" s="7"/>
      <c r="GA279" s="7"/>
      <c r="GB279" s="7"/>
      <c r="GE279" s="7"/>
      <c r="GF279" s="7"/>
      <c r="GI279" s="7"/>
      <c r="GJ279" s="7"/>
      <c r="GM279" s="7"/>
      <c r="GN279" s="7"/>
      <c r="GQ279" s="7"/>
      <c r="GR279" s="7"/>
      <c r="GU279" s="7"/>
      <c r="GV279" s="7"/>
      <c r="GY279" s="7"/>
      <c r="GZ279" s="7"/>
      <c r="HC279" s="7"/>
      <c r="HD279" s="7"/>
      <c r="HG279" s="7"/>
      <c r="HH279" s="7"/>
      <c r="HK279" s="7"/>
      <c r="HL279" s="7"/>
      <c r="HO279" s="7"/>
      <c r="HP279" s="7"/>
    </row>
    <row r="280" spans="3:224" x14ac:dyDescent="0.3">
      <c r="C280" s="7"/>
      <c r="D280" s="7"/>
      <c r="G280" s="7"/>
      <c r="H280" s="7"/>
      <c r="K280" s="7"/>
      <c r="L280" s="7"/>
      <c r="O280" s="7"/>
      <c r="P280" s="7"/>
      <c r="S280" s="7"/>
      <c r="T280" s="7"/>
      <c r="W280" s="7"/>
      <c r="X280" s="7"/>
      <c r="AA280" s="7"/>
      <c r="AB280" s="7"/>
      <c r="AE280" s="7"/>
      <c r="AF280" s="7"/>
      <c r="AI280" s="7"/>
      <c r="AJ280" s="7"/>
      <c r="AM280" s="7"/>
      <c r="AN280" s="7"/>
      <c r="AQ280" s="7"/>
      <c r="AR280" s="7"/>
      <c r="AU280" s="7"/>
      <c r="AV280" s="7"/>
      <c r="AY280" s="7"/>
      <c r="AZ280" s="7"/>
      <c r="BC280" s="7"/>
      <c r="BD280" s="7"/>
      <c r="BG280" s="7"/>
      <c r="BH280" s="7"/>
      <c r="BK280" s="7"/>
      <c r="BL280" s="7"/>
      <c r="BO280" s="7"/>
      <c r="BP280" s="7"/>
      <c r="BS280" s="7"/>
      <c r="BT280" s="7"/>
      <c r="BW280" s="7"/>
      <c r="BX280" s="7"/>
      <c r="CA280" s="7"/>
      <c r="CB280" s="7"/>
      <c r="CE280" s="7"/>
      <c r="CF280" s="7"/>
      <c r="CI280" s="7"/>
      <c r="CJ280" s="7"/>
      <c r="CM280" s="7"/>
      <c r="CN280" s="7"/>
      <c r="CQ280" s="7"/>
      <c r="CR280" s="7"/>
      <c r="CU280" s="7"/>
      <c r="CV280" s="7"/>
      <c r="CY280" s="7"/>
      <c r="CZ280" s="7"/>
      <c r="DC280" s="7"/>
      <c r="DD280" s="7"/>
      <c r="DG280" s="7"/>
      <c r="DH280" s="7"/>
      <c r="DK280" s="7"/>
      <c r="DL280" s="7"/>
      <c r="DO280" s="7"/>
      <c r="DP280" s="7"/>
      <c r="DS280" s="7"/>
      <c r="DT280" s="7"/>
      <c r="DW280" s="7"/>
      <c r="DX280" s="7"/>
      <c r="EA280" s="7"/>
      <c r="EB280" s="7"/>
      <c r="EE280" s="7"/>
      <c r="EF280" s="7"/>
      <c r="EI280" s="7"/>
      <c r="EJ280" s="7"/>
      <c r="EM280" s="7"/>
      <c r="EN280" s="7"/>
      <c r="EQ280" s="7"/>
      <c r="ER280" s="7"/>
      <c r="EU280" s="7"/>
      <c r="EV280" s="7"/>
      <c r="EY280" s="7"/>
      <c r="EZ280" s="7"/>
      <c r="FC280" s="7"/>
      <c r="FD280" s="7"/>
      <c r="FG280" s="7"/>
      <c r="FH280" s="7"/>
      <c r="FK280" s="7"/>
      <c r="FL280" s="7"/>
      <c r="FO280" s="7"/>
      <c r="FP280" s="7"/>
      <c r="FS280" s="7"/>
      <c r="FT280" s="7"/>
      <c r="FW280" s="7"/>
      <c r="FX280" s="7"/>
      <c r="GA280" s="7"/>
      <c r="GB280" s="7"/>
      <c r="GE280" s="7"/>
      <c r="GF280" s="7"/>
      <c r="GI280" s="7"/>
      <c r="GJ280" s="7"/>
      <c r="GM280" s="7"/>
      <c r="GN280" s="7"/>
      <c r="GQ280" s="7"/>
      <c r="GR280" s="7"/>
      <c r="GU280" s="7"/>
      <c r="GV280" s="7"/>
      <c r="GY280" s="7"/>
      <c r="GZ280" s="7"/>
      <c r="HC280" s="7"/>
      <c r="HD280" s="7"/>
      <c r="HG280" s="7"/>
      <c r="HH280" s="7"/>
      <c r="HK280" s="7"/>
      <c r="HL280" s="7"/>
      <c r="HO280" s="7"/>
      <c r="HP280" s="7"/>
    </row>
    <row r="281" spans="3:224" x14ac:dyDescent="0.3">
      <c r="C281" s="7"/>
      <c r="D281" s="7"/>
      <c r="G281" s="7"/>
      <c r="H281" s="7"/>
      <c r="K281" s="7"/>
      <c r="L281" s="7"/>
      <c r="O281" s="7"/>
      <c r="P281" s="7"/>
      <c r="S281" s="7"/>
      <c r="T281" s="7"/>
      <c r="W281" s="7"/>
      <c r="X281" s="7"/>
      <c r="AA281" s="7"/>
      <c r="AB281" s="7"/>
      <c r="AE281" s="7"/>
      <c r="AF281" s="7"/>
      <c r="AI281" s="7"/>
      <c r="AJ281" s="7"/>
      <c r="AM281" s="7"/>
      <c r="AN281" s="7"/>
      <c r="AQ281" s="7"/>
      <c r="AR281" s="7"/>
      <c r="AU281" s="7"/>
      <c r="AV281" s="7"/>
      <c r="AY281" s="7"/>
      <c r="AZ281" s="7"/>
      <c r="BC281" s="7"/>
      <c r="BD281" s="7"/>
      <c r="BG281" s="7"/>
      <c r="BH281" s="7"/>
      <c r="BK281" s="7"/>
      <c r="BL281" s="7"/>
      <c r="BO281" s="7"/>
      <c r="BP281" s="7"/>
      <c r="BS281" s="7"/>
      <c r="BT281" s="7"/>
      <c r="BW281" s="7"/>
      <c r="BX281" s="7"/>
      <c r="CA281" s="7"/>
      <c r="CB281" s="7"/>
      <c r="CE281" s="7"/>
      <c r="CF281" s="7"/>
      <c r="CI281" s="7"/>
      <c r="CJ281" s="7"/>
      <c r="CM281" s="7"/>
      <c r="CN281" s="7"/>
      <c r="CQ281" s="7"/>
      <c r="CR281" s="7"/>
      <c r="CU281" s="7"/>
      <c r="CV281" s="7"/>
      <c r="CY281" s="7"/>
      <c r="CZ281" s="7"/>
      <c r="DC281" s="7"/>
      <c r="DD281" s="7"/>
      <c r="DG281" s="7"/>
      <c r="DH281" s="7"/>
      <c r="DK281" s="7"/>
      <c r="DL281" s="7"/>
      <c r="DO281" s="7"/>
      <c r="DP281" s="7"/>
      <c r="DS281" s="7"/>
      <c r="DT281" s="7"/>
      <c r="DW281" s="7"/>
      <c r="DX281" s="7"/>
      <c r="EA281" s="7"/>
      <c r="EB281" s="7"/>
      <c r="EE281" s="7"/>
      <c r="EF281" s="7"/>
      <c r="EI281" s="7"/>
      <c r="EJ281" s="7"/>
      <c r="EM281" s="7"/>
      <c r="EN281" s="7"/>
      <c r="EQ281" s="7"/>
      <c r="ER281" s="7"/>
      <c r="EU281" s="7"/>
      <c r="EV281" s="7"/>
      <c r="EY281" s="7"/>
      <c r="EZ281" s="7"/>
      <c r="FC281" s="7"/>
      <c r="FD281" s="7"/>
      <c r="FG281" s="7"/>
      <c r="FH281" s="7"/>
      <c r="FK281" s="7"/>
      <c r="FL281" s="7"/>
      <c r="FO281" s="7"/>
      <c r="FP281" s="7"/>
      <c r="FS281" s="7"/>
      <c r="FT281" s="7"/>
      <c r="FW281" s="7"/>
      <c r="FX281" s="7"/>
      <c r="GA281" s="7"/>
      <c r="GB281" s="7"/>
      <c r="GE281" s="7"/>
      <c r="GF281" s="7"/>
      <c r="GI281" s="7"/>
      <c r="GJ281" s="7"/>
      <c r="GM281" s="7"/>
      <c r="GN281" s="7"/>
      <c r="GQ281" s="7"/>
      <c r="GR281" s="7"/>
      <c r="GU281" s="7"/>
      <c r="GV281" s="7"/>
      <c r="GY281" s="7"/>
      <c r="GZ281" s="7"/>
      <c r="HC281" s="7"/>
      <c r="HD281" s="7"/>
      <c r="HG281" s="7"/>
      <c r="HH281" s="7"/>
      <c r="HK281" s="7"/>
      <c r="HL281" s="7"/>
      <c r="HO281" s="7"/>
      <c r="HP281" s="7"/>
    </row>
    <row r="282" spans="3:224" x14ac:dyDescent="0.3">
      <c r="C282" s="7"/>
      <c r="D282" s="7"/>
      <c r="G282" s="7"/>
      <c r="H282" s="7"/>
      <c r="K282" s="7"/>
      <c r="L282" s="7"/>
      <c r="O282" s="7"/>
      <c r="P282" s="7"/>
      <c r="S282" s="7"/>
      <c r="T282" s="7"/>
      <c r="W282" s="7"/>
      <c r="X282" s="7"/>
      <c r="AA282" s="7"/>
      <c r="AB282" s="7"/>
      <c r="AE282" s="7"/>
      <c r="AF282" s="7"/>
      <c r="AI282" s="7"/>
      <c r="AJ282" s="7"/>
      <c r="AM282" s="7"/>
      <c r="AN282" s="7"/>
      <c r="AQ282" s="7"/>
      <c r="AR282" s="7"/>
      <c r="AU282" s="7"/>
      <c r="AV282" s="7"/>
      <c r="AY282" s="7"/>
      <c r="AZ282" s="7"/>
      <c r="BC282" s="7"/>
      <c r="BD282" s="7"/>
      <c r="BG282" s="7"/>
      <c r="BH282" s="7"/>
      <c r="BK282" s="7"/>
      <c r="BL282" s="7"/>
      <c r="BO282" s="7"/>
      <c r="BP282" s="7"/>
      <c r="BS282" s="7"/>
      <c r="BT282" s="7"/>
      <c r="BW282" s="7"/>
      <c r="BX282" s="7"/>
      <c r="CA282" s="7"/>
      <c r="CB282" s="7"/>
      <c r="CE282" s="7"/>
      <c r="CF282" s="7"/>
      <c r="CI282" s="7"/>
      <c r="CJ282" s="7"/>
      <c r="CM282" s="7"/>
      <c r="CN282" s="7"/>
      <c r="CQ282" s="7"/>
      <c r="CR282" s="7"/>
      <c r="CU282" s="7"/>
      <c r="CV282" s="7"/>
      <c r="CY282" s="7"/>
      <c r="CZ282" s="7"/>
      <c r="DC282" s="7"/>
      <c r="DD282" s="7"/>
      <c r="DG282" s="7"/>
      <c r="DH282" s="7"/>
      <c r="DK282" s="7"/>
      <c r="DL282" s="7"/>
      <c r="DO282" s="7"/>
      <c r="DP282" s="7"/>
      <c r="DS282" s="7"/>
      <c r="DT282" s="7"/>
      <c r="DW282" s="7"/>
      <c r="DX282" s="7"/>
      <c r="EA282" s="7"/>
      <c r="EB282" s="7"/>
      <c r="EE282" s="7"/>
      <c r="EF282" s="7"/>
      <c r="EI282" s="7"/>
      <c r="EJ282" s="7"/>
      <c r="EM282" s="7"/>
      <c r="EN282" s="7"/>
      <c r="EQ282" s="7"/>
      <c r="ER282" s="7"/>
      <c r="EU282" s="7"/>
      <c r="EV282" s="7"/>
      <c r="EY282" s="7"/>
      <c r="EZ282" s="7"/>
      <c r="FC282" s="7"/>
      <c r="FD282" s="7"/>
      <c r="FG282" s="7"/>
      <c r="FH282" s="7"/>
      <c r="FK282" s="7"/>
      <c r="FL282" s="7"/>
      <c r="FO282" s="7"/>
      <c r="FP282" s="7"/>
      <c r="FS282" s="7"/>
      <c r="FT282" s="7"/>
      <c r="FW282" s="7"/>
      <c r="FX282" s="7"/>
      <c r="GA282" s="7"/>
      <c r="GB282" s="7"/>
      <c r="GE282" s="7"/>
      <c r="GF282" s="7"/>
      <c r="GI282" s="7"/>
      <c r="GJ282" s="7"/>
      <c r="GM282" s="7"/>
      <c r="GN282" s="7"/>
      <c r="GQ282" s="7"/>
      <c r="GR282" s="7"/>
      <c r="GU282" s="7"/>
      <c r="GV282" s="7"/>
      <c r="GY282" s="7"/>
      <c r="GZ282" s="7"/>
      <c r="HC282" s="7"/>
      <c r="HD282" s="7"/>
      <c r="HG282" s="7"/>
      <c r="HH282" s="7"/>
      <c r="HK282" s="7"/>
      <c r="HL282" s="7"/>
      <c r="HO282" s="7"/>
      <c r="HP282" s="7"/>
    </row>
    <row r="283" spans="3:224" x14ac:dyDescent="0.3">
      <c r="C283" s="7"/>
      <c r="D283" s="7"/>
      <c r="G283" s="7"/>
      <c r="H283" s="7"/>
      <c r="K283" s="7"/>
      <c r="L283" s="7"/>
      <c r="O283" s="7"/>
      <c r="P283" s="7"/>
      <c r="S283" s="7"/>
      <c r="T283" s="7"/>
      <c r="W283" s="7"/>
      <c r="X283" s="7"/>
      <c r="AA283" s="7"/>
      <c r="AB283" s="7"/>
      <c r="AE283" s="7"/>
      <c r="AF283" s="7"/>
      <c r="AI283" s="7"/>
      <c r="AJ283" s="7"/>
      <c r="AM283" s="7"/>
      <c r="AN283" s="7"/>
      <c r="AQ283" s="7"/>
      <c r="AR283" s="7"/>
      <c r="AU283" s="7"/>
      <c r="AV283" s="7"/>
      <c r="AY283" s="7"/>
      <c r="AZ283" s="7"/>
      <c r="BC283" s="7"/>
      <c r="BD283" s="7"/>
      <c r="BG283" s="7"/>
      <c r="BH283" s="7"/>
      <c r="BK283" s="7"/>
      <c r="BL283" s="7"/>
      <c r="BO283" s="7"/>
      <c r="BP283" s="7"/>
      <c r="BS283" s="7"/>
      <c r="BT283" s="7"/>
      <c r="BW283" s="7"/>
      <c r="BX283" s="7"/>
      <c r="CA283" s="7"/>
      <c r="CB283" s="7"/>
      <c r="CE283" s="7"/>
      <c r="CF283" s="7"/>
      <c r="CI283" s="7"/>
      <c r="CJ283" s="7"/>
      <c r="CM283" s="7"/>
      <c r="CN283" s="7"/>
      <c r="CQ283" s="7"/>
      <c r="CR283" s="7"/>
      <c r="CU283" s="7"/>
      <c r="CV283" s="7"/>
      <c r="CY283" s="7"/>
      <c r="CZ283" s="7"/>
      <c r="DC283" s="7"/>
      <c r="DD283" s="7"/>
      <c r="DG283" s="7"/>
      <c r="DH283" s="7"/>
      <c r="DK283" s="7"/>
      <c r="DL283" s="7"/>
      <c r="DO283" s="7"/>
      <c r="DP283" s="7"/>
      <c r="DS283" s="7"/>
      <c r="DT283" s="7"/>
      <c r="DW283" s="7"/>
      <c r="DX283" s="7"/>
      <c r="EA283" s="7"/>
      <c r="EB283" s="7"/>
      <c r="EE283" s="7"/>
      <c r="EF283" s="7"/>
      <c r="EI283" s="7"/>
      <c r="EJ283" s="7"/>
      <c r="EM283" s="7"/>
      <c r="EN283" s="7"/>
      <c r="EQ283" s="7"/>
      <c r="ER283" s="7"/>
      <c r="EU283" s="7"/>
      <c r="EV283" s="7"/>
      <c r="EY283" s="7"/>
      <c r="EZ283" s="7"/>
      <c r="FC283" s="7"/>
      <c r="FD283" s="7"/>
      <c r="FG283" s="7"/>
      <c r="FH283" s="7"/>
      <c r="FK283" s="7"/>
      <c r="FL283" s="7"/>
      <c r="FO283" s="7"/>
      <c r="FP283" s="7"/>
      <c r="FS283" s="7"/>
      <c r="FT283" s="7"/>
      <c r="FW283" s="7"/>
      <c r="FX283" s="7"/>
      <c r="GA283" s="7"/>
      <c r="GB283" s="7"/>
      <c r="GE283" s="7"/>
      <c r="GF283" s="7"/>
      <c r="GI283" s="7"/>
      <c r="GJ283" s="7"/>
      <c r="GM283" s="7"/>
      <c r="GN283" s="7"/>
      <c r="GQ283" s="7"/>
      <c r="GR283" s="7"/>
      <c r="GU283" s="7"/>
      <c r="GV283" s="7"/>
      <c r="GY283" s="7"/>
      <c r="GZ283" s="7"/>
      <c r="HC283" s="7"/>
      <c r="HD283" s="7"/>
      <c r="HG283" s="7"/>
      <c r="HH283" s="7"/>
      <c r="HK283" s="7"/>
      <c r="HL283" s="7"/>
      <c r="HO283" s="7"/>
      <c r="HP283" s="7"/>
    </row>
    <row r="284" spans="3:224" x14ac:dyDescent="0.3">
      <c r="C284" s="7"/>
      <c r="D284" s="7"/>
      <c r="G284" s="7"/>
      <c r="H284" s="7"/>
      <c r="K284" s="7"/>
      <c r="L284" s="7"/>
      <c r="O284" s="7"/>
      <c r="P284" s="7"/>
      <c r="S284" s="7"/>
      <c r="T284" s="7"/>
      <c r="W284" s="7"/>
      <c r="X284" s="7"/>
      <c r="AA284" s="7"/>
      <c r="AB284" s="7"/>
      <c r="AE284" s="7"/>
      <c r="AF284" s="7"/>
      <c r="AI284" s="7"/>
      <c r="AJ284" s="7"/>
      <c r="AM284" s="7"/>
      <c r="AN284" s="7"/>
      <c r="AQ284" s="7"/>
      <c r="AR284" s="7"/>
      <c r="AU284" s="7"/>
      <c r="AV284" s="7"/>
      <c r="AY284" s="7"/>
      <c r="AZ284" s="7"/>
      <c r="BC284" s="7"/>
      <c r="BD284" s="7"/>
      <c r="BG284" s="7"/>
      <c r="BH284" s="7"/>
      <c r="BK284" s="7"/>
      <c r="BL284" s="7"/>
      <c r="BO284" s="7"/>
      <c r="BP284" s="7"/>
      <c r="BS284" s="7"/>
      <c r="BT284" s="7"/>
      <c r="BW284" s="7"/>
      <c r="BX284" s="7"/>
      <c r="CA284" s="7"/>
      <c r="CB284" s="7"/>
      <c r="CE284" s="7"/>
      <c r="CF284" s="7"/>
      <c r="CI284" s="7"/>
      <c r="CJ284" s="7"/>
      <c r="CM284" s="7"/>
      <c r="CN284" s="7"/>
      <c r="CQ284" s="7"/>
      <c r="CR284" s="7"/>
      <c r="CU284" s="7"/>
      <c r="CV284" s="7"/>
      <c r="CY284" s="7"/>
      <c r="CZ284" s="7"/>
      <c r="DC284" s="7"/>
      <c r="DD284" s="7"/>
      <c r="DG284" s="7"/>
      <c r="DH284" s="7"/>
      <c r="DK284" s="7"/>
      <c r="DL284" s="7"/>
      <c r="DO284" s="7"/>
      <c r="DP284" s="7"/>
      <c r="DS284" s="7"/>
      <c r="DT284" s="7"/>
      <c r="DW284" s="7"/>
      <c r="DX284" s="7"/>
      <c r="EA284" s="7"/>
      <c r="EB284" s="7"/>
      <c r="EE284" s="7"/>
      <c r="EF284" s="7"/>
      <c r="EI284" s="7"/>
      <c r="EJ284" s="7"/>
      <c r="EM284" s="7"/>
      <c r="EN284" s="7"/>
      <c r="EQ284" s="7"/>
      <c r="ER284" s="7"/>
      <c r="EU284" s="7"/>
      <c r="EV284" s="7"/>
      <c r="EY284" s="7"/>
      <c r="EZ284" s="7"/>
      <c r="FC284" s="7"/>
      <c r="FD284" s="7"/>
      <c r="FG284" s="7"/>
      <c r="FH284" s="7"/>
      <c r="FK284" s="7"/>
      <c r="FL284" s="7"/>
      <c r="FO284" s="7"/>
      <c r="FP284" s="7"/>
      <c r="FS284" s="7"/>
      <c r="FT284" s="7"/>
      <c r="FW284" s="7"/>
      <c r="FX284" s="7"/>
      <c r="GA284" s="7"/>
      <c r="GB284" s="7"/>
      <c r="GE284" s="7"/>
      <c r="GF284" s="7"/>
      <c r="GI284" s="7"/>
      <c r="GJ284" s="7"/>
      <c r="GM284" s="7"/>
      <c r="GN284" s="7"/>
      <c r="GQ284" s="7"/>
      <c r="GR284" s="7"/>
      <c r="GU284" s="7"/>
      <c r="GV284" s="7"/>
      <c r="GY284" s="7"/>
      <c r="GZ284" s="7"/>
      <c r="HC284" s="7"/>
      <c r="HD284" s="7"/>
      <c r="HG284" s="7"/>
      <c r="HH284" s="7"/>
      <c r="HK284" s="7"/>
      <c r="HL284" s="7"/>
      <c r="HO284" s="7"/>
      <c r="HP284" s="7"/>
    </row>
    <row r="285" spans="3:224" x14ac:dyDescent="0.3">
      <c r="C285" s="7"/>
      <c r="D285" s="7"/>
      <c r="G285" s="7"/>
      <c r="H285" s="7"/>
      <c r="K285" s="7"/>
      <c r="L285" s="7"/>
      <c r="O285" s="7"/>
      <c r="P285" s="7"/>
      <c r="S285" s="7"/>
      <c r="T285" s="7"/>
      <c r="W285" s="7"/>
      <c r="X285" s="7"/>
      <c r="AA285" s="7"/>
      <c r="AB285" s="7"/>
      <c r="AE285" s="7"/>
      <c r="AF285" s="7"/>
      <c r="AI285" s="7"/>
      <c r="AJ285" s="7"/>
      <c r="AM285" s="7"/>
      <c r="AN285" s="7"/>
      <c r="AQ285" s="7"/>
      <c r="AR285" s="7"/>
      <c r="AU285" s="7"/>
      <c r="AV285" s="7"/>
      <c r="AY285" s="7"/>
      <c r="AZ285" s="7"/>
      <c r="BC285" s="7"/>
      <c r="BD285" s="7"/>
      <c r="BG285" s="7"/>
      <c r="BH285" s="7"/>
      <c r="BK285" s="7"/>
      <c r="BL285" s="7"/>
      <c r="BO285" s="7"/>
      <c r="BP285" s="7"/>
      <c r="BS285" s="7"/>
      <c r="BT285" s="7"/>
      <c r="BW285" s="7"/>
      <c r="BX285" s="7"/>
      <c r="CA285" s="7"/>
      <c r="CB285" s="7"/>
      <c r="CE285" s="7"/>
      <c r="CF285" s="7"/>
      <c r="CI285" s="7"/>
      <c r="CJ285" s="7"/>
      <c r="CM285" s="7"/>
      <c r="CN285" s="7"/>
      <c r="CQ285" s="7"/>
      <c r="CR285" s="7"/>
      <c r="CU285" s="7"/>
      <c r="CV285" s="7"/>
      <c r="CY285" s="7"/>
      <c r="CZ285" s="7"/>
      <c r="DC285" s="7"/>
      <c r="DD285" s="7"/>
      <c r="DG285" s="7"/>
      <c r="DH285" s="7"/>
      <c r="DK285" s="7"/>
      <c r="DL285" s="7"/>
      <c r="DO285" s="7"/>
      <c r="DP285" s="7"/>
      <c r="DS285" s="7"/>
      <c r="DT285" s="7"/>
      <c r="DW285" s="7"/>
      <c r="DX285" s="7"/>
      <c r="EA285" s="7"/>
      <c r="EB285" s="7"/>
      <c r="EE285" s="7"/>
      <c r="EF285" s="7"/>
      <c r="EI285" s="7"/>
      <c r="EJ285" s="7"/>
      <c r="EM285" s="7"/>
      <c r="EN285" s="7"/>
      <c r="EQ285" s="7"/>
      <c r="ER285" s="7"/>
      <c r="EU285" s="7"/>
      <c r="EV285" s="7"/>
      <c r="EY285" s="7"/>
      <c r="EZ285" s="7"/>
      <c r="FC285" s="7"/>
      <c r="FD285" s="7"/>
      <c r="FG285" s="7"/>
      <c r="FH285" s="7"/>
      <c r="FK285" s="7"/>
      <c r="FL285" s="7"/>
      <c r="FO285" s="7"/>
      <c r="FP285" s="7"/>
      <c r="FS285" s="7"/>
      <c r="FT285" s="7"/>
      <c r="FW285" s="7"/>
      <c r="FX285" s="7"/>
      <c r="GA285" s="7"/>
      <c r="GB285" s="7"/>
      <c r="GE285" s="7"/>
      <c r="GF285" s="7"/>
      <c r="GI285" s="7"/>
      <c r="GJ285" s="7"/>
      <c r="GM285" s="7"/>
      <c r="GN285" s="7"/>
      <c r="GQ285" s="7"/>
      <c r="GR285" s="7"/>
      <c r="GU285" s="7"/>
      <c r="GV285" s="7"/>
      <c r="GY285" s="7"/>
      <c r="GZ285" s="7"/>
      <c r="HC285" s="7"/>
      <c r="HD285" s="7"/>
      <c r="HG285" s="7"/>
      <c r="HH285" s="7"/>
      <c r="HK285" s="7"/>
      <c r="HL285" s="7"/>
      <c r="HO285" s="7"/>
      <c r="HP285" s="7"/>
    </row>
    <row r="286" spans="3:224" x14ac:dyDescent="0.3">
      <c r="C286" s="7"/>
      <c r="D286" s="7"/>
      <c r="G286" s="7"/>
      <c r="H286" s="7"/>
      <c r="K286" s="7"/>
      <c r="L286" s="7"/>
      <c r="O286" s="7"/>
      <c r="P286" s="7"/>
      <c r="S286" s="7"/>
      <c r="T286" s="7"/>
      <c r="W286" s="7"/>
      <c r="X286" s="7"/>
      <c r="AA286" s="7"/>
      <c r="AB286" s="7"/>
      <c r="AE286" s="7"/>
      <c r="AF286" s="7"/>
      <c r="AI286" s="7"/>
      <c r="AJ286" s="7"/>
      <c r="AM286" s="7"/>
      <c r="AN286" s="7"/>
      <c r="AQ286" s="7"/>
      <c r="AR286" s="7"/>
      <c r="AU286" s="7"/>
      <c r="AV286" s="7"/>
      <c r="AY286" s="7"/>
      <c r="AZ286" s="7"/>
      <c r="BC286" s="7"/>
      <c r="BD286" s="7"/>
      <c r="BG286" s="7"/>
      <c r="BH286" s="7"/>
      <c r="BK286" s="7"/>
      <c r="BL286" s="7"/>
      <c r="BO286" s="7"/>
      <c r="BP286" s="7"/>
      <c r="BS286" s="7"/>
      <c r="BT286" s="7"/>
      <c r="BW286" s="7"/>
      <c r="BX286" s="7"/>
      <c r="CA286" s="7"/>
      <c r="CB286" s="7"/>
      <c r="CE286" s="7"/>
      <c r="CF286" s="7"/>
      <c r="CI286" s="7"/>
      <c r="CJ286" s="7"/>
      <c r="CM286" s="7"/>
      <c r="CN286" s="7"/>
      <c r="CQ286" s="7"/>
      <c r="CR286" s="7"/>
      <c r="CU286" s="7"/>
      <c r="CV286" s="7"/>
      <c r="CY286" s="7"/>
      <c r="CZ286" s="7"/>
      <c r="DC286" s="7"/>
      <c r="DD286" s="7"/>
      <c r="DG286" s="7"/>
      <c r="DH286" s="7"/>
      <c r="DK286" s="7"/>
      <c r="DL286" s="7"/>
      <c r="DO286" s="7"/>
      <c r="DP286" s="7"/>
      <c r="DS286" s="7"/>
      <c r="DT286" s="7"/>
      <c r="DW286" s="7"/>
      <c r="DX286" s="7"/>
      <c r="EA286" s="7"/>
      <c r="EB286" s="7"/>
      <c r="EE286" s="7"/>
      <c r="EF286" s="7"/>
      <c r="EI286" s="7"/>
      <c r="EJ286" s="7"/>
      <c r="EM286" s="7"/>
      <c r="EN286" s="7"/>
      <c r="EQ286" s="7"/>
      <c r="ER286" s="7"/>
      <c r="EU286" s="7"/>
      <c r="EV286" s="7"/>
      <c r="EY286" s="7"/>
      <c r="EZ286" s="7"/>
      <c r="FC286" s="7"/>
      <c r="FD286" s="7"/>
      <c r="FG286" s="7"/>
      <c r="FH286" s="7"/>
      <c r="FK286" s="7"/>
      <c r="FL286" s="7"/>
      <c r="FO286" s="7"/>
      <c r="FP286" s="7"/>
      <c r="FS286" s="7"/>
      <c r="FT286" s="7"/>
      <c r="FW286" s="7"/>
      <c r="FX286" s="7"/>
      <c r="GA286" s="7"/>
      <c r="GB286" s="7"/>
      <c r="GE286" s="7"/>
      <c r="GF286" s="7"/>
      <c r="GI286" s="7"/>
      <c r="GJ286" s="7"/>
      <c r="GM286" s="7"/>
      <c r="GN286" s="7"/>
      <c r="GQ286" s="7"/>
      <c r="GR286" s="7"/>
      <c r="GU286" s="7"/>
      <c r="GV286" s="7"/>
      <c r="GY286" s="7"/>
      <c r="GZ286" s="7"/>
      <c r="HC286" s="7"/>
      <c r="HD286" s="7"/>
      <c r="HG286" s="7"/>
      <c r="HH286" s="7"/>
      <c r="HK286" s="7"/>
      <c r="HL286" s="7"/>
      <c r="HO286" s="7"/>
      <c r="HP286" s="7"/>
    </row>
    <row r="287" spans="3:224" x14ac:dyDescent="0.3">
      <c r="C287" s="7"/>
      <c r="D287" s="7"/>
      <c r="G287" s="7"/>
      <c r="H287" s="7"/>
      <c r="K287" s="7"/>
      <c r="L287" s="7"/>
      <c r="O287" s="7"/>
      <c r="P287" s="7"/>
      <c r="S287" s="7"/>
      <c r="T287" s="7"/>
      <c r="W287" s="7"/>
      <c r="X287" s="7"/>
      <c r="AA287" s="7"/>
      <c r="AB287" s="7"/>
      <c r="AE287" s="7"/>
      <c r="AF287" s="7"/>
      <c r="AI287" s="7"/>
      <c r="AJ287" s="7"/>
      <c r="AM287" s="7"/>
      <c r="AN287" s="7"/>
      <c r="AQ287" s="7"/>
      <c r="AR287" s="7"/>
      <c r="AU287" s="7"/>
      <c r="AV287" s="7"/>
      <c r="AY287" s="7"/>
      <c r="AZ287" s="7"/>
      <c r="BC287" s="7"/>
      <c r="BD287" s="7"/>
      <c r="BG287" s="7"/>
      <c r="BH287" s="7"/>
      <c r="BK287" s="7"/>
      <c r="BL287" s="7"/>
      <c r="BO287" s="7"/>
      <c r="BP287" s="7"/>
      <c r="BS287" s="7"/>
      <c r="BT287" s="7"/>
      <c r="BW287" s="7"/>
      <c r="BX287" s="7"/>
      <c r="CA287" s="7"/>
      <c r="CB287" s="7"/>
      <c r="CE287" s="7"/>
      <c r="CF287" s="7"/>
      <c r="CI287" s="7"/>
      <c r="CJ287" s="7"/>
      <c r="CM287" s="7"/>
      <c r="CN287" s="7"/>
      <c r="CQ287" s="7"/>
      <c r="CR287" s="7"/>
      <c r="CU287" s="7"/>
      <c r="CV287" s="7"/>
      <c r="CY287" s="7"/>
      <c r="CZ287" s="7"/>
      <c r="DC287" s="7"/>
      <c r="DD287" s="7"/>
      <c r="DG287" s="7"/>
      <c r="DH287" s="7"/>
      <c r="DK287" s="7"/>
      <c r="DL287" s="7"/>
      <c r="DO287" s="7"/>
      <c r="DP287" s="7"/>
      <c r="DS287" s="7"/>
      <c r="DT287" s="7"/>
      <c r="DW287" s="7"/>
      <c r="DX287" s="7"/>
      <c r="EA287" s="7"/>
      <c r="EB287" s="7"/>
      <c r="EE287" s="7"/>
      <c r="EF287" s="7"/>
      <c r="EI287" s="7"/>
      <c r="EJ287" s="7"/>
      <c r="EM287" s="7"/>
      <c r="EN287" s="7"/>
      <c r="EQ287" s="7"/>
      <c r="ER287" s="7"/>
      <c r="EU287" s="7"/>
      <c r="EV287" s="7"/>
      <c r="EY287" s="7"/>
      <c r="EZ287" s="7"/>
      <c r="FC287" s="7"/>
      <c r="FD287" s="7"/>
      <c r="FG287" s="7"/>
      <c r="FH287" s="7"/>
      <c r="FK287" s="7"/>
      <c r="FL287" s="7"/>
      <c r="FO287" s="7"/>
      <c r="FP287" s="7"/>
      <c r="FS287" s="7"/>
      <c r="FT287" s="7"/>
      <c r="FW287" s="7"/>
      <c r="FX287" s="7"/>
      <c r="GA287" s="7"/>
      <c r="GB287" s="7"/>
      <c r="GE287" s="7"/>
      <c r="GF287" s="7"/>
      <c r="GI287" s="7"/>
      <c r="GJ287" s="7"/>
      <c r="GM287" s="7"/>
      <c r="GN287" s="7"/>
      <c r="GQ287" s="7"/>
      <c r="GR287" s="7"/>
      <c r="GU287" s="7"/>
      <c r="GV287" s="7"/>
      <c r="GY287" s="7"/>
      <c r="GZ287" s="7"/>
      <c r="HC287" s="7"/>
      <c r="HD287" s="7"/>
      <c r="HG287" s="7"/>
      <c r="HH287" s="7"/>
      <c r="HK287" s="7"/>
      <c r="HL287" s="7"/>
      <c r="HO287" s="7"/>
      <c r="HP287" s="7"/>
    </row>
    <row r="288" spans="3:224" x14ac:dyDescent="0.3">
      <c r="C288" s="7"/>
      <c r="D288" s="7"/>
      <c r="G288" s="7"/>
      <c r="H288" s="7"/>
      <c r="K288" s="7"/>
      <c r="L288" s="7"/>
      <c r="O288" s="7"/>
      <c r="P288" s="7"/>
      <c r="S288" s="7"/>
      <c r="T288" s="7"/>
      <c r="W288" s="7"/>
      <c r="X288" s="7"/>
      <c r="AA288" s="7"/>
      <c r="AB288" s="7"/>
      <c r="AE288" s="7"/>
      <c r="AF288" s="7"/>
      <c r="AI288" s="7"/>
      <c r="AJ288" s="7"/>
      <c r="AM288" s="7"/>
      <c r="AN288" s="7"/>
      <c r="AQ288" s="7"/>
      <c r="AR288" s="7"/>
      <c r="AU288" s="7"/>
      <c r="AV288" s="7"/>
      <c r="AY288" s="7"/>
      <c r="AZ288" s="7"/>
      <c r="BC288" s="7"/>
      <c r="BD288" s="7"/>
      <c r="BG288" s="7"/>
      <c r="BH288" s="7"/>
      <c r="BK288" s="7"/>
      <c r="BL288" s="7"/>
      <c r="BO288" s="7"/>
      <c r="BP288" s="7"/>
      <c r="BS288" s="7"/>
      <c r="BT288" s="7"/>
      <c r="BW288" s="7"/>
      <c r="BX288" s="7"/>
      <c r="CA288" s="7"/>
      <c r="CB288" s="7"/>
      <c r="CE288" s="7"/>
      <c r="CF288" s="7"/>
      <c r="CI288" s="7"/>
      <c r="CJ288" s="7"/>
      <c r="CM288" s="7"/>
      <c r="CN288" s="7"/>
      <c r="CQ288" s="7"/>
      <c r="CR288" s="7"/>
      <c r="CU288" s="7"/>
      <c r="CV288" s="7"/>
      <c r="CY288" s="7"/>
      <c r="CZ288" s="7"/>
      <c r="DC288" s="7"/>
      <c r="DD288" s="7"/>
      <c r="DG288" s="7"/>
      <c r="DH288" s="7"/>
      <c r="DK288" s="7"/>
      <c r="DL288" s="7"/>
      <c r="DO288" s="7"/>
      <c r="DP288" s="7"/>
      <c r="DS288" s="7"/>
      <c r="DT288" s="7"/>
      <c r="DW288" s="7"/>
      <c r="DX288" s="7"/>
      <c r="EA288" s="7"/>
      <c r="EB288" s="7"/>
      <c r="EE288" s="7"/>
      <c r="EF288" s="7"/>
      <c r="EI288" s="7"/>
      <c r="EJ288" s="7"/>
      <c r="EM288" s="7"/>
      <c r="EN288" s="7"/>
      <c r="EQ288" s="7"/>
      <c r="ER288" s="7"/>
      <c r="EU288" s="7"/>
      <c r="EV288" s="7"/>
      <c r="EY288" s="7"/>
      <c r="EZ288" s="7"/>
      <c r="FC288" s="7"/>
      <c r="FD288" s="7"/>
      <c r="FG288" s="7"/>
      <c r="FH288" s="7"/>
      <c r="FK288" s="7"/>
      <c r="FL288" s="7"/>
      <c r="FO288" s="7"/>
      <c r="FP288" s="7"/>
      <c r="FS288" s="7"/>
      <c r="FT288" s="7"/>
      <c r="FW288" s="7"/>
      <c r="FX288" s="7"/>
      <c r="GA288" s="7"/>
      <c r="GB288" s="7"/>
      <c r="GE288" s="7"/>
      <c r="GF288" s="7"/>
      <c r="GI288" s="7"/>
      <c r="GJ288" s="7"/>
      <c r="GM288" s="7"/>
      <c r="GN288" s="7"/>
      <c r="GQ288" s="7"/>
      <c r="GR288" s="7"/>
      <c r="GU288" s="7"/>
      <c r="GV288" s="7"/>
      <c r="GY288" s="7"/>
      <c r="GZ288" s="7"/>
      <c r="HC288" s="7"/>
      <c r="HD288" s="7"/>
      <c r="HG288" s="7"/>
      <c r="HH288" s="7"/>
      <c r="HK288" s="7"/>
      <c r="HL288" s="7"/>
      <c r="HO288" s="7"/>
      <c r="HP288" s="7"/>
    </row>
    <row r="289" spans="3:224" x14ac:dyDescent="0.3">
      <c r="C289" s="7"/>
      <c r="D289" s="7"/>
      <c r="G289" s="7"/>
      <c r="H289" s="7"/>
      <c r="K289" s="7"/>
      <c r="L289" s="7"/>
      <c r="O289" s="7"/>
      <c r="P289" s="7"/>
      <c r="S289" s="7"/>
      <c r="T289" s="7"/>
      <c r="W289" s="7"/>
      <c r="X289" s="7"/>
      <c r="AA289" s="7"/>
      <c r="AB289" s="7"/>
      <c r="AE289" s="7"/>
      <c r="AF289" s="7"/>
      <c r="AI289" s="7"/>
      <c r="AJ289" s="7"/>
      <c r="AM289" s="7"/>
      <c r="AN289" s="7"/>
      <c r="AQ289" s="7"/>
      <c r="AR289" s="7"/>
      <c r="AU289" s="7"/>
      <c r="AV289" s="7"/>
      <c r="AY289" s="7"/>
      <c r="AZ289" s="7"/>
      <c r="BC289" s="7"/>
      <c r="BD289" s="7"/>
      <c r="BG289" s="7"/>
      <c r="BH289" s="7"/>
      <c r="BK289" s="7"/>
      <c r="BL289" s="7"/>
      <c r="BO289" s="7"/>
      <c r="BP289" s="7"/>
      <c r="BS289" s="7"/>
      <c r="BT289" s="7"/>
      <c r="BW289" s="7"/>
      <c r="BX289" s="7"/>
      <c r="CA289" s="7"/>
      <c r="CB289" s="7"/>
      <c r="CE289" s="7"/>
      <c r="CF289" s="7"/>
      <c r="CI289" s="7"/>
      <c r="CJ289" s="7"/>
      <c r="CM289" s="7"/>
      <c r="CN289" s="7"/>
      <c r="CQ289" s="7"/>
      <c r="CR289" s="7"/>
      <c r="CU289" s="7"/>
      <c r="CV289" s="7"/>
      <c r="CY289" s="7"/>
      <c r="CZ289" s="7"/>
      <c r="DC289" s="7"/>
      <c r="DD289" s="7"/>
      <c r="DG289" s="7"/>
      <c r="DH289" s="7"/>
      <c r="DK289" s="7"/>
      <c r="DL289" s="7"/>
      <c r="DO289" s="7"/>
      <c r="DP289" s="7"/>
      <c r="DS289" s="7"/>
      <c r="DT289" s="7"/>
      <c r="DW289" s="7"/>
      <c r="DX289" s="7"/>
      <c r="EA289" s="7"/>
      <c r="EB289" s="7"/>
      <c r="EE289" s="7"/>
      <c r="EF289" s="7"/>
      <c r="EI289" s="7"/>
      <c r="EJ289" s="7"/>
      <c r="EM289" s="7"/>
      <c r="EN289" s="7"/>
      <c r="EQ289" s="7"/>
      <c r="ER289" s="7"/>
      <c r="EU289" s="7"/>
      <c r="EV289" s="7"/>
      <c r="EY289" s="7"/>
      <c r="EZ289" s="7"/>
      <c r="FC289" s="7"/>
      <c r="FD289" s="7"/>
      <c r="FG289" s="7"/>
      <c r="FH289" s="7"/>
      <c r="FK289" s="7"/>
      <c r="FL289" s="7"/>
      <c r="FO289" s="7"/>
      <c r="FP289" s="7"/>
      <c r="FS289" s="7"/>
      <c r="FT289" s="7"/>
      <c r="FW289" s="7"/>
      <c r="FX289" s="7"/>
      <c r="GA289" s="7"/>
      <c r="GB289" s="7"/>
      <c r="GE289" s="7"/>
      <c r="GF289" s="7"/>
      <c r="GI289" s="7"/>
      <c r="GJ289" s="7"/>
      <c r="GM289" s="7"/>
      <c r="GN289" s="7"/>
      <c r="GQ289" s="7"/>
      <c r="GR289" s="7"/>
      <c r="GU289" s="7"/>
      <c r="GV289" s="7"/>
      <c r="GY289" s="7"/>
      <c r="GZ289" s="7"/>
      <c r="HC289" s="7"/>
      <c r="HD289" s="7"/>
      <c r="HG289" s="7"/>
      <c r="HH289" s="7"/>
      <c r="HK289" s="7"/>
      <c r="HL289" s="7"/>
      <c r="HO289" s="7"/>
      <c r="HP289" s="7"/>
    </row>
    <row r="290" spans="3:224" x14ac:dyDescent="0.3">
      <c r="C290" s="7"/>
      <c r="D290" s="7"/>
      <c r="G290" s="7"/>
      <c r="H290" s="7"/>
      <c r="K290" s="7"/>
      <c r="L290" s="7"/>
      <c r="O290" s="7"/>
      <c r="P290" s="7"/>
      <c r="S290" s="7"/>
      <c r="T290" s="7"/>
      <c r="W290" s="7"/>
      <c r="X290" s="7"/>
      <c r="AA290" s="7"/>
      <c r="AB290" s="7"/>
      <c r="AE290" s="7"/>
      <c r="AF290" s="7"/>
      <c r="AI290" s="7"/>
      <c r="AJ290" s="7"/>
      <c r="AM290" s="7"/>
      <c r="AN290" s="7"/>
      <c r="AQ290" s="7"/>
      <c r="AR290" s="7"/>
      <c r="AU290" s="7"/>
      <c r="AV290" s="7"/>
      <c r="AY290" s="7"/>
      <c r="AZ290" s="7"/>
      <c r="BC290" s="7"/>
      <c r="BD290" s="7"/>
      <c r="BG290" s="7"/>
      <c r="BH290" s="7"/>
      <c r="BK290" s="7"/>
      <c r="BL290" s="7"/>
      <c r="BO290" s="7"/>
      <c r="BP290" s="7"/>
      <c r="BS290" s="7"/>
      <c r="BT290" s="7"/>
      <c r="BW290" s="7"/>
      <c r="BX290" s="7"/>
      <c r="CA290" s="7"/>
      <c r="CB290" s="7"/>
      <c r="CE290" s="7"/>
      <c r="CF290" s="7"/>
      <c r="CI290" s="7"/>
      <c r="CJ290" s="7"/>
      <c r="CM290" s="7"/>
      <c r="CN290" s="7"/>
      <c r="CQ290" s="7"/>
      <c r="CR290" s="7"/>
      <c r="CU290" s="7"/>
      <c r="CV290" s="7"/>
      <c r="CY290" s="7"/>
      <c r="CZ290" s="7"/>
      <c r="DC290" s="7"/>
      <c r="DD290" s="7"/>
      <c r="DG290" s="7"/>
      <c r="DH290" s="7"/>
      <c r="DK290" s="7"/>
      <c r="DL290" s="7"/>
      <c r="DO290" s="7"/>
      <c r="DP290" s="7"/>
      <c r="DS290" s="7"/>
      <c r="DT290" s="7"/>
      <c r="DW290" s="7"/>
      <c r="DX290" s="7"/>
      <c r="EA290" s="7"/>
      <c r="EB290" s="7"/>
      <c r="EE290" s="7"/>
      <c r="EF290" s="7"/>
      <c r="EI290" s="7"/>
      <c r="EJ290" s="7"/>
      <c r="EM290" s="7"/>
      <c r="EN290" s="7"/>
      <c r="EQ290" s="7"/>
      <c r="ER290" s="7"/>
      <c r="EU290" s="7"/>
      <c r="EV290" s="7"/>
      <c r="EY290" s="7"/>
      <c r="EZ290" s="7"/>
      <c r="FC290" s="7"/>
      <c r="FD290" s="7"/>
      <c r="FG290" s="7"/>
      <c r="FH290" s="7"/>
      <c r="FK290" s="7"/>
      <c r="FL290" s="7"/>
      <c r="FO290" s="7"/>
      <c r="FP290" s="7"/>
      <c r="FS290" s="7"/>
      <c r="FT290" s="7"/>
      <c r="FW290" s="7"/>
      <c r="FX290" s="7"/>
      <c r="GA290" s="7"/>
      <c r="GB290" s="7"/>
      <c r="GE290" s="7"/>
      <c r="GF290" s="7"/>
      <c r="GI290" s="7"/>
      <c r="GJ290" s="7"/>
      <c r="GM290" s="7"/>
      <c r="GN290" s="7"/>
      <c r="GQ290" s="7"/>
      <c r="GR290" s="7"/>
      <c r="GU290" s="7"/>
      <c r="GV290" s="7"/>
      <c r="GY290" s="7"/>
      <c r="GZ290" s="7"/>
      <c r="HC290" s="7"/>
      <c r="HD290" s="7"/>
      <c r="HG290" s="7"/>
      <c r="HH290" s="7"/>
      <c r="HK290" s="7"/>
      <c r="HL290" s="7"/>
      <c r="HO290" s="7"/>
      <c r="HP290" s="7"/>
    </row>
    <row r="291" spans="3:224" x14ac:dyDescent="0.3">
      <c r="C291" s="7"/>
      <c r="D291" s="7"/>
      <c r="G291" s="7"/>
      <c r="H291" s="7"/>
      <c r="K291" s="7"/>
      <c r="L291" s="7"/>
      <c r="O291" s="7"/>
      <c r="P291" s="7"/>
      <c r="S291" s="7"/>
      <c r="T291" s="7"/>
      <c r="W291" s="7"/>
      <c r="X291" s="7"/>
      <c r="AA291" s="7"/>
      <c r="AB291" s="7"/>
      <c r="AE291" s="7"/>
      <c r="AF291" s="7"/>
      <c r="AI291" s="7"/>
      <c r="AJ291" s="7"/>
      <c r="AM291" s="7"/>
      <c r="AN291" s="7"/>
      <c r="AQ291" s="7"/>
      <c r="AR291" s="7"/>
      <c r="AU291" s="7"/>
      <c r="AV291" s="7"/>
      <c r="AY291" s="7"/>
      <c r="AZ291" s="7"/>
      <c r="BC291" s="7"/>
      <c r="BD291" s="7"/>
      <c r="BG291" s="7"/>
      <c r="BH291" s="7"/>
      <c r="BK291" s="7"/>
      <c r="BL291" s="7"/>
      <c r="BO291" s="7"/>
      <c r="BP291" s="7"/>
      <c r="BS291" s="7"/>
      <c r="BT291" s="7"/>
      <c r="BW291" s="7"/>
      <c r="BX291" s="7"/>
      <c r="CA291" s="7"/>
      <c r="CB291" s="7"/>
      <c r="CE291" s="7"/>
      <c r="CF291" s="7"/>
      <c r="CI291" s="7"/>
      <c r="CJ291" s="7"/>
      <c r="CM291" s="7"/>
      <c r="CN291" s="7"/>
      <c r="CQ291" s="7"/>
      <c r="CR291" s="7"/>
      <c r="CU291" s="7"/>
      <c r="CV291" s="7"/>
      <c r="CY291" s="7"/>
      <c r="CZ291" s="7"/>
      <c r="DC291" s="7"/>
      <c r="DD291" s="7"/>
      <c r="DG291" s="7"/>
      <c r="DH291" s="7"/>
      <c r="DK291" s="7"/>
      <c r="DL291" s="7"/>
      <c r="DO291" s="7"/>
      <c r="DP291" s="7"/>
      <c r="DS291" s="7"/>
      <c r="DT291" s="7"/>
      <c r="DW291" s="7"/>
      <c r="DX291" s="7"/>
      <c r="EA291" s="7"/>
      <c r="EB291" s="7"/>
      <c r="EE291" s="7"/>
      <c r="EF291" s="7"/>
      <c r="EI291" s="7"/>
      <c r="EJ291" s="7"/>
      <c r="EM291" s="7"/>
      <c r="EN291" s="7"/>
      <c r="EQ291" s="7"/>
      <c r="ER291" s="7"/>
      <c r="EU291" s="7"/>
      <c r="EV291" s="7"/>
      <c r="EY291" s="7"/>
      <c r="EZ291" s="7"/>
      <c r="FC291" s="7"/>
      <c r="FD291" s="7"/>
      <c r="FG291" s="7"/>
      <c r="FH291" s="7"/>
      <c r="FK291" s="7"/>
      <c r="FL291" s="7"/>
      <c r="FO291" s="7"/>
      <c r="FP291" s="7"/>
      <c r="FS291" s="7"/>
      <c r="FT291" s="7"/>
      <c r="FW291" s="7"/>
      <c r="FX291" s="7"/>
      <c r="GA291" s="7"/>
      <c r="GB291" s="7"/>
      <c r="GE291" s="7"/>
      <c r="GF291" s="7"/>
      <c r="GI291" s="7"/>
      <c r="GJ291" s="7"/>
      <c r="GM291" s="7"/>
      <c r="GN291" s="7"/>
      <c r="GQ291" s="7"/>
      <c r="GR291" s="7"/>
      <c r="GU291" s="7"/>
      <c r="GV291" s="7"/>
      <c r="GY291" s="7"/>
      <c r="GZ291" s="7"/>
      <c r="HC291" s="7"/>
      <c r="HD291" s="7"/>
      <c r="HG291" s="7"/>
      <c r="HH291" s="7"/>
      <c r="HK291" s="7"/>
      <c r="HL291" s="7"/>
      <c r="HO291" s="7"/>
      <c r="HP291" s="7"/>
    </row>
    <row r="292" spans="3:224" x14ac:dyDescent="0.3">
      <c r="C292" s="7"/>
      <c r="D292" s="7"/>
      <c r="G292" s="7"/>
      <c r="H292" s="7"/>
      <c r="K292" s="7"/>
      <c r="L292" s="7"/>
      <c r="O292" s="7"/>
      <c r="P292" s="7"/>
      <c r="S292" s="7"/>
      <c r="T292" s="7"/>
      <c r="W292" s="7"/>
      <c r="X292" s="7"/>
      <c r="AA292" s="7"/>
      <c r="AB292" s="7"/>
      <c r="AE292" s="7"/>
      <c r="AF292" s="7"/>
      <c r="AI292" s="7"/>
      <c r="AJ292" s="7"/>
      <c r="AM292" s="7"/>
      <c r="AN292" s="7"/>
      <c r="AQ292" s="7"/>
      <c r="AR292" s="7"/>
      <c r="AU292" s="7"/>
      <c r="AV292" s="7"/>
      <c r="AY292" s="7"/>
      <c r="AZ292" s="7"/>
      <c r="BC292" s="7"/>
      <c r="BD292" s="7"/>
      <c r="BG292" s="7"/>
      <c r="BH292" s="7"/>
      <c r="BK292" s="7"/>
      <c r="BL292" s="7"/>
      <c r="BO292" s="7"/>
      <c r="BP292" s="7"/>
      <c r="BS292" s="7"/>
      <c r="BT292" s="7"/>
      <c r="BW292" s="7"/>
      <c r="BX292" s="7"/>
      <c r="CA292" s="7"/>
      <c r="CB292" s="7"/>
      <c r="CE292" s="7"/>
      <c r="CF292" s="7"/>
      <c r="CI292" s="7"/>
      <c r="CJ292" s="7"/>
      <c r="CM292" s="7"/>
      <c r="CN292" s="7"/>
      <c r="CQ292" s="7"/>
      <c r="CR292" s="7"/>
      <c r="CU292" s="7"/>
      <c r="CV292" s="7"/>
      <c r="CY292" s="7"/>
      <c r="CZ292" s="7"/>
      <c r="DC292" s="7"/>
      <c r="DD292" s="7"/>
      <c r="DG292" s="7"/>
      <c r="DH292" s="7"/>
      <c r="DK292" s="7"/>
      <c r="DL292" s="7"/>
      <c r="DO292" s="7"/>
      <c r="DP292" s="7"/>
      <c r="DS292" s="7"/>
      <c r="DT292" s="7"/>
      <c r="DW292" s="7"/>
      <c r="DX292" s="7"/>
      <c r="EA292" s="7"/>
      <c r="EB292" s="7"/>
      <c r="EE292" s="7"/>
      <c r="EF292" s="7"/>
      <c r="EI292" s="7"/>
      <c r="EJ292" s="7"/>
      <c r="EM292" s="7"/>
      <c r="EN292" s="7"/>
      <c r="EQ292" s="7"/>
      <c r="ER292" s="7"/>
      <c r="EU292" s="7"/>
      <c r="EV292" s="7"/>
      <c r="EY292" s="7"/>
      <c r="EZ292" s="7"/>
      <c r="FC292" s="7"/>
      <c r="FD292" s="7"/>
      <c r="FG292" s="7"/>
      <c r="FH292" s="7"/>
      <c r="FK292" s="7"/>
      <c r="FL292" s="7"/>
      <c r="FO292" s="7"/>
      <c r="FP292" s="7"/>
      <c r="FS292" s="7"/>
      <c r="FT292" s="7"/>
      <c r="FW292" s="7"/>
      <c r="FX292" s="7"/>
      <c r="GA292" s="7"/>
      <c r="GB292" s="7"/>
      <c r="GE292" s="7"/>
      <c r="GF292" s="7"/>
      <c r="GI292" s="7"/>
      <c r="GJ292" s="7"/>
      <c r="GM292" s="7"/>
      <c r="GN292" s="7"/>
      <c r="GQ292" s="7"/>
      <c r="GR292" s="7"/>
      <c r="GU292" s="7"/>
      <c r="GV292" s="7"/>
      <c r="GY292" s="7"/>
      <c r="GZ292" s="7"/>
      <c r="HC292" s="7"/>
      <c r="HD292" s="7"/>
      <c r="HG292" s="7"/>
      <c r="HH292" s="7"/>
      <c r="HK292" s="7"/>
      <c r="HL292" s="7"/>
      <c r="HO292" s="7"/>
      <c r="HP292" s="7"/>
    </row>
    <row r="293" spans="3:224" x14ac:dyDescent="0.3">
      <c r="C293" s="7"/>
      <c r="D293" s="7"/>
      <c r="G293" s="7"/>
      <c r="H293" s="7"/>
      <c r="K293" s="7"/>
      <c r="L293" s="7"/>
      <c r="O293" s="7"/>
      <c r="P293" s="7"/>
      <c r="S293" s="7"/>
      <c r="T293" s="7"/>
      <c r="W293" s="7"/>
      <c r="X293" s="7"/>
      <c r="AA293" s="7"/>
      <c r="AB293" s="7"/>
      <c r="AE293" s="7"/>
      <c r="AF293" s="7"/>
      <c r="AI293" s="7"/>
      <c r="AJ293" s="7"/>
      <c r="AM293" s="7"/>
      <c r="AN293" s="7"/>
      <c r="AQ293" s="7"/>
      <c r="AR293" s="7"/>
      <c r="AU293" s="7"/>
      <c r="AV293" s="7"/>
      <c r="AY293" s="7"/>
      <c r="AZ293" s="7"/>
      <c r="BC293" s="7"/>
      <c r="BD293" s="7"/>
      <c r="BG293" s="7"/>
      <c r="BH293" s="7"/>
      <c r="BK293" s="7"/>
      <c r="BL293" s="7"/>
      <c r="BO293" s="7"/>
      <c r="BP293" s="7"/>
      <c r="BS293" s="7"/>
      <c r="BT293" s="7"/>
      <c r="BW293" s="7"/>
      <c r="BX293" s="7"/>
      <c r="CA293" s="7"/>
      <c r="CB293" s="7"/>
      <c r="CE293" s="7"/>
      <c r="CF293" s="7"/>
      <c r="CI293" s="7"/>
      <c r="CJ293" s="7"/>
      <c r="CM293" s="7"/>
      <c r="CN293" s="7"/>
      <c r="CQ293" s="7"/>
      <c r="CR293" s="7"/>
      <c r="CU293" s="7"/>
      <c r="CV293" s="7"/>
      <c r="CY293" s="7"/>
      <c r="CZ293" s="7"/>
      <c r="DC293" s="7"/>
      <c r="DD293" s="7"/>
      <c r="DG293" s="7"/>
      <c r="DH293" s="7"/>
      <c r="DK293" s="7"/>
      <c r="DL293" s="7"/>
      <c r="DO293" s="7"/>
      <c r="DP293" s="7"/>
      <c r="DS293" s="7"/>
      <c r="DT293" s="7"/>
      <c r="DW293" s="7"/>
      <c r="DX293" s="7"/>
      <c r="EA293" s="7"/>
      <c r="EB293" s="7"/>
      <c r="EE293" s="7"/>
      <c r="EF293" s="7"/>
      <c r="EI293" s="7"/>
      <c r="EJ293" s="7"/>
      <c r="EM293" s="7"/>
      <c r="EN293" s="7"/>
      <c r="EQ293" s="7"/>
      <c r="ER293" s="7"/>
      <c r="EU293" s="7"/>
      <c r="EV293" s="7"/>
      <c r="EY293" s="7"/>
      <c r="EZ293" s="7"/>
      <c r="FC293" s="7"/>
      <c r="FD293" s="7"/>
      <c r="FG293" s="7"/>
      <c r="FH293" s="7"/>
      <c r="FK293" s="7"/>
      <c r="FL293" s="7"/>
      <c r="FO293" s="7"/>
      <c r="FP293" s="7"/>
      <c r="FS293" s="7"/>
      <c r="FT293" s="7"/>
      <c r="FW293" s="7"/>
      <c r="FX293" s="7"/>
      <c r="GA293" s="7"/>
      <c r="GB293" s="7"/>
      <c r="GE293" s="7"/>
      <c r="GF293" s="7"/>
      <c r="GI293" s="7"/>
      <c r="GJ293" s="7"/>
      <c r="GM293" s="7"/>
      <c r="GN293" s="7"/>
      <c r="GQ293" s="7"/>
      <c r="GR293" s="7"/>
      <c r="GU293" s="7"/>
      <c r="GV293" s="7"/>
      <c r="GY293" s="7"/>
      <c r="GZ293" s="7"/>
      <c r="HC293" s="7"/>
      <c r="HD293" s="7"/>
      <c r="HG293" s="7"/>
      <c r="HH293" s="7"/>
      <c r="HK293" s="7"/>
      <c r="HL293" s="7"/>
      <c r="HO293" s="7"/>
      <c r="HP293" s="7"/>
    </row>
  </sheetData>
  <mergeCells count="361">
    <mergeCell ref="HG3:HH3"/>
    <mergeCell ref="HJ3:HJ4"/>
    <mergeCell ref="HK3:HL3"/>
    <mergeCell ref="HN3:HN4"/>
    <mergeCell ref="HO3:HP3"/>
    <mergeCell ref="GP3:GP4"/>
    <mergeCell ref="GQ3:GR3"/>
    <mergeCell ref="GT3:GT4"/>
    <mergeCell ref="GU3:GV3"/>
    <mergeCell ref="GX3:GX4"/>
    <mergeCell ref="GY3:GZ3"/>
    <mergeCell ref="HB3:HB4"/>
    <mergeCell ref="HC3:HD3"/>
    <mergeCell ref="HF3:HF4"/>
    <mergeCell ref="FW3:FX3"/>
    <mergeCell ref="FZ3:FZ4"/>
    <mergeCell ref="GA3:GB3"/>
    <mergeCell ref="GD3:GD4"/>
    <mergeCell ref="GE3:GF3"/>
    <mergeCell ref="GH3:GH4"/>
    <mergeCell ref="GI3:GJ3"/>
    <mergeCell ref="GL3:GL4"/>
    <mergeCell ref="GM3:GN3"/>
    <mergeCell ref="FF3:FF4"/>
    <mergeCell ref="FG3:FH3"/>
    <mergeCell ref="FJ3:FJ4"/>
    <mergeCell ref="FK3:FL3"/>
    <mergeCell ref="FN3:FN4"/>
    <mergeCell ref="FO3:FP3"/>
    <mergeCell ref="FR3:FR4"/>
    <mergeCell ref="FS3:FT3"/>
    <mergeCell ref="FV3:FV4"/>
    <mergeCell ref="EM3:EN3"/>
    <mergeCell ref="EP3:EP4"/>
    <mergeCell ref="EQ3:ER3"/>
    <mergeCell ref="ET3:ET4"/>
    <mergeCell ref="EU3:EV3"/>
    <mergeCell ref="EX3:EX4"/>
    <mergeCell ref="EY3:EZ3"/>
    <mergeCell ref="FB3:FB4"/>
    <mergeCell ref="FC3:FD3"/>
    <mergeCell ref="DV3:DV4"/>
    <mergeCell ref="DW3:DX3"/>
    <mergeCell ref="DZ3:DZ4"/>
    <mergeCell ref="EA3:EB3"/>
    <mergeCell ref="ED3:ED4"/>
    <mergeCell ref="EE3:EF3"/>
    <mergeCell ref="EH3:EH4"/>
    <mergeCell ref="EI3:EJ3"/>
    <mergeCell ref="EL3:EL4"/>
    <mergeCell ref="DC3:DD3"/>
    <mergeCell ref="DF3:DF4"/>
    <mergeCell ref="DG3:DH3"/>
    <mergeCell ref="DJ3:DJ4"/>
    <mergeCell ref="DK3:DL3"/>
    <mergeCell ref="DN3:DN4"/>
    <mergeCell ref="DO3:DP3"/>
    <mergeCell ref="DR3:DR4"/>
    <mergeCell ref="DS3:DT3"/>
    <mergeCell ref="CL3:CL4"/>
    <mergeCell ref="CM3:CN3"/>
    <mergeCell ref="CP3:CP4"/>
    <mergeCell ref="CQ3:CR3"/>
    <mergeCell ref="CT3:CT4"/>
    <mergeCell ref="CU3:CV3"/>
    <mergeCell ref="CX3:CX4"/>
    <mergeCell ref="CY3:CZ3"/>
    <mergeCell ref="DB3:DB4"/>
    <mergeCell ref="BS3:BT3"/>
    <mergeCell ref="BV3:BV4"/>
    <mergeCell ref="BW3:BX3"/>
    <mergeCell ref="BZ3:BZ4"/>
    <mergeCell ref="CA3:CB3"/>
    <mergeCell ref="CD3:CD4"/>
    <mergeCell ref="CE3:CF3"/>
    <mergeCell ref="CH3:CH4"/>
    <mergeCell ref="CI3:CJ3"/>
    <mergeCell ref="BB3:BB4"/>
    <mergeCell ref="BC3:BD3"/>
    <mergeCell ref="BF3:BF4"/>
    <mergeCell ref="BG3:BH3"/>
    <mergeCell ref="BJ3:BJ4"/>
    <mergeCell ref="BK3:BL3"/>
    <mergeCell ref="BN3:BN4"/>
    <mergeCell ref="BO3:BP3"/>
    <mergeCell ref="BR3:BR4"/>
    <mergeCell ref="AI3:AJ3"/>
    <mergeCell ref="AL3:AL4"/>
    <mergeCell ref="AM3:AN3"/>
    <mergeCell ref="AP3:AP4"/>
    <mergeCell ref="AQ3:AR3"/>
    <mergeCell ref="AT3:AT4"/>
    <mergeCell ref="AU3:AV3"/>
    <mergeCell ref="AX3:AX4"/>
    <mergeCell ref="AY3:AZ3"/>
    <mergeCell ref="GQ2:GR2"/>
    <mergeCell ref="GU2:GV2"/>
    <mergeCell ref="GY2:GZ2"/>
    <mergeCell ref="HC2:HD2"/>
    <mergeCell ref="HG2:HH2"/>
    <mergeCell ref="HK2:HL2"/>
    <mergeCell ref="HO2:HP2"/>
    <mergeCell ref="B3:B4"/>
    <mergeCell ref="C3:D3"/>
    <mergeCell ref="F3:F4"/>
    <mergeCell ref="G3:H3"/>
    <mergeCell ref="J3:J4"/>
    <mergeCell ref="K3:L3"/>
    <mergeCell ref="N3:N4"/>
    <mergeCell ref="O3:P3"/>
    <mergeCell ref="R3:R4"/>
    <mergeCell ref="S3:T3"/>
    <mergeCell ref="V3:V4"/>
    <mergeCell ref="W3:X3"/>
    <mergeCell ref="Z3:Z4"/>
    <mergeCell ref="AA3:AB3"/>
    <mergeCell ref="AD3:AD4"/>
    <mergeCell ref="AE3:AF3"/>
    <mergeCell ref="AH3:AH4"/>
    <mergeCell ref="FG2:FH2"/>
    <mergeCell ref="FK2:FL2"/>
    <mergeCell ref="FO2:FP2"/>
    <mergeCell ref="FS2:FT2"/>
    <mergeCell ref="FW2:FX2"/>
    <mergeCell ref="GA2:GB2"/>
    <mergeCell ref="GE2:GF2"/>
    <mergeCell ref="GI2:GJ2"/>
    <mergeCell ref="GM2:GN2"/>
    <mergeCell ref="DW2:DX2"/>
    <mergeCell ref="EA2:EB2"/>
    <mergeCell ref="EE2:EF2"/>
    <mergeCell ref="EI2:EJ2"/>
    <mergeCell ref="EM2:EN2"/>
    <mergeCell ref="EQ2:ER2"/>
    <mergeCell ref="EU2:EV2"/>
    <mergeCell ref="EY2:EZ2"/>
    <mergeCell ref="FC2:FD2"/>
    <mergeCell ref="CM2:CN2"/>
    <mergeCell ref="CQ2:CR2"/>
    <mergeCell ref="CU2:CV2"/>
    <mergeCell ref="CY2:CZ2"/>
    <mergeCell ref="DC2:DD2"/>
    <mergeCell ref="DG2:DH2"/>
    <mergeCell ref="DK2:DL2"/>
    <mergeCell ref="DO2:DP2"/>
    <mergeCell ref="DS2:DT2"/>
    <mergeCell ref="HK1:HL1"/>
    <mergeCell ref="HO1:HP1"/>
    <mergeCell ref="C2:D2"/>
    <mergeCell ref="G2:H2"/>
    <mergeCell ref="K2:L2"/>
    <mergeCell ref="O2:P2"/>
    <mergeCell ref="S2:T2"/>
    <mergeCell ref="W2:X2"/>
    <mergeCell ref="AA2:AB2"/>
    <mergeCell ref="AE2:AF2"/>
    <mergeCell ref="AI2:AJ2"/>
    <mergeCell ref="AM2:AN2"/>
    <mergeCell ref="AQ2:AR2"/>
    <mergeCell ref="AU2:AV2"/>
    <mergeCell ref="AY2:AZ2"/>
    <mergeCell ref="BC2:BD2"/>
    <mergeCell ref="BG2:BH2"/>
    <mergeCell ref="BK2:BL2"/>
    <mergeCell ref="BO2:BP2"/>
    <mergeCell ref="BS2:BT2"/>
    <mergeCell ref="BW2:BX2"/>
    <mergeCell ref="CA2:CB2"/>
    <mergeCell ref="CE2:CF2"/>
    <mergeCell ref="CI2:CJ2"/>
    <mergeCell ref="GA1:GB1"/>
    <mergeCell ref="GE1:GF1"/>
    <mergeCell ref="GI1:GJ1"/>
    <mergeCell ref="GM1:GN1"/>
    <mergeCell ref="GQ1:GR1"/>
    <mergeCell ref="GU1:GV1"/>
    <mergeCell ref="GY1:GZ1"/>
    <mergeCell ref="HC1:HD1"/>
    <mergeCell ref="HG1:HH1"/>
    <mergeCell ref="EQ1:ER1"/>
    <mergeCell ref="EU1:EV1"/>
    <mergeCell ref="EY1:EZ1"/>
    <mergeCell ref="FC1:FD1"/>
    <mergeCell ref="FG1:FH1"/>
    <mergeCell ref="FK1:FL1"/>
    <mergeCell ref="FO1:FP1"/>
    <mergeCell ref="FS1:FT1"/>
    <mergeCell ref="FW1:FX1"/>
    <mergeCell ref="DG1:DH1"/>
    <mergeCell ref="DK1:DL1"/>
    <mergeCell ref="DO1:DP1"/>
    <mergeCell ref="DS1:DT1"/>
    <mergeCell ref="DW1:DX1"/>
    <mergeCell ref="EA1:EB1"/>
    <mergeCell ref="EE1:EF1"/>
    <mergeCell ref="EI1:EJ1"/>
    <mergeCell ref="EM1:EN1"/>
    <mergeCell ref="BW1:BX1"/>
    <mergeCell ref="CA1:CB1"/>
    <mergeCell ref="CE1:CF1"/>
    <mergeCell ref="CI1:CJ1"/>
    <mergeCell ref="CM1:CN1"/>
    <mergeCell ref="CQ1:CR1"/>
    <mergeCell ref="CU1:CV1"/>
    <mergeCell ref="CY1:CZ1"/>
    <mergeCell ref="DC1:DD1"/>
    <mergeCell ref="AM1:AN1"/>
    <mergeCell ref="AQ1:AR1"/>
    <mergeCell ref="AU1:AV1"/>
    <mergeCell ref="AY1:AZ1"/>
    <mergeCell ref="BC1:BD1"/>
    <mergeCell ref="BG1:BH1"/>
    <mergeCell ref="BK1:BL1"/>
    <mergeCell ref="BO1:BP1"/>
    <mergeCell ref="BS1:BT1"/>
    <mergeCell ref="C1:D1"/>
    <mergeCell ref="G1:H1"/>
    <mergeCell ref="K1:L1"/>
    <mergeCell ref="O1:P1"/>
    <mergeCell ref="S1:T1"/>
    <mergeCell ref="W1:X1"/>
    <mergeCell ref="AA1:AB1"/>
    <mergeCell ref="AE1:AF1"/>
    <mergeCell ref="AI1:AJ1"/>
    <mergeCell ref="NF3:NG3"/>
    <mergeCell ref="NH3:NI3"/>
    <mergeCell ref="LW3:LX3"/>
    <mergeCell ref="LZ3:MA3"/>
    <mergeCell ref="MC3:MD3"/>
    <mergeCell ref="MF3:MG3"/>
    <mergeCell ref="MI3:MJ3"/>
    <mergeCell ref="ML3:MM3"/>
    <mergeCell ref="NF2:NG2"/>
    <mergeCell ref="NH2:NI2"/>
    <mergeCell ref="MX2:MY2"/>
    <mergeCell ref="MZ2:MZ4"/>
    <mergeCell ref="NA2:NB2"/>
    <mergeCell ref="NC2:ND2"/>
    <mergeCell ref="NE2:NE4"/>
    <mergeCell ref="MX3:MY3"/>
    <mergeCell ref="NA3:NB3"/>
    <mergeCell ref="NC3:ND3"/>
    <mergeCell ref="MI2:MJ2"/>
    <mergeCell ref="ML2:MM2"/>
    <mergeCell ref="MV2:MW2"/>
    <mergeCell ref="MV3:MW3"/>
    <mergeCell ref="MO2:MO4"/>
    <mergeCell ref="MP2:MQ2"/>
    <mergeCell ref="MS2:MS4"/>
    <mergeCell ref="MT2:MU2"/>
    <mergeCell ref="MP3:MQ3"/>
    <mergeCell ref="MT3:MU3"/>
    <mergeCell ref="LW2:LX2"/>
    <mergeCell ref="LZ2:MA2"/>
    <mergeCell ref="MC2:MD2"/>
    <mergeCell ref="MF2:MG2"/>
    <mergeCell ref="LS2:LS4"/>
    <mergeCell ref="LT2:LU2"/>
    <mergeCell ref="LJ3:LK3"/>
    <mergeCell ref="LM3:LN3"/>
    <mergeCell ref="LP3:LQ3"/>
    <mergeCell ref="LT3:LU3"/>
    <mergeCell ref="KW2:KW4"/>
    <mergeCell ref="KX2:KY2"/>
    <mergeCell ref="LA2:LA4"/>
    <mergeCell ref="LB2:LC2"/>
    <mergeCell ref="LE2:LE4"/>
    <mergeCell ref="LF2:LG2"/>
    <mergeCell ref="KX3:KY3"/>
    <mergeCell ref="LB3:LC3"/>
    <mergeCell ref="LF3:LG3"/>
    <mergeCell ref="LI2:LI4"/>
    <mergeCell ref="LJ2:LK2"/>
    <mergeCell ref="LM2:LN2"/>
    <mergeCell ref="LP2:LQ2"/>
    <mergeCell ref="KK2:KK4"/>
    <mergeCell ref="KL2:KM2"/>
    <mergeCell ref="KO2:KO4"/>
    <mergeCell ref="KP2:KQ2"/>
    <mergeCell ref="KS2:KS4"/>
    <mergeCell ref="KT2:KU2"/>
    <mergeCell ref="KL3:KM3"/>
    <mergeCell ref="KP3:KQ3"/>
    <mergeCell ref="KT3:KU3"/>
    <mergeCell ref="JY2:JY4"/>
    <mergeCell ref="JZ2:KA2"/>
    <mergeCell ref="KC2:KC4"/>
    <mergeCell ref="IW2:IW4"/>
    <mergeCell ref="IX3:IY3"/>
    <mergeCell ref="JR2:JS2"/>
    <mergeCell ref="KD2:KE2"/>
    <mergeCell ref="KG2:KG4"/>
    <mergeCell ref="KH2:KI2"/>
    <mergeCell ref="JZ3:KA3"/>
    <mergeCell ref="KD3:KE3"/>
    <mergeCell ref="KH3:KI3"/>
    <mergeCell ref="JV2:JW2"/>
    <mergeCell ref="JM2:JM4"/>
    <mergeCell ref="JN2:JO2"/>
    <mergeCell ref="JQ2:JQ4"/>
    <mergeCell ref="JU2:JU4"/>
    <mergeCell ref="JN3:JO3"/>
    <mergeCell ref="JR3:JS3"/>
    <mergeCell ref="JV3:JW3"/>
    <mergeCell ref="HR2:HR4"/>
    <mergeCell ref="HS2:HT2"/>
    <mergeCell ref="HV2:HV4"/>
    <mergeCell ref="HW2:HX2"/>
    <mergeCell ref="HZ2:IA2"/>
    <mergeCell ref="JE2:JE4"/>
    <mergeCell ref="JI2:JI4"/>
    <mergeCell ref="JJ2:JK2"/>
    <mergeCell ref="JF3:JG3"/>
    <mergeCell ref="JJ3:JK3"/>
    <mergeCell ref="JF2:JG2"/>
    <mergeCell ref="JB2:JC2"/>
    <mergeCell ref="JB3:JC3"/>
    <mergeCell ref="IT2:IU2"/>
    <mergeCell ref="IX2:IY2"/>
    <mergeCell ref="HS3:HT3"/>
    <mergeCell ref="IT1:IU1"/>
    <mergeCell ref="IX1:IY1"/>
    <mergeCell ref="JB1:JC1"/>
    <mergeCell ref="JF1:JG1"/>
    <mergeCell ref="JJ1:JK1"/>
    <mergeCell ref="IC2:IC4"/>
    <mergeCell ref="ID2:IE2"/>
    <mergeCell ref="IG2:IG4"/>
    <mergeCell ref="IH2:II2"/>
    <mergeCell ref="IK2:IK4"/>
    <mergeCell ref="IL2:IM2"/>
    <mergeCell ref="JA2:JA4"/>
    <mergeCell ref="ID3:IE3"/>
    <mergeCell ref="IH3:II3"/>
    <mergeCell ref="IL3:IM3"/>
    <mergeCell ref="IP3:IQ3"/>
    <mergeCell ref="IT3:IU3"/>
    <mergeCell ref="HS1:HT1"/>
    <mergeCell ref="HW1:HX1"/>
    <mergeCell ref="HZ1:IA1"/>
    <mergeCell ref="ID1:IE1"/>
    <mergeCell ref="IH1:II1"/>
    <mergeCell ref="IL1:IM1"/>
    <mergeCell ref="IO2:IO4"/>
    <mergeCell ref="IP2:IQ2"/>
    <mergeCell ref="IS2:IS4"/>
    <mergeCell ref="IP1:IQ1"/>
    <mergeCell ref="HW3:HX3"/>
    <mergeCell ref="HZ3:IA3"/>
    <mergeCell ref="KX1:KY1"/>
    <mergeCell ref="LB1:LC1"/>
    <mergeCell ref="LF1:LG1"/>
    <mergeCell ref="JN1:JO1"/>
    <mergeCell ref="JR1:JS1"/>
    <mergeCell ref="JV1:JW1"/>
    <mergeCell ref="JZ1:KA1"/>
    <mergeCell ref="KD1:KE1"/>
    <mergeCell ref="KH1:KI1"/>
    <mergeCell ref="KL1:KM1"/>
    <mergeCell ref="KP1:KQ1"/>
    <mergeCell ref="KT1:KU1"/>
  </mergeCells>
  <pageMargins left="0.7" right="0.7" top="0.75" bottom="0.75" header="0.3" footer="0.3"/>
  <pageSetup paperSize="9" orientation="portrait" r:id="rId1"/>
  <ignoredErrors>
    <ignoredError sqref="HO17" formula="1"/>
  </ignoredError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N49"/>
  <sheetViews>
    <sheetView zoomScale="70" zoomScaleNormal="70" workbookViewId="0">
      <pane xSplit="2" ySplit="4" topLeftCell="C8" activePane="bottomRight" state="frozen"/>
      <selection pane="topRight" activeCell="C1" sqref="C1"/>
      <selection pane="bottomLeft" activeCell="A5" sqref="A5"/>
      <selection pane="bottomRight" activeCell="A27" sqref="A27"/>
    </sheetView>
  </sheetViews>
  <sheetFormatPr defaultRowHeight="14.4" x14ac:dyDescent="0.3"/>
  <cols>
    <col min="1" max="1" width="75.21875" style="29" bestFit="1" customWidth="1"/>
    <col min="2" max="2" width="10.5546875" style="33" customWidth="1"/>
    <col min="3" max="14" width="15.5546875" style="130" customWidth="1"/>
    <col min="15" max="17" width="15.5546875" style="29" customWidth="1"/>
    <col min="18" max="29" width="15.5546875" style="130" customWidth="1"/>
    <col min="30" max="32" width="15.5546875" style="29" customWidth="1"/>
    <col min="33" max="44" width="15.5546875" style="130" customWidth="1"/>
    <col min="45" max="47" width="15.5546875" style="29" customWidth="1"/>
    <col min="48" max="59" width="15.5546875" style="130" customWidth="1"/>
    <col min="60" max="62" width="15.5546875" style="29" customWidth="1"/>
    <col min="63" max="74" width="15.5546875" style="130" customWidth="1"/>
    <col min="75" max="77" width="15.5546875" style="29" customWidth="1"/>
    <col min="78" max="89" width="15.5546875" style="130" customWidth="1"/>
    <col min="90" max="92" width="15.5546875" style="29" customWidth="1"/>
    <col min="93" max="104" width="15.5546875" style="130" customWidth="1"/>
    <col min="105" max="107" width="15.5546875" style="29" customWidth="1"/>
    <col min="108" max="119" width="15.5546875" style="130" customWidth="1"/>
    <col min="120" max="122" width="15.5546875" style="29" customWidth="1"/>
    <col min="123" max="134" width="15.5546875" style="130" customWidth="1"/>
    <col min="135" max="137" width="15.5546875" style="29" customWidth="1"/>
    <col min="138" max="149" width="15.5546875" style="130" customWidth="1"/>
    <col min="150" max="152" width="15.5546875" style="29" customWidth="1"/>
    <col min="153" max="158" width="15.5546875" style="130" customWidth="1"/>
    <col min="159" max="164" width="15.5546875" style="33" customWidth="1"/>
    <col min="165" max="167" width="15.5546875" style="29" customWidth="1"/>
    <col min="168" max="179" width="15.5546875" style="33" customWidth="1"/>
    <col min="180" max="182" width="15.5546875" style="29" customWidth="1"/>
    <col min="183" max="194" width="15.5546875" style="33" customWidth="1"/>
    <col min="195" max="197" width="15.5546875" style="29" customWidth="1"/>
    <col min="198" max="209" width="15.5546875" style="33" customWidth="1"/>
    <col min="210" max="212" width="15.5546875" style="29" customWidth="1"/>
    <col min="213" max="213" width="12.109375" style="33" bestFit="1" customWidth="1"/>
    <col min="214" max="214" width="11.44140625" style="29" customWidth="1"/>
    <col min="215" max="215" width="17.6640625" style="29" customWidth="1"/>
    <col min="216" max="216" width="18.5546875" style="29" customWidth="1"/>
    <col min="217" max="217" width="11.44140625" style="29" customWidth="1"/>
    <col min="218" max="218" width="17.6640625" style="29" customWidth="1"/>
    <col min="219" max="219" width="18.5546875" style="29" customWidth="1"/>
    <col min="220" max="220" width="11.44140625" style="29" customWidth="1"/>
    <col min="221" max="221" width="17.6640625" style="29" customWidth="1"/>
    <col min="222" max="222" width="18.5546875" style="29" customWidth="1"/>
    <col min="223" max="223" width="11.44140625" style="29" customWidth="1"/>
    <col min="224" max="224" width="17.6640625" style="29" customWidth="1"/>
    <col min="225" max="225" width="18.5546875" style="29" customWidth="1"/>
    <col min="226" max="226" width="11.44140625" style="29" bestFit="1" customWidth="1"/>
    <col min="227" max="227" width="17.6640625" style="29" bestFit="1" customWidth="1"/>
    <col min="228" max="228" width="18.5546875" style="29" bestFit="1" customWidth="1"/>
    <col min="229" max="229" width="11.44140625" style="29" customWidth="1"/>
    <col min="230" max="230" width="17.6640625" style="29" customWidth="1"/>
    <col min="231" max="231" width="18.5546875" style="29" customWidth="1"/>
    <col min="232" max="232" width="11.44140625" style="29" customWidth="1"/>
    <col min="233" max="233" width="17.6640625" style="29" customWidth="1"/>
    <col min="234" max="234" width="18.5546875" style="29" customWidth="1"/>
    <col min="235" max="235" width="11.44140625" style="29" customWidth="1"/>
    <col min="236" max="236" width="17.6640625" style="29" customWidth="1"/>
    <col min="237" max="237" width="18.5546875" style="29" customWidth="1"/>
    <col min="238" max="238" width="11.44140625" style="29" customWidth="1"/>
    <col min="239" max="239" width="17.6640625" style="29" customWidth="1"/>
    <col min="240" max="240" width="18.5546875" style="29" customWidth="1"/>
    <col min="241" max="241" width="11.44140625" style="29" bestFit="1" customWidth="1"/>
    <col min="242" max="242" width="17.6640625" style="29" bestFit="1" customWidth="1"/>
    <col min="243" max="243" width="18.5546875" style="29" bestFit="1" customWidth="1"/>
    <col min="244" max="244" width="11.44140625" style="29" customWidth="1"/>
    <col min="245" max="245" width="17.6640625" style="29" customWidth="1"/>
    <col min="246" max="246" width="18.5546875" style="29" customWidth="1"/>
    <col min="247" max="247" width="11.44140625" style="29" customWidth="1"/>
    <col min="248" max="248" width="17.6640625" style="29" customWidth="1"/>
    <col min="249" max="249" width="18.5546875" style="29" customWidth="1"/>
    <col min="250" max="250" width="11.44140625" style="29" customWidth="1"/>
    <col min="251" max="251" width="17.6640625" style="29" customWidth="1"/>
    <col min="252" max="252" width="18.5546875" style="29" customWidth="1"/>
    <col min="253" max="253" width="11.44140625" style="29" customWidth="1"/>
    <col min="254" max="254" width="17.6640625" style="29" customWidth="1"/>
    <col min="255" max="255" width="18.5546875" style="29" customWidth="1"/>
    <col min="256" max="256" width="11.44140625" style="29" bestFit="1" customWidth="1"/>
    <col min="257" max="257" width="17.6640625" style="29" bestFit="1" customWidth="1"/>
    <col min="258" max="258" width="18.5546875" style="29" bestFit="1" customWidth="1"/>
    <col min="259" max="259" width="11.44140625" style="29" customWidth="1"/>
    <col min="260" max="260" width="17.6640625" style="29" customWidth="1"/>
    <col min="261" max="261" width="18.5546875" style="29" customWidth="1"/>
    <col min="262" max="262" width="11.44140625" style="29" customWidth="1"/>
    <col min="263" max="263" width="17.6640625" style="29" customWidth="1"/>
    <col min="264" max="264" width="18.5546875" style="29" customWidth="1"/>
    <col min="265" max="265" width="11.44140625" style="29" customWidth="1"/>
    <col min="266" max="266" width="17.6640625" style="29" customWidth="1"/>
    <col min="267" max="267" width="18.5546875" style="29" customWidth="1"/>
    <col min="268" max="268" width="11.44140625" style="29" customWidth="1"/>
    <col min="269" max="269" width="17.6640625" style="29" customWidth="1"/>
    <col min="270" max="270" width="18.5546875" style="29" customWidth="1"/>
    <col min="271" max="271" width="11.44140625" style="29" bestFit="1" customWidth="1"/>
    <col min="272" max="272" width="17.6640625" style="29" bestFit="1" customWidth="1"/>
    <col min="273" max="273" width="18.5546875" style="29" bestFit="1" customWidth="1"/>
    <col min="274" max="274" width="11.44140625" style="29" customWidth="1"/>
    <col min="275" max="275" width="17.6640625" style="29" customWidth="1"/>
    <col min="276" max="276" width="18.5546875" style="29" customWidth="1"/>
    <col min="277" max="277" width="11.44140625" style="29" customWidth="1"/>
    <col min="278" max="278" width="17.6640625" style="29" customWidth="1"/>
    <col min="279" max="279" width="18.5546875" style="29" customWidth="1"/>
    <col min="280" max="280" width="11.44140625" style="29" customWidth="1"/>
    <col min="281" max="281" width="17.6640625" style="29" customWidth="1"/>
    <col min="282" max="282" width="18.5546875" style="29" customWidth="1"/>
    <col min="283" max="283" width="11.44140625" style="29" customWidth="1"/>
    <col min="284" max="284" width="17.6640625" style="29" customWidth="1"/>
    <col min="285" max="285" width="18.5546875" style="29" customWidth="1"/>
    <col min="286" max="286" width="11.44140625" style="29" bestFit="1" customWidth="1"/>
    <col min="287" max="287" width="17.6640625" style="29" bestFit="1" customWidth="1"/>
    <col min="288" max="288" width="18.5546875" style="29" bestFit="1" customWidth="1"/>
    <col min="289" max="289" width="11.44140625" style="29" customWidth="1"/>
    <col min="290" max="290" width="17.6640625" style="29" customWidth="1"/>
    <col min="291" max="291" width="18.5546875" style="29" customWidth="1"/>
    <col min="292" max="292" width="11.44140625" style="29" customWidth="1"/>
    <col min="293" max="293" width="17.6640625" style="29" customWidth="1"/>
    <col min="294" max="294" width="18.5546875" style="29" customWidth="1"/>
    <col min="295" max="295" width="11.44140625" style="29" customWidth="1"/>
    <col min="296" max="296" width="17.6640625" style="29" customWidth="1"/>
    <col min="297" max="297" width="18.5546875" style="29" customWidth="1"/>
    <col min="298" max="298" width="11.44140625" style="29" customWidth="1"/>
    <col min="299" max="299" width="17.6640625" style="29" customWidth="1"/>
    <col min="300" max="300" width="18.5546875" style="29" customWidth="1"/>
    <col min="301" max="301" width="11.44140625" style="29" bestFit="1" customWidth="1"/>
    <col min="302" max="302" width="17.6640625" style="29" bestFit="1" customWidth="1"/>
    <col min="303" max="303" width="18.5546875" style="29" bestFit="1" customWidth="1"/>
    <col min="304" max="304" width="11.44140625" style="29" bestFit="1" customWidth="1"/>
    <col min="305" max="305" width="17.6640625" style="29" bestFit="1" customWidth="1"/>
    <col min="306" max="306" width="18.5546875" style="29" bestFit="1" customWidth="1"/>
    <col min="307" max="307" width="11.44140625" style="29" bestFit="1" customWidth="1"/>
    <col min="308" max="308" width="17.6640625" style="29" bestFit="1" customWidth="1"/>
    <col min="309" max="309" width="18.5546875" style="29" bestFit="1" customWidth="1"/>
    <col min="310" max="310" width="11.44140625" style="29" bestFit="1" customWidth="1"/>
    <col min="311" max="311" width="17.6640625" style="29" bestFit="1" customWidth="1"/>
    <col min="312" max="312" width="18.5546875" style="29" bestFit="1" customWidth="1"/>
    <col min="313" max="313" width="11.44140625" style="29" bestFit="1" customWidth="1"/>
    <col min="314" max="314" width="17.6640625" style="29" bestFit="1" customWidth="1"/>
    <col min="315" max="315" width="18.5546875" style="29" bestFit="1" customWidth="1"/>
    <col min="316" max="316" width="11.44140625" style="29" bestFit="1" customWidth="1"/>
    <col min="317" max="317" width="17.6640625" style="29" bestFit="1" customWidth="1"/>
    <col min="318" max="318" width="18.5546875" style="29" bestFit="1" customWidth="1"/>
    <col min="319" max="319" width="11.44140625" style="29" bestFit="1" customWidth="1"/>
    <col min="320" max="320" width="17.6640625" style="29" bestFit="1" customWidth="1"/>
    <col min="321" max="321" width="18.5546875" style="29" bestFit="1" customWidth="1"/>
    <col min="322" max="322" width="11.44140625" style="29" bestFit="1" customWidth="1"/>
    <col min="323" max="323" width="17.6640625" style="29" bestFit="1" customWidth="1"/>
    <col min="324" max="324" width="18.5546875" style="29" bestFit="1" customWidth="1"/>
    <col min="325" max="325" width="11.44140625" style="29" bestFit="1" customWidth="1"/>
    <col min="326" max="326" width="17.6640625" style="29" bestFit="1" customWidth="1"/>
    <col min="327" max="327" width="18.5546875" style="29" bestFit="1" customWidth="1"/>
    <col min="328" max="328" width="11.44140625" style="29" bestFit="1" customWidth="1"/>
    <col min="329" max="329" width="17.6640625" style="29" bestFit="1" customWidth="1"/>
    <col min="330" max="330" width="18.5546875" style="29" bestFit="1" customWidth="1"/>
    <col min="331" max="331" width="11.44140625" style="29" bestFit="1" customWidth="1"/>
    <col min="332" max="332" width="17.6640625" style="29" bestFit="1" customWidth="1"/>
    <col min="333" max="333" width="18.5546875" style="29" bestFit="1" customWidth="1"/>
    <col min="334" max="334" width="11.44140625" style="29" bestFit="1" customWidth="1"/>
    <col min="335" max="335" width="17.6640625" style="29" bestFit="1" customWidth="1"/>
    <col min="336" max="336" width="18.5546875" style="29" bestFit="1" customWidth="1"/>
    <col min="337" max="337" width="11.44140625" style="29" bestFit="1" customWidth="1"/>
    <col min="338" max="338" width="18.5546875" style="29" bestFit="1" customWidth="1"/>
    <col min="339" max="339" width="11.44140625" style="29" bestFit="1" customWidth="1"/>
    <col min="340" max="340" width="18.5546875" style="29" bestFit="1" customWidth="1"/>
    <col min="341" max="341" width="11.44140625" style="29" customWidth="1"/>
    <col min="342" max="342" width="18.5546875" style="29" bestFit="1" customWidth="1"/>
    <col min="343" max="343" width="11.44140625" style="29" bestFit="1" customWidth="1"/>
    <col min="344" max="344" width="18.5546875" style="29" bestFit="1" customWidth="1"/>
    <col min="345" max="345" width="11.44140625" style="29" bestFit="1" customWidth="1"/>
    <col min="346" max="346" width="18.5546875" style="29" bestFit="1" customWidth="1"/>
    <col min="347" max="347" width="11.44140625" style="29" bestFit="1" customWidth="1"/>
    <col min="348" max="348" width="18.5546875" style="29" bestFit="1" customWidth="1"/>
    <col min="349" max="349" width="11.44140625" style="29" bestFit="1" customWidth="1"/>
    <col min="350" max="350" width="18.5546875" style="29" bestFit="1" customWidth="1"/>
    <col min="351" max="16384" width="8.88671875" style="29"/>
  </cols>
  <sheetData>
    <row r="1" spans="1:352" s="33" customFormat="1" ht="33" customHeight="1" x14ac:dyDescent="0.3">
      <c r="B1" s="10"/>
      <c r="C1" s="146" t="s">
        <v>62</v>
      </c>
      <c r="D1" s="146"/>
      <c r="E1" s="118"/>
      <c r="F1" s="146" t="s">
        <v>56</v>
      </c>
      <c r="G1" s="146"/>
      <c r="H1" s="118"/>
      <c r="I1" s="146" t="s">
        <v>51</v>
      </c>
      <c r="J1" s="146"/>
      <c r="K1" s="118"/>
      <c r="L1" s="146" t="s">
        <v>36</v>
      </c>
      <c r="M1" s="146"/>
      <c r="N1" s="118"/>
      <c r="O1" s="119"/>
      <c r="P1" s="119"/>
      <c r="Q1" s="119"/>
      <c r="R1" s="146" t="s">
        <v>62</v>
      </c>
      <c r="S1" s="146"/>
      <c r="T1" s="118"/>
      <c r="U1" s="146" t="s">
        <v>56</v>
      </c>
      <c r="V1" s="146"/>
      <c r="W1" s="118"/>
      <c r="X1" s="146" t="s">
        <v>51</v>
      </c>
      <c r="Y1" s="146"/>
      <c r="Z1" s="118"/>
      <c r="AA1" s="146" t="s">
        <v>36</v>
      </c>
      <c r="AB1" s="146"/>
      <c r="AC1" s="118"/>
      <c r="AD1" s="119"/>
      <c r="AE1" s="119"/>
      <c r="AF1" s="119"/>
      <c r="AG1" s="146" t="s">
        <v>62</v>
      </c>
      <c r="AH1" s="146"/>
      <c r="AI1" s="118"/>
      <c r="AJ1" s="146" t="s">
        <v>56</v>
      </c>
      <c r="AK1" s="146"/>
      <c r="AL1" s="118"/>
      <c r="AM1" s="146" t="s">
        <v>51</v>
      </c>
      <c r="AN1" s="146"/>
      <c r="AO1" s="118"/>
      <c r="AP1" s="146" t="s">
        <v>36</v>
      </c>
      <c r="AQ1" s="146"/>
      <c r="AR1" s="118"/>
      <c r="AS1" s="119"/>
      <c r="AT1" s="119"/>
      <c r="AU1" s="119"/>
      <c r="AV1" s="146" t="s">
        <v>62</v>
      </c>
      <c r="AW1" s="146"/>
      <c r="AX1" s="118"/>
      <c r="AY1" s="146" t="s">
        <v>56</v>
      </c>
      <c r="AZ1" s="146"/>
      <c r="BA1" s="118"/>
      <c r="BB1" s="146" t="s">
        <v>51</v>
      </c>
      <c r="BC1" s="146"/>
      <c r="BD1" s="118"/>
      <c r="BE1" s="146" t="s">
        <v>36</v>
      </c>
      <c r="BF1" s="146"/>
      <c r="BG1" s="118"/>
      <c r="BH1" s="119"/>
      <c r="BI1" s="119"/>
      <c r="BJ1" s="119"/>
      <c r="BK1" s="146" t="s">
        <v>62</v>
      </c>
      <c r="BL1" s="146"/>
      <c r="BM1" s="118"/>
      <c r="BN1" s="146" t="s">
        <v>56</v>
      </c>
      <c r="BO1" s="146"/>
      <c r="BP1" s="118"/>
      <c r="BQ1" s="146" t="s">
        <v>51</v>
      </c>
      <c r="BR1" s="146"/>
      <c r="BS1" s="118"/>
      <c r="BT1" s="146" t="s">
        <v>36</v>
      </c>
      <c r="BU1" s="146"/>
      <c r="BV1" s="118"/>
      <c r="BW1" s="119"/>
      <c r="BX1" s="119"/>
      <c r="BY1" s="119"/>
      <c r="BZ1" s="146" t="s">
        <v>62</v>
      </c>
      <c r="CA1" s="146"/>
      <c r="CB1" s="118"/>
      <c r="CC1" s="146" t="s">
        <v>56</v>
      </c>
      <c r="CD1" s="146"/>
      <c r="CE1" s="118"/>
      <c r="CF1" s="146" t="s">
        <v>51</v>
      </c>
      <c r="CG1" s="146"/>
      <c r="CH1" s="118"/>
      <c r="CI1" s="146" t="s">
        <v>36</v>
      </c>
      <c r="CJ1" s="146"/>
      <c r="CK1" s="118"/>
      <c r="CL1" s="119"/>
      <c r="CM1" s="119"/>
      <c r="CN1" s="119"/>
      <c r="CO1" s="146" t="s">
        <v>62</v>
      </c>
      <c r="CP1" s="146"/>
      <c r="CQ1" s="118"/>
      <c r="CR1" s="146" t="s">
        <v>56</v>
      </c>
      <c r="CS1" s="146"/>
      <c r="CT1" s="118"/>
      <c r="CU1" s="146" t="s">
        <v>51</v>
      </c>
      <c r="CV1" s="146"/>
      <c r="CW1" s="118"/>
      <c r="CX1" s="146" t="s">
        <v>36</v>
      </c>
      <c r="CY1" s="146"/>
      <c r="CZ1" s="118"/>
      <c r="DA1" s="119"/>
      <c r="DB1" s="119"/>
      <c r="DC1" s="119"/>
      <c r="DD1" s="146" t="s">
        <v>62</v>
      </c>
      <c r="DE1" s="146"/>
      <c r="DF1" s="118"/>
      <c r="DG1" s="146" t="s">
        <v>56</v>
      </c>
      <c r="DH1" s="146"/>
      <c r="DI1" s="118"/>
      <c r="DJ1" s="146" t="s">
        <v>51</v>
      </c>
      <c r="DK1" s="146"/>
      <c r="DL1" s="118"/>
      <c r="DM1" s="146" t="s">
        <v>36</v>
      </c>
      <c r="DN1" s="146"/>
      <c r="DO1" s="118"/>
      <c r="DP1" s="119"/>
      <c r="DQ1" s="119"/>
      <c r="DR1" s="119"/>
      <c r="DS1" s="146" t="s">
        <v>62</v>
      </c>
      <c r="DT1" s="146"/>
      <c r="DU1" s="118"/>
      <c r="DV1" s="146" t="s">
        <v>56</v>
      </c>
      <c r="DW1" s="146"/>
      <c r="DX1" s="118"/>
      <c r="DY1" s="146" t="s">
        <v>51</v>
      </c>
      <c r="DZ1" s="146"/>
      <c r="EA1" s="118"/>
      <c r="EB1" s="146" t="s">
        <v>36</v>
      </c>
      <c r="EC1" s="146"/>
      <c r="ED1" s="118"/>
      <c r="EE1" s="119"/>
      <c r="EF1" s="119"/>
      <c r="EG1" s="119"/>
      <c r="EH1" s="146" t="s">
        <v>62</v>
      </c>
      <c r="EI1" s="146"/>
      <c r="EJ1" s="118"/>
      <c r="EK1" s="146" t="s">
        <v>56</v>
      </c>
      <c r="EL1" s="146"/>
      <c r="EM1" s="118"/>
      <c r="EN1" s="146" t="s">
        <v>51</v>
      </c>
      <c r="EO1" s="146"/>
      <c r="EP1" s="118"/>
      <c r="EQ1" s="146" t="s">
        <v>36</v>
      </c>
      <c r="ER1" s="146"/>
      <c r="ES1" s="118"/>
      <c r="ET1" s="119"/>
      <c r="EU1" s="119"/>
      <c r="EV1" s="119"/>
      <c r="EW1" s="146" t="s">
        <v>62</v>
      </c>
      <c r="EX1" s="146"/>
      <c r="EY1" s="118"/>
      <c r="EZ1" s="146" t="s">
        <v>56</v>
      </c>
      <c r="FA1" s="146"/>
      <c r="FB1" s="118"/>
      <c r="FC1" s="146" t="s">
        <v>51</v>
      </c>
      <c r="FD1" s="146"/>
      <c r="FE1" s="118"/>
      <c r="FF1" s="146" t="s">
        <v>36</v>
      </c>
      <c r="FG1" s="146"/>
      <c r="FH1" s="118"/>
      <c r="FI1" s="119"/>
      <c r="FJ1" s="119"/>
      <c r="FK1" s="119"/>
      <c r="FL1" s="146" t="s">
        <v>62</v>
      </c>
      <c r="FM1" s="146"/>
      <c r="FN1" s="118"/>
      <c r="FO1" s="146" t="s">
        <v>56</v>
      </c>
      <c r="FP1" s="146"/>
      <c r="FQ1" s="118"/>
      <c r="FR1" s="146" t="s">
        <v>51</v>
      </c>
      <c r="FS1" s="146"/>
      <c r="FT1" s="118"/>
      <c r="FU1" s="146" t="s">
        <v>36</v>
      </c>
      <c r="FV1" s="146"/>
      <c r="FW1" s="118"/>
      <c r="FX1" s="119"/>
      <c r="FY1" s="119"/>
      <c r="FZ1" s="119"/>
      <c r="GA1" s="146" t="s">
        <v>62</v>
      </c>
      <c r="GB1" s="146"/>
      <c r="GC1" s="118"/>
      <c r="GD1" s="146" t="s">
        <v>56</v>
      </c>
      <c r="GE1" s="146"/>
      <c r="GF1" s="118"/>
      <c r="GG1" s="146" t="s">
        <v>51</v>
      </c>
      <c r="GH1" s="146"/>
      <c r="GI1" s="118"/>
      <c r="GJ1" s="146" t="s">
        <v>36</v>
      </c>
      <c r="GK1" s="146"/>
      <c r="GL1" s="118"/>
      <c r="GM1" s="119"/>
      <c r="GN1" s="119"/>
      <c r="GO1" s="119"/>
      <c r="GP1" s="146" t="s">
        <v>62</v>
      </c>
      <c r="GQ1" s="146"/>
      <c r="GR1" s="118"/>
      <c r="GS1" s="146" t="s">
        <v>56</v>
      </c>
      <c r="GT1" s="146"/>
      <c r="GU1" s="118"/>
      <c r="GV1" s="146" t="s">
        <v>51</v>
      </c>
      <c r="GW1" s="146"/>
      <c r="GX1" s="118"/>
      <c r="GY1" s="146" t="s">
        <v>36</v>
      </c>
      <c r="GZ1" s="146"/>
      <c r="HA1" s="118"/>
      <c r="HB1" s="119"/>
      <c r="HC1" s="119"/>
      <c r="HD1" s="119"/>
      <c r="HF1" s="155" t="s">
        <v>62</v>
      </c>
      <c r="HG1" s="155"/>
      <c r="HH1" s="51"/>
      <c r="HI1" s="155" t="s">
        <v>56</v>
      </c>
      <c r="HJ1" s="155"/>
      <c r="HK1" s="51"/>
      <c r="HL1" s="155" t="s">
        <v>51</v>
      </c>
      <c r="HM1" s="155"/>
      <c r="HN1" s="51"/>
      <c r="HO1" s="155" t="s">
        <v>36</v>
      </c>
      <c r="HP1" s="155"/>
      <c r="HQ1" s="51"/>
      <c r="HR1" s="51"/>
      <c r="HS1" s="51"/>
      <c r="HT1" s="51"/>
      <c r="HU1" s="155" t="s">
        <v>62</v>
      </c>
      <c r="HV1" s="155"/>
      <c r="HW1" s="51"/>
      <c r="HX1" s="155" t="s">
        <v>56</v>
      </c>
      <c r="HY1" s="155"/>
      <c r="HZ1" s="51"/>
      <c r="IA1" s="155" t="s">
        <v>51</v>
      </c>
      <c r="IB1" s="155"/>
      <c r="IC1" s="51"/>
      <c r="ID1" s="155" t="s">
        <v>36</v>
      </c>
      <c r="IE1" s="155"/>
      <c r="IF1" s="51"/>
      <c r="IG1" s="51"/>
      <c r="IH1" s="51"/>
      <c r="II1" s="51"/>
      <c r="IJ1" s="155" t="s">
        <v>62</v>
      </c>
      <c r="IK1" s="155"/>
      <c r="IL1" s="51"/>
      <c r="IM1" s="155" t="s">
        <v>56</v>
      </c>
      <c r="IN1" s="155"/>
      <c r="IO1" s="51"/>
      <c r="IP1" s="155" t="s">
        <v>51</v>
      </c>
      <c r="IQ1" s="155"/>
      <c r="IR1" s="51"/>
      <c r="IS1" s="155" t="s">
        <v>36</v>
      </c>
      <c r="IT1" s="155"/>
      <c r="IU1" s="51"/>
      <c r="IV1" s="51"/>
      <c r="IW1" s="51"/>
      <c r="IX1" s="51"/>
      <c r="IY1" s="155" t="s">
        <v>62</v>
      </c>
      <c r="IZ1" s="155"/>
      <c r="JA1" s="51"/>
      <c r="JB1" s="155" t="s">
        <v>56</v>
      </c>
      <c r="JC1" s="155"/>
      <c r="JD1" s="51"/>
      <c r="JE1" s="155" t="s">
        <v>51</v>
      </c>
      <c r="JF1" s="155"/>
      <c r="JG1" s="51"/>
      <c r="JH1" s="155" t="s">
        <v>36</v>
      </c>
      <c r="JI1" s="155"/>
      <c r="JJ1" s="51"/>
      <c r="JK1" s="51"/>
      <c r="JL1" s="51"/>
      <c r="JM1" s="51"/>
      <c r="JN1" s="155" t="s">
        <v>62</v>
      </c>
      <c r="JO1" s="155"/>
      <c r="JP1" s="51"/>
      <c r="JQ1" s="155" t="s">
        <v>56</v>
      </c>
      <c r="JR1" s="155"/>
      <c r="JS1" s="51"/>
      <c r="JT1" s="155" t="s">
        <v>51</v>
      </c>
      <c r="JU1" s="155"/>
      <c r="JV1" s="51"/>
      <c r="JW1" s="155" t="s">
        <v>36</v>
      </c>
      <c r="JX1" s="155"/>
      <c r="JY1" s="51"/>
      <c r="JZ1" s="51"/>
      <c r="KA1" s="51"/>
      <c r="KB1" s="51"/>
      <c r="KC1" s="155" t="s">
        <v>62</v>
      </c>
      <c r="KD1" s="155"/>
      <c r="KE1" s="51"/>
      <c r="KF1" s="155" t="s">
        <v>56</v>
      </c>
      <c r="KG1" s="155"/>
      <c r="KH1" s="51"/>
      <c r="KI1" s="155" t="s">
        <v>51</v>
      </c>
      <c r="KJ1" s="155"/>
      <c r="KK1" s="51"/>
      <c r="KL1" s="155" t="s">
        <v>36</v>
      </c>
      <c r="KM1" s="155"/>
      <c r="KN1" s="51"/>
      <c r="KO1" s="51"/>
      <c r="KP1" s="51"/>
      <c r="KQ1" s="51"/>
      <c r="KT1" s="51"/>
      <c r="KW1" s="51"/>
      <c r="KZ1" s="51"/>
      <c r="LC1" s="51"/>
      <c r="LF1" s="51"/>
      <c r="LI1" s="51"/>
      <c r="LL1" s="51"/>
      <c r="LO1" s="51"/>
      <c r="LR1" s="51"/>
      <c r="LU1" s="51"/>
      <c r="LX1" s="51"/>
    </row>
    <row r="2" spans="1:352" s="34" customFormat="1" ht="15.6" customHeight="1" x14ac:dyDescent="0.3">
      <c r="A2" s="37"/>
      <c r="B2" s="107"/>
      <c r="C2" s="144" t="s">
        <v>372</v>
      </c>
      <c r="D2" s="144"/>
      <c r="E2" s="117"/>
      <c r="F2" s="144" t="s">
        <v>372</v>
      </c>
      <c r="G2" s="144"/>
      <c r="H2" s="117"/>
      <c r="I2" s="144" t="s">
        <v>372</v>
      </c>
      <c r="J2" s="144"/>
      <c r="K2" s="117"/>
      <c r="L2" s="144" t="s">
        <v>372</v>
      </c>
      <c r="M2" s="144"/>
      <c r="N2" s="117"/>
      <c r="O2" s="144" t="s">
        <v>372</v>
      </c>
      <c r="P2" s="144"/>
      <c r="Q2" s="117"/>
      <c r="R2" s="144" t="s">
        <v>392</v>
      </c>
      <c r="S2" s="144"/>
      <c r="T2" s="117"/>
      <c r="U2" s="144" t="s">
        <v>392</v>
      </c>
      <c r="V2" s="144"/>
      <c r="W2" s="117"/>
      <c r="X2" s="144" t="s">
        <v>392</v>
      </c>
      <c r="Y2" s="144"/>
      <c r="Z2" s="117"/>
      <c r="AA2" s="144" t="s">
        <v>392</v>
      </c>
      <c r="AB2" s="144"/>
      <c r="AC2" s="117"/>
      <c r="AD2" s="144" t="s">
        <v>392</v>
      </c>
      <c r="AE2" s="144"/>
      <c r="AF2" s="117"/>
      <c r="AG2" s="144" t="s">
        <v>390</v>
      </c>
      <c r="AH2" s="144"/>
      <c r="AI2" s="117"/>
      <c r="AJ2" s="144" t="s">
        <v>390</v>
      </c>
      <c r="AK2" s="144"/>
      <c r="AL2" s="117"/>
      <c r="AM2" s="144" t="s">
        <v>390</v>
      </c>
      <c r="AN2" s="144"/>
      <c r="AO2" s="117"/>
      <c r="AP2" s="144" t="s">
        <v>390</v>
      </c>
      <c r="AQ2" s="144"/>
      <c r="AR2" s="117"/>
      <c r="AS2" s="144" t="s">
        <v>390</v>
      </c>
      <c r="AT2" s="144"/>
      <c r="AU2" s="117"/>
      <c r="AV2" s="144" t="s">
        <v>388</v>
      </c>
      <c r="AW2" s="144"/>
      <c r="AX2" s="117"/>
      <c r="AY2" s="144" t="s">
        <v>388</v>
      </c>
      <c r="AZ2" s="144"/>
      <c r="BA2" s="117"/>
      <c r="BB2" s="144" t="s">
        <v>388</v>
      </c>
      <c r="BC2" s="144"/>
      <c r="BD2" s="117"/>
      <c r="BE2" s="144" t="s">
        <v>388</v>
      </c>
      <c r="BF2" s="144"/>
      <c r="BG2" s="117"/>
      <c r="BH2" s="144" t="s">
        <v>388</v>
      </c>
      <c r="BI2" s="144"/>
      <c r="BJ2" s="117"/>
      <c r="BK2" s="144" t="s">
        <v>386</v>
      </c>
      <c r="BL2" s="144"/>
      <c r="BM2" s="117"/>
      <c r="BN2" s="144" t="s">
        <v>386</v>
      </c>
      <c r="BO2" s="144"/>
      <c r="BP2" s="117"/>
      <c r="BQ2" s="144" t="s">
        <v>386</v>
      </c>
      <c r="BR2" s="144"/>
      <c r="BS2" s="117"/>
      <c r="BT2" s="144" t="s">
        <v>386</v>
      </c>
      <c r="BU2" s="144"/>
      <c r="BV2" s="117"/>
      <c r="BW2" s="144" t="s">
        <v>386</v>
      </c>
      <c r="BX2" s="144"/>
      <c r="BY2" s="117"/>
      <c r="BZ2" s="144" t="s">
        <v>383</v>
      </c>
      <c r="CA2" s="144"/>
      <c r="CB2" s="117"/>
      <c r="CC2" s="144" t="s">
        <v>383</v>
      </c>
      <c r="CD2" s="144"/>
      <c r="CE2" s="117"/>
      <c r="CF2" s="144" t="s">
        <v>383</v>
      </c>
      <c r="CG2" s="144"/>
      <c r="CH2" s="117"/>
      <c r="CI2" s="144" t="s">
        <v>383</v>
      </c>
      <c r="CJ2" s="144"/>
      <c r="CK2" s="117"/>
      <c r="CL2" s="144" t="s">
        <v>383</v>
      </c>
      <c r="CM2" s="144"/>
      <c r="CN2" s="117"/>
      <c r="CO2" s="144" t="s">
        <v>382</v>
      </c>
      <c r="CP2" s="144"/>
      <c r="CQ2" s="117"/>
      <c r="CR2" s="144" t="s">
        <v>382</v>
      </c>
      <c r="CS2" s="144"/>
      <c r="CT2" s="117"/>
      <c r="CU2" s="144" t="s">
        <v>382</v>
      </c>
      <c r="CV2" s="144"/>
      <c r="CW2" s="117"/>
      <c r="CX2" s="144" t="s">
        <v>382</v>
      </c>
      <c r="CY2" s="144"/>
      <c r="CZ2" s="117"/>
      <c r="DA2" s="144" t="s">
        <v>382</v>
      </c>
      <c r="DB2" s="144"/>
      <c r="DC2" s="117"/>
      <c r="DD2" s="144" t="s">
        <v>381</v>
      </c>
      <c r="DE2" s="144"/>
      <c r="DF2" s="117"/>
      <c r="DG2" s="144" t="s">
        <v>381</v>
      </c>
      <c r="DH2" s="144"/>
      <c r="DI2" s="117"/>
      <c r="DJ2" s="144" t="s">
        <v>381</v>
      </c>
      <c r="DK2" s="144"/>
      <c r="DL2" s="117"/>
      <c r="DM2" s="144" t="s">
        <v>381</v>
      </c>
      <c r="DN2" s="144"/>
      <c r="DO2" s="117"/>
      <c r="DP2" s="144" t="s">
        <v>381</v>
      </c>
      <c r="DQ2" s="144"/>
      <c r="DR2" s="117"/>
      <c r="DS2" s="144" t="s">
        <v>380</v>
      </c>
      <c r="DT2" s="144"/>
      <c r="DU2" s="117"/>
      <c r="DV2" s="144" t="s">
        <v>380</v>
      </c>
      <c r="DW2" s="144"/>
      <c r="DX2" s="117"/>
      <c r="DY2" s="144" t="s">
        <v>380</v>
      </c>
      <c r="DZ2" s="144"/>
      <c r="EA2" s="117"/>
      <c r="EB2" s="144" t="s">
        <v>380</v>
      </c>
      <c r="EC2" s="144"/>
      <c r="ED2" s="117"/>
      <c r="EE2" s="144" t="s">
        <v>380</v>
      </c>
      <c r="EF2" s="144"/>
      <c r="EG2" s="117"/>
      <c r="EH2" s="144" t="s">
        <v>379</v>
      </c>
      <c r="EI2" s="144"/>
      <c r="EJ2" s="117"/>
      <c r="EK2" s="144" t="s">
        <v>379</v>
      </c>
      <c r="EL2" s="144"/>
      <c r="EM2" s="117"/>
      <c r="EN2" s="144" t="s">
        <v>379</v>
      </c>
      <c r="EO2" s="144"/>
      <c r="EP2" s="117"/>
      <c r="EQ2" s="144" t="s">
        <v>379</v>
      </c>
      <c r="ER2" s="144"/>
      <c r="ES2" s="117"/>
      <c r="ET2" s="144" t="s">
        <v>379</v>
      </c>
      <c r="EU2" s="144"/>
      <c r="EV2" s="117"/>
      <c r="EW2" s="144" t="s">
        <v>378</v>
      </c>
      <c r="EX2" s="144"/>
      <c r="EY2" s="117"/>
      <c r="EZ2" s="144" t="s">
        <v>378</v>
      </c>
      <c r="FA2" s="144"/>
      <c r="FB2" s="117"/>
      <c r="FC2" s="144" t="s">
        <v>378</v>
      </c>
      <c r="FD2" s="144"/>
      <c r="FE2" s="117"/>
      <c r="FF2" s="144" t="s">
        <v>378</v>
      </c>
      <c r="FG2" s="144"/>
      <c r="FH2" s="117"/>
      <c r="FI2" s="144" t="s">
        <v>378</v>
      </c>
      <c r="FJ2" s="144"/>
      <c r="FK2" s="117"/>
      <c r="FL2" s="144" t="s">
        <v>377</v>
      </c>
      <c r="FM2" s="144"/>
      <c r="FN2" s="117"/>
      <c r="FO2" s="144" t="s">
        <v>377</v>
      </c>
      <c r="FP2" s="144"/>
      <c r="FQ2" s="117"/>
      <c r="FR2" s="144" t="s">
        <v>377</v>
      </c>
      <c r="FS2" s="144"/>
      <c r="FT2" s="117"/>
      <c r="FU2" s="144" t="s">
        <v>377</v>
      </c>
      <c r="FV2" s="144"/>
      <c r="FW2" s="117"/>
      <c r="FX2" s="144" t="s">
        <v>377</v>
      </c>
      <c r="FY2" s="144"/>
      <c r="FZ2" s="117"/>
      <c r="GA2" s="144" t="s">
        <v>376</v>
      </c>
      <c r="GB2" s="144"/>
      <c r="GC2" s="117"/>
      <c r="GD2" s="144" t="s">
        <v>376</v>
      </c>
      <c r="GE2" s="144"/>
      <c r="GF2" s="117"/>
      <c r="GG2" s="144" t="s">
        <v>376</v>
      </c>
      <c r="GH2" s="144"/>
      <c r="GI2" s="117"/>
      <c r="GJ2" s="144" t="s">
        <v>376</v>
      </c>
      <c r="GK2" s="144"/>
      <c r="GL2" s="117"/>
      <c r="GM2" s="144" t="s">
        <v>376</v>
      </c>
      <c r="GN2" s="144"/>
      <c r="GO2" s="117"/>
      <c r="GP2" s="144" t="s">
        <v>375</v>
      </c>
      <c r="GQ2" s="144"/>
      <c r="GR2" s="117"/>
      <c r="GS2" s="144" t="s">
        <v>375</v>
      </c>
      <c r="GT2" s="144"/>
      <c r="GU2" s="117"/>
      <c r="GV2" s="144" t="s">
        <v>375</v>
      </c>
      <c r="GW2" s="144"/>
      <c r="GX2" s="117"/>
      <c r="GY2" s="144" t="s">
        <v>375</v>
      </c>
      <c r="GZ2" s="144"/>
      <c r="HA2" s="117"/>
      <c r="HB2" s="144" t="s">
        <v>375</v>
      </c>
      <c r="HC2" s="144"/>
      <c r="HD2" s="117"/>
      <c r="HE2" s="150" t="s">
        <v>1</v>
      </c>
      <c r="HF2" s="151" t="s">
        <v>345</v>
      </c>
      <c r="HG2" s="151"/>
      <c r="HH2" s="32"/>
      <c r="HI2" s="151" t="s">
        <v>345</v>
      </c>
      <c r="HJ2" s="151"/>
      <c r="HK2" s="32"/>
      <c r="HL2" s="151" t="s">
        <v>345</v>
      </c>
      <c r="HM2" s="151"/>
      <c r="HN2" s="32"/>
      <c r="HO2" s="151" t="s">
        <v>345</v>
      </c>
      <c r="HP2" s="151"/>
      <c r="HQ2" s="32"/>
      <c r="HR2" s="151" t="s">
        <v>345</v>
      </c>
      <c r="HS2" s="151"/>
      <c r="HT2" s="32"/>
      <c r="HU2" s="151" t="s">
        <v>346</v>
      </c>
      <c r="HV2" s="151"/>
      <c r="HW2" s="32"/>
      <c r="HX2" s="151" t="s">
        <v>346</v>
      </c>
      <c r="HY2" s="151"/>
      <c r="HZ2" s="32"/>
      <c r="IA2" s="151" t="s">
        <v>346</v>
      </c>
      <c r="IB2" s="151"/>
      <c r="IC2" s="32"/>
      <c r="ID2" s="151" t="s">
        <v>346</v>
      </c>
      <c r="IE2" s="151"/>
      <c r="IF2" s="32"/>
      <c r="IG2" s="151" t="s">
        <v>346</v>
      </c>
      <c r="IH2" s="151"/>
      <c r="II2" s="32"/>
      <c r="IJ2" s="156" t="s">
        <v>35</v>
      </c>
      <c r="IK2" s="156"/>
      <c r="IL2" s="32"/>
      <c r="IM2" s="156" t="s">
        <v>35</v>
      </c>
      <c r="IN2" s="156"/>
      <c r="IO2" s="32"/>
      <c r="IP2" s="156" t="s">
        <v>35</v>
      </c>
      <c r="IQ2" s="156"/>
      <c r="IR2" s="32"/>
      <c r="IS2" s="156" t="s">
        <v>35</v>
      </c>
      <c r="IT2" s="156"/>
      <c r="IU2" s="32"/>
      <c r="IV2" s="156" t="s">
        <v>35</v>
      </c>
      <c r="IW2" s="156"/>
      <c r="IX2" s="32"/>
      <c r="IY2" s="151" t="s">
        <v>90</v>
      </c>
      <c r="IZ2" s="151"/>
      <c r="JA2" s="32"/>
      <c r="JB2" s="151" t="s">
        <v>90</v>
      </c>
      <c r="JC2" s="151"/>
      <c r="JD2" s="32"/>
      <c r="JE2" s="151" t="s">
        <v>90</v>
      </c>
      <c r="JF2" s="151"/>
      <c r="JG2" s="32"/>
      <c r="JH2" s="151" t="s">
        <v>90</v>
      </c>
      <c r="JI2" s="151"/>
      <c r="JJ2" s="32"/>
      <c r="JK2" s="151" t="s">
        <v>90</v>
      </c>
      <c r="JL2" s="151"/>
      <c r="JM2" s="32"/>
      <c r="JN2" s="151" t="s">
        <v>88</v>
      </c>
      <c r="JO2" s="151"/>
      <c r="JP2" s="32"/>
      <c r="JQ2" s="151" t="s">
        <v>88</v>
      </c>
      <c r="JR2" s="151"/>
      <c r="JS2" s="32"/>
      <c r="JT2" s="151" t="s">
        <v>88</v>
      </c>
      <c r="JU2" s="151"/>
      <c r="JV2" s="32"/>
      <c r="JW2" s="151" t="s">
        <v>88</v>
      </c>
      <c r="JX2" s="151"/>
      <c r="JY2" s="32"/>
      <c r="JZ2" s="151" t="s">
        <v>88</v>
      </c>
      <c r="KA2" s="151"/>
      <c r="KB2" s="32"/>
      <c r="KC2" s="151" t="s">
        <v>89</v>
      </c>
      <c r="KD2" s="151"/>
      <c r="KE2" s="32"/>
      <c r="KF2" s="151" t="s">
        <v>89</v>
      </c>
      <c r="KG2" s="151"/>
      <c r="KH2" s="32"/>
      <c r="KI2" s="151" t="s">
        <v>89</v>
      </c>
      <c r="KJ2" s="151"/>
      <c r="KK2" s="32"/>
      <c r="KL2" s="151" t="s">
        <v>89</v>
      </c>
      <c r="KM2" s="151"/>
      <c r="KN2" s="32"/>
      <c r="KO2" s="151" t="s">
        <v>89</v>
      </c>
      <c r="KP2" s="151"/>
      <c r="KQ2" s="32"/>
      <c r="KR2" s="151" t="s">
        <v>33</v>
      </c>
      <c r="KS2" s="151"/>
      <c r="KT2" s="32"/>
      <c r="KU2" s="151" t="s">
        <v>32</v>
      </c>
      <c r="KV2" s="151"/>
      <c r="KW2" s="32"/>
      <c r="KX2" s="151" t="s">
        <v>31</v>
      </c>
      <c r="KY2" s="151"/>
      <c r="KZ2" s="32"/>
      <c r="LA2" s="151" t="s">
        <v>87</v>
      </c>
      <c r="LB2" s="151"/>
      <c r="LC2" s="32"/>
      <c r="LD2" s="151" t="s">
        <v>84</v>
      </c>
      <c r="LE2" s="151"/>
      <c r="LF2" s="32"/>
      <c r="LG2" s="151" t="s">
        <v>85</v>
      </c>
      <c r="LH2" s="151"/>
      <c r="LI2" s="32"/>
      <c r="LJ2" s="151" t="s">
        <v>83</v>
      </c>
      <c r="LK2" s="151"/>
      <c r="LL2" s="32"/>
      <c r="LM2" s="151" t="s">
        <v>30</v>
      </c>
      <c r="LN2" s="151"/>
      <c r="LO2" s="32"/>
      <c r="LP2" s="151" t="s">
        <v>29</v>
      </c>
      <c r="LQ2" s="151"/>
      <c r="LR2" s="32"/>
      <c r="LS2" s="151" t="s">
        <v>28</v>
      </c>
      <c r="LT2" s="151"/>
      <c r="LU2" s="32"/>
      <c r="LV2" s="151" t="s">
        <v>3</v>
      </c>
      <c r="LW2" s="151"/>
      <c r="LX2" s="32"/>
      <c r="LY2" s="151" t="s">
        <v>4</v>
      </c>
      <c r="LZ2" s="151"/>
      <c r="MA2" s="151" t="s">
        <v>5</v>
      </c>
      <c r="MB2" s="151"/>
      <c r="MC2" s="151" t="s">
        <v>347</v>
      </c>
      <c r="MD2" s="151"/>
      <c r="ME2" s="151" t="s">
        <v>12</v>
      </c>
      <c r="MF2" s="151"/>
      <c r="MG2" s="151" t="s">
        <v>13</v>
      </c>
      <c r="MH2" s="151"/>
      <c r="MI2" s="151" t="s">
        <v>14</v>
      </c>
      <c r="MJ2" s="151"/>
      <c r="MK2" s="151" t="s">
        <v>15</v>
      </c>
      <c r="ML2" s="151"/>
    </row>
    <row r="3" spans="1:352" s="58" customFormat="1" ht="13.8" customHeight="1" x14ac:dyDescent="0.3">
      <c r="A3" s="56"/>
      <c r="B3" s="145"/>
      <c r="C3" s="147">
        <v>1874</v>
      </c>
      <c r="D3" s="147"/>
      <c r="E3" s="116"/>
      <c r="F3" s="147">
        <v>1874</v>
      </c>
      <c r="G3" s="147"/>
      <c r="H3" s="116"/>
      <c r="I3" s="147">
        <v>1874</v>
      </c>
      <c r="J3" s="147"/>
      <c r="K3" s="116"/>
      <c r="L3" s="147">
        <v>1874</v>
      </c>
      <c r="M3" s="147"/>
      <c r="N3" s="116"/>
      <c r="O3" s="147">
        <v>1874</v>
      </c>
      <c r="P3" s="147"/>
      <c r="Q3" s="120"/>
      <c r="R3" s="147">
        <v>1875</v>
      </c>
      <c r="S3" s="147"/>
      <c r="T3" s="116"/>
      <c r="U3" s="147">
        <v>1875</v>
      </c>
      <c r="V3" s="147"/>
      <c r="W3" s="116"/>
      <c r="X3" s="147">
        <v>1875</v>
      </c>
      <c r="Y3" s="147"/>
      <c r="Z3" s="116"/>
      <c r="AA3" s="147">
        <v>1875</v>
      </c>
      <c r="AB3" s="147"/>
      <c r="AC3" s="116"/>
      <c r="AD3" s="147">
        <v>1875</v>
      </c>
      <c r="AE3" s="147"/>
      <c r="AF3" s="120"/>
      <c r="AG3" s="147">
        <v>1876</v>
      </c>
      <c r="AH3" s="147"/>
      <c r="AI3" s="116"/>
      <c r="AJ3" s="147">
        <v>1876</v>
      </c>
      <c r="AK3" s="147"/>
      <c r="AL3" s="116"/>
      <c r="AM3" s="147">
        <v>1876</v>
      </c>
      <c r="AN3" s="147"/>
      <c r="AO3" s="116"/>
      <c r="AP3" s="147">
        <v>1876</v>
      </c>
      <c r="AQ3" s="147"/>
      <c r="AR3" s="116"/>
      <c r="AS3" s="147">
        <v>1876</v>
      </c>
      <c r="AT3" s="147"/>
      <c r="AU3" s="120"/>
      <c r="AV3" s="147">
        <v>1877</v>
      </c>
      <c r="AW3" s="147"/>
      <c r="AX3" s="116"/>
      <c r="AY3" s="147">
        <v>1877</v>
      </c>
      <c r="AZ3" s="147"/>
      <c r="BA3" s="116"/>
      <c r="BB3" s="147">
        <v>1877</v>
      </c>
      <c r="BC3" s="147"/>
      <c r="BD3" s="116"/>
      <c r="BE3" s="147">
        <v>1877</v>
      </c>
      <c r="BF3" s="147"/>
      <c r="BG3" s="116"/>
      <c r="BH3" s="147">
        <v>1877</v>
      </c>
      <c r="BI3" s="147"/>
      <c r="BJ3" s="120"/>
      <c r="BK3" s="147">
        <v>1878</v>
      </c>
      <c r="BL3" s="147"/>
      <c r="BM3" s="116"/>
      <c r="BN3" s="147">
        <v>1878</v>
      </c>
      <c r="BO3" s="147"/>
      <c r="BP3" s="116"/>
      <c r="BQ3" s="147">
        <v>1878</v>
      </c>
      <c r="BR3" s="147"/>
      <c r="BS3" s="116"/>
      <c r="BT3" s="147">
        <v>1878</v>
      </c>
      <c r="BU3" s="147"/>
      <c r="BV3" s="116"/>
      <c r="BW3" s="147">
        <v>1878</v>
      </c>
      <c r="BX3" s="147"/>
      <c r="BY3" s="120"/>
      <c r="BZ3" s="147">
        <v>1879</v>
      </c>
      <c r="CA3" s="147"/>
      <c r="CB3" s="116"/>
      <c r="CC3" s="147">
        <v>1879</v>
      </c>
      <c r="CD3" s="147"/>
      <c r="CE3" s="116"/>
      <c r="CF3" s="147">
        <v>1879</v>
      </c>
      <c r="CG3" s="147"/>
      <c r="CH3" s="116"/>
      <c r="CI3" s="147">
        <v>1879</v>
      </c>
      <c r="CJ3" s="147"/>
      <c r="CK3" s="116"/>
      <c r="CL3" s="147">
        <v>1879</v>
      </c>
      <c r="CM3" s="147"/>
      <c r="CN3" s="120"/>
      <c r="CO3" s="147">
        <v>1880</v>
      </c>
      <c r="CP3" s="147"/>
      <c r="CQ3" s="116"/>
      <c r="CR3" s="147">
        <v>1880</v>
      </c>
      <c r="CS3" s="147"/>
      <c r="CT3" s="116"/>
      <c r="CU3" s="147">
        <v>1880</v>
      </c>
      <c r="CV3" s="147"/>
      <c r="CW3" s="116"/>
      <c r="CX3" s="147">
        <v>1880</v>
      </c>
      <c r="CY3" s="147"/>
      <c r="CZ3" s="116"/>
      <c r="DA3" s="147">
        <v>1880</v>
      </c>
      <c r="DB3" s="147"/>
      <c r="DC3" s="120"/>
      <c r="DD3" s="147">
        <v>1881</v>
      </c>
      <c r="DE3" s="147"/>
      <c r="DF3" s="116"/>
      <c r="DG3" s="147">
        <v>1881</v>
      </c>
      <c r="DH3" s="147"/>
      <c r="DI3" s="116"/>
      <c r="DJ3" s="147">
        <v>1881</v>
      </c>
      <c r="DK3" s="147"/>
      <c r="DL3" s="116"/>
      <c r="DM3" s="147">
        <v>1881</v>
      </c>
      <c r="DN3" s="147"/>
      <c r="DO3" s="116"/>
      <c r="DP3" s="147">
        <v>1881</v>
      </c>
      <c r="DQ3" s="147"/>
      <c r="DR3" s="120"/>
      <c r="DS3" s="147">
        <v>1882</v>
      </c>
      <c r="DT3" s="147"/>
      <c r="DU3" s="116"/>
      <c r="DV3" s="147">
        <v>1882</v>
      </c>
      <c r="DW3" s="147"/>
      <c r="DX3" s="116"/>
      <c r="DY3" s="147">
        <v>1882</v>
      </c>
      <c r="DZ3" s="147"/>
      <c r="EA3" s="116"/>
      <c r="EB3" s="147">
        <v>1882</v>
      </c>
      <c r="EC3" s="147"/>
      <c r="ED3" s="116"/>
      <c r="EE3" s="147">
        <v>1882</v>
      </c>
      <c r="EF3" s="147"/>
      <c r="EG3" s="120"/>
      <c r="EH3" s="147">
        <v>1883</v>
      </c>
      <c r="EI3" s="147"/>
      <c r="EJ3" s="116"/>
      <c r="EK3" s="147">
        <v>1883</v>
      </c>
      <c r="EL3" s="147"/>
      <c r="EM3" s="116"/>
      <c r="EN3" s="147">
        <v>1883</v>
      </c>
      <c r="EO3" s="147"/>
      <c r="EP3" s="116"/>
      <c r="EQ3" s="147">
        <v>1883</v>
      </c>
      <c r="ER3" s="147"/>
      <c r="ES3" s="116"/>
      <c r="ET3" s="147">
        <v>1883</v>
      </c>
      <c r="EU3" s="147"/>
      <c r="EV3" s="120"/>
      <c r="EW3" s="147">
        <v>1884</v>
      </c>
      <c r="EX3" s="147"/>
      <c r="EY3" s="116"/>
      <c r="EZ3" s="147">
        <v>1884</v>
      </c>
      <c r="FA3" s="147"/>
      <c r="FB3" s="116"/>
      <c r="FC3" s="147">
        <v>1884</v>
      </c>
      <c r="FD3" s="147"/>
      <c r="FE3" s="116"/>
      <c r="FF3" s="147">
        <v>1884</v>
      </c>
      <c r="FG3" s="147"/>
      <c r="FH3" s="116"/>
      <c r="FI3" s="147">
        <v>1884</v>
      </c>
      <c r="FJ3" s="147"/>
      <c r="FK3" s="120"/>
      <c r="FL3" s="147">
        <v>1885</v>
      </c>
      <c r="FM3" s="147"/>
      <c r="FN3" s="116"/>
      <c r="FO3" s="147">
        <v>1885</v>
      </c>
      <c r="FP3" s="147"/>
      <c r="FQ3" s="116"/>
      <c r="FR3" s="147">
        <v>1885</v>
      </c>
      <c r="FS3" s="147"/>
      <c r="FT3" s="116"/>
      <c r="FU3" s="147">
        <v>1885</v>
      </c>
      <c r="FV3" s="147"/>
      <c r="FW3" s="116"/>
      <c r="FX3" s="147">
        <v>1885</v>
      </c>
      <c r="FY3" s="147"/>
      <c r="FZ3" s="120"/>
      <c r="GA3" s="147">
        <v>1886</v>
      </c>
      <c r="GB3" s="147"/>
      <c r="GC3" s="116"/>
      <c r="GD3" s="147">
        <v>1886</v>
      </c>
      <c r="GE3" s="147"/>
      <c r="GF3" s="116"/>
      <c r="GG3" s="147">
        <v>1886</v>
      </c>
      <c r="GH3" s="147"/>
      <c r="GI3" s="116"/>
      <c r="GJ3" s="147">
        <v>1886</v>
      </c>
      <c r="GK3" s="147"/>
      <c r="GL3" s="116"/>
      <c r="GM3" s="147">
        <v>1886</v>
      </c>
      <c r="GN3" s="147"/>
      <c r="GO3" s="120"/>
      <c r="GP3" s="147">
        <v>1887</v>
      </c>
      <c r="GQ3" s="147"/>
      <c r="GR3" s="116"/>
      <c r="GS3" s="147">
        <v>1887</v>
      </c>
      <c r="GT3" s="147"/>
      <c r="GU3" s="116"/>
      <c r="GV3" s="147">
        <v>1887</v>
      </c>
      <c r="GW3" s="147"/>
      <c r="GX3" s="116"/>
      <c r="GY3" s="147">
        <v>1887</v>
      </c>
      <c r="GZ3" s="147"/>
      <c r="HA3" s="116"/>
      <c r="HB3" s="154">
        <v>1887</v>
      </c>
      <c r="HC3" s="154"/>
      <c r="HD3" s="120"/>
      <c r="HE3" s="150"/>
      <c r="HF3" s="154">
        <v>1888</v>
      </c>
      <c r="HG3" s="154"/>
      <c r="HH3" s="57"/>
      <c r="HI3" s="154">
        <v>1888</v>
      </c>
      <c r="HJ3" s="154"/>
      <c r="HK3" s="57"/>
      <c r="HL3" s="154">
        <v>1888</v>
      </c>
      <c r="HM3" s="154"/>
      <c r="HN3" s="57"/>
      <c r="HO3" s="154">
        <v>1888</v>
      </c>
      <c r="HP3" s="154"/>
      <c r="HQ3" s="57"/>
      <c r="HR3" s="154">
        <v>1888</v>
      </c>
      <c r="HS3" s="154"/>
      <c r="HT3" s="57"/>
      <c r="HU3" s="154">
        <v>1889</v>
      </c>
      <c r="HV3" s="154"/>
      <c r="HW3" s="57"/>
      <c r="HX3" s="154">
        <v>1889</v>
      </c>
      <c r="HY3" s="154"/>
      <c r="HZ3" s="57"/>
      <c r="IA3" s="154">
        <v>1889</v>
      </c>
      <c r="IB3" s="154"/>
      <c r="IC3" s="57"/>
      <c r="ID3" s="154">
        <v>1889</v>
      </c>
      <c r="IE3" s="154"/>
      <c r="IF3" s="57"/>
      <c r="IG3" s="154">
        <v>1889</v>
      </c>
      <c r="IH3" s="154"/>
      <c r="II3" s="57"/>
      <c r="IJ3" s="154">
        <v>1890</v>
      </c>
      <c r="IK3" s="154"/>
      <c r="IL3" s="57"/>
      <c r="IM3" s="154">
        <v>1890</v>
      </c>
      <c r="IN3" s="154"/>
      <c r="IO3" s="57"/>
      <c r="IP3" s="154">
        <v>1890</v>
      </c>
      <c r="IQ3" s="154"/>
      <c r="IR3" s="57"/>
      <c r="IS3" s="154">
        <v>1890</v>
      </c>
      <c r="IT3" s="154"/>
      <c r="IU3" s="57"/>
      <c r="IV3" s="154">
        <v>1890</v>
      </c>
      <c r="IW3" s="154"/>
      <c r="IX3" s="57"/>
      <c r="IY3" s="154">
        <v>1891</v>
      </c>
      <c r="IZ3" s="154"/>
      <c r="JA3" s="57"/>
      <c r="JB3" s="154">
        <v>1891</v>
      </c>
      <c r="JC3" s="154"/>
      <c r="JD3" s="57"/>
      <c r="JE3" s="154">
        <v>1891</v>
      </c>
      <c r="JF3" s="154"/>
      <c r="JG3" s="57"/>
      <c r="JH3" s="154">
        <v>1891</v>
      </c>
      <c r="JI3" s="154"/>
      <c r="JJ3" s="57"/>
      <c r="JK3" s="154">
        <v>1891</v>
      </c>
      <c r="JL3" s="154"/>
      <c r="JM3" s="57"/>
      <c r="JN3" s="154">
        <v>1892</v>
      </c>
      <c r="JO3" s="154"/>
      <c r="JP3" s="57"/>
      <c r="JQ3" s="154">
        <v>1892</v>
      </c>
      <c r="JR3" s="154"/>
      <c r="JS3" s="57"/>
      <c r="JT3" s="154">
        <v>1892</v>
      </c>
      <c r="JU3" s="154"/>
      <c r="JV3" s="57"/>
      <c r="JW3" s="154">
        <v>1892</v>
      </c>
      <c r="JX3" s="154"/>
      <c r="JY3" s="57"/>
      <c r="JZ3" s="154">
        <v>1892</v>
      </c>
      <c r="KA3" s="154"/>
      <c r="KB3" s="57"/>
      <c r="KC3" s="154">
        <v>1893</v>
      </c>
      <c r="KD3" s="154"/>
      <c r="KE3" s="57"/>
      <c r="KF3" s="154">
        <v>1893</v>
      </c>
      <c r="KG3" s="154"/>
      <c r="KH3" s="57"/>
      <c r="KI3" s="154">
        <v>1893</v>
      </c>
      <c r="KJ3" s="154"/>
      <c r="KK3" s="57"/>
      <c r="KL3" s="154">
        <v>1893</v>
      </c>
      <c r="KM3" s="154"/>
      <c r="KN3" s="57"/>
      <c r="KO3" s="154">
        <v>1893</v>
      </c>
      <c r="KP3" s="154"/>
      <c r="KQ3" s="57"/>
      <c r="KR3" s="154">
        <v>1894</v>
      </c>
      <c r="KS3" s="154"/>
      <c r="KT3" s="57"/>
      <c r="KU3" s="154">
        <v>1895</v>
      </c>
      <c r="KV3" s="154"/>
      <c r="KW3" s="57"/>
      <c r="KX3" s="154">
        <v>1896</v>
      </c>
      <c r="KY3" s="154"/>
      <c r="KZ3" s="57"/>
      <c r="LA3" s="154">
        <v>1897</v>
      </c>
      <c r="LB3" s="154"/>
      <c r="LC3" s="57"/>
      <c r="LD3" s="154">
        <v>1898</v>
      </c>
      <c r="LE3" s="154"/>
      <c r="LF3" s="57"/>
      <c r="LG3" s="154">
        <v>1899</v>
      </c>
      <c r="LH3" s="154"/>
      <c r="LI3" s="57"/>
      <c r="LJ3" s="154">
        <v>1900</v>
      </c>
      <c r="LK3" s="154"/>
      <c r="LL3" s="57"/>
      <c r="LM3" s="154">
        <v>1901</v>
      </c>
      <c r="LN3" s="154"/>
      <c r="LO3" s="57"/>
      <c r="LP3" s="154">
        <v>1902</v>
      </c>
      <c r="LQ3" s="154"/>
      <c r="LR3" s="57"/>
      <c r="LS3" s="154">
        <v>1903</v>
      </c>
      <c r="LT3" s="154"/>
      <c r="LU3" s="57"/>
      <c r="LV3" s="154">
        <v>1904</v>
      </c>
      <c r="LW3" s="154"/>
      <c r="LX3" s="57"/>
      <c r="LY3" s="154">
        <v>1905</v>
      </c>
      <c r="LZ3" s="154"/>
      <c r="MA3" s="154">
        <v>1906</v>
      </c>
      <c r="MB3" s="154"/>
      <c r="MC3" s="154">
        <v>1907</v>
      </c>
      <c r="MD3" s="154"/>
      <c r="ME3" s="154">
        <v>1908</v>
      </c>
      <c r="MF3" s="154"/>
      <c r="MG3" s="154">
        <v>1909</v>
      </c>
      <c r="MH3" s="154"/>
      <c r="MI3" s="154">
        <v>1910</v>
      </c>
      <c r="MJ3" s="154"/>
      <c r="MK3" s="154">
        <v>1911</v>
      </c>
      <c r="ML3" s="154"/>
    </row>
    <row r="4" spans="1:352" s="34" customFormat="1" ht="15.6" x14ac:dyDescent="0.3">
      <c r="A4" s="38" t="s">
        <v>0</v>
      </c>
      <c r="B4" s="145"/>
      <c r="C4" s="25" t="s">
        <v>2</v>
      </c>
      <c r="D4" s="26" t="s">
        <v>11</v>
      </c>
      <c r="E4" s="30" t="s">
        <v>110</v>
      </c>
      <c r="F4" s="25" t="s">
        <v>2</v>
      </c>
      <c r="G4" s="26" t="s">
        <v>11</v>
      </c>
      <c r="H4" s="30" t="s">
        <v>110</v>
      </c>
      <c r="I4" s="25" t="s">
        <v>2</v>
      </c>
      <c r="J4" s="26" t="s">
        <v>11</v>
      </c>
      <c r="K4" s="30" t="s">
        <v>110</v>
      </c>
      <c r="L4" s="25" t="s">
        <v>2</v>
      </c>
      <c r="M4" s="26" t="s">
        <v>11</v>
      </c>
      <c r="N4" s="30" t="s">
        <v>110</v>
      </c>
      <c r="O4" s="39" t="s">
        <v>2</v>
      </c>
      <c r="P4" s="30" t="s">
        <v>11</v>
      </c>
      <c r="Q4" s="30" t="s">
        <v>110</v>
      </c>
      <c r="R4" s="25" t="s">
        <v>2</v>
      </c>
      <c r="S4" s="26" t="s">
        <v>11</v>
      </c>
      <c r="T4" s="30" t="s">
        <v>110</v>
      </c>
      <c r="U4" s="25" t="s">
        <v>2</v>
      </c>
      <c r="V4" s="26" t="s">
        <v>11</v>
      </c>
      <c r="W4" s="30" t="s">
        <v>110</v>
      </c>
      <c r="X4" s="25" t="s">
        <v>2</v>
      </c>
      <c r="Y4" s="26" t="s">
        <v>11</v>
      </c>
      <c r="Z4" s="30" t="s">
        <v>110</v>
      </c>
      <c r="AA4" s="25" t="s">
        <v>2</v>
      </c>
      <c r="AB4" s="26" t="s">
        <v>11</v>
      </c>
      <c r="AC4" s="30" t="s">
        <v>110</v>
      </c>
      <c r="AD4" s="39" t="s">
        <v>2</v>
      </c>
      <c r="AE4" s="30" t="s">
        <v>11</v>
      </c>
      <c r="AF4" s="30" t="s">
        <v>110</v>
      </c>
      <c r="AG4" s="25" t="s">
        <v>2</v>
      </c>
      <c r="AH4" s="26" t="s">
        <v>11</v>
      </c>
      <c r="AI4" s="30" t="s">
        <v>110</v>
      </c>
      <c r="AJ4" s="25" t="s">
        <v>2</v>
      </c>
      <c r="AK4" s="26" t="s">
        <v>11</v>
      </c>
      <c r="AL4" s="30" t="s">
        <v>110</v>
      </c>
      <c r="AM4" s="25" t="s">
        <v>2</v>
      </c>
      <c r="AN4" s="26" t="s">
        <v>11</v>
      </c>
      <c r="AO4" s="30" t="s">
        <v>110</v>
      </c>
      <c r="AP4" s="25" t="s">
        <v>2</v>
      </c>
      <c r="AQ4" s="26" t="s">
        <v>11</v>
      </c>
      <c r="AR4" s="30" t="s">
        <v>110</v>
      </c>
      <c r="AS4" s="39" t="s">
        <v>2</v>
      </c>
      <c r="AT4" s="30" t="s">
        <v>11</v>
      </c>
      <c r="AU4" s="30" t="s">
        <v>110</v>
      </c>
      <c r="AV4" s="25" t="s">
        <v>2</v>
      </c>
      <c r="AW4" s="26" t="s">
        <v>11</v>
      </c>
      <c r="AX4" s="30" t="s">
        <v>110</v>
      </c>
      <c r="AY4" s="25" t="s">
        <v>2</v>
      </c>
      <c r="AZ4" s="26" t="s">
        <v>11</v>
      </c>
      <c r="BA4" s="30" t="s">
        <v>110</v>
      </c>
      <c r="BB4" s="25" t="s">
        <v>2</v>
      </c>
      <c r="BC4" s="26" t="s">
        <v>11</v>
      </c>
      <c r="BD4" s="30" t="s">
        <v>110</v>
      </c>
      <c r="BE4" s="25" t="s">
        <v>2</v>
      </c>
      <c r="BF4" s="26" t="s">
        <v>11</v>
      </c>
      <c r="BG4" s="30" t="s">
        <v>110</v>
      </c>
      <c r="BH4" s="39" t="s">
        <v>2</v>
      </c>
      <c r="BI4" s="30" t="s">
        <v>11</v>
      </c>
      <c r="BJ4" s="30" t="s">
        <v>110</v>
      </c>
      <c r="BK4" s="25" t="s">
        <v>2</v>
      </c>
      <c r="BL4" s="26" t="s">
        <v>11</v>
      </c>
      <c r="BM4" s="30" t="s">
        <v>110</v>
      </c>
      <c r="BN4" s="25" t="s">
        <v>2</v>
      </c>
      <c r="BO4" s="26" t="s">
        <v>11</v>
      </c>
      <c r="BP4" s="30" t="s">
        <v>110</v>
      </c>
      <c r="BQ4" s="25" t="s">
        <v>2</v>
      </c>
      <c r="BR4" s="26" t="s">
        <v>11</v>
      </c>
      <c r="BS4" s="30" t="s">
        <v>110</v>
      </c>
      <c r="BT4" s="25" t="s">
        <v>2</v>
      </c>
      <c r="BU4" s="26" t="s">
        <v>11</v>
      </c>
      <c r="BV4" s="30" t="s">
        <v>110</v>
      </c>
      <c r="BW4" s="39" t="s">
        <v>2</v>
      </c>
      <c r="BX4" s="30" t="s">
        <v>11</v>
      </c>
      <c r="BY4" s="30" t="s">
        <v>110</v>
      </c>
      <c r="BZ4" s="25" t="s">
        <v>2</v>
      </c>
      <c r="CA4" s="26" t="s">
        <v>11</v>
      </c>
      <c r="CB4" s="30" t="s">
        <v>110</v>
      </c>
      <c r="CC4" s="25" t="s">
        <v>2</v>
      </c>
      <c r="CD4" s="26" t="s">
        <v>11</v>
      </c>
      <c r="CE4" s="30" t="s">
        <v>110</v>
      </c>
      <c r="CF4" s="25" t="s">
        <v>2</v>
      </c>
      <c r="CG4" s="26" t="s">
        <v>11</v>
      </c>
      <c r="CH4" s="30" t="s">
        <v>110</v>
      </c>
      <c r="CI4" s="25" t="s">
        <v>2</v>
      </c>
      <c r="CJ4" s="26" t="s">
        <v>11</v>
      </c>
      <c r="CK4" s="30" t="s">
        <v>110</v>
      </c>
      <c r="CL4" s="39" t="s">
        <v>2</v>
      </c>
      <c r="CM4" s="30" t="s">
        <v>11</v>
      </c>
      <c r="CN4" s="30" t="s">
        <v>110</v>
      </c>
      <c r="CO4" s="25" t="s">
        <v>2</v>
      </c>
      <c r="CP4" s="26" t="s">
        <v>11</v>
      </c>
      <c r="CQ4" s="30" t="s">
        <v>110</v>
      </c>
      <c r="CR4" s="25" t="s">
        <v>2</v>
      </c>
      <c r="CS4" s="26" t="s">
        <v>11</v>
      </c>
      <c r="CT4" s="30" t="s">
        <v>110</v>
      </c>
      <c r="CU4" s="25" t="s">
        <v>2</v>
      </c>
      <c r="CV4" s="26" t="s">
        <v>11</v>
      </c>
      <c r="CW4" s="30" t="s">
        <v>110</v>
      </c>
      <c r="CX4" s="25" t="s">
        <v>2</v>
      </c>
      <c r="CY4" s="26" t="s">
        <v>11</v>
      </c>
      <c r="CZ4" s="30" t="s">
        <v>110</v>
      </c>
      <c r="DA4" s="39" t="s">
        <v>2</v>
      </c>
      <c r="DB4" s="30" t="s">
        <v>11</v>
      </c>
      <c r="DC4" s="30" t="s">
        <v>110</v>
      </c>
      <c r="DD4" s="25" t="s">
        <v>2</v>
      </c>
      <c r="DE4" s="26" t="s">
        <v>11</v>
      </c>
      <c r="DF4" s="30" t="s">
        <v>110</v>
      </c>
      <c r="DG4" s="25" t="s">
        <v>2</v>
      </c>
      <c r="DH4" s="26" t="s">
        <v>11</v>
      </c>
      <c r="DI4" s="30" t="s">
        <v>110</v>
      </c>
      <c r="DJ4" s="25" t="s">
        <v>2</v>
      </c>
      <c r="DK4" s="26" t="s">
        <v>11</v>
      </c>
      <c r="DL4" s="30" t="s">
        <v>110</v>
      </c>
      <c r="DM4" s="25" t="s">
        <v>2</v>
      </c>
      <c r="DN4" s="26" t="s">
        <v>11</v>
      </c>
      <c r="DO4" s="30" t="s">
        <v>110</v>
      </c>
      <c r="DP4" s="39" t="s">
        <v>2</v>
      </c>
      <c r="DQ4" s="30" t="s">
        <v>11</v>
      </c>
      <c r="DR4" s="30" t="s">
        <v>110</v>
      </c>
      <c r="DS4" s="25" t="s">
        <v>2</v>
      </c>
      <c r="DT4" s="26" t="s">
        <v>11</v>
      </c>
      <c r="DU4" s="30" t="s">
        <v>110</v>
      </c>
      <c r="DV4" s="25" t="s">
        <v>2</v>
      </c>
      <c r="DW4" s="26" t="s">
        <v>11</v>
      </c>
      <c r="DX4" s="30" t="s">
        <v>110</v>
      </c>
      <c r="DY4" s="25" t="s">
        <v>2</v>
      </c>
      <c r="DZ4" s="26" t="s">
        <v>11</v>
      </c>
      <c r="EA4" s="30" t="s">
        <v>110</v>
      </c>
      <c r="EB4" s="25" t="s">
        <v>2</v>
      </c>
      <c r="EC4" s="26" t="s">
        <v>11</v>
      </c>
      <c r="ED4" s="30" t="s">
        <v>110</v>
      </c>
      <c r="EE4" s="39" t="s">
        <v>2</v>
      </c>
      <c r="EF4" s="30" t="s">
        <v>11</v>
      </c>
      <c r="EG4" s="30" t="s">
        <v>110</v>
      </c>
      <c r="EH4" s="25" t="s">
        <v>2</v>
      </c>
      <c r="EI4" s="26" t="s">
        <v>11</v>
      </c>
      <c r="EJ4" s="30" t="s">
        <v>110</v>
      </c>
      <c r="EK4" s="25" t="s">
        <v>2</v>
      </c>
      <c r="EL4" s="26" t="s">
        <v>11</v>
      </c>
      <c r="EM4" s="30" t="s">
        <v>110</v>
      </c>
      <c r="EN4" s="25" t="s">
        <v>2</v>
      </c>
      <c r="EO4" s="26" t="s">
        <v>11</v>
      </c>
      <c r="EP4" s="30" t="s">
        <v>110</v>
      </c>
      <c r="EQ4" s="25" t="s">
        <v>2</v>
      </c>
      <c r="ER4" s="26" t="s">
        <v>11</v>
      </c>
      <c r="ES4" s="30" t="s">
        <v>110</v>
      </c>
      <c r="ET4" s="39" t="s">
        <v>2</v>
      </c>
      <c r="EU4" s="30" t="s">
        <v>11</v>
      </c>
      <c r="EV4" s="30" t="s">
        <v>110</v>
      </c>
      <c r="EW4" s="25" t="s">
        <v>2</v>
      </c>
      <c r="EX4" s="26" t="s">
        <v>11</v>
      </c>
      <c r="EY4" s="30" t="s">
        <v>110</v>
      </c>
      <c r="EZ4" s="25" t="s">
        <v>2</v>
      </c>
      <c r="FA4" s="26" t="s">
        <v>11</v>
      </c>
      <c r="FB4" s="30" t="s">
        <v>110</v>
      </c>
      <c r="FC4" s="25" t="s">
        <v>2</v>
      </c>
      <c r="FD4" s="26" t="s">
        <v>11</v>
      </c>
      <c r="FE4" s="30" t="s">
        <v>110</v>
      </c>
      <c r="FF4" s="25" t="s">
        <v>2</v>
      </c>
      <c r="FG4" s="26" t="s">
        <v>11</v>
      </c>
      <c r="FH4" s="30" t="s">
        <v>110</v>
      </c>
      <c r="FI4" s="39" t="s">
        <v>2</v>
      </c>
      <c r="FJ4" s="30" t="s">
        <v>11</v>
      </c>
      <c r="FK4" s="30" t="s">
        <v>110</v>
      </c>
      <c r="FL4" s="25" t="s">
        <v>2</v>
      </c>
      <c r="FM4" s="26" t="s">
        <v>11</v>
      </c>
      <c r="FN4" s="30" t="s">
        <v>110</v>
      </c>
      <c r="FO4" s="25" t="s">
        <v>2</v>
      </c>
      <c r="FP4" s="26" t="s">
        <v>11</v>
      </c>
      <c r="FQ4" s="30" t="s">
        <v>110</v>
      </c>
      <c r="FR4" s="25" t="s">
        <v>2</v>
      </c>
      <c r="FS4" s="26" t="s">
        <v>11</v>
      </c>
      <c r="FT4" s="30" t="s">
        <v>110</v>
      </c>
      <c r="FU4" s="25" t="s">
        <v>2</v>
      </c>
      <c r="FV4" s="26" t="s">
        <v>11</v>
      </c>
      <c r="FW4" s="30" t="s">
        <v>110</v>
      </c>
      <c r="FX4" s="39" t="s">
        <v>2</v>
      </c>
      <c r="FY4" s="30" t="s">
        <v>11</v>
      </c>
      <c r="FZ4" s="30" t="s">
        <v>110</v>
      </c>
      <c r="GA4" s="25" t="s">
        <v>2</v>
      </c>
      <c r="GB4" s="26" t="s">
        <v>11</v>
      </c>
      <c r="GC4" s="30" t="s">
        <v>110</v>
      </c>
      <c r="GD4" s="25" t="s">
        <v>2</v>
      </c>
      <c r="GE4" s="26" t="s">
        <v>11</v>
      </c>
      <c r="GF4" s="30" t="s">
        <v>110</v>
      </c>
      <c r="GG4" s="25" t="s">
        <v>2</v>
      </c>
      <c r="GH4" s="26" t="s">
        <v>11</v>
      </c>
      <c r="GI4" s="30" t="s">
        <v>110</v>
      </c>
      <c r="GJ4" s="25" t="s">
        <v>2</v>
      </c>
      <c r="GK4" s="26" t="s">
        <v>11</v>
      </c>
      <c r="GL4" s="30" t="s">
        <v>110</v>
      </c>
      <c r="GM4" s="39" t="s">
        <v>2</v>
      </c>
      <c r="GN4" s="30" t="s">
        <v>11</v>
      </c>
      <c r="GO4" s="30" t="s">
        <v>110</v>
      </c>
      <c r="GP4" s="25" t="s">
        <v>2</v>
      </c>
      <c r="GQ4" s="26" t="s">
        <v>11</v>
      </c>
      <c r="GR4" s="30" t="s">
        <v>110</v>
      </c>
      <c r="GS4" s="25" t="s">
        <v>2</v>
      </c>
      <c r="GT4" s="26" t="s">
        <v>11</v>
      </c>
      <c r="GU4" s="30" t="s">
        <v>110</v>
      </c>
      <c r="GV4" s="25" t="s">
        <v>2</v>
      </c>
      <c r="GW4" s="26" t="s">
        <v>11</v>
      </c>
      <c r="GX4" s="30" t="s">
        <v>110</v>
      </c>
      <c r="GY4" s="25" t="s">
        <v>2</v>
      </c>
      <c r="GZ4" s="26" t="s">
        <v>11</v>
      </c>
      <c r="HA4" s="30" t="s">
        <v>110</v>
      </c>
      <c r="HB4" s="39" t="s">
        <v>2</v>
      </c>
      <c r="HC4" s="30" t="s">
        <v>11</v>
      </c>
      <c r="HD4" s="30" t="s">
        <v>110</v>
      </c>
      <c r="HE4" s="150"/>
      <c r="HF4" s="39" t="s">
        <v>2</v>
      </c>
      <c r="HG4" s="30" t="s">
        <v>11</v>
      </c>
      <c r="HH4" s="30" t="s">
        <v>110</v>
      </c>
      <c r="HI4" s="39" t="s">
        <v>2</v>
      </c>
      <c r="HJ4" s="30" t="s">
        <v>11</v>
      </c>
      <c r="HK4" s="30" t="s">
        <v>110</v>
      </c>
      <c r="HL4" s="39" t="s">
        <v>2</v>
      </c>
      <c r="HM4" s="30" t="s">
        <v>11</v>
      </c>
      <c r="HN4" s="30" t="s">
        <v>110</v>
      </c>
      <c r="HO4" s="39" t="s">
        <v>2</v>
      </c>
      <c r="HP4" s="30" t="s">
        <v>11</v>
      </c>
      <c r="HQ4" s="30" t="s">
        <v>110</v>
      </c>
      <c r="HR4" s="39" t="s">
        <v>2</v>
      </c>
      <c r="HS4" s="30" t="s">
        <v>11</v>
      </c>
      <c r="HT4" s="30" t="s">
        <v>110</v>
      </c>
      <c r="HU4" s="39" t="s">
        <v>2</v>
      </c>
      <c r="HV4" s="30" t="s">
        <v>11</v>
      </c>
      <c r="HW4" s="30" t="s">
        <v>110</v>
      </c>
      <c r="HX4" s="39" t="s">
        <v>2</v>
      </c>
      <c r="HY4" s="30" t="s">
        <v>11</v>
      </c>
      <c r="HZ4" s="30" t="s">
        <v>110</v>
      </c>
      <c r="IA4" s="39" t="s">
        <v>2</v>
      </c>
      <c r="IB4" s="30" t="s">
        <v>11</v>
      </c>
      <c r="IC4" s="30" t="s">
        <v>110</v>
      </c>
      <c r="ID4" s="39" t="s">
        <v>2</v>
      </c>
      <c r="IE4" s="30" t="s">
        <v>11</v>
      </c>
      <c r="IF4" s="30" t="s">
        <v>110</v>
      </c>
      <c r="IG4" s="39" t="s">
        <v>2</v>
      </c>
      <c r="IH4" s="30" t="s">
        <v>11</v>
      </c>
      <c r="II4" s="30" t="s">
        <v>110</v>
      </c>
      <c r="IJ4" s="39" t="s">
        <v>2</v>
      </c>
      <c r="IK4" s="30" t="s">
        <v>11</v>
      </c>
      <c r="IL4" s="30" t="s">
        <v>110</v>
      </c>
      <c r="IM4" s="39" t="s">
        <v>2</v>
      </c>
      <c r="IN4" s="30" t="s">
        <v>11</v>
      </c>
      <c r="IO4" s="30" t="s">
        <v>110</v>
      </c>
      <c r="IP4" s="39" t="s">
        <v>2</v>
      </c>
      <c r="IQ4" s="30" t="s">
        <v>11</v>
      </c>
      <c r="IR4" s="30" t="s">
        <v>110</v>
      </c>
      <c r="IS4" s="39" t="s">
        <v>2</v>
      </c>
      <c r="IT4" s="30" t="s">
        <v>11</v>
      </c>
      <c r="IU4" s="30" t="s">
        <v>110</v>
      </c>
      <c r="IV4" s="39" t="s">
        <v>2</v>
      </c>
      <c r="IW4" s="30" t="s">
        <v>11</v>
      </c>
      <c r="IX4" s="30" t="s">
        <v>110</v>
      </c>
      <c r="IY4" s="39" t="s">
        <v>2</v>
      </c>
      <c r="IZ4" s="30" t="s">
        <v>11</v>
      </c>
      <c r="JA4" s="30" t="s">
        <v>110</v>
      </c>
      <c r="JB4" s="39" t="s">
        <v>2</v>
      </c>
      <c r="JC4" s="30" t="s">
        <v>11</v>
      </c>
      <c r="JD4" s="30" t="s">
        <v>110</v>
      </c>
      <c r="JE4" s="39" t="s">
        <v>2</v>
      </c>
      <c r="JF4" s="30" t="s">
        <v>11</v>
      </c>
      <c r="JG4" s="30" t="s">
        <v>110</v>
      </c>
      <c r="JH4" s="39" t="s">
        <v>2</v>
      </c>
      <c r="JI4" s="30" t="s">
        <v>11</v>
      </c>
      <c r="JJ4" s="30" t="s">
        <v>110</v>
      </c>
      <c r="JK4" s="39" t="s">
        <v>2</v>
      </c>
      <c r="JL4" s="30" t="s">
        <v>11</v>
      </c>
      <c r="JM4" s="30" t="s">
        <v>110</v>
      </c>
      <c r="JN4" s="39" t="s">
        <v>2</v>
      </c>
      <c r="JO4" s="30" t="s">
        <v>11</v>
      </c>
      <c r="JP4" s="30" t="s">
        <v>110</v>
      </c>
      <c r="JQ4" s="39" t="s">
        <v>2</v>
      </c>
      <c r="JR4" s="30" t="s">
        <v>11</v>
      </c>
      <c r="JS4" s="30" t="s">
        <v>110</v>
      </c>
      <c r="JT4" s="39" t="s">
        <v>2</v>
      </c>
      <c r="JU4" s="30" t="s">
        <v>11</v>
      </c>
      <c r="JV4" s="30" t="s">
        <v>110</v>
      </c>
      <c r="JW4" s="39" t="s">
        <v>2</v>
      </c>
      <c r="JX4" s="30" t="s">
        <v>11</v>
      </c>
      <c r="JY4" s="30" t="s">
        <v>110</v>
      </c>
      <c r="JZ4" s="39" t="s">
        <v>2</v>
      </c>
      <c r="KA4" s="30" t="s">
        <v>11</v>
      </c>
      <c r="KB4" s="30" t="s">
        <v>110</v>
      </c>
      <c r="KC4" s="39" t="s">
        <v>2</v>
      </c>
      <c r="KD4" s="30" t="s">
        <v>11</v>
      </c>
      <c r="KE4" s="30" t="s">
        <v>110</v>
      </c>
      <c r="KF4" s="39" t="s">
        <v>2</v>
      </c>
      <c r="KG4" s="30" t="s">
        <v>11</v>
      </c>
      <c r="KH4" s="30" t="s">
        <v>110</v>
      </c>
      <c r="KI4" s="39" t="s">
        <v>2</v>
      </c>
      <c r="KJ4" s="30" t="s">
        <v>11</v>
      </c>
      <c r="KK4" s="30" t="s">
        <v>110</v>
      </c>
      <c r="KL4" s="39" t="s">
        <v>2</v>
      </c>
      <c r="KM4" s="30" t="s">
        <v>11</v>
      </c>
      <c r="KN4" s="30" t="s">
        <v>110</v>
      </c>
      <c r="KO4" s="39" t="s">
        <v>2</v>
      </c>
      <c r="KP4" s="30" t="s">
        <v>11</v>
      </c>
      <c r="KQ4" s="30" t="s">
        <v>110</v>
      </c>
      <c r="KR4" s="39" t="s">
        <v>2</v>
      </c>
      <c r="KS4" s="30" t="s">
        <v>11</v>
      </c>
      <c r="KT4" s="30" t="s">
        <v>110</v>
      </c>
      <c r="KU4" s="40" t="s">
        <v>2</v>
      </c>
      <c r="KV4" s="30" t="s">
        <v>11</v>
      </c>
      <c r="KW4" s="30" t="s">
        <v>110</v>
      </c>
      <c r="KX4" s="40" t="s">
        <v>2</v>
      </c>
      <c r="KY4" s="30" t="s">
        <v>11</v>
      </c>
      <c r="KZ4" s="30" t="s">
        <v>110</v>
      </c>
      <c r="LA4" s="40" t="s">
        <v>2</v>
      </c>
      <c r="LB4" s="30" t="s">
        <v>11</v>
      </c>
      <c r="LC4" s="30" t="s">
        <v>110</v>
      </c>
      <c r="LD4" s="40" t="s">
        <v>2</v>
      </c>
      <c r="LE4" s="30" t="s">
        <v>11</v>
      </c>
      <c r="LF4" s="30" t="s">
        <v>110</v>
      </c>
      <c r="LG4" s="40" t="s">
        <v>2</v>
      </c>
      <c r="LH4" s="30" t="s">
        <v>11</v>
      </c>
      <c r="LI4" s="30" t="s">
        <v>110</v>
      </c>
      <c r="LJ4" s="40" t="s">
        <v>2</v>
      </c>
      <c r="LK4" s="30" t="s">
        <v>11</v>
      </c>
      <c r="LL4" s="30" t="s">
        <v>110</v>
      </c>
      <c r="LM4" s="40" t="s">
        <v>2</v>
      </c>
      <c r="LN4" s="30" t="s">
        <v>11</v>
      </c>
      <c r="LO4" s="30" t="s">
        <v>110</v>
      </c>
      <c r="LP4" s="40" t="s">
        <v>2</v>
      </c>
      <c r="LQ4" s="30" t="s">
        <v>11</v>
      </c>
      <c r="LR4" s="30" t="s">
        <v>110</v>
      </c>
      <c r="LS4" s="40" t="s">
        <v>2</v>
      </c>
      <c r="LT4" s="30" t="s">
        <v>11</v>
      </c>
      <c r="LU4" s="30" t="s">
        <v>110</v>
      </c>
      <c r="LV4" s="39" t="s">
        <v>2</v>
      </c>
      <c r="LW4" s="30" t="s">
        <v>11</v>
      </c>
      <c r="LX4" s="30" t="s">
        <v>110</v>
      </c>
      <c r="LY4" s="39" t="s">
        <v>2</v>
      </c>
      <c r="LZ4" s="41" t="s">
        <v>110</v>
      </c>
      <c r="MA4" s="39" t="s">
        <v>2</v>
      </c>
      <c r="MB4" s="30" t="s">
        <v>110</v>
      </c>
      <c r="MC4" s="39" t="s">
        <v>2</v>
      </c>
      <c r="MD4" s="30" t="s">
        <v>110</v>
      </c>
      <c r="ME4" s="39" t="s">
        <v>2</v>
      </c>
      <c r="MF4" s="30" t="s">
        <v>110</v>
      </c>
      <c r="MG4" s="39" t="s">
        <v>2</v>
      </c>
      <c r="MH4" s="30" t="s">
        <v>110</v>
      </c>
      <c r="MI4" s="39" t="s">
        <v>2</v>
      </c>
      <c r="MJ4" s="30" t="s">
        <v>110</v>
      </c>
      <c r="MK4" s="39" t="s">
        <v>2</v>
      </c>
      <c r="ML4" s="30" t="s">
        <v>110</v>
      </c>
    </row>
    <row r="5" spans="1:352" s="33" customFormat="1" ht="14.4" customHeight="1" x14ac:dyDescent="0.3">
      <c r="A5" s="102" t="s">
        <v>37</v>
      </c>
      <c r="B5" s="10" t="s">
        <v>98</v>
      </c>
      <c r="C5" s="9">
        <v>150</v>
      </c>
      <c r="D5" s="9">
        <v>4000</v>
      </c>
      <c r="E5" s="31">
        <v>790.16891891891885</v>
      </c>
      <c r="F5" s="9"/>
      <c r="G5" s="9"/>
      <c r="H5" s="31" t="s">
        <v>128</v>
      </c>
      <c r="L5" s="9">
        <f>1.5*77835</f>
        <v>116752.5</v>
      </c>
      <c r="M5" s="9">
        <v>340850</v>
      </c>
      <c r="N5" s="31">
        <v>67332.269003378373</v>
      </c>
      <c r="O5" s="31">
        <f>C5+F5+I5+L5</f>
        <v>116902.5</v>
      </c>
      <c r="P5" s="31">
        <f>D5+G5+J5+M5</f>
        <v>344850</v>
      </c>
      <c r="Q5" s="31">
        <f>IF(P5/(INDEX('Standards for Conversions'!$H$34:$H$73,MATCH(O$3,'Standards for Conversions'!$A$34:$A$73,0)))=0,"",P5/(INDEX('Standards for Conversions'!$H$34:$H$73,MATCH(O$3,'Standards for Conversions'!$A$34:$A$73,0))))</f>
        <v>68122.437922297293</v>
      </c>
      <c r="R5" s="9">
        <f>1.5*600</f>
        <v>900</v>
      </c>
      <c r="S5" s="9">
        <v>2000</v>
      </c>
      <c r="T5" s="31">
        <v>385.34497117696469</v>
      </c>
      <c r="U5" s="9"/>
      <c r="V5" s="9"/>
      <c r="W5" s="31" t="s">
        <v>128</v>
      </c>
      <c r="AA5" s="9">
        <f>1.5*130000</f>
        <v>195000</v>
      </c>
      <c r="AB5" s="9">
        <v>500000</v>
      </c>
      <c r="AC5" s="31">
        <v>96336.242794241174</v>
      </c>
      <c r="AD5" s="31">
        <f>R5+U5+X5+AA5</f>
        <v>195900</v>
      </c>
      <c r="AE5" s="31">
        <f>S5+V5+Y5+AB5</f>
        <v>502000</v>
      </c>
      <c r="AF5" s="31">
        <f>IF(AE5/(INDEX('Standards for Conversions'!$H$34:$H$73,MATCH(AD$3,'Standards for Conversions'!$A$34:$A$73,0)))=0,"",AE5/(INDEX('Standards for Conversions'!$H$34:$H$73,MATCH(AD$3,'Standards for Conversions'!$A$34:$A$73,0))))</f>
        <v>96721.587765418139</v>
      </c>
      <c r="AG5" s="9"/>
      <c r="AH5" s="9"/>
      <c r="AI5" s="31" t="s">
        <v>128</v>
      </c>
      <c r="AJ5" s="9"/>
      <c r="AK5" s="9"/>
      <c r="AL5" s="31" t="s">
        <v>128</v>
      </c>
      <c r="AP5" s="9">
        <f>1.5*81000</f>
        <v>121500</v>
      </c>
      <c r="AQ5" s="9">
        <v>324000</v>
      </c>
      <c r="AR5" s="31">
        <v>57898.293647345083</v>
      </c>
      <c r="AS5" s="31">
        <f>AG5+AJ5+AM5+AP5</f>
        <v>121500</v>
      </c>
      <c r="AT5" s="31">
        <f>AH5+AK5+AN5+AQ5</f>
        <v>324000</v>
      </c>
      <c r="AU5" s="31">
        <f>IF(AT5/(INDEX('Standards for Conversions'!$H$34:$H$73,MATCH(AS$3,'Standards for Conversions'!$A$34:$A$73,0)))=0,"",AT5/(INDEX('Standards for Conversions'!$H$34:$H$73,MATCH(AS$3,'Standards for Conversions'!$A$34:$A$73,0))))</f>
        <v>57898.293647345083</v>
      </c>
      <c r="AV5" s="9"/>
      <c r="AW5" s="9"/>
      <c r="AX5" s="31" t="s">
        <v>128</v>
      </c>
      <c r="AY5" s="9"/>
      <c r="AZ5" s="9"/>
      <c r="BA5" s="31" t="s">
        <v>128</v>
      </c>
      <c r="BE5" s="9">
        <f>1.5*80000</f>
        <v>120000</v>
      </c>
      <c r="BF5" s="9">
        <v>360000</v>
      </c>
      <c r="BG5" s="31">
        <v>66846.766098896318</v>
      </c>
      <c r="BH5" s="31">
        <f>AV5+AY5+BB5+BE5</f>
        <v>120000</v>
      </c>
      <c r="BI5" s="31">
        <f>AW5+AZ5+BC5+BF5</f>
        <v>360000</v>
      </c>
      <c r="BJ5" s="31">
        <f>IF(BI5/(INDEX('Standards for Conversions'!$H$34:$H$73,MATCH(BH$3,'Standards for Conversions'!$A$34:$A$73,0)))=0,"",BI5/(INDEX('Standards for Conversions'!$H$34:$H$73,MATCH(BH$3,'Standards for Conversions'!$A$34:$A$73,0))))</f>
        <v>66846.766098896318</v>
      </c>
      <c r="BK5" s="9"/>
      <c r="BL5" s="9"/>
      <c r="BM5" s="31" t="s">
        <v>128</v>
      </c>
      <c r="BN5" s="9"/>
      <c r="BO5" s="9"/>
      <c r="BP5" s="31" t="s">
        <v>128</v>
      </c>
      <c r="BQ5" s="9">
        <f>1.5*100</f>
        <v>150</v>
      </c>
      <c r="BR5" s="9">
        <v>2000</v>
      </c>
      <c r="BS5" s="31">
        <v>356.12650632948055</v>
      </c>
      <c r="BT5" s="9">
        <f>1.5*82000</f>
        <v>123000</v>
      </c>
      <c r="BU5" s="9">
        <v>400000</v>
      </c>
      <c r="BV5" s="31">
        <v>71225.301265896109</v>
      </c>
      <c r="BW5" s="31">
        <f>BK5+BN5+BQ5+BT5</f>
        <v>123150</v>
      </c>
      <c r="BX5" s="31">
        <f>BL5+BO5+BR5+BU5</f>
        <v>402000</v>
      </c>
      <c r="BY5" s="31">
        <f>IF(BX5/(INDEX('Standards for Conversions'!$H$34:$H$73,MATCH(BW$3,'Standards for Conversions'!$A$34:$A$73,0)))=0,"",BX5/(INDEX('Standards for Conversions'!$H$34:$H$73,MATCH(BW$3,'Standards for Conversions'!$A$34:$A$73,0))))</f>
        <v>71581.427772225594</v>
      </c>
      <c r="BZ5" s="9"/>
      <c r="CA5" s="9"/>
      <c r="CB5" s="31" t="s">
        <v>128</v>
      </c>
      <c r="CC5" s="9"/>
      <c r="CD5" s="9"/>
      <c r="CE5" s="31" t="s">
        <v>128</v>
      </c>
      <c r="CF5" s="9"/>
      <c r="CG5" s="9"/>
      <c r="CH5" s="31" t="s">
        <v>128</v>
      </c>
      <c r="CI5" s="9">
        <f>1.5*125500</f>
        <v>188250</v>
      </c>
      <c r="CJ5" s="9">
        <v>563700</v>
      </c>
      <c r="CK5" s="31">
        <v>97867.883190666544</v>
      </c>
      <c r="CL5" s="31">
        <f>BZ5+CC5+CF5+CI5</f>
        <v>188250</v>
      </c>
      <c r="CM5" s="31">
        <f>CA5+CD5+CG5+CJ5</f>
        <v>563700</v>
      </c>
      <c r="CN5" s="31">
        <f>IF(CM5/(INDEX('Standards for Conversions'!$H$34:$H$73,MATCH(CL$3,'Standards for Conversions'!$A$34:$A$73,0)))=0,"",CM5/(INDEX('Standards for Conversions'!$H$34:$H$73,MATCH(CL$3,'Standards for Conversions'!$A$34:$A$73,0))))</f>
        <v>97867.883190666544</v>
      </c>
      <c r="CO5" s="9"/>
      <c r="CP5" s="9"/>
      <c r="CQ5" s="31" t="s">
        <v>128</v>
      </c>
      <c r="CR5" s="9"/>
      <c r="CS5" s="9"/>
      <c r="CT5" s="31" t="s">
        <v>128</v>
      </c>
      <c r="CU5" s="9"/>
      <c r="CV5" s="9"/>
      <c r="CW5" s="31" t="s">
        <v>128</v>
      </c>
      <c r="CX5" s="9">
        <f>1.5*144137</f>
        <v>216205.5</v>
      </c>
      <c r="CY5" s="9">
        <v>504542</v>
      </c>
      <c r="CZ5" s="31">
        <v>89306.261519871958</v>
      </c>
      <c r="DA5" s="31">
        <f>CO5+CR5+CU5+CX5</f>
        <v>216205.5</v>
      </c>
      <c r="DB5" s="31">
        <f>CP5+CS5+CV5+CY5</f>
        <v>504542</v>
      </c>
      <c r="DC5" s="31">
        <f>IF(DB5/(INDEX('Standards for Conversions'!$H$34:$H$73,MATCH(DA$3,'Standards for Conversions'!$A$34:$A$73,0)))=0,"",DB5/(INDEX('Standards for Conversions'!$H$34:$H$73,MATCH(DA$3,'Standards for Conversions'!$A$34:$A$73,0))))</f>
        <v>89306.261519871958</v>
      </c>
      <c r="DD5" s="9"/>
      <c r="DE5" s="9"/>
      <c r="DF5" s="31" t="s">
        <v>128</v>
      </c>
      <c r="DG5" s="9"/>
      <c r="DH5" s="9"/>
      <c r="DI5" s="31" t="s">
        <v>128</v>
      </c>
      <c r="DJ5" s="9">
        <f>1.5*875</f>
        <v>1312.5</v>
      </c>
      <c r="DK5" s="9">
        <v>1500</v>
      </c>
      <c r="DL5" s="31">
        <v>262.64859161814547</v>
      </c>
      <c r="DM5" s="9">
        <f>1.5*150700</f>
        <v>226050</v>
      </c>
      <c r="DN5" s="9">
        <v>401700</v>
      </c>
      <c r="DO5" s="31">
        <v>70337.292835339351</v>
      </c>
      <c r="DP5" s="31">
        <f>DD5+DG5+DJ5+DM5</f>
        <v>227362.5</v>
      </c>
      <c r="DQ5" s="31">
        <f>DE5+DH5+DK5+DN5</f>
        <v>403200</v>
      </c>
      <c r="DR5" s="31">
        <f>IF(DQ5/(INDEX('Standards for Conversions'!$H$34:$H$73,MATCH(DP$3,'Standards for Conversions'!$A$34:$A$73,0)))=0,"",DQ5/(INDEX('Standards for Conversions'!$H$34:$H$73,MATCH(DP$3,'Standards for Conversions'!$A$34:$A$73,0))))</f>
        <v>70599.941426957506</v>
      </c>
      <c r="DS5" s="9"/>
      <c r="DT5" s="9"/>
      <c r="DU5" s="31" t="s">
        <v>128</v>
      </c>
      <c r="DV5" s="9"/>
      <c r="DW5" s="9"/>
      <c r="DX5" s="31" t="s">
        <v>128</v>
      </c>
      <c r="DY5" s="9">
        <f>1.5*2320</f>
        <v>3480</v>
      </c>
      <c r="DZ5" s="9">
        <v>4950</v>
      </c>
      <c r="EA5" s="31">
        <v>865.69229870948107</v>
      </c>
      <c r="EB5" s="9">
        <v>257927</v>
      </c>
      <c r="EC5" s="9">
        <v>531158</v>
      </c>
      <c r="ED5" s="31">
        <v>92892.806060187984</v>
      </c>
      <c r="EE5" s="31">
        <f>DS5+DV5+DY5+EB5</f>
        <v>261407</v>
      </c>
      <c r="EF5" s="31">
        <f>DT5+DW5+DZ5+EC5</f>
        <v>536108</v>
      </c>
      <c r="EG5" s="31">
        <f>IF(EF5/(INDEX('Standards for Conversions'!$H$34:$H$73,MATCH(EE$3,'Standards for Conversions'!$A$34:$A$73,0)))=0,"",EF5/(INDEX('Standards for Conversions'!$H$34:$H$73,MATCH(EE$3,'Standards for Conversions'!$A$34:$A$73,0))))</f>
        <v>93758.498358897472</v>
      </c>
      <c r="EH5" s="9"/>
      <c r="EI5" s="9"/>
      <c r="EJ5" s="31" t="s">
        <v>128</v>
      </c>
      <c r="EK5" s="9"/>
      <c r="EL5" s="9"/>
      <c r="EM5" s="31" t="s">
        <v>128</v>
      </c>
      <c r="EN5" s="9">
        <f>1.5*565</f>
        <v>847.5</v>
      </c>
      <c r="EO5" s="9">
        <v>1685</v>
      </c>
      <c r="EP5" s="31">
        <v>288.62020749145444</v>
      </c>
      <c r="EQ5" s="9">
        <f>1.5*110875</f>
        <v>166312.5</v>
      </c>
      <c r="ER5" s="9">
        <v>680710</v>
      </c>
      <c r="ES5" s="31">
        <v>116597.42518783854</v>
      </c>
      <c r="ET5" s="31">
        <f>EH5+EK5+EN5+EQ5</f>
        <v>167160</v>
      </c>
      <c r="EU5" s="31">
        <f>EI5+EL5+EO5+ER5</f>
        <v>682395</v>
      </c>
      <c r="EV5" s="31">
        <f>IF(EU5/(INDEX('Standards for Conversions'!$H$34:$H$73,MATCH(ET$3,'Standards for Conversions'!$A$34:$A$73,0)))=0,"",EU5/(INDEX('Standards for Conversions'!$H$34:$H$73,MATCH(ET$3,'Standards for Conversions'!$A$34:$A$73,0))))</f>
        <v>116886.04539533</v>
      </c>
      <c r="EW5" s="9"/>
      <c r="EX5" s="9"/>
      <c r="EY5" s="31" t="s">
        <v>128</v>
      </c>
      <c r="EZ5" s="9"/>
      <c r="FA5" s="9"/>
      <c r="FB5" s="31" t="s">
        <v>128</v>
      </c>
      <c r="FC5" s="9">
        <f>1.5*700</f>
        <v>1050</v>
      </c>
      <c r="FD5" s="9">
        <v>2625</v>
      </c>
      <c r="FE5" s="31">
        <v>450.18667305770396</v>
      </c>
      <c r="FF5" s="9">
        <f>1.5*130500</f>
        <v>195750</v>
      </c>
      <c r="FG5" s="9">
        <v>621500</v>
      </c>
      <c r="FH5" s="31">
        <v>106587.05421156685</v>
      </c>
      <c r="FI5" s="31">
        <f>EW5+EZ5+FC5+FF5</f>
        <v>196800</v>
      </c>
      <c r="FJ5" s="31">
        <f>EX5+FA5+FD5+FG5</f>
        <v>624125</v>
      </c>
      <c r="FK5" s="31">
        <f>IF(FJ5/(INDEX('Standards for Conversions'!$H$34:$H$73,MATCH(FI$3,'Standards for Conversions'!$A$34:$A$73,0)))=0,"",FJ5/(INDEX('Standards for Conversions'!$H$34:$H$73,MATCH(FI$3,'Standards for Conversions'!$A$34:$A$73,0))))</f>
        <v>107037.24088462455</v>
      </c>
      <c r="FL5" s="9"/>
      <c r="FM5" s="9"/>
      <c r="FN5" s="31" t="s">
        <v>128</v>
      </c>
      <c r="FO5" s="9"/>
      <c r="FP5" s="9"/>
      <c r="FQ5" s="31" t="s">
        <v>128</v>
      </c>
      <c r="FR5" s="9">
        <f>1.5*75</f>
        <v>112.5</v>
      </c>
      <c r="FS5" s="9">
        <v>2000</v>
      </c>
      <c r="FT5" s="31">
        <v>329.02532154340832</v>
      </c>
      <c r="FU5" s="9">
        <f>1.5*115150</f>
        <v>172725</v>
      </c>
      <c r="FV5" s="9">
        <v>460500</v>
      </c>
      <c r="FW5" s="31">
        <v>75758.080285369768</v>
      </c>
      <c r="FX5" s="31">
        <f>FL5+FO5+FR5+FU5</f>
        <v>172837.5</v>
      </c>
      <c r="FY5" s="31">
        <f>FM5+FP5+FS5+FV5</f>
        <v>462500</v>
      </c>
      <c r="FZ5" s="31">
        <f>IF(FY5/(INDEX('Standards for Conversions'!$H$34:$H$73,MATCH(FX$3,'Standards for Conversions'!$A$34:$A$73,0)))=0,"",FY5/(INDEX('Standards for Conversions'!$H$34:$H$73,MATCH(FX$3,'Standards for Conversions'!$A$34:$A$73,0))))</f>
        <v>76087.105606913174</v>
      </c>
      <c r="GA5" s="9"/>
      <c r="GB5" s="9"/>
      <c r="GC5" s="31" t="s">
        <v>128</v>
      </c>
      <c r="GD5" s="9"/>
      <c r="GE5" s="9"/>
      <c r="GF5" s="31" t="s">
        <v>128</v>
      </c>
      <c r="GG5" s="9">
        <f>1.5*50</f>
        <v>75</v>
      </c>
      <c r="GH5" s="9">
        <v>150</v>
      </c>
      <c r="GI5" s="31">
        <v>23.057179868775528</v>
      </c>
      <c r="GJ5" s="9">
        <f>1.5*140375</f>
        <v>210562.5</v>
      </c>
      <c r="GK5" s="9">
        <v>521200</v>
      </c>
      <c r="GL5" s="31">
        <v>80116.014317372043</v>
      </c>
      <c r="GM5" s="31">
        <f>GA5+GD5+GG5+GJ5</f>
        <v>210637.5</v>
      </c>
      <c r="GN5" s="31">
        <f>GB5+GE5+GH5+GK5</f>
        <v>521350</v>
      </c>
      <c r="GO5" s="31">
        <f>IF(GN5/(INDEX('Standards for Conversions'!$H$34:$H$73,MATCH(GM$3,'Standards for Conversions'!$A$34:$A$73,0)))=0,"",GN5/(INDEX('Standards for Conversions'!$H$34:$H$73,MATCH(GM$3,'Standards for Conversions'!$A$34:$A$73,0))))</f>
        <v>80139.071497240817</v>
      </c>
      <c r="GP5" s="9"/>
      <c r="GQ5" s="9"/>
      <c r="GR5" s="31" t="s">
        <v>128</v>
      </c>
      <c r="GS5" s="9"/>
      <c r="GT5" s="9"/>
      <c r="GU5" s="31" t="s">
        <v>128</v>
      </c>
      <c r="GV5" s="9">
        <f>1.5*100</f>
        <v>150</v>
      </c>
      <c r="GW5" s="9">
        <v>250</v>
      </c>
      <c r="GX5" s="31">
        <v>37.846381097737599</v>
      </c>
      <c r="GY5" s="9">
        <f>1.5*150400</f>
        <v>225600</v>
      </c>
      <c r="GZ5" s="9">
        <v>531400</v>
      </c>
      <c r="HA5" s="31">
        <v>80446.267661351041</v>
      </c>
      <c r="HB5" s="31">
        <f>GP5+GS5+GV5+GY5</f>
        <v>225750</v>
      </c>
      <c r="HC5" s="31">
        <f>GQ5+GT5+GW5+GZ5</f>
        <v>531650</v>
      </c>
      <c r="HD5" s="31">
        <f>IF(HC5/(INDEX('Standards for Conversions'!$H$34:$H$73,MATCH(HB$3,'Standards for Conversions'!$A$34:$A$73,0)))=0,"",HC5/(INDEX('Standards for Conversions'!$H$34:$H$73,MATCH(HB$3,'Standards for Conversions'!$A$34:$A$73,0))))</f>
        <v>80484.114042448782</v>
      </c>
      <c r="HE5" s="112" t="s">
        <v>98</v>
      </c>
      <c r="HF5" s="31"/>
      <c r="HG5" s="31"/>
      <c r="HH5" s="31" t="str">
        <f>IF(HG5/(INDEX('Standards for Conversions'!$H$47:$H$73,MATCH(HF$3,'Standards for Conversions'!$A$47:$A$73,0)))=0,"",HG5/(INDEX('Standards for Conversions'!$H$47:$H$73,MATCH(HF$3,'Standards for Conversions'!$A$47:$A$73,0))))</f>
        <v/>
      </c>
      <c r="HI5" s="31"/>
      <c r="HJ5" s="31"/>
      <c r="HK5" s="31" t="str">
        <f>IF(HJ5/(INDEX('Standards for Conversions'!$H$47:$H$73,MATCH(HI$3,'Standards for Conversions'!$A$47:$A$73,0)))=0,"",HJ5/(INDEX('Standards for Conversions'!$H$47:$H$73,MATCH(HI$3,'Standards for Conversions'!$A$47:$A$73,0))))</f>
        <v/>
      </c>
      <c r="HL5" s="31">
        <v>450</v>
      </c>
      <c r="HM5" s="31">
        <v>900</v>
      </c>
      <c r="HN5" s="31">
        <f>IF(HM5/(INDEX('Standards for Conversions'!$H$47:$H$73,MATCH(HL$3,'Standards for Conversions'!$A$47:$A$73,0)))=0,"",HM5/(INDEX('Standards for Conversions'!$H$47:$H$73,MATCH(HL$3,'Standards for Conversions'!$A$47:$A$73,0))))</f>
        <v>130.72087099157037</v>
      </c>
      <c r="HO5" s="31">
        <f>(140000+350)*1.5</f>
        <v>210525</v>
      </c>
      <c r="HP5" s="31">
        <f>500000+1300</f>
        <v>501300</v>
      </c>
      <c r="HQ5" s="31">
        <f>IF(HP5/(INDEX('Standards for Conversions'!$H$47:$H$73,MATCH(HO$3,'Standards for Conversions'!$A$47:$A$73,0)))=0,"",HP5/(INDEX('Standards for Conversions'!$H$47:$H$73,MATCH(HO$3,'Standards for Conversions'!$A$47:$A$73,0))))</f>
        <v>72811.525142304687</v>
      </c>
      <c r="HR5" s="31">
        <f>HF5+HI5+HL5+HO5</f>
        <v>210975</v>
      </c>
      <c r="HS5" s="31">
        <f>HG5+HJ5+HM5+HP5</f>
        <v>502200</v>
      </c>
      <c r="HT5" s="31">
        <f>IF(HS5/(INDEX('Standards for Conversions'!$H$47:$H$73,MATCH(HR$3,'Standards for Conversions'!$A$47:$A$73,0)))=0,"",HS5/(INDEX('Standards for Conversions'!$H$47:$H$73,MATCH(HR$3,'Standards for Conversions'!$A$47:$A$73,0))))</f>
        <v>72942.246013296259</v>
      </c>
      <c r="HU5" s="31"/>
      <c r="HV5" s="31"/>
      <c r="HW5" s="31" t="str">
        <f>IF(HV5/(INDEX('Standards for Conversions'!$H$47:$H$73,MATCH(HU$3,'Standards for Conversions'!$A$47:$A$73,0)))=0,"",HV5/(INDEX('Standards for Conversions'!$H$47:$H$73,MATCH(HU$3,'Standards for Conversions'!$A$47:$A$73,0))))</f>
        <v/>
      </c>
      <c r="HX5" s="31"/>
      <c r="HY5" s="31"/>
      <c r="HZ5" s="31" t="str">
        <f>IF(HY5/(INDEX('Standards for Conversions'!$H$47:$H$73,MATCH(HX$3,'Standards for Conversions'!$A$47:$A$73,0)))=0,"",HY5/(INDEX('Standards for Conversions'!$H$47:$H$73,MATCH(HX$3,'Standards for Conversions'!$A$47:$A$73,0))))</f>
        <v/>
      </c>
      <c r="IA5" s="31">
        <v>450</v>
      </c>
      <c r="IB5" s="31">
        <v>800</v>
      </c>
      <c r="IC5" s="31">
        <f>IF(IB5/(INDEX('Standards for Conversions'!$H$47:$H$73,MATCH(IA$3,'Standards for Conversions'!$A$47:$A$73,0)))=0,"",IB5/(INDEX('Standards for Conversions'!$H$47:$H$73,MATCH(IA$3,'Standards for Conversions'!$A$47:$A$73,0))))</f>
        <v>115.68818255554589</v>
      </c>
      <c r="ID5" s="31">
        <f>(126810+301+2434)*1.5</f>
        <v>194317.5</v>
      </c>
      <c r="IE5" s="31">
        <f>557070+1135+11314</f>
        <v>569519</v>
      </c>
      <c r="IF5" s="31">
        <f>IF(IE5/(INDEX('Standards for Conversions'!$H$47:$H$73,MATCH(ID$3,'Standards for Conversions'!$A$47:$A$73,0)))=0,"",IE5/(INDEX('Standards for Conversions'!$H$47:$H$73,MATCH(ID$3,'Standards for Conversions'!$A$47:$A$73,0))))</f>
        <v>82358.272551064918</v>
      </c>
      <c r="IG5" s="31">
        <f>HU5+HX5+IA5+ID5</f>
        <v>194767.5</v>
      </c>
      <c r="IH5" s="31">
        <f>HV5+HY5+IB5+IE5</f>
        <v>570319</v>
      </c>
      <c r="II5" s="31">
        <f>IF(IH5/(INDEX('Standards for Conversions'!$H$47:$H$73,MATCH(IG$3,'Standards for Conversions'!$A$47:$A$73,0)))=0,"",IH5/(INDEX('Standards for Conversions'!$H$47:$H$73,MATCH(IG$3,'Standards for Conversions'!$A$47:$A$73,0))))</f>
        <v>82473.960733620464</v>
      </c>
      <c r="IJ5" s="31"/>
      <c r="IK5" s="31"/>
      <c r="IL5" s="31" t="str">
        <f>IF(IK5/(INDEX('Standards for Conversions'!$H$47:$H$73,MATCH(IJ$3,'Standards for Conversions'!$A$47:$A$73,0)))=0,"",IK5/(INDEX('Standards for Conversions'!$H$47:$H$73,MATCH(IJ$3,'Standards for Conversions'!$A$47:$A$73,0))))</f>
        <v/>
      </c>
      <c r="IM5" s="31"/>
      <c r="IN5" s="31"/>
      <c r="IO5" s="31" t="str">
        <f>IF(IN5/(INDEX('Standards for Conversions'!$H$47:$H$73,MATCH(IM$3,'Standards for Conversions'!$A$47:$A$73,0)))=0,"",IN5/(INDEX('Standards for Conversions'!$H$47:$H$73,MATCH(IM$3,'Standards for Conversions'!$A$47:$A$73,0))))</f>
        <v/>
      </c>
      <c r="IP5" s="31">
        <v>525</v>
      </c>
      <c r="IQ5" s="31">
        <v>900</v>
      </c>
      <c r="IR5" s="31">
        <f>IF(IQ5/(INDEX('Standards for Conversions'!$H$47:$H$73,MATCH(IP$3,'Standards for Conversions'!$A$47:$A$73,0)))=0,"",IQ5/(INDEX('Standards for Conversions'!$H$47:$H$73,MATCH(IP$3,'Standards for Conversions'!$A$47:$A$73,0))))</f>
        <v>145.58417702268181</v>
      </c>
      <c r="IS5" s="31">
        <f>(155900+200+2450)*1.5</f>
        <v>237825</v>
      </c>
      <c r="IT5" s="31">
        <f>671100+500+12000</f>
        <v>683600</v>
      </c>
      <c r="IU5" s="31">
        <f>IF(IT5/(INDEX('Standards for Conversions'!$H$47:$H$73,MATCH(IS$3,'Standards for Conversions'!$A$47:$A$73,0)))=0,"",IT5/(INDEX('Standards for Conversions'!$H$47:$H$73,MATCH(IS$3,'Standards for Conversions'!$A$47:$A$73,0))))</f>
        <v>110579.27045856144</v>
      </c>
      <c r="IV5" s="31">
        <f t="shared" ref="IV5:IW7" si="0">IJ5+IM5+IP5+IS5</f>
        <v>238350</v>
      </c>
      <c r="IW5" s="31">
        <f t="shared" si="0"/>
        <v>684500</v>
      </c>
      <c r="IX5" s="31">
        <f>IF(IW5/(INDEX('Standards for Conversions'!$H$47:$H$73,MATCH(IV$3,'Standards for Conversions'!$A$47:$A$73,0)))=0,"",IW5/(INDEX('Standards for Conversions'!$H$47:$H$73,MATCH(IV$3,'Standards for Conversions'!$A$47:$A$73,0))))</f>
        <v>110724.85463558412</v>
      </c>
      <c r="IY5" s="31"/>
      <c r="IZ5" s="31"/>
      <c r="JA5" s="31" t="str">
        <f>IF(IZ5/(INDEX('Standards for Conversions'!$H$47:$H$73,MATCH(IY$3,'Standards for Conversions'!$A$47:$A$73,0)))=0,"",IZ5/(INDEX('Standards for Conversions'!$H$47:$H$73,MATCH(IY$3,'Standards for Conversions'!$A$47:$A$73,0))))</f>
        <v/>
      </c>
      <c r="JB5" s="31"/>
      <c r="JC5" s="31"/>
      <c r="JD5" s="31" t="str">
        <f>IF(JC5/(INDEX('Standards for Conversions'!$H$47:$H$73,MATCH(JB$3,'Standards for Conversions'!$A$47:$A$73,0)))=0,"",JC5/(INDEX('Standards for Conversions'!$H$47:$H$73,MATCH(JB$3,'Standards for Conversions'!$A$47:$A$73,0))))</f>
        <v/>
      </c>
      <c r="JE5" s="31">
        <v>450</v>
      </c>
      <c r="JF5" s="31">
        <v>900</v>
      </c>
      <c r="JG5" s="31">
        <f>IF(JF5/(INDEX('Standards for Conversions'!$H$47:$H$73,MATCH(JE$3,'Standards for Conversions'!$A$47:$A$73,0)))=0,"",JF5/(INDEX('Standards for Conversions'!$H$47:$H$73,MATCH(JE$3,'Standards for Conversions'!$A$47:$A$73,0))))</f>
        <v>137.39030318501781</v>
      </c>
      <c r="JH5" s="31">
        <f>(140000+250+2000)*1.5</f>
        <v>213375</v>
      </c>
      <c r="JI5" s="31">
        <f>600000+650+10000</f>
        <v>610650</v>
      </c>
      <c r="JJ5" s="31">
        <f>IF(JI5/(INDEX('Standards for Conversions'!$H$47:$H$73,MATCH(JH$3,'Standards for Conversions'!$A$47:$A$73,0)))=0,"",JI5/(INDEX('Standards for Conversions'!$H$47:$H$73,MATCH(JH$3,'Standards for Conversions'!$A$47:$A$73,0))))</f>
        <v>93219.320711034583</v>
      </c>
      <c r="JK5" s="31">
        <f t="shared" ref="JK5:JL7" si="1">IY5+JB5+JE5+JH5</f>
        <v>213825</v>
      </c>
      <c r="JL5" s="31">
        <f t="shared" si="1"/>
        <v>611550</v>
      </c>
      <c r="JM5" s="31">
        <f>IF(JL5/(INDEX('Standards for Conversions'!$H$47:$H$73,MATCH(JK$3,'Standards for Conversions'!$A$47:$A$73,0)))=0,"",JL5/(INDEX('Standards for Conversions'!$H$47:$H$73,MATCH(JK$3,'Standards for Conversions'!$A$47:$A$73,0))))</f>
        <v>93356.711014219603</v>
      </c>
      <c r="JN5" s="31"/>
      <c r="JO5" s="31"/>
      <c r="JP5" s="31" t="str">
        <f>IF(JO5/(INDEX('Standards for Conversions'!$H$47:$H$73,MATCH(JN$3,'Standards for Conversions'!$A$47:$A$73,0)))=0,"",JO5/(INDEX('Standards for Conversions'!$H$47:$H$73,MATCH(JN$3,'Standards for Conversions'!$A$47:$A$73,0))))</f>
        <v/>
      </c>
      <c r="JQ5" s="31"/>
      <c r="JR5" s="31"/>
      <c r="JS5" s="31" t="str">
        <f>IF(JR5/(INDEX('Standards for Conversions'!$H$47:$H$73,MATCH(JQ$3,'Standards for Conversions'!$A$47:$A$73,0)))=0,"",JR5/(INDEX('Standards for Conversions'!$H$47:$H$73,MATCH(JQ$3,'Standards for Conversions'!$A$47:$A$73,0))))</f>
        <v/>
      </c>
      <c r="JT5" s="31"/>
      <c r="JU5" s="31"/>
      <c r="JV5" s="31" t="str">
        <f>IF(JU5/(INDEX('Standards for Conversions'!$H$47:$H$73,MATCH(JT$3,'Standards for Conversions'!$A$47:$A$73,0)))=0,"",JU5/(INDEX('Standards for Conversions'!$H$47:$H$73,MATCH(JT$3,'Standards for Conversions'!$A$47:$A$73,0))))</f>
        <v/>
      </c>
      <c r="JW5" s="31">
        <f>(143760+150+100)*1.5</f>
        <v>216015</v>
      </c>
      <c r="JX5" s="31">
        <f>687500+380+550</f>
        <v>688430</v>
      </c>
      <c r="JY5" s="31">
        <f>IF(JX5/(INDEX('Standards for Conversions'!$H$47:$H$73,MATCH(JW$3,'Standards for Conversions'!$A$47:$A$73,0)))=0,"",JX5/(INDEX('Standards for Conversions'!$H$47:$H$73,MATCH(JW$3,'Standards for Conversions'!$A$47:$A$73,0))))</f>
        <v>92703.303566307455</v>
      </c>
      <c r="JZ5" s="31">
        <f t="shared" ref="JZ5:KA7" si="2">JN5+JQ5+JT5+JW5</f>
        <v>216015</v>
      </c>
      <c r="KA5" s="31">
        <f t="shared" si="2"/>
        <v>688430</v>
      </c>
      <c r="KB5" s="31">
        <f>IF(KA5/(INDEX('Standards for Conversions'!$H$47:$H$73,MATCH(JZ$3,'Standards for Conversions'!$A$47:$A$73,0)))=0,"",KA5/(INDEX('Standards for Conversions'!$H$47:$H$73,MATCH(JZ$3,'Standards for Conversions'!$A$47:$A$73,0))))</f>
        <v>92703.303566307455</v>
      </c>
      <c r="KC5" s="31"/>
      <c r="KD5" s="31"/>
      <c r="KE5" s="31" t="str">
        <f>IF(KD5/(INDEX('Standards for Conversions'!$H$47:$H$73,MATCH(KC$3,'Standards for Conversions'!$A$47:$A$73,0)))=0,"",KD5/(INDEX('Standards for Conversions'!$H$47:$H$73,MATCH(KC$3,'Standards for Conversions'!$A$47:$A$73,0))))</f>
        <v/>
      </c>
      <c r="KF5" s="31"/>
      <c r="KG5" s="31"/>
      <c r="KH5" s="31" t="str">
        <f>IF(KG5/(INDEX('Standards for Conversions'!$H$47:$H$73,MATCH(KF$3,'Standards for Conversions'!$A$47:$A$73,0)))=0,"",KG5/(INDEX('Standards for Conversions'!$H$47:$H$73,MATCH(KF$3,'Standards for Conversions'!$A$47:$A$73,0))))</f>
        <v/>
      </c>
      <c r="KI5" s="31"/>
      <c r="KJ5" s="31"/>
      <c r="KK5" s="31" t="str">
        <f>IF(KJ5/(INDEX('Standards for Conversions'!$H$47:$H$73,MATCH(KI$3,'Standards for Conversions'!$A$47:$A$73,0)))=0,"",KJ5/(INDEX('Standards for Conversions'!$H$47:$H$73,MATCH(KI$3,'Standards for Conversions'!$A$47:$A$73,0))))</f>
        <v/>
      </c>
      <c r="KL5" s="31">
        <f>(130035+170+1200)*1.5</f>
        <v>197107.5</v>
      </c>
      <c r="KM5" s="31">
        <f>622895+60+7000</f>
        <v>629955</v>
      </c>
      <c r="KN5" s="31">
        <f>IF(KM5/(INDEX('Standards for Conversions'!$H$47:$H$73,MATCH(KL$3,'Standards for Conversions'!$A$47:$A$73,0)))=0,"",KM5/(INDEX('Standards for Conversions'!$H$47:$H$73,MATCH(KL$3,'Standards for Conversions'!$A$47:$A$73,0))))</f>
        <v>76612.964292821751</v>
      </c>
      <c r="KO5" s="31">
        <f t="shared" ref="KO5:KP7" si="3">KC5+KF5+KI5+KL5</f>
        <v>197107.5</v>
      </c>
      <c r="KP5" s="31">
        <f t="shared" si="3"/>
        <v>629955</v>
      </c>
      <c r="KQ5" s="31">
        <f>IF(KP5/(INDEX('Standards for Conversions'!$H$47:$H$73,MATCH(KO$3,'Standards for Conversions'!$A$47:$A$73,0)))=0,"",KP5/(INDEX('Standards for Conversions'!$H$47:$H$73,MATCH(KO$3,'Standards for Conversions'!$A$47:$A$73,0))))</f>
        <v>76612.964292821751</v>
      </c>
      <c r="KR5" s="31">
        <f>20*11370</f>
        <v>227400</v>
      </c>
      <c r="KS5" s="31">
        <v>707500</v>
      </c>
      <c r="KT5" s="31">
        <f>IF(KS5/(INDEX('Standards for Conversions'!$H$47:$H$73,MATCH(KR$3,'Standards for Conversions'!$A$47:$A$73,0)))=0,"",KS5/(INDEX('Standards for Conversions'!$H$47:$H$73,MATCH(KR$3,'Standards for Conversions'!$A$47:$A$73,0))))</f>
        <v>69356.272291684771</v>
      </c>
      <c r="KU5" s="31">
        <f>20*11370</f>
        <v>227400</v>
      </c>
      <c r="KV5" s="31">
        <v>707500</v>
      </c>
      <c r="KW5" s="31">
        <f>IF(KV5/(INDEX('Standards for Conversions'!$H$47:$H$73,MATCH(KU$3,'Standards for Conversions'!$A$47:$A$73,0)))=0,"",KV5/(INDEX('Standards for Conversions'!$H$47:$H$73,MATCH(KU$3,'Standards for Conversions'!$A$47:$A$73,0))))</f>
        <v>71453.438192513233</v>
      </c>
      <c r="KX5" s="31">
        <f>20*11259</f>
        <v>225180</v>
      </c>
      <c r="KY5" s="31">
        <v>700000</v>
      </c>
      <c r="KZ5" s="31">
        <f>IF(KY5/(INDEX('Standards for Conversions'!$H$47:$H$73,MATCH(KX$3,'Standards for Conversions'!$A$47:$A$73,0)))=0,"",KY5/(INDEX('Standards for Conversions'!$H$47:$H$73,MATCH(KX$3,'Standards for Conversions'!$A$47:$A$73,0))))</f>
        <v>73067.334919324465</v>
      </c>
      <c r="LA5" s="31">
        <f>20*11000</f>
        <v>220000</v>
      </c>
      <c r="LB5" s="31">
        <v>1000000</v>
      </c>
      <c r="LC5" s="31">
        <f>IF(LB5/(INDEX('Standards for Conversions'!$H$47:$H$73,MATCH(LA$3,'Standards for Conversions'!$A$47:$A$73,0)))=0,"",LB5/(INDEX('Standards for Conversions'!$H$47:$H$73,MATCH(LA$3,'Standards for Conversions'!$A$47:$A$73,0))))</f>
        <v>93372.05070826452</v>
      </c>
      <c r="LD5" s="31">
        <f>20*10000</f>
        <v>200000</v>
      </c>
      <c r="LE5" s="31">
        <v>900000</v>
      </c>
      <c r="LF5" s="31">
        <f>IF(LE5/(INDEX('Standards for Conversions'!$H$47:$H$73,MATCH(LD$3,'Standards for Conversions'!$A$47:$A$73,0)))=0,"",LE5/(INDEX('Standards for Conversions'!$H$47:$H$73,MATCH(LD$3,'Standards for Conversions'!$A$47:$A$73,0))))</f>
        <v>82129.29358216736</v>
      </c>
      <c r="LG5" s="31">
        <f>20*9000</f>
        <v>180000</v>
      </c>
      <c r="LH5" s="31">
        <v>810000</v>
      </c>
      <c r="LI5" s="31">
        <f>IF(LH5/(INDEX('Standards for Conversions'!$H$47:$H$73,MATCH(LG$3,'Standards for Conversions'!$A$47:$A$73,0)))=0,"",LH5/(INDEX('Standards for Conversions'!$H$47:$H$73,MATCH(LG$3,'Standards for Conversions'!$A$47:$A$73,0))))</f>
        <v>75288.361703745526</v>
      </c>
      <c r="LJ5" s="31">
        <f>20*8782</f>
        <v>175640</v>
      </c>
      <c r="LK5" s="31">
        <v>700159</v>
      </c>
      <c r="LL5" s="31">
        <f>IF(LK5/(INDEX('Standards for Conversions'!$H$47:$H$73,MATCH(LJ$3,'Standards for Conversions'!$A$47:$A$73,0)))=0,"",LK5/(INDEX('Standards for Conversions'!$H$47:$H$73,MATCH(LJ$3,'Standards for Conversions'!$A$47:$A$73,0))))</f>
        <v>67154.200880469492</v>
      </c>
      <c r="LM5" s="31">
        <f>20*8961</f>
        <v>179220</v>
      </c>
      <c r="LN5" s="31">
        <v>841619</v>
      </c>
      <c r="LO5" s="31">
        <f>IF(LN5/(INDEX('Standards for Conversions'!$H$47:$H$73,MATCH(LM$3,'Standards for Conversions'!$A$47:$A$73,0)))=0,"",LN5/(INDEX('Standards for Conversions'!$H$47:$H$73,MATCH(LM$3,'Standards for Conversions'!$A$47:$A$73,0))))</f>
        <v>77514.526068235631</v>
      </c>
      <c r="LP5" s="31">
        <f>20*9500</f>
        <v>190000</v>
      </c>
      <c r="LQ5" s="31">
        <v>983000</v>
      </c>
      <c r="LR5" s="31">
        <f>IF(LQ5/(INDEX('Standards for Conversions'!$H$47:$H$73,MATCH(LP$3,'Standards for Conversions'!$A$47:$A$73,0)))=0,"",LQ5/(INDEX('Standards for Conversions'!$H$47:$H$73,MATCH(LP$3,'Standards for Conversions'!$A$47:$A$73,0))))</f>
        <v>80129.522564163824</v>
      </c>
      <c r="LS5" s="31">
        <f>20*9600</f>
        <v>192000</v>
      </c>
      <c r="LT5" s="31">
        <v>1075200</v>
      </c>
      <c r="LU5" s="31">
        <f>IF(LT5/(INDEX('Standards for Conversions'!$H$47:$H$73,MATCH(LS$3,'Standards for Conversions'!$A$47:$A$73,0)))=0,"",LT5/(INDEX('Standards for Conversions'!$H$47:$H$73,MATCH(LS$3,'Standards for Conversions'!$A$47:$A$73,0))))</f>
        <v>90149.381072390694</v>
      </c>
      <c r="LV5" s="31">
        <f>20*14000</f>
        <v>280000</v>
      </c>
      <c r="LW5" s="31">
        <v>1120000</v>
      </c>
      <c r="LX5" s="31">
        <f>IF(LW5/(INDEX('Standards for Conversions'!$H$47:$H$73,MATCH(LV$3,'Standards for Conversions'!$A$47:$A$73,0)))=0,"",LW5/(INDEX('Standards for Conversions'!$H$47:$H$73,MATCH(LV$3,'Standards for Conversions'!$A$47:$A$73,0))))</f>
        <v>100189.69250601083</v>
      </c>
      <c r="LY5" s="31">
        <f>20*17500</f>
        <v>350000</v>
      </c>
      <c r="LZ5" s="31">
        <v>122500</v>
      </c>
      <c r="MA5" s="31">
        <f>20*20000</f>
        <v>400000</v>
      </c>
      <c r="MB5" s="31">
        <v>160000</v>
      </c>
      <c r="MC5" s="31">
        <f>20*12000</f>
        <v>240000</v>
      </c>
      <c r="MD5" s="31">
        <v>110000</v>
      </c>
      <c r="ME5" s="31">
        <f>20*15635</f>
        <v>312700</v>
      </c>
      <c r="MF5" s="31">
        <v>140715</v>
      </c>
      <c r="MG5" s="31">
        <f>20*15330</f>
        <v>306600</v>
      </c>
      <c r="MH5" s="31">
        <v>139503</v>
      </c>
      <c r="MI5" s="31">
        <f>20*6585</f>
        <v>131700</v>
      </c>
      <c r="MJ5" s="31">
        <v>66654</v>
      </c>
      <c r="MK5" s="31">
        <f>20*6605</f>
        <v>132100</v>
      </c>
      <c r="ML5" s="31">
        <v>73366</v>
      </c>
      <c r="MM5" s="31"/>
      <c r="MN5" s="31"/>
    </row>
    <row r="6" spans="1:352" s="33" customFormat="1" ht="14.4" customHeight="1" x14ac:dyDescent="0.3">
      <c r="A6" s="102" t="s">
        <v>37</v>
      </c>
      <c r="B6" s="10" t="s">
        <v>374</v>
      </c>
      <c r="C6" s="9"/>
      <c r="D6" s="9"/>
      <c r="E6" s="31"/>
      <c r="F6" s="9"/>
      <c r="G6" s="9"/>
      <c r="H6" s="31"/>
      <c r="I6" s="9">
        <v>319</v>
      </c>
      <c r="J6" s="9">
        <v>4500</v>
      </c>
      <c r="K6" s="31">
        <v>888.94003378378363</v>
      </c>
      <c r="L6" s="9"/>
      <c r="M6" s="9"/>
      <c r="N6" s="31"/>
      <c r="O6" s="31">
        <f t="shared" ref="O6:O47" si="4">C6+F6+I6+L6</f>
        <v>319</v>
      </c>
      <c r="P6" s="31">
        <f t="shared" ref="P6:P47" si="5">D6+G6+J6+M6</f>
        <v>4500</v>
      </c>
      <c r="Q6" s="31">
        <f>IF(P6/(INDEX('Standards for Conversions'!$H$34:$H$73,MATCH(O$3,'Standards for Conversions'!$A$34:$A$73,0)))=0,"",P6/(INDEX('Standards for Conversions'!$H$34:$H$73,MATCH(O$3,'Standards for Conversions'!$A$34:$A$73,0))))</f>
        <v>888.94003378378363</v>
      </c>
      <c r="R6" s="9"/>
      <c r="S6" s="9"/>
      <c r="T6" s="31"/>
      <c r="U6" s="9"/>
      <c r="V6" s="9"/>
      <c r="W6" s="31"/>
      <c r="X6" s="9">
        <v>125</v>
      </c>
      <c r="Y6" s="9">
        <v>1500</v>
      </c>
      <c r="Z6" s="31">
        <v>289.00872838272352</v>
      </c>
      <c r="AA6" s="9"/>
      <c r="AB6" s="9"/>
      <c r="AC6" s="31"/>
      <c r="AD6" s="31">
        <f t="shared" ref="AD6:AD47" si="6">R6+U6+X6+AA6</f>
        <v>125</v>
      </c>
      <c r="AE6" s="31">
        <f t="shared" ref="AE6:AE47" si="7">S6+V6+Y6+AB6</f>
        <v>1500</v>
      </c>
      <c r="AF6" s="31">
        <f>IF(AE6/(INDEX('Standards for Conversions'!$H$34:$H$73,MATCH(AD$3,'Standards for Conversions'!$A$34:$A$73,0)))=0,"",AE6/(INDEX('Standards for Conversions'!$H$34:$H$73,MATCH(AD$3,'Standards for Conversions'!$A$34:$A$73,0))))</f>
        <v>289.00872838272352</v>
      </c>
      <c r="AG6" s="9"/>
      <c r="AH6" s="9"/>
      <c r="AI6" s="31"/>
      <c r="AJ6" s="9"/>
      <c r="AK6" s="9"/>
      <c r="AL6" s="31"/>
      <c r="AM6" s="9">
        <v>400</v>
      </c>
      <c r="AN6" s="9">
        <v>6000</v>
      </c>
      <c r="AO6" s="31">
        <v>1072.190623098983</v>
      </c>
      <c r="AP6" s="9"/>
      <c r="AQ6" s="9"/>
      <c r="AR6" s="31"/>
      <c r="AS6" s="31">
        <f t="shared" ref="AS6:AS47" si="8">AG6+AJ6+AM6+AP6</f>
        <v>400</v>
      </c>
      <c r="AT6" s="31">
        <f t="shared" ref="AT6:AT47" si="9">AH6+AK6+AN6+AQ6</f>
        <v>6000</v>
      </c>
      <c r="AU6" s="31">
        <f>IF(AT6/(INDEX('Standards for Conversions'!$H$34:$H$73,MATCH(AS$3,'Standards for Conversions'!$A$34:$A$73,0)))=0,"",AT6/(INDEX('Standards for Conversions'!$H$34:$H$73,MATCH(AS$3,'Standards for Conversions'!$A$34:$A$73,0))))</f>
        <v>1072.190623098983</v>
      </c>
      <c r="AV6" s="9"/>
      <c r="AW6" s="9"/>
      <c r="AX6" s="31"/>
      <c r="AY6" s="9"/>
      <c r="AZ6" s="9"/>
      <c r="BA6" s="31"/>
      <c r="BB6" s="9">
        <v>750</v>
      </c>
      <c r="BC6" s="9">
        <v>15000</v>
      </c>
      <c r="BD6" s="31">
        <v>2785.2819207873467</v>
      </c>
      <c r="BE6" s="9"/>
      <c r="BF6" s="9"/>
      <c r="BG6" s="31"/>
      <c r="BH6" s="31">
        <f t="shared" ref="BH6:BH47" si="10">AV6+AY6+BB6+BE6</f>
        <v>750</v>
      </c>
      <c r="BI6" s="31">
        <f t="shared" ref="BI6:BI47" si="11">AW6+AZ6+BC6+BF6</f>
        <v>15000</v>
      </c>
      <c r="BJ6" s="31">
        <f>IF(BI6/(INDEX('Standards for Conversions'!$H$34:$H$73,MATCH(BH$3,'Standards for Conversions'!$A$34:$A$73,0)))=0,"",BI6/(INDEX('Standards for Conversions'!$H$34:$H$73,MATCH(BH$3,'Standards for Conversions'!$A$34:$A$73,0))))</f>
        <v>2785.2819207873467</v>
      </c>
      <c r="BK6" s="9"/>
      <c r="BL6" s="9"/>
      <c r="BM6" s="31"/>
      <c r="BN6" s="9"/>
      <c r="BO6" s="9"/>
      <c r="BP6" s="31"/>
      <c r="BQ6" s="9"/>
      <c r="BR6" s="9"/>
      <c r="BS6" s="31"/>
      <c r="BT6" s="9"/>
      <c r="BU6" s="9"/>
      <c r="BV6" s="31"/>
      <c r="BW6" s="31">
        <f t="shared" ref="BW6:BW47" si="12">BK6+BN6+BQ6+BT6</f>
        <v>0</v>
      </c>
      <c r="BX6" s="31">
        <f t="shared" ref="BX6:BX47" si="13">BL6+BO6+BR6+BU6</f>
        <v>0</v>
      </c>
      <c r="BY6" s="31" t="str">
        <f>IF(BX6/(INDEX('Standards for Conversions'!$H$34:$H$73,MATCH(BW$3,'Standards for Conversions'!$A$34:$A$73,0)))=0,"",BX6/(INDEX('Standards for Conversions'!$H$34:$H$73,MATCH(BW$3,'Standards for Conversions'!$A$34:$A$73,0))))</f>
        <v/>
      </c>
      <c r="BZ6" s="9"/>
      <c r="CA6" s="9"/>
      <c r="CB6" s="31"/>
      <c r="CC6" s="9"/>
      <c r="CD6" s="9"/>
      <c r="CE6" s="31"/>
      <c r="CF6" s="9"/>
      <c r="CG6" s="9"/>
      <c r="CH6" s="31"/>
      <c r="CI6" s="9"/>
      <c r="CJ6" s="9"/>
      <c r="CK6" s="31"/>
      <c r="CL6" s="31">
        <f t="shared" ref="CL6:CL47" si="14">BZ6+CC6+CF6+CI6</f>
        <v>0</v>
      </c>
      <c r="CM6" s="31">
        <f t="shared" ref="CM6:CM47" si="15">CA6+CD6+CG6+CJ6</f>
        <v>0</v>
      </c>
      <c r="CN6" s="31" t="str">
        <f>IF(CM6/(INDEX('Standards for Conversions'!$H$34:$H$73,MATCH(CL$3,'Standards for Conversions'!$A$34:$A$73,0)))=0,"",CM6/(INDEX('Standards for Conversions'!$H$34:$H$73,MATCH(CL$3,'Standards for Conversions'!$A$34:$A$73,0))))</f>
        <v/>
      </c>
      <c r="CO6" s="9"/>
      <c r="CP6" s="9"/>
      <c r="CQ6" s="31"/>
      <c r="CR6" s="9"/>
      <c r="CS6" s="9"/>
      <c r="CT6" s="31"/>
      <c r="CU6" s="9"/>
      <c r="CV6" s="9"/>
      <c r="CW6" s="31"/>
      <c r="CX6" s="9"/>
      <c r="CY6" s="9"/>
      <c r="CZ6" s="31"/>
      <c r="DA6" s="31">
        <f t="shared" ref="DA6:DA47" si="16">CO6+CR6+CU6+CX6</f>
        <v>0</v>
      </c>
      <c r="DB6" s="31">
        <f t="shared" ref="DB6:DB47" si="17">CP6+CS6+CV6+CY6</f>
        <v>0</v>
      </c>
      <c r="DC6" s="31" t="str">
        <f>IF(DB6/(INDEX('Standards for Conversions'!$H$34:$H$73,MATCH(DA$3,'Standards for Conversions'!$A$34:$A$73,0)))=0,"",DB6/(INDEX('Standards for Conversions'!$H$34:$H$73,MATCH(DA$3,'Standards for Conversions'!$A$34:$A$73,0))))</f>
        <v/>
      </c>
      <c r="DD6" s="9"/>
      <c r="DE6" s="9"/>
      <c r="DF6" s="31"/>
      <c r="DG6" s="9"/>
      <c r="DH6" s="9"/>
      <c r="DI6" s="31"/>
      <c r="DJ6" s="9"/>
      <c r="DK6" s="9"/>
      <c r="DL6" s="31"/>
      <c r="DM6" s="9"/>
      <c r="DN6" s="9"/>
      <c r="DO6" s="31"/>
      <c r="DP6" s="31">
        <f t="shared" ref="DP6:DP47" si="18">DD6+DG6+DJ6+DM6</f>
        <v>0</v>
      </c>
      <c r="DQ6" s="31">
        <f t="shared" ref="DQ6:DQ47" si="19">DE6+DH6+DK6+DN6</f>
        <v>0</v>
      </c>
      <c r="DR6" s="31" t="str">
        <f>IF(DQ6/(INDEX('Standards for Conversions'!$H$34:$H$73,MATCH(DP$3,'Standards for Conversions'!$A$34:$A$73,0)))=0,"",DQ6/(INDEX('Standards for Conversions'!$H$34:$H$73,MATCH(DP$3,'Standards for Conversions'!$A$34:$A$73,0))))</f>
        <v/>
      </c>
      <c r="DS6" s="9"/>
      <c r="DT6" s="9"/>
      <c r="DU6" s="31"/>
      <c r="DV6" s="9"/>
      <c r="DW6" s="9"/>
      <c r="DX6" s="31"/>
      <c r="DY6" s="9"/>
      <c r="DZ6" s="9"/>
      <c r="EA6" s="31"/>
      <c r="EB6" s="9"/>
      <c r="EC6" s="9"/>
      <c r="ED6" s="31"/>
      <c r="EE6" s="31">
        <f t="shared" ref="EE6:EE47" si="20">DS6+DV6+DY6+EB6</f>
        <v>0</v>
      </c>
      <c r="EF6" s="31">
        <f t="shared" ref="EF6:EF47" si="21">DT6+DW6+DZ6+EC6</f>
        <v>0</v>
      </c>
      <c r="EG6" s="31" t="str">
        <f>IF(EF6/(INDEX('Standards for Conversions'!$H$34:$H$73,MATCH(EE$3,'Standards for Conversions'!$A$34:$A$73,0)))=0,"",EF6/(INDEX('Standards for Conversions'!$H$34:$H$73,MATCH(EE$3,'Standards for Conversions'!$A$34:$A$73,0))))</f>
        <v/>
      </c>
      <c r="EH6" s="9"/>
      <c r="EI6" s="9"/>
      <c r="EJ6" s="31"/>
      <c r="EK6" s="9"/>
      <c r="EL6" s="9"/>
      <c r="EM6" s="31"/>
      <c r="EN6" s="9"/>
      <c r="EO6" s="9"/>
      <c r="EP6" s="31"/>
      <c r="EQ6" s="9"/>
      <c r="ER6" s="9"/>
      <c r="ES6" s="31"/>
      <c r="ET6" s="31">
        <f t="shared" ref="ET6:ET47" si="22">EH6+EK6+EN6+EQ6</f>
        <v>0</v>
      </c>
      <c r="EU6" s="31">
        <f t="shared" ref="EU6:EU47" si="23">EI6+EL6+EO6+ER6</f>
        <v>0</v>
      </c>
      <c r="EV6" s="31" t="str">
        <f>IF(EU6/(INDEX('Standards for Conversions'!$H$34:$H$73,MATCH(ET$3,'Standards for Conversions'!$A$34:$A$73,0)))=0,"",EU6/(INDEX('Standards for Conversions'!$H$34:$H$73,MATCH(ET$3,'Standards for Conversions'!$A$34:$A$73,0))))</f>
        <v/>
      </c>
      <c r="EW6" s="9"/>
      <c r="EX6" s="9"/>
      <c r="EY6" s="31"/>
      <c r="EZ6" s="9"/>
      <c r="FA6" s="9"/>
      <c r="FB6" s="31"/>
      <c r="FC6" s="9"/>
      <c r="FD6" s="9"/>
      <c r="FE6" s="31"/>
      <c r="FF6" s="9"/>
      <c r="FG6" s="9"/>
      <c r="FH6" s="31"/>
      <c r="FI6" s="31">
        <f t="shared" ref="FI6:FI47" si="24">EW6+EZ6+FC6+FF6</f>
        <v>0</v>
      </c>
      <c r="FJ6" s="31">
        <f t="shared" ref="FJ6:FJ47" si="25">EX6+FA6+FD6+FG6</f>
        <v>0</v>
      </c>
      <c r="FK6" s="31" t="str">
        <f>IF(FJ6/(INDEX('Standards for Conversions'!$H$34:$H$73,MATCH(FI$3,'Standards for Conversions'!$A$34:$A$73,0)))=0,"",FJ6/(INDEX('Standards for Conversions'!$H$34:$H$73,MATCH(FI$3,'Standards for Conversions'!$A$34:$A$73,0))))</f>
        <v/>
      </c>
      <c r="FL6" s="9"/>
      <c r="FM6" s="9"/>
      <c r="FN6" s="31"/>
      <c r="FO6" s="9"/>
      <c r="FP6" s="9"/>
      <c r="FQ6" s="31"/>
      <c r="FR6" s="9"/>
      <c r="FS6" s="9"/>
      <c r="FT6" s="31"/>
      <c r="FU6" s="9"/>
      <c r="FV6" s="9"/>
      <c r="FW6" s="31"/>
      <c r="FX6" s="31">
        <f t="shared" ref="FX6:FX47" si="26">FL6+FO6+FR6+FU6</f>
        <v>0</v>
      </c>
      <c r="FY6" s="31">
        <f t="shared" ref="FY6:FY47" si="27">FM6+FP6+FS6+FV6</f>
        <v>0</v>
      </c>
      <c r="FZ6" s="31" t="str">
        <f>IF(FY6/(INDEX('Standards for Conversions'!$H$34:$H$73,MATCH(FX$3,'Standards for Conversions'!$A$34:$A$73,0)))=0,"",FY6/(INDEX('Standards for Conversions'!$H$34:$H$73,MATCH(FX$3,'Standards for Conversions'!$A$34:$A$73,0))))</f>
        <v/>
      </c>
      <c r="GA6" s="9"/>
      <c r="GB6" s="9"/>
      <c r="GC6" s="31"/>
      <c r="GD6" s="9"/>
      <c r="GE6" s="9"/>
      <c r="GF6" s="31"/>
      <c r="GG6" s="9"/>
      <c r="GH6" s="9"/>
      <c r="GI6" s="31"/>
      <c r="GJ6" s="9"/>
      <c r="GK6" s="9"/>
      <c r="GL6" s="31"/>
      <c r="GM6" s="31">
        <f t="shared" ref="GM6:GM47" si="28">GA6+GD6+GG6+GJ6</f>
        <v>0</v>
      </c>
      <c r="GN6" s="31">
        <f t="shared" ref="GN6:GN47" si="29">GB6+GE6+GH6+GK6</f>
        <v>0</v>
      </c>
      <c r="GO6" s="31" t="str">
        <f>IF(GN6/(INDEX('Standards for Conversions'!$H$34:$H$73,MATCH(GM$3,'Standards for Conversions'!$A$34:$A$73,0)))=0,"",GN6/(INDEX('Standards for Conversions'!$H$34:$H$73,MATCH(GM$3,'Standards for Conversions'!$A$34:$A$73,0))))</f>
        <v/>
      </c>
      <c r="GP6" s="9"/>
      <c r="GQ6" s="9"/>
      <c r="GR6" s="31"/>
      <c r="GS6" s="9"/>
      <c r="GT6" s="9"/>
      <c r="GU6" s="31"/>
      <c r="GV6" s="9"/>
      <c r="GW6" s="9"/>
      <c r="GX6" s="31"/>
      <c r="GY6" s="9"/>
      <c r="GZ6" s="9"/>
      <c r="HA6" s="31"/>
      <c r="HB6" s="31">
        <f t="shared" ref="HB6:HB47" si="30">GP6+GS6+GV6+GY6</f>
        <v>0</v>
      </c>
      <c r="HC6" s="31">
        <f t="shared" ref="HC6:HC47" si="31">GQ6+GT6+GW6+GZ6</f>
        <v>0</v>
      </c>
      <c r="HD6" s="31" t="str">
        <f>IF(HC6/(INDEX('Standards for Conversions'!$H$34:$H$73,MATCH(HB$3,'Standards for Conversions'!$A$34:$A$73,0)))=0,"",HC6/(INDEX('Standards for Conversions'!$H$34:$H$73,MATCH(HB$3,'Standards for Conversions'!$A$34:$A$73,0))))</f>
        <v/>
      </c>
      <c r="HE6" s="112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1"/>
      <c r="IU6" s="31"/>
      <c r="IV6" s="31"/>
      <c r="IW6" s="31"/>
      <c r="IX6" s="31"/>
      <c r="IY6" s="31"/>
      <c r="IZ6" s="31"/>
      <c r="JA6" s="31"/>
      <c r="JB6" s="31"/>
      <c r="JC6" s="31"/>
      <c r="JD6" s="31"/>
      <c r="JE6" s="31"/>
      <c r="JF6" s="31"/>
      <c r="JG6" s="31"/>
      <c r="JH6" s="31"/>
      <c r="JI6" s="31"/>
      <c r="JJ6" s="31"/>
      <c r="JK6" s="31"/>
      <c r="JL6" s="31"/>
      <c r="JM6" s="31"/>
      <c r="JN6" s="31"/>
      <c r="JO6" s="31"/>
      <c r="JP6" s="31"/>
      <c r="JQ6" s="31"/>
      <c r="JR6" s="31"/>
      <c r="JS6" s="31"/>
      <c r="JT6" s="31"/>
      <c r="JU6" s="31"/>
      <c r="JV6" s="31"/>
      <c r="JW6" s="31"/>
      <c r="JX6" s="31"/>
      <c r="JY6" s="31"/>
      <c r="JZ6" s="31"/>
      <c r="KA6" s="31"/>
      <c r="KB6" s="31"/>
      <c r="KC6" s="31"/>
      <c r="KD6" s="31"/>
      <c r="KE6" s="31"/>
      <c r="KF6" s="31"/>
      <c r="KG6" s="31"/>
      <c r="KH6" s="31"/>
      <c r="KI6" s="31"/>
      <c r="KJ6" s="31"/>
      <c r="KK6" s="31"/>
      <c r="KL6" s="31"/>
      <c r="KM6" s="31"/>
      <c r="KN6" s="31"/>
      <c r="KO6" s="31"/>
      <c r="KP6" s="31"/>
      <c r="KQ6" s="31"/>
      <c r="KR6" s="31"/>
      <c r="KS6" s="31"/>
      <c r="KT6" s="31"/>
      <c r="KU6" s="31"/>
      <c r="KV6" s="31"/>
      <c r="KW6" s="31"/>
      <c r="KX6" s="31"/>
      <c r="KY6" s="31"/>
      <c r="KZ6" s="31"/>
      <c r="LA6" s="31"/>
      <c r="LB6" s="31"/>
      <c r="LC6" s="31"/>
      <c r="LD6" s="31"/>
      <c r="LE6" s="31"/>
      <c r="LF6" s="31"/>
      <c r="LG6" s="31"/>
      <c r="LH6" s="31"/>
      <c r="LI6" s="31"/>
      <c r="LJ6" s="31"/>
      <c r="LK6" s="31"/>
      <c r="LL6" s="31"/>
      <c r="LM6" s="31"/>
      <c r="LN6" s="31"/>
      <c r="LO6" s="31"/>
      <c r="LP6" s="31"/>
      <c r="LQ6" s="31"/>
      <c r="LR6" s="31"/>
      <c r="LS6" s="31"/>
      <c r="LT6" s="31"/>
      <c r="LU6" s="31"/>
      <c r="LV6" s="31"/>
      <c r="LW6" s="31"/>
      <c r="LX6" s="31"/>
      <c r="LY6" s="31"/>
      <c r="LZ6" s="31"/>
      <c r="MA6" s="31"/>
      <c r="MB6" s="31"/>
      <c r="MC6" s="31"/>
      <c r="MD6" s="31"/>
      <c r="ME6" s="31"/>
      <c r="MF6" s="31"/>
      <c r="MG6" s="31"/>
      <c r="MH6" s="31"/>
      <c r="MI6" s="31"/>
      <c r="MJ6" s="31"/>
      <c r="MK6" s="31"/>
      <c r="ML6" s="31"/>
      <c r="MM6" s="31"/>
      <c r="MN6" s="31"/>
    </row>
    <row r="7" spans="1:352" s="33" customFormat="1" ht="14.4" customHeight="1" x14ac:dyDescent="0.3">
      <c r="A7" s="102" t="s">
        <v>37</v>
      </c>
      <c r="B7" s="10" t="s">
        <v>39</v>
      </c>
      <c r="C7" s="9"/>
      <c r="D7" s="9"/>
      <c r="E7" s="31" t="s">
        <v>128</v>
      </c>
      <c r="F7" s="9"/>
      <c r="G7" s="9"/>
      <c r="H7" s="31" t="s">
        <v>128</v>
      </c>
      <c r="I7" s="9"/>
      <c r="J7" s="9"/>
      <c r="K7" s="31" t="s">
        <v>128</v>
      </c>
      <c r="L7" s="9">
        <v>30650</v>
      </c>
      <c r="M7" s="9">
        <v>55500</v>
      </c>
      <c r="N7" s="31">
        <v>10963.593749999998</v>
      </c>
      <c r="O7" s="31">
        <f t="shared" si="4"/>
        <v>30650</v>
      </c>
      <c r="P7" s="31">
        <f t="shared" si="5"/>
        <v>55500</v>
      </c>
      <c r="Q7" s="31">
        <f>IF(P7/(INDEX('Standards for Conversions'!$H$34:$H$73,MATCH(O$3,'Standards for Conversions'!$A$34:$A$73,0)))=0,"",P7/(INDEX('Standards for Conversions'!$H$34:$H$73,MATCH(O$3,'Standards for Conversions'!$A$34:$A$73,0))))</f>
        <v>10963.593749999998</v>
      </c>
      <c r="R7" s="9"/>
      <c r="S7" s="9"/>
      <c r="T7" s="31" t="s">
        <v>128</v>
      </c>
      <c r="U7" s="9"/>
      <c r="V7" s="9"/>
      <c r="W7" s="31" t="s">
        <v>128</v>
      </c>
      <c r="X7" s="9"/>
      <c r="Y7" s="9"/>
      <c r="Z7" s="31" t="s">
        <v>128</v>
      </c>
      <c r="AA7" s="9">
        <v>20000</v>
      </c>
      <c r="AB7" s="9">
        <v>32000</v>
      </c>
      <c r="AC7" s="31">
        <v>6165.5195388314351</v>
      </c>
      <c r="AD7" s="31">
        <f t="shared" si="6"/>
        <v>20000</v>
      </c>
      <c r="AE7" s="31">
        <f t="shared" si="7"/>
        <v>32000</v>
      </c>
      <c r="AF7" s="31">
        <f>IF(AE7/(INDEX('Standards for Conversions'!$H$34:$H$73,MATCH(AD$3,'Standards for Conversions'!$A$34:$A$73,0)))=0,"",AE7/(INDEX('Standards for Conversions'!$H$34:$H$73,MATCH(AD$3,'Standards for Conversions'!$A$34:$A$73,0))))</f>
        <v>6165.5195388314351</v>
      </c>
      <c r="AG7" s="9"/>
      <c r="AH7" s="9"/>
      <c r="AI7" s="31" t="s">
        <v>128</v>
      </c>
      <c r="AJ7" s="9"/>
      <c r="AK7" s="9"/>
      <c r="AL7" s="31" t="s">
        <v>128</v>
      </c>
      <c r="AM7" s="9"/>
      <c r="AN7" s="9"/>
      <c r="AO7" s="31" t="s">
        <v>128</v>
      </c>
      <c r="AP7" s="9">
        <v>625</v>
      </c>
      <c r="AQ7" s="9">
        <v>1000</v>
      </c>
      <c r="AR7" s="31">
        <v>178.69843718316383</v>
      </c>
      <c r="AS7" s="31">
        <f t="shared" si="8"/>
        <v>625</v>
      </c>
      <c r="AT7" s="31">
        <f t="shared" si="9"/>
        <v>1000</v>
      </c>
      <c r="AU7" s="31">
        <f>IF(AT7/(INDEX('Standards for Conversions'!$H$34:$H$73,MATCH(AS$3,'Standards for Conversions'!$A$34:$A$73,0)))=0,"",AT7/(INDEX('Standards for Conversions'!$H$34:$H$73,MATCH(AS$3,'Standards for Conversions'!$A$34:$A$73,0))))</f>
        <v>178.69843718316383</v>
      </c>
      <c r="AV7" s="9"/>
      <c r="AW7" s="9"/>
      <c r="AX7" s="31" t="s">
        <v>128</v>
      </c>
      <c r="AY7" s="9"/>
      <c r="AZ7" s="9"/>
      <c r="BA7" s="31" t="s">
        <v>128</v>
      </c>
      <c r="BB7" s="9"/>
      <c r="BC7" s="9"/>
      <c r="BD7" s="31" t="s">
        <v>128</v>
      </c>
      <c r="BE7" s="9">
        <v>1000</v>
      </c>
      <c r="BF7" s="9">
        <v>2000</v>
      </c>
      <c r="BG7" s="31">
        <v>371.37092277164624</v>
      </c>
      <c r="BH7" s="31">
        <f t="shared" si="10"/>
        <v>1000</v>
      </c>
      <c r="BI7" s="31">
        <f t="shared" si="11"/>
        <v>2000</v>
      </c>
      <c r="BJ7" s="31">
        <f>IF(BI7/(INDEX('Standards for Conversions'!$H$34:$H$73,MATCH(BH$3,'Standards for Conversions'!$A$34:$A$73,0)))=0,"",BI7/(INDEX('Standards for Conversions'!$H$34:$H$73,MATCH(BH$3,'Standards for Conversions'!$A$34:$A$73,0))))</f>
        <v>371.37092277164624</v>
      </c>
      <c r="BK7" s="9"/>
      <c r="BL7" s="9"/>
      <c r="BM7" s="31" t="s">
        <v>128</v>
      </c>
      <c r="BN7" s="9"/>
      <c r="BO7" s="9"/>
      <c r="BP7" s="31" t="s">
        <v>128</v>
      </c>
      <c r="BQ7" s="9"/>
      <c r="BR7" s="9"/>
      <c r="BS7" s="31" t="s">
        <v>128</v>
      </c>
      <c r="BT7" s="9">
        <v>7000</v>
      </c>
      <c r="BU7" s="9">
        <v>15000</v>
      </c>
      <c r="BV7" s="31">
        <v>2670.9487974711042</v>
      </c>
      <c r="BW7" s="31">
        <f t="shared" si="12"/>
        <v>7000</v>
      </c>
      <c r="BX7" s="31">
        <f t="shared" si="13"/>
        <v>15000</v>
      </c>
      <c r="BY7" s="31">
        <f>IF(BX7/(INDEX('Standards for Conversions'!$H$34:$H$73,MATCH(BW$3,'Standards for Conversions'!$A$34:$A$73,0)))=0,"",BX7/(INDEX('Standards for Conversions'!$H$34:$H$73,MATCH(BW$3,'Standards for Conversions'!$A$34:$A$73,0))))</f>
        <v>2670.9487974711042</v>
      </c>
      <c r="BZ7" s="9"/>
      <c r="CA7" s="9"/>
      <c r="CB7" s="31" t="s">
        <v>128</v>
      </c>
      <c r="CC7" s="9"/>
      <c r="CD7" s="9"/>
      <c r="CE7" s="31" t="s">
        <v>128</v>
      </c>
      <c r="CF7" s="9"/>
      <c r="CG7" s="9"/>
      <c r="CH7" s="31" t="s">
        <v>128</v>
      </c>
      <c r="CI7" s="9">
        <v>1500</v>
      </c>
      <c r="CJ7" s="9">
        <v>3700</v>
      </c>
      <c r="CK7" s="31">
        <v>642.38277063236865</v>
      </c>
      <c r="CL7" s="31">
        <f t="shared" si="14"/>
        <v>1500</v>
      </c>
      <c r="CM7" s="31">
        <f t="shared" si="15"/>
        <v>3700</v>
      </c>
      <c r="CN7" s="31">
        <f>IF(CM7/(INDEX('Standards for Conversions'!$H$34:$H$73,MATCH(CL$3,'Standards for Conversions'!$A$34:$A$73,0)))=0,"",CM7/(INDEX('Standards for Conversions'!$H$34:$H$73,MATCH(CL$3,'Standards for Conversions'!$A$34:$A$73,0))))</f>
        <v>642.38277063236865</v>
      </c>
      <c r="CO7" s="9"/>
      <c r="CP7" s="9"/>
      <c r="CQ7" s="31" t="s">
        <v>128</v>
      </c>
      <c r="CR7" s="9"/>
      <c r="CS7" s="9"/>
      <c r="CT7" s="31" t="s">
        <v>128</v>
      </c>
      <c r="CU7" s="9"/>
      <c r="CV7" s="9"/>
      <c r="CW7" s="31" t="s">
        <v>128</v>
      </c>
      <c r="CX7" s="9">
        <v>300</v>
      </c>
      <c r="CY7" s="9">
        <v>800</v>
      </c>
      <c r="CZ7" s="31">
        <v>141.6036905072275</v>
      </c>
      <c r="DA7" s="31">
        <f t="shared" si="16"/>
        <v>300</v>
      </c>
      <c r="DB7" s="31">
        <f t="shared" si="17"/>
        <v>800</v>
      </c>
      <c r="DC7" s="31">
        <f>IF(DB7/(INDEX('Standards for Conversions'!$H$34:$H$73,MATCH(DA$3,'Standards for Conversions'!$A$34:$A$73,0)))=0,"",DB7/(INDEX('Standards for Conversions'!$H$34:$H$73,MATCH(DA$3,'Standards for Conversions'!$A$34:$A$73,0))))</f>
        <v>141.6036905072275</v>
      </c>
      <c r="DD7" s="9"/>
      <c r="DE7" s="9"/>
      <c r="DF7" s="31" t="s">
        <v>128</v>
      </c>
      <c r="DG7" s="9"/>
      <c r="DH7" s="9"/>
      <c r="DI7" s="31" t="s">
        <v>128</v>
      </c>
      <c r="DJ7" s="9"/>
      <c r="DK7" s="9"/>
      <c r="DL7" s="31" t="s">
        <v>128</v>
      </c>
      <c r="DM7" s="9">
        <v>200</v>
      </c>
      <c r="DN7" s="9">
        <v>500</v>
      </c>
      <c r="DO7" s="31">
        <v>87.54953053938182</v>
      </c>
      <c r="DP7" s="31">
        <f t="shared" si="18"/>
        <v>200</v>
      </c>
      <c r="DQ7" s="31">
        <f t="shared" si="19"/>
        <v>500</v>
      </c>
      <c r="DR7" s="31">
        <f>IF(DQ7/(INDEX('Standards for Conversions'!$H$34:$H$73,MATCH(DP$3,'Standards for Conversions'!$A$34:$A$73,0)))=0,"",DQ7/(INDEX('Standards for Conversions'!$H$34:$H$73,MATCH(DP$3,'Standards for Conversions'!$A$34:$A$73,0))))</f>
        <v>87.54953053938182</v>
      </c>
      <c r="DS7" s="9"/>
      <c r="DT7" s="9"/>
      <c r="DU7" s="31" t="s">
        <v>128</v>
      </c>
      <c r="DV7" s="9"/>
      <c r="DW7" s="9"/>
      <c r="DX7" s="31" t="s">
        <v>128</v>
      </c>
      <c r="DY7" s="9"/>
      <c r="DZ7" s="9"/>
      <c r="EA7" s="31" t="s">
        <v>128</v>
      </c>
      <c r="EB7" s="9">
        <v>124</v>
      </c>
      <c r="EC7" s="9">
        <v>340</v>
      </c>
      <c r="ED7" s="31">
        <v>59.461693244691631</v>
      </c>
      <c r="EE7" s="31">
        <f t="shared" si="20"/>
        <v>124</v>
      </c>
      <c r="EF7" s="31">
        <f t="shared" si="21"/>
        <v>340</v>
      </c>
      <c r="EG7" s="31">
        <f>IF(EF7/(INDEX('Standards for Conversions'!$H$34:$H$73,MATCH(EE$3,'Standards for Conversions'!$A$34:$A$73,0)))=0,"",EF7/(INDEX('Standards for Conversions'!$H$34:$H$73,MATCH(EE$3,'Standards for Conversions'!$A$34:$A$73,0))))</f>
        <v>59.461693244691631</v>
      </c>
      <c r="EH7" s="9"/>
      <c r="EI7" s="9"/>
      <c r="EJ7" s="31" t="s">
        <v>128</v>
      </c>
      <c r="EK7" s="9"/>
      <c r="EL7" s="9"/>
      <c r="EM7" s="31" t="s">
        <v>128</v>
      </c>
      <c r="EN7" s="9"/>
      <c r="EO7" s="9"/>
      <c r="EP7" s="31" t="s">
        <v>128</v>
      </c>
      <c r="EQ7" s="9">
        <v>2150</v>
      </c>
      <c r="ER7" s="9">
        <v>4318</v>
      </c>
      <c r="ES7" s="31">
        <v>739.62139818878347</v>
      </c>
      <c r="ET7" s="31">
        <f t="shared" si="22"/>
        <v>2150</v>
      </c>
      <c r="EU7" s="31">
        <f t="shared" si="23"/>
        <v>4318</v>
      </c>
      <c r="EV7" s="31">
        <f>IF(EU7/(INDEX('Standards for Conversions'!$H$34:$H$73,MATCH(ET$3,'Standards for Conversions'!$A$34:$A$73,0)))=0,"",EU7/(INDEX('Standards for Conversions'!$H$34:$H$73,MATCH(ET$3,'Standards for Conversions'!$A$34:$A$73,0))))</f>
        <v>739.62139818878347</v>
      </c>
      <c r="EW7" s="9"/>
      <c r="EX7" s="9"/>
      <c r="EY7" s="31" t="s">
        <v>128</v>
      </c>
      <c r="EZ7" s="9"/>
      <c r="FA7" s="9"/>
      <c r="FB7" s="31" t="s">
        <v>128</v>
      </c>
      <c r="FC7" s="9"/>
      <c r="FD7" s="9"/>
      <c r="FE7" s="31" t="s">
        <v>128</v>
      </c>
      <c r="FF7" s="9">
        <v>5000</v>
      </c>
      <c r="FG7" s="9">
        <v>10000</v>
      </c>
      <c r="FH7" s="31">
        <v>1714.9968497436341</v>
      </c>
      <c r="FI7" s="31">
        <f t="shared" si="24"/>
        <v>5000</v>
      </c>
      <c r="FJ7" s="31">
        <f t="shared" si="25"/>
        <v>10000</v>
      </c>
      <c r="FK7" s="31">
        <f>IF(FJ7/(INDEX('Standards for Conversions'!$H$34:$H$73,MATCH(FI$3,'Standards for Conversions'!$A$34:$A$73,0)))=0,"",FJ7/(INDEX('Standards for Conversions'!$H$34:$H$73,MATCH(FI$3,'Standards for Conversions'!$A$34:$A$73,0))))</f>
        <v>1714.9968497436341</v>
      </c>
      <c r="FL7" s="9"/>
      <c r="FM7" s="9"/>
      <c r="FN7" s="31" t="s">
        <v>128</v>
      </c>
      <c r="FO7" s="9"/>
      <c r="FP7" s="9"/>
      <c r="FQ7" s="31" t="s">
        <v>128</v>
      </c>
      <c r="FR7" s="9"/>
      <c r="FS7" s="9"/>
      <c r="FT7" s="31" t="s">
        <v>128</v>
      </c>
      <c r="FU7" s="9">
        <v>2500</v>
      </c>
      <c r="FV7" s="9">
        <v>4000</v>
      </c>
      <c r="FW7" s="31">
        <v>658.05064308681665</v>
      </c>
      <c r="FX7" s="31">
        <f t="shared" si="26"/>
        <v>2500</v>
      </c>
      <c r="FY7" s="31">
        <f t="shared" si="27"/>
        <v>4000</v>
      </c>
      <c r="FZ7" s="31">
        <f>IF(FY7/(INDEX('Standards for Conversions'!$H$34:$H$73,MATCH(FX$3,'Standards for Conversions'!$A$34:$A$73,0)))=0,"",FY7/(INDEX('Standards for Conversions'!$H$34:$H$73,MATCH(FX$3,'Standards for Conversions'!$A$34:$A$73,0))))</f>
        <v>658.05064308681665</v>
      </c>
      <c r="GA7" s="9"/>
      <c r="GB7" s="9"/>
      <c r="GC7" s="31" t="s">
        <v>128</v>
      </c>
      <c r="GD7" s="9"/>
      <c r="GE7" s="9"/>
      <c r="GF7" s="31" t="s">
        <v>128</v>
      </c>
      <c r="GG7" s="9"/>
      <c r="GH7" s="9"/>
      <c r="GI7" s="31" t="s">
        <v>128</v>
      </c>
      <c r="GJ7" s="9">
        <v>450</v>
      </c>
      <c r="GK7" s="9">
        <v>1000</v>
      </c>
      <c r="GL7" s="31">
        <v>153.71453245850353</v>
      </c>
      <c r="GM7" s="31">
        <f t="shared" si="28"/>
        <v>450</v>
      </c>
      <c r="GN7" s="31">
        <f t="shared" si="29"/>
        <v>1000</v>
      </c>
      <c r="GO7" s="31">
        <f>IF(GN7/(INDEX('Standards for Conversions'!$H$34:$H$73,MATCH(GM$3,'Standards for Conversions'!$A$34:$A$73,0)))=0,"",GN7/(INDEX('Standards for Conversions'!$H$34:$H$73,MATCH(GM$3,'Standards for Conversions'!$A$34:$A$73,0))))</f>
        <v>153.71453245850353</v>
      </c>
      <c r="GP7" s="9"/>
      <c r="GQ7" s="9"/>
      <c r="GR7" s="31" t="s">
        <v>128</v>
      </c>
      <c r="GS7" s="9"/>
      <c r="GT7" s="9"/>
      <c r="GU7" s="31" t="s">
        <v>128</v>
      </c>
      <c r="GV7" s="9"/>
      <c r="GW7" s="9"/>
      <c r="GX7" s="31" t="s">
        <v>128</v>
      </c>
      <c r="GY7" s="9">
        <v>500</v>
      </c>
      <c r="GZ7" s="9">
        <v>1200</v>
      </c>
      <c r="HA7" s="31">
        <v>181.6626292691405</v>
      </c>
      <c r="HB7" s="31">
        <f t="shared" si="30"/>
        <v>500</v>
      </c>
      <c r="HC7" s="31">
        <f t="shared" si="31"/>
        <v>1200</v>
      </c>
      <c r="HD7" s="31">
        <f>IF(HC7/(INDEX('Standards for Conversions'!$H$34:$H$73,MATCH(HB$3,'Standards for Conversions'!$A$34:$A$73,0)))=0,"",HC7/(INDEX('Standards for Conversions'!$H$34:$H$73,MATCH(HB$3,'Standards for Conversions'!$A$34:$A$73,0))))</f>
        <v>181.6626292691405</v>
      </c>
      <c r="HE7" s="112" t="s">
        <v>39</v>
      </c>
      <c r="HF7" s="31"/>
      <c r="HG7" s="31"/>
      <c r="HH7" s="31" t="str">
        <f>IF(HG7/(INDEX('Standards for Conversions'!$H$47:$H$73,MATCH(HF$3,'Standards for Conversions'!$A$47:$A$73,0)))=0,"",HG7/(INDEX('Standards for Conversions'!$H$47:$H$73,MATCH(HF$3,'Standards for Conversions'!$A$47:$A$73,0))))</f>
        <v/>
      </c>
      <c r="HI7" s="31"/>
      <c r="HJ7" s="31"/>
      <c r="HK7" s="31" t="str">
        <f>IF(HJ7/(INDEX('Standards for Conversions'!$H$47:$H$73,MATCH(HI$3,'Standards for Conversions'!$A$47:$A$73,0)))=0,"",HJ7/(INDEX('Standards for Conversions'!$H$47:$H$73,MATCH(HI$3,'Standards for Conversions'!$A$47:$A$73,0))))</f>
        <v/>
      </c>
      <c r="HL7" s="31"/>
      <c r="HM7" s="31"/>
      <c r="HN7" s="31" t="str">
        <f>IF(HM7/(INDEX('Standards for Conversions'!$H$47:$H$73,MATCH(HL$3,'Standards for Conversions'!$A$47:$A$73,0)))=0,"",HM7/(INDEX('Standards for Conversions'!$H$47:$H$73,MATCH(HL$3,'Standards for Conversions'!$A$47:$A$73,0))))</f>
        <v/>
      </c>
      <c r="HO7" s="31">
        <v>600</v>
      </c>
      <c r="HP7" s="31">
        <v>1500</v>
      </c>
      <c r="HQ7" s="31">
        <f>IF(HP7/(INDEX('Standards for Conversions'!$H$47:$H$73,MATCH(HO$3,'Standards for Conversions'!$A$47:$A$73,0)))=0,"",HP7/(INDEX('Standards for Conversions'!$H$47:$H$73,MATCH(HO$3,'Standards for Conversions'!$A$47:$A$73,0))))</f>
        <v>217.86811831928395</v>
      </c>
      <c r="HR7" s="31">
        <f>HF7+HI7+HL7+HO7</f>
        <v>600</v>
      </c>
      <c r="HS7" s="31">
        <f>HG7+HJ7+HM7+HP7</f>
        <v>1500</v>
      </c>
      <c r="HT7" s="31">
        <f>IF(HS7/(INDEX('Standards for Conversions'!$H$47:$H$73,MATCH(HR$3,'Standards for Conversions'!$A$47:$A$73,0)))=0,"",HS7/(INDEX('Standards for Conversions'!$H$47:$H$73,MATCH(HR$3,'Standards for Conversions'!$A$47:$A$73,0))))</f>
        <v>217.86811831928395</v>
      </c>
      <c r="HU7" s="31"/>
      <c r="HV7" s="31"/>
      <c r="HW7" s="31" t="str">
        <f>IF(HV7/(INDEX('Standards for Conversions'!$H$47:$H$73,MATCH(HU$3,'Standards for Conversions'!$A$47:$A$73,0)))=0,"",HV7/(INDEX('Standards for Conversions'!$H$47:$H$73,MATCH(HU$3,'Standards for Conversions'!$A$47:$A$73,0))))</f>
        <v/>
      </c>
      <c r="HX7" s="31"/>
      <c r="HY7" s="31"/>
      <c r="HZ7" s="31" t="str">
        <f>IF(HY7/(INDEX('Standards for Conversions'!$H$47:$H$73,MATCH(HX$3,'Standards for Conversions'!$A$47:$A$73,0)))=0,"",HY7/(INDEX('Standards for Conversions'!$H$47:$H$73,MATCH(HX$3,'Standards for Conversions'!$A$47:$A$73,0))))</f>
        <v/>
      </c>
      <c r="IA7" s="31"/>
      <c r="IB7" s="31"/>
      <c r="IC7" s="31" t="str">
        <f>IF(IB7/(INDEX('Standards for Conversions'!$H$47:$H$73,MATCH(IA$3,'Standards for Conversions'!$A$47:$A$73,0)))=0,"",IB7/(INDEX('Standards for Conversions'!$H$47:$H$73,MATCH(IA$3,'Standards for Conversions'!$A$47:$A$73,0))))</f>
        <v/>
      </c>
      <c r="ID7" s="31">
        <v>396</v>
      </c>
      <c r="IE7" s="31">
        <v>1135</v>
      </c>
      <c r="IF7" s="31">
        <f>IF(IE7/(INDEX('Standards for Conversions'!$H$47:$H$73,MATCH(ID$3,'Standards for Conversions'!$A$47:$A$73,0)))=0,"",IE7/(INDEX('Standards for Conversions'!$H$47:$H$73,MATCH(ID$3,'Standards for Conversions'!$A$47:$A$73,0))))</f>
        <v>164.13260900068073</v>
      </c>
      <c r="IG7" s="31">
        <f>HU7+HX7+IA7+ID7</f>
        <v>396</v>
      </c>
      <c r="IH7" s="31">
        <f>HV7+HY7+IB7+IE7</f>
        <v>1135</v>
      </c>
      <c r="II7" s="31">
        <f>IF(IH7/(INDEX('Standards for Conversions'!$H$47:$H$73,MATCH(IG$3,'Standards for Conversions'!$A$47:$A$73,0)))=0,"",IH7/(INDEX('Standards for Conversions'!$H$47:$H$73,MATCH(IG$3,'Standards for Conversions'!$A$47:$A$73,0))))</f>
        <v>164.13260900068073</v>
      </c>
      <c r="IJ7" s="31"/>
      <c r="IK7" s="31"/>
      <c r="IL7" s="31" t="str">
        <f>IF(IK7/(INDEX('Standards for Conversions'!$H$47:$H$73,MATCH(IJ$3,'Standards for Conversions'!$A$47:$A$73,0)))=0,"",IK7/(INDEX('Standards for Conversions'!$H$47:$H$73,MATCH(IJ$3,'Standards for Conversions'!$A$47:$A$73,0))))</f>
        <v/>
      </c>
      <c r="IM7" s="31"/>
      <c r="IN7" s="31"/>
      <c r="IO7" s="31" t="str">
        <f>IF(IN7/(INDEX('Standards for Conversions'!$H$47:$H$73,MATCH(IM$3,'Standards for Conversions'!$A$47:$A$73,0)))=0,"",IN7/(INDEX('Standards for Conversions'!$H$47:$H$73,MATCH(IM$3,'Standards for Conversions'!$A$47:$A$73,0))))</f>
        <v/>
      </c>
      <c r="IP7" s="31"/>
      <c r="IQ7" s="31"/>
      <c r="IR7" s="31" t="str">
        <f>IF(IQ7/(INDEX('Standards for Conversions'!$H$47:$H$73,MATCH(IP$3,'Standards for Conversions'!$A$47:$A$73,0)))=0,"",IQ7/(INDEX('Standards for Conversions'!$H$47:$H$73,MATCH(IP$3,'Standards for Conversions'!$A$47:$A$73,0))))</f>
        <v/>
      </c>
      <c r="IS7" s="31">
        <f>400</f>
        <v>400</v>
      </c>
      <c r="IT7" s="31">
        <f>1200</f>
        <v>1200</v>
      </c>
      <c r="IU7" s="31">
        <f>IF(IT7/(INDEX('Standards for Conversions'!$H$47:$H$73,MATCH(IS$3,'Standards for Conversions'!$A$47:$A$73,0)))=0,"",IT7/(INDEX('Standards for Conversions'!$H$47:$H$73,MATCH(IS$3,'Standards for Conversions'!$A$47:$A$73,0))))</f>
        <v>194.11223603024243</v>
      </c>
      <c r="IV7" s="31">
        <f t="shared" si="0"/>
        <v>400</v>
      </c>
      <c r="IW7" s="31">
        <f t="shared" si="0"/>
        <v>1200</v>
      </c>
      <c r="IX7" s="31">
        <f>IF(IW7/(INDEX('Standards for Conversions'!$H$47:$H$73,MATCH(IV$3,'Standards for Conversions'!$A$47:$A$73,0)))=0,"",IW7/(INDEX('Standards for Conversions'!$H$47:$H$73,MATCH(IV$3,'Standards for Conversions'!$A$47:$A$73,0))))</f>
        <v>194.11223603024243</v>
      </c>
      <c r="IY7" s="31"/>
      <c r="IZ7" s="31"/>
      <c r="JA7" s="31" t="str">
        <f>IF(IZ7/(INDEX('Standards for Conversions'!$H$47:$H$73,MATCH(IY$3,'Standards for Conversions'!$A$47:$A$73,0)))=0,"",IZ7/(INDEX('Standards for Conversions'!$H$47:$H$73,MATCH(IY$3,'Standards for Conversions'!$A$47:$A$73,0))))</f>
        <v/>
      </c>
      <c r="JB7" s="31"/>
      <c r="JC7" s="31"/>
      <c r="JD7" s="31" t="str">
        <f>IF(JC7/(INDEX('Standards for Conversions'!$H$47:$H$73,MATCH(JB$3,'Standards for Conversions'!$A$47:$A$73,0)))=0,"",JC7/(INDEX('Standards for Conversions'!$H$47:$H$73,MATCH(JB$3,'Standards for Conversions'!$A$47:$A$73,0))))</f>
        <v/>
      </c>
      <c r="JE7" s="31"/>
      <c r="JF7" s="31"/>
      <c r="JG7" s="31" t="str">
        <f>IF(JF7/(INDEX('Standards for Conversions'!$H$47:$H$73,MATCH(JE$3,'Standards for Conversions'!$A$47:$A$73,0)))=0,"",JF7/(INDEX('Standards for Conversions'!$H$47:$H$73,MATCH(JE$3,'Standards for Conversions'!$A$47:$A$73,0))))</f>
        <v/>
      </c>
      <c r="JH7" s="31">
        <f>500</f>
        <v>500</v>
      </c>
      <c r="JI7" s="31">
        <v>1400</v>
      </c>
      <c r="JJ7" s="31">
        <f>IF(JI7/(INDEX('Standards for Conversions'!$H$47:$H$73,MATCH(JH$3,'Standards for Conversions'!$A$47:$A$73,0)))=0,"",JI7/(INDEX('Standards for Conversions'!$H$47:$H$73,MATCH(JH$3,'Standards for Conversions'!$A$47:$A$73,0))))</f>
        <v>213.71824939891658</v>
      </c>
      <c r="JK7" s="31">
        <f t="shared" si="1"/>
        <v>500</v>
      </c>
      <c r="JL7" s="31">
        <f t="shared" si="1"/>
        <v>1400</v>
      </c>
      <c r="JM7" s="31">
        <f>IF(JL7/(INDEX('Standards for Conversions'!$H$47:$H$73,MATCH(JK$3,'Standards for Conversions'!$A$47:$A$73,0)))=0,"",JL7/(INDEX('Standards for Conversions'!$H$47:$H$73,MATCH(JK$3,'Standards for Conversions'!$A$47:$A$73,0))))</f>
        <v>213.71824939891658</v>
      </c>
      <c r="JN7" s="31"/>
      <c r="JO7" s="31"/>
      <c r="JP7" s="31" t="str">
        <f>IF(JO7/(INDEX('Standards for Conversions'!$H$47:$H$73,MATCH(JN$3,'Standards for Conversions'!$A$47:$A$73,0)))=0,"",JO7/(INDEX('Standards for Conversions'!$H$47:$H$73,MATCH(JN$3,'Standards for Conversions'!$A$47:$A$73,0))))</f>
        <v/>
      </c>
      <c r="JQ7" s="31"/>
      <c r="JR7" s="31"/>
      <c r="JS7" s="31" t="str">
        <f>IF(JR7/(INDEX('Standards for Conversions'!$H$47:$H$73,MATCH(JQ$3,'Standards for Conversions'!$A$47:$A$73,0)))=0,"",JR7/(INDEX('Standards for Conversions'!$H$47:$H$73,MATCH(JQ$3,'Standards for Conversions'!$A$47:$A$73,0))))</f>
        <v/>
      </c>
      <c r="JT7" s="31"/>
      <c r="JU7" s="31"/>
      <c r="JV7" s="31" t="str">
        <f>IF(JU7/(INDEX('Standards for Conversions'!$H$47:$H$73,MATCH(JT$3,'Standards for Conversions'!$A$47:$A$73,0)))=0,"",JU7/(INDEX('Standards for Conversions'!$H$47:$H$73,MATCH(JT$3,'Standards for Conversions'!$A$47:$A$73,0))))</f>
        <v/>
      </c>
      <c r="JW7" s="31">
        <v>300</v>
      </c>
      <c r="JX7" s="31">
        <v>900</v>
      </c>
      <c r="JY7" s="31">
        <f>IF(JX7/(INDEX('Standards for Conversions'!$H$47:$H$73,MATCH(JW$3,'Standards for Conversions'!$A$47:$A$73,0)))=0,"",JX7/(INDEX('Standards for Conversions'!$H$47:$H$73,MATCH(JW$3,'Standards for Conversions'!$A$47:$A$73,0))))</f>
        <v>121.19311071521682</v>
      </c>
      <c r="JZ7" s="31">
        <f t="shared" si="2"/>
        <v>300</v>
      </c>
      <c r="KA7" s="31">
        <f t="shared" si="2"/>
        <v>900</v>
      </c>
      <c r="KB7" s="31">
        <f>IF(KA7/(INDEX('Standards for Conversions'!$H$47:$H$73,MATCH(JZ$3,'Standards for Conversions'!$A$47:$A$73,0)))=0,"",KA7/(INDEX('Standards for Conversions'!$H$47:$H$73,MATCH(JZ$3,'Standards for Conversions'!$A$47:$A$73,0))))</f>
        <v>121.19311071521682</v>
      </c>
      <c r="KC7" s="31"/>
      <c r="KD7" s="31"/>
      <c r="KE7" s="31" t="str">
        <f>IF(KD7/(INDEX('Standards for Conversions'!$H$47:$H$73,MATCH(KC$3,'Standards for Conversions'!$A$47:$A$73,0)))=0,"",KD7/(INDEX('Standards for Conversions'!$H$47:$H$73,MATCH(KC$3,'Standards for Conversions'!$A$47:$A$73,0))))</f>
        <v/>
      </c>
      <c r="KF7" s="31"/>
      <c r="KG7" s="31"/>
      <c r="KH7" s="31" t="str">
        <f>IF(KG7/(INDEX('Standards for Conversions'!$H$47:$H$73,MATCH(KF$3,'Standards for Conversions'!$A$47:$A$73,0)))=0,"",KG7/(INDEX('Standards for Conversions'!$H$47:$H$73,MATCH(KF$3,'Standards for Conversions'!$A$47:$A$73,0))))</f>
        <v/>
      </c>
      <c r="KI7" s="31"/>
      <c r="KJ7" s="31"/>
      <c r="KK7" s="31" t="str">
        <f>IF(KJ7/(INDEX('Standards for Conversions'!$H$47:$H$73,MATCH(KI$3,'Standards for Conversions'!$A$47:$A$73,0)))=0,"",KJ7/(INDEX('Standards for Conversions'!$H$47:$H$73,MATCH(KI$3,'Standards for Conversions'!$A$47:$A$73,0))))</f>
        <v/>
      </c>
      <c r="KL7" s="31">
        <f>150</f>
        <v>150</v>
      </c>
      <c r="KM7" s="31">
        <v>450</v>
      </c>
      <c r="KN7" s="31">
        <f>IF(KM7/(INDEX('Standards for Conversions'!$H$47:$H$73,MATCH(KL$3,'Standards for Conversions'!$A$47:$A$73,0)))=0,"",KM7/(INDEX('Standards for Conversions'!$H$47:$H$73,MATCH(KL$3,'Standards for Conversions'!$A$47:$A$73,0))))</f>
        <v>54.727455027374631</v>
      </c>
      <c r="KO7" s="31">
        <f t="shared" si="3"/>
        <v>150</v>
      </c>
      <c r="KP7" s="31">
        <f t="shared" si="3"/>
        <v>450</v>
      </c>
      <c r="KQ7" s="31">
        <f>IF(KP7/(INDEX('Standards for Conversions'!$H$47:$H$73,MATCH(KO$3,'Standards for Conversions'!$A$47:$A$73,0)))=0,"",KP7/(INDEX('Standards for Conversions'!$H$47:$H$73,MATCH(KO$3,'Standards for Conversions'!$A$47:$A$73,0))))</f>
        <v>54.727455027374631</v>
      </c>
      <c r="KR7" s="31"/>
      <c r="KS7" s="31"/>
      <c r="KT7" s="31" t="str">
        <f>IF(KS7/(INDEX('Standards for Conversions'!$H$47:$H$73,MATCH(KR$3,'Standards for Conversions'!$A$47:$A$73,0)))=0,"",KS7/(INDEX('Standards for Conversions'!$H$47:$H$73,MATCH(KR$3,'Standards for Conversions'!$A$47:$A$73,0))))</f>
        <v/>
      </c>
      <c r="KU7" s="31"/>
      <c r="KV7" s="31"/>
      <c r="KW7" s="31" t="str">
        <f>IF(KV7/(INDEX('Standards for Conversions'!$H$47:$H$73,MATCH(KU$3,'Standards for Conversions'!$A$47:$A$73,0)))=0,"",KV7/(INDEX('Standards for Conversions'!$H$47:$H$73,MATCH(KU$3,'Standards for Conversions'!$A$47:$A$73,0))))</f>
        <v/>
      </c>
      <c r="KX7" s="31"/>
      <c r="KY7" s="31"/>
      <c r="KZ7" s="31" t="str">
        <f>IF(KY7/(INDEX('Standards for Conversions'!$H$47:$H$73,MATCH(KX$3,'Standards for Conversions'!$A$47:$A$73,0)))=0,"",KY7/(INDEX('Standards for Conversions'!$H$47:$H$73,MATCH(KX$3,'Standards for Conversions'!$A$47:$A$73,0))))</f>
        <v/>
      </c>
      <c r="LA7" s="31"/>
      <c r="LB7" s="31"/>
      <c r="LC7" s="31" t="str">
        <f>IF(LB7/(INDEX('Standards for Conversions'!$H$47:$H$73,MATCH(LA$3,'Standards for Conversions'!$A$47:$A$73,0)))=0,"",LB7/(INDEX('Standards for Conversions'!$H$47:$H$73,MATCH(LA$3,'Standards for Conversions'!$A$47:$A$73,0))))</f>
        <v/>
      </c>
      <c r="LD7" s="31"/>
      <c r="LE7" s="31"/>
      <c r="LF7" s="31" t="str">
        <f>IF(LE7/(INDEX('Standards for Conversions'!$H$47:$H$73,MATCH(LD$3,'Standards for Conversions'!$A$47:$A$73,0)))=0,"",LE7/(INDEX('Standards for Conversions'!$H$47:$H$73,MATCH(LD$3,'Standards for Conversions'!$A$47:$A$73,0))))</f>
        <v/>
      </c>
      <c r="LG7" s="31"/>
      <c r="LH7" s="31"/>
      <c r="LI7" s="31" t="str">
        <f>IF(LH7/(INDEX('Standards for Conversions'!$H$47:$H$73,MATCH(LG$3,'Standards for Conversions'!$A$47:$A$73,0)))=0,"",LH7/(INDEX('Standards for Conversions'!$H$47:$H$73,MATCH(LG$3,'Standards for Conversions'!$A$47:$A$73,0))))</f>
        <v/>
      </c>
      <c r="LJ7" s="31"/>
      <c r="LK7" s="31"/>
      <c r="LL7" s="31" t="str">
        <f>IF(LK7/(INDEX('Standards for Conversions'!$H$47:$H$73,MATCH(LJ$3,'Standards for Conversions'!$A$47:$A$73,0)))=0,"",LK7/(INDEX('Standards for Conversions'!$H$47:$H$73,MATCH(LJ$3,'Standards for Conversions'!$A$47:$A$73,0))))</f>
        <v/>
      </c>
      <c r="LM7" s="31"/>
      <c r="LN7" s="31"/>
      <c r="LO7" s="31" t="str">
        <f>IF(LN7/(INDEX('Standards for Conversions'!$H$47:$H$73,MATCH(LM$3,'Standards for Conversions'!$A$47:$A$73,0)))=0,"",LN7/(INDEX('Standards for Conversions'!$H$47:$H$73,MATCH(LM$3,'Standards for Conversions'!$A$47:$A$73,0))))</f>
        <v/>
      </c>
      <c r="LP7" s="31"/>
      <c r="LQ7" s="31"/>
      <c r="LR7" s="31" t="str">
        <f>IF(LQ7/(INDEX('Standards for Conversions'!$H$47:$H$73,MATCH(LP$3,'Standards for Conversions'!$A$47:$A$73,0)))=0,"",LQ7/(INDEX('Standards for Conversions'!$H$47:$H$73,MATCH(LP$3,'Standards for Conversions'!$A$47:$A$73,0))))</f>
        <v/>
      </c>
      <c r="LS7" s="31"/>
      <c r="LT7" s="31"/>
      <c r="LU7" s="31" t="str">
        <f>IF(LT7/(INDEX('Standards for Conversions'!$H$47:$H$73,MATCH(LS$3,'Standards for Conversions'!$A$47:$A$73,0)))=0,"",LT7/(INDEX('Standards for Conversions'!$H$47:$H$73,MATCH(LS$3,'Standards for Conversions'!$A$47:$A$73,0))))</f>
        <v/>
      </c>
      <c r="LV7" s="31"/>
      <c r="LW7" s="31"/>
      <c r="LX7" s="31" t="str">
        <f>IF(LW7/(INDEX('Standards for Conversions'!$H$47:$H$73,MATCH(LV$3,'Standards for Conversions'!$A$47:$A$73,0)))=0,"",LW7/(INDEX('Standards for Conversions'!$H$47:$H$73,MATCH(LV$3,'Standards for Conversions'!$A$47:$A$73,0))))</f>
        <v/>
      </c>
      <c r="LY7" s="31"/>
      <c r="LZ7" s="31"/>
      <c r="MA7" s="31"/>
      <c r="MB7" s="31"/>
      <c r="MC7" s="31"/>
      <c r="MD7" s="31"/>
      <c r="ME7" s="31"/>
      <c r="MF7" s="31"/>
      <c r="MG7" s="31"/>
      <c r="MH7" s="31"/>
      <c r="MI7" s="31"/>
      <c r="MJ7" s="31"/>
      <c r="MK7" s="31"/>
      <c r="ML7" s="31"/>
      <c r="MM7" s="31"/>
      <c r="MN7" s="31"/>
    </row>
    <row r="8" spans="1:352" s="33" customFormat="1" ht="14.4" customHeight="1" x14ac:dyDescent="0.3">
      <c r="A8" s="102" t="s">
        <v>155</v>
      </c>
      <c r="B8" s="10" t="s">
        <v>38</v>
      </c>
      <c r="C8" s="7"/>
      <c r="D8" s="7"/>
      <c r="E8" s="31" t="s">
        <v>128</v>
      </c>
      <c r="F8" s="7"/>
      <c r="G8" s="7"/>
      <c r="H8" s="31" t="s">
        <v>128</v>
      </c>
      <c r="I8" s="9"/>
      <c r="J8" s="9"/>
      <c r="K8" s="31" t="s">
        <v>128</v>
      </c>
      <c r="L8" s="7"/>
      <c r="M8" s="7"/>
      <c r="N8" s="31" t="s">
        <v>128</v>
      </c>
      <c r="O8" s="31">
        <f t="shared" si="4"/>
        <v>0</v>
      </c>
      <c r="P8" s="31">
        <f t="shared" si="5"/>
        <v>0</v>
      </c>
      <c r="Q8" s="31" t="str">
        <f>IF(P8/(INDEX('Standards for Conversions'!$H$34:$H$73,MATCH(O$3,'Standards for Conversions'!$A$34:$A$73,0)))=0,"",P8/(INDEX('Standards for Conversions'!$H$34:$H$73,MATCH(O$3,'Standards for Conversions'!$A$34:$A$73,0))))</f>
        <v/>
      </c>
      <c r="R8" s="7"/>
      <c r="S8" s="7"/>
      <c r="T8" s="31" t="s">
        <v>128</v>
      </c>
      <c r="U8" s="7"/>
      <c r="V8" s="7"/>
      <c r="W8" s="31" t="s">
        <v>128</v>
      </c>
      <c r="X8" s="9"/>
      <c r="Y8" s="9"/>
      <c r="Z8" s="31" t="s">
        <v>128</v>
      </c>
      <c r="AA8" s="7"/>
      <c r="AB8" s="7"/>
      <c r="AC8" s="31" t="s">
        <v>128</v>
      </c>
      <c r="AD8" s="31">
        <f t="shared" si="6"/>
        <v>0</v>
      </c>
      <c r="AE8" s="31">
        <f t="shared" si="7"/>
        <v>0</v>
      </c>
      <c r="AF8" s="31" t="str">
        <f>IF(AE8/(INDEX('Standards for Conversions'!$H$34:$H$73,MATCH(AD$3,'Standards for Conversions'!$A$34:$A$73,0)))=0,"",AE8/(INDEX('Standards for Conversions'!$H$34:$H$73,MATCH(AD$3,'Standards for Conversions'!$A$34:$A$73,0))))</f>
        <v/>
      </c>
      <c r="AG8" s="7"/>
      <c r="AH8" s="7"/>
      <c r="AI8" s="31" t="s">
        <v>128</v>
      </c>
      <c r="AJ8" s="7"/>
      <c r="AK8" s="7"/>
      <c r="AL8" s="31" t="s">
        <v>128</v>
      </c>
      <c r="AM8" s="9"/>
      <c r="AN8" s="9"/>
      <c r="AO8" s="31" t="s">
        <v>128</v>
      </c>
      <c r="AP8" s="7"/>
      <c r="AQ8" s="7"/>
      <c r="AR8" s="31" t="s">
        <v>128</v>
      </c>
      <c r="AS8" s="31">
        <f t="shared" si="8"/>
        <v>0</v>
      </c>
      <c r="AT8" s="31">
        <f t="shared" si="9"/>
        <v>0</v>
      </c>
      <c r="AU8" s="31" t="str">
        <f>IF(AT8/(INDEX('Standards for Conversions'!$H$34:$H$73,MATCH(AS$3,'Standards for Conversions'!$A$34:$A$73,0)))=0,"",AT8/(INDEX('Standards for Conversions'!$H$34:$H$73,MATCH(AS$3,'Standards for Conversions'!$A$34:$A$73,0))))</f>
        <v/>
      </c>
      <c r="AV8" s="7"/>
      <c r="AW8" s="7"/>
      <c r="AX8" s="31" t="s">
        <v>128</v>
      </c>
      <c r="AY8" s="7"/>
      <c r="AZ8" s="7"/>
      <c r="BA8" s="31" t="s">
        <v>128</v>
      </c>
      <c r="BB8" s="9"/>
      <c r="BC8" s="9"/>
      <c r="BD8" s="31" t="s">
        <v>128</v>
      </c>
      <c r="BE8" s="7"/>
      <c r="BF8" s="7"/>
      <c r="BG8" s="31" t="s">
        <v>128</v>
      </c>
      <c r="BH8" s="31">
        <f t="shared" si="10"/>
        <v>0</v>
      </c>
      <c r="BI8" s="31">
        <f t="shared" si="11"/>
        <v>0</v>
      </c>
      <c r="BJ8" s="31" t="str">
        <f>IF(BI8/(INDEX('Standards for Conversions'!$H$34:$H$73,MATCH(BH$3,'Standards for Conversions'!$A$34:$A$73,0)))=0,"",BI8/(INDEX('Standards for Conversions'!$H$34:$H$73,MATCH(BH$3,'Standards for Conversions'!$A$34:$A$73,0))))</f>
        <v/>
      </c>
      <c r="BK8" s="7"/>
      <c r="BL8" s="7"/>
      <c r="BM8" s="31" t="s">
        <v>128</v>
      </c>
      <c r="BN8" s="7"/>
      <c r="BO8" s="7"/>
      <c r="BP8" s="31" t="s">
        <v>128</v>
      </c>
      <c r="BQ8" s="9"/>
      <c r="BR8" s="9"/>
      <c r="BS8" s="31" t="s">
        <v>128</v>
      </c>
      <c r="BT8" s="7"/>
      <c r="BU8" s="7"/>
      <c r="BV8" s="31" t="s">
        <v>128</v>
      </c>
      <c r="BW8" s="31">
        <f t="shared" si="12"/>
        <v>0</v>
      </c>
      <c r="BX8" s="31">
        <f t="shared" si="13"/>
        <v>0</v>
      </c>
      <c r="BY8" s="31" t="str">
        <f>IF(BX8/(INDEX('Standards for Conversions'!$H$34:$H$73,MATCH(BW$3,'Standards for Conversions'!$A$34:$A$73,0)))=0,"",BX8/(INDEX('Standards for Conversions'!$H$34:$H$73,MATCH(BW$3,'Standards for Conversions'!$A$34:$A$73,0))))</f>
        <v/>
      </c>
      <c r="BZ8" s="7"/>
      <c r="CA8" s="7"/>
      <c r="CB8" s="31" t="s">
        <v>128</v>
      </c>
      <c r="CC8" s="7"/>
      <c r="CD8" s="7"/>
      <c r="CE8" s="31" t="s">
        <v>128</v>
      </c>
      <c r="CF8" s="9"/>
      <c r="CG8" s="9"/>
      <c r="CH8" s="31" t="s">
        <v>128</v>
      </c>
      <c r="CI8" s="7"/>
      <c r="CJ8" s="7"/>
      <c r="CK8" s="31" t="s">
        <v>128</v>
      </c>
      <c r="CL8" s="31">
        <f t="shared" si="14"/>
        <v>0</v>
      </c>
      <c r="CM8" s="31">
        <f t="shared" si="15"/>
        <v>0</v>
      </c>
      <c r="CN8" s="31" t="str">
        <f>IF(CM8/(INDEX('Standards for Conversions'!$H$34:$H$73,MATCH(CL$3,'Standards for Conversions'!$A$34:$A$73,0)))=0,"",CM8/(INDEX('Standards for Conversions'!$H$34:$H$73,MATCH(CL$3,'Standards for Conversions'!$A$34:$A$73,0))))</f>
        <v/>
      </c>
      <c r="CO8" s="7"/>
      <c r="CP8" s="7"/>
      <c r="CQ8" s="31" t="s">
        <v>128</v>
      </c>
      <c r="CR8" s="7"/>
      <c r="CS8" s="7"/>
      <c r="CT8" s="31" t="s">
        <v>128</v>
      </c>
      <c r="CU8" s="9"/>
      <c r="CV8" s="9"/>
      <c r="CW8" s="31" t="s">
        <v>128</v>
      </c>
      <c r="CX8" s="7"/>
      <c r="CY8" s="7"/>
      <c r="CZ8" s="31" t="s">
        <v>128</v>
      </c>
      <c r="DA8" s="31">
        <f t="shared" si="16"/>
        <v>0</v>
      </c>
      <c r="DB8" s="31">
        <f t="shared" si="17"/>
        <v>0</v>
      </c>
      <c r="DC8" s="31" t="str">
        <f>IF(DB8/(INDEX('Standards for Conversions'!$H$34:$H$73,MATCH(DA$3,'Standards for Conversions'!$A$34:$A$73,0)))=0,"",DB8/(INDEX('Standards for Conversions'!$H$34:$H$73,MATCH(DA$3,'Standards for Conversions'!$A$34:$A$73,0))))</f>
        <v/>
      </c>
      <c r="DD8" s="7"/>
      <c r="DE8" s="7"/>
      <c r="DF8" s="31" t="s">
        <v>128</v>
      </c>
      <c r="DG8" s="7"/>
      <c r="DH8" s="7"/>
      <c r="DI8" s="31" t="s">
        <v>128</v>
      </c>
      <c r="DJ8" s="9"/>
      <c r="DK8" s="9"/>
      <c r="DL8" s="31" t="s">
        <v>128</v>
      </c>
      <c r="DM8" s="7"/>
      <c r="DN8" s="7"/>
      <c r="DO8" s="31" t="s">
        <v>128</v>
      </c>
      <c r="DP8" s="31">
        <f t="shared" si="18"/>
        <v>0</v>
      </c>
      <c r="DQ8" s="31">
        <f t="shared" si="19"/>
        <v>0</v>
      </c>
      <c r="DR8" s="31" t="str">
        <f>IF(DQ8/(INDEX('Standards for Conversions'!$H$34:$H$73,MATCH(DP$3,'Standards for Conversions'!$A$34:$A$73,0)))=0,"",DQ8/(INDEX('Standards for Conversions'!$H$34:$H$73,MATCH(DP$3,'Standards for Conversions'!$A$34:$A$73,0))))</f>
        <v/>
      </c>
      <c r="DS8" s="7"/>
      <c r="DT8" s="7"/>
      <c r="DU8" s="31" t="s">
        <v>128</v>
      </c>
      <c r="DV8" s="7"/>
      <c r="DW8" s="7"/>
      <c r="DX8" s="31" t="s">
        <v>128</v>
      </c>
      <c r="DY8" s="9"/>
      <c r="DZ8" s="9"/>
      <c r="EA8" s="31" t="s">
        <v>128</v>
      </c>
      <c r="EB8" s="7"/>
      <c r="EC8" s="7"/>
      <c r="ED8" s="31" t="s">
        <v>128</v>
      </c>
      <c r="EE8" s="31">
        <f t="shared" si="20"/>
        <v>0</v>
      </c>
      <c r="EF8" s="31">
        <f t="shared" si="21"/>
        <v>0</v>
      </c>
      <c r="EG8" s="31" t="str">
        <f>IF(EF8/(INDEX('Standards for Conversions'!$H$34:$H$73,MATCH(EE$3,'Standards for Conversions'!$A$34:$A$73,0)))=0,"",EF8/(INDEX('Standards for Conversions'!$H$34:$H$73,MATCH(EE$3,'Standards for Conversions'!$A$34:$A$73,0))))</f>
        <v/>
      </c>
      <c r="EH8" s="7"/>
      <c r="EI8" s="7"/>
      <c r="EJ8" s="31" t="s">
        <v>128</v>
      </c>
      <c r="EK8" s="7"/>
      <c r="EL8" s="7"/>
      <c r="EM8" s="31" t="s">
        <v>128</v>
      </c>
      <c r="EN8" s="9"/>
      <c r="EO8" s="9"/>
      <c r="EP8" s="31" t="s">
        <v>128</v>
      </c>
      <c r="EQ8" s="7"/>
      <c r="ER8" s="7"/>
      <c r="ES8" s="31" t="s">
        <v>128</v>
      </c>
      <c r="ET8" s="31">
        <f t="shared" si="22"/>
        <v>0</v>
      </c>
      <c r="EU8" s="31">
        <f t="shared" si="23"/>
        <v>0</v>
      </c>
      <c r="EV8" s="31" t="str">
        <f>IF(EU8/(INDEX('Standards for Conversions'!$H$34:$H$73,MATCH(ET$3,'Standards for Conversions'!$A$34:$A$73,0)))=0,"",EU8/(INDEX('Standards for Conversions'!$H$34:$H$73,MATCH(ET$3,'Standards for Conversions'!$A$34:$A$73,0))))</f>
        <v/>
      </c>
      <c r="EW8" s="7"/>
      <c r="EX8" s="7"/>
      <c r="EY8" s="31" t="s">
        <v>128</v>
      </c>
      <c r="EZ8" s="7"/>
      <c r="FA8" s="7"/>
      <c r="FB8" s="31" t="s">
        <v>128</v>
      </c>
      <c r="FC8" s="9"/>
      <c r="FD8" s="9"/>
      <c r="FE8" s="31" t="s">
        <v>128</v>
      </c>
      <c r="FF8" s="7"/>
      <c r="FG8" s="7"/>
      <c r="FH8" s="31" t="s">
        <v>128</v>
      </c>
      <c r="FI8" s="31">
        <f t="shared" si="24"/>
        <v>0</v>
      </c>
      <c r="FJ8" s="31">
        <f t="shared" si="25"/>
        <v>0</v>
      </c>
      <c r="FK8" s="31" t="str">
        <f>IF(FJ8/(INDEX('Standards for Conversions'!$H$34:$H$73,MATCH(FI$3,'Standards for Conversions'!$A$34:$A$73,0)))=0,"",FJ8/(INDEX('Standards for Conversions'!$H$34:$H$73,MATCH(FI$3,'Standards for Conversions'!$A$34:$A$73,0))))</f>
        <v/>
      </c>
      <c r="FL8" s="7"/>
      <c r="FM8" s="7"/>
      <c r="FN8" s="31" t="s">
        <v>128</v>
      </c>
      <c r="FO8" s="7"/>
      <c r="FP8" s="7"/>
      <c r="FQ8" s="31" t="s">
        <v>128</v>
      </c>
      <c r="FR8" s="9"/>
      <c r="FS8" s="9"/>
      <c r="FT8" s="31" t="s">
        <v>128</v>
      </c>
      <c r="FU8" s="7"/>
      <c r="FV8" s="7"/>
      <c r="FW8" s="31" t="s">
        <v>128</v>
      </c>
      <c r="FX8" s="31">
        <f t="shared" si="26"/>
        <v>0</v>
      </c>
      <c r="FY8" s="31">
        <f t="shared" si="27"/>
        <v>0</v>
      </c>
      <c r="FZ8" s="31" t="str">
        <f>IF(FY8/(INDEX('Standards for Conversions'!$H$34:$H$73,MATCH(FX$3,'Standards for Conversions'!$A$34:$A$73,0)))=0,"",FY8/(INDEX('Standards for Conversions'!$H$34:$H$73,MATCH(FX$3,'Standards for Conversions'!$A$34:$A$73,0))))</f>
        <v/>
      </c>
      <c r="GA8" s="7"/>
      <c r="GB8" s="7"/>
      <c r="GC8" s="31" t="s">
        <v>128</v>
      </c>
      <c r="GD8" s="7"/>
      <c r="GE8" s="7"/>
      <c r="GF8" s="31" t="s">
        <v>128</v>
      </c>
      <c r="GG8" s="9"/>
      <c r="GH8" s="9"/>
      <c r="GI8" s="31" t="s">
        <v>128</v>
      </c>
      <c r="GJ8" s="7"/>
      <c r="GK8" s="7"/>
      <c r="GL8" s="31" t="s">
        <v>128</v>
      </c>
      <c r="GM8" s="31">
        <f t="shared" si="28"/>
        <v>0</v>
      </c>
      <c r="GN8" s="31">
        <f t="shared" si="29"/>
        <v>0</v>
      </c>
      <c r="GO8" s="31" t="str">
        <f>IF(GN8/(INDEX('Standards for Conversions'!$H$34:$H$73,MATCH(GM$3,'Standards for Conversions'!$A$34:$A$73,0)))=0,"",GN8/(INDEX('Standards for Conversions'!$H$34:$H$73,MATCH(GM$3,'Standards for Conversions'!$A$34:$A$73,0))))</f>
        <v/>
      </c>
      <c r="GP8" s="7"/>
      <c r="GQ8" s="7"/>
      <c r="GR8" s="31" t="s">
        <v>128</v>
      </c>
      <c r="GS8" s="7"/>
      <c r="GT8" s="7"/>
      <c r="GU8" s="31" t="s">
        <v>128</v>
      </c>
      <c r="GV8" s="9"/>
      <c r="GW8" s="9"/>
      <c r="GX8" s="31" t="s">
        <v>128</v>
      </c>
      <c r="GY8" s="7"/>
      <c r="GZ8" s="7"/>
      <c r="HA8" s="31" t="s">
        <v>128</v>
      </c>
      <c r="HB8" s="31">
        <f t="shared" si="30"/>
        <v>0</v>
      </c>
      <c r="HC8" s="31">
        <f t="shared" si="31"/>
        <v>0</v>
      </c>
      <c r="HD8" s="31" t="str">
        <f>IF(HC8/(INDEX('Standards for Conversions'!$H$34:$H$73,MATCH(HB$3,'Standards for Conversions'!$A$34:$A$73,0)))=0,"",HC8/(INDEX('Standards for Conversions'!$H$34:$H$73,MATCH(HB$3,'Standards for Conversions'!$A$34:$A$73,0))))</f>
        <v/>
      </c>
      <c r="HE8" s="112" t="s">
        <v>98</v>
      </c>
      <c r="HF8" s="31"/>
      <c r="HG8" s="31"/>
      <c r="HH8" s="31" t="str">
        <f>IF(HG8/(INDEX('Standards for Conversions'!$H$47:$H$73,MATCH(HF$3,'Standards for Conversions'!$A$47:$A$73,0)))=0,"",HG8/(INDEX('Standards for Conversions'!$H$47:$H$73,MATCH(HF$3,'Standards for Conversions'!$A$47:$A$73,0))))</f>
        <v/>
      </c>
      <c r="HI8" s="31"/>
      <c r="HJ8" s="31"/>
      <c r="HK8" s="31" t="str">
        <f>IF(HJ8/(INDEX('Standards for Conversions'!$H$47:$H$73,MATCH(HI$3,'Standards for Conversions'!$A$47:$A$73,0)))=0,"",HJ8/(INDEX('Standards for Conversions'!$H$47:$H$73,MATCH(HI$3,'Standards for Conversions'!$A$47:$A$73,0))))</f>
        <v/>
      </c>
      <c r="HL8" s="31"/>
      <c r="HM8" s="31"/>
      <c r="HN8" s="31" t="str">
        <f>IF(HM8/(INDEX('Standards for Conversions'!$H$47:$H$73,MATCH(HL$3,'Standards for Conversions'!$A$47:$A$73,0)))=0,"",HM8/(INDEX('Standards for Conversions'!$H$47:$H$73,MATCH(HL$3,'Standards for Conversions'!$A$47:$A$73,0))))</f>
        <v/>
      </c>
      <c r="HO8" s="31"/>
      <c r="HP8" s="31"/>
      <c r="HQ8" s="31" t="str">
        <f>IF(HP8/(INDEX('Standards for Conversions'!$H$47:$H$73,MATCH(HO$3,'Standards for Conversions'!$A$47:$A$73,0)))=0,"",HP8/(INDEX('Standards for Conversions'!$H$47:$H$73,MATCH(HO$3,'Standards for Conversions'!$A$47:$A$73,0))))</f>
        <v/>
      </c>
      <c r="HR8" s="31"/>
      <c r="HS8" s="31"/>
      <c r="HT8" s="31" t="str">
        <f>IF(HS8/(INDEX('Standards for Conversions'!$H$47:$H$73,MATCH(HR$3,'Standards for Conversions'!$A$47:$A$73,0)))=0,"",HS8/(INDEX('Standards for Conversions'!$H$47:$H$73,MATCH(HR$3,'Standards for Conversions'!$A$47:$A$73,0))))</f>
        <v/>
      </c>
      <c r="HU8" s="31"/>
      <c r="HV8" s="31"/>
      <c r="HW8" s="31" t="str">
        <f>IF(HV8/(INDEX('Standards for Conversions'!$H$47:$H$73,MATCH(HU$3,'Standards for Conversions'!$A$47:$A$73,0)))=0,"",HV8/(INDEX('Standards for Conversions'!$H$47:$H$73,MATCH(HU$3,'Standards for Conversions'!$A$47:$A$73,0))))</f>
        <v/>
      </c>
      <c r="HX8" s="31"/>
      <c r="HY8" s="31"/>
      <c r="HZ8" s="31" t="str">
        <f>IF(HY8/(INDEX('Standards for Conversions'!$H$47:$H$73,MATCH(HX$3,'Standards for Conversions'!$A$47:$A$73,0)))=0,"",HY8/(INDEX('Standards for Conversions'!$H$47:$H$73,MATCH(HX$3,'Standards for Conversions'!$A$47:$A$73,0))))</f>
        <v/>
      </c>
      <c r="IA8" s="31"/>
      <c r="IB8" s="31"/>
      <c r="IC8" s="31" t="str">
        <f>IF(IB8/(INDEX('Standards for Conversions'!$H$47:$H$73,MATCH(IA$3,'Standards for Conversions'!$A$47:$A$73,0)))=0,"",IB8/(INDEX('Standards for Conversions'!$H$47:$H$73,MATCH(IA$3,'Standards for Conversions'!$A$47:$A$73,0))))</f>
        <v/>
      </c>
      <c r="ID8" s="31"/>
      <c r="IE8" s="31"/>
      <c r="IF8" s="31" t="str">
        <f>IF(IE8/(INDEX('Standards for Conversions'!$H$47:$H$73,MATCH(ID$3,'Standards for Conversions'!$A$47:$A$73,0)))=0,"",IE8/(INDEX('Standards for Conversions'!$H$47:$H$73,MATCH(ID$3,'Standards for Conversions'!$A$47:$A$73,0))))</f>
        <v/>
      </c>
      <c r="IG8" s="31"/>
      <c r="IH8" s="31"/>
      <c r="II8" s="31" t="str">
        <f>IF(IH8/(INDEX('Standards for Conversions'!$H$47:$H$73,MATCH(IG$3,'Standards for Conversions'!$A$47:$A$73,0)))=0,"",IH8/(INDEX('Standards for Conversions'!$H$47:$H$73,MATCH(IG$3,'Standards for Conversions'!$A$47:$A$73,0))))</f>
        <v/>
      </c>
      <c r="IJ8" s="31"/>
      <c r="IK8" s="31"/>
      <c r="IL8" s="31" t="str">
        <f>IF(IK8/(INDEX('Standards for Conversions'!$H$47:$H$73,MATCH(IJ$3,'Standards for Conversions'!$A$47:$A$73,0)))=0,"",IK8/(INDEX('Standards for Conversions'!$H$47:$H$73,MATCH(IJ$3,'Standards for Conversions'!$A$47:$A$73,0))))</f>
        <v/>
      </c>
      <c r="IM8" s="31"/>
      <c r="IN8" s="31"/>
      <c r="IO8" s="31" t="str">
        <f>IF(IN8/(INDEX('Standards for Conversions'!$H$47:$H$73,MATCH(IM$3,'Standards for Conversions'!$A$47:$A$73,0)))=0,"",IN8/(INDEX('Standards for Conversions'!$H$47:$H$73,MATCH(IM$3,'Standards for Conversions'!$A$47:$A$73,0))))</f>
        <v/>
      </c>
      <c r="IP8" s="31"/>
      <c r="IQ8" s="31"/>
      <c r="IR8" s="31" t="str">
        <f>IF(IQ8/(INDEX('Standards for Conversions'!$H$47:$H$73,MATCH(IP$3,'Standards for Conversions'!$A$47:$A$73,0)))=0,"",IQ8/(INDEX('Standards for Conversions'!$H$47:$H$73,MATCH(IP$3,'Standards for Conversions'!$A$47:$A$73,0))))</f>
        <v/>
      </c>
      <c r="IS8" s="31"/>
      <c r="IT8" s="31"/>
      <c r="IU8" s="31" t="str">
        <f>IF(IT8/(INDEX('Standards for Conversions'!$H$47:$H$73,MATCH(IS$3,'Standards for Conversions'!$A$47:$A$73,0)))=0,"",IT8/(INDEX('Standards for Conversions'!$H$47:$H$73,MATCH(IS$3,'Standards for Conversions'!$A$47:$A$73,0))))</f>
        <v/>
      </c>
      <c r="IV8" s="31"/>
      <c r="IW8" s="31"/>
      <c r="IX8" s="31" t="str">
        <f>IF(IW8/(INDEX('Standards for Conversions'!$H$47:$H$73,MATCH(IV$3,'Standards for Conversions'!$A$47:$A$73,0)))=0,"",IW8/(INDEX('Standards for Conversions'!$H$47:$H$73,MATCH(IV$3,'Standards for Conversions'!$A$47:$A$73,0))))</f>
        <v/>
      </c>
      <c r="IY8" s="31"/>
      <c r="IZ8" s="31"/>
      <c r="JA8" s="31" t="str">
        <f>IF(IZ8/(INDEX('Standards for Conversions'!$H$47:$H$73,MATCH(IY$3,'Standards for Conversions'!$A$47:$A$73,0)))=0,"",IZ8/(INDEX('Standards for Conversions'!$H$47:$H$73,MATCH(IY$3,'Standards for Conversions'!$A$47:$A$73,0))))</f>
        <v/>
      </c>
      <c r="JB8" s="31"/>
      <c r="JC8" s="31"/>
      <c r="JD8" s="31" t="str">
        <f>IF(JC8/(INDEX('Standards for Conversions'!$H$47:$H$73,MATCH(JB$3,'Standards for Conversions'!$A$47:$A$73,0)))=0,"",JC8/(INDEX('Standards for Conversions'!$H$47:$H$73,MATCH(JB$3,'Standards for Conversions'!$A$47:$A$73,0))))</f>
        <v/>
      </c>
      <c r="JE8" s="31"/>
      <c r="JF8" s="31"/>
      <c r="JG8" s="31" t="str">
        <f>IF(JF8/(INDEX('Standards for Conversions'!$H$47:$H$73,MATCH(JE$3,'Standards for Conversions'!$A$47:$A$73,0)))=0,"",JF8/(INDEX('Standards for Conversions'!$H$47:$H$73,MATCH(JE$3,'Standards for Conversions'!$A$47:$A$73,0))))</f>
        <v/>
      </c>
      <c r="JH8" s="31"/>
      <c r="JI8" s="31"/>
      <c r="JJ8" s="31" t="str">
        <f>IF(JI8/(INDEX('Standards for Conversions'!$H$47:$H$73,MATCH(JH$3,'Standards for Conversions'!$A$47:$A$73,0)))=0,"",JI8/(INDEX('Standards for Conversions'!$H$47:$H$73,MATCH(JH$3,'Standards for Conversions'!$A$47:$A$73,0))))</f>
        <v/>
      </c>
      <c r="JK8" s="31"/>
      <c r="JL8" s="31"/>
      <c r="JM8" s="31" t="str">
        <f>IF(JL8/(INDEX('Standards for Conversions'!$H$47:$H$73,MATCH(JK$3,'Standards for Conversions'!$A$47:$A$73,0)))=0,"",JL8/(INDEX('Standards for Conversions'!$H$47:$H$73,MATCH(JK$3,'Standards for Conversions'!$A$47:$A$73,0))))</f>
        <v/>
      </c>
      <c r="JN8" s="31"/>
      <c r="JO8" s="31"/>
      <c r="JP8" s="31" t="str">
        <f>IF(JO8/(INDEX('Standards for Conversions'!$H$47:$H$73,MATCH(JN$3,'Standards for Conversions'!$A$47:$A$73,0)))=0,"",JO8/(INDEX('Standards for Conversions'!$H$47:$H$73,MATCH(JN$3,'Standards for Conversions'!$A$47:$A$73,0))))</f>
        <v/>
      </c>
      <c r="JQ8" s="31"/>
      <c r="JR8" s="31"/>
      <c r="JS8" s="31" t="str">
        <f>IF(JR8/(INDEX('Standards for Conversions'!$H$47:$H$73,MATCH(JQ$3,'Standards for Conversions'!$A$47:$A$73,0)))=0,"",JR8/(INDEX('Standards for Conversions'!$H$47:$H$73,MATCH(JQ$3,'Standards for Conversions'!$A$47:$A$73,0))))</f>
        <v/>
      </c>
      <c r="JT8" s="31"/>
      <c r="JU8" s="31"/>
      <c r="JV8" s="31" t="str">
        <f>IF(JU8/(INDEX('Standards for Conversions'!$H$47:$H$73,MATCH(JT$3,'Standards for Conversions'!$A$47:$A$73,0)))=0,"",JU8/(INDEX('Standards for Conversions'!$H$47:$H$73,MATCH(JT$3,'Standards for Conversions'!$A$47:$A$73,0))))</f>
        <v/>
      </c>
      <c r="JW8" s="31"/>
      <c r="JX8" s="31"/>
      <c r="JY8" s="31" t="str">
        <f>IF(JX8/(INDEX('Standards for Conversions'!$H$47:$H$73,MATCH(JW$3,'Standards for Conversions'!$A$47:$A$73,0)))=0,"",JX8/(INDEX('Standards for Conversions'!$H$47:$H$73,MATCH(JW$3,'Standards for Conversions'!$A$47:$A$73,0))))</f>
        <v/>
      </c>
      <c r="JZ8" s="31"/>
      <c r="KA8" s="31"/>
      <c r="KB8" s="31" t="str">
        <f>IF(KA8/(INDEX('Standards for Conversions'!$H$47:$H$73,MATCH(JZ$3,'Standards for Conversions'!$A$47:$A$73,0)))=0,"",KA8/(INDEX('Standards for Conversions'!$H$47:$H$73,MATCH(JZ$3,'Standards for Conversions'!$A$47:$A$73,0))))</f>
        <v/>
      </c>
      <c r="KC8" s="31"/>
      <c r="KD8" s="31"/>
      <c r="KE8" s="31" t="str">
        <f>IF(KD8/(INDEX('Standards for Conversions'!$H$47:$H$73,MATCH(KC$3,'Standards for Conversions'!$A$47:$A$73,0)))=0,"",KD8/(INDEX('Standards for Conversions'!$H$47:$H$73,MATCH(KC$3,'Standards for Conversions'!$A$47:$A$73,0))))</f>
        <v/>
      </c>
      <c r="KF8" s="31"/>
      <c r="KG8" s="31"/>
      <c r="KH8" s="31" t="str">
        <f>IF(KG8/(INDEX('Standards for Conversions'!$H$47:$H$73,MATCH(KF$3,'Standards for Conversions'!$A$47:$A$73,0)))=0,"",KG8/(INDEX('Standards for Conversions'!$H$47:$H$73,MATCH(KF$3,'Standards for Conversions'!$A$47:$A$73,0))))</f>
        <v/>
      </c>
      <c r="KI8" s="31"/>
      <c r="KJ8" s="31"/>
      <c r="KK8" s="31" t="str">
        <f>IF(KJ8/(INDEX('Standards for Conversions'!$H$47:$H$73,MATCH(KI$3,'Standards for Conversions'!$A$47:$A$73,0)))=0,"",KJ8/(INDEX('Standards for Conversions'!$H$47:$H$73,MATCH(KI$3,'Standards for Conversions'!$A$47:$A$73,0))))</f>
        <v/>
      </c>
      <c r="KL8" s="31"/>
      <c r="KM8" s="31"/>
      <c r="KN8" s="31" t="str">
        <f>IF(KM8/(INDEX('Standards for Conversions'!$H$47:$H$73,MATCH(KL$3,'Standards for Conversions'!$A$47:$A$73,0)))=0,"",KM8/(INDEX('Standards for Conversions'!$H$47:$H$73,MATCH(KL$3,'Standards for Conversions'!$A$47:$A$73,0))))</f>
        <v/>
      </c>
      <c r="KO8" s="31"/>
      <c r="KP8" s="31"/>
      <c r="KQ8" s="31" t="str">
        <f>IF(KP8/(INDEX('Standards for Conversions'!$H$47:$H$73,MATCH(KO$3,'Standards for Conversions'!$A$47:$A$73,0)))=0,"",KP8/(INDEX('Standards for Conversions'!$H$47:$H$73,MATCH(KO$3,'Standards for Conversions'!$A$47:$A$73,0))))</f>
        <v/>
      </c>
      <c r="KR8" s="31">
        <f>20*3500</f>
        <v>70000</v>
      </c>
      <c r="KS8" s="31">
        <f>40000+15000+85000</f>
        <v>140000</v>
      </c>
      <c r="KT8" s="31">
        <f>IF(KS8/(INDEX('Standards for Conversions'!$H$47:$H$73,MATCH(KR$3,'Standards for Conversions'!$A$47:$A$73,0)))=0,"",KS8/(INDEX('Standards for Conversions'!$H$47:$H$73,MATCH(KR$3,'Standards for Conversions'!$A$47:$A$73,0))))</f>
        <v>13724.209358071897</v>
      </c>
      <c r="KU8" s="31">
        <f>20*4250</f>
        <v>85000</v>
      </c>
      <c r="KV8" s="31">
        <f>50000+20000+100000</f>
        <v>170000</v>
      </c>
      <c r="KW8" s="31">
        <f>IF(KV8/(INDEX('Standards for Conversions'!$H$47:$H$73,MATCH(KU$3,'Standards for Conversions'!$A$47:$A$73,0)))=0,"",KV8/(INDEX('Standards for Conversions'!$H$47:$H$73,MATCH(KU$3,'Standards for Conversions'!$A$47:$A$73,0))))</f>
        <v>17169.024017989046</v>
      </c>
      <c r="KX8" s="31">
        <f>20*5250</f>
        <v>105000</v>
      </c>
      <c r="KY8" s="31">
        <f>60000+30000+120000</f>
        <v>210000</v>
      </c>
      <c r="KZ8" s="31">
        <f>IF(KY8/(INDEX('Standards for Conversions'!$H$47:$H$73,MATCH(KX$3,'Standards for Conversions'!$A$47:$A$73,0)))=0,"",KY8/(INDEX('Standards for Conversions'!$H$47:$H$73,MATCH(KX$3,'Standards for Conversions'!$A$47:$A$73,0))))</f>
        <v>21920.200475797337</v>
      </c>
      <c r="LA8" s="31">
        <f>20*3950</f>
        <v>79000</v>
      </c>
      <c r="LB8" s="31">
        <f>245000+15000+15000</f>
        <v>275000</v>
      </c>
      <c r="LC8" s="31">
        <f>IF(LB8/(INDEX('Standards for Conversions'!$H$47:$H$73,MATCH(LA$3,'Standards for Conversions'!$A$47:$A$73,0)))=0,"",LB8/(INDEX('Standards for Conversions'!$H$47:$H$73,MATCH(LA$3,'Standards for Conversions'!$A$47:$A$73,0))))</f>
        <v>25677.313944772741</v>
      </c>
      <c r="LD8" s="31">
        <f>20*3600</f>
        <v>72000</v>
      </c>
      <c r="LE8" s="31">
        <f>200000+18000+18000</f>
        <v>236000</v>
      </c>
      <c r="LF8" s="31">
        <f>IF(LE8/(INDEX('Standards for Conversions'!$H$47:$H$73,MATCH(LD$3,'Standards for Conversions'!$A$47:$A$73,0)))=0,"",LE8/(INDEX('Standards for Conversions'!$H$47:$H$73,MATCH(LD$3,'Standards for Conversions'!$A$47:$A$73,0))))</f>
        <v>21536.12587265722</v>
      </c>
      <c r="LG8" s="31">
        <f>20*3380</f>
        <v>67600</v>
      </c>
      <c r="LH8" s="31">
        <f>133000+89110+72560</f>
        <v>294670</v>
      </c>
      <c r="LI8" s="31">
        <f>IF(LH8/(INDEX('Standards for Conversions'!$H$47:$H$73,MATCH(LG$3,'Standards for Conversions'!$A$47:$A$73,0)))=0,"",LH8/(INDEX('Standards for Conversions'!$H$47:$H$73,MATCH(LG$3,'Standards for Conversions'!$A$47:$A$73,0))))</f>
        <v>27389.162399065059</v>
      </c>
      <c r="LJ8" s="31">
        <f>20*4353</f>
        <v>87060</v>
      </c>
      <c r="LK8" s="31">
        <f>10368+14685+168685</f>
        <v>193738</v>
      </c>
      <c r="LL8" s="31">
        <f>IF(LK8/(INDEX('Standards for Conversions'!$H$47:$H$73,MATCH(LJ$3,'Standards for Conversions'!$A$47:$A$73,0)))=0,"",LK8/(INDEX('Standards for Conversions'!$H$47:$H$73,MATCH(LJ$3,'Standards for Conversions'!$A$47:$A$73,0))))</f>
        <v>18581.951485563135</v>
      </c>
      <c r="LM8" s="31">
        <f>20*2012</f>
        <v>40240</v>
      </c>
      <c r="LN8" s="31">
        <f>1174+48215+54019</f>
        <v>103408</v>
      </c>
      <c r="LO8" s="31">
        <f>IF(LN8/(INDEX('Standards for Conversions'!$H$47:$H$73,MATCH(LM$3,'Standards for Conversions'!$A$47:$A$73,0)))=0,"",LN8/(INDEX('Standards for Conversions'!$H$47:$H$73,MATCH(LM$3,'Standards for Conversions'!$A$47:$A$73,0))))</f>
        <v>9524.0508016859294</v>
      </c>
      <c r="LP8" s="31">
        <f>20*3371</f>
        <v>67420</v>
      </c>
      <c r="LQ8" s="31">
        <f>800+1200+113300</f>
        <v>115300</v>
      </c>
      <c r="LR8" s="31">
        <f>IF(LQ8/(INDEX('Standards for Conversions'!$H$47:$H$73,MATCH(LP$3,'Standards for Conversions'!$A$47:$A$73,0)))=0,"",LQ8/(INDEX('Standards for Conversions'!$H$47:$H$73,MATCH(LP$3,'Standards for Conversions'!$A$47:$A$73,0))))</f>
        <v>9398.7120566104677</v>
      </c>
      <c r="LS8" s="31">
        <f>20*3679</f>
        <v>73580</v>
      </c>
      <c r="LT8" s="31">
        <f>970+4220+148400</f>
        <v>153590</v>
      </c>
      <c r="LU8" s="31">
        <f>IF(LT8/(INDEX('Standards for Conversions'!$H$47:$H$73,MATCH(LS$3,'Standards for Conversions'!$A$47:$A$73,0)))=0,"",LT8/(INDEX('Standards for Conversions'!$H$47:$H$73,MATCH(LS$3,'Standards for Conversions'!$A$47:$A$73,0))))</f>
        <v>12877.64456743721</v>
      </c>
      <c r="LV8" s="31">
        <f>20*2108</f>
        <v>42160</v>
      </c>
      <c r="LW8" s="31">
        <f>500+100900+8000</f>
        <v>109400</v>
      </c>
      <c r="LX8" s="31">
        <f>IF(LW8/(INDEX('Standards for Conversions'!$H$47:$H$73,MATCH(LV$3,'Standards for Conversions'!$A$47:$A$73,0)))=0,"",LW8/(INDEX('Standards for Conversions'!$H$47:$H$73,MATCH(LV$3,'Standards for Conversions'!$A$47:$A$73,0))))</f>
        <v>9786.3860358549864</v>
      </c>
      <c r="LY8" s="31">
        <f>20*3300</f>
        <v>66000</v>
      </c>
      <c r="LZ8" s="31">
        <v>18200</v>
      </c>
      <c r="MA8" s="31">
        <f>20*2500</f>
        <v>50000</v>
      </c>
      <c r="MB8" s="31">
        <v>12800</v>
      </c>
      <c r="MC8" s="31">
        <f>20*2400</f>
        <v>48000</v>
      </c>
      <c r="MD8" s="31">
        <v>12600</v>
      </c>
      <c r="ME8" s="31">
        <v>65420</v>
      </c>
      <c r="MF8" s="31">
        <v>19654</v>
      </c>
      <c r="MG8" s="31">
        <v>65200</v>
      </c>
      <c r="MH8" s="31">
        <v>20148</v>
      </c>
      <c r="MI8" s="31"/>
      <c r="MJ8" s="31"/>
      <c r="MK8" s="31"/>
      <c r="ML8" s="31"/>
      <c r="MM8" s="31"/>
      <c r="MN8" s="31"/>
    </row>
    <row r="9" spans="1:352" s="33" customFormat="1" ht="14.4" customHeight="1" x14ac:dyDescent="0.3">
      <c r="A9" s="104" t="s">
        <v>358</v>
      </c>
      <c r="B9" s="10" t="s">
        <v>399</v>
      </c>
      <c r="C9" s="9"/>
      <c r="D9" s="9"/>
      <c r="E9" s="31" t="s">
        <v>128</v>
      </c>
      <c r="F9" s="9"/>
      <c r="G9" s="9"/>
      <c r="H9" s="31" t="s">
        <v>128</v>
      </c>
      <c r="I9" s="9"/>
      <c r="J9" s="9"/>
      <c r="K9" s="31" t="s">
        <v>128</v>
      </c>
      <c r="L9" s="9">
        <v>16.299999999999997</v>
      </c>
      <c r="M9" s="9">
        <v>60</v>
      </c>
      <c r="N9" s="31">
        <v>11.852533783783782</v>
      </c>
      <c r="O9" s="31">
        <f t="shared" si="4"/>
        <v>16.299999999999997</v>
      </c>
      <c r="P9" s="31">
        <f t="shared" si="5"/>
        <v>60</v>
      </c>
      <c r="Q9" s="31">
        <f>IF(P9/(INDEX('Standards for Conversions'!$H$34:$H$73,MATCH(O$3,'Standards for Conversions'!$A$34:$A$73,0)))=0,"",P9/(INDEX('Standards for Conversions'!$H$34:$H$73,MATCH(O$3,'Standards for Conversions'!$A$34:$A$73,0))))</f>
        <v>11.852533783783782</v>
      </c>
      <c r="R9" s="9"/>
      <c r="S9" s="9"/>
      <c r="T9" s="31" t="s">
        <v>128</v>
      </c>
      <c r="U9" s="9"/>
      <c r="V9" s="9"/>
      <c r="W9" s="31" t="s">
        <v>128</v>
      </c>
      <c r="X9" s="9"/>
      <c r="Y9" s="9"/>
      <c r="Z9" s="31" t="s">
        <v>128</v>
      </c>
      <c r="AA9" s="9">
        <v>32.599999999999994</v>
      </c>
      <c r="AB9" s="9">
        <v>80</v>
      </c>
      <c r="AC9" s="31">
        <v>15.413798847078588</v>
      </c>
      <c r="AD9" s="31">
        <f t="shared" si="6"/>
        <v>32.599999999999994</v>
      </c>
      <c r="AE9" s="31">
        <f t="shared" si="7"/>
        <v>80</v>
      </c>
      <c r="AF9" s="31">
        <f>IF(AE9/(INDEX('Standards for Conversions'!$H$34:$H$73,MATCH(AD$3,'Standards for Conversions'!$A$34:$A$73,0)))=0,"",AE9/(INDEX('Standards for Conversions'!$H$34:$H$73,MATCH(AD$3,'Standards for Conversions'!$A$34:$A$73,0))))</f>
        <v>15.413798847078588</v>
      </c>
      <c r="AG9" s="9"/>
      <c r="AH9" s="9"/>
      <c r="AI9" s="31" t="s">
        <v>128</v>
      </c>
      <c r="AJ9" s="9"/>
      <c r="AK9" s="9"/>
      <c r="AL9" s="31" t="s">
        <v>128</v>
      </c>
      <c r="AM9" s="9"/>
      <c r="AN9" s="9"/>
      <c r="AO9" s="31" t="s">
        <v>128</v>
      </c>
      <c r="AP9" s="7">
        <v>48.9</v>
      </c>
      <c r="AQ9" s="7">
        <v>100</v>
      </c>
      <c r="AR9" s="31">
        <v>18.568546138582313</v>
      </c>
      <c r="AS9" s="31">
        <f t="shared" si="8"/>
        <v>48.9</v>
      </c>
      <c r="AT9" s="31">
        <f t="shared" si="9"/>
        <v>100</v>
      </c>
      <c r="AU9" s="31">
        <f>IF(AT9/(INDEX('Standards for Conversions'!$H$34:$H$73,MATCH(AS$3,'Standards for Conversions'!$A$34:$A$73,0)))=0,"",AT9/(INDEX('Standards for Conversions'!$H$34:$H$73,MATCH(AS$3,'Standards for Conversions'!$A$34:$A$73,0))))</f>
        <v>17.869843718316385</v>
      </c>
      <c r="AV9" s="7"/>
      <c r="AW9" s="7"/>
      <c r="AX9" s="31" t="s">
        <v>128</v>
      </c>
      <c r="AY9" s="7"/>
      <c r="AZ9" s="7"/>
      <c r="BA9" s="31" t="s">
        <v>128</v>
      </c>
      <c r="BB9" s="9"/>
      <c r="BC9" s="9"/>
      <c r="BD9" s="31" t="s">
        <v>128</v>
      </c>
      <c r="BE9" s="7">
        <v>65.199999999999989</v>
      </c>
      <c r="BF9" s="7">
        <v>200</v>
      </c>
      <c r="BG9" s="31">
        <v>37.137092277164626</v>
      </c>
      <c r="BH9" s="31">
        <f t="shared" si="10"/>
        <v>65.199999999999989</v>
      </c>
      <c r="BI9" s="31">
        <f t="shared" si="11"/>
        <v>200</v>
      </c>
      <c r="BJ9" s="31">
        <f>IF(BI9/(INDEX('Standards for Conversions'!$H$34:$H$73,MATCH(BH$3,'Standards for Conversions'!$A$34:$A$73,0)))=0,"",BI9/(INDEX('Standards for Conversions'!$H$34:$H$73,MATCH(BH$3,'Standards for Conversions'!$A$34:$A$73,0))))</f>
        <v>37.137092277164626</v>
      </c>
      <c r="BK9" s="7"/>
      <c r="BL9" s="7"/>
      <c r="BM9" s="31" t="s">
        <v>128</v>
      </c>
      <c r="BN9" s="7"/>
      <c r="BO9" s="7"/>
      <c r="BP9" s="31" t="s">
        <v>128</v>
      </c>
      <c r="BQ9" s="9"/>
      <c r="BR9" s="9"/>
      <c r="BS9" s="31" t="s">
        <v>128</v>
      </c>
      <c r="BT9" s="7">
        <v>32.599999999999994</v>
      </c>
      <c r="BU9" s="7">
        <v>100</v>
      </c>
      <c r="BV9" s="31">
        <v>17.806325316474027</v>
      </c>
      <c r="BW9" s="31">
        <f t="shared" si="12"/>
        <v>32.599999999999994</v>
      </c>
      <c r="BX9" s="31">
        <f t="shared" si="13"/>
        <v>100</v>
      </c>
      <c r="BY9" s="31">
        <f>IF(BX9/(INDEX('Standards for Conversions'!$H$34:$H$73,MATCH(BW$3,'Standards for Conversions'!$A$34:$A$73,0)))=0,"",BX9/(INDEX('Standards for Conversions'!$H$34:$H$73,MATCH(BW$3,'Standards for Conversions'!$A$34:$A$73,0))))</f>
        <v>17.806325316474027</v>
      </c>
      <c r="BZ9" s="7"/>
      <c r="CA9" s="7"/>
      <c r="CB9" s="31" t="s">
        <v>128</v>
      </c>
      <c r="CC9" s="7"/>
      <c r="CD9" s="7"/>
      <c r="CE9" s="31" t="s">
        <v>128</v>
      </c>
      <c r="CF9" s="9"/>
      <c r="CG9" s="9"/>
      <c r="CH9" s="31" t="s">
        <v>128</v>
      </c>
      <c r="CI9" s="7">
        <v>358.59999999999997</v>
      </c>
      <c r="CJ9" s="7">
        <v>750</v>
      </c>
      <c r="CK9" s="31">
        <v>130.2127237768315</v>
      </c>
      <c r="CL9" s="31">
        <f t="shared" si="14"/>
        <v>358.59999999999997</v>
      </c>
      <c r="CM9" s="31">
        <f t="shared" si="15"/>
        <v>750</v>
      </c>
      <c r="CN9" s="31">
        <f>IF(CM9/(INDEX('Standards for Conversions'!$H$34:$H$73,MATCH(CL$3,'Standards for Conversions'!$A$34:$A$73,0)))=0,"",CM9/(INDEX('Standards for Conversions'!$H$34:$H$73,MATCH(CL$3,'Standards for Conversions'!$A$34:$A$73,0))))</f>
        <v>130.2127237768315</v>
      </c>
      <c r="CO9" s="7"/>
      <c r="CP9" s="7"/>
      <c r="CQ9" s="31" t="s">
        <v>128</v>
      </c>
      <c r="CR9" s="7"/>
      <c r="CS9" s="7"/>
      <c r="CT9" s="31" t="s">
        <v>128</v>
      </c>
      <c r="CU9" s="9"/>
      <c r="CV9" s="9"/>
      <c r="CW9" s="31" t="s">
        <v>128</v>
      </c>
      <c r="CX9" s="7">
        <v>1385.5</v>
      </c>
      <c r="CY9" s="7">
        <v>2700</v>
      </c>
      <c r="CZ9" s="31">
        <v>477.91245546189276</v>
      </c>
      <c r="DA9" s="31">
        <f t="shared" si="16"/>
        <v>1385.5</v>
      </c>
      <c r="DB9" s="31">
        <f t="shared" si="17"/>
        <v>2700</v>
      </c>
      <c r="DC9" s="31">
        <f>IF(DB9/(INDEX('Standards for Conversions'!$H$34:$H$73,MATCH(DA$3,'Standards for Conversions'!$A$34:$A$73,0)))=0,"",DB9/(INDEX('Standards for Conversions'!$H$34:$H$73,MATCH(DA$3,'Standards for Conversions'!$A$34:$A$73,0))))</f>
        <v>477.91245546189276</v>
      </c>
      <c r="DD9" s="7"/>
      <c r="DE9" s="7"/>
      <c r="DF9" s="31" t="s">
        <v>128</v>
      </c>
      <c r="DG9" s="7"/>
      <c r="DH9" s="7"/>
      <c r="DI9" s="31" t="s">
        <v>128</v>
      </c>
      <c r="DJ9" s="9"/>
      <c r="DK9" s="9"/>
      <c r="DL9" s="31" t="s">
        <v>128</v>
      </c>
      <c r="DM9" s="7">
        <v>2445</v>
      </c>
      <c r="DN9" s="7">
        <v>2100</v>
      </c>
      <c r="DO9" s="31">
        <v>367.70802826540364</v>
      </c>
      <c r="DP9" s="31">
        <f t="shared" si="18"/>
        <v>2445</v>
      </c>
      <c r="DQ9" s="31">
        <f t="shared" si="19"/>
        <v>2100</v>
      </c>
      <c r="DR9" s="31">
        <f>IF(DQ9/(INDEX('Standards for Conversions'!$H$34:$H$73,MATCH(DP$3,'Standards for Conversions'!$A$34:$A$73,0)))=0,"",DQ9/(INDEX('Standards for Conversions'!$H$34:$H$73,MATCH(DP$3,'Standards for Conversions'!$A$34:$A$73,0))))</f>
        <v>367.70802826540364</v>
      </c>
      <c r="DS9" s="7"/>
      <c r="DT9" s="7"/>
      <c r="DU9" s="31" t="s">
        <v>128</v>
      </c>
      <c r="DV9" s="7"/>
      <c r="DW9" s="7"/>
      <c r="DX9" s="31" t="s">
        <v>128</v>
      </c>
      <c r="DY9" s="9"/>
      <c r="DZ9" s="9"/>
      <c r="EA9" s="31" t="s">
        <v>128</v>
      </c>
      <c r="EB9" s="7">
        <v>728.6099999999999</v>
      </c>
      <c r="EC9" s="7">
        <v>1274</v>
      </c>
      <c r="ED9" s="31">
        <v>222.806462334521</v>
      </c>
      <c r="EE9" s="31">
        <f t="shared" si="20"/>
        <v>728.6099999999999</v>
      </c>
      <c r="EF9" s="31">
        <f t="shared" si="21"/>
        <v>1274</v>
      </c>
      <c r="EG9" s="31">
        <f>IF(EF9/(INDEX('Standards for Conversions'!$H$34:$H$73,MATCH(EE$3,'Standards for Conversions'!$A$34:$A$73,0)))=0,"",EF9/(INDEX('Standards for Conversions'!$H$34:$H$73,MATCH(EE$3,'Standards for Conversions'!$A$34:$A$73,0))))</f>
        <v>222.806462334521</v>
      </c>
      <c r="EH9" s="7"/>
      <c r="EI9" s="7"/>
      <c r="EJ9" s="31" t="s">
        <v>128</v>
      </c>
      <c r="EK9" s="7"/>
      <c r="EL9" s="7"/>
      <c r="EM9" s="31" t="s">
        <v>128</v>
      </c>
      <c r="EN9" s="9"/>
      <c r="EO9" s="9"/>
      <c r="EP9" s="31" t="s">
        <v>128</v>
      </c>
      <c r="EQ9" s="7">
        <v>109.21</v>
      </c>
      <c r="ER9" s="7">
        <v>260</v>
      </c>
      <c r="ES9" s="31">
        <v>44.534868811737773</v>
      </c>
      <c r="ET9" s="31">
        <f t="shared" si="22"/>
        <v>109.21</v>
      </c>
      <c r="EU9" s="31">
        <f t="shared" si="23"/>
        <v>260</v>
      </c>
      <c r="EV9" s="31">
        <f>IF(EU9/(INDEX('Standards for Conversions'!$H$34:$H$73,MATCH(ET$3,'Standards for Conversions'!$A$34:$A$73,0)))=0,"",EU9/(INDEX('Standards for Conversions'!$H$34:$H$73,MATCH(ET$3,'Standards for Conversions'!$A$34:$A$73,0))))</f>
        <v>44.534868811737773</v>
      </c>
      <c r="EW9" s="7"/>
      <c r="EX9" s="7"/>
      <c r="EY9" s="31" t="s">
        <v>128</v>
      </c>
      <c r="EZ9" s="7"/>
      <c r="FA9" s="7"/>
      <c r="FB9" s="31" t="s">
        <v>128</v>
      </c>
      <c r="FC9" s="9"/>
      <c r="FD9" s="9"/>
      <c r="FE9" s="31" t="s">
        <v>128</v>
      </c>
      <c r="FF9" s="7">
        <v>163</v>
      </c>
      <c r="FG9" s="7">
        <v>400</v>
      </c>
      <c r="FH9" s="31">
        <v>68.599873989745362</v>
      </c>
      <c r="FI9" s="31">
        <f t="shared" si="24"/>
        <v>163</v>
      </c>
      <c r="FJ9" s="31">
        <f t="shared" si="25"/>
        <v>400</v>
      </c>
      <c r="FK9" s="31">
        <f>IF(FJ9/(INDEX('Standards for Conversions'!$H$34:$H$73,MATCH(FI$3,'Standards for Conversions'!$A$34:$A$73,0)))=0,"",FJ9/(INDEX('Standards for Conversions'!$H$34:$H$73,MATCH(FI$3,'Standards for Conversions'!$A$34:$A$73,0))))</f>
        <v>68.599873989745362</v>
      </c>
      <c r="FL9" s="7"/>
      <c r="FM9" s="7"/>
      <c r="FN9" s="31" t="s">
        <v>128</v>
      </c>
      <c r="FO9" s="7"/>
      <c r="FP9" s="7"/>
      <c r="FQ9" s="31" t="s">
        <v>128</v>
      </c>
      <c r="FR9" s="9"/>
      <c r="FS9" s="9"/>
      <c r="FT9" s="31" t="s">
        <v>128</v>
      </c>
      <c r="FU9" s="7">
        <v>163</v>
      </c>
      <c r="FV9" s="7">
        <v>400</v>
      </c>
      <c r="FW9" s="31">
        <v>65.805064308681665</v>
      </c>
      <c r="FX9" s="31">
        <f t="shared" si="26"/>
        <v>163</v>
      </c>
      <c r="FY9" s="31">
        <f t="shared" si="27"/>
        <v>400</v>
      </c>
      <c r="FZ9" s="31">
        <f>IF(FY9/(INDEX('Standards for Conversions'!$H$34:$H$73,MATCH(FX$3,'Standards for Conversions'!$A$34:$A$73,0)))=0,"",FY9/(INDEX('Standards for Conversions'!$H$34:$H$73,MATCH(FX$3,'Standards for Conversions'!$A$34:$A$73,0))))</f>
        <v>65.805064308681665</v>
      </c>
      <c r="GA9" s="7"/>
      <c r="GB9" s="7"/>
      <c r="GC9" s="31" t="s">
        <v>128</v>
      </c>
      <c r="GD9" s="7"/>
      <c r="GE9" s="7"/>
      <c r="GF9" s="31" t="s">
        <v>128</v>
      </c>
      <c r="GG9" s="9"/>
      <c r="GH9" s="9"/>
      <c r="GI9" s="31" t="s">
        <v>128</v>
      </c>
      <c r="GJ9" s="7">
        <v>326</v>
      </c>
      <c r="GK9" s="7">
        <v>800</v>
      </c>
      <c r="GL9" s="31">
        <v>122.97162596680282</v>
      </c>
      <c r="GM9" s="31">
        <f t="shared" si="28"/>
        <v>326</v>
      </c>
      <c r="GN9" s="31">
        <f t="shared" si="29"/>
        <v>800</v>
      </c>
      <c r="GO9" s="31">
        <f>IF(GN9/(INDEX('Standards for Conversions'!$H$34:$H$73,MATCH(GM$3,'Standards for Conversions'!$A$34:$A$73,0)))=0,"",GN9/(INDEX('Standards for Conversions'!$H$34:$H$73,MATCH(GM$3,'Standards for Conversions'!$A$34:$A$73,0))))</f>
        <v>122.97162596680282</v>
      </c>
      <c r="GP9" s="7"/>
      <c r="GQ9" s="7"/>
      <c r="GR9" s="31" t="s">
        <v>128</v>
      </c>
      <c r="GS9" s="7"/>
      <c r="GT9" s="7"/>
      <c r="GU9" s="31" t="s">
        <v>128</v>
      </c>
      <c r="GV9" s="9"/>
      <c r="GW9" s="9"/>
      <c r="GX9" s="31" t="s">
        <v>128</v>
      </c>
      <c r="GY9" s="7">
        <v>326</v>
      </c>
      <c r="GZ9" s="7">
        <v>1000</v>
      </c>
      <c r="HA9" s="31">
        <v>151.38552439095039</v>
      </c>
      <c r="HB9" s="31">
        <f t="shared" si="30"/>
        <v>326</v>
      </c>
      <c r="HC9" s="31">
        <f t="shared" si="31"/>
        <v>1000</v>
      </c>
      <c r="HD9" s="31">
        <f>IF(HC9/(INDEX('Standards for Conversions'!$H$34:$H$73,MATCH(HB$3,'Standards for Conversions'!$A$34:$A$73,0)))=0,"",HC9/(INDEX('Standards for Conversions'!$H$34:$H$73,MATCH(HB$3,'Standards for Conversions'!$A$34:$A$73,0))))</f>
        <v>151.38552439095039</v>
      </c>
      <c r="HE9" s="112" t="s">
        <v>98</v>
      </c>
      <c r="HF9" s="31"/>
      <c r="HG9" s="31"/>
      <c r="HH9" s="31" t="str">
        <f>IF(HG9/(INDEX('Standards for Conversions'!$H$47:$H$73,MATCH(HF$3,'Standards for Conversions'!$A$47:$A$73,0)))=0,"",HG9/(INDEX('Standards for Conversions'!$H$47:$H$73,MATCH(HF$3,'Standards for Conversions'!$A$47:$A$73,0))))</f>
        <v/>
      </c>
      <c r="HI9" s="31">
        <v>0</v>
      </c>
      <c r="HJ9" s="31"/>
      <c r="HK9" s="31" t="str">
        <f>IF(HJ9/(INDEX('Standards for Conversions'!$H$47:$H$73,MATCH(HI$3,'Standards for Conversions'!$A$47:$A$73,0)))=0,"",HJ9/(INDEX('Standards for Conversions'!$H$47:$H$73,MATCH(HI$3,'Standards for Conversions'!$A$47:$A$73,0))))</f>
        <v/>
      </c>
      <c r="HL9" s="31"/>
      <c r="HM9" s="31"/>
      <c r="HN9" s="31" t="str">
        <f>IF(HM9/(INDEX('Standards for Conversions'!$H$47:$H$73,MATCH(HL$3,'Standards for Conversions'!$A$47:$A$73,0)))=0,"",HM9/(INDEX('Standards for Conversions'!$H$47:$H$73,MATCH(HL$3,'Standards for Conversions'!$A$47:$A$73,0))))</f>
        <v/>
      </c>
      <c r="HO9" s="31">
        <v>357.5</v>
      </c>
      <c r="HP9" s="31">
        <v>1100</v>
      </c>
      <c r="HQ9" s="31">
        <f>IF(HP9/(INDEX('Standards for Conversions'!$H$47:$H$73,MATCH(HO$3,'Standards for Conversions'!$A$47:$A$73,0)))=0,"",HP9/(INDEX('Standards for Conversions'!$H$47:$H$73,MATCH(HO$3,'Standards for Conversions'!$A$47:$A$73,0))))</f>
        <v>159.76995343414154</v>
      </c>
      <c r="HR9" s="31">
        <f t="shared" ref="HR9:HS12" si="32">HF9+HI9+HL9+HO9</f>
        <v>357.5</v>
      </c>
      <c r="HS9" s="31">
        <f t="shared" si="32"/>
        <v>1100</v>
      </c>
      <c r="HT9" s="31">
        <f>IF(HS9/(INDEX('Standards for Conversions'!$H$47:$H$73,MATCH(HR$3,'Standards for Conversions'!$A$47:$A$73,0)))=0,"",HS9/(INDEX('Standards for Conversions'!$H$47:$H$73,MATCH(HR$3,'Standards for Conversions'!$A$47:$A$73,0))))</f>
        <v>159.76995343414154</v>
      </c>
      <c r="HU9" s="31"/>
      <c r="HV9" s="31"/>
      <c r="HW9" s="31" t="str">
        <f>IF(HV9/(INDEX('Standards for Conversions'!$H$47:$H$73,MATCH(HU$3,'Standards for Conversions'!$A$47:$A$73,0)))=0,"",HV9/(INDEX('Standards for Conversions'!$H$47:$H$73,MATCH(HU$3,'Standards for Conversions'!$A$47:$A$73,0))))</f>
        <v/>
      </c>
      <c r="HX9" s="31"/>
      <c r="HY9" s="31"/>
      <c r="HZ9" s="31" t="str">
        <f>IF(HY9/(INDEX('Standards for Conversions'!$H$47:$H$73,MATCH(HX$3,'Standards for Conversions'!$A$47:$A$73,0)))=0,"",HY9/(INDEX('Standards for Conversions'!$H$47:$H$73,MATCH(HX$3,'Standards for Conversions'!$A$47:$A$73,0))))</f>
        <v/>
      </c>
      <c r="IA9" s="31"/>
      <c r="IB9" s="31"/>
      <c r="IC9" s="31" t="str">
        <f>IF(IB9/(INDEX('Standards for Conversions'!$H$47:$H$73,MATCH(IA$3,'Standards for Conversions'!$A$47:$A$73,0)))=0,"",IB9/(INDEX('Standards for Conversions'!$H$47:$H$73,MATCH(IA$3,'Standards for Conversions'!$A$47:$A$73,0))))</f>
        <v/>
      </c>
      <c r="ID9" s="31">
        <v>230.75</v>
      </c>
      <c r="IE9" s="31">
        <v>651</v>
      </c>
      <c r="IF9" s="31">
        <f>IF(IE9/(INDEX('Standards for Conversions'!$H$47:$H$73,MATCH(ID$3,'Standards for Conversions'!$A$47:$A$73,0)))=0,"",IE9/(INDEX('Standards for Conversions'!$H$47:$H$73,MATCH(ID$3,'Standards for Conversions'!$A$47:$A$73,0))))</f>
        <v>94.141258554575472</v>
      </c>
      <c r="IG9" s="31">
        <f t="shared" ref="IG9:IG23" si="33">HU9+HX9+IA9+ID9</f>
        <v>230.75</v>
      </c>
      <c r="IH9" s="31">
        <f t="shared" ref="IH9:IH23" si="34">HV9+HY9+IB9+IE9</f>
        <v>651</v>
      </c>
      <c r="II9" s="31">
        <f>IF(IH9/(INDEX('Standards for Conversions'!$H$47:$H$73,MATCH(IG$3,'Standards for Conversions'!$A$47:$A$73,0)))=0,"",IH9/(INDEX('Standards for Conversions'!$H$47:$H$73,MATCH(IG$3,'Standards for Conversions'!$A$47:$A$73,0))))</f>
        <v>94.141258554575472</v>
      </c>
      <c r="IJ9" s="31"/>
      <c r="IK9" s="31"/>
      <c r="IL9" s="31" t="str">
        <f>IF(IK9/(INDEX('Standards for Conversions'!$H$47:$H$73,MATCH(IJ$3,'Standards for Conversions'!$A$47:$A$73,0)))=0,"",IK9/(INDEX('Standards for Conversions'!$H$47:$H$73,MATCH(IJ$3,'Standards for Conversions'!$A$47:$A$73,0))))</f>
        <v/>
      </c>
      <c r="IM9" s="31"/>
      <c r="IN9" s="31"/>
      <c r="IO9" s="31" t="str">
        <f>IF(IN9/(INDEX('Standards for Conversions'!$H$47:$H$73,MATCH(IM$3,'Standards for Conversions'!$A$47:$A$73,0)))=0,"",IN9/(INDEX('Standards for Conversions'!$H$47:$H$73,MATCH(IM$3,'Standards for Conversions'!$A$47:$A$73,0))))</f>
        <v/>
      </c>
      <c r="IP9" s="31"/>
      <c r="IQ9" s="31"/>
      <c r="IR9" s="31" t="str">
        <f>IF(IQ9/(INDEX('Standards for Conversions'!$H$47:$H$73,MATCH(IP$3,'Standards for Conversions'!$A$47:$A$73,0)))=0,"",IQ9/(INDEX('Standards for Conversions'!$H$47:$H$73,MATCH(IP$3,'Standards for Conversions'!$A$47:$A$73,0))))</f>
        <v/>
      </c>
      <c r="IS9" s="31">
        <v>276.25</v>
      </c>
      <c r="IT9" s="31">
        <v>1030</v>
      </c>
      <c r="IU9" s="31">
        <f>IF(IT9/(INDEX('Standards for Conversions'!$H$47:$H$73,MATCH(IS$3,'Standards for Conversions'!$A$47:$A$73,0)))=0,"",IT9/(INDEX('Standards for Conversions'!$H$47:$H$73,MATCH(IS$3,'Standards for Conversions'!$A$47:$A$73,0))))</f>
        <v>166.61300259262475</v>
      </c>
      <c r="IV9" s="31">
        <f t="shared" ref="IV9:IW23" si="35">IJ9+IM9+IP9+IS9</f>
        <v>276.25</v>
      </c>
      <c r="IW9" s="31">
        <f t="shared" si="35"/>
        <v>1030</v>
      </c>
      <c r="IX9" s="31">
        <f>IF(IW9/(INDEX('Standards for Conversions'!$H$47:$H$73,MATCH(IV$3,'Standards for Conversions'!$A$47:$A$73,0)))=0,"",IW9/(INDEX('Standards for Conversions'!$H$47:$H$73,MATCH(IV$3,'Standards for Conversions'!$A$47:$A$73,0))))</f>
        <v>166.61300259262475</v>
      </c>
      <c r="IY9" s="31"/>
      <c r="IZ9" s="31"/>
      <c r="JA9" s="31" t="str">
        <f>IF(IZ9/(INDEX('Standards for Conversions'!$H$47:$H$73,MATCH(IY$3,'Standards for Conversions'!$A$47:$A$73,0)))=0,"",IZ9/(INDEX('Standards for Conversions'!$H$47:$H$73,MATCH(IY$3,'Standards for Conversions'!$A$47:$A$73,0))))</f>
        <v/>
      </c>
      <c r="JB9" s="31"/>
      <c r="JC9" s="31"/>
      <c r="JD9" s="31" t="str">
        <f>IF(JC9/(INDEX('Standards for Conversions'!$H$47:$H$73,MATCH(JB$3,'Standards for Conversions'!$A$47:$A$73,0)))=0,"",JC9/(INDEX('Standards for Conversions'!$H$47:$H$73,MATCH(JB$3,'Standards for Conversions'!$A$47:$A$73,0))))</f>
        <v/>
      </c>
      <c r="JE9" s="31"/>
      <c r="JF9" s="31"/>
      <c r="JG9" s="31" t="str">
        <f>IF(JF9/(INDEX('Standards for Conversions'!$H$47:$H$73,MATCH(JE$3,'Standards for Conversions'!$A$47:$A$73,0)))=0,"",JF9/(INDEX('Standards for Conversions'!$H$47:$H$73,MATCH(JE$3,'Standards for Conversions'!$A$47:$A$73,0))))</f>
        <v/>
      </c>
      <c r="JH9" s="31">
        <v>243.75</v>
      </c>
      <c r="JI9" s="31">
        <v>900</v>
      </c>
      <c r="JJ9" s="31">
        <f>IF(JI9/(INDEX('Standards for Conversions'!$H$47:$H$73,MATCH(JH$3,'Standards for Conversions'!$A$47:$A$73,0)))=0,"",JI9/(INDEX('Standards for Conversions'!$H$47:$H$73,MATCH(JH$3,'Standards for Conversions'!$A$47:$A$73,0))))</f>
        <v>137.39030318501781</v>
      </c>
      <c r="JK9" s="31">
        <f t="shared" ref="JK9:JL12" si="36">IY9+JB9+JE9+JH9</f>
        <v>243.75</v>
      </c>
      <c r="JL9" s="31">
        <f t="shared" si="36"/>
        <v>900</v>
      </c>
      <c r="JM9" s="31">
        <f>IF(JL9/(INDEX('Standards for Conversions'!$H$47:$H$73,MATCH(JK$3,'Standards for Conversions'!$A$47:$A$73,0)))=0,"",JL9/(INDEX('Standards for Conversions'!$H$47:$H$73,MATCH(JK$3,'Standards for Conversions'!$A$47:$A$73,0))))</f>
        <v>137.39030318501781</v>
      </c>
      <c r="JN9" s="31"/>
      <c r="JO9" s="31"/>
      <c r="JP9" s="31" t="str">
        <f>IF(JO9/(INDEX('Standards for Conversions'!$H$47:$H$73,MATCH(JN$3,'Standards for Conversions'!$A$47:$A$73,0)))=0,"",JO9/(INDEX('Standards for Conversions'!$H$47:$H$73,MATCH(JN$3,'Standards for Conversions'!$A$47:$A$73,0))))</f>
        <v/>
      </c>
      <c r="JQ9" s="31"/>
      <c r="JR9" s="31"/>
      <c r="JS9" s="31" t="str">
        <f>IF(JR9/(INDEX('Standards for Conversions'!$H$47:$H$73,MATCH(JQ$3,'Standards for Conversions'!$A$47:$A$73,0)))=0,"",JR9/(INDEX('Standards for Conversions'!$H$47:$H$73,MATCH(JQ$3,'Standards for Conversions'!$A$47:$A$73,0))))</f>
        <v/>
      </c>
      <c r="JT9" s="31"/>
      <c r="JU9" s="31"/>
      <c r="JV9" s="31" t="str">
        <f>IF(JU9/(INDEX('Standards for Conversions'!$H$47:$H$73,MATCH(JT$3,'Standards for Conversions'!$A$47:$A$73,0)))=0,"",JU9/(INDEX('Standards for Conversions'!$H$47:$H$73,MATCH(JT$3,'Standards for Conversions'!$A$47:$A$73,0))))</f>
        <v/>
      </c>
      <c r="JW9" s="31">
        <v>552.5</v>
      </c>
      <c r="JX9" s="31">
        <v>700</v>
      </c>
      <c r="JY9" s="31">
        <f>IF(JX9/(INDEX('Standards for Conversions'!$H$47:$H$73,MATCH(JW$3,'Standards for Conversions'!$A$47:$A$73,0)))=0,"",JX9/(INDEX('Standards for Conversions'!$H$47:$H$73,MATCH(JW$3,'Standards for Conversions'!$A$47:$A$73,0))))</f>
        <v>94.261308334057517</v>
      </c>
      <c r="JZ9" s="31">
        <f t="shared" ref="JZ9:KA12" si="37">JN9+JQ9+JT9+JW9</f>
        <v>552.5</v>
      </c>
      <c r="KA9" s="31">
        <f t="shared" si="37"/>
        <v>700</v>
      </c>
      <c r="KB9" s="31">
        <f>IF(KA9/(INDEX('Standards for Conversions'!$H$47:$H$73,MATCH(JZ$3,'Standards for Conversions'!$A$47:$A$73,0)))=0,"",KA9/(INDEX('Standards for Conversions'!$H$47:$H$73,MATCH(JZ$3,'Standards for Conversions'!$A$47:$A$73,0))))</f>
        <v>94.261308334057517</v>
      </c>
      <c r="KC9" s="31"/>
      <c r="KD9" s="31"/>
      <c r="KE9" s="31" t="str">
        <f>IF(KD9/(INDEX('Standards for Conversions'!$H$47:$H$73,MATCH(KC$3,'Standards for Conversions'!$A$47:$A$73,0)))=0,"",KD9/(INDEX('Standards for Conversions'!$H$47:$H$73,MATCH(KC$3,'Standards for Conversions'!$A$47:$A$73,0))))</f>
        <v/>
      </c>
      <c r="KF9" s="31"/>
      <c r="KG9" s="31"/>
      <c r="KH9" s="31" t="str">
        <f>IF(KG9/(INDEX('Standards for Conversions'!$H$47:$H$73,MATCH(KF$3,'Standards for Conversions'!$A$47:$A$73,0)))=0,"",KG9/(INDEX('Standards for Conversions'!$H$47:$H$73,MATCH(KF$3,'Standards for Conversions'!$A$47:$A$73,0))))</f>
        <v/>
      </c>
      <c r="KI9" s="31"/>
      <c r="KJ9" s="31"/>
      <c r="KK9" s="31" t="str">
        <f>IF(KJ9/(INDEX('Standards for Conversions'!$H$47:$H$73,MATCH(KI$3,'Standards for Conversions'!$A$47:$A$73,0)))=0,"",KJ9/(INDEX('Standards for Conversions'!$H$47:$H$73,MATCH(KI$3,'Standards for Conversions'!$A$47:$A$73,0))))</f>
        <v/>
      </c>
      <c r="KL9" s="31">
        <v>682.5</v>
      </c>
      <c r="KM9" s="31">
        <v>1530</v>
      </c>
      <c r="KN9" s="31">
        <f>IF(KM9/(INDEX('Standards for Conversions'!$H$47:$H$73,MATCH(KL$3,'Standards for Conversions'!$A$47:$A$73,0)))=0,"",KM9/(INDEX('Standards for Conversions'!$H$47:$H$73,MATCH(KL$3,'Standards for Conversions'!$A$47:$A$73,0))))</f>
        <v>186.07334709307375</v>
      </c>
      <c r="KO9" s="31">
        <f t="shared" ref="KO9:KP12" si="38">KC9+KF9+KI9+KL9</f>
        <v>682.5</v>
      </c>
      <c r="KP9" s="31">
        <f t="shared" si="38"/>
        <v>1530</v>
      </c>
      <c r="KQ9" s="31">
        <f>IF(KP9/(INDEX('Standards for Conversions'!$H$47:$H$73,MATCH(KO$3,'Standards for Conversions'!$A$47:$A$73,0)))=0,"",KP9/(INDEX('Standards for Conversions'!$H$47:$H$73,MATCH(KO$3,'Standards for Conversions'!$A$47:$A$73,0))))</f>
        <v>186.07334709307375</v>
      </c>
      <c r="KR9" s="31"/>
      <c r="KS9" s="31"/>
      <c r="KT9" s="31" t="str">
        <f>IF(KS9/(INDEX('Standards for Conversions'!$H$47:$H$73,MATCH(KR$3,'Standards for Conversions'!$A$47:$A$73,0)))=0,"",KS9/(INDEX('Standards for Conversions'!$H$47:$H$73,MATCH(KR$3,'Standards for Conversions'!$A$47:$A$73,0))))</f>
        <v/>
      </c>
      <c r="KU9" s="31"/>
      <c r="KV9" s="31"/>
      <c r="KW9" s="31" t="str">
        <f>IF(KV9/(INDEX('Standards for Conversions'!$H$47:$H$73,MATCH(KU$3,'Standards for Conversions'!$A$47:$A$73,0)))=0,"",KV9/(INDEX('Standards for Conversions'!$H$47:$H$73,MATCH(KU$3,'Standards for Conversions'!$A$47:$A$73,0))))</f>
        <v/>
      </c>
      <c r="KX9" s="31"/>
      <c r="KY9" s="31"/>
      <c r="KZ9" s="31" t="str">
        <f>IF(KY9/(INDEX('Standards for Conversions'!$H$47:$H$73,MATCH(KX$3,'Standards for Conversions'!$A$47:$A$73,0)))=0,"",KY9/(INDEX('Standards for Conversions'!$H$47:$H$73,MATCH(KX$3,'Standards for Conversions'!$A$47:$A$73,0))))</f>
        <v/>
      </c>
      <c r="LA9" s="31"/>
      <c r="LB9" s="31"/>
      <c r="LC9" s="31" t="str">
        <f>IF(LB9/(INDEX('Standards for Conversions'!$H$47:$H$73,MATCH(LA$3,'Standards for Conversions'!$A$47:$A$73,0)))=0,"",LB9/(INDEX('Standards for Conversions'!$H$47:$H$73,MATCH(LA$3,'Standards for Conversions'!$A$47:$A$73,0))))</f>
        <v/>
      </c>
      <c r="LD9" s="31"/>
      <c r="LE9" s="31"/>
      <c r="LF9" s="31" t="str">
        <f>IF(LE9/(INDEX('Standards for Conversions'!$H$47:$H$73,MATCH(LD$3,'Standards for Conversions'!$A$47:$A$73,0)))=0,"",LE9/(INDEX('Standards for Conversions'!$H$47:$H$73,MATCH(LD$3,'Standards for Conversions'!$A$47:$A$73,0))))</f>
        <v/>
      </c>
      <c r="LG9" s="31"/>
      <c r="LH9" s="31"/>
      <c r="LI9" s="31" t="str">
        <f>IF(LH9/(INDEX('Standards for Conversions'!$H$47:$H$73,MATCH(LG$3,'Standards for Conversions'!$A$47:$A$73,0)))=0,"",LH9/(INDEX('Standards for Conversions'!$H$47:$H$73,MATCH(LG$3,'Standards for Conversions'!$A$47:$A$73,0))))</f>
        <v/>
      </c>
      <c r="LJ9" s="31"/>
      <c r="LK9" s="31"/>
      <c r="LL9" s="31" t="str">
        <f>IF(LK9/(INDEX('Standards for Conversions'!$H$47:$H$73,MATCH(LJ$3,'Standards for Conversions'!$A$47:$A$73,0)))=0,"",LK9/(INDEX('Standards for Conversions'!$H$47:$H$73,MATCH(LJ$3,'Standards for Conversions'!$A$47:$A$73,0))))</f>
        <v/>
      </c>
      <c r="LM9" s="31"/>
      <c r="LN9" s="31"/>
      <c r="LO9" s="31" t="str">
        <f>IF(LN9/(INDEX('Standards for Conversions'!$H$47:$H$73,MATCH(LM$3,'Standards for Conversions'!$A$47:$A$73,0)))=0,"",LN9/(INDEX('Standards for Conversions'!$H$47:$H$73,MATCH(LM$3,'Standards for Conversions'!$A$47:$A$73,0))))</f>
        <v/>
      </c>
      <c r="LQ9" s="31"/>
      <c r="LR9" s="31" t="str">
        <f>IF(LQ9/(INDEX('Standards for Conversions'!$H$47:$H$73,MATCH(LP$3,'Standards for Conversions'!$A$47:$A$73,0)))=0,"",LQ9/(INDEX('Standards for Conversions'!$H$47:$H$73,MATCH(LP$3,'Standards for Conversions'!$A$47:$A$73,0))))</f>
        <v/>
      </c>
      <c r="LS9" s="31"/>
      <c r="LT9" s="31"/>
      <c r="LU9" s="31" t="str">
        <f>IF(LT9/(INDEX('Standards for Conversions'!$H$47:$H$73,MATCH(LS$3,'Standards for Conversions'!$A$47:$A$73,0)))=0,"",LT9/(INDEX('Standards for Conversions'!$H$47:$H$73,MATCH(LS$3,'Standards for Conversions'!$A$47:$A$73,0))))</f>
        <v/>
      </c>
      <c r="LV9" s="31"/>
      <c r="LW9" s="31"/>
      <c r="LX9" s="31" t="str">
        <f>IF(LW9/(INDEX('Standards for Conversions'!$H$47:$H$73,MATCH(LV$3,'Standards for Conversions'!$A$47:$A$73,0)))=0,"",LW9/(INDEX('Standards for Conversions'!$H$47:$H$73,MATCH(LV$3,'Standards for Conversions'!$A$47:$A$73,0))))</f>
        <v/>
      </c>
      <c r="LZ9" s="31"/>
      <c r="MA9" s="31"/>
      <c r="MB9" s="31"/>
      <c r="MC9" s="31"/>
      <c r="MD9" s="31"/>
      <c r="ME9" s="31"/>
      <c r="MF9" s="31"/>
      <c r="MG9" s="31"/>
      <c r="MH9" s="31"/>
      <c r="MI9" s="31">
        <v>1674</v>
      </c>
      <c r="MJ9" s="31">
        <v>883</v>
      </c>
      <c r="MK9" s="31">
        <v>758</v>
      </c>
      <c r="ML9" s="31">
        <v>395</v>
      </c>
      <c r="MM9" s="31"/>
      <c r="MN9" s="31"/>
    </row>
    <row r="10" spans="1:352" s="33" customFormat="1" ht="14.4" customHeight="1" x14ac:dyDescent="0.3">
      <c r="A10" s="102" t="s">
        <v>68</v>
      </c>
      <c r="B10" s="10" t="s">
        <v>399</v>
      </c>
      <c r="C10" s="9"/>
      <c r="D10" s="9"/>
      <c r="E10" s="31" t="s">
        <v>128</v>
      </c>
      <c r="F10" s="9"/>
      <c r="G10" s="9"/>
      <c r="H10" s="31" t="s">
        <v>128</v>
      </c>
      <c r="L10" s="9"/>
      <c r="M10" s="9"/>
      <c r="N10" s="31" t="s">
        <v>128</v>
      </c>
      <c r="O10" s="31">
        <f t="shared" si="4"/>
        <v>0</v>
      </c>
      <c r="P10" s="31">
        <f t="shared" si="5"/>
        <v>0</v>
      </c>
      <c r="Q10" s="31" t="str">
        <f>IF(P10/(INDEX('Standards for Conversions'!$H$34:$H$73,MATCH(O$3,'Standards for Conversions'!$A$34:$A$73,0)))=0,"",P10/(INDEX('Standards for Conversions'!$H$34:$H$73,MATCH(O$3,'Standards for Conversions'!$A$34:$A$73,0))))</f>
        <v/>
      </c>
      <c r="R10" s="9"/>
      <c r="S10" s="9"/>
      <c r="T10" s="31" t="s">
        <v>128</v>
      </c>
      <c r="U10" s="9"/>
      <c r="V10" s="9"/>
      <c r="W10" s="31" t="s">
        <v>128</v>
      </c>
      <c r="AA10" s="9"/>
      <c r="AB10" s="9"/>
      <c r="AC10" s="31" t="s">
        <v>128</v>
      </c>
      <c r="AD10" s="31">
        <f t="shared" si="6"/>
        <v>0</v>
      </c>
      <c r="AE10" s="31">
        <f t="shared" si="7"/>
        <v>0</v>
      </c>
      <c r="AF10" s="31" t="str">
        <f>IF(AE10/(INDEX('Standards for Conversions'!$H$34:$H$73,MATCH(AD$3,'Standards for Conversions'!$A$34:$A$73,0)))=0,"",AE10/(INDEX('Standards for Conversions'!$H$34:$H$73,MATCH(AD$3,'Standards for Conversions'!$A$34:$A$73,0))))</f>
        <v/>
      </c>
      <c r="AG10" s="9"/>
      <c r="AH10" s="9"/>
      <c r="AI10" s="31" t="s">
        <v>128</v>
      </c>
      <c r="AJ10" s="9"/>
      <c r="AK10" s="9"/>
      <c r="AL10" s="31" t="s">
        <v>128</v>
      </c>
      <c r="AP10" s="7"/>
      <c r="AQ10" s="7"/>
      <c r="AR10" s="31" t="s">
        <v>128</v>
      </c>
      <c r="AS10" s="31">
        <f t="shared" si="8"/>
        <v>0</v>
      </c>
      <c r="AT10" s="31">
        <f t="shared" si="9"/>
        <v>0</v>
      </c>
      <c r="AU10" s="31" t="str">
        <f>IF(AT10/(INDEX('Standards for Conversions'!$H$34:$H$73,MATCH(AS$3,'Standards for Conversions'!$A$34:$A$73,0)))=0,"",AT10/(INDEX('Standards for Conversions'!$H$34:$H$73,MATCH(AS$3,'Standards for Conversions'!$A$34:$A$73,0))))</f>
        <v/>
      </c>
      <c r="AV10" s="7"/>
      <c r="AW10" s="7"/>
      <c r="AX10" s="31" t="s">
        <v>128</v>
      </c>
      <c r="AY10" s="7"/>
      <c r="AZ10" s="7"/>
      <c r="BA10" s="31" t="s">
        <v>128</v>
      </c>
      <c r="BE10" s="7">
        <v>8750</v>
      </c>
      <c r="BF10" s="7">
        <v>19000</v>
      </c>
      <c r="BG10" s="31">
        <v>3528.0237663306393</v>
      </c>
      <c r="BH10" s="31">
        <f t="shared" si="10"/>
        <v>8750</v>
      </c>
      <c r="BI10" s="31">
        <f t="shared" si="11"/>
        <v>19000</v>
      </c>
      <c r="BJ10" s="31">
        <f>IF(BI10/(INDEX('Standards for Conversions'!$H$34:$H$73,MATCH(BH$3,'Standards for Conversions'!$A$34:$A$73,0)))=0,"",BI10/(INDEX('Standards for Conversions'!$H$34:$H$73,MATCH(BH$3,'Standards for Conversions'!$A$34:$A$73,0))))</f>
        <v>3528.0237663306393</v>
      </c>
      <c r="BK10" s="7"/>
      <c r="BL10" s="7"/>
      <c r="BM10" s="31" t="s">
        <v>128</v>
      </c>
      <c r="BN10" s="7"/>
      <c r="BO10" s="7"/>
      <c r="BP10" s="31" t="s">
        <v>128</v>
      </c>
      <c r="BT10" s="7">
        <v>8750</v>
      </c>
      <c r="BU10" s="7">
        <v>19000</v>
      </c>
      <c r="BV10" s="31">
        <v>3383.201810130065</v>
      </c>
      <c r="BW10" s="31">
        <f t="shared" si="12"/>
        <v>8750</v>
      </c>
      <c r="BX10" s="31">
        <f t="shared" si="13"/>
        <v>19000</v>
      </c>
      <c r="BY10" s="31">
        <f>IF(BX10/(INDEX('Standards for Conversions'!$H$34:$H$73,MATCH(BW$3,'Standards for Conversions'!$A$34:$A$73,0)))=0,"",BX10/(INDEX('Standards for Conversions'!$H$34:$H$73,MATCH(BW$3,'Standards for Conversions'!$A$34:$A$73,0))))</f>
        <v>3383.201810130065</v>
      </c>
      <c r="BZ10" s="7"/>
      <c r="CA10" s="7"/>
      <c r="CB10" s="31" t="s">
        <v>128</v>
      </c>
      <c r="CC10" s="7"/>
      <c r="CD10" s="7"/>
      <c r="CE10" s="31" t="s">
        <v>128</v>
      </c>
      <c r="CI10" s="7">
        <v>8750</v>
      </c>
      <c r="CJ10" s="7">
        <v>19000</v>
      </c>
      <c r="CK10" s="31">
        <v>3298.7223356797313</v>
      </c>
      <c r="CL10" s="31">
        <f t="shared" si="14"/>
        <v>8750</v>
      </c>
      <c r="CM10" s="31">
        <f t="shared" si="15"/>
        <v>19000</v>
      </c>
      <c r="CN10" s="31">
        <f>IF(CM10/(INDEX('Standards for Conversions'!$H$34:$H$73,MATCH(CL$3,'Standards for Conversions'!$A$34:$A$73,0)))=0,"",CM10/(INDEX('Standards for Conversions'!$H$34:$H$73,MATCH(CL$3,'Standards for Conversions'!$A$34:$A$73,0))))</f>
        <v>3298.7223356797313</v>
      </c>
      <c r="CO10" s="7"/>
      <c r="CP10" s="7"/>
      <c r="CQ10" s="31" t="s">
        <v>128</v>
      </c>
      <c r="CR10" s="7"/>
      <c r="CS10" s="7"/>
      <c r="CT10" s="31" t="s">
        <v>128</v>
      </c>
      <c r="CU10" s="9"/>
      <c r="CV10" s="9"/>
      <c r="CW10" s="31" t="s">
        <v>128</v>
      </c>
      <c r="CX10" s="7">
        <v>26652.5</v>
      </c>
      <c r="CY10" s="7">
        <v>40000</v>
      </c>
      <c r="CZ10" s="31">
        <v>7080.1845253613747</v>
      </c>
      <c r="DA10" s="31">
        <f t="shared" si="16"/>
        <v>26652.5</v>
      </c>
      <c r="DB10" s="31">
        <f t="shared" si="17"/>
        <v>40000</v>
      </c>
      <c r="DC10" s="31">
        <f>IF(DB10/(INDEX('Standards for Conversions'!$H$34:$H$73,MATCH(DA$3,'Standards for Conversions'!$A$34:$A$73,0)))=0,"",DB10/(INDEX('Standards for Conversions'!$H$34:$H$73,MATCH(DA$3,'Standards for Conversions'!$A$34:$A$73,0))))</f>
        <v>7080.1845253613747</v>
      </c>
      <c r="DD10" s="7"/>
      <c r="DE10" s="7"/>
      <c r="DF10" s="31" t="s">
        <v>128</v>
      </c>
      <c r="DG10" s="7"/>
      <c r="DH10" s="7"/>
      <c r="DI10" s="31" t="s">
        <v>128</v>
      </c>
      <c r="DJ10" s="9">
        <v>40250</v>
      </c>
      <c r="DK10" s="9">
        <v>70000</v>
      </c>
      <c r="DL10" s="31">
        <v>12256.934275513455</v>
      </c>
      <c r="DM10" s="7">
        <v>350</v>
      </c>
      <c r="DN10" s="7">
        <v>600</v>
      </c>
      <c r="DO10" s="31">
        <v>105.0594366472582</v>
      </c>
      <c r="DP10" s="31">
        <f t="shared" si="18"/>
        <v>40600</v>
      </c>
      <c r="DQ10" s="31">
        <f t="shared" si="19"/>
        <v>70600</v>
      </c>
      <c r="DR10" s="31">
        <f>IF(DQ10/(INDEX('Standards for Conversions'!$H$34:$H$73,MATCH(DP$3,'Standards for Conversions'!$A$34:$A$73,0)))=0,"",DQ10/(INDEX('Standards for Conversions'!$H$34:$H$73,MATCH(DP$3,'Standards for Conversions'!$A$34:$A$73,0))))</f>
        <v>12361.993712160713</v>
      </c>
      <c r="DS10" s="7"/>
      <c r="DT10" s="7"/>
      <c r="DU10" s="31" t="s">
        <v>128</v>
      </c>
      <c r="DV10" s="7"/>
      <c r="DW10" s="7"/>
      <c r="DX10" s="31" t="s">
        <v>128</v>
      </c>
      <c r="DY10" s="9">
        <v>40960.5</v>
      </c>
      <c r="DZ10" s="9">
        <v>59260</v>
      </c>
      <c r="EA10" s="31">
        <v>10363.823357883606</v>
      </c>
      <c r="EB10" s="7">
        <v>17.5</v>
      </c>
      <c r="EC10" s="7">
        <v>30</v>
      </c>
      <c r="ED10" s="31">
        <v>5.2466199921786734</v>
      </c>
      <c r="EE10" s="31">
        <f t="shared" si="20"/>
        <v>40978</v>
      </c>
      <c r="EF10" s="31">
        <f t="shared" si="21"/>
        <v>59290</v>
      </c>
      <c r="EG10" s="31">
        <f>IF(EF10/(INDEX('Standards for Conversions'!$H$34:$H$73,MATCH(EE$3,'Standards for Conversions'!$A$34:$A$73,0)))=0,"",EF10/(INDEX('Standards for Conversions'!$H$34:$H$73,MATCH(EE$3,'Standards for Conversions'!$A$34:$A$73,0))))</f>
        <v>10369.069977875784</v>
      </c>
      <c r="EH10" s="7"/>
      <c r="EI10" s="7"/>
      <c r="EJ10" s="31" t="s">
        <v>128</v>
      </c>
      <c r="EK10" s="7"/>
      <c r="EL10" s="7"/>
      <c r="EM10" s="31" t="s">
        <v>128</v>
      </c>
      <c r="EN10" s="9">
        <v>29366.75</v>
      </c>
      <c r="EO10" s="9">
        <v>41955</v>
      </c>
      <c r="EP10" s="31">
        <v>7186.3862346017631</v>
      </c>
      <c r="EQ10" s="7">
        <v>602</v>
      </c>
      <c r="ER10" s="7">
        <v>6035</v>
      </c>
      <c r="ES10" s="31">
        <v>1033.7228203032212</v>
      </c>
      <c r="ET10" s="31">
        <f t="shared" si="22"/>
        <v>29968.75</v>
      </c>
      <c r="EU10" s="31">
        <f t="shared" si="23"/>
        <v>47990</v>
      </c>
      <c r="EV10" s="31">
        <f>IF(EU10/(INDEX('Standards for Conversions'!$H$34:$H$73,MATCH(ET$3,'Standards for Conversions'!$A$34:$A$73,0)))=0,"",EU10/(INDEX('Standards for Conversions'!$H$34:$H$73,MATCH(ET$3,'Standards for Conversions'!$A$34:$A$73,0))))</f>
        <v>8220.1090549049841</v>
      </c>
      <c r="EW10" s="7"/>
      <c r="EX10" s="7"/>
      <c r="EY10" s="31" t="s">
        <v>128</v>
      </c>
      <c r="EZ10" s="7"/>
      <c r="FA10" s="7"/>
      <c r="FB10" s="31" t="s">
        <v>128</v>
      </c>
      <c r="FC10" s="9">
        <v>26250</v>
      </c>
      <c r="FD10" s="9">
        <v>40000</v>
      </c>
      <c r="FE10" s="31">
        <v>6859.9873989745365</v>
      </c>
      <c r="FF10" s="7">
        <v>1750</v>
      </c>
      <c r="FG10" s="7">
        <v>3000</v>
      </c>
      <c r="FH10" s="31">
        <v>514.49905492309017</v>
      </c>
      <c r="FI10" s="31">
        <f t="shared" si="24"/>
        <v>28000</v>
      </c>
      <c r="FJ10" s="31">
        <f t="shared" si="25"/>
        <v>43000</v>
      </c>
      <c r="FK10" s="31">
        <f>IF(FJ10/(INDEX('Standards for Conversions'!$H$34:$H$73,MATCH(FI$3,'Standards for Conversions'!$A$34:$A$73,0)))=0,"",FJ10/(INDEX('Standards for Conversions'!$H$34:$H$73,MATCH(FI$3,'Standards for Conversions'!$A$34:$A$73,0))))</f>
        <v>7374.4864538976262</v>
      </c>
      <c r="FL10" s="7"/>
      <c r="FM10" s="7"/>
      <c r="FN10" s="31" t="s">
        <v>128</v>
      </c>
      <c r="FO10" s="7"/>
      <c r="FP10" s="7"/>
      <c r="FQ10" s="31" t="s">
        <v>128</v>
      </c>
      <c r="FR10" s="9">
        <v>32959.5</v>
      </c>
      <c r="FS10" s="9">
        <v>45880</v>
      </c>
      <c r="FT10" s="31">
        <v>7547.8408762057879</v>
      </c>
      <c r="FU10" s="7">
        <v>2625</v>
      </c>
      <c r="FV10" s="7">
        <v>4500</v>
      </c>
      <c r="FW10" s="31">
        <v>740.3069734726688</v>
      </c>
      <c r="FX10" s="31">
        <f t="shared" si="26"/>
        <v>35584.5</v>
      </c>
      <c r="FY10" s="31">
        <f t="shared" si="27"/>
        <v>50380</v>
      </c>
      <c r="FZ10" s="31">
        <f>IF(FY10/(INDEX('Standards for Conversions'!$H$34:$H$73,MATCH(FX$3,'Standards for Conversions'!$A$34:$A$73,0)))=0,"",FY10/(INDEX('Standards for Conversions'!$H$34:$H$73,MATCH(FX$3,'Standards for Conversions'!$A$34:$A$73,0))))</f>
        <v>8288.1478496784566</v>
      </c>
      <c r="GA10" s="7"/>
      <c r="GB10" s="7"/>
      <c r="GC10" s="31" t="s">
        <v>128</v>
      </c>
      <c r="GD10" s="7"/>
      <c r="GE10" s="7"/>
      <c r="GF10" s="31" t="s">
        <v>128</v>
      </c>
      <c r="GG10" s="9">
        <v>15750</v>
      </c>
      <c r="GH10" s="9">
        <v>27000</v>
      </c>
      <c r="GI10" s="31">
        <v>4150.2923763795952</v>
      </c>
      <c r="GJ10" s="7">
        <v>3850</v>
      </c>
      <c r="GK10" s="7">
        <v>9000</v>
      </c>
      <c r="GL10" s="31">
        <v>1383.4307921265317</v>
      </c>
      <c r="GM10" s="31">
        <f t="shared" si="28"/>
        <v>19600</v>
      </c>
      <c r="GN10" s="31">
        <f t="shared" si="29"/>
        <v>36000</v>
      </c>
      <c r="GO10" s="31">
        <f>IF(GN10/(INDEX('Standards for Conversions'!$H$34:$H$73,MATCH(GM$3,'Standards for Conversions'!$A$34:$A$73,0)))=0,"",GN10/(INDEX('Standards for Conversions'!$H$34:$H$73,MATCH(GM$3,'Standards for Conversions'!$A$34:$A$73,0))))</f>
        <v>5533.723168506127</v>
      </c>
      <c r="GP10" s="7"/>
      <c r="GQ10" s="7"/>
      <c r="GR10" s="31" t="s">
        <v>128</v>
      </c>
      <c r="GS10" s="7"/>
      <c r="GT10" s="7"/>
      <c r="GU10" s="31" t="s">
        <v>128</v>
      </c>
      <c r="GV10" s="9">
        <v>14000</v>
      </c>
      <c r="GW10" s="9">
        <v>24000</v>
      </c>
      <c r="GX10" s="31">
        <v>3633.2525853828097</v>
      </c>
      <c r="GY10" s="7">
        <v>5250</v>
      </c>
      <c r="GZ10" s="7">
        <v>10000</v>
      </c>
      <c r="HA10" s="31">
        <v>1513.855243909504</v>
      </c>
      <c r="HB10" s="31">
        <f t="shared" si="30"/>
        <v>19250</v>
      </c>
      <c r="HC10" s="31">
        <f t="shared" si="31"/>
        <v>34000</v>
      </c>
      <c r="HD10" s="31">
        <f>IF(HC10/(INDEX('Standards for Conversions'!$H$34:$H$73,MATCH(HB$3,'Standards for Conversions'!$A$34:$A$73,0)))=0,"",HC10/(INDEX('Standards for Conversions'!$H$34:$H$73,MATCH(HB$3,'Standards for Conversions'!$A$34:$A$73,0))))</f>
        <v>5147.1078292923139</v>
      </c>
      <c r="HE10" s="112" t="s">
        <v>98</v>
      </c>
      <c r="HF10" s="31"/>
      <c r="HG10" s="31"/>
      <c r="HH10" s="31" t="str">
        <f>IF(HG10/(INDEX('Standards for Conversions'!$H$47:$H$73,MATCH(HF$3,'Standards for Conversions'!$A$47:$A$73,0)))=0,"",HG10/(INDEX('Standards for Conversions'!$H$47:$H$73,MATCH(HF$3,'Standards for Conversions'!$A$47:$A$73,0))))</f>
        <v/>
      </c>
      <c r="HI10" s="31"/>
      <c r="HJ10" s="31"/>
      <c r="HK10" s="31" t="str">
        <f>IF(HJ10/(INDEX('Standards for Conversions'!$H$47:$H$73,MATCH(HI$3,'Standards for Conversions'!$A$47:$A$73,0)))=0,"",HJ10/(INDEX('Standards for Conversions'!$H$47:$H$73,MATCH(HI$3,'Standards for Conversions'!$A$47:$A$73,0))))</f>
        <v/>
      </c>
      <c r="HL10" s="31">
        <v>17500</v>
      </c>
      <c r="HM10" s="31">
        <v>28000</v>
      </c>
      <c r="HN10" s="31">
        <f>IF(HM10/(INDEX('Standards for Conversions'!$H$47:$H$73,MATCH(HL$3,'Standards for Conversions'!$A$47:$A$73,0)))=0,"",HM10/(INDEX('Standards for Conversions'!$H$47:$H$73,MATCH(HL$3,'Standards for Conversions'!$A$47:$A$73,0))))</f>
        <v>4066.8715419599666</v>
      </c>
      <c r="HO10" s="31">
        <v>7000</v>
      </c>
      <c r="HP10" s="31">
        <v>12000</v>
      </c>
      <c r="HQ10" s="31">
        <f>IF(HP10/(INDEX('Standards for Conversions'!$H$47:$H$73,MATCH(HO$3,'Standards for Conversions'!$A$47:$A$73,0)))=0,"",HP10/(INDEX('Standards for Conversions'!$H$47:$H$73,MATCH(HO$3,'Standards for Conversions'!$A$47:$A$73,0))))</f>
        <v>1742.9449465542716</v>
      </c>
      <c r="HR10" s="31">
        <f t="shared" si="32"/>
        <v>24500</v>
      </c>
      <c r="HS10" s="31">
        <f t="shared" si="32"/>
        <v>40000</v>
      </c>
      <c r="HT10" s="31">
        <f>IF(HS10/(INDEX('Standards for Conversions'!$H$47:$H$73,MATCH(HR$3,'Standards for Conversions'!$A$47:$A$73,0)))=0,"",HS10/(INDEX('Standards for Conversions'!$H$47:$H$73,MATCH(HR$3,'Standards for Conversions'!$A$47:$A$73,0))))</f>
        <v>5809.8164885142387</v>
      </c>
      <c r="HU10" s="31"/>
      <c r="HV10" s="31"/>
      <c r="HW10" s="31" t="str">
        <f>IF(HV10/(INDEX('Standards for Conversions'!$H$47:$H$73,MATCH(HU$3,'Standards for Conversions'!$A$47:$A$73,0)))=0,"",HV10/(INDEX('Standards for Conversions'!$H$47:$H$73,MATCH(HU$3,'Standards for Conversions'!$A$47:$A$73,0))))</f>
        <v/>
      </c>
      <c r="HX10" s="31"/>
      <c r="HY10" s="31"/>
      <c r="HZ10" s="31" t="str">
        <f>IF(HY10/(INDEX('Standards for Conversions'!$H$47:$H$73,MATCH(HX$3,'Standards for Conversions'!$A$47:$A$73,0)))=0,"",HY10/(INDEX('Standards for Conversions'!$H$47:$H$73,MATCH(HX$3,'Standards for Conversions'!$A$47:$A$73,0))))</f>
        <v/>
      </c>
      <c r="IA10" s="31">
        <v>8050</v>
      </c>
      <c r="IB10" s="31">
        <v>13860</v>
      </c>
      <c r="IC10" s="31">
        <f>IF(IB10/(INDEX('Standards for Conversions'!$H$47:$H$73,MATCH(IA$3,'Standards for Conversions'!$A$47:$A$73,0)))=0,"",IB10/(INDEX('Standards for Conversions'!$H$47:$H$73,MATCH(IA$3,'Standards for Conversions'!$A$47:$A$73,0))))</f>
        <v>2004.2977627748326</v>
      </c>
      <c r="ID10" s="31">
        <v>19839.75</v>
      </c>
      <c r="IE10" s="31">
        <v>34021</v>
      </c>
      <c r="IF10" s="31">
        <f>IF(IE10/(INDEX('Standards for Conversions'!$H$47:$H$73,MATCH(ID$3,'Standards for Conversions'!$A$47:$A$73,0)))=0,"",IE10/(INDEX('Standards for Conversions'!$H$47:$H$73,MATCH(ID$3,'Standards for Conversions'!$A$47:$A$73,0))))</f>
        <v>4919.7845734027833</v>
      </c>
      <c r="IG10" s="31">
        <f t="shared" si="33"/>
        <v>27889.75</v>
      </c>
      <c r="IH10" s="31">
        <f t="shared" si="34"/>
        <v>47881</v>
      </c>
      <c r="II10" s="31">
        <f>IF(IH10/(INDEX('Standards for Conversions'!$H$47:$H$73,MATCH(IG$3,'Standards for Conversions'!$A$47:$A$73,0)))=0,"",IH10/(INDEX('Standards for Conversions'!$H$47:$H$73,MATCH(IG$3,'Standards for Conversions'!$A$47:$A$73,0))))</f>
        <v>6924.0823361776156</v>
      </c>
      <c r="IJ10" s="31"/>
      <c r="IK10" s="31"/>
      <c r="IL10" s="31" t="str">
        <f>IF(IK10/(INDEX('Standards for Conversions'!$H$47:$H$73,MATCH(IJ$3,'Standards for Conversions'!$A$47:$A$73,0)))=0,"",IK10/(INDEX('Standards for Conversions'!$H$47:$H$73,MATCH(IJ$3,'Standards for Conversions'!$A$47:$A$73,0))))</f>
        <v/>
      </c>
      <c r="IM10" s="31"/>
      <c r="IN10" s="31"/>
      <c r="IO10" s="31" t="str">
        <f>IF(IN10/(INDEX('Standards for Conversions'!$H$47:$H$73,MATCH(IM$3,'Standards for Conversions'!$A$47:$A$73,0)))=0,"",IN10/(INDEX('Standards for Conversions'!$H$47:$H$73,MATCH(IM$3,'Standards for Conversions'!$A$47:$A$73,0))))</f>
        <v/>
      </c>
      <c r="IP10" s="31">
        <v>8750</v>
      </c>
      <c r="IQ10" s="31">
        <v>17500</v>
      </c>
      <c r="IR10" s="31">
        <f>IF(IQ10/(INDEX('Standards for Conversions'!$H$47:$H$73,MATCH(IP$3,'Standards for Conversions'!$A$47:$A$73,0)))=0,"",IQ10/(INDEX('Standards for Conversions'!$H$47:$H$73,MATCH(IP$3,'Standards for Conversions'!$A$47:$A$73,0))))</f>
        <v>2830.8034421077023</v>
      </c>
      <c r="IS10" s="31">
        <v>1155</v>
      </c>
      <c r="IT10" s="31">
        <v>2030</v>
      </c>
      <c r="IU10" s="31">
        <f>IF(IT10/(INDEX('Standards for Conversions'!$H$47:$H$73,MATCH(IS$3,'Standards for Conversions'!$A$47:$A$73,0)))=0,"",IT10/(INDEX('Standards for Conversions'!$H$47:$H$73,MATCH(IS$3,'Standards for Conversions'!$A$47:$A$73,0))))</f>
        <v>328.37319928449347</v>
      </c>
      <c r="IV10" s="31">
        <f t="shared" si="35"/>
        <v>9905</v>
      </c>
      <c r="IW10" s="31">
        <f t="shared" si="35"/>
        <v>19530</v>
      </c>
      <c r="IX10" s="31">
        <f>IF(IW10/(INDEX('Standards for Conversions'!$H$47:$H$73,MATCH(IV$3,'Standards for Conversions'!$A$47:$A$73,0)))=0,"",IW10/(INDEX('Standards for Conversions'!$H$47:$H$73,MATCH(IV$3,'Standards for Conversions'!$A$47:$A$73,0))))</f>
        <v>3159.1766413921955</v>
      </c>
      <c r="IY10" s="31"/>
      <c r="IZ10" s="31"/>
      <c r="JA10" s="31" t="str">
        <f>IF(IZ10/(INDEX('Standards for Conversions'!$H$47:$H$73,MATCH(IY$3,'Standards for Conversions'!$A$47:$A$73,0)))=0,"",IZ10/(INDEX('Standards for Conversions'!$H$47:$H$73,MATCH(IY$3,'Standards for Conversions'!$A$47:$A$73,0))))</f>
        <v/>
      </c>
      <c r="JB10" s="31"/>
      <c r="JC10" s="31"/>
      <c r="JD10" s="31" t="str">
        <f>IF(JC10/(INDEX('Standards for Conversions'!$H$47:$H$73,MATCH(JB$3,'Standards for Conversions'!$A$47:$A$73,0)))=0,"",JC10/(INDEX('Standards for Conversions'!$H$47:$H$73,MATCH(JB$3,'Standards for Conversions'!$A$47:$A$73,0))))</f>
        <v/>
      </c>
      <c r="JE10" s="31">
        <v>10500</v>
      </c>
      <c r="JF10" s="31">
        <v>19000</v>
      </c>
      <c r="JG10" s="31">
        <f>IF(JF10/(INDEX('Standards for Conversions'!$H$47:$H$73,MATCH(JE$3,'Standards for Conversions'!$A$47:$A$73,0)))=0,"",JF10/(INDEX('Standards for Conversions'!$H$47:$H$73,MATCH(JE$3,'Standards for Conversions'!$A$47:$A$73,0))))</f>
        <v>2900.4619561281538</v>
      </c>
      <c r="JH10" s="31">
        <v>1400</v>
      </c>
      <c r="JI10" s="31">
        <v>2500</v>
      </c>
      <c r="JJ10" s="31">
        <f>IF(JI10/(INDEX('Standards for Conversions'!$H$47:$H$73,MATCH(JH$3,'Standards for Conversions'!$A$47:$A$73,0)))=0,"",JI10/(INDEX('Standards for Conversions'!$H$47:$H$73,MATCH(JH$3,'Standards for Conversions'!$A$47:$A$73,0))))</f>
        <v>381.63973106949391</v>
      </c>
      <c r="JK10" s="31">
        <f t="shared" si="36"/>
        <v>11900</v>
      </c>
      <c r="JL10" s="31">
        <f t="shared" si="36"/>
        <v>21500</v>
      </c>
      <c r="JM10" s="31">
        <f>IF(JL10/(INDEX('Standards for Conversions'!$H$47:$H$73,MATCH(JK$3,'Standards for Conversions'!$A$47:$A$73,0)))=0,"",JL10/(INDEX('Standards for Conversions'!$H$47:$H$73,MATCH(JK$3,'Standards for Conversions'!$A$47:$A$73,0))))</f>
        <v>3282.1016871976476</v>
      </c>
      <c r="JN10" s="31"/>
      <c r="JO10" s="31"/>
      <c r="JP10" s="31" t="str">
        <f>IF(JO10/(INDEX('Standards for Conversions'!$H$47:$H$73,MATCH(JN$3,'Standards for Conversions'!$A$47:$A$73,0)))=0,"",JO10/(INDEX('Standards for Conversions'!$H$47:$H$73,MATCH(JN$3,'Standards for Conversions'!$A$47:$A$73,0))))</f>
        <v/>
      </c>
      <c r="JQ10" s="31"/>
      <c r="JR10" s="31"/>
      <c r="JS10" s="31" t="str">
        <f>IF(JR10/(INDEX('Standards for Conversions'!$H$47:$H$73,MATCH(JQ$3,'Standards for Conversions'!$A$47:$A$73,0)))=0,"",JR10/(INDEX('Standards for Conversions'!$H$47:$H$73,MATCH(JQ$3,'Standards for Conversions'!$A$47:$A$73,0))))</f>
        <v/>
      </c>
      <c r="JT10" s="31">
        <v>8750</v>
      </c>
      <c r="JU10" s="31">
        <v>18000</v>
      </c>
      <c r="JV10" s="31">
        <f>IF(JU10/(INDEX('Standards for Conversions'!$H$47:$H$73,MATCH(JT$3,'Standards for Conversions'!$A$47:$A$73,0)))=0,"",JU10/(INDEX('Standards for Conversions'!$H$47:$H$73,MATCH(JT$3,'Standards for Conversions'!$A$47:$A$73,0))))</f>
        <v>2423.8622143043362</v>
      </c>
      <c r="JW10" s="31">
        <v>3885</v>
      </c>
      <c r="JX10" s="31">
        <v>9200</v>
      </c>
      <c r="JY10" s="31">
        <f>IF(JX10/(INDEX('Standards for Conversions'!$H$47:$H$73,MATCH(JW$3,'Standards for Conversions'!$A$47:$A$73,0)))=0,"",JX10/(INDEX('Standards for Conversions'!$H$47:$H$73,MATCH(JW$3,'Standards for Conversions'!$A$47:$A$73,0))))</f>
        <v>1238.8629095333274</v>
      </c>
      <c r="JZ10" s="31">
        <f t="shared" si="37"/>
        <v>12635</v>
      </c>
      <c r="KA10" s="31">
        <f t="shared" si="37"/>
        <v>27200</v>
      </c>
      <c r="KB10" s="31">
        <f>IF(KA10/(INDEX('Standards for Conversions'!$H$47:$H$73,MATCH(JZ$3,'Standards for Conversions'!$A$47:$A$73,0)))=0,"",KA10/(INDEX('Standards for Conversions'!$H$47:$H$73,MATCH(JZ$3,'Standards for Conversions'!$A$47:$A$73,0))))</f>
        <v>3662.7251238376639</v>
      </c>
      <c r="KC10" s="31"/>
      <c r="KD10" s="31"/>
      <c r="KE10" s="31" t="str">
        <f>IF(KD10/(INDEX('Standards for Conversions'!$H$47:$H$73,MATCH(KC$3,'Standards for Conversions'!$A$47:$A$73,0)))=0,"",KD10/(INDEX('Standards for Conversions'!$H$47:$H$73,MATCH(KC$3,'Standards for Conversions'!$A$47:$A$73,0))))</f>
        <v/>
      </c>
      <c r="KF10" s="31"/>
      <c r="KG10" s="31"/>
      <c r="KH10" s="31" t="str">
        <f>IF(KG10/(INDEX('Standards for Conversions'!$H$47:$H$73,MATCH(KF$3,'Standards for Conversions'!$A$47:$A$73,0)))=0,"",KG10/(INDEX('Standards for Conversions'!$H$47:$H$73,MATCH(KF$3,'Standards for Conversions'!$A$47:$A$73,0))))</f>
        <v/>
      </c>
      <c r="KI10" s="31">
        <v>24069.5</v>
      </c>
      <c r="KJ10" s="31">
        <v>45000</v>
      </c>
      <c r="KK10" s="31">
        <f>IF(KJ10/(INDEX('Standards for Conversions'!$H$47:$H$73,MATCH(KI$3,'Standards for Conversions'!$A$47:$A$73,0)))=0,"",KJ10/(INDEX('Standards for Conversions'!$H$47:$H$73,MATCH(KI$3,'Standards for Conversions'!$A$47:$A$73,0))))</f>
        <v>5472.7455027374626</v>
      </c>
      <c r="KL10" s="31">
        <v>6335</v>
      </c>
      <c r="KM10" s="31">
        <v>13900</v>
      </c>
      <c r="KN10" s="31">
        <f>IF(KM10/(INDEX('Standards for Conversions'!$H$47:$H$73,MATCH(KL$3,'Standards for Conversions'!$A$47:$A$73,0)))=0,"",KM10/(INDEX('Standards for Conversions'!$H$47:$H$73,MATCH(KL$3,'Standards for Conversions'!$A$47:$A$73,0))))</f>
        <v>1690.4702775122387</v>
      </c>
      <c r="KO10" s="31">
        <f t="shared" si="38"/>
        <v>30404.5</v>
      </c>
      <c r="KP10" s="31">
        <f t="shared" si="38"/>
        <v>58900</v>
      </c>
      <c r="KQ10" s="31">
        <f>IF(KP10/(INDEX('Standards for Conversions'!$H$47:$H$73,MATCH(KO$3,'Standards for Conversions'!$A$47:$A$73,0)))=0,"",KP10/(INDEX('Standards for Conversions'!$H$47:$H$73,MATCH(KO$3,'Standards for Conversions'!$A$47:$A$73,0))))</f>
        <v>7163.2157802497013</v>
      </c>
      <c r="KR10" s="31"/>
      <c r="KS10" s="31"/>
      <c r="KT10" s="31" t="str">
        <f>IF(KS10/(INDEX('Standards for Conversions'!$H$47:$H$73,MATCH(KR$3,'Standards for Conversions'!$A$47:$A$73,0)))=0,"",KS10/(INDEX('Standards for Conversions'!$H$47:$H$73,MATCH(KR$3,'Standards for Conversions'!$A$47:$A$73,0))))</f>
        <v/>
      </c>
      <c r="KU10" s="31"/>
      <c r="KV10" s="31"/>
      <c r="KW10" s="31" t="str">
        <f>IF(KV10/(INDEX('Standards for Conversions'!$H$47:$H$73,MATCH(KU$3,'Standards for Conversions'!$A$47:$A$73,0)))=0,"",KV10/(INDEX('Standards for Conversions'!$H$47:$H$73,MATCH(KU$3,'Standards for Conversions'!$A$47:$A$73,0))))</f>
        <v/>
      </c>
      <c r="KX10" s="31"/>
      <c r="KY10" s="31"/>
      <c r="KZ10" s="31" t="str">
        <f>IF(KY10/(INDEX('Standards for Conversions'!$H$47:$H$73,MATCH(KX$3,'Standards for Conversions'!$A$47:$A$73,0)))=0,"",KY10/(INDEX('Standards for Conversions'!$H$47:$H$73,MATCH(KX$3,'Standards for Conversions'!$A$47:$A$73,0))))</f>
        <v/>
      </c>
      <c r="LA10" s="31"/>
      <c r="LB10" s="31"/>
      <c r="LC10" s="31" t="str">
        <f>IF(LB10/(INDEX('Standards for Conversions'!$H$47:$H$73,MATCH(LA$3,'Standards for Conversions'!$A$47:$A$73,0)))=0,"",LB10/(INDEX('Standards for Conversions'!$H$47:$H$73,MATCH(LA$3,'Standards for Conversions'!$A$47:$A$73,0))))</f>
        <v/>
      </c>
      <c r="LD10" s="31"/>
      <c r="LE10" s="31"/>
      <c r="LF10" s="31" t="str">
        <f>IF(LE10/(INDEX('Standards for Conversions'!$H$47:$H$73,MATCH(LD$3,'Standards for Conversions'!$A$47:$A$73,0)))=0,"",LE10/(INDEX('Standards for Conversions'!$H$47:$H$73,MATCH(LD$3,'Standards for Conversions'!$A$47:$A$73,0))))</f>
        <v/>
      </c>
      <c r="LG10" s="31"/>
      <c r="LH10" s="31"/>
      <c r="LI10" s="31" t="str">
        <f>IF(LH10/(INDEX('Standards for Conversions'!$H$47:$H$73,MATCH(LG$3,'Standards for Conversions'!$A$47:$A$73,0)))=0,"",LH10/(INDEX('Standards for Conversions'!$H$47:$H$73,MATCH(LG$3,'Standards for Conversions'!$A$47:$A$73,0))))</f>
        <v/>
      </c>
      <c r="LJ10" s="31"/>
      <c r="LK10" s="31"/>
      <c r="LL10" s="31" t="str">
        <f>IF(LK10/(INDEX('Standards for Conversions'!$H$47:$H$73,MATCH(LJ$3,'Standards for Conversions'!$A$47:$A$73,0)))=0,"",LK10/(INDEX('Standards for Conversions'!$H$47:$H$73,MATCH(LJ$3,'Standards for Conversions'!$A$47:$A$73,0))))</f>
        <v/>
      </c>
      <c r="LM10" s="31"/>
      <c r="LN10" s="31"/>
      <c r="LO10" s="31" t="str">
        <f>IF(LN10/(INDEX('Standards for Conversions'!$H$47:$H$73,MATCH(LM$3,'Standards for Conversions'!$A$47:$A$73,0)))=0,"",LN10/(INDEX('Standards for Conversions'!$H$47:$H$73,MATCH(LM$3,'Standards for Conversions'!$A$47:$A$73,0))))</f>
        <v/>
      </c>
      <c r="LP10" s="31"/>
      <c r="LQ10" s="31"/>
      <c r="LR10" s="31" t="str">
        <f>IF(LQ10/(INDEX('Standards for Conversions'!$H$47:$H$73,MATCH(LP$3,'Standards for Conversions'!$A$47:$A$73,0)))=0,"",LQ10/(INDEX('Standards for Conversions'!$H$47:$H$73,MATCH(LP$3,'Standards for Conversions'!$A$47:$A$73,0))))</f>
        <v/>
      </c>
      <c r="LS10" s="31"/>
      <c r="LT10" s="31"/>
      <c r="LU10" s="31" t="str">
        <f>IF(LT10/(INDEX('Standards for Conversions'!$H$47:$H$73,MATCH(LS$3,'Standards for Conversions'!$A$47:$A$73,0)))=0,"",LT10/(INDEX('Standards for Conversions'!$H$47:$H$73,MATCH(LS$3,'Standards for Conversions'!$A$47:$A$73,0))))</f>
        <v/>
      </c>
      <c r="LV10" s="31"/>
      <c r="LW10" s="31"/>
      <c r="LX10" s="31" t="str">
        <f>IF(LW10/(INDEX('Standards for Conversions'!$H$47:$H$73,MATCH(LV$3,'Standards for Conversions'!$A$47:$A$73,0)))=0,"",LW10/(INDEX('Standards for Conversions'!$H$47:$H$73,MATCH(LV$3,'Standards for Conversions'!$A$47:$A$73,0))))</f>
        <v/>
      </c>
      <c r="LY10" s="31"/>
      <c r="LZ10" s="31"/>
      <c r="MA10" s="31"/>
      <c r="MB10" s="31"/>
      <c r="MC10" s="31"/>
      <c r="MD10" s="31"/>
      <c r="ME10" s="31"/>
      <c r="MF10" s="31"/>
      <c r="MG10" s="31"/>
      <c r="MH10" s="31"/>
      <c r="MI10" s="31">
        <v>4755</v>
      </c>
      <c r="MJ10" s="31">
        <v>1790</v>
      </c>
      <c r="MK10" s="31">
        <v>837</v>
      </c>
      <c r="ML10" s="31">
        <v>209</v>
      </c>
      <c r="MM10" s="31"/>
      <c r="MN10" s="31"/>
    </row>
    <row r="11" spans="1:352" s="33" customFormat="1" ht="14.4" customHeight="1" x14ac:dyDescent="0.3">
      <c r="A11" s="102" t="s">
        <v>68</v>
      </c>
      <c r="B11" s="10" t="s">
        <v>374</v>
      </c>
      <c r="C11" s="9"/>
      <c r="D11" s="9"/>
      <c r="E11" s="31"/>
      <c r="F11" s="9"/>
      <c r="G11" s="9"/>
      <c r="H11" s="31"/>
      <c r="I11" s="9">
        <v>4931</v>
      </c>
      <c r="J11" s="9">
        <v>90000</v>
      </c>
      <c r="K11" s="31">
        <v>17778.800675675673</v>
      </c>
      <c r="L11" s="9"/>
      <c r="M11" s="9"/>
      <c r="N11" s="31"/>
      <c r="O11" s="31">
        <f t="shared" si="4"/>
        <v>4931</v>
      </c>
      <c r="P11" s="31">
        <f t="shared" si="5"/>
        <v>90000</v>
      </c>
      <c r="Q11" s="31">
        <f>IF(P11/(INDEX('Standards for Conversions'!$H$34:$H$73,MATCH(O$3,'Standards for Conversions'!$A$34:$A$73,0)))=0,"",P11/(INDEX('Standards for Conversions'!$H$34:$H$73,MATCH(O$3,'Standards for Conversions'!$A$34:$A$73,0))))</f>
        <v>17778.800675675673</v>
      </c>
      <c r="R11" s="9"/>
      <c r="S11" s="9"/>
      <c r="T11" s="31"/>
      <c r="U11" s="9"/>
      <c r="V11" s="9"/>
      <c r="W11" s="31"/>
      <c r="X11" s="9">
        <v>5000</v>
      </c>
      <c r="Y11" s="9">
        <v>75000</v>
      </c>
      <c r="Z11" s="31">
        <v>14450.436419136176</v>
      </c>
      <c r="AA11" s="9"/>
      <c r="AB11" s="9"/>
      <c r="AC11" s="31"/>
      <c r="AD11" s="31">
        <f t="shared" si="6"/>
        <v>5000</v>
      </c>
      <c r="AE11" s="31">
        <f t="shared" si="7"/>
        <v>75000</v>
      </c>
      <c r="AF11" s="31">
        <f>IF(AE11/(INDEX('Standards for Conversions'!$H$34:$H$73,MATCH(AD$3,'Standards for Conversions'!$A$34:$A$73,0)))=0,"",AE11/(INDEX('Standards for Conversions'!$H$34:$H$73,MATCH(AD$3,'Standards for Conversions'!$A$34:$A$73,0))))</f>
        <v>14450.436419136176</v>
      </c>
      <c r="AG11" s="9"/>
      <c r="AH11" s="9"/>
      <c r="AI11" s="31"/>
      <c r="AJ11" s="9"/>
      <c r="AK11" s="9"/>
      <c r="AL11" s="31"/>
      <c r="AM11" s="9">
        <v>4200</v>
      </c>
      <c r="AN11" s="9">
        <v>56000</v>
      </c>
      <c r="AO11" s="31">
        <v>10007.112482257175</v>
      </c>
      <c r="AP11" s="7"/>
      <c r="AQ11" s="7"/>
      <c r="AR11" s="31"/>
      <c r="AS11" s="31">
        <f t="shared" si="8"/>
        <v>4200</v>
      </c>
      <c r="AT11" s="31">
        <f t="shared" si="9"/>
        <v>56000</v>
      </c>
      <c r="AU11" s="31">
        <f>IF(AT11/(INDEX('Standards for Conversions'!$H$34:$H$73,MATCH(AS$3,'Standards for Conversions'!$A$34:$A$73,0)))=0,"",AT11/(INDEX('Standards for Conversions'!$H$34:$H$73,MATCH(AS$3,'Standards for Conversions'!$A$34:$A$73,0))))</f>
        <v>10007.112482257175</v>
      </c>
      <c r="AV11" s="7"/>
      <c r="AW11" s="7"/>
      <c r="AX11" s="31"/>
      <c r="AY11" s="7"/>
      <c r="AZ11" s="7"/>
      <c r="BA11" s="31"/>
      <c r="BB11" s="9">
        <v>6000</v>
      </c>
      <c r="BC11" s="9">
        <v>140000</v>
      </c>
      <c r="BD11" s="31">
        <v>25995.964594015237</v>
      </c>
      <c r="BE11" s="7"/>
      <c r="BF11" s="7"/>
      <c r="BG11" s="31"/>
      <c r="BH11" s="31">
        <f t="shared" si="10"/>
        <v>6000</v>
      </c>
      <c r="BI11" s="31">
        <f t="shared" si="11"/>
        <v>140000</v>
      </c>
      <c r="BJ11" s="31">
        <f>IF(BI11/(INDEX('Standards for Conversions'!$H$34:$H$73,MATCH(BH$3,'Standards for Conversions'!$A$34:$A$73,0)))=0,"",BI11/(INDEX('Standards for Conversions'!$H$34:$H$73,MATCH(BH$3,'Standards for Conversions'!$A$34:$A$73,0))))</f>
        <v>25995.964594015237</v>
      </c>
      <c r="BK11" s="7"/>
      <c r="BL11" s="7"/>
      <c r="BM11" s="31"/>
      <c r="BN11" s="7"/>
      <c r="BO11" s="7"/>
      <c r="BP11" s="31"/>
      <c r="BQ11" s="9">
        <v>2000</v>
      </c>
      <c r="BR11" s="9">
        <v>40000</v>
      </c>
      <c r="BS11" s="31">
        <v>7122.5301265896105</v>
      </c>
      <c r="BT11" s="7"/>
      <c r="BU11" s="7"/>
      <c r="BV11" s="31"/>
      <c r="BW11" s="31">
        <f t="shared" si="12"/>
        <v>2000</v>
      </c>
      <c r="BX11" s="31">
        <f t="shared" si="13"/>
        <v>40000</v>
      </c>
      <c r="BY11" s="31">
        <f>IF(BX11/(INDEX('Standards for Conversions'!$H$34:$H$73,MATCH(BW$3,'Standards for Conversions'!$A$34:$A$73,0)))=0,"",BX11/(INDEX('Standards for Conversions'!$H$34:$H$73,MATCH(BW$3,'Standards for Conversions'!$A$34:$A$73,0))))</f>
        <v>7122.5301265896105</v>
      </c>
      <c r="BZ11" s="7"/>
      <c r="CA11" s="7"/>
      <c r="CB11" s="31"/>
      <c r="CC11" s="7"/>
      <c r="CD11" s="7"/>
      <c r="CE11" s="31"/>
      <c r="CF11" s="9">
        <v>1300</v>
      </c>
      <c r="CG11" s="9">
        <v>39000</v>
      </c>
      <c r="CH11" s="31">
        <v>6771.0616363952377</v>
      </c>
      <c r="CI11" s="7"/>
      <c r="CJ11" s="7"/>
      <c r="CK11" s="31"/>
      <c r="CL11" s="31">
        <f t="shared" si="14"/>
        <v>1300</v>
      </c>
      <c r="CM11" s="31">
        <f t="shared" si="15"/>
        <v>39000</v>
      </c>
      <c r="CN11" s="31">
        <f>IF(CM11/(INDEX('Standards for Conversions'!$H$34:$H$73,MATCH(CL$3,'Standards for Conversions'!$A$34:$A$73,0)))=0,"",CM11/(INDEX('Standards for Conversions'!$H$34:$H$73,MATCH(CL$3,'Standards for Conversions'!$A$34:$A$73,0))))</f>
        <v>6771.0616363952377</v>
      </c>
      <c r="CO11" s="7"/>
      <c r="CP11" s="7"/>
      <c r="CQ11" s="31"/>
      <c r="CR11" s="7"/>
      <c r="CS11" s="7"/>
      <c r="CT11" s="31"/>
      <c r="CU11" s="9"/>
      <c r="CV11" s="9"/>
      <c r="CW11" s="31"/>
      <c r="CX11" s="7"/>
      <c r="CY11" s="7"/>
      <c r="CZ11" s="31"/>
      <c r="DA11" s="31">
        <f t="shared" si="16"/>
        <v>0</v>
      </c>
      <c r="DB11" s="31">
        <f t="shared" si="17"/>
        <v>0</v>
      </c>
      <c r="DC11" s="31" t="str">
        <f>IF(DB11/(INDEX('Standards for Conversions'!$H$34:$H$73,MATCH(DA$3,'Standards for Conversions'!$A$34:$A$73,0)))=0,"",DB11/(INDEX('Standards for Conversions'!$H$34:$H$73,MATCH(DA$3,'Standards for Conversions'!$A$34:$A$73,0))))</f>
        <v/>
      </c>
      <c r="DD11" s="7"/>
      <c r="DE11" s="7"/>
      <c r="DF11" s="31"/>
      <c r="DG11" s="7"/>
      <c r="DH11" s="7"/>
      <c r="DI11" s="31"/>
      <c r="DJ11" s="9"/>
      <c r="DK11" s="9"/>
      <c r="DL11" s="31"/>
      <c r="DM11" s="7"/>
      <c r="DN11" s="7"/>
      <c r="DO11" s="31"/>
      <c r="DP11" s="31">
        <f t="shared" si="18"/>
        <v>0</v>
      </c>
      <c r="DQ11" s="31">
        <f t="shared" si="19"/>
        <v>0</v>
      </c>
      <c r="DR11" s="31" t="str">
        <f>IF(DQ11/(INDEX('Standards for Conversions'!$H$34:$H$73,MATCH(DP$3,'Standards for Conversions'!$A$34:$A$73,0)))=0,"",DQ11/(INDEX('Standards for Conversions'!$H$34:$H$73,MATCH(DP$3,'Standards for Conversions'!$A$34:$A$73,0))))</f>
        <v/>
      </c>
      <c r="DS11" s="7"/>
      <c r="DT11" s="7"/>
      <c r="DU11" s="31"/>
      <c r="DV11" s="7"/>
      <c r="DW11" s="7"/>
      <c r="DX11" s="31"/>
      <c r="DY11" s="9"/>
      <c r="DZ11" s="9"/>
      <c r="EA11" s="31"/>
      <c r="EB11" s="7"/>
      <c r="EC11" s="7"/>
      <c r="ED11" s="31"/>
      <c r="EE11" s="31">
        <f t="shared" si="20"/>
        <v>0</v>
      </c>
      <c r="EF11" s="31">
        <f t="shared" si="21"/>
        <v>0</v>
      </c>
      <c r="EG11" s="31" t="str">
        <f>IF(EF11/(INDEX('Standards for Conversions'!$H$34:$H$73,MATCH(EE$3,'Standards for Conversions'!$A$34:$A$73,0)))=0,"",EF11/(INDEX('Standards for Conversions'!$H$34:$H$73,MATCH(EE$3,'Standards for Conversions'!$A$34:$A$73,0))))</f>
        <v/>
      </c>
      <c r="EH11" s="7"/>
      <c r="EI11" s="7"/>
      <c r="EJ11" s="31"/>
      <c r="EK11" s="7"/>
      <c r="EL11" s="7"/>
      <c r="EM11" s="31"/>
      <c r="EN11" s="9"/>
      <c r="EO11" s="9"/>
      <c r="EP11" s="31"/>
      <c r="EQ11" s="7"/>
      <c r="ER11" s="7"/>
      <c r="ES11" s="31"/>
      <c r="ET11" s="31">
        <f t="shared" si="22"/>
        <v>0</v>
      </c>
      <c r="EU11" s="31">
        <f t="shared" si="23"/>
        <v>0</v>
      </c>
      <c r="EV11" s="31" t="str">
        <f>IF(EU11/(INDEX('Standards for Conversions'!$H$34:$H$73,MATCH(ET$3,'Standards for Conversions'!$A$34:$A$73,0)))=0,"",EU11/(INDEX('Standards for Conversions'!$H$34:$H$73,MATCH(ET$3,'Standards for Conversions'!$A$34:$A$73,0))))</f>
        <v/>
      </c>
      <c r="EW11" s="7"/>
      <c r="EX11" s="7"/>
      <c r="EY11" s="31"/>
      <c r="EZ11" s="7"/>
      <c r="FA11" s="7"/>
      <c r="FB11" s="31"/>
      <c r="FC11" s="9"/>
      <c r="FD11" s="9"/>
      <c r="FE11" s="31"/>
      <c r="FF11" s="7"/>
      <c r="FG11" s="7"/>
      <c r="FH11" s="31"/>
      <c r="FI11" s="31">
        <f t="shared" si="24"/>
        <v>0</v>
      </c>
      <c r="FJ11" s="31">
        <f t="shared" si="25"/>
        <v>0</v>
      </c>
      <c r="FK11" s="31" t="str">
        <f>IF(FJ11/(INDEX('Standards for Conversions'!$H$34:$H$73,MATCH(FI$3,'Standards for Conversions'!$A$34:$A$73,0)))=0,"",FJ11/(INDEX('Standards for Conversions'!$H$34:$H$73,MATCH(FI$3,'Standards for Conversions'!$A$34:$A$73,0))))</f>
        <v/>
      </c>
      <c r="FL11" s="7"/>
      <c r="FM11" s="7"/>
      <c r="FN11" s="31"/>
      <c r="FO11" s="7"/>
      <c r="FP11" s="7"/>
      <c r="FQ11" s="31"/>
      <c r="FR11" s="9"/>
      <c r="FS11" s="9"/>
      <c r="FT11" s="31"/>
      <c r="FU11" s="7"/>
      <c r="FV11" s="7"/>
      <c r="FW11" s="31"/>
      <c r="FX11" s="31">
        <f t="shared" si="26"/>
        <v>0</v>
      </c>
      <c r="FY11" s="31">
        <f t="shared" si="27"/>
        <v>0</v>
      </c>
      <c r="FZ11" s="31" t="str">
        <f>IF(FY11/(INDEX('Standards for Conversions'!$H$34:$H$73,MATCH(FX$3,'Standards for Conversions'!$A$34:$A$73,0)))=0,"",FY11/(INDEX('Standards for Conversions'!$H$34:$H$73,MATCH(FX$3,'Standards for Conversions'!$A$34:$A$73,0))))</f>
        <v/>
      </c>
      <c r="GA11" s="7"/>
      <c r="GB11" s="7"/>
      <c r="GC11" s="31"/>
      <c r="GD11" s="7"/>
      <c r="GE11" s="7"/>
      <c r="GF11" s="31"/>
      <c r="GG11" s="9"/>
      <c r="GH11" s="9"/>
      <c r="GI11" s="31"/>
      <c r="GJ11" s="7"/>
      <c r="GK11" s="7"/>
      <c r="GL11" s="31"/>
      <c r="GM11" s="31">
        <f t="shared" si="28"/>
        <v>0</v>
      </c>
      <c r="GN11" s="31">
        <f t="shared" si="29"/>
        <v>0</v>
      </c>
      <c r="GO11" s="31" t="str">
        <f>IF(GN11/(INDEX('Standards for Conversions'!$H$34:$H$73,MATCH(GM$3,'Standards for Conversions'!$A$34:$A$73,0)))=0,"",GN11/(INDEX('Standards for Conversions'!$H$34:$H$73,MATCH(GM$3,'Standards for Conversions'!$A$34:$A$73,0))))</f>
        <v/>
      </c>
      <c r="GP11" s="7"/>
      <c r="GQ11" s="7"/>
      <c r="GR11" s="31"/>
      <c r="GS11" s="7"/>
      <c r="GT11" s="7"/>
      <c r="GU11" s="31"/>
      <c r="GV11" s="9"/>
      <c r="GW11" s="9"/>
      <c r="GX11" s="31"/>
      <c r="GY11" s="7"/>
      <c r="GZ11" s="7"/>
      <c r="HA11" s="31"/>
      <c r="HB11" s="31">
        <f t="shared" si="30"/>
        <v>0</v>
      </c>
      <c r="HC11" s="31">
        <f t="shared" si="31"/>
        <v>0</v>
      </c>
      <c r="HD11" s="31" t="str">
        <f>IF(HC11/(INDEX('Standards for Conversions'!$H$34:$H$73,MATCH(HB$3,'Standards for Conversions'!$A$34:$A$73,0)))=0,"",HC11/(INDEX('Standards for Conversions'!$H$34:$H$73,MATCH(HB$3,'Standards for Conversions'!$A$34:$A$73,0))))</f>
        <v/>
      </c>
      <c r="HE11" s="112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1"/>
      <c r="IV11" s="31"/>
      <c r="IW11" s="31"/>
      <c r="IX11" s="31"/>
      <c r="IY11" s="31"/>
      <c r="IZ11" s="31"/>
      <c r="JA11" s="31"/>
      <c r="JB11" s="31"/>
      <c r="JC11" s="31"/>
      <c r="JD11" s="31"/>
      <c r="JE11" s="31"/>
      <c r="JF11" s="31"/>
      <c r="JG11" s="31"/>
      <c r="JH11" s="31"/>
      <c r="JI11" s="31"/>
      <c r="JJ11" s="31"/>
      <c r="JK11" s="31"/>
      <c r="JL11" s="31"/>
      <c r="JM11" s="31"/>
      <c r="JN11" s="31"/>
      <c r="JO11" s="31"/>
      <c r="JP11" s="31"/>
      <c r="JQ11" s="31"/>
      <c r="JR11" s="31"/>
      <c r="JS11" s="31"/>
      <c r="JT11" s="31"/>
      <c r="JU11" s="31"/>
      <c r="JV11" s="31"/>
      <c r="JW11" s="31"/>
      <c r="JX11" s="31"/>
      <c r="JY11" s="31"/>
      <c r="JZ11" s="31"/>
      <c r="KA11" s="31"/>
      <c r="KB11" s="31"/>
      <c r="KC11" s="31"/>
      <c r="KD11" s="31"/>
      <c r="KE11" s="31"/>
      <c r="KF11" s="31"/>
      <c r="KG11" s="31"/>
      <c r="KH11" s="31"/>
      <c r="KI11" s="31"/>
      <c r="KJ11" s="31"/>
      <c r="KK11" s="31"/>
      <c r="KL11" s="31"/>
      <c r="KM11" s="31"/>
      <c r="KN11" s="31"/>
      <c r="KO11" s="31"/>
      <c r="KP11" s="31"/>
      <c r="KQ11" s="31"/>
      <c r="KR11" s="31"/>
      <c r="KS11" s="31"/>
      <c r="KT11" s="31"/>
      <c r="KU11" s="31"/>
      <c r="KV11" s="31"/>
      <c r="KW11" s="31"/>
      <c r="KX11" s="31"/>
      <c r="KY11" s="31"/>
      <c r="KZ11" s="31"/>
      <c r="LA11" s="31"/>
      <c r="LB11" s="31"/>
      <c r="LC11" s="31"/>
      <c r="LD11" s="31"/>
      <c r="LE11" s="31"/>
      <c r="LF11" s="31"/>
      <c r="LG11" s="31"/>
      <c r="LH11" s="31"/>
      <c r="LI11" s="31"/>
      <c r="LJ11" s="31"/>
      <c r="LK11" s="31"/>
      <c r="LL11" s="31"/>
      <c r="LM11" s="31"/>
      <c r="LN11" s="31"/>
      <c r="LO11" s="31"/>
      <c r="LP11" s="31"/>
      <c r="LQ11" s="31"/>
      <c r="LR11" s="31"/>
      <c r="LS11" s="31"/>
      <c r="LT11" s="31"/>
      <c r="LU11" s="31"/>
      <c r="LV11" s="31"/>
      <c r="LW11" s="31"/>
      <c r="LX11" s="31"/>
      <c r="LY11" s="31"/>
      <c r="LZ11" s="31"/>
      <c r="MA11" s="31"/>
      <c r="MB11" s="31"/>
      <c r="MC11" s="31"/>
      <c r="MD11" s="31"/>
      <c r="ME11" s="31"/>
      <c r="MF11" s="31"/>
      <c r="MG11" s="31"/>
      <c r="MH11" s="31"/>
      <c r="MI11" s="31"/>
      <c r="MJ11" s="31"/>
      <c r="MK11" s="31"/>
      <c r="ML11" s="31"/>
      <c r="MM11" s="31"/>
      <c r="MN11" s="31"/>
    </row>
    <row r="12" spans="1:352" s="33" customFormat="1" ht="14.4" customHeight="1" x14ac:dyDescent="0.3">
      <c r="A12" s="102" t="s">
        <v>156</v>
      </c>
      <c r="B12" s="10" t="s">
        <v>399</v>
      </c>
      <c r="C12" s="9"/>
      <c r="D12" s="9"/>
      <c r="E12" s="31" t="s">
        <v>128</v>
      </c>
      <c r="F12" s="9"/>
      <c r="G12" s="9"/>
      <c r="H12" s="31" t="s">
        <v>128</v>
      </c>
      <c r="I12" s="9"/>
      <c r="J12" s="9"/>
      <c r="K12" s="31" t="s">
        <v>128</v>
      </c>
      <c r="L12" s="9"/>
      <c r="M12" s="9"/>
      <c r="N12" s="31" t="s">
        <v>128</v>
      </c>
      <c r="O12" s="31">
        <f t="shared" si="4"/>
        <v>0</v>
      </c>
      <c r="P12" s="31">
        <f t="shared" si="5"/>
        <v>0</v>
      </c>
      <c r="Q12" s="31" t="str">
        <f>IF(P12/(INDEX('Standards for Conversions'!$H$34:$H$73,MATCH(O$3,'Standards for Conversions'!$A$34:$A$73,0)))=0,"",P12/(INDEX('Standards for Conversions'!$H$34:$H$73,MATCH(O$3,'Standards for Conversions'!$A$34:$A$73,0))))</f>
        <v/>
      </c>
      <c r="R12" s="9"/>
      <c r="S12" s="9"/>
      <c r="T12" s="31" t="s">
        <v>128</v>
      </c>
      <c r="U12" s="9"/>
      <c r="V12" s="9"/>
      <c r="W12" s="31" t="s">
        <v>128</v>
      </c>
      <c r="X12" s="9"/>
      <c r="Y12" s="9"/>
      <c r="Z12" s="31" t="s">
        <v>128</v>
      </c>
      <c r="AA12" s="9"/>
      <c r="AB12" s="9"/>
      <c r="AC12" s="31" t="s">
        <v>128</v>
      </c>
      <c r="AD12" s="31">
        <f t="shared" si="6"/>
        <v>0</v>
      </c>
      <c r="AE12" s="31">
        <f t="shared" si="7"/>
        <v>0</v>
      </c>
      <c r="AF12" s="31" t="str">
        <f>IF(AE12/(INDEX('Standards for Conversions'!$H$34:$H$73,MATCH(AD$3,'Standards for Conversions'!$A$34:$A$73,0)))=0,"",AE12/(INDEX('Standards for Conversions'!$H$34:$H$73,MATCH(AD$3,'Standards for Conversions'!$A$34:$A$73,0))))</f>
        <v/>
      </c>
      <c r="AG12" s="9"/>
      <c r="AH12" s="9"/>
      <c r="AI12" s="31" t="s">
        <v>128</v>
      </c>
      <c r="AJ12" s="9"/>
      <c r="AK12" s="9"/>
      <c r="AL12" s="31" t="s">
        <v>128</v>
      </c>
      <c r="AM12" s="9"/>
      <c r="AN12" s="9"/>
      <c r="AO12" s="31" t="s">
        <v>128</v>
      </c>
      <c r="AP12" s="9"/>
      <c r="AQ12" s="9"/>
      <c r="AR12" s="31" t="s">
        <v>128</v>
      </c>
      <c r="AS12" s="31">
        <f t="shared" si="8"/>
        <v>0</v>
      </c>
      <c r="AT12" s="31">
        <f t="shared" si="9"/>
        <v>0</v>
      </c>
      <c r="AU12" s="31" t="str">
        <f>IF(AT12/(INDEX('Standards for Conversions'!$H$34:$H$73,MATCH(AS$3,'Standards for Conversions'!$A$34:$A$73,0)))=0,"",AT12/(INDEX('Standards for Conversions'!$H$34:$H$73,MATCH(AS$3,'Standards for Conversions'!$A$34:$A$73,0))))</f>
        <v/>
      </c>
      <c r="AV12" s="9"/>
      <c r="AW12" s="9"/>
      <c r="AX12" s="31" t="s">
        <v>128</v>
      </c>
      <c r="AY12" s="9"/>
      <c r="AZ12" s="9"/>
      <c r="BA12" s="31" t="s">
        <v>128</v>
      </c>
      <c r="BB12" s="9"/>
      <c r="BC12" s="9"/>
      <c r="BD12" s="31" t="s">
        <v>128</v>
      </c>
      <c r="BE12" s="9"/>
      <c r="BF12" s="9"/>
      <c r="BG12" s="31" t="s">
        <v>128</v>
      </c>
      <c r="BH12" s="31">
        <f t="shared" si="10"/>
        <v>0</v>
      </c>
      <c r="BI12" s="31">
        <f t="shared" si="11"/>
        <v>0</v>
      </c>
      <c r="BJ12" s="31" t="str">
        <f>IF(BI12/(INDEX('Standards for Conversions'!$H$34:$H$73,MATCH(BH$3,'Standards for Conversions'!$A$34:$A$73,0)))=0,"",BI12/(INDEX('Standards for Conversions'!$H$34:$H$73,MATCH(BH$3,'Standards for Conversions'!$A$34:$A$73,0))))</f>
        <v/>
      </c>
      <c r="BK12" s="9"/>
      <c r="BL12" s="9"/>
      <c r="BM12" s="31" t="s">
        <v>128</v>
      </c>
      <c r="BN12" s="9"/>
      <c r="BO12" s="9"/>
      <c r="BP12" s="31" t="s">
        <v>128</v>
      </c>
      <c r="BQ12" s="9"/>
      <c r="BR12" s="9"/>
      <c r="BS12" s="31" t="s">
        <v>128</v>
      </c>
      <c r="BT12" s="9"/>
      <c r="BU12" s="9"/>
      <c r="BV12" s="132"/>
      <c r="BW12" s="31">
        <f t="shared" si="12"/>
        <v>0</v>
      </c>
      <c r="BX12" s="31">
        <f t="shared" si="13"/>
        <v>0</v>
      </c>
      <c r="BY12" s="31" t="str">
        <f>IF(BX12/(INDEX('Standards for Conversions'!$H$34:$H$73,MATCH(BW$3,'Standards for Conversions'!$A$34:$A$73,0)))=0,"",BX12/(INDEX('Standards for Conversions'!$H$34:$H$73,MATCH(BW$3,'Standards for Conversions'!$A$34:$A$73,0))))</f>
        <v/>
      </c>
      <c r="BZ12" s="9"/>
      <c r="CA12" s="9"/>
      <c r="CB12" s="31" t="s">
        <v>128</v>
      </c>
      <c r="CC12" s="9"/>
      <c r="CD12" s="9"/>
      <c r="CE12" s="31" t="s">
        <v>128</v>
      </c>
      <c r="CF12" s="9"/>
      <c r="CG12" s="9"/>
      <c r="CH12" s="131"/>
      <c r="CI12" s="9"/>
      <c r="CJ12" s="9"/>
      <c r="CK12" s="31" t="s">
        <v>128</v>
      </c>
      <c r="CL12" s="31">
        <f t="shared" si="14"/>
        <v>0</v>
      </c>
      <c r="CM12" s="31">
        <f t="shared" si="15"/>
        <v>0</v>
      </c>
      <c r="CN12" s="31" t="str">
        <f>IF(CM12/(INDEX('Standards for Conversions'!$H$34:$H$73,MATCH(CL$3,'Standards for Conversions'!$A$34:$A$73,0)))=0,"",CM12/(INDEX('Standards for Conversions'!$H$34:$H$73,MATCH(CL$3,'Standards for Conversions'!$A$34:$A$73,0))))</f>
        <v/>
      </c>
      <c r="CO12" s="9"/>
      <c r="CP12" s="9"/>
      <c r="CQ12" s="31" t="s">
        <v>128</v>
      </c>
      <c r="CR12" s="9"/>
      <c r="CS12" s="9"/>
      <c r="CT12" s="31" t="s">
        <v>128</v>
      </c>
      <c r="CU12" s="9"/>
      <c r="CV12" s="9"/>
      <c r="CW12" s="31" t="s">
        <v>128</v>
      </c>
      <c r="CX12" s="9"/>
      <c r="CY12" s="9"/>
      <c r="CZ12" s="31" t="s">
        <v>128</v>
      </c>
      <c r="DA12" s="31">
        <f t="shared" si="16"/>
        <v>0</v>
      </c>
      <c r="DB12" s="31">
        <f t="shared" si="17"/>
        <v>0</v>
      </c>
      <c r="DC12" s="31" t="str">
        <f>IF(DB12/(INDEX('Standards for Conversions'!$H$34:$H$73,MATCH(DA$3,'Standards for Conversions'!$A$34:$A$73,0)))=0,"",DB12/(INDEX('Standards for Conversions'!$H$34:$H$73,MATCH(DA$3,'Standards for Conversions'!$A$34:$A$73,0))))</f>
        <v/>
      </c>
      <c r="DD12" s="9"/>
      <c r="DE12" s="9"/>
      <c r="DF12" s="31" t="s">
        <v>128</v>
      </c>
      <c r="DG12" s="9"/>
      <c r="DH12" s="9"/>
      <c r="DI12" s="31" t="s">
        <v>128</v>
      </c>
      <c r="DJ12" s="9"/>
      <c r="DK12" s="9"/>
      <c r="DL12" s="31" t="s">
        <v>128</v>
      </c>
      <c r="DM12" s="9"/>
      <c r="DN12" s="9"/>
      <c r="DO12" s="31" t="s">
        <v>128</v>
      </c>
      <c r="DP12" s="31">
        <f t="shared" si="18"/>
        <v>0</v>
      </c>
      <c r="DQ12" s="31">
        <f t="shared" si="19"/>
        <v>0</v>
      </c>
      <c r="DR12" s="31" t="str">
        <f>IF(DQ12/(INDEX('Standards for Conversions'!$H$34:$H$73,MATCH(DP$3,'Standards for Conversions'!$A$34:$A$73,0)))=0,"",DQ12/(INDEX('Standards for Conversions'!$H$34:$H$73,MATCH(DP$3,'Standards for Conversions'!$A$34:$A$73,0))))</f>
        <v/>
      </c>
      <c r="DS12" s="9"/>
      <c r="DT12" s="9"/>
      <c r="DU12" s="31" t="s">
        <v>128</v>
      </c>
      <c r="DV12" s="9"/>
      <c r="DW12" s="9"/>
      <c r="DX12" s="31" t="s">
        <v>128</v>
      </c>
      <c r="DY12" s="9"/>
      <c r="DZ12" s="9"/>
      <c r="EA12" s="31" t="s">
        <v>128</v>
      </c>
      <c r="EB12" s="9"/>
      <c r="EC12" s="9"/>
      <c r="ED12" s="31" t="s">
        <v>128</v>
      </c>
      <c r="EE12" s="31">
        <f t="shared" si="20"/>
        <v>0</v>
      </c>
      <c r="EF12" s="31">
        <f t="shared" si="21"/>
        <v>0</v>
      </c>
      <c r="EG12" s="31" t="str">
        <f>IF(EF12/(INDEX('Standards for Conversions'!$H$34:$H$73,MATCH(EE$3,'Standards for Conversions'!$A$34:$A$73,0)))=0,"",EF12/(INDEX('Standards for Conversions'!$H$34:$H$73,MATCH(EE$3,'Standards for Conversions'!$A$34:$A$73,0))))</f>
        <v/>
      </c>
      <c r="EH12" s="9"/>
      <c r="EI12" s="9"/>
      <c r="EJ12" s="31" t="s">
        <v>128</v>
      </c>
      <c r="EK12" s="9"/>
      <c r="EL12" s="9"/>
      <c r="EM12" s="31" t="s">
        <v>128</v>
      </c>
      <c r="EN12" s="9"/>
      <c r="EO12" s="9"/>
      <c r="EP12" s="31" t="s">
        <v>128</v>
      </c>
      <c r="EQ12" s="9"/>
      <c r="ER12" s="9"/>
      <c r="ES12" s="31" t="s">
        <v>128</v>
      </c>
      <c r="ET12" s="31">
        <f t="shared" si="22"/>
        <v>0</v>
      </c>
      <c r="EU12" s="31">
        <f t="shared" si="23"/>
        <v>0</v>
      </c>
      <c r="EV12" s="31" t="str">
        <f>IF(EU12/(INDEX('Standards for Conversions'!$H$34:$H$73,MATCH(ET$3,'Standards for Conversions'!$A$34:$A$73,0)))=0,"",EU12/(INDEX('Standards for Conversions'!$H$34:$H$73,MATCH(ET$3,'Standards for Conversions'!$A$34:$A$73,0))))</f>
        <v/>
      </c>
      <c r="EW12" s="9"/>
      <c r="EX12" s="9"/>
      <c r="EY12" s="31" t="s">
        <v>128</v>
      </c>
      <c r="EZ12" s="9"/>
      <c r="FA12" s="9"/>
      <c r="FB12" s="31" t="s">
        <v>128</v>
      </c>
      <c r="FC12" s="9"/>
      <c r="FD12" s="9"/>
      <c r="FE12" s="31" t="s">
        <v>128</v>
      </c>
      <c r="FF12" s="9">
        <f>1.75*110</f>
        <v>192.5</v>
      </c>
      <c r="FG12" s="9">
        <v>1000</v>
      </c>
      <c r="FH12" s="31">
        <v>171.49968497436339</v>
      </c>
      <c r="FI12" s="31">
        <f t="shared" si="24"/>
        <v>192.5</v>
      </c>
      <c r="FJ12" s="31">
        <f t="shared" si="25"/>
        <v>1000</v>
      </c>
      <c r="FK12" s="31">
        <f>IF(FJ12/(INDEX('Standards for Conversions'!$H$34:$H$73,MATCH(FI$3,'Standards for Conversions'!$A$34:$A$73,0)))=0,"",FJ12/(INDEX('Standards for Conversions'!$H$34:$H$73,MATCH(FI$3,'Standards for Conversions'!$A$34:$A$73,0))))</f>
        <v>171.49968497436339</v>
      </c>
      <c r="FL12" s="9"/>
      <c r="FM12" s="9"/>
      <c r="FN12" s="31" t="s">
        <v>128</v>
      </c>
      <c r="FO12" s="9"/>
      <c r="FP12" s="9"/>
      <c r="FQ12" s="31" t="s">
        <v>128</v>
      </c>
      <c r="FR12" s="9"/>
      <c r="FS12" s="9"/>
      <c r="FT12" s="31" t="s">
        <v>128</v>
      </c>
      <c r="FU12" s="9">
        <f>1.75*120</f>
        <v>210</v>
      </c>
      <c r="FV12" s="9">
        <v>1500</v>
      </c>
      <c r="FW12" s="31">
        <v>24.676899115755628</v>
      </c>
      <c r="FX12" s="31">
        <f t="shared" si="26"/>
        <v>210</v>
      </c>
      <c r="FY12" s="31">
        <f t="shared" si="27"/>
        <v>1500</v>
      </c>
      <c r="FZ12" s="31">
        <f>IF(FY12/(INDEX('Standards for Conversions'!$H$34:$H$73,MATCH(FX$3,'Standards for Conversions'!$A$34:$A$73,0)))=0,"",FY12/(INDEX('Standards for Conversions'!$H$34:$H$73,MATCH(FX$3,'Standards for Conversions'!$A$34:$A$73,0))))</f>
        <v>246.76899115755626</v>
      </c>
      <c r="GA12" s="9"/>
      <c r="GB12" s="9"/>
      <c r="GC12" s="31" t="s">
        <v>128</v>
      </c>
      <c r="GD12" s="9"/>
      <c r="GE12" s="9"/>
      <c r="GF12" s="31" t="s">
        <v>128</v>
      </c>
      <c r="GG12" s="9"/>
      <c r="GH12" s="9"/>
      <c r="GI12" s="31" t="s">
        <v>128</v>
      </c>
      <c r="GJ12" s="9">
        <f>1.75*15</f>
        <v>26.25</v>
      </c>
      <c r="GK12" s="9">
        <v>150</v>
      </c>
      <c r="GL12" s="31">
        <v>23.057179868775528</v>
      </c>
      <c r="GM12" s="31">
        <f t="shared" si="28"/>
        <v>26.25</v>
      </c>
      <c r="GN12" s="31">
        <f t="shared" si="29"/>
        <v>150</v>
      </c>
      <c r="GO12" s="31">
        <f>IF(GN12/(INDEX('Standards for Conversions'!$H$34:$H$73,MATCH(GM$3,'Standards for Conversions'!$A$34:$A$73,0)))=0,"",GN12/(INDEX('Standards for Conversions'!$H$34:$H$73,MATCH(GM$3,'Standards for Conversions'!$A$34:$A$73,0))))</f>
        <v>23.057179868775528</v>
      </c>
      <c r="GP12" s="9"/>
      <c r="GQ12" s="9"/>
      <c r="GR12" s="31" t="s">
        <v>128</v>
      </c>
      <c r="GS12" s="9"/>
      <c r="GT12" s="9"/>
      <c r="GU12" s="31" t="s">
        <v>128</v>
      </c>
      <c r="GV12" s="9"/>
      <c r="GW12" s="9"/>
      <c r="GX12" s="31" t="s">
        <v>128</v>
      </c>
      <c r="GY12" s="9">
        <f>1.75*50</f>
        <v>87.5</v>
      </c>
      <c r="GZ12" s="9">
        <v>450</v>
      </c>
      <c r="HA12" s="31">
        <v>68.123485975927679</v>
      </c>
      <c r="HB12" s="31">
        <f t="shared" si="30"/>
        <v>87.5</v>
      </c>
      <c r="HC12" s="31">
        <f t="shared" si="31"/>
        <v>450</v>
      </c>
      <c r="HD12" s="31">
        <f>IF(HC12/(INDEX('Standards for Conversions'!$H$34:$H$73,MATCH(HB$3,'Standards for Conversions'!$A$34:$A$73,0)))=0,"",HC12/(INDEX('Standards for Conversions'!$H$34:$H$73,MATCH(HB$3,'Standards for Conversions'!$A$34:$A$73,0))))</f>
        <v>68.123485975927679</v>
      </c>
      <c r="HE12" s="112" t="s">
        <v>98</v>
      </c>
      <c r="HF12" s="31"/>
      <c r="HG12" s="31"/>
      <c r="HH12" s="31" t="str">
        <f>IF(HG12/(INDEX('Standards for Conversions'!$H$47:$H$73,MATCH(HF$3,'Standards for Conversions'!$A$47:$A$73,0)))=0,"",HG12/(INDEX('Standards for Conversions'!$H$47:$H$73,MATCH(HF$3,'Standards for Conversions'!$A$47:$A$73,0))))</f>
        <v/>
      </c>
      <c r="HI12" s="31"/>
      <c r="HJ12" s="31"/>
      <c r="HK12" s="31" t="str">
        <f>IF(HJ12/(INDEX('Standards for Conversions'!$H$47:$H$73,MATCH(HI$3,'Standards for Conversions'!$A$47:$A$73,0)))=0,"",HJ12/(INDEX('Standards for Conversions'!$H$47:$H$73,MATCH(HI$3,'Standards for Conversions'!$A$47:$A$73,0))))</f>
        <v/>
      </c>
      <c r="HL12" s="31"/>
      <c r="HM12" s="31"/>
      <c r="HN12" s="31" t="str">
        <f>IF(HM12/(INDEX('Standards for Conversions'!$H$47:$H$73,MATCH(HL$3,'Standards for Conversions'!$A$47:$A$73,0)))=0,"",HM12/(INDEX('Standards for Conversions'!$H$47:$H$73,MATCH(HL$3,'Standards for Conversions'!$A$47:$A$73,0))))</f>
        <v/>
      </c>
      <c r="HO12" s="31">
        <f>1.75*60</f>
        <v>105</v>
      </c>
      <c r="HP12" s="31">
        <v>500</v>
      </c>
      <c r="HQ12" s="31">
        <f>IF(HP12/(INDEX('Standards for Conversions'!$H$47:$H$73,MATCH(HO$3,'Standards for Conversions'!$A$47:$A$73,0)))=0,"",HP12/(INDEX('Standards for Conversions'!$H$47:$H$73,MATCH(HO$3,'Standards for Conversions'!$A$47:$A$73,0))))</f>
        <v>72.622706106427984</v>
      </c>
      <c r="HR12" s="31">
        <f t="shared" si="32"/>
        <v>105</v>
      </c>
      <c r="HS12" s="31">
        <f t="shared" si="32"/>
        <v>500</v>
      </c>
      <c r="HT12" s="31">
        <f>IF(HS12/(INDEX('Standards for Conversions'!$H$47:$H$73,MATCH(HR$3,'Standards for Conversions'!$A$47:$A$73,0)))=0,"",HS12/(INDEX('Standards for Conversions'!$H$47:$H$73,MATCH(HR$3,'Standards for Conversions'!$A$47:$A$73,0))))</f>
        <v>72.622706106427984</v>
      </c>
      <c r="HU12" s="31"/>
      <c r="HV12" s="31"/>
      <c r="HW12" s="31" t="str">
        <f>IF(HV12/(INDEX('Standards for Conversions'!$H$47:$H$73,MATCH(HU$3,'Standards for Conversions'!$A$47:$A$73,0)))=0,"",HV12/(INDEX('Standards for Conversions'!$H$47:$H$73,MATCH(HU$3,'Standards for Conversions'!$A$47:$A$73,0))))</f>
        <v/>
      </c>
      <c r="HX12" s="31"/>
      <c r="HY12" s="31"/>
      <c r="HZ12" s="31" t="str">
        <f>IF(HY12/(INDEX('Standards for Conversions'!$H$47:$H$73,MATCH(HX$3,'Standards for Conversions'!$A$47:$A$73,0)))=0,"",HY12/(INDEX('Standards for Conversions'!$H$47:$H$73,MATCH(HX$3,'Standards for Conversions'!$A$47:$A$73,0))))</f>
        <v/>
      </c>
      <c r="IA12" s="31"/>
      <c r="IB12" s="31"/>
      <c r="IC12" s="31" t="str">
        <f>IF(IB12/(INDEX('Standards for Conversions'!$H$47:$H$73,MATCH(IA$3,'Standards for Conversions'!$A$47:$A$73,0)))=0,"",IB12/(INDEX('Standards for Conversions'!$H$47:$H$73,MATCH(IA$3,'Standards for Conversions'!$A$47:$A$73,0))))</f>
        <v/>
      </c>
      <c r="ID12" s="31">
        <v>495.625</v>
      </c>
      <c r="IE12" s="31">
        <v>1444</v>
      </c>
      <c r="IF12" s="31">
        <f>IF(IE12/(INDEX('Standards for Conversions'!$H$47:$H$73,MATCH(ID$3,'Standards for Conversions'!$A$47:$A$73,0)))=0,"",IE12/(INDEX('Standards for Conversions'!$H$47:$H$73,MATCH(ID$3,'Standards for Conversions'!$A$47:$A$73,0))))</f>
        <v>208.81716951276033</v>
      </c>
      <c r="IG12" s="31">
        <f t="shared" si="33"/>
        <v>495.625</v>
      </c>
      <c r="IH12" s="31">
        <f t="shared" si="34"/>
        <v>1444</v>
      </c>
      <c r="II12" s="31">
        <f>IF(IH12/(INDEX('Standards for Conversions'!$H$47:$H$73,MATCH(IG$3,'Standards for Conversions'!$A$47:$A$73,0)))=0,"",IH12/(INDEX('Standards for Conversions'!$H$47:$H$73,MATCH(IG$3,'Standards for Conversions'!$A$47:$A$73,0))))</f>
        <v>208.81716951276033</v>
      </c>
      <c r="IJ12" s="31"/>
      <c r="IK12" s="31"/>
      <c r="IL12" s="31" t="str">
        <f>IF(IK12/(INDEX('Standards for Conversions'!$H$47:$H$73,MATCH(IJ$3,'Standards for Conversions'!$A$47:$A$73,0)))=0,"",IK12/(INDEX('Standards for Conversions'!$H$47:$H$73,MATCH(IJ$3,'Standards for Conversions'!$A$47:$A$73,0))))</f>
        <v/>
      </c>
      <c r="IM12" s="31"/>
      <c r="IN12" s="31"/>
      <c r="IO12" s="31" t="str">
        <f>IF(IN12/(INDEX('Standards for Conversions'!$H$47:$H$73,MATCH(IM$3,'Standards for Conversions'!$A$47:$A$73,0)))=0,"",IN12/(INDEX('Standards for Conversions'!$H$47:$H$73,MATCH(IM$3,'Standards for Conversions'!$A$47:$A$73,0))))</f>
        <v/>
      </c>
      <c r="IP12" s="31"/>
      <c r="IQ12" s="31"/>
      <c r="IR12" s="31" t="str">
        <f>IF(IQ12/(INDEX('Standards for Conversions'!$H$47:$H$73,MATCH(IP$3,'Standards for Conversions'!$A$47:$A$73,0)))=0,"",IQ12/(INDEX('Standards for Conversions'!$H$47:$H$73,MATCH(IP$3,'Standards for Conversions'!$A$47:$A$73,0))))</f>
        <v/>
      </c>
      <c r="IS12" s="31">
        <v>1950</v>
      </c>
      <c r="IT12" s="31">
        <v>4900</v>
      </c>
      <c r="IU12" s="31">
        <f>IF(IT12/(INDEX('Standards for Conversions'!$H$47:$H$73,MATCH(IS$3,'Standards for Conversions'!$A$47:$A$73,0)))=0,"",IT12/(INDEX('Standards for Conversions'!$H$47:$H$73,MATCH(IS$3,'Standards for Conversions'!$A$47:$A$73,0))))</f>
        <v>792.62496379015658</v>
      </c>
      <c r="IV12" s="31">
        <f t="shared" si="35"/>
        <v>1950</v>
      </c>
      <c r="IW12" s="31">
        <f t="shared" si="35"/>
        <v>4900</v>
      </c>
      <c r="IX12" s="31">
        <f>IF(IW12/(INDEX('Standards for Conversions'!$H$47:$H$73,MATCH(IV$3,'Standards for Conversions'!$A$47:$A$73,0)))=0,"",IW12/(INDEX('Standards for Conversions'!$H$47:$H$73,MATCH(IV$3,'Standards for Conversions'!$A$47:$A$73,0))))</f>
        <v>792.62496379015658</v>
      </c>
      <c r="IY12" s="31"/>
      <c r="IZ12" s="31"/>
      <c r="JA12" s="31" t="str">
        <f>IF(IZ12/(INDEX('Standards for Conversions'!$H$47:$H$73,MATCH(IY$3,'Standards for Conversions'!$A$47:$A$73,0)))=0,"",IZ12/(INDEX('Standards for Conversions'!$H$47:$H$73,MATCH(IY$3,'Standards for Conversions'!$A$47:$A$73,0))))</f>
        <v/>
      </c>
      <c r="JB12" s="31"/>
      <c r="JC12" s="31"/>
      <c r="JD12" s="31" t="str">
        <f>IF(JC12/(INDEX('Standards for Conversions'!$H$47:$H$73,MATCH(JB$3,'Standards for Conversions'!$A$47:$A$73,0)))=0,"",JC12/(INDEX('Standards for Conversions'!$H$47:$H$73,MATCH(JB$3,'Standards for Conversions'!$A$47:$A$73,0))))</f>
        <v/>
      </c>
      <c r="JE12" s="31"/>
      <c r="JF12" s="31"/>
      <c r="JG12" s="31" t="str">
        <f>IF(JF12/(INDEX('Standards for Conversions'!$H$47:$H$73,MATCH(JE$3,'Standards for Conversions'!$A$47:$A$73,0)))=0,"",JF12/(INDEX('Standards for Conversions'!$H$47:$H$73,MATCH(JE$3,'Standards for Conversions'!$A$47:$A$73,0))))</f>
        <v/>
      </c>
      <c r="JH12" s="31">
        <v>2437.5</v>
      </c>
      <c r="JI12" s="31">
        <v>5500</v>
      </c>
      <c r="JJ12" s="31">
        <f>IF(JI12/(INDEX('Standards for Conversions'!$H$47:$H$73,MATCH(JH$3,'Standards for Conversions'!$A$47:$A$73,0)))=0,"",JI12/(INDEX('Standards for Conversions'!$H$47:$H$73,MATCH(JH$3,'Standards for Conversions'!$A$47:$A$73,0))))</f>
        <v>839.60740835288664</v>
      </c>
      <c r="JK12" s="31">
        <f t="shared" si="36"/>
        <v>2437.5</v>
      </c>
      <c r="JL12" s="31">
        <f t="shared" si="36"/>
        <v>5500</v>
      </c>
      <c r="JM12" s="31">
        <f>IF(JL12/(INDEX('Standards for Conversions'!$H$47:$H$73,MATCH(JK$3,'Standards for Conversions'!$A$47:$A$73,0)))=0,"",JL12/(INDEX('Standards for Conversions'!$H$47:$H$73,MATCH(JK$3,'Standards for Conversions'!$A$47:$A$73,0))))</f>
        <v>839.60740835288664</v>
      </c>
      <c r="JN12" s="31"/>
      <c r="JO12" s="31"/>
      <c r="JP12" s="31" t="str">
        <f>IF(JO12/(INDEX('Standards for Conversions'!$H$47:$H$73,MATCH(JN$3,'Standards for Conversions'!$A$47:$A$73,0)))=0,"",JO12/(INDEX('Standards for Conversions'!$H$47:$H$73,MATCH(JN$3,'Standards for Conversions'!$A$47:$A$73,0))))</f>
        <v/>
      </c>
      <c r="JQ12" s="31"/>
      <c r="JR12" s="31"/>
      <c r="JS12" s="31" t="str">
        <f>IF(JR12/(INDEX('Standards for Conversions'!$H$47:$H$73,MATCH(JQ$3,'Standards for Conversions'!$A$47:$A$73,0)))=0,"",JR12/(INDEX('Standards for Conversions'!$H$47:$H$73,MATCH(JQ$3,'Standards for Conversions'!$A$47:$A$73,0))))</f>
        <v/>
      </c>
      <c r="JT12" s="31"/>
      <c r="JU12" s="31"/>
      <c r="JV12" s="31" t="str">
        <f>IF(JU12/(INDEX('Standards for Conversions'!$H$47:$H$73,MATCH(JT$3,'Standards for Conversions'!$A$47:$A$73,0)))=0,"",JU12/(INDEX('Standards for Conversions'!$H$47:$H$73,MATCH(JT$3,'Standards for Conversions'!$A$47:$A$73,0))))</f>
        <v/>
      </c>
      <c r="JW12" s="31">
        <v>2925</v>
      </c>
      <c r="JX12" s="31">
        <v>7000</v>
      </c>
      <c r="JY12" s="31">
        <f>IF(JX12/(INDEX('Standards for Conversions'!$H$47:$H$73,MATCH(JW$3,'Standards for Conversions'!$A$47:$A$73,0)))=0,"",JX12/(INDEX('Standards for Conversions'!$H$47:$H$73,MATCH(JW$3,'Standards for Conversions'!$A$47:$A$73,0))))</f>
        <v>942.61308334057526</v>
      </c>
      <c r="JZ12" s="31">
        <f t="shared" si="37"/>
        <v>2925</v>
      </c>
      <c r="KA12" s="31">
        <f t="shared" si="37"/>
        <v>7000</v>
      </c>
      <c r="KB12" s="31">
        <f>IF(KA12/(INDEX('Standards for Conversions'!$H$47:$H$73,MATCH(JZ$3,'Standards for Conversions'!$A$47:$A$73,0)))=0,"",KA12/(INDEX('Standards for Conversions'!$H$47:$H$73,MATCH(JZ$3,'Standards for Conversions'!$A$47:$A$73,0))))</f>
        <v>942.61308334057526</v>
      </c>
      <c r="KC12" s="31"/>
      <c r="KD12" s="31"/>
      <c r="KE12" s="31" t="str">
        <f>IF(KD12/(INDEX('Standards for Conversions'!$H$47:$H$73,MATCH(KC$3,'Standards for Conversions'!$A$47:$A$73,0)))=0,"",KD12/(INDEX('Standards for Conversions'!$H$47:$H$73,MATCH(KC$3,'Standards for Conversions'!$A$47:$A$73,0))))</f>
        <v/>
      </c>
      <c r="KF12" s="31"/>
      <c r="KG12" s="31"/>
      <c r="KH12" s="31" t="str">
        <f>IF(KG12/(INDEX('Standards for Conversions'!$H$47:$H$73,MATCH(KF$3,'Standards for Conversions'!$A$47:$A$73,0)))=0,"",KG12/(INDEX('Standards for Conversions'!$H$47:$H$73,MATCH(KF$3,'Standards for Conversions'!$A$47:$A$73,0))))</f>
        <v/>
      </c>
      <c r="KI12" s="31"/>
      <c r="KJ12" s="31"/>
      <c r="KK12" s="31" t="str">
        <f>IF(KJ12/(INDEX('Standards for Conversions'!$H$47:$H$73,MATCH(KI$3,'Standards for Conversions'!$A$47:$A$73,0)))=0,"",KJ12/(INDEX('Standards for Conversions'!$H$47:$H$73,MATCH(KI$3,'Standards for Conversions'!$A$47:$A$73,0))))</f>
        <v/>
      </c>
      <c r="KL12" s="31">
        <v>1787.5</v>
      </c>
      <c r="KM12" s="31">
        <v>5500</v>
      </c>
      <c r="KN12" s="31">
        <f>IF(KM12/(INDEX('Standards for Conversions'!$H$47:$H$73,MATCH(KL$3,'Standards for Conversions'!$A$47:$A$73,0)))=0,"",KM12/(INDEX('Standards for Conversions'!$H$47:$H$73,MATCH(KL$3,'Standards for Conversions'!$A$47:$A$73,0))))</f>
        <v>668.89111700124545</v>
      </c>
      <c r="KO12" s="31">
        <f t="shared" si="38"/>
        <v>1787.5</v>
      </c>
      <c r="KP12" s="31">
        <f t="shared" si="38"/>
        <v>5500</v>
      </c>
      <c r="KQ12" s="31">
        <f>IF(KP12/(INDEX('Standards for Conversions'!$H$47:$H$73,MATCH(KO$3,'Standards for Conversions'!$A$47:$A$73,0)))=0,"",KP12/(INDEX('Standards for Conversions'!$H$47:$H$73,MATCH(KO$3,'Standards for Conversions'!$A$47:$A$73,0))))</f>
        <v>668.89111700124545</v>
      </c>
      <c r="KR12" s="31"/>
      <c r="KS12" s="31"/>
      <c r="KT12" s="31" t="str">
        <f>IF(KS12/(INDEX('Standards for Conversions'!$H$47:$H$73,MATCH(KR$3,'Standards for Conversions'!$A$47:$A$73,0)))=0,"",KS12/(INDEX('Standards for Conversions'!$H$47:$H$73,MATCH(KR$3,'Standards for Conversions'!$A$47:$A$73,0))))</f>
        <v/>
      </c>
      <c r="KU12" s="31"/>
      <c r="KV12" s="31"/>
      <c r="KW12" s="31" t="str">
        <f>IF(KV12/(INDEX('Standards for Conversions'!$H$47:$H$73,MATCH(KU$3,'Standards for Conversions'!$A$47:$A$73,0)))=0,"",KV12/(INDEX('Standards for Conversions'!$H$47:$H$73,MATCH(KU$3,'Standards for Conversions'!$A$47:$A$73,0))))</f>
        <v/>
      </c>
      <c r="KX12" s="31"/>
      <c r="KY12" s="31"/>
      <c r="KZ12" s="31" t="str">
        <f>IF(KY12/(INDEX('Standards for Conversions'!$H$47:$H$73,MATCH(KX$3,'Standards for Conversions'!$A$47:$A$73,0)))=0,"",KY12/(INDEX('Standards for Conversions'!$H$47:$H$73,MATCH(KX$3,'Standards for Conversions'!$A$47:$A$73,0))))</f>
        <v/>
      </c>
      <c r="LA12" s="31"/>
      <c r="LB12" s="31"/>
      <c r="LC12" s="31" t="str">
        <f>IF(LB12/(INDEX('Standards for Conversions'!$H$47:$H$73,MATCH(LA$3,'Standards for Conversions'!$A$47:$A$73,0)))=0,"",LB12/(INDEX('Standards for Conversions'!$H$47:$H$73,MATCH(LA$3,'Standards for Conversions'!$A$47:$A$73,0))))</f>
        <v/>
      </c>
      <c r="LD12" s="31"/>
      <c r="LE12" s="31"/>
      <c r="LF12" s="31" t="str">
        <f>IF(LE12/(INDEX('Standards for Conversions'!$H$47:$H$73,MATCH(LD$3,'Standards for Conversions'!$A$47:$A$73,0)))=0,"",LE12/(INDEX('Standards for Conversions'!$H$47:$H$73,MATCH(LD$3,'Standards for Conversions'!$A$47:$A$73,0))))</f>
        <v/>
      </c>
      <c r="LG12" s="31"/>
      <c r="LH12" s="31"/>
      <c r="LI12" s="31" t="str">
        <f>IF(LH12/(INDEX('Standards for Conversions'!$H$47:$H$73,MATCH(LG$3,'Standards for Conversions'!$A$47:$A$73,0)))=0,"",LH12/(INDEX('Standards for Conversions'!$H$47:$H$73,MATCH(LG$3,'Standards for Conversions'!$A$47:$A$73,0))))</f>
        <v/>
      </c>
      <c r="LJ12" s="31"/>
      <c r="LK12" s="31"/>
      <c r="LL12" s="31" t="str">
        <f>IF(LK12/(INDEX('Standards for Conversions'!$H$47:$H$73,MATCH(LJ$3,'Standards for Conversions'!$A$47:$A$73,0)))=0,"",LK12/(INDEX('Standards for Conversions'!$H$47:$H$73,MATCH(LJ$3,'Standards for Conversions'!$A$47:$A$73,0))))</f>
        <v/>
      </c>
      <c r="LM12" s="31"/>
      <c r="LN12" s="31"/>
      <c r="LO12" s="31" t="str">
        <f>IF(LN12/(INDEX('Standards for Conversions'!$H$47:$H$73,MATCH(LM$3,'Standards for Conversions'!$A$47:$A$73,0)))=0,"",LN12/(INDEX('Standards for Conversions'!$H$47:$H$73,MATCH(LM$3,'Standards for Conversions'!$A$47:$A$73,0))))</f>
        <v/>
      </c>
      <c r="LP12" s="31"/>
      <c r="LQ12" s="31"/>
      <c r="LR12" s="31" t="str">
        <f>IF(LQ12/(INDEX('Standards for Conversions'!$H$47:$H$73,MATCH(LP$3,'Standards for Conversions'!$A$47:$A$73,0)))=0,"",LQ12/(INDEX('Standards for Conversions'!$H$47:$H$73,MATCH(LP$3,'Standards for Conversions'!$A$47:$A$73,0))))</f>
        <v/>
      </c>
      <c r="LS12" s="31"/>
      <c r="LT12" s="31"/>
      <c r="LU12" s="31" t="str">
        <f>IF(LT12/(INDEX('Standards for Conversions'!$H$47:$H$73,MATCH(LS$3,'Standards for Conversions'!$A$47:$A$73,0)))=0,"",LT12/(INDEX('Standards for Conversions'!$H$47:$H$73,MATCH(LS$3,'Standards for Conversions'!$A$47:$A$73,0))))</f>
        <v/>
      </c>
      <c r="LV12" s="31"/>
      <c r="LW12" s="31"/>
      <c r="LX12" s="31" t="str">
        <f>IF(LW12/(INDEX('Standards for Conversions'!$H$47:$H$73,MATCH(LV$3,'Standards for Conversions'!$A$47:$A$73,0)))=0,"",LW12/(INDEX('Standards for Conversions'!$H$47:$H$73,MATCH(LV$3,'Standards for Conversions'!$A$47:$A$73,0))))</f>
        <v/>
      </c>
      <c r="LY12" s="31"/>
      <c r="LZ12" s="31"/>
      <c r="MA12" s="31"/>
      <c r="MB12" s="31"/>
      <c r="MC12" s="31"/>
      <c r="MD12" s="31"/>
      <c r="ME12" s="31"/>
      <c r="MF12" s="31"/>
      <c r="MG12" s="31"/>
      <c r="MH12" s="31"/>
      <c r="MI12" s="31">
        <v>6192</v>
      </c>
      <c r="MJ12" s="31">
        <v>3127</v>
      </c>
      <c r="MK12" s="31">
        <v>5076</v>
      </c>
      <c r="ML12" s="31">
        <v>2376</v>
      </c>
      <c r="MM12" s="31"/>
      <c r="MN12" s="31"/>
    </row>
    <row r="13" spans="1:352" s="33" customFormat="1" ht="14.4" customHeight="1" x14ac:dyDescent="0.3">
      <c r="A13" s="104" t="s">
        <v>198</v>
      </c>
      <c r="B13" s="10" t="s">
        <v>399</v>
      </c>
      <c r="C13" s="9"/>
      <c r="D13" s="9"/>
      <c r="E13" s="31" t="s">
        <v>128</v>
      </c>
      <c r="F13" s="9"/>
      <c r="G13" s="9"/>
      <c r="H13" s="31" t="s">
        <v>128</v>
      </c>
      <c r="I13" s="9"/>
      <c r="J13" s="9"/>
      <c r="K13" s="31" t="s">
        <v>128</v>
      </c>
      <c r="L13" s="9"/>
      <c r="M13" s="9"/>
      <c r="N13" s="31" t="s">
        <v>128</v>
      </c>
      <c r="O13" s="31">
        <f t="shared" si="4"/>
        <v>0</v>
      </c>
      <c r="P13" s="31">
        <f t="shared" si="5"/>
        <v>0</v>
      </c>
      <c r="Q13" s="31" t="str">
        <f>IF(P13/(INDEX('Standards for Conversions'!$H$34:$H$73,MATCH(O$3,'Standards for Conversions'!$A$34:$A$73,0)))=0,"",P13/(INDEX('Standards for Conversions'!$H$34:$H$73,MATCH(O$3,'Standards for Conversions'!$A$34:$A$73,0))))</f>
        <v/>
      </c>
      <c r="R13" s="9"/>
      <c r="S13" s="9"/>
      <c r="T13" s="31" t="s">
        <v>128</v>
      </c>
      <c r="U13" s="9"/>
      <c r="V13" s="9"/>
      <c r="W13" s="31" t="s">
        <v>128</v>
      </c>
      <c r="X13" s="9"/>
      <c r="Y13" s="9"/>
      <c r="Z13" s="31" t="s">
        <v>128</v>
      </c>
      <c r="AA13" s="9"/>
      <c r="AB13" s="9"/>
      <c r="AC13" s="31" t="s">
        <v>128</v>
      </c>
      <c r="AD13" s="31">
        <f t="shared" si="6"/>
        <v>0</v>
      </c>
      <c r="AE13" s="31">
        <f t="shared" si="7"/>
        <v>0</v>
      </c>
      <c r="AF13" s="31" t="str">
        <f>IF(AE13/(INDEX('Standards for Conversions'!$H$34:$H$73,MATCH(AD$3,'Standards for Conversions'!$A$34:$A$73,0)))=0,"",AE13/(INDEX('Standards for Conversions'!$H$34:$H$73,MATCH(AD$3,'Standards for Conversions'!$A$34:$A$73,0))))</f>
        <v/>
      </c>
      <c r="AG13" s="9"/>
      <c r="AH13" s="9"/>
      <c r="AI13" s="31" t="s">
        <v>128</v>
      </c>
      <c r="AJ13" s="9"/>
      <c r="AK13" s="9"/>
      <c r="AL13" s="31" t="s">
        <v>128</v>
      </c>
      <c r="AM13" s="9"/>
      <c r="AN13" s="9"/>
      <c r="AO13" s="31" t="s">
        <v>128</v>
      </c>
      <c r="AP13" s="9"/>
      <c r="AQ13" s="9"/>
      <c r="AR13" s="31" t="s">
        <v>128</v>
      </c>
      <c r="AS13" s="31">
        <f t="shared" si="8"/>
        <v>0</v>
      </c>
      <c r="AT13" s="31">
        <f t="shared" si="9"/>
        <v>0</v>
      </c>
      <c r="AU13" s="31" t="str">
        <f>IF(AT13/(INDEX('Standards for Conversions'!$H$34:$H$73,MATCH(AS$3,'Standards for Conversions'!$A$34:$A$73,0)))=0,"",AT13/(INDEX('Standards for Conversions'!$H$34:$H$73,MATCH(AS$3,'Standards for Conversions'!$A$34:$A$73,0))))</f>
        <v/>
      </c>
      <c r="AV13" s="9"/>
      <c r="AW13" s="9"/>
      <c r="AX13" s="31" t="s">
        <v>128</v>
      </c>
      <c r="AY13" s="9"/>
      <c r="AZ13" s="9"/>
      <c r="BA13" s="31" t="s">
        <v>128</v>
      </c>
      <c r="BB13" s="9"/>
      <c r="BC13" s="9"/>
      <c r="BD13" s="31" t="s">
        <v>128</v>
      </c>
      <c r="BE13" s="9"/>
      <c r="BF13" s="9"/>
      <c r="BG13" s="31" t="s">
        <v>128</v>
      </c>
      <c r="BH13" s="31">
        <f t="shared" si="10"/>
        <v>0</v>
      </c>
      <c r="BI13" s="31">
        <f t="shared" si="11"/>
        <v>0</v>
      </c>
      <c r="BJ13" s="31" t="str">
        <f>IF(BI13/(INDEX('Standards for Conversions'!$H$34:$H$73,MATCH(BH$3,'Standards for Conversions'!$A$34:$A$73,0)))=0,"",BI13/(INDEX('Standards for Conversions'!$H$34:$H$73,MATCH(BH$3,'Standards for Conversions'!$A$34:$A$73,0))))</f>
        <v/>
      </c>
      <c r="BK13" s="9"/>
      <c r="BL13" s="9"/>
      <c r="BM13" s="31" t="s">
        <v>128</v>
      </c>
      <c r="BN13" s="9"/>
      <c r="BO13" s="9"/>
      <c r="BP13" s="31" t="s">
        <v>128</v>
      </c>
      <c r="BQ13" s="9"/>
      <c r="BR13" s="9"/>
      <c r="BS13" s="31" t="s">
        <v>128</v>
      </c>
      <c r="BT13" s="9"/>
      <c r="BU13" s="9"/>
      <c r="BV13" s="31" t="s">
        <v>128</v>
      </c>
      <c r="BW13" s="31">
        <f t="shared" si="12"/>
        <v>0</v>
      </c>
      <c r="BX13" s="31">
        <f t="shared" si="13"/>
        <v>0</v>
      </c>
      <c r="BY13" s="31" t="str">
        <f>IF(BX13/(INDEX('Standards for Conversions'!$H$34:$H$73,MATCH(BW$3,'Standards for Conversions'!$A$34:$A$73,0)))=0,"",BX13/(INDEX('Standards for Conversions'!$H$34:$H$73,MATCH(BW$3,'Standards for Conversions'!$A$34:$A$73,0))))</f>
        <v/>
      </c>
      <c r="BZ13" s="9"/>
      <c r="CA13" s="9"/>
      <c r="CB13" s="31" t="s">
        <v>128</v>
      </c>
      <c r="CC13" s="9"/>
      <c r="CD13" s="9"/>
      <c r="CE13" s="31" t="s">
        <v>128</v>
      </c>
      <c r="CF13" s="9"/>
      <c r="CG13" s="9"/>
      <c r="CH13" s="31" t="s">
        <v>128</v>
      </c>
      <c r="CI13" s="9"/>
      <c r="CJ13" s="9"/>
      <c r="CK13" s="31" t="s">
        <v>128</v>
      </c>
      <c r="CL13" s="31">
        <f t="shared" si="14"/>
        <v>0</v>
      </c>
      <c r="CM13" s="31">
        <f t="shared" si="15"/>
        <v>0</v>
      </c>
      <c r="CN13" s="31" t="str">
        <f>IF(CM13/(INDEX('Standards for Conversions'!$H$34:$H$73,MATCH(CL$3,'Standards for Conversions'!$A$34:$A$73,0)))=0,"",CM13/(INDEX('Standards for Conversions'!$H$34:$H$73,MATCH(CL$3,'Standards for Conversions'!$A$34:$A$73,0))))</f>
        <v/>
      </c>
      <c r="CO13" s="9"/>
      <c r="CP13" s="9"/>
      <c r="CQ13" s="31" t="s">
        <v>128</v>
      </c>
      <c r="CR13" s="9">
        <f>1.75*262</f>
        <v>458.5</v>
      </c>
      <c r="CS13" s="9">
        <v>1500</v>
      </c>
      <c r="CT13" s="31">
        <v>265.50691970105152</v>
      </c>
      <c r="CU13" s="9"/>
      <c r="CV13" s="9"/>
      <c r="CW13" s="31" t="s">
        <v>128</v>
      </c>
      <c r="CX13" s="9"/>
      <c r="CY13" s="9"/>
      <c r="CZ13" s="31" t="s">
        <v>128</v>
      </c>
      <c r="DA13" s="31">
        <f t="shared" si="16"/>
        <v>458.5</v>
      </c>
      <c r="DB13" s="31">
        <f t="shared" si="17"/>
        <v>1500</v>
      </c>
      <c r="DC13" s="31">
        <f>IF(DB13/(INDEX('Standards for Conversions'!$H$34:$H$73,MATCH(DA$3,'Standards for Conversions'!$A$34:$A$73,0)))=0,"",DB13/(INDEX('Standards for Conversions'!$H$34:$H$73,MATCH(DA$3,'Standards for Conversions'!$A$34:$A$73,0))))</f>
        <v>265.50691970105152</v>
      </c>
      <c r="DD13" s="9"/>
      <c r="DE13" s="9"/>
      <c r="DF13" s="31" t="s">
        <v>128</v>
      </c>
      <c r="DG13" s="9">
        <f>1.75*500</f>
        <v>875</v>
      </c>
      <c r="DH13" s="9">
        <v>3000</v>
      </c>
      <c r="DI13" s="31">
        <v>525.29718323629095</v>
      </c>
      <c r="DJ13" s="9"/>
      <c r="DK13" s="9"/>
      <c r="DL13" s="31" t="s">
        <v>128</v>
      </c>
      <c r="DM13" s="9"/>
      <c r="DN13" s="9"/>
      <c r="DO13" s="31" t="s">
        <v>128</v>
      </c>
      <c r="DP13" s="31">
        <f t="shared" si="18"/>
        <v>875</v>
      </c>
      <c r="DQ13" s="31">
        <f t="shared" si="19"/>
        <v>3000</v>
      </c>
      <c r="DR13" s="31">
        <f>IF(DQ13/(INDEX('Standards for Conversions'!$H$34:$H$73,MATCH(DP$3,'Standards for Conversions'!$A$34:$A$73,0)))=0,"",DQ13/(INDEX('Standards for Conversions'!$H$34:$H$73,MATCH(DP$3,'Standards for Conversions'!$A$34:$A$73,0))))</f>
        <v>525.29718323629095</v>
      </c>
      <c r="DS13" s="9"/>
      <c r="DT13" s="9"/>
      <c r="DU13" s="31" t="s">
        <v>128</v>
      </c>
      <c r="DV13" s="7">
        <f>1.75*250</f>
        <v>437.5</v>
      </c>
      <c r="DW13" s="7">
        <v>1680</v>
      </c>
      <c r="DX13" s="31">
        <v>293.81071956200572</v>
      </c>
      <c r="DY13" s="9"/>
      <c r="DZ13" s="9"/>
      <c r="EA13" s="31" t="s">
        <v>128</v>
      </c>
      <c r="EB13" s="7"/>
      <c r="EC13" s="7"/>
      <c r="ED13" s="31" t="s">
        <v>128</v>
      </c>
      <c r="EE13" s="31">
        <f t="shared" si="20"/>
        <v>437.5</v>
      </c>
      <c r="EF13" s="31">
        <f t="shared" si="21"/>
        <v>1680</v>
      </c>
      <c r="EG13" s="31">
        <f>IF(EF13/(INDEX('Standards for Conversions'!$H$34:$H$73,MATCH(EE$3,'Standards for Conversions'!$A$34:$A$73,0)))=0,"",EF13/(INDEX('Standards for Conversions'!$H$34:$H$73,MATCH(EE$3,'Standards for Conversions'!$A$34:$A$73,0))))</f>
        <v>293.81071956200572</v>
      </c>
      <c r="EH13" s="7"/>
      <c r="EI13" s="7"/>
      <c r="EJ13" s="31" t="s">
        <v>128</v>
      </c>
      <c r="EK13" s="7">
        <f>1.75*20</f>
        <v>35</v>
      </c>
      <c r="EL13" s="7">
        <v>85</v>
      </c>
      <c r="EM13" s="31">
        <v>14.559476342298888</v>
      </c>
      <c r="EN13" s="9"/>
      <c r="EO13" s="9"/>
      <c r="EP13" s="31" t="s">
        <v>128</v>
      </c>
      <c r="EQ13" s="7"/>
      <c r="ER13" s="7"/>
      <c r="ES13" s="31" t="s">
        <v>128</v>
      </c>
      <c r="ET13" s="31">
        <f t="shared" si="22"/>
        <v>35</v>
      </c>
      <c r="EU13" s="31">
        <f t="shared" si="23"/>
        <v>85</v>
      </c>
      <c r="EV13" s="31">
        <f>IF(EU13/(INDEX('Standards for Conversions'!$H$34:$H$73,MATCH(ET$3,'Standards for Conversions'!$A$34:$A$73,0)))=0,"",EU13/(INDEX('Standards for Conversions'!$H$34:$H$73,MATCH(ET$3,'Standards for Conversions'!$A$34:$A$73,0))))</f>
        <v>14.559476342298888</v>
      </c>
      <c r="EW13" s="7"/>
      <c r="EX13" s="7"/>
      <c r="EY13" s="31" t="s">
        <v>128</v>
      </c>
      <c r="EZ13" s="7"/>
      <c r="FA13" s="7"/>
      <c r="FB13" s="31" t="s">
        <v>128</v>
      </c>
      <c r="FC13" s="9"/>
      <c r="FD13" s="9"/>
      <c r="FE13" s="31" t="s">
        <v>128</v>
      </c>
      <c r="FF13" s="7"/>
      <c r="FG13" s="7"/>
      <c r="FH13" s="31" t="s">
        <v>128</v>
      </c>
      <c r="FI13" s="31">
        <f t="shared" si="24"/>
        <v>0</v>
      </c>
      <c r="FJ13" s="31">
        <f t="shared" si="25"/>
        <v>0</v>
      </c>
      <c r="FK13" s="31" t="str">
        <f>IF(FJ13/(INDEX('Standards for Conversions'!$H$34:$H$73,MATCH(FI$3,'Standards for Conversions'!$A$34:$A$73,0)))=0,"",FJ13/(INDEX('Standards for Conversions'!$H$34:$H$73,MATCH(FI$3,'Standards for Conversions'!$A$34:$A$73,0))))</f>
        <v/>
      </c>
      <c r="FL13" s="7"/>
      <c r="FM13" s="7"/>
      <c r="FN13" s="31" t="s">
        <v>128</v>
      </c>
      <c r="FO13" s="7">
        <f>1.75*50</f>
        <v>87.5</v>
      </c>
      <c r="FP13" s="7">
        <v>500</v>
      </c>
      <c r="FQ13" s="31">
        <v>82.256330385852081</v>
      </c>
      <c r="FR13" s="9"/>
      <c r="FS13" s="9"/>
      <c r="FT13" s="31" t="s">
        <v>128</v>
      </c>
      <c r="FU13" s="7"/>
      <c r="FV13" s="7"/>
      <c r="FW13" s="31" t="s">
        <v>128</v>
      </c>
      <c r="FX13" s="31">
        <f t="shared" si="26"/>
        <v>87.5</v>
      </c>
      <c r="FY13" s="31">
        <f t="shared" si="27"/>
        <v>500</v>
      </c>
      <c r="FZ13" s="31">
        <f>IF(FY13/(INDEX('Standards for Conversions'!$H$34:$H$73,MATCH(FX$3,'Standards for Conversions'!$A$34:$A$73,0)))=0,"",FY13/(INDEX('Standards for Conversions'!$H$34:$H$73,MATCH(FX$3,'Standards for Conversions'!$A$34:$A$73,0))))</f>
        <v>82.256330385852081</v>
      </c>
      <c r="GA13" s="7"/>
      <c r="GB13" s="7"/>
      <c r="GC13" s="31" t="s">
        <v>128</v>
      </c>
      <c r="GD13" s="7">
        <f>1.75*55</f>
        <v>96.25</v>
      </c>
      <c r="GE13" s="7">
        <v>550</v>
      </c>
      <c r="GF13" s="31">
        <v>84.542992852176937</v>
      </c>
      <c r="GG13" s="9"/>
      <c r="GH13" s="9"/>
      <c r="GI13" s="31" t="s">
        <v>128</v>
      </c>
      <c r="GJ13" s="7"/>
      <c r="GK13" s="7"/>
      <c r="GL13" s="31" t="s">
        <v>128</v>
      </c>
      <c r="GM13" s="31">
        <f t="shared" si="28"/>
        <v>96.25</v>
      </c>
      <c r="GN13" s="31">
        <f t="shared" si="29"/>
        <v>550</v>
      </c>
      <c r="GO13" s="31">
        <f>IF(GN13/(INDEX('Standards for Conversions'!$H$34:$H$73,MATCH(GM$3,'Standards for Conversions'!$A$34:$A$73,0)))=0,"",GN13/(INDEX('Standards for Conversions'!$H$34:$H$73,MATCH(GM$3,'Standards for Conversions'!$A$34:$A$73,0))))</f>
        <v>84.542992852176937</v>
      </c>
      <c r="GP13" s="7"/>
      <c r="GQ13" s="7"/>
      <c r="GR13" s="31" t="s">
        <v>128</v>
      </c>
      <c r="GS13" s="7"/>
      <c r="GT13" s="7"/>
      <c r="GU13" s="31" t="s">
        <v>128</v>
      </c>
      <c r="GV13" s="9"/>
      <c r="GW13" s="9"/>
      <c r="GX13" s="31" t="s">
        <v>128</v>
      </c>
      <c r="GY13" s="7"/>
      <c r="GZ13" s="7"/>
      <c r="HA13" s="31" t="s">
        <v>128</v>
      </c>
      <c r="HB13" s="31">
        <f t="shared" si="30"/>
        <v>0</v>
      </c>
      <c r="HC13" s="31">
        <f t="shared" si="31"/>
        <v>0</v>
      </c>
      <c r="HD13" s="31" t="str">
        <f>IF(HC13/(INDEX('Standards for Conversions'!$H$34:$H$73,MATCH(HB$3,'Standards for Conversions'!$A$34:$A$73,0)))=0,"",HC13/(INDEX('Standards for Conversions'!$H$34:$H$73,MATCH(HB$3,'Standards for Conversions'!$A$34:$A$73,0))))</f>
        <v/>
      </c>
      <c r="HE13" s="112" t="s">
        <v>42</v>
      </c>
      <c r="HF13" s="31"/>
      <c r="HG13" s="31"/>
      <c r="HH13" s="31" t="str">
        <f>IF(HG13/(INDEX('Standards for Conversions'!$H$47:$H$73,MATCH(HF$3,'Standards for Conversions'!$A$47:$A$73,0)))=0,"",HG13/(INDEX('Standards for Conversions'!$H$47:$H$73,MATCH(HF$3,'Standards for Conversions'!$A$47:$A$73,0))))</f>
        <v/>
      </c>
      <c r="HI13" s="31"/>
      <c r="HJ13" s="31"/>
      <c r="HK13" s="31" t="str">
        <f>IF(HJ13/(INDEX('Standards for Conversions'!$H$47:$H$73,MATCH(HI$3,'Standards for Conversions'!$A$47:$A$73,0)))=0,"",HJ13/(INDEX('Standards for Conversions'!$H$47:$H$73,MATCH(HI$3,'Standards for Conversions'!$A$47:$A$73,0))))</f>
        <v/>
      </c>
      <c r="HL13" s="31"/>
      <c r="HM13" s="31"/>
      <c r="HN13" s="31" t="str">
        <f>IF(HM13/(INDEX('Standards for Conversions'!$H$47:$H$73,MATCH(HL$3,'Standards for Conversions'!$A$47:$A$73,0)))=0,"",HM13/(INDEX('Standards for Conversions'!$H$47:$H$73,MATCH(HL$3,'Standards for Conversions'!$A$47:$A$73,0))))</f>
        <v/>
      </c>
      <c r="HO13" s="31"/>
      <c r="HP13" s="31"/>
      <c r="HQ13" s="31" t="str">
        <f>IF(HP13/(INDEX('Standards for Conversions'!$H$47:$H$73,MATCH(HO$3,'Standards for Conversions'!$A$47:$A$73,0)))=0,"",HP13/(INDEX('Standards for Conversions'!$H$47:$H$73,MATCH(HO$3,'Standards for Conversions'!$A$47:$A$73,0))))</f>
        <v/>
      </c>
      <c r="HR13" s="31"/>
      <c r="HS13" s="31"/>
      <c r="HT13" s="31" t="str">
        <f>IF(HS13/(INDEX('Standards for Conversions'!$H$47:$H$73,MATCH(HR$3,'Standards for Conversions'!$A$47:$A$73,0)))=0,"",HS13/(INDEX('Standards for Conversions'!$H$47:$H$73,MATCH(HR$3,'Standards for Conversions'!$A$47:$A$73,0))))</f>
        <v/>
      </c>
      <c r="HU13" s="31"/>
      <c r="HV13" s="31"/>
      <c r="HW13" s="31" t="str">
        <f>IF(HV13/(INDEX('Standards for Conversions'!$H$47:$H$73,MATCH(HU$3,'Standards for Conversions'!$A$47:$A$73,0)))=0,"",HV13/(INDEX('Standards for Conversions'!$H$47:$H$73,MATCH(HU$3,'Standards for Conversions'!$A$47:$A$73,0))))</f>
        <v/>
      </c>
      <c r="HX13" s="31">
        <f>1.75*20</f>
        <v>35</v>
      </c>
      <c r="HY13" s="31">
        <v>180</v>
      </c>
      <c r="HZ13" s="31">
        <f>IF(HY13/(INDEX('Standards for Conversions'!$H$47:$H$73,MATCH(HX$3,'Standards for Conversions'!$A$47:$A$73,0)))=0,"",HY13/(INDEX('Standards for Conversions'!$H$47:$H$73,MATCH(HX$3,'Standards for Conversions'!$A$47:$A$73,0))))</f>
        <v>26.029841074997826</v>
      </c>
      <c r="IA13" s="31"/>
      <c r="IB13" s="31"/>
      <c r="IC13" s="31" t="str">
        <f>IF(IB13/(INDEX('Standards for Conversions'!$H$47:$H$73,MATCH(IA$3,'Standards for Conversions'!$A$47:$A$73,0)))=0,"",IB13/(INDEX('Standards for Conversions'!$H$47:$H$73,MATCH(IA$3,'Standards for Conversions'!$A$47:$A$73,0))))</f>
        <v/>
      </c>
      <c r="ID13" s="31"/>
      <c r="IE13" s="31"/>
      <c r="IF13" s="31" t="str">
        <f>IF(IE13/(INDEX('Standards for Conversions'!$H$47:$H$73,MATCH(ID$3,'Standards for Conversions'!$A$47:$A$73,0)))=0,"",IE13/(INDEX('Standards for Conversions'!$H$47:$H$73,MATCH(ID$3,'Standards for Conversions'!$A$47:$A$73,0))))</f>
        <v/>
      </c>
      <c r="IG13" s="31">
        <f t="shared" si="33"/>
        <v>35</v>
      </c>
      <c r="IH13" s="31">
        <f t="shared" si="34"/>
        <v>180</v>
      </c>
      <c r="II13" s="31">
        <f>IF(IH13/(INDEX('Standards for Conversions'!$H$47:$H$73,MATCH(IG$3,'Standards for Conversions'!$A$47:$A$73,0)))=0,"",IH13/(INDEX('Standards for Conversions'!$H$47:$H$73,MATCH(IG$3,'Standards for Conversions'!$A$47:$A$73,0))))</f>
        <v>26.029841074997826</v>
      </c>
      <c r="IJ13" s="31"/>
      <c r="IK13" s="31"/>
      <c r="IL13" s="31" t="str">
        <f>IF(IK13/(INDEX('Standards for Conversions'!$H$47:$H$73,MATCH(IJ$3,'Standards for Conversions'!$A$47:$A$73,0)))=0,"",IK13/(INDEX('Standards for Conversions'!$H$47:$H$73,MATCH(IJ$3,'Standards for Conversions'!$A$47:$A$73,0))))</f>
        <v/>
      </c>
      <c r="IM13" s="31"/>
      <c r="IN13" s="31"/>
      <c r="IO13" s="31" t="str">
        <f>IF(IN13/(INDEX('Standards for Conversions'!$H$47:$H$73,MATCH(IM$3,'Standards for Conversions'!$A$47:$A$73,0)))=0,"",IN13/(INDEX('Standards for Conversions'!$H$47:$H$73,MATCH(IM$3,'Standards for Conversions'!$A$47:$A$73,0))))</f>
        <v/>
      </c>
      <c r="IP13" s="31"/>
      <c r="IQ13" s="31"/>
      <c r="IR13" s="31" t="str">
        <f>IF(IQ13/(INDEX('Standards for Conversions'!$H$47:$H$73,MATCH(IP$3,'Standards for Conversions'!$A$47:$A$73,0)))=0,"",IQ13/(INDEX('Standards for Conversions'!$H$47:$H$73,MATCH(IP$3,'Standards for Conversions'!$A$47:$A$73,0))))</f>
        <v/>
      </c>
      <c r="IS13" s="31"/>
      <c r="IT13" s="31"/>
      <c r="IU13" s="31" t="str">
        <f>IF(IT13/(INDEX('Standards for Conversions'!$H$47:$H$73,MATCH(IS$3,'Standards for Conversions'!$A$47:$A$73,0)))=0,"",IT13/(INDEX('Standards for Conversions'!$H$47:$H$73,MATCH(IS$3,'Standards for Conversions'!$A$47:$A$73,0))))</f>
        <v/>
      </c>
      <c r="IV13" s="31"/>
      <c r="IW13" s="31"/>
      <c r="IX13" s="31" t="str">
        <f>IF(IW13/(INDEX('Standards for Conversions'!$H$47:$H$73,MATCH(IV$3,'Standards for Conversions'!$A$47:$A$73,0)))=0,"",IW13/(INDEX('Standards for Conversions'!$H$47:$H$73,MATCH(IV$3,'Standards for Conversions'!$A$47:$A$73,0))))</f>
        <v/>
      </c>
      <c r="IY13" s="31"/>
      <c r="IZ13" s="31"/>
      <c r="JA13" s="31" t="str">
        <f>IF(IZ13/(INDEX('Standards for Conversions'!$H$47:$H$73,MATCH(IY$3,'Standards for Conversions'!$A$47:$A$73,0)))=0,"",IZ13/(INDEX('Standards for Conversions'!$H$47:$H$73,MATCH(IY$3,'Standards for Conversions'!$A$47:$A$73,0))))</f>
        <v/>
      </c>
      <c r="JB13" s="31"/>
      <c r="JC13" s="31"/>
      <c r="JD13" s="31" t="str">
        <f>IF(JC13/(INDEX('Standards for Conversions'!$H$47:$H$73,MATCH(JB$3,'Standards for Conversions'!$A$47:$A$73,0)))=0,"",JC13/(INDEX('Standards for Conversions'!$H$47:$H$73,MATCH(JB$3,'Standards for Conversions'!$A$47:$A$73,0))))</f>
        <v/>
      </c>
      <c r="JE13" s="31"/>
      <c r="JF13" s="31"/>
      <c r="JG13" s="31" t="str">
        <f>IF(JF13/(INDEX('Standards for Conversions'!$H$47:$H$73,MATCH(JE$3,'Standards for Conversions'!$A$47:$A$73,0)))=0,"",JF13/(INDEX('Standards for Conversions'!$H$47:$H$73,MATCH(JE$3,'Standards for Conversions'!$A$47:$A$73,0))))</f>
        <v/>
      </c>
      <c r="JH13" s="31"/>
      <c r="JI13" s="31"/>
      <c r="JJ13" s="31" t="str">
        <f>IF(JI13/(INDEX('Standards for Conversions'!$H$47:$H$73,MATCH(JH$3,'Standards for Conversions'!$A$47:$A$73,0)))=0,"",JI13/(INDEX('Standards for Conversions'!$H$47:$H$73,MATCH(JH$3,'Standards for Conversions'!$A$47:$A$73,0))))</f>
        <v/>
      </c>
      <c r="JK13" s="31"/>
      <c r="JL13" s="31"/>
      <c r="JM13" s="31" t="str">
        <f>IF(JL13/(INDEX('Standards for Conversions'!$H$47:$H$73,MATCH(JK$3,'Standards for Conversions'!$A$47:$A$73,0)))=0,"",JL13/(INDEX('Standards for Conversions'!$H$47:$H$73,MATCH(JK$3,'Standards for Conversions'!$A$47:$A$73,0))))</f>
        <v/>
      </c>
      <c r="JN13" s="31"/>
      <c r="JO13" s="31"/>
      <c r="JP13" s="31" t="str">
        <f>IF(JO13/(INDEX('Standards for Conversions'!$H$47:$H$73,MATCH(JN$3,'Standards for Conversions'!$A$47:$A$73,0)))=0,"",JO13/(INDEX('Standards for Conversions'!$H$47:$H$73,MATCH(JN$3,'Standards for Conversions'!$A$47:$A$73,0))))</f>
        <v/>
      </c>
      <c r="JQ13" s="31"/>
      <c r="JR13" s="31"/>
      <c r="JS13" s="31" t="str">
        <f>IF(JR13/(INDEX('Standards for Conversions'!$H$47:$H$73,MATCH(JQ$3,'Standards for Conversions'!$A$47:$A$73,0)))=0,"",JR13/(INDEX('Standards for Conversions'!$H$47:$H$73,MATCH(JQ$3,'Standards for Conversions'!$A$47:$A$73,0))))</f>
        <v/>
      </c>
      <c r="JT13" s="31"/>
      <c r="JU13" s="31"/>
      <c r="JV13" s="31" t="str">
        <f>IF(JU13/(INDEX('Standards for Conversions'!$H$47:$H$73,MATCH(JT$3,'Standards for Conversions'!$A$47:$A$73,0)))=0,"",JU13/(INDEX('Standards for Conversions'!$H$47:$H$73,MATCH(JT$3,'Standards for Conversions'!$A$47:$A$73,0))))</f>
        <v/>
      </c>
      <c r="JW13" s="31"/>
      <c r="JX13" s="31"/>
      <c r="JY13" s="31" t="str">
        <f>IF(JX13/(INDEX('Standards for Conversions'!$H$47:$H$73,MATCH(JW$3,'Standards for Conversions'!$A$47:$A$73,0)))=0,"",JX13/(INDEX('Standards for Conversions'!$H$47:$H$73,MATCH(JW$3,'Standards for Conversions'!$A$47:$A$73,0))))</f>
        <v/>
      </c>
      <c r="JZ13" s="31"/>
      <c r="KA13" s="31"/>
      <c r="KB13" s="31" t="str">
        <f>IF(KA13/(INDEX('Standards for Conversions'!$H$47:$H$73,MATCH(JZ$3,'Standards for Conversions'!$A$47:$A$73,0)))=0,"",KA13/(INDEX('Standards for Conversions'!$H$47:$H$73,MATCH(JZ$3,'Standards for Conversions'!$A$47:$A$73,0))))</f>
        <v/>
      </c>
      <c r="KC13" s="31"/>
      <c r="KD13" s="31"/>
      <c r="KE13" s="31" t="str">
        <f>IF(KD13/(INDEX('Standards for Conversions'!$H$47:$H$73,MATCH(KC$3,'Standards for Conversions'!$A$47:$A$73,0)))=0,"",KD13/(INDEX('Standards for Conversions'!$H$47:$H$73,MATCH(KC$3,'Standards for Conversions'!$A$47:$A$73,0))))</f>
        <v/>
      </c>
      <c r="KF13" s="31"/>
      <c r="KG13" s="31"/>
      <c r="KH13" s="31" t="str">
        <f>IF(KG13/(INDEX('Standards for Conversions'!$H$47:$H$73,MATCH(KF$3,'Standards for Conversions'!$A$47:$A$73,0)))=0,"",KG13/(INDEX('Standards for Conversions'!$H$47:$H$73,MATCH(KF$3,'Standards for Conversions'!$A$47:$A$73,0))))</f>
        <v/>
      </c>
      <c r="KI13" s="31"/>
      <c r="KJ13" s="31"/>
      <c r="KK13" s="31" t="str">
        <f>IF(KJ13/(INDEX('Standards for Conversions'!$H$47:$H$73,MATCH(KI$3,'Standards for Conversions'!$A$47:$A$73,0)))=0,"",KJ13/(INDEX('Standards for Conversions'!$H$47:$H$73,MATCH(KI$3,'Standards for Conversions'!$A$47:$A$73,0))))</f>
        <v/>
      </c>
      <c r="KL13" s="31"/>
      <c r="KM13" s="31"/>
      <c r="KN13" s="31" t="str">
        <f>IF(KM13/(INDEX('Standards for Conversions'!$H$47:$H$73,MATCH(KL$3,'Standards for Conversions'!$A$47:$A$73,0)))=0,"",KM13/(INDEX('Standards for Conversions'!$H$47:$H$73,MATCH(KL$3,'Standards for Conversions'!$A$47:$A$73,0))))</f>
        <v/>
      </c>
      <c r="KO13" s="31"/>
      <c r="KP13" s="31"/>
      <c r="KQ13" s="31" t="str">
        <f>IF(KP13/(INDEX('Standards for Conversions'!$H$47:$H$73,MATCH(KO$3,'Standards for Conversions'!$A$47:$A$73,0)))=0,"",KP13/(INDEX('Standards for Conversions'!$H$47:$H$73,MATCH(KO$3,'Standards for Conversions'!$A$47:$A$73,0))))</f>
        <v/>
      </c>
      <c r="KR13" s="31"/>
      <c r="KS13" s="31"/>
      <c r="KT13" s="31" t="str">
        <f>IF(KS13/(INDEX('Standards for Conversions'!$H$47:$H$73,MATCH(KR$3,'Standards for Conversions'!$A$47:$A$73,0)))=0,"",KS13/(INDEX('Standards for Conversions'!$H$47:$H$73,MATCH(KR$3,'Standards for Conversions'!$A$47:$A$73,0))))</f>
        <v/>
      </c>
      <c r="KU13" s="31"/>
      <c r="KV13" s="31"/>
      <c r="KW13" s="31" t="str">
        <f>IF(KV13/(INDEX('Standards for Conversions'!$H$47:$H$73,MATCH(KU$3,'Standards for Conversions'!$A$47:$A$73,0)))=0,"",KV13/(INDEX('Standards for Conversions'!$H$47:$H$73,MATCH(KU$3,'Standards for Conversions'!$A$47:$A$73,0))))</f>
        <v/>
      </c>
      <c r="KX13" s="31"/>
      <c r="KY13" s="31"/>
      <c r="KZ13" s="31" t="str">
        <f>IF(KY13/(INDEX('Standards for Conversions'!$H$47:$H$73,MATCH(KX$3,'Standards for Conversions'!$A$47:$A$73,0)))=0,"",KY13/(INDEX('Standards for Conversions'!$H$47:$H$73,MATCH(KX$3,'Standards for Conversions'!$A$47:$A$73,0))))</f>
        <v/>
      </c>
      <c r="LA13" s="31"/>
      <c r="LB13" s="31"/>
      <c r="LC13" s="31" t="str">
        <f>IF(LB13/(INDEX('Standards for Conversions'!$H$47:$H$73,MATCH(LA$3,'Standards for Conversions'!$A$47:$A$73,0)))=0,"",LB13/(INDEX('Standards for Conversions'!$H$47:$H$73,MATCH(LA$3,'Standards for Conversions'!$A$47:$A$73,0))))</f>
        <v/>
      </c>
      <c r="LD13" s="31"/>
      <c r="LE13" s="31"/>
      <c r="LF13" s="31" t="str">
        <f>IF(LE13/(INDEX('Standards for Conversions'!$H$47:$H$73,MATCH(LD$3,'Standards for Conversions'!$A$47:$A$73,0)))=0,"",LE13/(INDEX('Standards for Conversions'!$H$47:$H$73,MATCH(LD$3,'Standards for Conversions'!$A$47:$A$73,0))))</f>
        <v/>
      </c>
      <c r="LG13" s="31"/>
      <c r="LH13" s="31"/>
      <c r="LI13" s="31" t="str">
        <f>IF(LH13/(INDEX('Standards for Conversions'!$H$47:$H$73,MATCH(LG$3,'Standards for Conversions'!$A$47:$A$73,0)))=0,"",LH13/(INDEX('Standards for Conversions'!$H$47:$H$73,MATCH(LG$3,'Standards for Conversions'!$A$47:$A$73,0))))</f>
        <v/>
      </c>
      <c r="LJ13" s="31"/>
      <c r="LK13" s="31"/>
      <c r="LL13" s="31" t="str">
        <f>IF(LK13/(INDEX('Standards for Conversions'!$H$47:$H$73,MATCH(LJ$3,'Standards for Conversions'!$A$47:$A$73,0)))=0,"",LK13/(INDEX('Standards for Conversions'!$H$47:$H$73,MATCH(LJ$3,'Standards for Conversions'!$A$47:$A$73,0))))</f>
        <v/>
      </c>
      <c r="LM13" s="31"/>
      <c r="LN13" s="31"/>
      <c r="LO13" s="31" t="str">
        <f>IF(LN13/(INDEX('Standards for Conversions'!$H$47:$H$73,MATCH(LM$3,'Standards for Conversions'!$A$47:$A$73,0)))=0,"",LN13/(INDEX('Standards for Conversions'!$H$47:$H$73,MATCH(LM$3,'Standards for Conversions'!$A$47:$A$73,0))))</f>
        <v/>
      </c>
      <c r="LP13" s="31"/>
      <c r="LQ13" s="31"/>
      <c r="LR13" s="31" t="str">
        <f>IF(LQ13/(INDEX('Standards for Conversions'!$H$47:$H$73,MATCH(LP$3,'Standards for Conversions'!$A$47:$A$73,0)))=0,"",LQ13/(INDEX('Standards for Conversions'!$H$47:$H$73,MATCH(LP$3,'Standards for Conversions'!$A$47:$A$73,0))))</f>
        <v/>
      </c>
      <c r="LS13" s="31"/>
      <c r="LT13" s="31"/>
      <c r="LU13" s="31" t="str">
        <f>IF(LT13/(INDEX('Standards for Conversions'!$H$47:$H$73,MATCH(LS$3,'Standards for Conversions'!$A$47:$A$73,0)))=0,"",LT13/(INDEX('Standards for Conversions'!$H$47:$H$73,MATCH(LS$3,'Standards for Conversions'!$A$47:$A$73,0))))</f>
        <v/>
      </c>
      <c r="LV13" s="31"/>
      <c r="LW13" s="31"/>
      <c r="LX13" s="31" t="str">
        <f>IF(LW13/(INDEX('Standards for Conversions'!$H$47:$H$73,MATCH(LV$3,'Standards for Conversions'!$A$47:$A$73,0)))=0,"",LW13/(INDEX('Standards for Conversions'!$H$47:$H$73,MATCH(LV$3,'Standards for Conversions'!$A$47:$A$73,0))))</f>
        <v/>
      </c>
      <c r="LY13" s="31"/>
      <c r="LZ13" s="31"/>
      <c r="MA13" s="31"/>
      <c r="MB13" s="31"/>
      <c r="MC13" s="31"/>
      <c r="MD13" s="31"/>
      <c r="ME13" s="31"/>
      <c r="MF13" s="31"/>
      <c r="MG13" s="31"/>
      <c r="MH13" s="31"/>
      <c r="MI13" s="31"/>
      <c r="MJ13" s="31"/>
      <c r="MK13" s="31"/>
      <c r="ML13" s="31"/>
      <c r="MM13" s="31"/>
      <c r="MN13" s="31"/>
    </row>
    <row r="14" spans="1:352" s="33" customFormat="1" ht="14.4" customHeight="1" x14ac:dyDescent="0.3">
      <c r="A14" s="104" t="s">
        <v>199</v>
      </c>
      <c r="B14" s="10" t="s">
        <v>399</v>
      </c>
      <c r="C14" s="9"/>
      <c r="D14" s="9"/>
      <c r="E14" s="31" t="s">
        <v>128</v>
      </c>
      <c r="F14" s="9"/>
      <c r="G14" s="9"/>
      <c r="H14" s="31" t="s">
        <v>128</v>
      </c>
      <c r="I14" s="9"/>
      <c r="J14" s="9"/>
      <c r="K14" s="31" t="s">
        <v>128</v>
      </c>
      <c r="O14" s="31">
        <f t="shared" si="4"/>
        <v>0</v>
      </c>
      <c r="P14" s="31">
        <f t="shared" si="5"/>
        <v>0</v>
      </c>
      <c r="Q14" s="31" t="str">
        <f>IF(P14/(INDEX('Standards for Conversions'!$H$34:$H$73,MATCH(O$3,'Standards for Conversions'!$A$34:$A$73,0)))=0,"",P14/(INDEX('Standards for Conversions'!$H$34:$H$73,MATCH(O$3,'Standards for Conversions'!$A$34:$A$73,0))))</f>
        <v/>
      </c>
      <c r="R14" s="9"/>
      <c r="S14" s="9"/>
      <c r="T14" s="31" t="s">
        <v>128</v>
      </c>
      <c r="U14" s="9"/>
      <c r="V14" s="9"/>
      <c r="W14" s="31" t="s">
        <v>128</v>
      </c>
      <c r="X14" s="9"/>
      <c r="Y14" s="9"/>
      <c r="Z14" s="31" t="s">
        <v>128</v>
      </c>
      <c r="AD14" s="31">
        <f t="shared" si="6"/>
        <v>0</v>
      </c>
      <c r="AE14" s="31">
        <f t="shared" si="7"/>
        <v>0</v>
      </c>
      <c r="AF14" s="31" t="str">
        <f>IF(AE14/(INDEX('Standards for Conversions'!$H$34:$H$73,MATCH(AD$3,'Standards for Conversions'!$A$34:$A$73,0)))=0,"",AE14/(INDEX('Standards for Conversions'!$H$34:$H$73,MATCH(AD$3,'Standards for Conversions'!$A$34:$A$73,0))))</f>
        <v/>
      </c>
      <c r="AG14" s="9"/>
      <c r="AH14" s="9"/>
      <c r="AI14" s="31" t="s">
        <v>128</v>
      </c>
      <c r="AJ14" s="9"/>
      <c r="AK14" s="9"/>
      <c r="AL14" s="31" t="s">
        <v>128</v>
      </c>
      <c r="AM14" s="9"/>
      <c r="AN14" s="9"/>
      <c r="AO14" s="31" t="s">
        <v>128</v>
      </c>
      <c r="AS14" s="31">
        <f t="shared" si="8"/>
        <v>0</v>
      </c>
      <c r="AT14" s="31">
        <f t="shared" si="9"/>
        <v>0</v>
      </c>
      <c r="AU14" s="31" t="str">
        <f>IF(AT14/(INDEX('Standards for Conversions'!$H$34:$H$73,MATCH(AS$3,'Standards for Conversions'!$A$34:$A$73,0)))=0,"",AT14/(INDEX('Standards for Conversions'!$H$34:$H$73,MATCH(AS$3,'Standards for Conversions'!$A$34:$A$73,0))))</f>
        <v/>
      </c>
      <c r="AV14" s="9"/>
      <c r="AW14" s="9"/>
      <c r="AX14" s="31" t="s">
        <v>128</v>
      </c>
      <c r="AY14" s="9"/>
      <c r="AZ14" s="9"/>
      <c r="BA14" s="31" t="s">
        <v>128</v>
      </c>
      <c r="BB14" s="9"/>
      <c r="BC14" s="9"/>
      <c r="BD14" s="31" t="s">
        <v>128</v>
      </c>
      <c r="BH14" s="31">
        <f t="shared" si="10"/>
        <v>0</v>
      </c>
      <c r="BI14" s="31">
        <f t="shared" si="11"/>
        <v>0</v>
      </c>
      <c r="BJ14" s="31" t="str">
        <f>IF(BI14/(INDEX('Standards for Conversions'!$H$34:$H$73,MATCH(BH$3,'Standards for Conversions'!$A$34:$A$73,0)))=0,"",BI14/(INDEX('Standards for Conversions'!$H$34:$H$73,MATCH(BH$3,'Standards for Conversions'!$A$34:$A$73,0))))</f>
        <v/>
      </c>
      <c r="BK14" s="9"/>
      <c r="BL14" s="9"/>
      <c r="BM14" s="31" t="s">
        <v>128</v>
      </c>
      <c r="BN14" s="9"/>
      <c r="BO14" s="9"/>
      <c r="BP14" s="31" t="s">
        <v>128</v>
      </c>
      <c r="BQ14" s="9"/>
      <c r="BR14" s="9"/>
      <c r="BS14" s="31" t="s">
        <v>128</v>
      </c>
      <c r="BW14" s="31">
        <f t="shared" si="12"/>
        <v>0</v>
      </c>
      <c r="BX14" s="31">
        <f t="shared" si="13"/>
        <v>0</v>
      </c>
      <c r="BY14" s="31" t="str">
        <f>IF(BX14/(INDEX('Standards for Conversions'!$H$34:$H$73,MATCH(BW$3,'Standards for Conversions'!$A$34:$A$73,0)))=0,"",BX14/(INDEX('Standards for Conversions'!$H$34:$H$73,MATCH(BW$3,'Standards for Conversions'!$A$34:$A$73,0))))</f>
        <v/>
      </c>
      <c r="BZ14" s="7"/>
      <c r="CA14" s="7"/>
      <c r="CB14" s="31" t="s">
        <v>128</v>
      </c>
      <c r="CC14" s="7"/>
      <c r="CD14" s="7"/>
      <c r="CE14" s="31" t="s">
        <v>128</v>
      </c>
      <c r="CF14" s="9"/>
      <c r="CG14" s="9"/>
      <c r="CH14" s="31" t="s">
        <v>128</v>
      </c>
      <c r="CI14" s="7">
        <v>408</v>
      </c>
      <c r="CJ14" s="7">
        <v>400</v>
      </c>
      <c r="CK14" s="31">
        <v>69.446786014310135</v>
      </c>
      <c r="CL14" s="31">
        <f t="shared" si="14"/>
        <v>408</v>
      </c>
      <c r="CM14" s="31">
        <f t="shared" si="15"/>
        <v>400</v>
      </c>
      <c r="CN14" s="31">
        <f>IF(CM14/(INDEX('Standards for Conversions'!$H$34:$H$73,MATCH(CL$3,'Standards for Conversions'!$A$34:$A$73,0)))=0,"",CM14/(INDEX('Standards for Conversions'!$H$34:$H$73,MATCH(CL$3,'Standards for Conversions'!$A$34:$A$73,0))))</f>
        <v>69.446786014310135</v>
      </c>
      <c r="CO14" s="7"/>
      <c r="CP14" s="7"/>
      <c r="CQ14" s="31" t="s">
        <v>128</v>
      </c>
      <c r="CR14" s="7"/>
      <c r="CS14" s="7"/>
      <c r="CT14" s="31" t="s">
        <v>128</v>
      </c>
      <c r="CU14" s="9"/>
      <c r="CV14" s="9"/>
      <c r="CW14" s="31" t="s">
        <v>128</v>
      </c>
      <c r="CX14" s="7">
        <v>640.58999999999992</v>
      </c>
      <c r="CY14" s="7">
        <v>1100</v>
      </c>
      <c r="CZ14" s="31">
        <v>194.7050744474378</v>
      </c>
      <c r="DA14" s="31">
        <f t="shared" si="16"/>
        <v>640.58999999999992</v>
      </c>
      <c r="DB14" s="31">
        <f t="shared" si="17"/>
        <v>1100</v>
      </c>
      <c r="DC14" s="31">
        <f>IF(DB14/(INDEX('Standards for Conversions'!$H$34:$H$73,MATCH(DA$3,'Standards for Conversions'!$A$34:$A$73,0)))=0,"",DB14/(INDEX('Standards for Conversions'!$H$34:$H$73,MATCH(DA$3,'Standards for Conversions'!$A$34:$A$73,0))))</f>
        <v>194.7050744474378</v>
      </c>
      <c r="DD14" s="7"/>
      <c r="DE14" s="7"/>
      <c r="DF14" s="31" t="s">
        <v>128</v>
      </c>
      <c r="DG14" s="7"/>
      <c r="DH14" s="7"/>
      <c r="DI14" s="31" t="s">
        <v>128</v>
      </c>
      <c r="DJ14" s="9"/>
      <c r="DK14" s="9"/>
      <c r="DL14" s="31" t="s">
        <v>128</v>
      </c>
      <c r="DM14" s="7">
        <v>1141</v>
      </c>
      <c r="DN14" s="7">
        <v>1500</v>
      </c>
      <c r="DO14" s="31">
        <v>262.64859161814547</v>
      </c>
      <c r="DP14" s="31">
        <f t="shared" si="18"/>
        <v>1141</v>
      </c>
      <c r="DQ14" s="31">
        <f t="shared" si="19"/>
        <v>1500</v>
      </c>
      <c r="DR14" s="31">
        <f>IF(DQ14/(INDEX('Standards for Conversions'!$H$34:$H$73,MATCH(DP$3,'Standards for Conversions'!$A$34:$A$73,0)))=0,"",DQ14/(INDEX('Standards for Conversions'!$H$34:$H$73,MATCH(DP$3,'Standards for Conversions'!$A$34:$A$73,0))))</f>
        <v>262.64859161814547</v>
      </c>
      <c r="DS14" s="7"/>
      <c r="DT14" s="7"/>
      <c r="DU14" s="31" t="s">
        <v>128</v>
      </c>
      <c r="DV14" s="7"/>
      <c r="DW14" s="7"/>
      <c r="DX14" s="31" t="s">
        <v>128</v>
      </c>
      <c r="DY14" s="9"/>
      <c r="DZ14" s="9"/>
      <c r="EA14" s="31" t="s">
        <v>128</v>
      </c>
      <c r="EB14" s="7">
        <v>44.01</v>
      </c>
      <c r="EC14" s="7">
        <v>70</v>
      </c>
      <c r="ED14" s="31">
        <v>12.242113315083571</v>
      </c>
      <c r="EE14" s="31">
        <f t="shared" si="20"/>
        <v>44.01</v>
      </c>
      <c r="EF14" s="31">
        <f t="shared" si="21"/>
        <v>70</v>
      </c>
      <c r="EG14" s="31">
        <f>IF(EF14/(INDEX('Standards for Conversions'!$H$34:$H$73,MATCH(EE$3,'Standards for Conversions'!$A$34:$A$73,0)))=0,"",EF14/(INDEX('Standards for Conversions'!$H$34:$H$73,MATCH(EE$3,'Standards for Conversions'!$A$34:$A$73,0))))</f>
        <v>12.242113315083571</v>
      </c>
      <c r="EH14" s="7"/>
      <c r="EI14" s="7"/>
      <c r="EJ14" s="31" t="s">
        <v>128</v>
      </c>
      <c r="EK14" s="7"/>
      <c r="EL14" s="7"/>
      <c r="EM14" s="31" t="s">
        <v>128</v>
      </c>
      <c r="EN14" s="9"/>
      <c r="EO14" s="9"/>
      <c r="EP14" s="31" t="s">
        <v>128</v>
      </c>
      <c r="EQ14" s="7">
        <v>26.08</v>
      </c>
      <c r="ER14" s="7">
        <v>45</v>
      </c>
      <c r="ES14" s="31">
        <v>7.7079580635699996</v>
      </c>
      <c r="ET14" s="31">
        <f t="shared" si="22"/>
        <v>26.08</v>
      </c>
      <c r="EU14" s="31">
        <f t="shared" si="23"/>
        <v>45</v>
      </c>
      <c r="EV14" s="31">
        <f>IF(EU14/(INDEX('Standards for Conversions'!$H$34:$H$73,MATCH(ET$3,'Standards for Conversions'!$A$34:$A$73,0)))=0,"",EU14/(INDEX('Standards for Conversions'!$H$34:$H$73,MATCH(ET$3,'Standards for Conversions'!$A$34:$A$73,0))))</f>
        <v>7.7079580635699996</v>
      </c>
      <c r="EW14" s="7"/>
      <c r="EX14" s="7"/>
      <c r="EY14" s="31" t="s">
        <v>128</v>
      </c>
      <c r="EZ14" s="7"/>
      <c r="FA14" s="7"/>
      <c r="FB14" s="31" t="s">
        <v>128</v>
      </c>
      <c r="FC14" s="9"/>
      <c r="FD14" s="9"/>
      <c r="FE14" s="31" t="s">
        <v>128</v>
      </c>
      <c r="FF14" s="7">
        <v>163</v>
      </c>
      <c r="FG14" s="7">
        <v>250</v>
      </c>
      <c r="FH14" s="31">
        <v>42.874921243590848</v>
      </c>
      <c r="FI14" s="31">
        <f t="shared" si="24"/>
        <v>163</v>
      </c>
      <c r="FJ14" s="31">
        <f t="shared" si="25"/>
        <v>250</v>
      </c>
      <c r="FK14" s="31">
        <f>IF(FJ14/(INDEX('Standards for Conversions'!$H$34:$H$73,MATCH(FI$3,'Standards for Conversions'!$A$34:$A$73,0)))=0,"",FJ14/(INDEX('Standards for Conversions'!$H$34:$H$73,MATCH(FI$3,'Standards for Conversions'!$A$34:$A$73,0))))</f>
        <v>42.874921243590848</v>
      </c>
      <c r="FL14" s="7"/>
      <c r="FM14" s="7"/>
      <c r="FN14" s="31" t="s">
        <v>128</v>
      </c>
      <c r="FO14" s="7"/>
      <c r="FP14" s="7"/>
      <c r="FQ14" s="31" t="s">
        <v>128</v>
      </c>
      <c r="FR14" s="9"/>
      <c r="FS14" s="9"/>
      <c r="FT14" s="31" t="s">
        <v>128</v>
      </c>
      <c r="FU14" s="7">
        <v>32.599999999999994</v>
      </c>
      <c r="FV14" s="7">
        <v>65</v>
      </c>
      <c r="FW14" s="31">
        <v>10.693322950160772</v>
      </c>
      <c r="FX14" s="31">
        <f t="shared" si="26"/>
        <v>32.599999999999994</v>
      </c>
      <c r="FY14" s="31">
        <f t="shared" si="27"/>
        <v>65</v>
      </c>
      <c r="FZ14" s="31">
        <f>IF(FY14/(INDEX('Standards for Conversions'!$H$34:$H$73,MATCH(FX$3,'Standards for Conversions'!$A$34:$A$73,0)))=0,"",FY14/(INDEX('Standards for Conversions'!$H$34:$H$73,MATCH(FX$3,'Standards for Conversions'!$A$34:$A$73,0))))</f>
        <v>10.693322950160772</v>
      </c>
      <c r="GA14" s="7"/>
      <c r="GB14" s="7"/>
      <c r="GC14" s="31" t="s">
        <v>128</v>
      </c>
      <c r="GD14" s="7"/>
      <c r="GE14" s="7"/>
      <c r="GF14" s="31" t="s">
        <v>128</v>
      </c>
      <c r="GG14" s="9"/>
      <c r="GH14" s="9"/>
      <c r="GI14" s="31" t="s">
        <v>128</v>
      </c>
      <c r="GJ14" s="7">
        <v>114.1</v>
      </c>
      <c r="GK14" s="7">
        <v>300</v>
      </c>
      <c r="GL14" s="31">
        <v>46.114359737551055</v>
      </c>
      <c r="GM14" s="31">
        <f t="shared" si="28"/>
        <v>114.1</v>
      </c>
      <c r="GN14" s="31">
        <f t="shared" si="29"/>
        <v>300</v>
      </c>
      <c r="GO14" s="31">
        <f>IF(GN14/(INDEX('Standards for Conversions'!$H$34:$H$73,MATCH(GM$3,'Standards for Conversions'!$A$34:$A$73,0)))=0,"",GN14/(INDEX('Standards for Conversions'!$H$34:$H$73,MATCH(GM$3,'Standards for Conversions'!$A$34:$A$73,0))))</f>
        <v>46.114359737551055</v>
      </c>
      <c r="GP14" s="7"/>
      <c r="GQ14" s="7"/>
      <c r="GR14" s="31" t="s">
        <v>128</v>
      </c>
      <c r="GS14" s="7"/>
      <c r="GT14" s="7"/>
      <c r="GU14" s="31" t="s">
        <v>128</v>
      </c>
      <c r="GV14" s="9"/>
      <c r="GW14" s="9"/>
      <c r="GX14" s="31" t="s">
        <v>128</v>
      </c>
      <c r="GY14" s="7">
        <v>81.5</v>
      </c>
      <c r="GZ14" s="7">
        <v>250</v>
      </c>
      <c r="HA14" s="31">
        <v>37.846381097737599</v>
      </c>
      <c r="HB14" s="31">
        <f t="shared" si="30"/>
        <v>81.5</v>
      </c>
      <c r="HC14" s="31">
        <f t="shared" si="31"/>
        <v>250</v>
      </c>
      <c r="HD14" s="31">
        <f>IF(HC14/(INDEX('Standards for Conversions'!$H$34:$H$73,MATCH(HB$3,'Standards for Conversions'!$A$34:$A$73,0)))=0,"",HC14/(INDEX('Standards for Conversions'!$H$34:$H$73,MATCH(HB$3,'Standards for Conversions'!$A$34:$A$73,0))))</f>
        <v>37.846381097737599</v>
      </c>
      <c r="HE14" s="112" t="s">
        <v>98</v>
      </c>
      <c r="HF14" s="31"/>
      <c r="HG14" s="31"/>
      <c r="HH14" s="31" t="str">
        <f>IF(HG14/(INDEX('Standards for Conversions'!$H$47:$H$73,MATCH(HF$3,'Standards for Conversions'!$A$47:$A$73,0)))=0,"",HG14/(INDEX('Standards for Conversions'!$H$47:$H$73,MATCH(HF$3,'Standards for Conversions'!$A$47:$A$73,0))))</f>
        <v/>
      </c>
      <c r="HI14" s="31"/>
      <c r="HJ14" s="31"/>
      <c r="HK14" s="31" t="str">
        <f>IF(HJ14/(INDEX('Standards for Conversions'!$H$47:$H$73,MATCH(HI$3,'Standards for Conversions'!$A$47:$A$73,0)))=0,"",HJ14/(INDEX('Standards for Conversions'!$H$47:$H$73,MATCH(HI$3,'Standards for Conversions'!$A$47:$A$73,0))))</f>
        <v/>
      </c>
      <c r="HL14" s="31"/>
      <c r="HM14" s="31"/>
      <c r="HN14" s="31" t="str">
        <f>IF(HM14/(INDEX('Standards for Conversions'!$H$47:$H$73,MATCH(HL$3,'Standards for Conversions'!$A$47:$A$73,0)))=0,"",HM14/(INDEX('Standards for Conversions'!$H$47:$H$73,MATCH(HL$3,'Standards for Conversions'!$A$47:$A$73,0))))</f>
        <v/>
      </c>
      <c r="HO14" s="31">
        <v>97.5</v>
      </c>
      <c r="HP14" s="31">
        <v>250</v>
      </c>
      <c r="HQ14" s="31">
        <f>IF(HP14/(INDEX('Standards for Conversions'!$H$47:$H$73,MATCH(HO$3,'Standards for Conversions'!$A$47:$A$73,0)))=0,"",HP14/(INDEX('Standards for Conversions'!$H$47:$H$73,MATCH(HO$3,'Standards for Conversions'!$A$47:$A$73,0))))</f>
        <v>36.311353053213992</v>
      </c>
      <c r="HR14" s="31">
        <f t="shared" ref="HR14:HS23" si="39">HF14+HI14+HL14+HO14</f>
        <v>97.5</v>
      </c>
      <c r="HS14" s="31">
        <f t="shared" si="39"/>
        <v>250</v>
      </c>
      <c r="HT14" s="31">
        <f>IF(HS14/(INDEX('Standards for Conversions'!$H$47:$H$73,MATCH(HR$3,'Standards for Conversions'!$A$47:$A$73,0)))=0,"",HS14/(INDEX('Standards for Conversions'!$H$47:$H$73,MATCH(HR$3,'Standards for Conversions'!$A$47:$A$73,0))))</f>
        <v>36.311353053213992</v>
      </c>
      <c r="HU14" s="31"/>
      <c r="HV14" s="31"/>
      <c r="HW14" s="31" t="str">
        <f>IF(HV14/(INDEX('Standards for Conversions'!$H$47:$H$73,MATCH(HU$3,'Standards for Conversions'!$A$47:$A$73,0)))=0,"",HV14/(INDEX('Standards for Conversions'!$H$47:$H$73,MATCH(HU$3,'Standards for Conversions'!$A$47:$A$73,0))))</f>
        <v/>
      </c>
      <c r="HX14" s="31"/>
      <c r="HY14" s="31"/>
      <c r="HZ14" s="31" t="str">
        <f>IF(HY14/(INDEX('Standards for Conversions'!$H$47:$H$73,MATCH(HX$3,'Standards for Conversions'!$A$47:$A$73,0)))=0,"",HY14/(INDEX('Standards for Conversions'!$H$47:$H$73,MATCH(HX$3,'Standards for Conversions'!$A$47:$A$73,0))))</f>
        <v/>
      </c>
      <c r="IA14" s="31"/>
      <c r="IB14" s="31"/>
      <c r="IC14" s="31" t="str">
        <f>IF(IB14/(INDEX('Standards for Conversions'!$H$47:$H$73,MATCH(IA$3,'Standards for Conversions'!$A$47:$A$73,0)))=0,"",IB14/(INDEX('Standards for Conversions'!$H$47:$H$73,MATCH(IA$3,'Standards for Conversions'!$A$47:$A$73,0))))</f>
        <v/>
      </c>
      <c r="ID14" s="31">
        <v>13</v>
      </c>
      <c r="IE14" s="31">
        <v>15</v>
      </c>
      <c r="IF14" s="31">
        <f>IF(IE14/(INDEX('Standards for Conversions'!$H$47:$H$73,MATCH(ID$3,'Standards for Conversions'!$A$47:$A$73,0)))=0,"",IE14/(INDEX('Standards for Conversions'!$H$47:$H$73,MATCH(ID$3,'Standards for Conversions'!$A$47:$A$73,0))))</f>
        <v>2.1691534229164855</v>
      </c>
      <c r="IG14" s="31">
        <f t="shared" si="33"/>
        <v>13</v>
      </c>
      <c r="IH14" s="31">
        <f t="shared" si="34"/>
        <v>15</v>
      </c>
      <c r="II14" s="31">
        <f>IF(IH14/(INDEX('Standards for Conversions'!$H$47:$H$73,MATCH(IG$3,'Standards for Conversions'!$A$47:$A$73,0)))=0,"",IH14/(INDEX('Standards for Conversions'!$H$47:$H$73,MATCH(IG$3,'Standards for Conversions'!$A$47:$A$73,0))))</f>
        <v>2.1691534229164855</v>
      </c>
      <c r="IJ14" s="31"/>
      <c r="IK14" s="31"/>
      <c r="IL14" s="31" t="str">
        <f>IF(IK14/(INDEX('Standards for Conversions'!$H$47:$H$73,MATCH(IJ$3,'Standards for Conversions'!$A$47:$A$73,0)))=0,"",IK14/(INDEX('Standards for Conversions'!$H$47:$H$73,MATCH(IJ$3,'Standards for Conversions'!$A$47:$A$73,0))))</f>
        <v/>
      </c>
      <c r="IM14" s="31"/>
      <c r="IN14" s="31"/>
      <c r="IO14" s="31" t="str">
        <f>IF(IN14/(INDEX('Standards for Conversions'!$H$47:$H$73,MATCH(IM$3,'Standards for Conversions'!$A$47:$A$73,0)))=0,"",IN14/(INDEX('Standards for Conversions'!$H$47:$H$73,MATCH(IM$3,'Standards for Conversions'!$A$47:$A$73,0))))</f>
        <v/>
      </c>
      <c r="IP14" s="31"/>
      <c r="IQ14" s="31"/>
      <c r="IR14" s="31" t="str">
        <f>IF(IQ14/(INDEX('Standards for Conversions'!$H$47:$H$73,MATCH(IP$3,'Standards for Conversions'!$A$47:$A$73,0)))=0,"",IQ14/(INDEX('Standards for Conversions'!$H$47:$H$73,MATCH(IP$3,'Standards for Conversions'!$A$47:$A$73,0))))</f>
        <v/>
      </c>
      <c r="IS14" s="31">
        <v>29.25</v>
      </c>
      <c r="IT14" s="31">
        <v>50</v>
      </c>
      <c r="IU14" s="31">
        <f>IF(IT14/(INDEX('Standards for Conversions'!$H$47:$H$73,MATCH(IS$3,'Standards for Conversions'!$A$47:$A$73,0)))=0,"",IT14/(INDEX('Standards for Conversions'!$H$47:$H$73,MATCH(IS$3,'Standards for Conversions'!$A$47:$A$73,0))))</f>
        <v>8.0880098345934339</v>
      </c>
      <c r="IV14" s="31">
        <f t="shared" si="35"/>
        <v>29.25</v>
      </c>
      <c r="IW14" s="31">
        <f t="shared" si="35"/>
        <v>50</v>
      </c>
      <c r="IX14" s="31">
        <f>IF(IW14/(INDEX('Standards for Conversions'!$H$47:$H$73,MATCH(IV$3,'Standards for Conversions'!$A$47:$A$73,0)))=0,"",IW14/(INDEX('Standards for Conversions'!$H$47:$H$73,MATCH(IV$3,'Standards for Conversions'!$A$47:$A$73,0))))</f>
        <v>8.0880098345934339</v>
      </c>
      <c r="IY14" s="31"/>
      <c r="IZ14" s="31"/>
      <c r="JA14" s="31" t="str">
        <f>IF(IZ14/(INDEX('Standards for Conversions'!$H$47:$H$73,MATCH(IY$3,'Standards for Conversions'!$A$47:$A$73,0)))=0,"",IZ14/(INDEX('Standards for Conversions'!$H$47:$H$73,MATCH(IY$3,'Standards for Conversions'!$A$47:$A$73,0))))</f>
        <v/>
      </c>
      <c r="JB14" s="31"/>
      <c r="JC14" s="31"/>
      <c r="JD14" s="31" t="str">
        <f>IF(JC14/(INDEX('Standards for Conversions'!$H$47:$H$73,MATCH(JB$3,'Standards for Conversions'!$A$47:$A$73,0)))=0,"",JC14/(INDEX('Standards for Conversions'!$H$47:$H$73,MATCH(JB$3,'Standards for Conversions'!$A$47:$A$73,0))))</f>
        <v/>
      </c>
      <c r="JE14" s="31"/>
      <c r="JF14" s="31"/>
      <c r="JG14" s="31" t="str">
        <f>IF(JF14/(INDEX('Standards for Conversions'!$H$47:$H$73,MATCH(JE$3,'Standards for Conversions'!$A$47:$A$73,0)))=0,"",JF14/(INDEX('Standards for Conversions'!$H$47:$H$73,MATCH(JE$3,'Standards for Conversions'!$A$47:$A$73,0))))</f>
        <v/>
      </c>
      <c r="JH14" s="31">
        <v>40.625</v>
      </c>
      <c r="JI14" s="31">
        <v>70</v>
      </c>
      <c r="JJ14" s="31">
        <f>IF(JI14/(INDEX('Standards for Conversions'!$H$47:$H$73,MATCH(JH$3,'Standards for Conversions'!$A$47:$A$73,0)))=0,"",JI14/(INDEX('Standards for Conversions'!$H$47:$H$73,MATCH(JH$3,'Standards for Conversions'!$A$47:$A$73,0))))</f>
        <v>10.68591246994583</v>
      </c>
      <c r="JK14" s="31">
        <f t="shared" ref="JK14:JL23" si="40">IY14+JB14+JE14+JH14</f>
        <v>40.625</v>
      </c>
      <c r="JL14" s="31">
        <f t="shared" si="40"/>
        <v>70</v>
      </c>
      <c r="JM14" s="31">
        <f>IF(JL14/(INDEX('Standards for Conversions'!$H$47:$H$73,MATCH(JK$3,'Standards for Conversions'!$A$47:$A$73,0)))=0,"",JL14/(INDEX('Standards for Conversions'!$H$47:$H$73,MATCH(JK$3,'Standards for Conversions'!$A$47:$A$73,0))))</f>
        <v>10.68591246994583</v>
      </c>
      <c r="JN14" s="31"/>
      <c r="JO14" s="31"/>
      <c r="JP14" s="31" t="str">
        <f>IF(JO14/(INDEX('Standards for Conversions'!$H$47:$H$73,MATCH(JN$3,'Standards for Conversions'!$A$47:$A$73,0)))=0,"",JO14/(INDEX('Standards for Conversions'!$H$47:$H$73,MATCH(JN$3,'Standards for Conversions'!$A$47:$A$73,0))))</f>
        <v/>
      </c>
      <c r="JQ14" s="31"/>
      <c r="JR14" s="31"/>
      <c r="JS14" s="31" t="str">
        <f>IF(JR14/(INDEX('Standards for Conversions'!$H$47:$H$73,MATCH(JQ$3,'Standards for Conversions'!$A$47:$A$73,0)))=0,"",JR14/(INDEX('Standards for Conversions'!$H$47:$H$73,MATCH(JQ$3,'Standards for Conversions'!$A$47:$A$73,0))))</f>
        <v/>
      </c>
      <c r="JT14" s="31"/>
      <c r="JU14" s="31"/>
      <c r="JV14" s="31" t="str">
        <f>IF(JU14/(INDEX('Standards for Conversions'!$H$47:$H$73,MATCH(JT$3,'Standards for Conversions'!$A$47:$A$73,0)))=0,"",JU14/(INDEX('Standards for Conversions'!$H$47:$H$73,MATCH(JT$3,'Standards for Conversions'!$A$47:$A$73,0))))</f>
        <v/>
      </c>
      <c r="JW14" s="31">
        <v>40.625</v>
      </c>
      <c r="JX14" s="31">
        <v>60</v>
      </c>
      <c r="JY14" s="31">
        <f>IF(JX14/(INDEX('Standards for Conversions'!$H$47:$H$73,MATCH(JW$3,'Standards for Conversions'!$A$47:$A$73,0)))=0,"",JX14/(INDEX('Standards for Conversions'!$H$47:$H$73,MATCH(JW$3,'Standards for Conversions'!$A$47:$A$73,0))))</f>
        <v>8.0795407143477878</v>
      </c>
      <c r="JZ14" s="31">
        <f t="shared" ref="JZ14:KA23" si="41">JN14+JQ14+JT14+JW14</f>
        <v>40.625</v>
      </c>
      <c r="KA14" s="31">
        <f t="shared" si="41"/>
        <v>60</v>
      </c>
      <c r="KB14" s="31">
        <f>IF(KA14/(INDEX('Standards for Conversions'!$H$47:$H$73,MATCH(JZ$3,'Standards for Conversions'!$A$47:$A$73,0)))=0,"",KA14/(INDEX('Standards for Conversions'!$H$47:$H$73,MATCH(JZ$3,'Standards for Conversions'!$A$47:$A$73,0))))</f>
        <v>8.0795407143477878</v>
      </c>
      <c r="KC14" s="31"/>
      <c r="KD14" s="31"/>
      <c r="KE14" s="31" t="str">
        <f>IF(KD14/(INDEX('Standards for Conversions'!$H$47:$H$73,MATCH(KC$3,'Standards for Conversions'!$A$47:$A$73,0)))=0,"",KD14/(INDEX('Standards for Conversions'!$H$47:$H$73,MATCH(KC$3,'Standards for Conversions'!$A$47:$A$73,0))))</f>
        <v/>
      </c>
      <c r="KF14" s="31"/>
      <c r="KG14" s="31"/>
      <c r="KH14" s="31" t="str">
        <f>IF(KG14/(INDEX('Standards for Conversions'!$H$47:$H$73,MATCH(KF$3,'Standards for Conversions'!$A$47:$A$73,0)))=0,"",KG14/(INDEX('Standards for Conversions'!$H$47:$H$73,MATCH(KF$3,'Standards for Conversions'!$A$47:$A$73,0))))</f>
        <v/>
      </c>
      <c r="KI14" s="31"/>
      <c r="KJ14" s="31"/>
      <c r="KK14" s="31" t="str">
        <f>IF(KJ14/(INDEX('Standards for Conversions'!$H$47:$H$73,MATCH(KI$3,'Standards for Conversions'!$A$47:$A$73,0)))=0,"",KJ14/(INDEX('Standards for Conversions'!$H$47:$H$73,MATCH(KI$3,'Standards for Conversions'!$A$47:$A$73,0))))</f>
        <v/>
      </c>
      <c r="KL14" s="31">
        <v>45.5</v>
      </c>
      <c r="KM14" s="31">
        <v>85</v>
      </c>
      <c r="KN14" s="31">
        <f>IF(KM14/(INDEX('Standards for Conversions'!$H$47:$H$73,MATCH(KL$3,'Standards for Conversions'!$A$47:$A$73,0)))=0,"",KM14/(INDEX('Standards for Conversions'!$H$47:$H$73,MATCH(KL$3,'Standards for Conversions'!$A$47:$A$73,0))))</f>
        <v>10.33740817183743</v>
      </c>
      <c r="KO14" s="31">
        <f t="shared" ref="KO14:KP23" si="42">KC14+KF14+KI14+KL14</f>
        <v>45.5</v>
      </c>
      <c r="KP14" s="31">
        <f t="shared" si="42"/>
        <v>85</v>
      </c>
      <c r="KQ14" s="31">
        <f>IF(KP14/(INDEX('Standards for Conversions'!$H$47:$H$73,MATCH(KO$3,'Standards for Conversions'!$A$47:$A$73,0)))=0,"",KP14/(INDEX('Standards for Conversions'!$H$47:$H$73,MATCH(KO$3,'Standards for Conversions'!$A$47:$A$73,0))))</f>
        <v>10.33740817183743</v>
      </c>
      <c r="KR14" s="31"/>
      <c r="KS14" s="31"/>
      <c r="KT14" s="31" t="str">
        <f>IF(KS14/(INDEX('Standards for Conversions'!$H$47:$H$73,MATCH(KR$3,'Standards for Conversions'!$A$47:$A$73,0)))=0,"",KS14/(INDEX('Standards for Conversions'!$H$47:$H$73,MATCH(KR$3,'Standards for Conversions'!$A$47:$A$73,0))))</f>
        <v/>
      </c>
      <c r="KU14" s="31"/>
      <c r="KV14" s="31"/>
      <c r="KW14" s="31" t="str">
        <f>IF(KV14/(INDEX('Standards for Conversions'!$H$47:$H$73,MATCH(KU$3,'Standards for Conversions'!$A$47:$A$73,0)))=0,"",KV14/(INDEX('Standards for Conversions'!$H$47:$H$73,MATCH(KU$3,'Standards for Conversions'!$A$47:$A$73,0))))</f>
        <v/>
      </c>
      <c r="KX14" s="31"/>
      <c r="KY14" s="31"/>
      <c r="KZ14" s="31" t="str">
        <f>IF(KY14/(INDEX('Standards for Conversions'!$H$47:$H$73,MATCH(KX$3,'Standards for Conversions'!$A$47:$A$73,0)))=0,"",KY14/(INDEX('Standards for Conversions'!$H$47:$H$73,MATCH(KX$3,'Standards for Conversions'!$A$47:$A$73,0))))</f>
        <v/>
      </c>
      <c r="LA14" s="31"/>
      <c r="LB14" s="31"/>
      <c r="LC14" s="31" t="str">
        <f>IF(LB14/(INDEX('Standards for Conversions'!$H$47:$H$73,MATCH(LA$3,'Standards for Conversions'!$A$47:$A$73,0)))=0,"",LB14/(INDEX('Standards for Conversions'!$H$47:$H$73,MATCH(LA$3,'Standards for Conversions'!$A$47:$A$73,0))))</f>
        <v/>
      </c>
      <c r="LD14" s="31"/>
      <c r="LE14" s="31"/>
      <c r="LF14" s="31" t="str">
        <f>IF(LE14/(INDEX('Standards for Conversions'!$H$47:$H$73,MATCH(LD$3,'Standards for Conversions'!$A$47:$A$73,0)))=0,"",LE14/(INDEX('Standards for Conversions'!$H$47:$H$73,MATCH(LD$3,'Standards for Conversions'!$A$47:$A$73,0))))</f>
        <v/>
      </c>
      <c r="LG14" s="31"/>
      <c r="LH14" s="31"/>
      <c r="LI14" s="31" t="str">
        <f>IF(LH14/(INDEX('Standards for Conversions'!$H$47:$H$73,MATCH(LG$3,'Standards for Conversions'!$A$47:$A$73,0)))=0,"",LH14/(INDEX('Standards for Conversions'!$H$47:$H$73,MATCH(LG$3,'Standards for Conversions'!$A$47:$A$73,0))))</f>
        <v/>
      </c>
      <c r="LJ14" s="31"/>
      <c r="LK14" s="31"/>
      <c r="LL14" s="31" t="str">
        <f>IF(LK14/(INDEX('Standards for Conversions'!$H$47:$H$73,MATCH(LJ$3,'Standards for Conversions'!$A$47:$A$73,0)))=0,"",LK14/(INDEX('Standards for Conversions'!$H$47:$H$73,MATCH(LJ$3,'Standards for Conversions'!$A$47:$A$73,0))))</f>
        <v/>
      </c>
      <c r="LM14" s="31"/>
      <c r="LN14" s="31"/>
      <c r="LO14" s="31" t="str">
        <f>IF(LN14/(INDEX('Standards for Conversions'!$H$47:$H$73,MATCH(LM$3,'Standards for Conversions'!$A$47:$A$73,0)))=0,"",LN14/(INDEX('Standards for Conversions'!$H$47:$H$73,MATCH(LM$3,'Standards for Conversions'!$A$47:$A$73,0))))</f>
        <v/>
      </c>
      <c r="LP14" s="31"/>
      <c r="LQ14" s="31"/>
      <c r="LR14" s="31" t="str">
        <f>IF(LQ14/(INDEX('Standards for Conversions'!$H$47:$H$73,MATCH(LP$3,'Standards for Conversions'!$A$47:$A$73,0)))=0,"",LQ14/(INDEX('Standards for Conversions'!$H$47:$H$73,MATCH(LP$3,'Standards for Conversions'!$A$47:$A$73,0))))</f>
        <v/>
      </c>
      <c r="LS14" s="31"/>
      <c r="LT14" s="31"/>
      <c r="LU14" s="31" t="str">
        <f>IF(LT14/(INDEX('Standards for Conversions'!$H$47:$H$73,MATCH(LS$3,'Standards for Conversions'!$A$47:$A$73,0)))=0,"",LT14/(INDEX('Standards for Conversions'!$H$47:$H$73,MATCH(LS$3,'Standards for Conversions'!$A$47:$A$73,0))))</f>
        <v/>
      </c>
      <c r="LV14" s="31"/>
      <c r="LW14" s="31"/>
      <c r="LX14" s="31" t="str">
        <f>IF(LW14/(INDEX('Standards for Conversions'!$H$47:$H$73,MATCH(LV$3,'Standards for Conversions'!$A$47:$A$73,0)))=0,"",LW14/(INDEX('Standards for Conversions'!$H$47:$H$73,MATCH(LV$3,'Standards for Conversions'!$A$47:$A$73,0))))</f>
        <v/>
      </c>
      <c r="LY14" s="31"/>
      <c r="LZ14" s="31"/>
      <c r="MA14" s="31"/>
      <c r="MB14" s="31"/>
      <c r="MC14" s="31"/>
      <c r="MD14" s="31"/>
      <c r="ME14" s="31"/>
      <c r="MF14" s="31"/>
      <c r="MG14" s="31"/>
      <c r="MH14" s="31"/>
      <c r="MI14" s="31"/>
      <c r="MJ14" s="31"/>
      <c r="MK14" s="31"/>
      <c r="ML14" s="31"/>
      <c r="MM14" s="31"/>
      <c r="MN14" s="31"/>
    </row>
    <row r="15" spans="1:352" s="33" customFormat="1" ht="14.4" customHeight="1" x14ac:dyDescent="0.3">
      <c r="A15" s="104" t="s">
        <v>199</v>
      </c>
      <c r="B15" s="10" t="s">
        <v>374</v>
      </c>
      <c r="C15" s="9"/>
      <c r="D15" s="9"/>
      <c r="E15" s="31"/>
      <c r="F15" s="9"/>
      <c r="G15" s="9"/>
      <c r="H15" s="31"/>
      <c r="I15" s="9"/>
      <c r="J15" s="9"/>
      <c r="K15" s="31"/>
      <c r="L15" s="9">
        <v>27</v>
      </c>
      <c r="M15" s="9">
        <v>350</v>
      </c>
      <c r="N15" s="31">
        <v>69.139780405405389</v>
      </c>
      <c r="O15" s="31">
        <f t="shared" si="4"/>
        <v>27</v>
      </c>
      <c r="P15" s="31">
        <f t="shared" si="5"/>
        <v>350</v>
      </c>
      <c r="Q15" s="31">
        <f>IF(P15/(INDEX('Standards for Conversions'!$H$34:$H$73,MATCH(O$3,'Standards for Conversions'!$A$34:$A$73,0)))=0,"",P15/(INDEX('Standards for Conversions'!$H$34:$H$73,MATCH(O$3,'Standards for Conversions'!$A$34:$A$73,0))))</f>
        <v>69.139780405405389</v>
      </c>
      <c r="R15" s="9"/>
      <c r="S15" s="9"/>
      <c r="T15" s="31"/>
      <c r="U15" s="9"/>
      <c r="V15" s="9"/>
      <c r="W15" s="31"/>
      <c r="X15" s="9"/>
      <c r="Y15" s="9"/>
      <c r="Z15" s="31"/>
      <c r="AA15" s="9">
        <v>50</v>
      </c>
      <c r="AB15" s="9">
        <v>700</v>
      </c>
      <c r="AC15" s="31">
        <v>134.87073991193765</v>
      </c>
      <c r="AD15" s="31">
        <f t="shared" si="6"/>
        <v>50</v>
      </c>
      <c r="AE15" s="31">
        <f t="shared" si="7"/>
        <v>700</v>
      </c>
      <c r="AF15" s="31">
        <f>IF(AE15/(INDEX('Standards for Conversions'!$H$34:$H$73,MATCH(AD$3,'Standards for Conversions'!$A$34:$A$73,0)))=0,"",AE15/(INDEX('Standards for Conversions'!$H$34:$H$73,MATCH(AD$3,'Standards for Conversions'!$A$34:$A$73,0))))</f>
        <v>134.87073991193765</v>
      </c>
      <c r="AG15" s="9"/>
      <c r="AH15" s="9"/>
      <c r="AI15" s="31"/>
      <c r="AJ15" s="9"/>
      <c r="AK15" s="9"/>
      <c r="AL15" s="31"/>
      <c r="AM15" s="9"/>
      <c r="AN15" s="9"/>
      <c r="AO15" s="31"/>
      <c r="AP15" s="9">
        <v>15</v>
      </c>
      <c r="AQ15" s="9">
        <v>250</v>
      </c>
      <c r="AR15" s="31">
        <v>44.674609295790958</v>
      </c>
      <c r="AS15" s="31">
        <f t="shared" si="8"/>
        <v>15</v>
      </c>
      <c r="AT15" s="31">
        <f t="shared" si="9"/>
        <v>250</v>
      </c>
      <c r="AU15" s="31">
        <f>IF(AT15/(INDEX('Standards for Conversions'!$H$34:$H$73,MATCH(AS$3,'Standards for Conversions'!$A$34:$A$73,0)))=0,"",AT15/(INDEX('Standards for Conversions'!$H$34:$H$73,MATCH(AS$3,'Standards for Conversions'!$A$34:$A$73,0))))</f>
        <v>44.674609295790958</v>
      </c>
      <c r="AV15" s="9"/>
      <c r="AW15" s="9"/>
      <c r="AX15" s="31"/>
      <c r="AY15" s="9"/>
      <c r="AZ15" s="9"/>
      <c r="BA15" s="31"/>
      <c r="BB15" s="9"/>
      <c r="BC15" s="9"/>
      <c r="BD15" s="31"/>
      <c r="BE15" s="9">
        <v>5</v>
      </c>
      <c r="BF15" s="9">
        <v>100</v>
      </c>
      <c r="BG15" s="31">
        <v>18.568546138582313</v>
      </c>
      <c r="BH15" s="31">
        <f t="shared" si="10"/>
        <v>5</v>
      </c>
      <c r="BI15" s="31">
        <f t="shared" si="11"/>
        <v>100</v>
      </c>
      <c r="BJ15" s="31">
        <f>IF(BI15/(INDEX('Standards for Conversions'!$H$34:$H$73,MATCH(BH$3,'Standards for Conversions'!$A$34:$A$73,0)))=0,"",BI15/(INDEX('Standards for Conversions'!$H$34:$H$73,MATCH(BH$3,'Standards for Conversions'!$A$34:$A$73,0))))</f>
        <v>18.568546138582313</v>
      </c>
      <c r="BK15" s="9"/>
      <c r="BL15" s="9"/>
      <c r="BM15" s="31"/>
      <c r="BN15" s="9"/>
      <c r="BO15" s="9"/>
      <c r="BP15" s="31"/>
      <c r="BQ15" s="9"/>
      <c r="BR15" s="9"/>
      <c r="BS15" s="31"/>
      <c r="BT15" s="7">
        <v>5</v>
      </c>
      <c r="BU15" s="7">
        <v>100</v>
      </c>
      <c r="BV15" s="31">
        <v>17.806325316474027</v>
      </c>
      <c r="BW15" s="31">
        <f t="shared" si="12"/>
        <v>5</v>
      </c>
      <c r="BX15" s="31">
        <f t="shared" si="13"/>
        <v>100</v>
      </c>
      <c r="BY15" s="31">
        <f>IF(BX15/(INDEX('Standards for Conversions'!$H$34:$H$73,MATCH(BW$3,'Standards for Conversions'!$A$34:$A$73,0)))=0,"",BX15/(INDEX('Standards for Conversions'!$H$34:$H$73,MATCH(BW$3,'Standards for Conversions'!$A$34:$A$73,0))))</f>
        <v>17.806325316474027</v>
      </c>
      <c r="BZ15" s="7"/>
      <c r="CA15" s="7"/>
      <c r="CB15" s="31"/>
      <c r="CC15" s="7"/>
      <c r="CD15" s="7"/>
      <c r="CE15" s="31"/>
      <c r="CF15" s="9"/>
      <c r="CG15" s="9"/>
      <c r="CH15" s="31"/>
      <c r="CI15" s="7"/>
      <c r="CJ15" s="7"/>
      <c r="CK15" s="31"/>
      <c r="CL15" s="31">
        <f t="shared" si="14"/>
        <v>0</v>
      </c>
      <c r="CM15" s="31">
        <f t="shared" si="15"/>
        <v>0</v>
      </c>
      <c r="CN15" s="31" t="str">
        <f>IF(CM15/(INDEX('Standards for Conversions'!$H$34:$H$73,MATCH(CL$3,'Standards for Conversions'!$A$34:$A$73,0)))=0,"",CM15/(INDEX('Standards for Conversions'!$H$34:$H$73,MATCH(CL$3,'Standards for Conversions'!$A$34:$A$73,0))))</f>
        <v/>
      </c>
      <c r="CO15" s="7"/>
      <c r="CP15" s="7"/>
      <c r="CQ15" s="31"/>
      <c r="CR15" s="7"/>
      <c r="CS15" s="7"/>
      <c r="CT15" s="31"/>
      <c r="CU15" s="9"/>
      <c r="CV15" s="9"/>
      <c r="CW15" s="31"/>
      <c r="CX15" s="7"/>
      <c r="CY15" s="7"/>
      <c r="CZ15" s="31"/>
      <c r="DA15" s="31">
        <f t="shared" si="16"/>
        <v>0</v>
      </c>
      <c r="DB15" s="31">
        <f t="shared" si="17"/>
        <v>0</v>
      </c>
      <c r="DC15" s="31" t="str">
        <f>IF(DB15/(INDEX('Standards for Conversions'!$H$34:$H$73,MATCH(DA$3,'Standards for Conversions'!$A$34:$A$73,0)))=0,"",DB15/(INDEX('Standards for Conversions'!$H$34:$H$73,MATCH(DA$3,'Standards for Conversions'!$A$34:$A$73,0))))</f>
        <v/>
      </c>
      <c r="DD15" s="7"/>
      <c r="DE15" s="7"/>
      <c r="DF15" s="31"/>
      <c r="DG15" s="7"/>
      <c r="DH15" s="7"/>
      <c r="DI15" s="31"/>
      <c r="DJ15" s="9"/>
      <c r="DK15" s="9"/>
      <c r="DL15" s="31"/>
      <c r="DM15" s="7"/>
      <c r="DN15" s="7"/>
      <c r="DO15" s="31"/>
      <c r="DP15" s="31">
        <f t="shared" si="18"/>
        <v>0</v>
      </c>
      <c r="DQ15" s="31">
        <f t="shared" si="19"/>
        <v>0</v>
      </c>
      <c r="DR15" s="31" t="str">
        <f>IF(DQ15/(INDEX('Standards for Conversions'!$H$34:$H$73,MATCH(DP$3,'Standards for Conversions'!$A$34:$A$73,0)))=0,"",DQ15/(INDEX('Standards for Conversions'!$H$34:$H$73,MATCH(DP$3,'Standards for Conversions'!$A$34:$A$73,0))))</f>
        <v/>
      </c>
      <c r="DS15" s="7"/>
      <c r="DT15" s="7"/>
      <c r="DU15" s="31"/>
      <c r="DV15" s="7"/>
      <c r="DW15" s="7"/>
      <c r="DX15" s="31"/>
      <c r="DY15" s="9"/>
      <c r="DZ15" s="9"/>
      <c r="EA15" s="31"/>
      <c r="EB15" s="7"/>
      <c r="EC15" s="7"/>
      <c r="ED15" s="31"/>
      <c r="EE15" s="31">
        <f t="shared" si="20"/>
        <v>0</v>
      </c>
      <c r="EF15" s="31">
        <f t="shared" si="21"/>
        <v>0</v>
      </c>
      <c r="EG15" s="31" t="str">
        <f>IF(EF15/(INDEX('Standards for Conversions'!$H$34:$H$73,MATCH(EE$3,'Standards for Conversions'!$A$34:$A$73,0)))=0,"",EF15/(INDEX('Standards for Conversions'!$H$34:$H$73,MATCH(EE$3,'Standards for Conversions'!$A$34:$A$73,0))))</f>
        <v/>
      </c>
      <c r="EH15" s="7"/>
      <c r="EI15" s="7"/>
      <c r="EJ15" s="31"/>
      <c r="EK15" s="7"/>
      <c r="EL15" s="7"/>
      <c r="EM15" s="31"/>
      <c r="EN15" s="9"/>
      <c r="EO15" s="9"/>
      <c r="EP15" s="31"/>
      <c r="EQ15" s="7"/>
      <c r="ER15" s="7"/>
      <c r="ES15" s="31"/>
      <c r="ET15" s="31">
        <f t="shared" si="22"/>
        <v>0</v>
      </c>
      <c r="EU15" s="31">
        <f t="shared" si="23"/>
        <v>0</v>
      </c>
      <c r="EV15" s="31" t="str">
        <f>IF(EU15/(INDEX('Standards for Conversions'!$H$34:$H$73,MATCH(ET$3,'Standards for Conversions'!$A$34:$A$73,0)))=0,"",EU15/(INDEX('Standards for Conversions'!$H$34:$H$73,MATCH(ET$3,'Standards for Conversions'!$A$34:$A$73,0))))</f>
        <v/>
      </c>
      <c r="EW15" s="7"/>
      <c r="EX15" s="7"/>
      <c r="EY15" s="31"/>
      <c r="EZ15" s="7"/>
      <c r="FA15" s="7"/>
      <c r="FB15" s="31"/>
      <c r="FC15" s="9"/>
      <c r="FD15" s="9"/>
      <c r="FE15" s="31"/>
      <c r="FF15" s="7"/>
      <c r="FG15" s="7"/>
      <c r="FH15" s="31"/>
      <c r="FI15" s="31">
        <f t="shared" si="24"/>
        <v>0</v>
      </c>
      <c r="FJ15" s="31">
        <f t="shared" si="25"/>
        <v>0</v>
      </c>
      <c r="FK15" s="31" t="str">
        <f>IF(FJ15/(INDEX('Standards for Conversions'!$H$34:$H$73,MATCH(FI$3,'Standards for Conversions'!$A$34:$A$73,0)))=0,"",FJ15/(INDEX('Standards for Conversions'!$H$34:$H$73,MATCH(FI$3,'Standards for Conversions'!$A$34:$A$73,0))))</f>
        <v/>
      </c>
      <c r="FL15" s="7"/>
      <c r="FM15" s="7"/>
      <c r="FN15" s="31"/>
      <c r="FO15" s="7"/>
      <c r="FP15" s="7"/>
      <c r="FQ15" s="31"/>
      <c r="FR15" s="9"/>
      <c r="FS15" s="9"/>
      <c r="FT15" s="31"/>
      <c r="FU15" s="7"/>
      <c r="FV15" s="7"/>
      <c r="FW15" s="31"/>
      <c r="FX15" s="31">
        <f t="shared" si="26"/>
        <v>0</v>
      </c>
      <c r="FY15" s="31">
        <f t="shared" si="27"/>
        <v>0</v>
      </c>
      <c r="FZ15" s="31" t="str">
        <f>IF(FY15/(INDEX('Standards for Conversions'!$H$34:$H$73,MATCH(FX$3,'Standards for Conversions'!$A$34:$A$73,0)))=0,"",FY15/(INDEX('Standards for Conversions'!$H$34:$H$73,MATCH(FX$3,'Standards for Conversions'!$A$34:$A$73,0))))</f>
        <v/>
      </c>
      <c r="GA15" s="7"/>
      <c r="GB15" s="7"/>
      <c r="GC15" s="31"/>
      <c r="GD15" s="7"/>
      <c r="GE15" s="7"/>
      <c r="GF15" s="31"/>
      <c r="GG15" s="9"/>
      <c r="GH15" s="9"/>
      <c r="GI15" s="31"/>
      <c r="GJ15" s="7"/>
      <c r="GK15" s="7"/>
      <c r="GL15" s="31"/>
      <c r="GM15" s="31">
        <f t="shared" si="28"/>
        <v>0</v>
      </c>
      <c r="GN15" s="31">
        <f t="shared" si="29"/>
        <v>0</v>
      </c>
      <c r="GO15" s="31" t="str">
        <f>IF(GN15/(INDEX('Standards for Conversions'!$H$34:$H$73,MATCH(GM$3,'Standards for Conversions'!$A$34:$A$73,0)))=0,"",GN15/(INDEX('Standards for Conversions'!$H$34:$H$73,MATCH(GM$3,'Standards for Conversions'!$A$34:$A$73,0))))</f>
        <v/>
      </c>
      <c r="GP15" s="7"/>
      <c r="GQ15" s="7"/>
      <c r="GR15" s="31"/>
      <c r="GS15" s="7"/>
      <c r="GT15" s="7"/>
      <c r="GU15" s="31"/>
      <c r="GV15" s="9"/>
      <c r="GW15" s="9"/>
      <c r="GX15" s="31"/>
      <c r="GY15" s="7"/>
      <c r="GZ15" s="7"/>
      <c r="HA15" s="31"/>
      <c r="HB15" s="31">
        <f t="shared" si="30"/>
        <v>0</v>
      </c>
      <c r="HC15" s="31">
        <f t="shared" si="31"/>
        <v>0</v>
      </c>
      <c r="HD15" s="31" t="str">
        <f>IF(HC15/(INDEX('Standards for Conversions'!$H$34:$H$73,MATCH(HB$3,'Standards for Conversions'!$A$34:$A$73,0)))=0,"",HC15/(INDEX('Standards for Conversions'!$H$34:$H$73,MATCH(HB$3,'Standards for Conversions'!$A$34:$A$73,0))))</f>
        <v/>
      </c>
      <c r="HE15" s="112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  <c r="IW15" s="31"/>
      <c r="IX15" s="31"/>
      <c r="IY15" s="31"/>
      <c r="IZ15" s="31"/>
      <c r="JA15" s="31"/>
      <c r="JB15" s="31"/>
      <c r="JC15" s="31"/>
      <c r="JD15" s="31"/>
      <c r="JE15" s="31"/>
      <c r="JF15" s="31"/>
      <c r="JG15" s="31"/>
      <c r="JH15" s="31"/>
      <c r="JI15" s="31"/>
      <c r="JJ15" s="31"/>
      <c r="JK15" s="31"/>
      <c r="JL15" s="31"/>
      <c r="JM15" s="31"/>
      <c r="JN15" s="31"/>
      <c r="JO15" s="31"/>
      <c r="JP15" s="31"/>
      <c r="JQ15" s="31"/>
      <c r="JR15" s="31"/>
      <c r="JS15" s="31"/>
      <c r="JT15" s="31"/>
      <c r="JU15" s="31"/>
      <c r="JV15" s="31"/>
      <c r="JW15" s="31"/>
      <c r="JX15" s="31"/>
      <c r="JY15" s="31"/>
      <c r="JZ15" s="31"/>
      <c r="KA15" s="31"/>
      <c r="KB15" s="31"/>
      <c r="KC15" s="31"/>
      <c r="KD15" s="31"/>
      <c r="KE15" s="31"/>
      <c r="KF15" s="31"/>
      <c r="KG15" s="31"/>
      <c r="KH15" s="31"/>
      <c r="KI15" s="31"/>
      <c r="KJ15" s="31"/>
      <c r="KK15" s="31"/>
      <c r="KL15" s="31"/>
      <c r="KM15" s="31"/>
      <c r="KN15" s="31"/>
      <c r="KO15" s="31"/>
      <c r="KP15" s="31"/>
      <c r="KQ15" s="31"/>
      <c r="KR15" s="31"/>
      <c r="KS15" s="31"/>
      <c r="KT15" s="31"/>
      <c r="KU15" s="31"/>
      <c r="KV15" s="31"/>
      <c r="KW15" s="31"/>
      <c r="KX15" s="31"/>
      <c r="KY15" s="31"/>
      <c r="KZ15" s="31"/>
      <c r="LA15" s="31"/>
      <c r="LB15" s="31"/>
      <c r="LC15" s="31"/>
      <c r="LD15" s="31"/>
      <c r="LE15" s="31"/>
      <c r="LF15" s="31"/>
      <c r="LG15" s="31"/>
      <c r="LH15" s="31"/>
      <c r="LI15" s="31"/>
      <c r="LJ15" s="31"/>
      <c r="LK15" s="31"/>
      <c r="LL15" s="31"/>
      <c r="LM15" s="31"/>
      <c r="LN15" s="31"/>
      <c r="LO15" s="31"/>
      <c r="LP15" s="31"/>
      <c r="LQ15" s="31"/>
      <c r="LR15" s="31"/>
      <c r="LS15" s="31"/>
      <c r="LT15" s="31"/>
      <c r="LU15" s="31"/>
      <c r="LV15" s="31"/>
      <c r="LW15" s="31"/>
      <c r="LX15" s="31"/>
      <c r="LY15" s="31"/>
      <c r="LZ15" s="31"/>
      <c r="MA15" s="31"/>
      <c r="MB15" s="31"/>
      <c r="MC15" s="31"/>
      <c r="MD15" s="31"/>
      <c r="ME15" s="31"/>
      <c r="MF15" s="31"/>
      <c r="MG15" s="31"/>
      <c r="MH15" s="31"/>
      <c r="MI15" s="31"/>
      <c r="MJ15" s="31"/>
      <c r="MK15" s="31"/>
      <c r="ML15" s="31"/>
      <c r="MM15" s="31"/>
      <c r="MN15" s="31"/>
    </row>
    <row r="16" spans="1:352" s="33" customFormat="1" ht="14.4" customHeight="1" x14ac:dyDescent="0.3">
      <c r="A16" s="104" t="s">
        <v>200</v>
      </c>
      <c r="B16" s="10" t="s">
        <v>399</v>
      </c>
      <c r="C16" s="7"/>
      <c r="D16" s="7"/>
      <c r="E16" s="31" t="s">
        <v>128</v>
      </c>
      <c r="L16" s="9"/>
      <c r="M16" s="9"/>
      <c r="N16" s="31"/>
      <c r="O16" s="31">
        <f t="shared" si="4"/>
        <v>0</v>
      </c>
      <c r="P16" s="31">
        <f t="shared" si="5"/>
        <v>0</v>
      </c>
      <c r="Q16" s="31" t="str">
        <f>IF(P16/(INDEX('Standards for Conversions'!$H$34:$H$73,MATCH(O$3,'Standards for Conversions'!$A$34:$A$73,0)))=0,"",P16/(INDEX('Standards for Conversions'!$H$34:$H$73,MATCH(O$3,'Standards for Conversions'!$A$34:$A$73,0))))</f>
        <v/>
      </c>
      <c r="R16" s="9"/>
      <c r="S16" s="9"/>
      <c r="T16" s="31" t="s">
        <v>128</v>
      </c>
      <c r="AA16" s="9"/>
      <c r="AB16" s="9"/>
      <c r="AC16" s="31"/>
      <c r="AD16" s="31">
        <f t="shared" si="6"/>
        <v>0</v>
      </c>
      <c r="AE16" s="31">
        <f t="shared" si="7"/>
        <v>0</v>
      </c>
      <c r="AF16" s="31" t="str">
        <f>IF(AE16/(INDEX('Standards for Conversions'!$H$34:$H$73,MATCH(AD$3,'Standards for Conversions'!$A$34:$A$73,0)))=0,"",AE16/(INDEX('Standards for Conversions'!$H$34:$H$73,MATCH(AD$3,'Standards for Conversions'!$A$34:$A$73,0))))</f>
        <v/>
      </c>
      <c r="AG16" s="9"/>
      <c r="AH16" s="9"/>
      <c r="AI16" s="31" t="s">
        <v>128</v>
      </c>
      <c r="AP16" s="9"/>
      <c r="AQ16" s="9"/>
      <c r="AR16" s="31"/>
      <c r="AS16" s="31">
        <f t="shared" si="8"/>
        <v>0</v>
      </c>
      <c r="AT16" s="31">
        <f t="shared" si="9"/>
        <v>0</v>
      </c>
      <c r="AU16" s="31" t="str">
        <f>IF(AT16/(INDEX('Standards for Conversions'!$H$34:$H$73,MATCH(AS$3,'Standards for Conversions'!$A$34:$A$73,0)))=0,"",AT16/(INDEX('Standards for Conversions'!$H$34:$H$73,MATCH(AS$3,'Standards for Conversions'!$A$34:$A$73,0))))</f>
        <v/>
      </c>
      <c r="AV16" s="9"/>
      <c r="AW16" s="9"/>
      <c r="AX16" s="31" t="s">
        <v>128</v>
      </c>
      <c r="BE16" s="9"/>
      <c r="BF16" s="9"/>
      <c r="BG16" s="31"/>
      <c r="BH16" s="31">
        <f t="shared" si="10"/>
        <v>0</v>
      </c>
      <c r="BI16" s="31">
        <f t="shared" si="11"/>
        <v>0</v>
      </c>
      <c r="BJ16" s="31" t="str">
        <f>IF(BI16/(INDEX('Standards for Conversions'!$H$34:$H$73,MATCH(BH$3,'Standards for Conversions'!$A$34:$A$73,0)))=0,"",BI16/(INDEX('Standards for Conversions'!$H$34:$H$73,MATCH(BH$3,'Standards for Conversions'!$A$34:$A$73,0))))</f>
        <v/>
      </c>
      <c r="BK16" s="9"/>
      <c r="BL16" s="9"/>
      <c r="BM16" s="31" t="s">
        <v>128</v>
      </c>
      <c r="BQ16" s="9"/>
      <c r="BR16" s="9"/>
      <c r="BS16" s="31" t="s">
        <v>128</v>
      </c>
      <c r="BT16" s="9"/>
      <c r="BU16" s="9"/>
      <c r="BV16" s="31" t="s">
        <v>128</v>
      </c>
      <c r="BW16" s="31">
        <f t="shared" si="12"/>
        <v>0</v>
      </c>
      <c r="BX16" s="31">
        <f t="shared" si="13"/>
        <v>0</v>
      </c>
      <c r="BY16" s="31" t="str">
        <f>IF(BX16/(INDEX('Standards for Conversions'!$H$34:$H$73,MATCH(BW$3,'Standards for Conversions'!$A$34:$A$73,0)))=0,"",BX16/(INDEX('Standards for Conversions'!$H$34:$H$73,MATCH(BW$3,'Standards for Conversions'!$A$34:$A$73,0))))</f>
        <v/>
      </c>
      <c r="BZ16" s="7"/>
      <c r="CA16" s="7"/>
      <c r="CB16" s="31" t="s">
        <v>128</v>
      </c>
      <c r="CF16" s="9"/>
      <c r="CG16" s="9"/>
      <c r="CH16" s="31" t="s">
        <v>128</v>
      </c>
      <c r="CI16" s="7">
        <v>8149.9999999999991</v>
      </c>
      <c r="CJ16" s="7">
        <v>12000</v>
      </c>
      <c r="CK16" s="31">
        <v>2083.4035804293039</v>
      </c>
      <c r="CL16" s="31">
        <f t="shared" si="14"/>
        <v>8149.9999999999991</v>
      </c>
      <c r="CM16" s="31">
        <f t="shared" si="15"/>
        <v>12000</v>
      </c>
      <c r="CN16" s="31">
        <f>IF(CM16/(INDEX('Standards for Conversions'!$H$34:$H$73,MATCH(CL$3,'Standards for Conversions'!$A$34:$A$73,0)))=0,"",CM16/(INDEX('Standards for Conversions'!$H$34:$H$73,MATCH(CL$3,'Standards for Conversions'!$A$34:$A$73,0))))</f>
        <v>2083.4035804293039</v>
      </c>
      <c r="CO16" s="7"/>
      <c r="CP16" s="7"/>
      <c r="CQ16" s="31" t="s">
        <v>128</v>
      </c>
      <c r="CU16" s="9"/>
      <c r="CV16" s="9"/>
      <c r="CW16" s="31" t="s">
        <v>128</v>
      </c>
      <c r="CX16" s="7">
        <v>19560</v>
      </c>
      <c r="CY16" s="7">
        <v>24000</v>
      </c>
      <c r="CZ16" s="31">
        <v>4248.1107152168242</v>
      </c>
      <c r="DA16" s="31">
        <f t="shared" si="16"/>
        <v>19560</v>
      </c>
      <c r="DB16" s="31">
        <f t="shared" si="17"/>
        <v>24000</v>
      </c>
      <c r="DC16" s="31">
        <f>IF(DB16/(INDEX('Standards for Conversions'!$H$34:$H$73,MATCH(DA$3,'Standards for Conversions'!$A$34:$A$73,0)))=0,"",DB16/(INDEX('Standards for Conversions'!$H$34:$H$73,MATCH(DA$3,'Standards for Conversions'!$A$34:$A$73,0))))</f>
        <v>4248.1107152168242</v>
      </c>
      <c r="DD16" s="7"/>
      <c r="DE16" s="7"/>
      <c r="DF16" s="31" t="s">
        <v>128</v>
      </c>
      <c r="DJ16" s="9">
        <v>13692</v>
      </c>
      <c r="DK16" s="9">
        <v>12000</v>
      </c>
      <c r="DL16" s="31">
        <v>2101.1887329451638</v>
      </c>
      <c r="DM16" s="7">
        <v>6846</v>
      </c>
      <c r="DN16" s="7">
        <v>6000</v>
      </c>
      <c r="DO16" s="31">
        <v>1050.5943664725819</v>
      </c>
      <c r="DP16" s="31">
        <f t="shared" si="18"/>
        <v>20538</v>
      </c>
      <c r="DQ16" s="31">
        <f t="shared" si="19"/>
        <v>18000</v>
      </c>
      <c r="DR16" s="31">
        <f>IF(DQ16/(INDEX('Standards for Conversions'!$H$34:$H$73,MATCH(DP$3,'Standards for Conversions'!$A$34:$A$73,0)))=0,"",DQ16/(INDEX('Standards for Conversions'!$H$34:$H$73,MATCH(DP$3,'Standards for Conversions'!$A$34:$A$73,0))))</f>
        <v>3151.7830994177457</v>
      </c>
      <c r="DS16" s="7"/>
      <c r="DT16" s="7"/>
      <c r="DU16" s="31" t="s">
        <v>128</v>
      </c>
      <c r="DV16" s="7">
        <v>244.49999999999997</v>
      </c>
      <c r="DW16" s="7">
        <v>290</v>
      </c>
      <c r="DX16" s="31">
        <v>50.717326591060505</v>
      </c>
      <c r="DY16" s="9">
        <v>9372.5</v>
      </c>
      <c r="DZ16" s="9">
        <v>10590</v>
      </c>
      <c r="EA16" s="31">
        <v>1852.0568572390716</v>
      </c>
      <c r="EB16" s="7">
        <v>2731.8799999999997</v>
      </c>
      <c r="EC16" s="7">
        <v>3100</v>
      </c>
      <c r="ED16" s="31">
        <v>542.15073252512957</v>
      </c>
      <c r="EE16" s="31">
        <f t="shared" si="20"/>
        <v>12348.88</v>
      </c>
      <c r="EF16" s="31">
        <f t="shared" si="21"/>
        <v>13980</v>
      </c>
      <c r="EG16" s="31">
        <f>IF(EF16/(INDEX('Standards for Conversions'!$H$34:$H$73,MATCH(EE$3,'Standards for Conversions'!$A$34:$A$73,0)))=0,"",EF16/(INDEX('Standards for Conversions'!$H$34:$H$73,MATCH(EE$3,'Standards for Conversions'!$A$34:$A$73,0))))</f>
        <v>2444.9249163552618</v>
      </c>
      <c r="EH16" s="7"/>
      <c r="EI16" s="7"/>
      <c r="EJ16" s="31" t="s">
        <v>128</v>
      </c>
      <c r="EK16" s="7">
        <v>374.9</v>
      </c>
      <c r="EL16" s="7">
        <v>180</v>
      </c>
      <c r="EM16" s="31">
        <v>30.831832254279998</v>
      </c>
      <c r="EN16" s="9">
        <v>7087.24</v>
      </c>
      <c r="EO16" s="9">
        <v>9150</v>
      </c>
      <c r="EP16" s="31">
        <v>1567.2848062592332</v>
      </c>
      <c r="EQ16" s="7">
        <v>2224.9499999999998</v>
      </c>
      <c r="ER16" s="7">
        <v>2385</v>
      </c>
      <c r="ES16" s="31">
        <v>408.52177736920999</v>
      </c>
      <c r="ET16" s="31">
        <f t="shared" si="22"/>
        <v>9687.09</v>
      </c>
      <c r="EU16" s="31">
        <f t="shared" si="23"/>
        <v>11715</v>
      </c>
      <c r="EV16" s="31">
        <f>IF(EU16/(INDEX('Standards for Conversions'!$H$34:$H$73,MATCH(ET$3,'Standards for Conversions'!$A$34:$A$73,0)))=0,"",EU16/(INDEX('Standards for Conversions'!$H$34:$H$73,MATCH(ET$3,'Standards for Conversions'!$A$34:$A$73,0))))</f>
        <v>2006.6384158827232</v>
      </c>
      <c r="EW16" s="7"/>
      <c r="EX16" s="7"/>
      <c r="EY16" s="31" t="s">
        <v>128</v>
      </c>
      <c r="EZ16" s="7">
        <v>407.5</v>
      </c>
      <c r="FA16" s="7">
        <v>900</v>
      </c>
      <c r="FB16" s="31">
        <v>154.34971647692706</v>
      </c>
      <c r="FC16" s="9">
        <v>5705</v>
      </c>
      <c r="FD16" s="9">
        <v>7000</v>
      </c>
      <c r="FE16" s="31">
        <v>1200.4977948205437</v>
      </c>
      <c r="FF16" s="7">
        <v>3260</v>
      </c>
      <c r="FG16" s="7">
        <v>4000</v>
      </c>
      <c r="FH16" s="31">
        <v>685.99873989745356</v>
      </c>
      <c r="FI16" s="31">
        <f t="shared" si="24"/>
        <v>9372.5</v>
      </c>
      <c r="FJ16" s="31">
        <f t="shared" si="25"/>
        <v>11900</v>
      </c>
      <c r="FK16" s="31">
        <f>IF(FJ16/(INDEX('Standards for Conversions'!$H$34:$H$73,MATCH(FI$3,'Standards for Conversions'!$A$34:$A$73,0)))=0,"",FJ16/(INDEX('Standards for Conversions'!$H$34:$H$73,MATCH(FI$3,'Standards for Conversions'!$A$34:$A$73,0))))</f>
        <v>2040.8462511949244</v>
      </c>
      <c r="FL16" s="7"/>
      <c r="FM16" s="7"/>
      <c r="FN16" s="31" t="s">
        <v>128</v>
      </c>
      <c r="FO16" s="7">
        <v>163</v>
      </c>
      <c r="FP16" s="7">
        <v>250</v>
      </c>
      <c r="FQ16" s="31">
        <v>41.128165192926041</v>
      </c>
      <c r="FR16" s="9">
        <v>4123.8999999999996</v>
      </c>
      <c r="FS16" s="9">
        <v>5230</v>
      </c>
      <c r="FT16" s="31">
        <v>860.40121583601285</v>
      </c>
      <c r="FU16" s="7">
        <v>2771</v>
      </c>
      <c r="FV16" s="7">
        <v>3400</v>
      </c>
      <c r="FW16" s="31">
        <v>559.34304662379418</v>
      </c>
      <c r="FX16" s="31">
        <f t="shared" si="26"/>
        <v>7057.9</v>
      </c>
      <c r="FY16" s="31">
        <f t="shared" si="27"/>
        <v>8880</v>
      </c>
      <c r="FZ16" s="31">
        <f>IF(FY16/(INDEX('Standards for Conversions'!$H$34:$H$73,MATCH(FX$3,'Standards for Conversions'!$A$34:$A$73,0)))=0,"",FY16/(INDEX('Standards for Conversions'!$H$34:$H$73,MATCH(FX$3,'Standards for Conversions'!$A$34:$A$73,0))))</f>
        <v>1460.872427652733</v>
      </c>
      <c r="GA16" s="7"/>
      <c r="GB16" s="7"/>
      <c r="GC16" s="31" t="s">
        <v>128</v>
      </c>
      <c r="GD16" s="7">
        <v>163</v>
      </c>
      <c r="GE16" s="7">
        <v>250</v>
      </c>
      <c r="GF16" s="31">
        <v>38.428633114625882</v>
      </c>
      <c r="GG16" s="9">
        <v>1955.9999999999998</v>
      </c>
      <c r="GH16" s="9">
        <v>3000</v>
      </c>
      <c r="GI16" s="31">
        <v>461.14359737551058</v>
      </c>
      <c r="GJ16" s="7">
        <v>4074.9999999999995</v>
      </c>
      <c r="GK16" s="7">
        <v>7000</v>
      </c>
      <c r="GL16" s="31">
        <v>1076.0017272095247</v>
      </c>
      <c r="GM16" s="31">
        <f t="shared" si="28"/>
        <v>6194</v>
      </c>
      <c r="GN16" s="31">
        <f t="shared" si="29"/>
        <v>10250</v>
      </c>
      <c r="GO16" s="31">
        <f>IF(GN16/(INDEX('Standards for Conversions'!$H$34:$H$73,MATCH(GM$3,'Standards for Conversions'!$A$34:$A$73,0)))=0,"",GN16/(INDEX('Standards for Conversions'!$H$34:$H$73,MATCH(GM$3,'Standards for Conversions'!$A$34:$A$73,0))))</f>
        <v>1575.5739576996612</v>
      </c>
      <c r="GP16" s="7"/>
      <c r="GQ16" s="7"/>
      <c r="GR16" s="31" t="s">
        <v>128</v>
      </c>
      <c r="GS16" s="7">
        <v>244.49999999999997</v>
      </c>
      <c r="GT16" s="7">
        <v>400</v>
      </c>
      <c r="GU16" s="31">
        <v>60.55420975638016</v>
      </c>
      <c r="GV16" s="9">
        <v>2445</v>
      </c>
      <c r="GW16" s="9">
        <v>3200</v>
      </c>
      <c r="GX16" s="31">
        <v>484.43367805104128</v>
      </c>
      <c r="GY16" s="7">
        <v>4890</v>
      </c>
      <c r="GZ16" s="7">
        <v>8000</v>
      </c>
      <c r="HA16" s="31">
        <v>1211.0841951276032</v>
      </c>
      <c r="HB16" s="31">
        <f t="shared" si="30"/>
        <v>7579.5</v>
      </c>
      <c r="HC16" s="31">
        <f t="shared" si="31"/>
        <v>11600</v>
      </c>
      <c r="HD16" s="31">
        <f>IF(HC16/(INDEX('Standards for Conversions'!$H$34:$H$73,MATCH(HB$3,'Standards for Conversions'!$A$34:$A$73,0)))=0,"",HC16/(INDEX('Standards for Conversions'!$H$34:$H$73,MATCH(HB$3,'Standards for Conversions'!$A$34:$A$73,0))))</f>
        <v>1756.0720829350248</v>
      </c>
      <c r="HE16" s="112" t="s">
        <v>98</v>
      </c>
      <c r="HF16" s="31"/>
      <c r="HG16" s="31"/>
      <c r="HH16" s="31" t="str">
        <f>IF(HG16/(INDEX('Standards for Conversions'!$H$47:$H$73,MATCH(HF$3,'Standards for Conversions'!$A$47:$A$73,0)))=0,"",HG16/(INDEX('Standards for Conversions'!$H$47:$H$73,MATCH(HF$3,'Standards for Conversions'!$A$47:$A$73,0))))</f>
        <v/>
      </c>
      <c r="HI16" s="31">
        <v>325</v>
      </c>
      <c r="HJ16" s="31">
        <v>600</v>
      </c>
      <c r="HK16" s="31">
        <f>IF(HJ16/(INDEX('Standards for Conversions'!$H$47:$H$73,MATCH(HI$3,'Standards for Conversions'!$A$47:$A$73,0)))=0,"",HJ16/(INDEX('Standards for Conversions'!$H$47:$H$73,MATCH(HI$3,'Standards for Conversions'!$A$47:$A$73,0))))</f>
        <v>87.147247327713572</v>
      </c>
      <c r="HL16" s="31">
        <v>2275</v>
      </c>
      <c r="HM16" s="31">
        <v>3000</v>
      </c>
      <c r="HN16" s="31">
        <f>IF(HM16/(INDEX('Standards for Conversions'!$H$47:$H$73,MATCH(HL$3,'Standards for Conversions'!$A$47:$A$73,0)))=0,"",HM16/(INDEX('Standards for Conversions'!$H$47:$H$73,MATCH(HL$3,'Standards for Conversions'!$A$47:$A$73,0))))</f>
        <v>435.7362366385679</v>
      </c>
      <c r="HO16" s="31">
        <v>4062.5</v>
      </c>
      <c r="HP16" s="31">
        <v>7000</v>
      </c>
      <c r="HQ16" s="31">
        <f>IF(HP16/(INDEX('Standards for Conversions'!$H$47:$H$73,MATCH(HO$3,'Standards for Conversions'!$A$47:$A$73,0)))=0,"",HP16/(INDEX('Standards for Conversions'!$H$47:$H$73,MATCH(HO$3,'Standards for Conversions'!$A$47:$A$73,0))))</f>
        <v>1016.7178854899917</v>
      </c>
      <c r="HR16" s="31">
        <f t="shared" si="39"/>
        <v>6662.5</v>
      </c>
      <c r="HS16" s="31">
        <f t="shared" si="39"/>
        <v>10600</v>
      </c>
      <c r="HT16" s="31">
        <f>IF(HS16/(INDEX('Standards for Conversions'!$H$47:$H$73,MATCH(HR$3,'Standards for Conversions'!$A$47:$A$73,0)))=0,"",HS16/(INDEX('Standards for Conversions'!$H$47:$H$73,MATCH(HR$3,'Standards for Conversions'!$A$47:$A$73,0))))</f>
        <v>1539.6013694562732</v>
      </c>
      <c r="HU16" s="31"/>
      <c r="HV16" s="31"/>
      <c r="HW16" s="31" t="str">
        <f>IF(HV16/(INDEX('Standards for Conversions'!$H$47:$H$73,MATCH(HU$3,'Standards for Conversions'!$A$47:$A$73,0)))=0,"",HV16/(INDEX('Standards for Conversions'!$H$47:$H$73,MATCH(HU$3,'Standards for Conversions'!$A$47:$A$73,0))))</f>
        <v/>
      </c>
      <c r="HX16" s="31"/>
      <c r="HY16" s="31"/>
      <c r="HZ16" s="31" t="str">
        <f>IF(HY16/(INDEX('Standards for Conversions'!$H$47:$H$73,MATCH(HX$3,'Standards for Conversions'!$A$47:$A$73,0)))=0,"",HY16/(INDEX('Standards for Conversions'!$H$47:$H$73,MATCH(HX$3,'Standards for Conversions'!$A$47:$A$73,0))))</f>
        <v/>
      </c>
      <c r="IA16" s="31">
        <v>650</v>
      </c>
      <c r="IB16" s="31">
        <v>1100</v>
      </c>
      <c r="IC16" s="31">
        <f>IF(IB16/(INDEX('Standards for Conversions'!$H$47:$H$73,MATCH(IA$3,'Standards for Conversions'!$A$47:$A$73,0)))=0,"",IB16/(INDEX('Standards for Conversions'!$H$47:$H$73,MATCH(IA$3,'Standards for Conversions'!$A$47:$A$73,0))))</f>
        <v>159.07125101387561</v>
      </c>
      <c r="ID16" s="31">
        <v>3347.5</v>
      </c>
      <c r="IE16" s="31">
        <v>4328</v>
      </c>
      <c r="IF16" s="31">
        <f>IF(IE16/(INDEX('Standards for Conversions'!$H$47:$H$73,MATCH(ID$3,'Standards for Conversions'!$A$47:$A$73,0)))=0,"",IE16/(INDEX('Standards for Conversions'!$H$47:$H$73,MATCH(ID$3,'Standards for Conversions'!$A$47:$A$73,0))))</f>
        <v>625.87306762550327</v>
      </c>
      <c r="IG16" s="31">
        <f t="shared" si="33"/>
        <v>3997.5</v>
      </c>
      <c r="IH16" s="31">
        <f t="shared" si="34"/>
        <v>5428</v>
      </c>
      <c r="II16" s="31">
        <f>IF(IH16/(INDEX('Standards for Conversions'!$H$47:$H$73,MATCH(IG$3,'Standards for Conversions'!$A$47:$A$73,0)))=0,"",IH16/(INDEX('Standards for Conversions'!$H$47:$H$73,MATCH(IG$3,'Standards for Conversions'!$A$47:$A$73,0))))</f>
        <v>784.94431863937882</v>
      </c>
      <c r="IJ16" s="31"/>
      <c r="IK16" s="31"/>
      <c r="IL16" s="31" t="str">
        <f>IF(IK16/(INDEX('Standards for Conversions'!$H$47:$H$73,MATCH(IJ$3,'Standards for Conversions'!$A$47:$A$73,0)))=0,"",IK16/(INDEX('Standards for Conversions'!$H$47:$H$73,MATCH(IJ$3,'Standards for Conversions'!$A$47:$A$73,0))))</f>
        <v/>
      </c>
      <c r="IM16" s="31">
        <v>406.25</v>
      </c>
      <c r="IN16" s="31">
        <v>900</v>
      </c>
      <c r="IO16" s="31">
        <f>IF(IN16/(INDEX('Standards for Conversions'!$H$47:$H$73,MATCH(IM$3,'Standards for Conversions'!$A$47:$A$73,0)))=0,"",IN16/(INDEX('Standards for Conversions'!$H$47:$H$73,MATCH(IM$3,'Standards for Conversions'!$A$47:$A$73,0))))</f>
        <v>145.58417702268181</v>
      </c>
      <c r="IP16" s="31">
        <v>3575</v>
      </c>
      <c r="IQ16" s="31">
        <v>4000</v>
      </c>
      <c r="IR16" s="31">
        <f>IF(IQ16/(INDEX('Standards for Conversions'!$H$47:$H$73,MATCH(IP$3,'Standards for Conversions'!$A$47:$A$73,0)))=0,"",IQ16/(INDEX('Standards for Conversions'!$H$47:$H$73,MATCH(IP$3,'Standards for Conversions'!$A$47:$A$73,0))))</f>
        <v>647.04078676747474</v>
      </c>
      <c r="IS16" s="31">
        <v>7637.5</v>
      </c>
      <c r="IT16" s="31">
        <v>10800</v>
      </c>
      <c r="IU16" s="31">
        <f>IF(IT16/(INDEX('Standards for Conversions'!$H$47:$H$73,MATCH(IS$3,'Standards for Conversions'!$A$47:$A$73,0)))=0,"",IT16/(INDEX('Standards for Conversions'!$H$47:$H$73,MATCH(IS$3,'Standards for Conversions'!$A$47:$A$73,0))))</f>
        <v>1747.0101242721819</v>
      </c>
      <c r="IV16" s="31">
        <f t="shared" si="35"/>
        <v>11618.75</v>
      </c>
      <c r="IW16" s="31">
        <f t="shared" si="35"/>
        <v>15700</v>
      </c>
      <c r="IX16" s="31">
        <f>IF(IW16/(INDEX('Standards for Conversions'!$H$47:$H$73,MATCH(IV$3,'Standards for Conversions'!$A$47:$A$73,0)))=0,"",IW16/(INDEX('Standards for Conversions'!$H$47:$H$73,MATCH(IV$3,'Standards for Conversions'!$A$47:$A$73,0))))</f>
        <v>2539.6350880623386</v>
      </c>
      <c r="IY16" s="31"/>
      <c r="IZ16" s="31"/>
      <c r="JA16" s="31" t="str">
        <f>IF(IZ16/(INDEX('Standards for Conversions'!$H$47:$H$73,MATCH(IY$3,'Standards for Conversions'!$A$47:$A$73,0)))=0,"",IZ16/(INDEX('Standards for Conversions'!$H$47:$H$73,MATCH(IY$3,'Standards for Conversions'!$A$47:$A$73,0))))</f>
        <v/>
      </c>
      <c r="JB16" s="31">
        <v>487.5</v>
      </c>
      <c r="JC16" s="31">
        <v>1000</v>
      </c>
      <c r="JD16" s="31">
        <f>IF(JC16/(INDEX('Standards for Conversions'!$H$47:$H$73,MATCH(JB$3,'Standards for Conversions'!$A$47:$A$73,0)))=0,"",JC16/(INDEX('Standards for Conversions'!$H$47:$H$73,MATCH(JB$3,'Standards for Conversions'!$A$47:$A$73,0))))</f>
        <v>152.65589242779757</v>
      </c>
      <c r="JE16" s="31">
        <v>3250</v>
      </c>
      <c r="JF16" s="31">
        <v>4000</v>
      </c>
      <c r="JG16" s="31">
        <f>IF(JF16/(INDEX('Standards for Conversions'!$H$47:$H$73,MATCH(JE$3,'Standards for Conversions'!$A$47:$A$73,0)))=0,"",JF16/(INDEX('Standards for Conversions'!$H$47:$H$73,MATCH(JE$3,'Standards for Conversions'!$A$47:$A$73,0))))</f>
        <v>610.62356971119027</v>
      </c>
      <c r="JH16" s="31">
        <v>4875</v>
      </c>
      <c r="JI16" s="31">
        <v>7000</v>
      </c>
      <c r="JJ16" s="31">
        <f>IF(JI16/(INDEX('Standards for Conversions'!$H$47:$H$73,MATCH(JH$3,'Standards for Conversions'!$A$47:$A$73,0)))=0,"",JI16/(INDEX('Standards for Conversions'!$H$47:$H$73,MATCH(JH$3,'Standards for Conversions'!$A$47:$A$73,0))))</f>
        <v>1068.5912469945829</v>
      </c>
      <c r="JK16" s="31">
        <f t="shared" si="40"/>
        <v>8612.5</v>
      </c>
      <c r="JL16" s="31">
        <f t="shared" si="40"/>
        <v>12000</v>
      </c>
      <c r="JM16" s="31">
        <f>IF(JL16/(INDEX('Standards for Conversions'!$H$47:$H$73,MATCH(JK$3,'Standards for Conversions'!$A$47:$A$73,0)))=0,"",JL16/(INDEX('Standards for Conversions'!$H$47:$H$73,MATCH(JK$3,'Standards for Conversions'!$A$47:$A$73,0))))</f>
        <v>1831.8707091335707</v>
      </c>
      <c r="JN16" s="31"/>
      <c r="JO16" s="31"/>
      <c r="JP16" s="31" t="str">
        <f>IF(JO16/(INDEX('Standards for Conversions'!$H$47:$H$73,MATCH(JN$3,'Standards for Conversions'!$A$47:$A$73,0)))=0,"",JO16/(INDEX('Standards for Conversions'!$H$47:$H$73,MATCH(JN$3,'Standards for Conversions'!$A$47:$A$73,0))))</f>
        <v/>
      </c>
      <c r="JQ16" s="31">
        <v>650</v>
      </c>
      <c r="JR16" s="31">
        <v>1200</v>
      </c>
      <c r="JS16" s="31">
        <f>IF(JR16/(INDEX('Standards for Conversions'!$H$47:$H$73,MATCH(JQ$3,'Standards for Conversions'!$A$47:$A$73,0)))=0,"",JR16/(INDEX('Standards for Conversions'!$H$47:$H$73,MATCH(JQ$3,'Standards for Conversions'!$A$47:$A$73,0))))</f>
        <v>161.59081428695575</v>
      </c>
      <c r="JT16" s="31">
        <v>2925</v>
      </c>
      <c r="JU16" s="31">
        <v>4500</v>
      </c>
      <c r="JV16" s="31">
        <f>IF(JU16/(INDEX('Standards for Conversions'!$H$47:$H$73,MATCH(JT$3,'Standards for Conversions'!$A$47:$A$73,0)))=0,"",JU16/(INDEX('Standards for Conversions'!$H$47:$H$73,MATCH(JT$3,'Standards for Conversions'!$A$47:$A$73,0))))</f>
        <v>605.96555357608406</v>
      </c>
      <c r="JW16" s="31">
        <v>5362.5</v>
      </c>
      <c r="JX16" s="31">
        <v>7280</v>
      </c>
      <c r="JY16" s="31">
        <f>IF(JX16/(INDEX('Standards for Conversions'!$H$47:$H$73,MATCH(JW$3,'Standards for Conversions'!$A$47:$A$73,0)))=0,"",JX16/(INDEX('Standards for Conversions'!$H$47:$H$73,MATCH(JW$3,'Standards for Conversions'!$A$47:$A$73,0))))</f>
        <v>980.31760667419826</v>
      </c>
      <c r="JZ16" s="31">
        <f t="shared" si="41"/>
        <v>8937.5</v>
      </c>
      <c r="KA16" s="31">
        <f t="shared" si="41"/>
        <v>12980</v>
      </c>
      <c r="KB16" s="31">
        <f>IF(KA16/(INDEX('Standards for Conversions'!$H$47:$H$73,MATCH(JZ$3,'Standards for Conversions'!$A$47:$A$73,0)))=0,"",KA16/(INDEX('Standards for Conversions'!$H$47:$H$73,MATCH(JZ$3,'Standards for Conversions'!$A$47:$A$73,0))))</f>
        <v>1747.8739745372382</v>
      </c>
      <c r="KC16" s="31"/>
      <c r="KD16" s="31"/>
      <c r="KE16" s="31" t="str">
        <f>IF(KD16/(INDEX('Standards for Conversions'!$H$47:$H$73,MATCH(KC$3,'Standards for Conversions'!$A$47:$A$73,0)))=0,"",KD16/(INDEX('Standards for Conversions'!$H$47:$H$73,MATCH(KC$3,'Standards for Conversions'!$A$47:$A$73,0))))</f>
        <v/>
      </c>
      <c r="KF16" s="31">
        <v>812.5</v>
      </c>
      <c r="KG16" s="31">
        <v>1700</v>
      </c>
      <c r="KH16" s="31">
        <f>IF(KG16/(INDEX('Standards for Conversions'!$H$47:$H$73,MATCH(KF$3,'Standards for Conversions'!$A$47:$A$73,0)))=0,"",KG16/(INDEX('Standards for Conversions'!$H$47:$H$73,MATCH(KF$3,'Standards for Conversions'!$A$47:$A$73,0))))</f>
        <v>206.7481634367486</v>
      </c>
      <c r="KI16" s="31">
        <v>2145</v>
      </c>
      <c r="KJ16" s="31">
        <v>3150</v>
      </c>
      <c r="KK16" s="31">
        <f>IF(KJ16/(INDEX('Standards for Conversions'!$H$47:$H$73,MATCH(KI$3,'Standards for Conversions'!$A$47:$A$73,0)))=0,"",KJ16/(INDEX('Standards for Conversions'!$H$47:$H$73,MATCH(KI$3,'Standards for Conversions'!$A$47:$A$73,0))))</f>
        <v>383.09218519162243</v>
      </c>
      <c r="KL16" s="31">
        <v>8515</v>
      </c>
      <c r="KM16" s="31">
        <v>12320</v>
      </c>
      <c r="KN16" s="31">
        <f>IF(KM16/(INDEX('Standards for Conversions'!$H$47:$H$73,MATCH(KL$3,'Standards for Conversions'!$A$47:$A$73,0)))=0,"",KM16/(INDEX('Standards for Conversions'!$H$47:$H$73,MATCH(KL$3,'Standards for Conversions'!$A$47:$A$73,0))))</f>
        <v>1498.3161020827899</v>
      </c>
      <c r="KO16" s="31">
        <f t="shared" si="42"/>
        <v>11472.5</v>
      </c>
      <c r="KP16" s="31">
        <f t="shared" si="42"/>
        <v>17170</v>
      </c>
      <c r="KQ16" s="31">
        <f>IF(KP16/(INDEX('Standards for Conversions'!$H$47:$H$73,MATCH(KO$3,'Standards for Conversions'!$A$47:$A$73,0)))=0,"",KP16/(INDEX('Standards for Conversions'!$H$47:$H$73,MATCH(KO$3,'Standards for Conversions'!$A$47:$A$73,0))))</f>
        <v>2088.1564507111607</v>
      </c>
      <c r="KR16" s="31"/>
      <c r="KS16" s="31"/>
      <c r="KT16" s="31" t="str">
        <f>IF(KS16/(INDEX('Standards for Conversions'!$H$47:$H$73,MATCH(KR$3,'Standards for Conversions'!$A$47:$A$73,0)))=0,"",KS16/(INDEX('Standards for Conversions'!$H$47:$H$73,MATCH(KR$3,'Standards for Conversions'!$A$47:$A$73,0))))</f>
        <v/>
      </c>
      <c r="KU16" s="31"/>
      <c r="KV16" s="31"/>
      <c r="KW16" s="31" t="str">
        <f>IF(KV16/(INDEX('Standards for Conversions'!$H$47:$H$73,MATCH(KU$3,'Standards for Conversions'!$A$47:$A$73,0)))=0,"",KV16/(INDEX('Standards for Conversions'!$H$47:$H$73,MATCH(KU$3,'Standards for Conversions'!$A$47:$A$73,0))))</f>
        <v/>
      </c>
      <c r="KX16" s="31"/>
      <c r="KY16" s="31"/>
      <c r="KZ16" s="31" t="str">
        <f>IF(KY16/(INDEX('Standards for Conversions'!$H$47:$H$73,MATCH(KX$3,'Standards for Conversions'!$A$47:$A$73,0)))=0,"",KY16/(INDEX('Standards for Conversions'!$H$47:$H$73,MATCH(KX$3,'Standards for Conversions'!$A$47:$A$73,0))))</f>
        <v/>
      </c>
      <c r="LA16" s="31"/>
      <c r="LB16" s="31"/>
      <c r="LC16" s="31" t="str">
        <f>IF(LB16/(INDEX('Standards for Conversions'!$H$47:$H$73,MATCH(LA$3,'Standards for Conversions'!$A$47:$A$73,0)))=0,"",LB16/(INDEX('Standards for Conversions'!$H$47:$H$73,MATCH(LA$3,'Standards for Conversions'!$A$47:$A$73,0))))</f>
        <v/>
      </c>
      <c r="LD16" s="31"/>
      <c r="LE16" s="31"/>
      <c r="LF16" s="31" t="str">
        <f>IF(LE16/(INDEX('Standards for Conversions'!$H$47:$H$73,MATCH(LD$3,'Standards for Conversions'!$A$47:$A$73,0)))=0,"",LE16/(INDEX('Standards for Conversions'!$H$47:$H$73,MATCH(LD$3,'Standards for Conversions'!$A$47:$A$73,0))))</f>
        <v/>
      </c>
      <c r="LG16" s="31"/>
      <c r="LH16" s="31"/>
      <c r="LI16" s="31" t="str">
        <f>IF(LH16/(INDEX('Standards for Conversions'!$H$47:$H$73,MATCH(LG$3,'Standards for Conversions'!$A$47:$A$73,0)))=0,"",LH16/(INDEX('Standards for Conversions'!$H$47:$H$73,MATCH(LG$3,'Standards for Conversions'!$A$47:$A$73,0))))</f>
        <v/>
      </c>
      <c r="LJ16" s="31"/>
      <c r="LK16" s="31"/>
      <c r="LL16" s="31" t="str">
        <f>IF(LK16/(INDEX('Standards for Conversions'!$H$47:$H$73,MATCH(LJ$3,'Standards for Conversions'!$A$47:$A$73,0)))=0,"",LK16/(INDEX('Standards for Conversions'!$H$47:$H$73,MATCH(LJ$3,'Standards for Conversions'!$A$47:$A$73,0))))</f>
        <v/>
      </c>
      <c r="LM16" s="31"/>
      <c r="LN16" s="31"/>
      <c r="LO16" s="31" t="str">
        <f>IF(LN16/(INDEX('Standards for Conversions'!$H$47:$H$73,MATCH(LM$3,'Standards for Conversions'!$A$47:$A$73,0)))=0,"",LN16/(INDEX('Standards for Conversions'!$H$47:$H$73,MATCH(LM$3,'Standards for Conversions'!$A$47:$A$73,0))))</f>
        <v/>
      </c>
      <c r="LP16" s="31"/>
      <c r="LQ16" s="31"/>
      <c r="LR16" s="31" t="str">
        <f>IF(LQ16/(INDEX('Standards for Conversions'!$H$47:$H$73,MATCH(LP$3,'Standards for Conversions'!$A$47:$A$73,0)))=0,"",LQ16/(INDEX('Standards for Conversions'!$H$47:$H$73,MATCH(LP$3,'Standards for Conversions'!$A$47:$A$73,0))))</f>
        <v/>
      </c>
      <c r="LS16" s="31"/>
      <c r="LT16" s="31"/>
      <c r="LU16" s="31" t="str">
        <f>IF(LT16/(INDEX('Standards for Conversions'!$H$47:$H$73,MATCH(LS$3,'Standards for Conversions'!$A$47:$A$73,0)))=0,"",LT16/(INDEX('Standards for Conversions'!$H$47:$H$73,MATCH(LS$3,'Standards for Conversions'!$A$47:$A$73,0))))</f>
        <v/>
      </c>
      <c r="LV16" s="31"/>
      <c r="LW16" s="31"/>
      <c r="LX16" s="31" t="str">
        <f>IF(LW16/(INDEX('Standards for Conversions'!$H$47:$H$73,MATCH(LV$3,'Standards for Conversions'!$A$47:$A$73,0)))=0,"",LW16/(INDEX('Standards for Conversions'!$H$47:$H$73,MATCH(LV$3,'Standards for Conversions'!$A$47:$A$73,0))))</f>
        <v/>
      </c>
      <c r="LY16" s="31"/>
      <c r="LZ16" s="31"/>
      <c r="MA16" s="31"/>
      <c r="MB16" s="31"/>
      <c r="MC16" s="31"/>
      <c r="MD16" s="31"/>
      <c r="ME16" s="31"/>
      <c r="MF16" s="31"/>
      <c r="MG16" s="31"/>
      <c r="MH16" s="31"/>
      <c r="MI16" s="31"/>
      <c r="MJ16" s="31"/>
      <c r="MK16" s="31"/>
      <c r="ML16" s="31"/>
      <c r="MM16" s="31"/>
      <c r="MN16" s="31"/>
    </row>
    <row r="17" spans="1:352" s="33" customFormat="1" ht="14.4" customHeight="1" x14ac:dyDescent="0.3">
      <c r="A17" s="104" t="s">
        <v>200</v>
      </c>
      <c r="B17" s="10" t="s">
        <v>374</v>
      </c>
      <c r="C17" s="7"/>
      <c r="D17" s="7"/>
      <c r="E17" s="31"/>
      <c r="F17" s="9">
        <v>30</v>
      </c>
      <c r="G17" s="9">
        <v>800</v>
      </c>
      <c r="H17" s="31">
        <v>158.03378378378378</v>
      </c>
      <c r="I17" s="9">
        <v>2000</v>
      </c>
      <c r="J17" s="9">
        <v>18000</v>
      </c>
      <c r="K17" s="31">
        <v>3555.7601351351345</v>
      </c>
      <c r="L17" s="9"/>
      <c r="M17" s="9"/>
      <c r="N17" s="31"/>
      <c r="O17" s="31">
        <f t="shared" si="4"/>
        <v>2030</v>
      </c>
      <c r="P17" s="31">
        <f t="shared" si="5"/>
        <v>18800</v>
      </c>
      <c r="Q17" s="31">
        <f>IF(P17/(INDEX('Standards for Conversions'!$H$34:$H$73,MATCH(O$3,'Standards for Conversions'!$A$34:$A$73,0)))=0,"",P17/(INDEX('Standards for Conversions'!$H$34:$H$73,MATCH(O$3,'Standards for Conversions'!$A$34:$A$73,0))))</f>
        <v>3713.7939189189183</v>
      </c>
      <c r="R17" s="9"/>
      <c r="S17" s="9"/>
      <c r="T17" s="31"/>
      <c r="U17" s="9">
        <v>40</v>
      </c>
      <c r="V17" s="9">
        <v>1000</v>
      </c>
      <c r="W17" s="31">
        <v>192.67248558848235</v>
      </c>
      <c r="X17" s="9">
        <v>2000</v>
      </c>
      <c r="Y17" s="9">
        <v>18000</v>
      </c>
      <c r="Z17" s="31">
        <v>3468.1047405926824</v>
      </c>
      <c r="AA17" s="9"/>
      <c r="AB17" s="9"/>
      <c r="AC17" s="31"/>
      <c r="AD17" s="31">
        <f t="shared" si="6"/>
        <v>2040</v>
      </c>
      <c r="AE17" s="31">
        <f t="shared" si="7"/>
        <v>19000</v>
      </c>
      <c r="AF17" s="31">
        <f>IF(AE17/(INDEX('Standards for Conversions'!$H$34:$H$73,MATCH(AD$3,'Standards for Conversions'!$A$34:$A$73,0)))=0,"",AE17/(INDEX('Standards for Conversions'!$H$34:$H$73,MATCH(AD$3,'Standards for Conversions'!$A$34:$A$73,0))))</f>
        <v>3660.7772261811647</v>
      </c>
      <c r="AG17" s="9"/>
      <c r="AH17" s="9"/>
      <c r="AI17" s="31"/>
      <c r="AJ17" s="9">
        <v>40</v>
      </c>
      <c r="AK17" s="9">
        <v>800</v>
      </c>
      <c r="AL17" s="31">
        <v>142.95874974653108</v>
      </c>
      <c r="AM17" s="9">
        <v>1000</v>
      </c>
      <c r="AN17" s="9">
        <v>9000</v>
      </c>
      <c r="AO17" s="31">
        <v>1608.2859346484747</v>
      </c>
      <c r="AP17" s="9"/>
      <c r="AQ17" s="9"/>
      <c r="AR17" s="31"/>
      <c r="AS17" s="31">
        <f t="shared" si="8"/>
        <v>1040</v>
      </c>
      <c r="AT17" s="31">
        <f t="shared" si="9"/>
        <v>9800</v>
      </c>
      <c r="AU17" s="31">
        <f>IF(AT17/(INDEX('Standards for Conversions'!$H$34:$H$73,MATCH(AS$3,'Standards for Conversions'!$A$34:$A$73,0)))=0,"",AT17/(INDEX('Standards for Conversions'!$H$34:$H$73,MATCH(AS$3,'Standards for Conversions'!$A$34:$A$73,0))))</f>
        <v>1751.2446843950056</v>
      </c>
      <c r="AV17" s="9"/>
      <c r="AW17" s="9"/>
      <c r="AX17" s="31"/>
      <c r="AY17" s="9">
        <v>20</v>
      </c>
      <c r="AZ17" s="9">
        <v>500</v>
      </c>
      <c r="BA17" s="31">
        <v>92.842730692911559</v>
      </c>
      <c r="BB17" s="9">
        <v>350</v>
      </c>
      <c r="BC17" s="9">
        <v>5000</v>
      </c>
      <c r="BD17" s="31">
        <v>928.42730692911562</v>
      </c>
      <c r="BE17" s="9"/>
      <c r="BF17" s="9"/>
      <c r="BG17" s="31"/>
      <c r="BH17" s="31">
        <f t="shared" si="10"/>
        <v>370</v>
      </c>
      <c r="BI17" s="31">
        <f t="shared" si="11"/>
        <v>5500</v>
      </c>
      <c r="BJ17" s="31">
        <f>IF(BI17/(INDEX('Standards for Conversions'!$H$34:$H$73,MATCH(BH$3,'Standards for Conversions'!$A$34:$A$73,0)))=0,"",BI17/(INDEX('Standards for Conversions'!$H$34:$H$73,MATCH(BH$3,'Standards for Conversions'!$A$34:$A$73,0))))</f>
        <v>1021.2700376220272</v>
      </c>
      <c r="BK17" s="9"/>
      <c r="BL17" s="9"/>
      <c r="BM17" s="31"/>
      <c r="BN17" s="9">
        <v>40</v>
      </c>
      <c r="BO17" s="9">
        <v>1200</v>
      </c>
      <c r="BP17" s="31">
        <v>213.67590379768833</v>
      </c>
      <c r="BQ17" s="9"/>
      <c r="BR17" s="9"/>
      <c r="BS17" s="31"/>
      <c r="BT17" s="9"/>
      <c r="BU17" s="9"/>
      <c r="BV17" s="31"/>
      <c r="BW17" s="31">
        <f t="shared" si="12"/>
        <v>40</v>
      </c>
      <c r="BX17" s="31">
        <f t="shared" si="13"/>
        <v>1200</v>
      </c>
      <c r="BY17" s="31">
        <f>IF(BX17/(INDEX('Standards for Conversions'!$H$34:$H$73,MATCH(BW$3,'Standards for Conversions'!$A$34:$A$73,0)))=0,"",BX17/(INDEX('Standards for Conversions'!$H$34:$H$73,MATCH(BW$3,'Standards for Conversions'!$A$34:$A$73,0))))</f>
        <v>213.67590379768833</v>
      </c>
      <c r="BZ17" s="7"/>
      <c r="CA17" s="7"/>
      <c r="CB17" s="31"/>
      <c r="CC17" s="7">
        <v>15</v>
      </c>
      <c r="CD17" s="7">
        <v>450</v>
      </c>
      <c r="CE17" s="31">
        <v>78.127634266098894</v>
      </c>
      <c r="CF17" s="9"/>
      <c r="CG17" s="9"/>
      <c r="CH17" s="31"/>
      <c r="CI17" s="7"/>
      <c r="CJ17" s="7"/>
      <c r="CK17" s="31"/>
      <c r="CL17" s="31">
        <f t="shared" si="14"/>
        <v>15</v>
      </c>
      <c r="CM17" s="31">
        <f t="shared" si="15"/>
        <v>450</v>
      </c>
      <c r="CN17" s="31">
        <f>IF(CM17/(INDEX('Standards for Conversions'!$H$34:$H$73,MATCH(CL$3,'Standards for Conversions'!$A$34:$A$73,0)))=0,"",CM17/(INDEX('Standards for Conversions'!$H$34:$H$73,MATCH(CL$3,'Standards for Conversions'!$A$34:$A$73,0))))</f>
        <v>78.127634266098894</v>
      </c>
      <c r="CO17" s="7"/>
      <c r="CP17" s="7"/>
      <c r="CQ17" s="31"/>
      <c r="CR17" s="7">
        <v>15</v>
      </c>
      <c r="CS17" s="7">
        <v>300</v>
      </c>
      <c r="CT17" s="31">
        <v>53.101383940210312</v>
      </c>
      <c r="CU17" s="9"/>
      <c r="CV17" s="9"/>
      <c r="CW17" s="31"/>
      <c r="CX17" s="7"/>
      <c r="CY17" s="7"/>
      <c r="CZ17" s="31"/>
      <c r="DA17" s="31">
        <f t="shared" si="16"/>
        <v>15</v>
      </c>
      <c r="DB17" s="31">
        <f t="shared" si="17"/>
        <v>300</v>
      </c>
      <c r="DC17" s="31">
        <f>IF(DB17/(INDEX('Standards for Conversions'!$H$34:$H$73,MATCH(DA$3,'Standards for Conversions'!$A$34:$A$73,0)))=0,"",DB17/(INDEX('Standards for Conversions'!$H$34:$H$73,MATCH(DA$3,'Standards for Conversions'!$A$34:$A$73,0))))</f>
        <v>53.101383940210312</v>
      </c>
      <c r="DD17" s="7"/>
      <c r="DE17" s="7"/>
      <c r="DF17" s="31"/>
      <c r="DG17" s="7">
        <v>400</v>
      </c>
      <c r="DH17" s="7">
        <v>8000</v>
      </c>
      <c r="DI17" s="31">
        <v>1400.7924886301091</v>
      </c>
      <c r="DJ17" s="9"/>
      <c r="DK17" s="9"/>
      <c r="DL17" s="31"/>
      <c r="DM17" s="7"/>
      <c r="DN17" s="7"/>
      <c r="DO17" s="31"/>
      <c r="DP17" s="31">
        <f t="shared" si="18"/>
        <v>400</v>
      </c>
      <c r="DQ17" s="31">
        <f t="shared" si="19"/>
        <v>8000</v>
      </c>
      <c r="DR17" s="31">
        <f>IF(DQ17/(INDEX('Standards for Conversions'!$H$34:$H$73,MATCH(DP$3,'Standards for Conversions'!$A$34:$A$73,0)))=0,"",DQ17/(INDEX('Standards for Conversions'!$H$34:$H$73,MATCH(DP$3,'Standards for Conversions'!$A$34:$A$73,0))))</f>
        <v>1400.7924886301091</v>
      </c>
      <c r="DS17" s="7"/>
      <c r="DT17" s="7"/>
      <c r="DU17" s="31"/>
      <c r="DV17" s="7"/>
      <c r="DW17" s="7"/>
      <c r="DX17" s="31"/>
      <c r="DY17" s="9"/>
      <c r="DZ17" s="9"/>
      <c r="EA17" s="31"/>
      <c r="EB17" s="7"/>
      <c r="EC17" s="7"/>
      <c r="ED17" s="31"/>
      <c r="EE17" s="31">
        <f t="shared" si="20"/>
        <v>0</v>
      </c>
      <c r="EF17" s="31">
        <f t="shared" si="21"/>
        <v>0</v>
      </c>
      <c r="EG17" s="31" t="str">
        <f>IF(EF17/(INDEX('Standards for Conversions'!$H$34:$H$73,MATCH(EE$3,'Standards for Conversions'!$A$34:$A$73,0)))=0,"",EF17/(INDEX('Standards for Conversions'!$H$34:$H$73,MATCH(EE$3,'Standards for Conversions'!$A$34:$A$73,0))))</f>
        <v/>
      </c>
      <c r="EH17" s="7"/>
      <c r="EI17" s="7"/>
      <c r="EJ17" s="31"/>
      <c r="EK17" s="7"/>
      <c r="EL17" s="7"/>
      <c r="EM17" s="31"/>
      <c r="EN17" s="9"/>
      <c r="EO17" s="9"/>
      <c r="EP17" s="31"/>
      <c r="EQ17" s="7"/>
      <c r="ER17" s="7"/>
      <c r="ES17" s="31"/>
      <c r="ET17" s="31">
        <f t="shared" si="22"/>
        <v>0</v>
      </c>
      <c r="EU17" s="31">
        <f t="shared" si="23"/>
        <v>0</v>
      </c>
      <c r="EV17" s="31" t="str">
        <f>IF(EU17/(INDEX('Standards for Conversions'!$H$34:$H$73,MATCH(ET$3,'Standards for Conversions'!$A$34:$A$73,0)))=0,"",EU17/(INDEX('Standards for Conversions'!$H$34:$H$73,MATCH(ET$3,'Standards for Conversions'!$A$34:$A$73,0))))</f>
        <v/>
      </c>
      <c r="EW17" s="7"/>
      <c r="EX17" s="7"/>
      <c r="EY17" s="31"/>
      <c r="EZ17" s="7"/>
      <c r="FA17" s="7"/>
      <c r="FB17" s="31"/>
      <c r="FC17" s="9"/>
      <c r="FD17" s="9"/>
      <c r="FE17" s="31"/>
      <c r="FF17" s="7"/>
      <c r="FG17" s="7"/>
      <c r="FH17" s="31"/>
      <c r="FI17" s="31">
        <f t="shared" si="24"/>
        <v>0</v>
      </c>
      <c r="FJ17" s="31">
        <f t="shared" si="25"/>
        <v>0</v>
      </c>
      <c r="FK17" s="31" t="str">
        <f>IF(FJ17/(INDEX('Standards for Conversions'!$H$34:$H$73,MATCH(FI$3,'Standards for Conversions'!$A$34:$A$73,0)))=0,"",FJ17/(INDEX('Standards for Conversions'!$H$34:$H$73,MATCH(FI$3,'Standards for Conversions'!$A$34:$A$73,0))))</f>
        <v/>
      </c>
      <c r="FL17" s="7"/>
      <c r="FM17" s="7"/>
      <c r="FN17" s="31"/>
      <c r="FO17" s="7"/>
      <c r="FP17" s="7"/>
      <c r="FQ17" s="31"/>
      <c r="FR17" s="9"/>
      <c r="FS17" s="9"/>
      <c r="FT17" s="31"/>
      <c r="FU17" s="7"/>
      <c r="FV17" s="7"/>
      <c r="FW17" s="31"/>
      <c r="FX17" s="31">
        <f t="shared" si="26"/>
        <v>0</v>
      </c>
      <c r="FY17" s="31">
        <f t="shared" si="27"/>
        <v>0</v>
      </c>
      <c r="FZ17" s="31" t="str">
        <f>IF(FY17/(INDEX('Standards for Conversions'!$H$34:$H$73,MATCH(FX$3,'Standards for Conversions'!$A$34:$A$73,0)))=0,"",FY17/(INDEX('Standards for Conversions'!$H$34:$H$73,MATCH(FX$3,'Standards for Conversions'!$A$34:$A$73,0))))</f>
        <v/>
      </c>
      <c r="GA17" s="7"/>
      <c r="GB17" s="7"/>
      <c r="GC17" s="31"/>
      <c r="GD17" s="7"/>
      <c r="GE17" s="7"/>
      <c r="GF17" s="31"/>
      <c r="GG17" s="9"/>
      <c r="GH17" s="9"/>
      <c r="GI17" s="31"/>
      <c r="GJ17" s="7"/>
      <c r="GK17" s="7"/>
      <c r="GL17" s="31"/>
      <c r="GM17" s="31">
        <f t="shared" si="28"/>
        <v>0</v>
      </c>
      <c r="GN17" s="31">
        <f t="shared" si="29"/>
        <v>0</v>
      </c>
      <c r="GO17" s="31" t="str">
        <f>IF(GN17/(INDEX('Standards for Conversions'!$H$34:$H$73,MATCH(GM$3,'Standards for Conversions'!$A$34:$A$73,0)))=0,"",GN17/(INDEX('Standards for Conversions'!$H$34:$H$73,MATCH(GM$3,'Standards for Conversions'!$A$34:$A$73,0))))</f>
        <v/>
      </c>
      <c r="GP17" s="7"/>
      <c r="GQ17" s="7"/>
      <c r="GR17" s="31"/>
      <c r="GS17" s="7"/>
      <c r="GT17" s="7"/>
      <c r="GU17" s="31"/>
      <c r="GV17" s="9"/>
      <c r="GW17" s="9"/>
      <c r="GX17" s="31"/>
      <c r="GY17" s="7"/>
      <c r="GZ17" s="7"/>
      <c r="HA17" s="31"/>
      <c r="HB17" s="31">
        <f t="shared" si="30"/>
        <v>0</v>
      </c>
      <c r="HC17" s="31">
        <f t="shared" si="31"/>
        <v>0</v>
      </c>
      <c r="HD17" s="31" t="str">
        <f>IF(HC17/(INDEX('Standards for Conversions'!$H$34:$H$73,MATCH(HB$3,'Standards for Conversions'!$A$34:$A$73,0)))=0,"",HC17/(INDEX('Standards for Conversions'!$H$34:$H$73,MATCH(HB$3,'Standards for Conversions'!$A$34:$A$73,0))))</f>
        <v/>
      </c>
      <c r="HE17" s="112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1"/>
      <c r="IV17" s="31"/>
      <c r="IW17" s="31"/>
      <c r="IX17" s="31"/>
      <c r="IY17" s="31"/>
      <c r="IZ17" s="31"/>
      <c r="JA17" s="31"/>
      <c r="JB17" s="31"/>
      <c r="JC17" s="31"/>
      <c r="JD17" s="31"/>
      <c r="JE17" s="31"/>
      <c r="JF17" s="31"/>
      <c r="JG17" s="31"/>
      <c r="JH17" s="31"/>
      <c r="JI17" s="31"/>
      <c r="JJ17" s="31"/>
      <c r="JK17" s="31"/>
      <c r="JL17" s="31"/>
      <c r="JM17" s="31"/>
      <c r="JN17" s="31"/>
      <c r="JO17" s="31"/>
      <c r="JP17" s="31"/>
      <c r="JQ17" s="31"/>
      <c r="JR17" s="31"/>
      <c r="JS17" s="31"/>
      <c r="JT17" s="31"/>
      <c r="JU17" s="31"/>
      <c r="JV17" s="31"/>
      <c r="JW17" s="31"/>
      <c r="JX17" s="31"/>
      <c r="JY17" s="31"/>
      <c r="JZ17" s="31"/>
      <c r="KA17" s="31"/>
      <c r="KB17" s="31"/>
      <c r="KC17" s="31"/>
      <c r="KD17" s="31"/>
      <c r="KE17" s="31"/>
      <c r="KF17" s="31"/>
      <c r="KG17" s="31"/>
      <c r="KH17" s="31"/>
      <c r="KI17" s="31"/>
      <c r="KJ17" s="31"/>
      <c r="KK17" s="31"/>
      <c r="KL17" s="31"/>
      <c r="KM17" s="31"/>
      <c r="KN17" s="31"/>
      <c r="KO17" s="31"/>
      <c r="KP17" s="31"/>
      <c r="KQ17" s="31"/>
      <c r="KR17" s="31"/>
      <c r="KS17" s="31"/>
      <c r="KT17" s="31"/>
      <c r="KU17" s="31"/>
      <c r="KV17" s="31"/>
      <c r="KW17" s="31"/>
      <c r="KX17" s="31"/>
      <c r="KY17" s="31"/>
      <c r="KZ17" s="31"/>
      <c r="LA17" s="31"/>
      <c r="LB17" s="31"/>
      <c r="LC17" s="31"/>
      <c r="LD17" s="31"/>
      <c r="LE17" s="31"/>
      <c r="LF17" s="31"/>
      <c r="LG17" s="31"/>
      <c r="LH17" s="31"/>
      <c r="LI17" s="31"/>
      <c r="LJ17" s="31"/>
      <c r="LK17" s="31"/>
      <c r="LL17" s="31"/>
      <c r="LM17" s="31"/>
      <c r="LN17" s="31"/>
      <c r="LO17" s="31"/>
      <c r="LP17" s="31"/>
      <c r="LQ17" s="31"/>
      <c r="LR17" s="31"/>
      <c r="LS17" s="31"/>
      <c r="LT17" s="31"/>
      <c r="LU17" s="31"/>
      <c r="LV17" s="31"/>
      <c r="LW17" s="31"/>
      <c r="LX17" s="31"/>
      <c r="LY17" s="31"/>
      <c r="LZ17" s="31"/>
      <c r="MA17" s="31"/>
      <c r="MB17" s="31"/>
      <c r="MC17" s="31"/>
      <c r="MD17" s="31"/>
      <c r="ME17" s="31"/>
      <c r="MF17" s="31"/>
      <c r="MG17" s="31"/>
      <c r="MH17" s="31"/>
      <c r="MI17" s="31"/>
      <c r="MJ17" s="31"/>
      <c r="MK17" s="31"/>
      <c r="ML17" s="31"/>
      <c r="MM17" s="31"/>
      <c r="MN17" s="31"/>
    </row>
    <row r="18" spans="1:352" s="33" customFormat="1" ht="14.4" customHeight="1" x14ac:dyDescent="0.3">
      <c r="A18" s="104" t="s">
        <v>179</v>
      </c>
      <c r="B18" s="10" t="s">
        <v>399</v>
      </c>
      <c r="C18" s="7"/>
      <c r="D18" s="7"/>
      <c r="E18" s="31"/>
      <c r="F18" s="7"/>
      <c r="G18" s="7"/>
      <c r="H18" s="31" t="s">
        <v>128</v>
      </c>
      <c r="I18" s="9"/>
      <c r="J18" s="9"/>
      <c r="K18" s="31" t="s">
        <v>128</v>
      </c>
      <c r="L18" s="7"/>
      <c r="M18" s="7"/>
      <c r="N18" s="31" t="s">
        <v>128</v>
      </c>
      <c r="O18" s="31">
        <f t="shared" si="4"/>
        <v>0</v>
      </c>
      <c r="P18" s="31">
        <f t="shared" si="5"/>
        <v>0</v>
      </c>
      <c r="Q18" s="31" t="str">
        <f>IF(P18/(INDEX('Standards for Conversions'!$H$34:$H$73,MATCH(O$3,'Standards for Conversions'!$A$34:$A$73,0)))=0,"",P18/(INDEX('Standards for Conversions'!$H$34:$H$73,MATCH(O$3,'Standards for Conversions'!$A$34:$A$73,0))))</f>
        <v/>
      </c>
      <c r="R18" s="7"/>
      <c r="S18" s="7"/>
      <c r="T18" s="31"/>
      <c r="U18" s="7"/>
      <c r="V18" s="7"/>
      <c r="W18" s="31"/>
      <c r="X18" s="9"/>
      <c r="Y18" s="9"/>
      <c r="Z18" s="31" t="s">
        <v>128</v>
      </c>
      <c r="AA18" s="7"/>
      <c r="AB18" s="7"/>
      <c r="AC18" s="31"/>
      <c r="AD18" s="31">
        <f t="shared" si="6"/>
        <v>0</v>
      </c>
      <c r="AE18" s="31">
        <f t="shared" si="7"/>
        <v>0</v>
      </c>
      <c r="AF18" s="31" t="str">
        <f>IF(AE18/(INDEX('Standards for Conversions'!$H$34:$H$73,MATCH(AD$3,'Standards for Conversions'!$A$34:$A$73,0)))=0,"",AE18/(INDEX('Standards for Conversions'!$H$34:$H$73,MATCH(AD$3,'Standards for Conversions'!$A$34:$A$73,0))))</f>
        <v/>
      </c>
      <c r="AG18" s="7"/>
      <c r="AH18" s="7"/>
      <c r="AI18" s="31"/>
      <c r="AJ18" s="7"/>
      <c r="AK18" s="7"/>
      <c r="AL18" s="31"/>
      <c r="AM18" s="9"/>
      <c r="AN18" s="9"/>
      <c r="AO18" s="31" t="s">
        <v>128</v>
      </c>
      <c r="AP18" s="7"/>
      <c r="AQ18" s="7"/>
      <c r="AR18" s="31"/>
      <c r="AS18" s="31">
        <f t="shared" si="8"/>
        <v>0</v>
      </c>
      <c r="AT18" s="31">
        <f t="shared" si="9"/>
        <v>0</v>
      </c>
      <c r="AU18" s="31" t="str">
        <f>IF(AT18/(INDEX('Standards for Conversions'!$H$34:$H$73,MATCH(AS$3,'Standards for Conversions'!$A$34:$A$73,0)))=0,"",AT18/(INDEX('Standards for Conversions'!$H$34:$H$73,MATCH(AS$3,'Standards for Conversions'!$A$34:$A$73,0))))</f>
        <v/>
      </c>
      <c r="AV18" s="7"/>
      <c r="AW18" s="7"/>
      <c r="AX18" s="31"/>
      <c r="AY18" s="7"/>
      <c r="AZ18" s="7"/>
      <c r="BA18" s="31"/>
      <c r="BB18" s="9"/>
      <c r="BC18" s="9"/>
      <c r="BD18" s="31" t="s">
        <v>128</v>
      </c>
      <c r="BE18" s="7"/>
      <c r="BF18" s="7"/>
      <c r="BG18" s="31"/>
      <c r="BH18" s="31">
        <f t="shared" si="10"/>
        <v>0</v>
      </c>
      <c r="BI18" s="31">
        <f t="shared" si="11"/>
        <v>0</v>
      </c>
      <c r="BJ18" s="31" t="str">
        <f>IF(BI18/(INDEX('Standards for Conversions'!$H$34:$H$73,MATCH(BH$3,'Standards for Conversions'!$A$34:$A$73,0)))=0,"",BI18/(INDEX('Standards for Conversions'!$H$34:$H$73,MATCH(BH$3,'Standards for Conversions'!$A$34:$A$73,0))))</f>
        <v/>
      </c>
      <c r="BK18" s="7"/>
      <c r="BL18" s="7"/>
      <c r="BM18" s="31"/>
      <c r="BN18" s="7"/>
      <c r="BO18" s="7"/>
      <c r="BP18" s="31"/>
      <c r="BQ18" s="9"/>
      <c r="BR18" s="9"/>
      <c r="BS18" s="31" t="s">
        <v>128</v>
      </c>
      <c r="BT18" s="7"/>
      <c r="BU18" s="7"/>
      <c r="BV18" s="31"/>
      <c r="BW18" s="31">
        <f t="shared" si="12"/>
        <v>0</v>
      </c>
      <c r="BX18" s="31">
        <f t="shared" si="13"/>
        <v>0</v>
      </c>
      <c r="BY18" s="31" t="str">
        <f>IF(BX18/(INDEX('Standards for Conversions'!$H$34:$H$73,MATCH(BW$3,'Standards for Conversions'!$A$34:$A$73,0)))=0,"",BX18/(INDEX('Standards for Conversions'!$H$34:$H$73,MATCH(BW$3,'Standards for Conversions'!$A$34:$A$73,0))))</f>
        <v/>
      </c>
      <c r="BZ18" s="7"/>
      <c r="CA18" s="7"/>
      <c r="CB18" s="31"/>
      <c r="CC18" s="7"/>
      <c r="CD18" s="7"/>
      <c r="CE18" s="31"/>
      <c r="CF18" s="9"/>
      <c r="CG18" s="9"/>
      <c r="CH18" s="31" t="s">
        <v>128</v>
      </c>
      <c r="CI18" s="7">
        <v>673.18999999999994</v>
      </c>
      <c r="CJ18" s="7">
        <v>850</v>
      </c>
      <c r="CK18" s="31">
        <v>147.57442028040902</v>
      </c>
      <c r="CL18" s="31">
        <f t="shared" si="14"/>
        <v>673.18999999999994</v>
      </c>
      <c r="CM18" s="31">
        <f t="shared" si="15"/>
        <v>850</v>
      </c>
      <c r="CN18" s="31">
        <f>IF(CM18/(INDEX('Standards for Conversions'!$H$34:$H$73,MATCH(CL$3,'Standards for Conversions'!$A$34:$A$73,0)))=0,"",CM18/(INDEX('Standards for Conversions'!$H$34:$H$73,MATCH(CL$3,'Standards for Conversions'!$A$34:$A$73,0))))</f>
        <v>147.57442028040902</v>
      </c>
      <c r="CO18" s="7"/>
      <c r="CP18" s="7"/>
      <c r="CQ18" s="31" t="s">
        <v>128</v>
      </c>
      <c r="CR18" s="7"/>
      <c r="CS18" s="7"/>
      <c r="CT18" s="31" t="s">
        <v>128</v>
      </c>
      <c r="CU18" s="9">
        <v>570.5</v>
      </c>
      <c r="CV18" s="9">
        <v>1600</v>
      </c>
      <c r="CW18" s="31">
        <v>283.207381014455</v>
      </c>
      <c r="CX18" s="7">
        <v>673.18999999999994</v>
      </c>
      <c r="CY18" s="7">
        <v>850</v>
      </c>
      <c r="CZ18" s="31">
        <v>150.45392116392921</v>
      </c>
      <c r="DA18" s="31">
        <f t="shared" si="16"/>
        <v>1243.69</v>
      </c>
      <c r="DB18" s="31">
        <f t="shared" si="17"/>
        <v>2450</v>
      </c>
      <c r="DC18" s="31">
        <f>IF(DB18/(INDEX('Standards for Conversions'!$H$34:$H$73,MATCH(DA$3,'Standards for Conversions'!$A$34:$A$73,0)))=0,"",DB18/(INDEX('Standards for Conversions'!$H$34:$H$73,MATCH(DA$3,'Standards for Conversions'!$A$34:$A$73,0))))</f>
        <v>433.66130217838418</v>
      </c>
      <c r="DD18" s="7"/>
      <c r="DE18" s="7"/>
      <c r="DF18" s="31" t="s">
        <v>128</v>
      </c>
      <c r="DG18" s="7"/>
      <c r="DH18" s="7"/>
      <c r="DI18" s="31" t="s">
        <v>128</v>
      </c>
      <c r="DJ18" s="9">
        <v>1141</v>
      </c>
      <c r="DK18" s="9">
        <v>3000</v>
      </c>
      <c r="DL18" s="31">
        <v>525.29718323629095</v>
      </c>
      <c r="DM18" s="7">
        <v>815</v>
      </c>
      <c r="DN18" s="7">
        <v>1000</v>
      </c>
      <c r="DO18" s="31">
        <v>175.09906107876364</v>
      </c>
      <c r="DP18" s="31">
        <f t="shared" si="18"/>
        <v>1956</v>
      </c>
      <c r="DQ18" s="31">
        <f t="shared" si="19"/>
        <v>4000</v>
      </c>
      <c r="DR18" s="31">
        <f>IF(DQ18/(INDEX('Standards for Conversions'!$H$34:$H$73,MATCH(DP$3,'Standards for Conversions'!$A$34:$A$73,0)))=0,"",DQ18/(INDEX('Standards for Conversions'!$H$34:$H$73,MATCH(DP$3,'Standards for Conversions'!$A$34:$A$73,0))))</f>
        <v>700.39624431505456</v>
      </c>
      <c r="DS18" s="7"/>
      <c r="DT18" s="7"/>
      <c r="DU18" s="31" t="s">
        <v>128</v>
      </c>
      <c r="DV18" s="7"/>
      <c r="DW18" s="7"/>
      <c r="DX18" s="31" t="s">
        <v>128</v>
      </c>
      <c r="DY18" s="9">
        <v>1108.3999999999999</v>
      </c>
      <c r="DZ18" s="9">
        <v>2340</v>
      </c>
      <c r="EA18" s="31">
        <v>409.23635938993652</v>
      </c>
      <c r="EB18" s="7"/>
      <c r="EC18" s="7"/>
      <c r="ED18" s="31" t="s">
        <v>128</v>
      </c>
      <c r="EE18" s="31">
        <f t="shared" si="20"/>
        <v>1108.3999999999999</v>
      </c>
      <c r="EF18" s="31">
        <f t="shared" si="21"/>
        <v>2340</v>
      </c>
      <c r="EG18" s="31">
        <f>IF(EF18/(INDEX('Standards for Conversions'!$H$34:$H$73,MATCH(EE$3,'Standards for Conversions'!$A$34:$A$73,0)))=0,"",EF18/(INDEX('Standards for Conversions'!$H$34:$H$73,MATCH(EE$3,'Standards for Conversions'!$A$34:$A$73,0))))</f>
        <v>409.23635938993652</v>
      </c>
      <c r="EH18" s="7"/>
      <c r="EI18" s="7"/>
      <c r="EJ18" s="31" t="s">
        <v>128</v>
      </c>
      <c r="EK18" s="7"/>
      <c r="EL18" s="7"/>
      <c r="EM18" s="31" t="s">
        <v>128</v>
      </c>
      <c r="EN18" s="9">
        <v>844.33999999999992</v>
      </c>
      <c r="EO18" s="9">
        <v>1635</v>
      </c>
      <c r="EP18" s="31">
        <v>280.05580964304335</v>
      </c>
      <c r="EQ18" s="7">
        <v>78.239999999999995</v>
      </c>
      <c r="ER18" s="7">
        <v>155</v>
      </c>
      <c r="ES18" s="31">
        <v>26.549633330074442</v>
      </c>
      <c r="ET18" s="31">
        <f t="shared" si="22"/>
        <v>922.57999999999993</v>
      </c>
      <c r="EU18" s="31">
        <f t="shared" si="23"/>
        <v>1790</v>
      </c>
      <c r="EV18" s="31">
        <f>IF(EU18/(INDEX('Standards for Conversions'!$H$34:$H$73,MATCH(ET$3,'Standards for Conversions'!$A$34:$A$73,0)))=0,"",EU18/(INDEX('Standards for Conversions'!$H$34:$H$73,MATCH(ET$3,'Standards for Conversions'!$A$34:$A$73,0))))</f>
        <v>306.60544297311776</v>
      </c>
      <c r="EW18" s="7"/>
      <c r="EX18" s="7"/>
      <c r="EY18" s="31" t="s">
        <v>128</v>
      </c>
      <c r="EZ18" s="7"/>
      <c r="FA18" s="7"/>
      <c r="FB18" s="31" t="s">
        <v>128</v>
      </c>
      <c r="FC18" s="9">
        <v>977.99999999999989</v>
      </c>
      <c r="FD18" s="9">
        <v>2000</v>
      </c>
      <c r="FE18" s="31">
        <v>342.99936994872678</v>
      </c>
      <c r="FF18" s="7">
        <v>81.5</v>
      </c>
      <c r="FG18" s="7">
        <v>125</v>
      </c>
      <c r="FH18" s="31">
        <v>21.437460621795424</v>
      </c>
      <c r="FI18" s="31">
        <f t="shared" si="24"/>
        <v>1059.5</v>
      </c>
      <c r="FJ18" s="31">
        <f t="shared" si="25"/>
        <v>2125</v>
      </c>
      <c r="FK18" s="31">
        <f>IF(FJ18/(INDEX('Standards for Conversions'!$H$34:$H$73,MATCH(FI$3,'Standards for Conversions'!$A$34:$A$73,0)))=0,"",FJ18/(INDEX('Standards for Conversions'!$H$34:$H$73,MATCH(FI$3,'Standards for Conversions'!$A$34:$A$73,0))))</f>
        <v>364.4368305705222</v>
      </c>
      <c r="FL18" s="7"/>
      <c r="FM18" s="7"/>
      <c r="FN18" s="31" t="s">
        <v>128</v>
      </c>
      <c r="FO18" s="7"/>
      <c r="FP18" s="7"/>
      <c r="FQ18" s="31" t="s">
        <v>128</v>
      </c>
      <c r="FR18" s="9">
        <v>366.75</v>
      </c>
      <c r="FS18" s="9">
        <v>900</v>
      </c>
      <c r="FT18" s="31">
        <v>148.06139469453376</v>
      </c>
      <c r="FU18" s="7">
        <v>32.599999999999994</v>
      </c>
      <c r="FV18" s="7">
        <v>100</v>
      </c>
      <c r="FW18" s="31">
        <v>16.451266077170416</v>
      </c>
      <c r="FX18" s="31">
        <f t="shared" si="26"/>
        <v>399.35</v>
      </c>
      <c r="FY18" s="31">
        <f t="shared" si="27"/>
        <v>1000</v>
      </c>
      <c r="FZ18" s="31">
        <f>IF(FY18/(INDEX('Standards for Conversions'!$H$34:$H$73,MATCH(FX$3,'Standards for Conversions'!$A$34:$A$73,0)))=0,"",FY18/(INDEX('Standards for Conversions'!$H$34:$H$73,MATCH(FX$3,'Standards for Conversions'!$A$34:$A$73,0))))</f>
        <v>164.51266077170416</v>
      </c>
      <c r="GA18" s="7"/>
      <c r="GB18" s="7"/>
      <c r="GC18" s="31" t="s">
        <v>128</v>
      </c>
      <c r="GD18" s="7"/>
      <c r="GE18" s="7"/>
      <c r="GF18" s="31" t="s">
        <v>128</v>
      </c>
      <c r="GG18" s="9">
        <v>407.5</v>
      </c>
      <c r="GH18" s="9">
        <v>1200</v>
      </c>
      <c r="GI18" s="31">
        <v>184.45743895020422</v>
      </c>
      <c r="GJ18" s="7">
        <v>81.5</v>
      </c>
      <c r="GK18" s="7">
        <v>150</v>
      </c>
      <c r="GL18" s="31">
        <v>23.057179868775528</v>
      </c>
      <c r="GM18" s="31">
        <f t="shared" si="28"/>
        <v>489</v>
      </c>
      <c r="GN18" s="31">
        <f t="shared" si="29"/>
        <v>1350</v>
      </c>
      <c r="GO18" s="31">
        <f>IF(GN18/(INDEX('Standards for Conversions'!$H$34:$H$73,MATCH(GM$3,'Standards for Conversions'!$A$34:$A$73,0)))=0,"",GN18/(INDEX('Standards for Conversions'!$H$34:$H$73,MATCH(GM$3,'Standards for Conversions'!$A$34:$A$73,0))))</f>
        <v>207.51461881897976</v>
      </c>
      <c r="GP18" s="7"/>
      <c r="GQ18" s="7"/>
      <c r="GR18" s="31" t="s">
        <v>128</v>
      </c>
      <c r="GS18" s="7"/>
      <c r="GT18" s="7"/>
      <c r="GU18" s="31" t="s">
        <v>128</v>
      </c>
      <c r="GV18" s="9">
        <v>488.99999999999994</v>
      </c>
      <c r="GW18" s="9">
        <v>1800</v>
      </c>
      <c r="GX18" s="31">
        <v>272.49394390371071</v>
      </c>
      <c r="GY18" s="7">
        <v>81.5</v>
      </c>
      <c r="GZ18" s="7">
        <v>150</v>
      </c>
      <c r="HA18" s="31">
        <v>22.707828658642562</v>
      </c>
      <c r="HB18" s="31">
        <f t="shared" si="30"/>
        <v>570.5</v>
      </c>
      <c r="HC18" s="31">
        <f t="shared" si="31"/>
        <v>1950</v>
      </c>
      <c r="HD18" s="31">
        <f>IF(HC18/(INDEX('Standards for Conversions'!$H$34:$H$73,MATCH(HB$3,'Standards for Conversions'!$A$34:$A$73,0)))=0,"",HC18/(INDEX('Standards for Conversions'!$H$34:$H$73,MATCH(HB$3,'Standards for Conversions'!$A$34:$A$73,0))))</f>
        <v>295.20177256235331</v>
      </c>
      <c r="HE18" s="112" t="s">
        <v>98</v>
      </c>
      <c r="HF18" s="31"/>
      <c r="HG18" s="31"/>
      <c r="HH18" s="31" t="str">
        <f>IF(HG18/(INDEX('Standards for Conversions'!$H$47:$H$73,MATCH(HF$3,'Standards for Conversions'!$A$47:$A$73,0)))=0,"",HG18/(INDEX('Standards for Conversions'!$H$47:$H$73,MATCH(HF$3,'Standards for Conversions'!$A$47:$A$73,0))))</f>
        <v/>
      </c>
      <c r="HI18" s="31"/>
      <c r="HJ18" s="31"/>
      <c r="HK18" s="31" t="str">
        <f>IF(HJ18/(INDEX('Standards for Conversions'!$H$47:$H$73,MATCH(HI$3,'Standards for Conversions'!$A$47:$A$73,0)))=0,"",HJ18/(INDEX('Standards for Conversions'!$H$47:$H$73,MATCH(HI$3,'Standards for Conversions'!$A$47:$A$73,0))))</f>
        <v/>
      </c>
      <c r="HL18" s="31">
        <v>568.75</v>
      </c>
      <c r="HM18" s="31">
        <v>2000</v>
      </c>
      <c r="HN18" s="31">
        <f>IF(HM18/(INDEX('Standards for Conversions'!$H$47:$H$73,MATCH(HL$3,'Standards for Conversions'!$A$47:$A$73,0)))=0,"",HM18/(INDEX('Standards for Conversions'!$H$47:$H$73,MATCH(HL$3,'Standards for Conversions'!$A$47:$A$73,0))))</f>
        <v>290.49082442571193</v>
      </c>
      <c r="HO18" s="31">
        <v>97.5</v>
      </c>
      <c r="HP18" s="31">
        <v>175</v>
      </c>
      <c r="HQ18" s="31">
        <f>IF(HP18/(INDEX('Standards for Conversions'!$H$47:$H$73,MATCH(HO$3,'Standards for Conversions'!$A$47:$A$73,0)))=0,"",HP18/(INDEX('Standards for Conversions'!$H$47:$H$73,MATCH(HO$3,'Standards for Conversions'!$A$47:$A$73,0))))</f>
        <v>25.417947137249794</v>
      </c>
      <c r="HR18" s="31">
        <f t="shared" si="39"/>
        <v>666.25</v>
      </c>
      <c r="HS18" s="31">
        <f t="shared" si="39"/>
        <v>2175</v>
      </c>
      <c r="HT18" s="31">
        <f>IF(HS18/(INDEX('Standards for Conversions'!$H$47:$H$73,MATCH(HR$3,'Standards for Conversions'!$A$47:$A$73,0)))=0,"",HS18/(INDEX('Standards for Conversions'!$H$47:$H$73,MATCH(HR$3,'Standards for Conversions'!$A$47:$A$73,0))))</f>
        <v>315.9087715629617</v>
      </c>
      <c r="HU18" s="31"/>
      <c r="HV18" s="31"/>
      <c r="HW18" s="31" t="str">
        <f>IF(HV18/(INDEX('Standards for Conversions'!$H$47:$H$73,MATCH(HU$3,'Standards for Conversions'!$A$47:$A$73,0)))=0,"",HV18/(INDEX('Standards for Conversions'!$H$47:$H$73,MATCH(HU$3,'Standards for Conversions'!$A$47:$A$73,0))))</f>
        <v/>
      </c>
      <c r="HX18" s="31"/>
      <c r="HY18" s="31"/>
      <c r="HZ18" s="31" t="str">
        <f>IF(HY18/(INDEX('Standards for Conversions'!$H$47:$H$73,MATCH(HX$3,'Standards for Conversions'!$A$47:$A$73,0)))=0,"",HY18/(INDEX('Standards for Conversions'!$H$47:$H$73,MATCH(HX$3,'Standards for Conversions'!$A$47:$A$73,0))))</f>
        <v/>
      </c>
      <c r="IA18" s="31">
        <v>650</v>
      </c>
      <c r="IB18" s="31">
        <v>2400</v>
      </c>
      <c r="IC18" s="31">
        <f>IF(IB18/(INDEX('Standards for Conversions'!$H$47:$H$73,MATCH(IA$3,'Standards for Conversions'!$A$47:$A$73,0)))=0,"",IB18/(INDEX('Standards for Conversions'!$H$47:$H$73,MATCH(IA$3,'Standards for Conversions'!$A$47:$A$73,0))))</f>
        <v>347.06454766663768</v>
      </c>
      <c r="ID18" s="31">
        <v>624</v>
      </c>
      <c r="IE18" s="31">
        <v>1236</v>
      </c>
      <c r="IF18" s="31">
        <f>IF(IE18/(INDEX('Standards for Conversions'!$H$47:$H$73,MATCH(ID$3,'Standards for Conversions'!$A$47:$A$73,0)))=0,"",IE18/(INDEX('Standards for Conversions'!$H$47:$H$73,MATCH(ID$3,'Standards for Conversions'!$A$47:$A$73,0))))</f>
        <v>178.7382420483184</v>
      </c>
      <c r="IG18" s="31">
        <f t="shared" si="33"/>
        <v>1274</v>
      </c>
      <c r="IH18" s="31">
        <f t="shared" si="34"/>
        <v>3636</v>
      </c>
      <c r="II18" s="31">
        <f>IF(IH18/(INDEX('Standards for Conversions'!$H$47:$H$73,MATCH(IG$3,'Standards for Conversions'!$A$47:$A$73,0)))=0,"",IH18/(INDEX('Standards for Conversions'!$H$47:$H$73,MATCH(IG$3,'Standards for Conversions'!$A$47:$A$73,0))))</f>
        <v>525.80278971495602</v>
      </c>
      <c r="IJ18" s="31"/>
      <c r="IK18" s="31"/>
      <c r="IL18" s="31" t="str">
        <f>IF(IK18/(INDEX('Standards for Conversions'!$H$47:$H$73,MATCH(IJ$3,'Standards for Conversions'!$A$47:$A$73,0)))=0,"",IK18/(INDEX('Standards for Conversions'!$H$47:$H$73,MATCH(IJ$3,'Standards for Conversions'!$A$47:$A$73,0))))</f>
        <v/>
      </c>
      <c r="IM18" s="31">
        <v>13</v>
      </c>
      <c r="IN18" s="31">
        <v>100</v>
      </c>
      <c r="IO18" s="31">
        <f>IF(IN18/(INDEX('Standards for Conversions'!$H$47:$H$73,MATCH(IM$3,'Standards for Conversions'!$A$47:$A$73,0)))=0,"",IN18/(INDEX('Standards for Conversions'!$H$47:$H$73,MATCH(IM$3,'Standards for Conversions'!$A$47:$A$73,0))))</f>
        <v>16.176019669186868</v>
      </c>
      <c r="IP18" s="31">
        <v>812.5</v>
      </c>
      <c r="IQ18" s="31">
        <v>2500</v>
      </c>
      <c r="IR18" s="31">
        <f>IF(IQ18/(INDEX('Standards for Conversions'!$H$47:$H$73,MATCH(IP$3,'Standards for Conversions'!$A$47:$A$73,0)))=0,"",IQ18/(INDEX('Standards for Conversions'!$H$47:$H$73,MATCH(IP$3,'Standards for Conversions'!$A$47:$A$73,0))))</f>
        <v>404.40049172967173</v>
      </c>
      <c r="IS18" s="31">
        <v>406.25</v>
      </c>
      <c r="IT18" s="31">
        <v>1000</v>
      </c>
      <c r="IU18" s="31">
        <f>IF(IT18/(INDEX('Standards for Conversions'!$H$47:$H$73,MATCH(IS$3,'Standards for Conversions'!$A$47:$A$73,0)))=0,"",IT18/(INDEX('Standards for Conversions'!$H$47:$H$73,MATCH(IS$3,'Standards for Conversions'!$A$47:$A$73,0))))</f>
        <v>161.76019669186869</v>
      </c>
      <c r="IV18" s="31">
        <f t="shared" si="35"/>
        <v>1231.75</v>
      </c>
      <c r="IW18" s="31">
        <f t="shared" si="35"/>
        <v>3600</v>
      </c>
      <c r="IX18" s="31">
        <f>IF(IW18/(INDEX('Standards for Conversions'!$H$47:$H$73,MATCH(IV$3,'Standards for Conversions'!$A$47:$A$73,0)))=0,"",IW18/(INDEX('Standards for Conversions'!$H$47:$H$73,MATCH(IV$3,'Standards for Conversions'!$A$47:$A$73,0))))</f>
        <v>582.33670809072726</v>
      </c>
      <c r="IY18" s="31"/>
      <c r="IZ18" s="31"/>
      <c r="JA18" s="31" t="str">
        <f>IF(IZ18/(INDEX('Standards for Conversions'!$H$47:$H$73,MATCH(IY$3,'Standards for Conversions'!$A$47:$A$73,0)))=0,"",IZ18/(INDEX('Standards for Conversions'!$H$47:$H$73,MATCH(IY$3,'Standards for Conversions'!$A$47:$A$73,0))))</f>
        <v/>
      </c>
      <c r="JB18" s="31"/>
      <c r="JC18" s="31"/>
      <c r="JD18" s="31" t="str">
        <f>IF(JC18/(INDEX('Standards for Conversions'!$H$47:$H$73,MATCH(JB$3,'Standards for Conversions'!$A$47:$A$73,0)))=0,"",JC18/(INDEX('Standards for Conversions'!$H$47:$H$73,MATCH(JB$3,'Standards for Conversions'!$A$47:$A$73,0))))</f>
        <v/>
      </c>
      <c r="JE18" s="31">
        <v>975</v>
      </c>
      <c r="JF18" s="31">
        <v>2500</v>
      </c>
      <c r="JG18" s="31">
        <f>IF(JF18/(INDEX('Standards for Conversions'!$H$47:$H$73,MATCH(JE$3,'Standards for Conversions'!$A$47:$A$73,0)))=0,"",JF18/(INDEX('Standards for Conversions'!$H$47:$H$73,MATCH(JE$3,'Standards for Conversions'!$A$47:$A$73,0))))</f>
        <v>381.63973106949391</v>
      </c>
      <c r="JH18" s="31">
        <v>325</v>
      </c>
      <c r="JI18" s="31">
        <v>800</v>
      </c>
      <c r="JJ18" s="31">
        <f>IF(JI18/(INDEX('Standards for Conversions'!$H$47:$H$73,MATCH(JH$3,'Standards for Conversions'!$A$47:$A$73,0)))=0,"",JI18/(INDEX('Standards for Conversions'!$H$47:$H$73,MATCH(JH$3,'Standards for Conversions'!$A$47:$A$73,0))))</f>
        <v>122.12471394223805</v>
      </c>
      <c r="JK18" s="31">
        <f t="shared" si="40"/>
        <v>1300</v>
      </c>
      <c r="JL18" s="31">
        <f t="shared" si="40"/>
        <v>3300</v>
      </c>
      <c r="JM18" s="31">
        <f>IF(JL18/(INDEX('Standards for Conversions'!$H$47:$H$73,MATCH(JK$3,'Standards for Conversions'!$A$47:$A$73,0)))=0,"",JL18/(INDEX('Standards for Conversions'!$H$47:$H$73,MATCH(JK$3,'Standards for Conversions'!$A$47:$A$73,0))))</f>
        <v>503.76444501173194</v>
      </c>
      <c r="JN18" s="31"/>
      <c r="JO18" s="31"/>
      <c r="JP18" s="31" t="str">
        <f>IF(JO18/(INDEX('Standards for Conversions'!$H$47:$H$73,MATCH(JN$3,'Standards for Conversions'!$A$47:$A$73,0)))=0,"",JO18/(INDEX('Standards for Conversions'!$H$47:$H$73,MATCH(JN$3,'Standards for Conversions'!$A$47:$A$73,0))))</f>
        <v/>
      </c>
      <c r="JQ18" s="31"/>
      <c r="JR18" s="31"/>
      <c r="JS18" s="31" t="str">
        <f>IF(JR18/(INDEX('Standards for Conversions'!$H$47:$H$73,MATCH(JQ$3,'Standards for Conversions'!$A$47:$A$73,0)))=0,"",JR18/(INDEX('Standards for Conversions'!$H$47:$H$73,MATCH(JQ$3,'Standards for Conversions'!$A$47:$A$73,0))))</f>
        <v/>
      </c>
      <c r="JT18" s="31">
        <v>812.5</v>
      </c>
      <c r="JU18" s="31">
        <v>2400</v>
      </c>
      <c r="JV18" s="31">
        <f>IF(JU18/(INDEX('Standards for Conversions'!$H$47:$H$73,MATCH(JT$3,'Standards for Conversions'!$A$47:$A$73,0)))=0,"",JU18/(INDEX('Standards for Conversions'!$H$47:$H$73,MATCH(JT$3,'Standards for Conversions'!$A$47:$A$73,0))))</f>
        <v>323.1816285739115</v>
      </c>
      <c r="JW18" s="31">
        <v>292.5</v>
      </c>
      <c r="JX18" s="31">
        <v>700</v>
      </c>
      <c r="JY18" s="31">
        <f>IF(JX18/(INDEX('Standards for Conversions'!$H$47:$H$73,MATCH(JW$3,'Standards for Conversions'!$A$47:$A$73,0)))=0,"",JX18/(INDEX('Standards for Conversions'!$H$47:$H$73,MATCH(JW$3,'Standards for Conversions'!$A$47:$A$73,0))))</f>
        <v>94.261308334057517</v>
      </c>
      <c r="JZ18" s="31">
        <f t="shared" si="41"/>
        <v>1105</v>
      </c>
      <c r="KA18" s="31">
        <f t="shared" si="41"/>
        <v>3100</v>
      </c>
      <c r="KB18" s="31">
        <f>IF(KA18/(INDEX('Standards for Conversions'!$H$47:$H$73,MATCH(JZ$3,'Standards for Conversions'!$A$47:$A$73,0)))=0,"",KA18/(INDEX('Standards for Conversions'!$H$47:$H$73,MATCH(JZ$3,'Standards for Conversions'!$A$47:$A$73,0))))</f>
        <v>417.44293690796906</v>
      </c>
      <c r="KC18" s="31"/>
      <c r="KD18" s="31"/>
      <c r="KE18" s="31" t="str">
        <f>IF(KD18/(INDEX('Standards for Conversions'!$H$47:$H$73,MATCH(KC$3,'Standards for Conversions'!$A$47:$A$73,0)))=0,"",KD18/(INDEX('Standards for Conversions'!$H$47:$H$73,MATCH(KC$3,'Standards for Conversions'!$A$47:$A$73,0))))</f>
        <v/>
      </c>
      <c r="KF18" s="31"/>
      <c r="KG18" s="31"/>
      <c r="KH18" s="31" t="str">
        <f>IF(KG18/(INDEX('Standards for Conversions'!$H$47:$H$73,MATCH(KF$3,'Standards for Conversions'!$A$47:$A$73,0)))=0,"",KG18/(INDEX('Standards for Conversions'!$H$47:$H$73,MATCH(KF$3,'Standards for Conversions'!$A$47:$A$73,0))))</f>
        <v/>
      </c>
      <c r="KI18" s="31">
        <v>105.625</v>
      </c>
      <c r="KJ18" s="31">
        <v>380</v>
      </c>
      <c r="KK18" s="31">
        <f>IF(KJ18/(INDEX('Standards for Conversions'!$H$47:$H$73,MATCH(KI$3,'Standards for Conversions'!$A$47:$A$73,0)))=0,"",KJ18/(INDEX('Standards for Conversions'!$H$47:$H$73,MATCH(KI$3,'Standards for Conversions'!$A$47:$A$73,0))))</f>
        <v>46.214295356449689</v>
      </c>
      <c r="KL18" s="31">
        <v>263.25</v>
      </c>
      <c r="KM18" s="31">
        <v>550</v>
      </c>
      <c r="KN18" s="31">
        <f>IF(KM18/(INDEX('Standards for Conversions'!$H$47:$H$73,MATCH(KL$3,'Standards for Conversions'!$A$47:$A$73,0)))=0,"",KM18/(INDEX('Standards for Conversions'!$H$47:$H$73,MATCH(KL$3,'Standards for Conversions'!$A$47:$A$73,0))))</f>
        <v>66.889111700124545</v>
      </c>
      <c r="KO18" s="31">
        <f t="shared" si="42"/>
        <v>368.875</v>
      </c>
      <c r="KP18" s="31">
        <f t="shared" si="42"/>
        <v>930</v>
      </c>
      <c r="KQ18" s="31">
        <f>IF(KP18/(INDEX('Standards for Conversions'!$H$47:$H$73,MATCH(KO$3,'Standards for Conversions'!$A$47:$A$73,0)))=0,"",KP18/(INDEX('Standards for Conversions'!$H$47:$H$73,MATCH(KO$3,'Standards for Conversions'!$A$47:$A$73,0))))</f>
        <v>113.10340705657424</v>
      </c>
      <c r="KR18" s="31"/>
      <c r="KS18" s="31"/>
      <c r="KT18" s="31" t="str">
        <f>IF(KS18/(INDEX('Standards for Conversions'!$H$47:$H$73,MATCH(KR$3,'Standards for Conversions'!$A$47:$A$73,0)))=0,"",KS18/(INDEX('Standards for Conversions'!$H$47:$H$73,MATCH(KR$3,'Standards for Conversions'!$A$47:$A$73,0))))</f>
        <v/>
      </c>
      <c r="KU18" s="31"/>
      <c r="KV18" s="31"/>
      <c r="KW18" s="31" t="str">
        <f>IF(KV18/(INDEX('Standards for Conversions'!$H$47:$H$73,MATCH(KU$3,'Standards for Conversions'!$A$47:$A$73,0)))=0,"",KV18/(INDEX('Standards for Conversions'!$H$47:$H$73,MATCH(KU$3,'Standards for Conversions'!$A$47:$A$73,0))))</f>
        <v/>
      </c>
      <c r="KX18" s="31"/>
      <c r="KY18" s="31"/>
      <c r="KZ18" s="31" t="str">
        <f>IF(KY18/(INDEX('Standards for Conversions'!$H$47:$H$73,MATCH(KX$3,'Standards for Conversions'!$A$47:$A$73,0)))=0,"",KY18/(INDEX('Standards for Conversions'!$H$47:$H$73,MATCH(KX$3,'Standards for Conversions'!$A$47:$A$73,0))))</f>
        <v/>
      </c>
      <c r="LA18" s="31"/>
      <c r="LB18" s="31"/>
      <c r="LC18" s="31" t="str">
        <f>IF(LB18/(INDEX('Standards for Conversions'!$H$47:$H$73,MATCH(LA$3,'Standards for Conversions'!$A$47:$A$73,0)))=0,"",LB18/(INDEX('Standards for Conversions'!$H$47:$H$73,MATCH(LA$3,'Standards for Conversions'!$A$47:$A$73,0))))</f>
        <v/>
      </c>
      <c r="LD18" s="31"/>
      <c r="LE18" s="31"/>
      <c r="LF18" s="31" t="str">
        <f>IF(LE18/(INDEX('Standards for Conversions'!$H$47:$H$73,MATCH(LD$3,'Standards for Conversions'!$A$47:$A$73,0)))=0,"",LE18/(INDEX('Standards for Conversions'!$H$47:$H$73,MATCH(LD$3,'Standards for Conversions'!$A$47:$A$73,0))))</f>
        <v/>
      </c>
      <c r="LG18" s="31"/>
      <c r="LH18" s="31"/>
      <c r="LI18" s="31" t="str">
        <f>IF(LH18/(INDEX('Standards for Conversions'!$H$47:$H$73,MATCH(LG$3,'Standards for Conversions'!$A$47:$A$73,0)))=0,"",LH18/(INDEX('Standards for Conversions'!$H$47:$H$73,MATCH(LG$3,'Standards for Conversions'!$A$47:$A$73,0))))</f>
        <v/>
      </c>
      <c r="LJ18" s="31"/>
      <c r="LK18" s="31"/>
      <c r="LL18" s="31" t="str">
        <f>IF(LK18/(INDEX('Standards for Conversions'!$H$47:$H$73,MATCH(LJ$3,'Standards for Conversions'!$A$47:$A$73,0)))=0,"",LK18/(INDEX('Standards for Conversions'!$H$47:$H$73,MATCH(LJ$3,'Standards for Conversions'!$A$47:$A$73,0))))</f>
        <v/>
      </c>
      <c r="LM18" s="31"/>
      <c r="LN18" s="31"/>
      <c r="LO18" s="31" t="str">
        <f>IF(LN18/(INDEX('Standards for Conversions'!$H$47:$H$73,MATCH(LM$3,'Standards for Conversions'!$A$47:$A$73,0)))=0,"",LN18/(INDEX('Standards for Conversions'!$H$47:$H$73,MATCH(LM$3,'Standards for Conversions'!$A$47:$A$73,0))))</f>
        <v/>
      </c>
      <c r="LP18" s="31"/>
      <c r="LQ18" s="31"/>
      <c r="LR18" s="31" t="str">
        <f>IF(LQ18/(INDEX('Standards for Conversions'!$H$47:$H$73,MATCH(LP$3,'Standards for Conversions'!$A$47:$A$73,0)))=0,"",LQ18/(INDEX('Standards for Conversions'!$H$47:$H$73,MATCH(LP$3,'Standards for Conversions'!$A$47:$A$73,0))))</f>
        <v/>
      </c>
      <c r="LS18" s="31"/>
      <c r="LT18" s="31"/>
      <c r="LU18" s="31" t="str">
        <f>IF(LT18/(INDEX('Standards for Conversions'!$H$47:$H$73,MATCH(LS$3,'Standards for Conversions'!$A$47:$A$73,0)))=0,"",LT18/(INDEX('Standards for Conversions'!$H$47:$H$73,MATCH(LS$3,'Standards for Conversions'!$A$47:$A$73,0))))</f>
        <v/>
      </c>
      <c r="LV18" s="31"/>
      <c r="LW18" s="31"/>
      <c r="LX18" s="31" t="str">
        <f>IF(LW18/(INDEX('Standards for Conversions'!$H$47:$H$73,MATCH(LV$3,'Standards for Conversions'!$A$47:$A$73,0)))=0,"",LW18/(INDEX('Standards for Conversions'!$H$47:$H$73,MATCH(LV$3,'Standards for Conversions'!$A$47:$A$73,0))))</f>
        <v/>
      </c>
      <c r="LY18" s="31"/>
      <c r="LZ18" s="31"/>
      <c r="MA18" s="31"/>
      <c r="MB18" s="31"/>
      <c r="MC18" s="31"/>
      <c r="MD18" s="31"/>
      <c r="ME18" s="31"/>
      <c r="MF18" s="31"/>
      <c r="MG18" s="31"/>
      <c r="MH18" s="31"/>
      <c r="MI18" s="31"/>
      <c r="MJ18" s="31"/>
      <c r="MK18" s="31"/>
      <c r="ML18" s="31"/>
      <c r="MM18" s="31"/>
      <c r="MN18" s="31"/>
    </row>
    <row r="19" spans="1:352" s="33" customFormat="1" ht="14.4" customHeight="1" x14ac:dyDescent="0.3">
      <c r="A19" s="102" t="s">
        <v>69</v>
      </c>
      <c r="B19" s="10" t="s">
        <v>399</v>
      </c>
      <c r="C19" s="9"/>
      <c r="D19" s="9"/>
      <c r="E19" s="31"/>
      <c r="F19" s="9"/>
      <c r="G19" s="9"/>
      <c r="H19" s="31" t="s">
        <v>128</v>
      </c>
      <c r="L19" s="9"/>
      <c r="M19" s="9"/>
      <c r="N19" s="31" t="s">
        <v>128</v>
      </c>
      <c r="O19" s="31">
        <f t="shared" si="4"/>
        <v>0</v>
      </c>
      <c r="P19" s="31">
        <f t="shared" si="5"/>
        <v>0</v>
      </c>
      <c r="Q19" s="31" t="str">
        <f>IF(P19/(INDEX('Standards for Conversions'!$H$34:$H$73,MATCH(O$3,'Standards for Conversions'!$A$34:$A$73,0)))=0,"",P19/(INDEX('Standards for Conversions'!$H$34:$H$73,MATCH(O$3,'Standards for Conversions'!$A$34:$A$73,0))))</f>
        <v/>
      </c>
      <c r="R19" s="9"/>
      <c r="S19" s="9"/>
      <c r="T19" s="31"/>
      <c r="U19" s="9"/>
      <c r="V19" s="9"/>
      <c r="W19" s="31"/>
      <c r="AA19" s="9"/>
      <c r="AB19" s="9"/>
      <c r="AC19" s="31"/>
      <c r="AD19" s="31">
        <f t="shared" si="6"/>
        <v>0</v>
      </c>
      <c r="AE19" s="31">
        <f t="shared" si="7"/>
        <v>0</v>
      </c>
      <c r="AF19" s="31" t="str">
        <f>IF(AE19/(INDEX('Standards for Conversions'!$H$34:$H$73,MATCH(AD$3,'Standards for Conversions'!$A$34:$A$73,0)))=0,"",AE19/(INDEX('Standards for Conversions'!$H$34:$H$73,MATCH(AD$3,'Standards for Conversions'!$A$34:$A$73,0))))</f>
        <v/>
      </c>
      <c r="AG19" s="9"/>
      <c r="AH19" s="9"/>
      <c r="AI19" s="31"/>
      <c r="AJ19" s="9"/>
      <c r="AK19" s="9"/>
      <c r="AL19" s="31"/>
      <c r="AP19" s="9"/>
      <c r="AQ19" s="9"/>
      <c r="AR19" s="31"/>
      <c r="AS19" s="31">
        <f t="shared" si="8"/>
        <v>0</v>
      </c>
      <c r="AT19" s="31">
        <f t="shared" si="9"/>
        <v>0</v>
      </c>
      <c r="AU19" s="31" t="str">
        <f>IF(AT19/(INDEX('Standards for Conversions'!$H$34:$H$73,MATCH(AS$3,'Standards for Conversions'!$A$34:$A$73,0)))=0,"",AT19/(INDEX('Standards for Conversions'!$H$34:$H$73,MATCH(AS$3,'Standards for Conversions'!$A$34:$A$73,0))))</f>
        <v/>
      </c>
      <c r="AV19" s="9"/>
      <c r="AW19" s="9"/>
      <c r="AX19" s="31"/>
      <c r="AY19" s="9"/>
      <c r="AZ19" s="9"/>
      <c r="BA19" s="31"/>
      <c r="BE19" s="9"/>
      <c r="BF19" s="9"/>
      <c r="BG19" s="31"/>
      <c r="BH19" s="31">
        <f t="shared" si="10"/>
        <v>0</v>
      </c>
      <c r="BI19" s="31">
        <f t="shared" si="11"/>
        <v>0</v>
      </c>
      <c r="BJ19" s="31" t="str">
        <f>IF(BI19/(INDEX('Standards for Conversions'!$H$34:$H$73,MATCH(BH$3,'Standards for Conversions'!$A$34:$A$73,0)))=0,"",BI19/(INDEX('Standards for Conversions'!$H$34:$H$73,MATCH(BH$3,'Standards for Conversions'!$A$34:$A$73,0))))</f>
        <v/>
      </c>
      <c r="BK19" s="9"/>
      <c r="BL19" s="9"/>
      <c r="BM19" s="31"/>
      <c r="BN19" s="9"/>
      <c r="BO19" s="9"/>
      <c r="BP19" s="31"/>
      <c r="BT19" s="7"/>
      <c r="BU19" s="7"/>
      <c r="BV19" s="31"/>
      <c r="BW19" s="31">
        <f t="shared" si="12"/>
        <v>0</v>
      </c>
      <c r="BX19" s="31">
        <f t="shared" si="13"/>
        <v>0</v>
      </c>
      <c r="BY19" s="31" t="str">
        <f>IF(BX19/(INDEX('Standards for Conversions'!$H$34:$H$73,MATCH(BW$3,'Standards for Conversions'!$A$34:$A$73,0)))=0,"",BX19/(INDEX('Standards for Conversions'!$H$34:$H$73,MATCH(BW$3,'Standards for Conversions'!$A$34:$A$73,0))))</f>
        <v/>
      </c>
      <c r="BZ19" s="7"/>
      <c r="CA19" s="7"/>
      <c r="CB19" s="31"/>
      <c r="CC19" s="7"/>
      <c r="CD19" s="7"/>
      <c r="CE19" s="31"/>
      <c r="CF19" s="9"/>
      <c r="CG19" s="9"/>
      <c r="CH19" s="31" t="s">
        <v>128</v>
      </c>
      <c r="CI19" s="7">
        <v>300</v>
      </c>
      <c r="CJ19" s="7">
        <v>600</v>
      </c>
      <c r="CK19" s="31">
        <v>104.17017902146519</v>
      </c>
      <c r="CL19" s="31">
        <f t="shared" si="14"/>
        <v>300</v>
      </c>
      <c r="CM19" s="31">
        <f t="shared" si="15"/>
        <v>600</v>
      </c>
      <c r="CN19" s="31">
        <f>IF(CM19/(INDEX('Standards for Conversions'!$H$34:$H$73,MATCH(CL$3,'Standards for Conversions'!$A$34:$A$73,0)))=0,"",CM19/(INDEX('Standards for Conversions'!$H$34:$H$73,MATCH(CL$3,'Standards for Conversions'!$A$34:$A$73,0))))</f>
        <v>104.17017902146519</v>
      </c>
      <c r="CO19" s="7"/>
      <c r="CP19" s="7"/>
      <c r="CQ19" s="31" t="s">
        <v>128</v>
      </c>
      <c r="CR19" s="7"/>
      <c r="CS19" s="7"/>
      <c r="CT19" s="31" t="s">
        <v>128</v>
      </c>
      <c r="CU19" s="9">
        <v>2250</v>
      </c>
      <c r="CV19" s="9">
        <v>1800</v>
      </c>
      <c r="CW19" s="31">
        <v>318.60830364126184</v>
      </c>
      <c r="CX19" s="7">
        <v>4471.5</v>
      </c>
      <c r="CY19" s="7">
        <v>5200</v>
      </c>
      <c r="CZ19" s="31">
        <v>920.42398829697868</v>
      </c>
      <c r="DA19" s="31">
        <f t="shared" si="16"/>
        <v>6721.5</v>
      </c>
      <c r="DB19" s="31">
        <f t="shared" si="17"/>
        <v>7000</v>
      </c>
      <c r="DC19" s="31">
        <f>IF(DB19/(INDEX('Standards for Conversions'!$H$34:$H$73,MATCH(DA$3,'Standards for Conversions'!$A$34:$A$73,0)))=0,"",DB19/(INDEX('Standards for Conversions'!$H$34:$H$73,MATCH(DA$3,'Standards for Conversions'!$A$34:$A$73,0))))</f>
        <v>1239.0322919382406</v>
      </c>
      <c r="DD19" s="7"/>
      <c r="DE19" s="7"/>
      <c r="DF19" s="31" t="s">
        <v>128</v>
      </c>
      <c r="DG19" s="7"/>
      <c r="DH19" s="7"/>
      <c r="DI19" s="31" t="s">
        <v>128</v>
      </c>
      <c r="DJ19" s="9">
        <v>2250</v>
      </c>
      <c r="DK19" s="9">
        <v>1800</v>
      </c>
      <c r="DL19" s="31">
        <v>315.17830994177456</v>
      </c>
      <c r="DM19" s="7">
        <v>1500</v>
      </c>
      <c r="DN19" s="7">
        <v>2000</v>
      </c>
      <c r="DO19" s="31">
        <v>350.19812215752728</v>
      </c>
      <c r="DP19" s="31">
        <f t="shared" si="18"/>
        <v>3750</v>
      </c>
      <c r="DQ19" s="31">
        <f t="shared" si="19"/>
        <v>3800</v>
      </c>
      <c r="DR19" s="31">
        <f>IF(DQ19/(INDEX('Standards for Conversions'!$H$34:$H$73,MATCH(DP$3,'Standards for Conversions'!$A$34:$A$73,0)))=0,"",DQ19/(INDEX('Standards for Conversions'!$H$34:$H$73,MATCH(DP$3,'Standards for Conversions'!$A$34:$A$73,0))))</f>
        <v>665.37643209930184</v>
      </c>
      <c r="DS19" s="7"/>
      <c r="DT19" s="7"/>
      <c r="DU19" s="31" t="s">
        <v>128</v>
      </c>
      <c r="DV19" s="7"/>
      <c r="DW19" s="7"/>
      <c r="DX19" s="31" t="s">
        <v>128</v>
      </c>
      <c r="DY19" s="9">
        <v>2572.5</v>
      </c>
      <c r="DZ19" s="9">
        <v>1750</v>
      </c>
      <c r="EA19" s="31">
        <v>306.05283287708926</v>
      </c>
      <c r="EB19" s="7"/>
      <c r="EC19" s="7"/>
      <c r="ED19" s="31" t="s">
        <v>128</v>
      </c>
      <c r="EE19" s="31">
        <f t="shared" si="20"/>
        <v>2572.5</v>
      </c>
      <c r="EF19" s="31">
        <f t="shared" si="21"/>
        <v>1750</v>
      </c>
      <c r="EG19" s="31">
        <f>IF(EF19/(INDEX('Standards for Conversions'!$H$34:$H$73,MATCH(EE$3,'Standards for Conversions'!$A$34:$A$73,0)))=0,"",EF19/(INDEX('Standards for Conversions'!$H$34:$H$73,MATCH(EE$3,'Standards for Conversions'!$A$34:$A$73,0))))</f>
        <v>306.05283287708926</v>
      </c>
      <c r="EH19" s="7"/>
      <c r="EI19" s="7"/>
      <c r="EJ19" s="31" t="s">
        <v>128</v>
      </c>
      <c r="EK19" s="7"/>
      <c r="EL19" s="7"/>
      <c r="EM19" s="31" t="s">
        <v>128</v>
      </c>
      <c r="EN19" s="9">
        <v>1170</v>
      </c>
      <c r="EO19" s="9">
        <v>1120</v>
      </c>
      <c r="EP19" s="31">
        <v>191.84251180440887</v>
      </c>
      <c r="EQ19" s="7"/>
      <c r="ER19" s="7"/>
      <c r="ES19" s="31" t="s">
        <v>128</v>
      </c>
      <c r="ET19" s="31">
        <f t="shared" si="22"/>
        <v>1170</v>
      </c>
      <c r="EU19" s="31">
        <f t="shared" si="23"/>
        <v>1120</v>
      </c>
      <c r="EV19" s="31">
        <f>IF(EU19/(INDEX('Standards for Conversions'!$H$34:$H$73,MATCH(ET$3,'Standards for Conversions'!$A$34:$A$73,0)))=0,"",EU19/(INDEX('Standards for Conversions'!$H$34:$H$73,MATCH(ET$3,'Standards for Conversions'!$A$34:$A$73,0))))</f>
        <v>191.84251180440887</v>
      </c>
      <c r="EW19" s="7"/>
      <c r="EX19" s="7"/>
      <c r="EY19" s="31" t="s">
        <v>128</v>
      </c>
      <c r="EZ19" s="7"/>
      <c r="FA19" s="7"/>
      <c r="FB19" s="31" t="s">
        <v>128</v>
      </c>
      <c r="FC19" s="9">
        <v>1200</v>
      </c>
      <c r="FD19" s="9">
        <v>1200</v>
      </c>
      <c r="FE19" s="31">
        <v>205.79962196923609</v>
      </c>
      <c r="FF19" s="7"/>
      <c r="FG19" s="7"/>
      <c r="FH19" s="31" t="s">
        <v>128</v>
      </c>
      <c r="FI19" s="31">
        <f t="shared" si="24"/>
        <v>1200</v>
      </c>
      <c r="FJ19" s="31">
        <f t="shared" si="25"/>
        <v>1200</v>
      </c>
      <c r="FK19" s="31">
        <f>IF(FJ19/(INDEX('Standards for Conversions'!$H$34:$H$73,MATCH(FI$3,'Standards for Conversions'!$A$34:$A$73,0)))=0,"",FJ19/(INDEX('Standards for Conversions'!$H$34:$H$73,MATCH(FI$3,'Standards for Conversions'!$A$34:$A$73,0))))</f>
        <v>205.79962196923609</v>
      </c>
      <c r="FL19" s="7"/>
      <c r="FM19" s="7"/>
      <c r="FN19" s="31" t="s">
        <v>128</v>
      </c>
      <c r="FO19" s="7"/>
      <c r="FP19" s="7"/>
      <c r="FQ19" s="31" t="s">
        <v>128</v>
      </c>
      <c r="FR19" s="9">
        <v>750</v>
      </c>
      <c r="FS19" s="9">
        <v>1100</v>
      </c>
      <c r="FT19" s="31">
        <v>180.96392684887459</v>
      </c>
      <c r="FU19" s="7"/>
      <c r="FV19" s="7"/>
      <c r="FW19" s="31" t="s">
        <v>128</v>
      </c>
      <c r="FX19" s="31">
        <f t="shared" si="26"/>
        <v>750</v>
      </c>
      <c r="FY19" s="31">
        <f t="shared" si="27"/>
        <v>1100</v>
      </c>
      <c r="FZ19" s="31">
        <f>IF(FY19/(INDEX('Standards for Conversions'!$H$34:$H$73,MATCH(FX$3,'Standards for Conversions'!$A$34:$A$73,0)))=0,"",FY19/(INDEX('Standards for Conversions'!$H$34:$H$73,MATCH(FX$3,'Standards for Conversions'!$A$34:$A$73,0))))</f>
        <v>180.96392684887459</v>
      </c>
      <c r="GA19" s="7"/>
      <c r="GB19" s="7"/>
      <c r="GC19" s="31" t="s">
        <v>128</v>
      </c>
      <c r="GD19" s="7"/>
      <c r="GE19" s="7"/>
      <c r="GF19" s="31" t="s">
        <v>128</v>
      </c>
      <c r="GG19" s="9">
        <v>750</v>
      </c>
      <c r="GH19" s="9">
        <v>1000</v>
      </c>
      <c r="GI19" s="31">
        <v>153.71453245850353</v>
      </c>
      <c r="GJ19" s="7"/>
      <c r="GK19" s="7"/>
      <c r="GL19" s="31" t="s">
        <v>128</v>
      </c>
      <c r="GM19" s="31">
        <f t="shared" si="28"/>
        <v>750</v>
      </c>
      <c r="GN19" s="31">
        <f t="shared" si="29"/>
        <v>1000</v>
      </c>
      <c r="GO19" s="31">
        <f>IF(GN19/(INDEX('Standards for Conversions'!$H$34:$H$73,MATCH(GM$3,'Standards for Conversions'!$A$34:$A$73,0)))=0,"",GN19/(INDEX('Standards for Conversions'!$H$34:$H$73,MATCH(GM$3,'Standards for Conversions'!$A$34:$A$73,0))))</f>
        <v>153.71453245850353</v>
      </c>
      <c r="GP19" s="7"/>
      <c r="GQ19" s="7"/>
      <c r="GR19" s="31" t="s">
        <v>128</v>
      </c>
      <c r="GS19" s="7"/>
      <c r="GT19" s="7"/>
      <c r="GU19" s="31" t="s">
        <v>128</v>
      </c>
      <c r="GV19" s="9">
        <v>900</v>
      </c>
      <c r="GW19" s="9">
        <v>1200</v>
      </c>
      <c r="GX19" s="31">
        <v>181.6626292691405</v>
      </c>
      <c r="GY19" s="7"/>
      <c r="GZ19" s="7"/>
      <c r="HA19" s="31" t="s">
        <v>128</v>
      </c>
      <c r="HB19" s="31">
        <f t="shared" si="30"/>
        <v>900</v>
      </c>
      <c r="HC19" s="31">
        <f t="shared" si="31"/>
        <v>1200</v>
      </c>
      <c r="HD19" s="31">
        <f>IF(HC19/(INDEX('Standards for Conversions'!$H$34:$H$73,MATCH(HB$3,'Standards for Conversions'!$A$34:$A$73,0)))=0,"",HC19/(INDEX('Standards for Conversions'!$H$34:$H$73,MATCH(HB$3,'Standards for Conversions'!$A$34:$A$73,0))))</f>
        <v>181.6626292691405</v>
      </c>
      <c r="HE19" s="112" t="s">
        <v>98</v>
      </c>
      <c r="HF19" s="31"/>
      <c r="HG19" s="31"/>
      <c r="HH19" s="31" t="str">
        <f>IF(HG19/(INDEX('Standards for Conversions'!$H$47:$H$73,MATCH(HF$3,'Standards for Conversions'!$A$47:$A$73,0)))=0,"",HG19/(INDEX('Standards for Conversions'!$H$47:$H$73,MATCH(HF$3,'Standards for Conversions'!$A$47:$A$73,0))))</f>
        <v/>
      </c>
      <c r="HI19" s="31"/>
      <c r="HJ19" s="31"/>
      <c r="HK19" s="31" t="str">
        <f>IF(HJ19/(INDEX('Standards for Conversions'!$H$47:$H$73,MATCH(HI$3,'Standards for Conversions'!$A$47:$A$73,0)))=0,"",HJ19/(INDEX('Standards for Conversions'!$H$47:$H$73,MATCH(HI$3,'Standards for Conversions'!$A$47:$A$73,0))))</f>
        <v/>
      </c>
      <c r="HL19" s="31">
        <v>1500</v>
      </c>
      <c r="HM19" s="31">
        <v>1800</v>
      </c>
      <c r="HN19" s="31">
        <f>IF(HM19/(INDEX('Standards for Conversions'!$H$47:$H$73,MATCH(HL$3,'Standards for Conversions'!$A$47:$A$73,0)))=0,"",HM19/(INDEX('Standards for Conversions'!$H$47:$H$73,MATCH(HL$3,'Standards for Conversions'!$A$47:$A$73,0))))</f>
        <v>261.44174198314073</v>
      </c>
      <c r="HO19" s="31"/>
      <c r="HP19" s="31"/>
      <c r="HQ19" s="31" t="str">
        <f>IF(HP19/(INDEX('Standards for Conversions'!$H$47:$H$73,MATCH(HO$3,'Standards for Conversions'!$A$47:$A$73,0)))=0,"",HP19/(INDEX('Standards for Conversions'!$H$47:$H$73,MATCH(HO$3,'Standards for Conversions'!$A$47:$A$73,0))))</f>
        <v/>
      </c>
      <c r="HR19" s="31">
        <f t="shared" si="39"/>
        <v>1500</v>
      </c>
      <c r="HS19" s="31">
        <f t="shared" si="39"/>
        <v>1800</v>
      </c>
      <c r="HT19" s="31">
        <f>IF(HS19/(INDEX('Standards for Conversions'!$H$47:$H$73,MATCH(HR$3,'Standards for Conversions'!$A$47:$A$73,0)))=0,"",HS19/(INDEX('Standards for Conversions'!$H$47:$H$73,MATCH(HR$3,'Standards for Conversions'!$A$47:$A$73,0))))</f>
        <v>261.44174198314073</v>
      </c>
      <c r="HU19" s="31"/>
      <c r="HV19" s="31"/>
      <c r="HW19" s="31" t="str">
        <f>IF(HV19/(INDEX('Standards for Conversions'!$H$47:$H$73,MATCH(HU$3,'Standards for Conversions'!$A$47:$A$73,0)))=0,"",HV19/(INDEX('Standards for Conversions'!$H$47:$H$73,MATCH(HU$3,'Standards for Conversions'!$A$47:$A$73,0))))</f>
        <v/>
      </c>
      <c r="HX19" s="31"/>
      <c r="HY19" s="31"/>
      <c r="HZ19" s="31" t="str">
        <f>IF(HY19/(INDEX('Standards for Conversions'!$H$47:$H$73,MATCH(HX$3,'Standards for Conversions'!$A$47:$A$73,0)))=0,"",HY19/(INDEX('Standards for Conversions'!$H$47:$H$73,MATCH(HX$3,'Standards for Conversions'!$A$47:$A$73,0))))</f>
        <v/>
      </c>
      <c r="IA19" s="31">
        <v>379.5</v>
      </c>
      <c r="IB19" s="31">
        <v>413</v>
      </c>
      <c r="IC19" s="31">
        <f>IF(IB19/(INDEX('Standards for Conversions'!$H$47:$H$73,MATCH(IA$3,'Standards for Conversions'!$A$47:$A$73,0)))=0,"",IB19/(INDEX('Standards for Conversions'!$H$47:$H$73,MATCH(IA$3,'Standards for Conversions'!$A$47:$A$73,0))))</f>
        <v>59.724024244300566</v>
      </c>
      <c r="ID19" s="31"/>
      <c r="IE19" s="31"/>
      <c r="IF19" s="31" t="str">
        <f>IF(IE19/(INDEX('Standards for Conversions'!$H$47:$H$73,MATCH(ID$3,'Standards for Conversions'!$A$47:$A$73,0)))=0,"",IE19/(INDEX('Standards for Conversions'!$H$47:$H$73,MATCH(ID$3,'Standards for Conversions'!$A$47:$A$73,0))))</f>
        <v/>
      </c>
      <c r="IG19" s="31">
        <f t="shared" si="33"/>
        <v>379.5</v>
      </c>
      <c r="IH19" s="31">
        <f t="shared" si="34"/>
        <v>413</v>
      </c>
      <c r="II19" s="31">
        <f>IF(IH19/(INDEX('Standards for Conversions'!$H$47:$H$73,MATCH(IG$3,'Standards for Conversions'!$A$47:$A$73,0)))=0,"",IH19/(INDEX('Standards for Conversions'!$H$47:$H$73,MATCH(IG$3,'Standards for Conversions'!$A$47:$A$73,0))))</f>
        <v>59.724024244300566</v>
      </c>
      <c r="IJ19" s="31"/>
      <c r="IK19" s="31"/>
      <c r="IL19" s="31" t="str">
        <f>IF(IK19/(INDEX('Standards for Conversions'!$H$47:$H$73,MATCH(IJ$3,'Standards for Conversions'!$A$47:$A$73,0)))=0,"",IK19/(INDEX('Standards for Conversions'!$H$47:$H$73,MATCH(IJ$3,'Standards for Conversions'!$A$47:$A$73,0))))</f>
        <v/>
      </c>
      <c r="IM19" s="31"/>
      <c r="IN19" s="31"/>
      <c r="IO19" s="31" t="str">
        <f>IF(IN19/(INDEX('Standards for Conversions'!$H$47:$H$73,MATCH(IM$3,'Standards for Conversions'!$A$47:$A$73,0)))=0,"",IN19/(INDEX('Standards for Conversions'!$H$47:$H$73,MATCH(IM$3,'Standards for Conversions'!$A$47:$A$73,0))))</f>
        <v/>
      </c>
      <c r="IP19" s="31">
        <v>2100</v>
      </c>
      <c r="IQ19" s="31">
        <v>3100</v>
      </c>
      <c r="IR19" s="31">
        <f>IF(IQ19/(INDEX('Standards for Conversions'!$H$47:$H$73,MATCH(IP$3,'Standards for Conversions'!$A$47:$A$73,0)))=0,"",IQ19/(INDEX('Standards for Conversions'!$H$47:$H$73,MATCH(IP$3,'Standards for Conversions'!$A$47:$A$73,0))))</f>
        <v>501.45660974479296</v>
      </c>
      <c r="IS19" s="31"/>
      <c r="IT19" s="31"/>
      <c r="IU19" s="31" t="str">
        <f>IF(IT19/(INDEX('Standards for Conversions'!$H$47:$H$73,MATCH(IS$3,'Standards for Conversions'!$A$47:$A$73,0)))=0,"",IT19/(INDEX('Standards for Conversions'!$H$47:$H$73,MATCH(IS$3,'Standards for Conversions'!$A$47:$A$73,0))))</f>
        <v/>
      </c>
      <c r="IV19" s="31">
        <f t="shared" si="35"/>
        <v>2100</v>
      </c>
      <c r="IW19" s="31">
        <f t="shared" si="35"/>
        <v>3100</v>
      </c>
      <c r="IX19" s="31">
        <f>IF(IW19/(INDEX('Standards for Conversions'!$H$47:$H$73,MATCH(IV$3,'Standards for Conversions'!$A$47:$A$73,0)))=0,"",IW19/(INDEX('Standards for Conversions'!$H$47:$H$73,MATCH(IV$3,'Standards for Conversions'!$A$47:$A$73,0))))</f>
        <v>501.45660974479296</v>
      </c>
      <c r="IY19" s="31"/>
      <c r="IZ19" s="31"/>
      <c r="JA19" s="31" t="str">
        <f>IF(IZ19/(INDEX('Standards for Conversions'!$H$47:$H$73,MATCH(IY$3,'Standards for Conversions'!$A$47:$A$73,0)))=0,"",IZ19/(INDEX('Standards for Conversions'!$H$47:$H$73,MATCH(IY$3,'Standards for Conversions'!$A$47:$A$73,0))))</f>
        <v/>
      </c>
      <c r="JB19" s="31"/>
      <c r="JC19" s="31"/>
      <c r="JD19" s="31" t="str">
        <f>IF(JC19/(INDEX('Standards for Conversions'!$H$47:$H$73,MATCH(JB$3,'Standards for Conversions'!$A$47:$A$73,0)))=0,"",JC19/(INDEX('Standards for Conversions'!$H$47:$H$73,MATCH(JB$3,'Standards for Conversions'!$A$47:$A$73,0))))</f>
        <v/>
      </c>
      <c r="JE19" s="31">
        <v>2250</v>
      </c>
      <c r="JF19" s="31">
        <v>3000</v>
      </c>
      <c r="JG19" s="31">
        <f>IF(JF19/(INDEX('Standards for Conversions'!$H$47:$H$73,MATCH(JE$3,'Standards for Conversions'!$A$47:$A$73,0)))=0,"",JF19/(INDEX('Standards for Conversions'!$H$47:$H$73,MATCH(JE$3,'Standards for Conversions'!$A$47:$A$73,0))))</f>
        <v>457.96767728339267</v>
      </c>
      <c r="JH19" s="31"/>
      <c r="JI19" s="31"/>
      <c r="JJ19" s="31" t="str">
        <f>IF(JI19/(INDEX('Standards for Conversions'!$H$47:$H$73,MATCH(JH$3,'Standards for Conversions'!$A$47:$A$73,0)))=0,"",JI19/(INDEX('Standards for Conversions'!$H$47:$H$73,MATCH(JH$3,'Standards for Conversions'!$A$47:$A$73,0))))</f>
        <v/>
      </c>
      <c r="JK19" s="31">
        <f t="shared" si="40"/>
        <v>2250</v>
      </c>
      <c r="JL19" s="31">
        <f t="shared" si="40"/>
        <v>3000</v>
      </c>
      <c r="JM19" s="31">
        <f>IF(JL19/(INDEX('Standards for Conversions'!$H$47:$H$73,MATCH(JK$3,'Standards for Conversions'!$A$47:$A$73,0)))=0,"",JL19/(INDEX('Standards for Conversions'!$H$47:$H$73,MATCH(JK$3,'Standards for Conversions'!$A$47:$A$73,0))))</f>
        <v>457.96767728339267</v>
      </c>
      <c r="JN19" s="31"/>
      <c r="JO19" s="31"/>
      <c r="JP19" s="31" t="str">
        <f>IF(JO19/(INDEX('Standards for Conversions'!$H$47:$H$73,MATCH(JN$3,'Standards for Conversions'!$A$47:$A$73,0)))=0,"",JO19/(INDEX('Standards for Conversions'!$H$47:$H$73,MATCH(JN$3,'Standards for Conversions'!$A$47:$A$73,0))))</f>
        <v/>
      </c>
      <c r="JQ19" s="31"/>
      <c r="JR19" s="31"/>
      <c r="JS19" s="31" t="str">
        <f>IF(JR19/(INDEX('Standards for Conversions'!$H$47:$H$73,MATCH(JQ$3,'Standards for Conversions'!$A$47:$A$73,0)))=0,"",JR19/(INDEX('Standards for Conversions'!$H$47:$H$73,MATCH(JQ$3,'Standards for Conversions'!$A$47:$A$73,0))))</f>
        <v/>
      </c>
      <c r="JT19" s="31">
        <v>2100</v>
      </c>
      <c r="JU19" s="31">
        <v>4000</v>
      </c>
      <c r="JV19" s="31">
        <f>IF(JU19/(INDEX('Standards for Conversions'!$H$47:$H$73,MATCH(JT$3,'Standards for Conversions'!$A$47:$A$73,0)))=0,"",JU19/(INDEX('Standards for Conversions'!$H$47:$H$73,MATCH(JT$3,'Standards for Conversions'!$A$47:$A$73,0))))</f>
        <v>538.63604762318585</v>
      </c>
      <c r="JW19" s="31"/>
      <c r="JX19" s="31"/>
      <c r="JY19" s="31" t="str">
        <f>IF(JX19/(INDEX('Standards for Conversions'!$H$47:$H$73,MATCH(JW$3,'Standards for Conversions'!$A$47:$A$73,0)))=0,"",JX19/(INDEX('Standards for Conversions'!$H$47:$H$73,MATCH(JW$3,'Standards for Conversions'!$A$47:$A$73,0))))</f>
        <v/>
      </c>
      <c r="JZ19" s="31">
        <f t="shared" si="41"/>
        <v>2100</v>
      </c>
      <c r="KA19" s="31">
        <f t="shared" si="41"/>
        <v>4000</v>
      </c>
      <c r="KB19" s="31">
        <f>IF(KA19/(INDEX('Standards for Conversions'!$H$47:$H$73,MATCH(JZ$3,'Standards for Conversions'!$A$47:$A$73,0)))=0,"",KA19/(INDEX('Standards for Conversions'!$H$47:$H$73,MATCH(JZ$3,'Standards for Conversions'!$A$47:$A$73,0))))</f>
        <v>538.63604762318585</v>
      </c>
      <c r="KC19" s="31"/>
      <c r="KD19" s="31"/>
      <c r="KE19" s="31" t="str">
        <f>IF(KD19/(INDEX('Standards for Conversions'!$H$47:$H$73,MATCH(KC$3,'Standards for Conversions'!$A$47:$A$73,0)))=0,"",KD19/(INDEX('Standards for Conversions'!$H$47:$H$73,MATCH(KC$3,'Standards for Conversions'!$A$47:$A$73,0))))</f>
        <v/>
      </c>
      <c r="KF19" s="31"/>
      <c r="KG19" s="31"/>
      <c r="KH19" s="31" t="str">
        <f>IF(KG19/(INDEX('Standards for Conversions'!$H$47:$H$73,MATCH(KF$3,'Standards for Conversions'!$A$47:$A$73,0)))=0,"",KG19/(INDEX('Standards for Conversions'!$H$47:$H$73,MATCH(KF$3,'Standards for Conversions'!$A$47:$A$73,0))))</f>
        <v/>
      </c>
      <c r="KI19" s="31">
        <v>2389.5</v>
      </c>
      <c r="KJ19" s="31">
        <v>3430</v>
      </c>
      <c r="KK19" s="31">
        <f>IF(KJ19/(INDEX('Standards for Conversions'!$H$47:$H$73,MATCH(KI$3,'Standards for Conversions'!$A$47:$A$73,0)))=0,"",KJ19/(INDEX('Standards for Conversions'!$H$47:$H$73,MATCH(KI$3,'Standards for Conversions'!$A$47:$A$73,0))))</f>
        <v>417.14482387532217</v>
      </c>
      <c r="KL19" s="31"/>
      <c r="KM19" s="31"/>
      <c r="KN19" s="31" t="str">
        <f>IF(KM19/(INDEX('Standards for Conversions'!$H$47:$H$73,MATCH(KL$3,'Standards for Conversions'!$A$47:$A$73,0)))=0,"",KM19/(INDEX('Standards for Conversions'!$H$47:$H$73,MATCH(KL$3,'Standards for Conversions'!$A$47:$A$73,0))))</f>
        <v/>
      </c>
      <c r="KO19" s="31">
        <f t="shared" si="42"/>
        <v>2389.5</v>
      </c>
      <c r="KP19" s="31">
        <f t="shared" si="42"/>
        <v>3430</v>
      </c>
      <c r="KQ19" s="31">
        <f>IF(KP19/(INDEX('Standards for Conversions'!$H$47:$H$73,MATCH(KO$3,'Standards for Conversions'!$A$47:$A$73,0)))=0,"",KP19/(INDEX('Standards for Conversions'!$H$47:$H$73,MATCH(KO$3,'Standards for Conversions'!$A$47:$A$73,0))))</f>
        <v>417.14482387532217</v>
      </c>
      <c r="KR19" s="31"/>
      <c r="KS19" s="31"/>
      <c r="KT19" s="31" t="str">
        <f>IF(KS19/(INDEX('Standards for Conversions'!$H$47:$H$73,MATCH(KR$3,'Standards for Conversions'!$A$47:$A$73,0)))=0,"",KS19/(INDEX('Standards for Conversions'!$H$47:$H$73,MATCH(KR$3,'Standards for Conversions'!$A$47:$A$73,0))))</f>
        <v/>
      </c>
      <c r="KU19" s="31"/>
      <c r="KV19" s="31"/>
      <c r="KW19" s="31" t="str">
        <f>IF(KV19/(INDEX('Standards for Conversions'!$H$47:$H$73,MATCH(KU$3,'Standards for Conversions'!$A$47:$A$73,0)))=0,"",KV19/(INDEX('Standards for Conversions'!$H$47:$H$73,MATCH(KU$3,'Standards for Conversions'!$A$47:$A$73,0))))</f>
        <v/>
      </c>
      <c r="KX19" s="31"/>
      <c r="KY19" s="31"/>
      <c r="KZ19" s="31" t="str">
        <f>IF(KY19/(INDEX('Standards for Conversions'!$H$47:$H$73,MATCH(KX$3,'Standards for Conversions'!$A$47:$A$73,0)))=0,"",KY19/(INDEX('Standards for Conversions'!$H$47:$H$73,MATCH(KX$3,'Standards for Conversions'!$A$47:$A$73,0))))</f>
        <v/>
      </c>
      <c r="LA19" s="31"/>
      <c r="LB19" s="31"/>
      <c r="LC19" s="31" t="str">
        <f>IF(LB19/(INDEX('Standards for Conversions'!$H$47:$H$73,MATCH(LA$3,'Standards for Conversions'!$A$47:$A$73,0)))=0,"",LB19/(INDEX('Standards for Conversions'!$H$47:$H$73,MATCH(LA$3,'Standards for Conversions'!$A$47:$A$73,0))))</f>
        <v/>
      </c>
      <c r="LD19" s="31"/>
      <c r="LE19" s="31"/>
      <c r="LF19" s="31" t="str">
        <f>IF(LE19/(INDEX('Standards for Conversions'!$H$47:$H$73,MATCH(LD$3,'Standards for Conversions'!$A$47:$A$73,0)))=0,"",LE19/(INDEX('Standards for Conversions'!$H$47:$H$73,MATCH(LD$3,'Standards for Conversions'!$A$47:$A$73,0))))</f>
        <v/>
      </c>
      <c r="LG19" s="31"/>
      <c r="LH19" s="31"/>
      <c r="LI19" s="31" t="str">
        <f>IF(LH19/(INDEX('Standards for Conversions'!$H$47:$H$73,MATCH(LG$3,'Standards for Conversions'!$A$47:$A$73,0)))=0,"",LH19/(INDEX('Standards for Conversions'!$H$47:$H$73,MATCH(LG$3,'Standards for Conversions'!$A$47:$A$73,0))))</f>
        <v/>
      </c>
      <c r="LJ19" s="31"/>
      <c r="LK19" s="31"/>
      <c r="LL19" s="31" t="str">
        <f>IF(LK19/(INDEX('Standards for Conversions'!$H$47:$H$73,MATCH(LJ$3,'Standards for Conversions'!$A$47:$A$73,0)))=0,"",LK19/(INDEX('Standards for Conversions'!$H$47:$H$73,MATCH(LJ$3,'Standards for Conversions'!$A$47:$A$73,0))))</f>
        <v/>
      </c>
      <c r="LM19" s="31"/>
      <c r="LN19" s="31"/>
      <c r="LO19" s="31" t="str">
        <f>IF(LN19/(INDEX('Standards for Conversions'!$H$47:$H$73,MATCH(LM$3,'Standards for Conversions'!$A$47:$A$73,0)))=0,"",LN19/(INDEX('Standards for Conversions'!$H$47:$H$73,MATCH(LM$3,'Standards for Conversions'!$A$47:$A$73,0))))</f>
        <v/>
      </c>
      <c r="LP19" s="31"/>
      <c r="LQ19" s="31"/>
      <c r="LR19" s="31" t="str">
        <f>IF(LQ19/(INDEX('Standards for Conversions'!$H$47:$H$73,MATCH(LP$3,'Standards for Conversions'!$A$47:$A$73,0)))=0,"",LQ19/(INDEX('Standards for Conversions'!$H$47:$H$73,MATCH(LP$3,'Standards for Conversions'!$A$47:$A$73,0))))</f>
        <v/>
      </c>
      <c r="LS19" s="31"/>
      <c r="LT19" s="31"/>
      <c r="LU19" s="31" t="str">
        <f>IF(LT19/(INDEX('Standards for Conversions'!$H$47:$H$73,MATCH(LS$3,'Standards for Conversions'!$A$47:$A$73,0)))=0,"",LT19/(INDEX('Standards for Conversions'!$H$47:$H$73,MATCH(LS$3,'Standards for Conversions'!$A$47:$A$73,0))))</f>
        <v/>
      </c>
      <c r="LV19" s="31"/>
      <c r="LW19" s="31"/>
      <c r="LX19" s="31" t="str">
        <f>IF(LW19/(INDEX('Standards for Conversions'!$H$47:$H$73,MATCH(LV$3,'Standards for Conversions'!$A$47:$A$73,0)))=0,"",LW19/(INDEX('Standards for Conversions'!$H$47:$H$73,MATCH(LV$3,'Standards for Conversions'!$A$47:$A$73,0))))</f>
        <v/>
      </c>
      <c r="LY19" s="31"/>
      <c r="LZ19" s="31"/>
      <c r="MA19" s="31"/>
      <c r="MB19" s="31"/>
      <c r="MC19" s="31"/>
      <c r="MD19" s="31"/>
      <c r="ME19" s="31"/>
      <c r="MF19" s="31"/>
      <c r="MG19" s="31"/>
      <c r="MH19" s="31"/>
      <c r="MI19" s="31"/>
      <c r="MJ19" s="31"/>
      <c r="MK19" s="31"/>
      <c r="ML19" s="31"/>
      <c r="MM19" s="31"/>
      <c r="MN19" s="31"/>
    </row>
    <row r="20" spans="1:352" s="33" customFormat="1" ht="14.4" customHeight="1" x14ac:dyDescent="0.3">
      <c r="A20" s="102" t="s">
        <v>69</v>
      </c>
      <c r="B20" s="10" t="s">
        <v>374</v>
      </c>
      <c r="C20" s="9"/>
      <c r="D20" s="9"/>
      <c r="E20" s="31"/>
      <c r="F20" s="9"/>
      <c r="G20" s="9"/>
      <c r="H20" s="31"/>
      <c r="I20" s="9">
        <v>660</v>
      </c>
      <c r="J20" s="9">
        <v>4500</v>
      </c>
      <c r="K20" s="31">
        <v>888.94003378378363</v>
      </c>
      <c r="L20" s="9"/>
      <c r="M20" s="9"/>
      <c r="N20" s="31"/>
      <c r="O20" s="31">
        <f t="shared" si="4"/>
        <v>660</v>
      </c>
      <c r="P20" s="31">
        <f t="shared" si="5"/>
        <v>4500</v>
      </c>
      <c r="Q20" s="31">
        <f>IF(P20/(INDEX('Standards for Conversions'!$H$34:$H$73,MATCH(O$3,'Standards for Conversions'!$A$34:$A$73,0)))=0,"",P20/(INDEX('Standards for Conversions'!$H$34:$H$73,MATCH(O$3,'Standards for Conversions'!$A$34:$A$73,0))))</f>
        <v>888.94003378378363</v>
      </c>
      <c r="R20" s="9"/>
      <c r="S20" s="9"/>
      <c r="T20" s="31"/>
      <c r="U20" s="9"/>
      <c r="V20" s="9"/>
      <c r="W20" s="31"/>
      <c r="X20" s="9">
        <v>500</v>
      </c>
      <c r="Y20" s="9">
        <v>3000</v>
      </c>
      <c r="Z20" s="31">
        <v>578.01745676544704</v>
      </c>
      <c r="AA20" s="9"/>
      <c r="AB20" s="9"/>
      <c r="AC20" s="31"/>
      <c r="AD20" s="31">
        <f t="shared" si="6"/>
        <v>500</v>
      </c>
      <c r="AE20" s="31">
        <f t="shared" si="7"/>
        <v>3000</v>
      </c>
      <c r="AF20" s="31">
        <f>IF(AE20/(INDEX('Standards for Conversions'!$H$34:$H$73,MATCH(AD$3,'Standards for Conversions'!$A$34:$A$73,0)))=0,"",AE20/(INDEX('Standards for Conversions'!$H$34:$H$73,MATCH(AD$3,'Standards for Conversions'!$A$34:$A$73,0))))</f>
        <v>578.01745676544704</v>
      </c>
      <c r="AG20" s="9"/>
      <c r="AH20" s="9"/>
      <c r="AI20" s="31"/>
      <c r="AJ20" s="9"/>
      <c r="AK20" s="9"/>
      <c r="AL20" s="31"/>
      <c r="AM20" s="9">
        <v>200</v>
      </c>
      <c r="AN20" s="9">
        <v>1400</v>
      </c>
      <c r="AO20" s="31">
        <v>250.17781205642939</v>
      </c>
      <c r="AP20" s="9"/>
      <c r="AQ20" s="9"/>
      <c r="AR20" s="31"/>
      <c r="AS20" s="31">
        <f t="shared" si="8"/>
        <v>200</v>
      </c>
      <c r="AT20" s="31">
        <f t="shared" si="9"/>
        <v>1400</v>
      </c>
      <c r="AU20" s="31">
        <f>IF(AT20/(INDEX('Standards for Conversions'!$H$34:$H$73,MATCH(AS$3,'Standards for Conversions'!$A$34:$A$73,0)))=0,"",AT20/(INDEX('Standards for Conversions'!$H$34:$H$73,MATCH(AS$3,'Standards for Conversions'!$A$34:$A$73,0))))</f>
        <v>250.17781205642939</v>
      </c>
      <c r="AV20" s="9"/>
      <c r="AW20" s="9"/>
      <c r="AX20" s="31"/>
      <c r="AY20" s="9"/>
      <c r="AZ20" s="9"/>
      <c r="BA20" s="31"/>
      <c r="BB20" s="9">
        <v>200</v>
      </c>
      <c r="BC20" s="9">
        <v>2000</v>
      </c>
      <c r="BD20" s="31">
        <v>371.37092277164624</v>
      </c>
      <c r="BE20" s="9"/>
      <c r="BF20" s="9"/>
      <c r="BG20" s="31"/>
      <c r="BH20" s="31">
        <f t="shared" si="10"/>
        <v>200</v>
      </c>
      <c r="BI20" s="31">
        <f t="shared" si="11"/>
        <v>2000</v>
      </c>
      <c r="BJ20" s="31">
        <f>IF(BI20/(INDEX('Standards for Conversions'!$H$34:$H$73,MATCH(BH$3,'Standards for Conversions'!$A$34:$A$73,0)))=0,"",BI20/(INDEX('Standards for Conversions'!$H$34:$H$73,MATCH(BH$3,'Standards for Conversions'!$A$34:$A$73,0))))</f>
        <v>371.37092277164624</v>
      </c>
      <c r="BK20" s="9"/>
      <c r="BL20" s="9"/>
      <c r="BM20" s="31"/>
      <c r="BN20" s="9"/>
      <c r="BO20" s="9"/>
      <c r="BP20" s="31"/>
      <c r="BQ20" s="9">
        <v>200</v>
      </c>
      <c r="BR20" s="9">
        <v>1400</v>
      </c>
      <c r="BS20" s="31">
        <v>249.28855443063637</v>
      </c>
      <c r="BT20" s="7"/>
      <c r="BU20" s="7"/>
      <c r="BV20" s="31"/>
      <c r="BW20" s="31">
        <f t="shared" si="12"/>
        <v>200</v>
      </c>
      <c r="BX20" s="31">
        <f t="shared" si="13"/>
        <v>1400</v>
      </c>
      <c r="BY20" s="31">
        <f>IF(BX20/(INDEX('Standards for Conversions'!$H$34:$H$73,MATCH(BW$3,'Standards for Conversions'!$A$34:$A$73,0)))=0,"",BX20/(INDEX('Standards for Conversions'!$H$34:$H$73,MATCH(BW$3,'Standards for Conversions'!$A$34:$A$73,0))))</f>
        <v>249.28855443063637</v>
      </c>
      <c r="BZ20" s="7"/>
      <c r="CA20" s="7"/>
      <c r="CB20" s="31"/>
      <c r="CC20" s="7"/>
      <c r="CD20" s="7"/>
      <c r="CE20" s="31"/>
      <c r="CF20" s="9"/>
      <c r="CG20" s="9"/>
      <c r="CH20" s="31"/>
      <c r="CI20" s="7"/>
      <c r="CJ20" s="7"/>
      <c r="CK20" s="31"/>
      <c r="CL20" s="31">
        <f t="shared" si="14"/>
        <v>0</v>
      </c>
      <c r="CM20" s="31">
        <f t="shared" si="15"/>
        <v>0</v>
      </c>
      <c r="CN20" s="31" t="str">
        <f>IF(CM20/(INDEX('Standards for Conversions'!$H$34:$H$73,MATCH(CL$3,'Standards for Conversions'!$A$34:$A$73,0)))=0,"",CM20/(INDEX('Standards for Conversions'!$H$34:$H$73,MATCH(CL$3,'Standards for Conversions'!$A$34:$A$73,0))))</f>
        <v/>
      </c>
      <c r="CO20" s="7"/>
      <c r="CP20" s="7"/>
      <c r="CQ20" s="31"/>
      <c r="CR20" s="7"/>
      <c r="CS20" s="7"/>
      <c r="CT20" s="31"/>
      <c r="CU20" s="9"/>
      <c r="CV20" s="9"/>
      <c r="CW20" s="31"/>
      <c r="CX20" s="7"/>
      <c r="CY20" s="7"/>
      <c r="CZ20" s="31"/>
      <c r="DA20" s="31">
        <f t="shared" si="16"/>
        <v>0</v>
      </c>
      <c r="DB20" s="31">
        <f t="shared" si="17"/>
        <v>0</v>
      </c>
      <c r="DC20" s="31" t="str">
        <f>IF(DB20/(INDEX('Standards for Conversions'!$H$34:$H$73,MATCH(DA$3,'Standards for Conversions'!$A$34:$A$73,0)))=0,"",DB20/(INDEX('Standards for Conversions'!$H$34:$H$73,MATCH(DA$3,'Standards for Conversions'!$A$34:$A$73,0))))</f>
        <v/>
      </c>
      <c r="DD20" s="7"/>
      <c r="DE20" s="7"/>
      <c r="DF20" s="31"/>
      <c r="DG20" s="7"/>
      <c r="DH20" s="7"/>
      <c r="DI20" s="31"/>
      <c r="DJ20" s="9"/>
      <c r="DK20" s="9"/>
      <c r="DL20" s="31"/>
      <c r="DM20" s="7"/>
      <c r="DN20" s="7"/>
      <c r="DO20" s="31"/>
      <c r="DP20" s="31">
        <f t="shared" si="18"/>
        <v>0</v>
      </c>
      <c r="DQ20" s="31">
        <f t="shared" si="19"/>
        <v>0</v>
      </c>
      <c r="DR20" s="31" t="str">
        <f>IF(DQ20/(INDEX('Standards for Conversions'!$H$34:$H$73,MATCH(DP$3,'Standards for Conversions'!$A$34:$A$73,0)))=0,"",DQ20/(INDEX('Standards for Conversions'!$H$34:$H$73,MATCH(DP$3,'Standards for Conversions'!$A$34:$A$73,0))))</f>
        <v/>
      </c>
      <c r="DS20" s="7"/>
      <c r="DT20" s="7"/>
      <c r="DU20" s="31"/>
      <c r="DV20" s="7"/>
      <c r="DW20" s="7"/>
      <c r="DX20" s="31"/>
      <c r="DY20" s="9"/>
      <c r="DZ20" s="9"/>
      <c r="EA20" s="31"/>
      <c r="EB20" s="7"/>
      <c r="EC20" s="7"/>
      <c r="ED20" s="31"/>
      <c r="EE20" s="31">
        <f t="shared" si="20"/>
        <v>0</v>
      </c>
      <c r="EF20" s="31">
        <f t="shared" si="21"/>
        <v>0</v>
      </c>
      <c r="EG20" s="31" t="str">
        <f>IF(EF20/(INDEX('Standards for Conversions'!$H$34:$H$73,MATCH(EE$3,'Standards for Conversions'!$A$34:$A$73,0)))=0,"",EF20/(INDEX('Standards for Conversions'!$H$34:$H$73,MATCH(EE$3,'Standards for Conversions'!$A$34:$A$73,0))))</f>
        <v/>
      </c>
      <c r="EH20" s="7"/>
      <c r="EI20" s="7"/>
      <c r="EJ20" s="31"/>
      <c r="EK20" s="7"/>
      <c r="EL20" s="7"/>
      <c r="EM20" s="31"/>
      <c r="EN20" s="9"/>
      <c r="EO20" s="9"/>
      <c r="EP20" s="31"/>
      <c r="EQ20" s="7"/>
      <c r="ER20" s="7"/>
      <c r="ES20" s="31"/>
      <c r="ET20" s="31">
        <f t="shared" si="22"/>
        <v>0</v>
      </c>
      <c r="EU20" s="31">
        <f t="shared" si="23"/>
        <v>0</v>
      </c>
      <c r="EV20" s="31" t="str">
        <f>IF(EU20/(INDEX('Standards for Conversions'!$H$34:$H$73,MATCH(ET$3,'Standards for Conversions'!$A$34:$A$73,0)))=0,"",EU20/(INDEX('Standards for Conversions'!$H$34:$H$73,MATCH(ET$3,'Standards for Conversions'!$A$34:$A$73,0))))</f>
        <v/>
      </c>
      <c r="EW20" s="7"/>
      <c r="EX20" s="7"/>
      <c r="EY20" s="31"/>
      <c r="EZ20" s="7"/>
      <c r="FA20" s="7"/>
      <c r="FB20" s="31"/>
      <c r="FC20" s="9"/>
      <c r="FD20" s="9"/>
      <c r="FE20" s="31"/>
      <c r="FF20" s="7"/>
      <c r="FG20" s="7"/>
      <c r="FH20" s="31"/>
      <c r="FI20" s="31">
        <f t="shared" si="24"/>
        <v>0</v>
      </c>
      <c r="FJ20" s="31">
        <f t="shared" si="25"/>
        <v>0</v>
      </c>
      <c r="FK20" s="31" t="str">
        <f>IF(FJ20/(INDEX('Standards for Conversions'!$H$34:$H$73,MATCH(FI$3,'Standards for Conversions'!$A$34:$A$73,0)))=0,"",FJ20/(INDEX('Standards for Conversions'!$H$34:$H$73,MATCH(FI$3,'Standards for Conversions'!$A$34:$A$73,0))))</f>
        <v/>
      </c>
      <c r="FL20" s="7"/>
      <c r="FM20" s="7"/>
      <c r="FN20" s="31"/>
      <c r="FO20" s="7"/>
      <c r="FP20" s="7"/>
      <c r="FQ20" s="31"/>
      <c r="FR20" s="9"/>
      <c r="FS20" s="9"/>
      <c r="FT20" s="31"/>
      <c r="FU20" s="7"/>
      <c r="FV20" s="7"/>
      <c r="FW20" s="31"/>
      <c r="FX20" s="31">
        <f t="shared" si="26"/>
        <v>0</v>
      </c>
      <c r="FY20" s="31">
        <f t="shared" si="27"/>
        <v>0</v>
      </c>
      <c r="FZ20" s="31" t="str">
        <f>IF(FY20/(INDEX('Standards for Conversions'!$H$34:$H$73,MATCH(FX$3,'Standards for Conversions'!$A$34:$A$73,0)))=0,"",FY20/(INDEX('Standards for Conversions'!$H$34:$H$73,MATCH(FX$3,'Standards for Conversions'!$A$34:$A$73,0))))</f>
        <v/>
      </c>
      <c r="GA20" s="7"/>
      <c r="GB20" s="7"/>
      <c r="GC20" s="31"/>
      <c r="GD20" s="7"/>
      <c r="GE20" s="7"/>
      <c r="GF20" s="31"/>
      <c r="GG20" s="9"/>
      <c r="GH20" s="9"/>
      <c r="GI20" s="31"/>
      <c r="GJ20" s="7"/>
      <c r="GK20" s="7"/>
      <c r="GL20" s="31"/>
      <c r="GM20" s="31">
        <f t="shared" si="28"/>
        <v>0</v>
      </c>
      <c r="GN20" s="31">
        <f t="shared" si="29"/>
        <v>0</v>
      </c>
      <c r="GO20" s="31" t="str">
        <f>IF(GN20/(INDEX('Standards for Conversions'!$H$34:$H$73,MATCH(GM$3,'Standards for Conversions'!$A$34:$A$73,0)))=0,"",GN20/(INDEX('Standards for Conversions'!$H$34:$H$73,MATCH(GM$3,'Standards for Conversions'!$A$34:$A$73,0))))</f>
        <v/>
      </c>
      <c r="GP20" s="7"/>
      <c r="GQ20" s="7"/>
      <c r="GR20" s="31"/>
      <c r="GS20" s="7"/>
      <c r="GT20" s="7"/>
      <c r="GU20" s="31"/>
      <c r="GV20" s="9"/>
      <c r="GW20" s="9"/>
      <c r="GX20" s="31"/>
      <c r="GY20" s="7"/>
      <c r="GZ20" s="7"/>
      <c r="HA20" s="31"/>
      <c r="HB20" s="31">
        <f t="shared" si="30"/>
        <v>0</v>
      </c>
      <c r="HC20" s="31">
        <f t="shared" si="31"/>
        <v>0</v>
      </c>
      <c r="HD20" s="31" t="str">
        <f>IF(HC20/(INDEX('Standards for Conversions'!$H$34:$H$73,MATCH(HB$3,'Standards for Conversions'!$A$34:$A$73,0)))=0,"",HC20/(INDEX('Standards for Conversions'!$H$34:$H$73,MATCH(HB$3,'Standards for Conversions'!$A$34:$A$73,0))))</f>
        <v/>
      </c>
      <c r="HE20" s="112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1"/>
      <c r="IV20" s="31"/>
      <c r="IW20" s="31"/>
      <c r="IX20" s="31"/>
      <c r="IY20" s="31"/>
      <c r="IZ20" s="31"/>
      <c r="JA20" s="31"/>
      <c r="JB20" s="31"/>
      <c r="JC20" s="31"/>
      <c r="JD20" s="31"/>
      <c r="JE20" s="31"/>
      <c r="JF20" s="31"/>
      <c r="JG20" s="31"/>
      <c r="JH20" s="31"/>
      <c r="JI20" s="31"/>
      <c r="JJ20" s="31"/>
      <c r="JK20" s="31"/>
      <c r="JL20" s="31"/>
      <c r="JM20" s="31"/>
      <c r="JN20" s="31"/>
      <c r="JO20" s="31"/>
      <c r="JP20" s="31"/>
      <c r="JQ20" s="31"/>
      <c r="JR20" s="31"/>
      <c r="JS20" s="31"/>
      <c r="JT20" s="31"/>
      <c r="JU20" s="31"/>
      <c r="JV20" s="31"/>
      <c r="JW20" s="31"/>
      <c r="JX20" s="31"/>
      <c r="JY20" s="31"/>
      <c r="JZ20" s="31"/>
      <c r="KA20" s="31"/>
      <c r="KB20" s="31"/>
      <c r="KC20" s="31"/>
      <c r="KD20" s="31"/>
      <c r="KE20" s="31"/>
      <c r="KF20" s="31"/>
      <c r="KG20" s="31"/>
      <c r="KH20" s="31"/>
      <c r="KI20" s="31"/>
      <c r="KJ20" s="31"/>
      <c r="KK20" s="31"/>
      <c r="KL20" s="31"/>
      <c r="KM20" s="31"/>
      <c r="KN20" s="31"/>
      <c r="KO20" s="31"/>
      <c r="KP20" s="31"/>
      <c r="KQ20" s="31"/>
      <c r="KR20" s="31"/>
      <c r="KS20" s="31"/>
      <c r="KT20" s="31"/>
      <c r="KU20" s="31"/>
      <c r="KV20" s="31"/>
      <c r="KW20" s="31"/>
      <c r="KX20" s="31"/>
      <c r="KY20" s="31"/>
      <c r="KZ20" s="31"/>
      <c r="LA20" s="31"/>
      <c r="LB20" s="31"/>
      <c r="LC20" s="31"/>
      <c r="LD20" s="31"/>
      <c r="LE20" s="31"/>
      <c r="LF20" s="31"/>
      <c r="LG20" s="31"/>
      <c r="LH20" s="31"/>
      <c r="LI20" s="31"/>
      <c r="LJ20" s="31"/>
      <c r="LK20" s="31"/>
      <c r="LL20" s="31"/>
      <c r="LM20" s="31"/>
      <c r="LN20" s="31"/>
      <c r="LO20" s="31"/>
      <c r="LP20" s="31"/>
      <c r="LQ20" s="31"/>
      <c r="LR20" s="31"/>
      <c r="LS20" s="31"/>
      <c r="LT20" s="31"/>
      <c r="LU20" s="31"/>
      <c r="LV20" s="31"/>
      <c r="LW20" s="31"/>
      <c r="LX20" s="31"/>
      <c r="LY20" s="31"/>
      <c r="LZ20" s="31"/>
      <c r="MA20" s="31"/>
      <c r="MB20" s="31"/>
      <c r="MC20" s="31"/>
      <c r="MD20" s="31"/>
      <c r="ME20" s="31"/>
      <c r="MF20" s="31"/>
      <c r="MG20" s="31"/>
      <c r="MH20" s="31"/>
      <c r="MI20" s="31"/>
      <c r="MJ20" s="31"/>
      <c r="MK20" s="31"/>
      <c r="ML20" s="31"/>
      <c r="MM20" s="31"/>
      <c r="MN20" s="31"/>
    </row>
    <row r="21" spans="1:352" s="33" customFormat="1" ht="16.2" customHeight="1" x14ac:dyDescent="0.3">
      <c r="A21" s="102" t="s">
        <v>157</v>
      </c>
      <c r="B21" s="10" t="s">
        <v>399</v>
      </c>
      <c r="C21" s="9"/>
      <c r="D21" s="9"/>
      <c r="E21" s="31"/>
      <c r="F21" s="9"/>
      <c r="G21" s="9"/>
      <c r="H21" s="31" t="s">
        <v>128</v>
      </c>
      <c r="I21" s="9"/>
      <c r="J21" s="9"/>
      <c r="K21" s="31"/>
      <c r="L21" s="9"/>
      <c r="M21" s="9"/>
      <c r="N21" s="31" t="s">
        <v>128</v>
      </c>
      <c r="O21" s="31">
        <f t="shared" si="4"/>
        <v>0</v>
      </c>
      <c r="P21" s="31">
        <f t="shared" si="5"/>
        <v>0</v>
      </c>
      <c r="Q21" s="31" t="str">
        <f>IF(P21/(INDEX('Standards for Conversions'!$H$34:$H$73,MATCH(O$3,'Standards for Conversions'!$A$34:$A$73,0)))=0,"",P21/(INDEX('Standards for Conversions'!$H$34:$H$73,MATCH(O$3,'Standards for Conversions'!$A$34:$A$73,0))))</f>
        <v/>
      </c>
      <c r="R21" s="9"/>
      <c r="S21" s="9"/>
      <c r="T21" s="31"/>
      <c r="U21" s="9"/>
      <c r="V21" s="9"/>
      <c r="W21" s="31"/>
      <c r="X21" s="9"/>
      <c r="Y21" s="9"/>
      <c r="Z21" s="31"/>
      <c r="AA21" s="9"/>
      <c r="AB21" s="9"/>
      <c r="AC21" s="31"/>
      <c r="AD21" s="31">
        <f t="shared" si="6"/>
        <v>0</v>
      </c>
      <c r="AE21" s="31">
        <f t="shared" si="7"/>
        <v>0</v>
      </c>
      <c r="AF21" s="31" t="str">
        <f>IF(AE21/(INDEX('Standards for Conversions'!$H$34:$H$73,MATCH(AD$3,'Standards for Conversions'!$A$34:$A$73,0)))=0,"",AE21/(INDEX('Standards for Conversions'!$H$34:$H$73,MATCH(AD$3,'Standards for Conversions'!$A$34:$A$73,0))))</f>
        <v/>
      </c>
      <c r="AG21" s="9"/>
      <c r="AH21" s="9"/>
      <c r="AI21" s="31"/>
      <c r="AJ21" s="9"/>
      <c r="AK21" s="9"/>
      <c r="AL21" s="31"/>
      <c r="AM21" s="9"/>
      <c r="AN21" s="9"/>
      <c r="AO21" s="31"/>
      <c r="AP21" s="9"/>
      <c r="AQ21" s="9"/>
      <c r="AR21" s="31"/>
      <c r="AS21" s="31">
        <f t="shared" si="8"/>
        <v>0</v>
      </c>
      <c r="AT21" s="31">
        <f t="shared" si="9"/>
        <v>0</v>
      </c>
      <c r="AU21" s="31" t="str">
        <f>IF(AT21/(INDEX('Standards for Conversions'!$H$34:$H$73,MATCH(AS$3,'Standards for Conversions'!$A$34:$A$73,0)))=0,"",AT21/(INDEX('Standards for Conversions'!$H$34:$H$73,MATCH(AS$3,'Standards for Conversions'!$A$34:$A$73,0))))</f>
        <v/>
      </c>
      <c r="AV21" s="9"/>
      <c r="AW21" s="9"/>
      <c r="AX21" s="31"/>
      <c r="AY21" s="9"/>
      <c r="AZ21" s="9"/>
      <c r="BA21" s="31"/>
      <c r="BB21" s="9"/>
      <c r="BC21" s="9"/>
      <c r="BD21" s="31"/>
      <c r="BE21" s="9"/>
      <c r="BF21" s="9"/>
      <c r="BG21" s="31"/>
      <c r="BH21" s="31">
        <f t="shared" si="10"/>
        <v>0</v>
      </c>
      <c r="BI21" s="31">
        <f t="shared" si="11"/>
        <v>0</v>
      </c>
      <c r="BJ21" s="31" t="str">
        <f>IF(BI21/(INDEX('Standards for Conversions'!$H$34:$H$73,MATCH(BH$3,'Standards for Conversions'!$A$34:$A$73,0)))=0,"",BI21/(INDEX('Standards for Conversions'!$H$34:$H$73,MATCH(BH$3,'Standards for Conversions'!$A$34:$A$73,0))))</f>
        <v/>
      </c>
      <c r="BK21" s="9"/>
      <c r="BL21" s="9"/>
      <c r="BM21" s="31"/>
      <c r="BN21" s="9"/>
      <c r="BO21" s="9"/>
      <c r="BP21" s="31"/>
      <c r="BQ21" s="9"/>
      <c r="BR21" s="9"/>
      <c r="BS21" s="31"/>
      <c r="BT21" s="7"/>
      <c r="BU21" s="7"/>
      <c r="BV21" s="31"/>
      <c r="BW21" s="31">
        <f t="shared" si="12"/>
        <v>0</v>
      </c>
      <c r="BX21" s="31">
        <f t="shared" si="13"/>
        <v>0</v>
      </c>
      <c r="BY21" s="31" t="str">
        <f>IF(BX21/(INDEX('Standards for Conversions'!$H$34:$H$73,MATCH(BW$3,'Standards for Conversions'!$A$34:$A$73,0)))=0,"",BX21/(INDEX('Standards for Conversions'!$H$34:$H$73,MATCH(BW$3,'Standards for Conversions'!$A$34:$A$73,0))))</f>
        <v/>
      </c>
      <c r="BZ21" s="7"/>
      <c r="CA21" s="7"/>
      <c r="CB21" s="31"/>
      <c r="CC21" s="7"/>
      <c r="CD21" s="7"/>
      <c r="CE21" s="31"/>
      <c r="CI21" s="7"/>
      <c r="CJ21" s="7"/>
      <c r="CK21" s="31" t="s">
        <v>128</v>
      </c>
      <c r="CL21" s="31">
        <f t="shared" si="14"/>
        <v>0</v>
      </c>
      <c r="CM21" s="31">
        <f t="shared" si="15"/>
        <v>0</v>
      </c>
      <c r="CN21" s="31" t="str">
        <f>IF(CM21/(INDEX('Standards for Conversions'!$H$34:$H$73,MATCH(CL$3,'Standards for Conversions'!$A$34:$A$73,0)))=0,"",CM21/(INDEX('Standards for Conversions'!$H$34:$H$73,MATCH(CL$3,'Standards for Conversions'!$A$34:$A$73,0))))</f>
        <v/>
      </c>
      <c r="CO21" s="7"/>
      <c r="CP21" s="7"/>
      <c r="CQ21" s="31" t="s">
        <v>128</v>
      </c>
      <c r="CR21" s="7"/>
      <c r="CS21" s="7"/>
      <c r="CT21" s="31" t="s">
        <v>128</v>
      </c>
      <c r="CU21" s="9"/>
      <c r="CV21" s="9"/>
      <c r="CW21" s="31" t="s">
        <v>128</v>
      </c>
      <c r="CX21" s="7"/>
      <c r="CY21" s="7"/>
      <c r="CZ21" s="31" t="s">
        <v>128</v>
      </c>
      <c r="DA21" s="31">
        <f t="shared" si="16"/>
        <v>0</v>
      </c>
      <c r="DB21" s="31">
        <f t="shared" si="17"/>
        <v>0</v>
      </c>
      <c r="DC21" s="31" t="str">
        <f>IF(DB21/(INDEX('Standards for Conversions'!$H$34:$H$73,MATCH(DA$3,'Standards for Conversions'!$A$34:$A$73,0)))=0,"",DB21/(INDEX('Standards for Conversions'!$H$34:$H$73,MATCH(DA$3,'Standards for Conversions'!$A$34:$A$73,0))))</f>
        <v/>
      </c>
      <c r="DD21" s="7"/>
      <c r="DE21" s="7"/>
      <c r="DF21" s="31" t="s">
        <v>128</v>
      </c>
      <c r="DG21" s="7"/>
      <c r="DH21" s="7"/>
      <c r="DI21" s="31" t="s">
        <v>128</v>
      </c>
      <c r="DJ21" s="9">
        <v>1141</v>
      </c>
      <c r="DK21" s="9">
        <v>1400</v>
      </c>
      <c r="DL21" s="31">
        <v>245.13868551026911</v>
      </c>
      <c r="DM21" s="7"/>
      <c r="DN21" s="7"/>
      <c r="DO21" s="31" t="s">
        <v>128</v>
      </c>
      <c r="DP21" s="31">
        <f t="shared" si="18"/>
        <v>1141</v>
      </c>
      <c r="DQ21" s="31">
        <f t="shared" si="19"/>
        <v>1400</v>
      </c>
      <c r="DR21" s="31">
        <f>IF(DQ21/(INDEX('Standards for Conversions'!$H$34:$H$73,MATCH(DP$3,'Standards for Conversions'!$A$34:$A$73,0)))=0,"",DQ21/(INDEX('Standards for Conversions'!$H$34:$H$73,MATCH(DP$3,'Standards for Conversions'!$A$34:$A$73,0))))</f>
        <v>245.13868551026911</v>
      </c>
      <c r="DS21" s="7"/>
      <c r="DT21" s="7"/>
      <c r="DU21" s="31" t="s">
        <v>128</v>
      </c>
      <c r="DV21" s="7"/>
      <c r="DW21" s="7"/>
      <c r="DX21" s="31" t="s">
        <v>128</v>
      </c>
      <c r="DY21" s="9">
        <v>506.92999999999995</v>
      </c>
      <c r="DZ21" s="9">
        <v>830</v>
      </c>
      <c r="EA21" s="31">
        <v>145.15648645027662</v>
      </c>
      <c r="EB21" s="7"/>
      <c r="EC21" s="7"/>
      <c r="ED21" s="31" t="s">
        <v>128</v>
      </c>
      <c r="EE21" s="31">
        <f t="shared" si="20"/>
        <v>506.92999999999995</v>
      </c>
      <c r="EF21" s="31">
        <f t="shared" si="21"/>
        <v>830</v>
      </c>
      <c r="EG21" s="31">
        <f>IF(EF21/(INDEX('Standards for Conversions'!$H$34:$H$73,MATCH(EE$3,'Standards for Conversions'!$A$34:$A$73,0)))=0,"",EF21/(INDEX('Standards for Conversions'!$H$34:$H$73,MATCH(EE$3,'Standards for Conversions'!$A$34:$A$73,0))))</f>
        <v>145.15648645027662</v>
      </c>
      <c r="EH21" s="7"/>
      <c r="EI21" s="7"/>
      <c r="EJ21" s="31" t="s">
        <v>128</v>
      </c>
      <c r="EK21" s="7"/>
      <c r="EL21" s="7"/>
      <c r="EM21" s="31" t="s">
        <v>128</v>
      </c>
      <c r="EN21" s="9">
        <v>1377.35</v>
      </c>
      <c r="EO21" s="9">
        <v>2515</v>
      </c>
      <c r="EP21" s="31">
        <v>430.78921177507885</v>
      </c>
      <c r="EQ21" s="7"/>
      <c r="ER21" s="7"/>
      <c r="ES21" s="31" t="s">
        <v>128</v>
      </c>
      <c r="ET21" s="31">
        <f t="shared" si="22"/>
        <v>1377.35</v>
      </c>
      <c r="EU21" s="31">
        <f t="shared" si="23"/>
        <v>2515</v>
      </c>
      <c r="EV21" s="31">
        <f>IF(EU21/(INDEX('Standards for Conversions'!$H$34:$H$73,MATCH(ET$3,'Standards for Conversions'!$A$34:$A$73,0)))=0,"",EU21/(INDEX('Standards for Conversions'!$H$34:$H$73,MATCH(ET$3,'Standards for Conversions'!$A$34:$A$73,0))))</f>
        <v>430.78921177507885</v>
      </c>
      <c r="EW21" s="7"/>
      <c r="EX21" s="7"/>
      <c r="EY21" s="31" t="s">
        <v>128</v>
      </c>
      <c r="EZ21" s="7"/>
      <c r="FA21" s="7"/>
      <c r="FB21" s="31" t="s">
        <v>128</v>
      </c>
      <c r="FC21" s="9">
        <v>1467</v>
      </c>
      <c r="FD21" s="9">
        <v>2700</v>
      </c>
      <c r="FE21" s="31">
        <v>463.0491494307812</v>
      </c>
      <c r="FF21" s="7"/>
      <c r="FG21" s="7"/>
      <c r="FH21" s="31" t="s">
        <v>128</v>
      </c>
      <c r="FI21" s="31">
        <f t="shared" si="24"/>
        <v>1467</v>
      </c>
      <c r="FJ21" s="31">
        <f t="shared" si="25"/>
        <v>2700</v>
      </c>
      <c r="FK21" s="31">
        <f>IF(FJ21/(INDEX('Standards for Conversions'!$H$34:$H$73,MATCH(FI$3,'Standards for Conversions'!$A$34:$A$73,0)))=0,"",FJ21/(INDEX('Standards for Conversions'!$H$34:$H$73,MATCH(FI$3,'Standards for Conversions'!$A$34:$A$73,0))))</f>
        <v>463.0491494307812</v>
      </c>
      <c r="FL21" s="7"/>
      <c r="FM21" s="7"/>
      <c r="FN21" s="31" t="s">
        <v>128</v>
      </c>
      <c r="FO21" s="7"/>
      <c r="FP21" s="7"/>
      <c r="FQ21" s="31" t="s">
        <v>128</v>
      </c>
      <c r="FR21" s="9">
        <v>407.5</v>
      </c>
      <c r="FS21" s="9">
        <v>750</v>
      </c>
      <c r="FT21" s="31">
        <v>123.38449557877813</v>
      </c>
      <c r="FU21" s="7"/>
      <c r="FV21" s="7"/>
      <c r="FW21" s="31" t="s">
        <v>128</v>
      </c>
      <c r="FX21" s="31">
        <f t="shared" si="26"/>
        <v>407.5</v>
      </c>
      <c r="FY21" s="31">
        <f t="shared" si="27"/>
        <v>750</v>
      </c>
      <c r="FZ21" s="31">
        <f>IF(FY21/(INDEX('Standards for Conversions'!$H$34:$H$73,MATCH(FX$3,'Standards for Conversions'!$A$34:$A$73,0)))=0,"",FY21/(INDEX('Standards for Conversions'!$H$34:$H$73,MATCH(FX$3,'Standards for Conversions'!$A$34:$A$73,0))))</f>
        <v>123.38449557877813</v>
      </c>
      <c r="GA21" s="7"/>
      <c r="GB21" s="7"/>
      <c r="GC21" s="31" t="s">
        <v>128</v>
      </c>
      <c r="GD21" s="7"/>
      <c r="GE21" s="7"/>
      <c r="GF21" s="31" t="s">
        <v>128</v>
      </c>
      <c r="GG21" s="9">
        <v>203.75</v>
      </c>
      <c r="GH21" s="9">
        <v>500</v>
      </c>
      <c r="GI21" s="31">
        <v>76.857266229251763</v>
      </c>
      <c r="GJ21" s="7"/>
      <c r="GK21" s="7"/>
      <c r="GL21" s="31" t="s">
        <v>128</v>
      </c>
      <c r="GM21" s="31">
        <f t="shared" si="28"/>
        <v>203.75</v>
      </c>
      <c r="GN21" s="31">
        <f t="shared" si="29"/>
        <v>500</v>
      </c>
      <c r="GO21" s="31">
        <f>IF(GN21/(INDEX('Standards for Conversions'!$H$34:$H$73,MATCH(GM$3,'Standards for Conversions'!$A$34:$A$73,0)))=0,"",GN21/(INDEX('Standards for Conversions'!$H$34:$H$73,MATCH(GM$3,'Standards for Conversions'!$A$34:$A$73,0))))</f>
        <v>76.857266229251763</v>
      </c>
      <c r="GP21" s="7"/>
      <c r="GQ21" s="7"/>
      <c r="GR21" s="31" t="s">
        <v>128</v>
      </c>
      <c r="GS21" s="7"/>
      <c r="GT21" s="7"/>
      <c r="GU21" s="31" t="s">
        <v>128</v>
      </c>
      <c r="GV21" s="9">
        <v>488.99999999999994</v>
      </c>
      <c r="GW21" s="9">
        <v>600</v>
      </c>
      <c r="GX21" s="31">
        <v>90.831314634570248</v>
      </c>
      <c r="GY21" s="7"/>
      <c r="GZ21" s="7"/>
      <c r="HA21" s="31" t="s">
        <v>128</v>
      </c>
      <c r="HB21" s="31">
        <f t="shared" si="30"/>
        <v>488.99999999999994</v>
      </c>
      <c r="HC21" s="31">
        <f t="shared" si="31"/>
        <v>600</v>
      </c>
      <c r="HD21" s="31">
        <f>IF(HC21/(INDEX('Standards for Conversions'!$H$34:$H$73,MATCH(HB$3,'Standards for Conversions'!$A$34:$A$73,0)))=0,"",HC21/(INDEX('Standards for Conversions'!$H$34:$H$73,MATCH(HB$3,'Standards for Conversions'!$A$34:$A$73,0))))</f>
        <v>90.831314634570248</v>
      </c>
      <c r="HE21" s="112" t="s">
        <v>98</v>
      </c>
      <c r="HF21" s="31"/>
      <c r="HG21" s="31"/>
      <c r="HH21" s="31" t="str">
        <f>IF(HG21/(INDEX('Standards for Conversions'!$H$47:$H$73,MATCH(HF$3,'Standards for Conversions'!$A$47:$A$73,0)))=0,"",HG21/(INDEX('Standards for Conversions'!$H$47:$H$73,MATCH(HF$3,'Standards for Conversions'!$A$47:$A$73,0))))</f>
        <v/>
      </c>
      <c r="HI21" s="31"/>
      <c r="HJ21" s="31"/>
      <c r="HK21" s="31" t="str">
        <f>IF(HJ21/(INDEX('Standards for Conversions'!$H$47:$H$73,MATCH(HI$3,'Standards for Conversions'!$A$47:$A$73,0)))=0,"",HJ21/(INDEX('Standards for Conversions'!$H$47:$H$73,MATCH(HI$3,'Standards for Conversions'!$A$47:$A$73,0))))</f>
        <v/>
      </c>
      <c r="HL21" s="31">
        <v>650</v>
      </c>
      <c r="HM21" s="31">
        <v>800</v>
      </c>
      <c r="HN21" s="31">
        <f>IF(HM21/(INDEX('Standards for Conversions'!$H$47:$H$73,MATCH(HL$3,'Standards for Conversions'!$A$47:$A$73,0)))=0,"",HM21/(INDEX('Standards for Conversions'!$H$47:$H$73,MATCH(HL$3,'Standards for Conversions'!$A$47:$A$73,0))))</f>
        <v>116.19632977028476</v>
      </c>
      <c r="HO21" s="31"/>
      <c r="HP21" s="31"/>
      <c r="HQ21" s="31" t="str">
        <f>IF(HP21/(INDEX('Standards for Conversions'!$H$47:$H$73,MATCH(HO$3,'Standards for Conversions'!$A$47:$A$73,0)))=0,"",HP21/(INDEX('Standards for Conversions'!$H$47:$H$73,MATCH(HO$3,'Standards for Conversions'!$A$47:$A$73,0))))</f>
        <v/>
      </c>
      <c r="HR21" s="31">
        <f t="shared" si="39"/>
        <v>650</v>
      </c>
      <c r="HS21" s="31">
        <f t="shared" si="39"/>
        <v>800</v>
      </c>
      <c r="HT21" s="31">
        <f>IF(HS21/(INDEX('Standards for Conversions'!$H$47:$H$73,MATCH(HR$3,'Standards for Conversions'!$A$47:$A$73,0)))=0,"",HS21/(INDEX('Standards for Conversions'!$H$47:$H$73,MATCH(HR$3,'Standards for Conversions'!$A$47:$A$73,0))))</f>
        <v>116.19632977028476</v>
      </c>
      <c r="HU21" s="31"/>
      <c r="HV21" s="31"/>
      <c r="HW21" s="31" t="str">
        <f>IF(HV21/(INDEX('Standards for Conversions'!$H$47:$H$73,MATCH(HU$3,'Standards for Conversions'!$A$47:$A$73,0)))=0,"",HV21/(INDEX('Standards for Conversions'!$H$47:$H$73,MATCH(HU$3,'Standards for Conversions'!$A$47:$A$73,0))))</f>
        <v/>
      </c>
      <c r="HX21" s="31"/>
      <c r="HY21" s="31"/>
      <c r="HZ21" s="31" t="str">
        <f>IF(HY21/(INDEX('Standards for Conversions'!$H$47:$H$73,MATCH(HX$3,'Standards for Conversions'!$A$47:$A$73,0)))=0,"",HY21/(INDEX('Standards for Conversions'!$H$47:$H$73,MATCH(HX$3,'Standards for Conversions'!$A$47:$A$73,0))))</f>
        <v/>
      </c>
      <c r="IA21" s="31">
        <v>719.875</v>
      </c>
      <c r="IB21" s="31">
        <v>2161</v>
      </c>
      <c r="IC21" s="31">
        <f>IF(IB21/(INDEX('Standards for Conversions'!$H$47:$H$73,MATCH(IA$3,'Standards for Conversions'!$A$47:$A$73,0)))=0,"",IB21/(INDEX('Standards for Conversions'!$H$47:$H$73,MATCH(IA$3,'Standards for Conversions'!$A$47:$A$73,0))))</f>
        <v>312.50270312816832</v>
      </c>
      <c r="ID21" s="31"/>
      <c r="IE21" s="31"/>
      <c r="IF21" s="31" t="str">
        <f>IF(IE21/(INDEX('Standards for Conversions'!$H$47:$H$73,MATCH(ID$3,'Standards for Conversions'!$A$47:$A$73,0)))=0,"",IE21/(INDEX('Standards for Conversions'!$H$47:$H$73,MATCH(ID$3,'Standards for Conversions'!$A$47:$A$73,0))))</f>
        <v/>
      </c>
      <c r="IG21" s="31">
        <f t="shared" si="33"/>
        <v>719.875</v>
      </c>
      <c r="IH21" s="31">
        <f t="shared" si="34"/>
        <v>2161</v>
      </c>
      <c r="II21" s="31">
        <f>IF(IH21/(INDEX('Standards for Conversions'!$H$47:$H$73,MATCH(IG$3,'Standards for Conversions'!$A$47:$A$73,0)))=0,"",IH21/(INDEX('Standards for Conversions'!$H$47:$H$73,MATCH(IG$3,'Standards for Conversions'!$A$47:$A$73,0))))</f>
        <v>312.50270312816832</v>
      </c>
      <c r="IJ21" s="31"/>
      <c r="IK21" s="31"/>
      <c r="IL21" s="31" t="str">
        <f>IF(IK21/(INDEX('Standards for Conversions'!$H$47:$H$73,MATCH(IJ$3,'Standards for Conversions'!$A$47:$A$73,0)))=0,"",IK21/(INDEX('Standards for Conversions'!$H$47:$H$73,MATCH(IJ$3,'Standards for Conversions'!$A$47:$A$73,0))))</f>
        <v/>
      </c>
      <c r="IM21" s="31"/>
      <c r="IN21" s="31"/>
      <c r="IO21" s="31" t="str">
        <f>IF(IN21/(INDEX('Standards for Conversions'!$H$47:$H$73,MATCH(IM$3,'Standards for Conversions'!$A$47:$A$73,0)))=0,"",IN21/(INDEX('Standards for Conversions'!$H$47:$H$73,MATCH(IM$3,'Standards for Conversions'!$A$47:$A$73,0))))</f>
        <v/>
      </c>
      <c r="IP21" s="31">
        <v>812.5</v>
      </c>
      <c r="IQ21" s="31">
        <v>1700</v>
      </c>
      <c r="IR21" s="31">
        <f>IF(IQ21/(INDEX('Standards for Conversions'!$H$47:$H$73,MATCH(IP$3,'Standards for Conversions'!$A$47:$A$73,0)))=0,"",IQ21/(INDEX('Standards for Conversions'!$H$47:$H$73,MATCH(IP$3,'Standards for Conversions'!$A$47:$A$73,0))))</f>
        <v>274.99233437617676</v>
      </c>
      <c r="IS21" s="31"/>
      <c r="IT21" s="31"/>
      <c r="IU21" s="31" t="str">
        <f>IF(IT21/(INDEX('Standards for Conversions'!$H$47:$H$73,MATCH(IS$3,'Standards for Conversions'!$A$47:$A$73,0)))=0,"",IT21/(INDEX('Standards for Conversions'!$H$47:$H$73,MATCH(IS$3,'Standards for Conversions'!$A$47:$A$73,0))))</f>
        <v/>
      </c>
      <c r="IV21" s="31">
        <f t="shared" si="35"/>
        <v>812.5</v>
      </c>
      <c r="IW21" s="31">
        <f t="shared" si="35"/>
        <v>1700</v>
      </c>
      <c r="IX21" s="31">
        <f>IF(IW21/(INDEX('Standards for Conversions'!$H$47:$H$73,MATCH(IV$3,'Standards for Conversions'!$A$47:$A$73,0)))=0,"",IW21/(INDEX('Standards for Conversions'!$H$47:$H$73,MATCH(IV$3,'Standards for Conversions'!$A$47:$A$73,0))))</f>
        <v>274.99233437617676</v>
      </c>
      <c r="IY21" s="31"/>
      <c r="IZ21" s="31"/>
      <c r="JA21" s="31" t="str">
        <f>IF(IZ21/(INDEX('Standards for Conversions'!$H$47:$H$73,MATCH(IY$3,'Standards for Conversions'!$A$47:$A$73,0)))=0,"",IZ21/(INDEX('Standards for Conversions'!$H$47:$H$73,MATCH(IY$3,'Standards for Conversions'!$A$47:$A$73,0))))</f>
        <v/>
      </c>
      <c r="JB21" s="31"/>
      <c r="JC21" s="31"/>
      <c r="JD21" s="31" t="str">
        <f>IF(JC21/(INDEX('Standards for Conversions'!$H$47:$H$73,MATCH(JB$3,'Standards for Conversions'!$A$47:$A$73,0)))=0,"",JC21/(INDEX('Standards for Conversions'!$H$47:$H$73,MATCH(JB$3,'Standards for Conversions'!$A$47:$A$73,0))))</f>
        <v/>
      </c>
      <c r="JE21" s="31">
        <v>650</v>
      </c>
      <c r="JF21" s="31">
        <v>1500</v>
      </c>
      <c r="JG21" s="31">
        <f>IF(JF21/(INDEX('Standards for Conversions'!$H$47:$H$73,MATCH(JE$3,'Standards for Conversions'!$A$47:$A$73,0)))=0,"",JF21/(INDEX('Standards for Conversions'!$H$47:$H$73,MATCH(JE$3,'Standards for Conversions'!$A$47:$A$73,0))))</f>
        <v>228.98383864169634</v>
      </c>
      <c r="JH21" s="31"/>
      <c r="JI21" s="31"/>
      <c r="JJ21" s="31" t="str">
        <f>IF(JI21/(INDEX('Standards for Conversions'!$H$47:$H$73,MATCH(JH$3,'Standards for Conversions'!$A$47:$A$73,0)))=0,"",JI21/(INDEX('Standards for Conversions'!$H$47:$H$73,MATCH(JH$3,'Standards for Conversions'!$A$47:$A$73,0))))</f>
        <v/>
      </c>
      <c r="JK21" s="31">
        <f t="shared" si="40"/>
        <v>650</v>
      </c>
      <c r="JL21" s="31">
        <f t="shared" si="40"/>
        <v>1500</v>
      </c>
      <c r="JM21" s="31">
        <f>IF(JL21/(INDEX('Standards for Conversions'!$H$47:$H$73,MATCH(JK$3,'Standards for Conversions'!$A$47:$A$73,0)))=0,"",JL21/(INDEX('Standards for Conversions'!$H$47:$H$73,MATCH(JK$3,'Standards for Conversions'!$A$47:$A$73,0))))</f>
        <v>228.98383864169634</v>
      </c>
      <c r="JN21" s="31"/>
      <c r="JO21" s="31"/>
      <c r="JP21" s="31" t="str">
        <f>IF(JO21/(INDEX('Standards for Conversions'!$H$47:$H$73,MATCH(JN$3,'Standards for Conversions'!$A$47:$A$73,0)))=0,"",JO21/(INDEX('Standards for Conversions'!$H$47:$H$73,MATCH(JN$3,'Standards for Conversions'!$A$47:$A$73,0))))</f>
        <v/>
      </c>
      <c r="JQ21" s="31"/>
      <c r="JR21" s="31"/>
      <c r="JS21" s="31" t="str">
        <f>IF(JR21/(INDEX('Standards for Conversions'!$H$47:$H$73,MATCH(JQ$3,'Standards for Conversions'!$A$47:$A$73,0)))=0,"",JR21/(INDEX('Standards for Conversions'!$H$47:$H$73,MATCH(JQ$3,'Standards for Conversions'!$A$47:$A$73,0))))</f>
        <v/>
      </c>
      <c r="JT21" s="31">
        <v>682.5</v>
      </c>
      <c r="JU21" s="31">
        <v>1600</v>
      </c>
      <c r="JV21" s="31">
        <f>IF(JU21/(INDEX('Standards for Conversions'!$H$47:$H$73,MATCH(JT$3,'Standards for Conversions'!$A$47:$A$73,0)))=0,"",JU21/(INDEX('Standards for Conversions'!$H$47:$H$73,MATCH(JT$3,'Standards for Conversions'!$A$47:$A$73,0))))</f>
        <v>215.45441904927435</v>
      </c>
      <c r="JW21" s="31"/>
      <c r="JX21" s="31"/>
      <c r="JY21" s="31" t="str">
        <f>IF(JX21/(INDEX('Standards for Conversions'!$H$47:$H$73,MATCH(JW$3,'Standards for Conversions'!$A$47:$A$73,0)))=0,"",JX21/(INDEX('Standards for Conversions'!$H$47:$H$73,MATCH(JW$3,'Standards for Conversions'!$A$47:$A$73,0))))</f>
        <v/>
      </c>
      <c r="JZ21" s="31">
        <f t="shared" si="41"/>
        <v>682.5</v>
      </c>
      <c r="KA21" s="31">
        <f t="shared" si="41"/>
        <v>1600</v>
      </c>
      <c r="KB21" s="31">
        <f>IF(KA21/(INDEX('Standards for Conversions'!$H$47:$H$73,MATCH(JZ$3,'Standards for Conversions'!$A$47:$A$73,0)))=0,"",KA21/(INDEX('Standards for Conversions'!$H$47:$H$73,MATCH(JZ$3,'Standards for Conversions'!$A$47:$A$73,0))))</f>
        <v>215.45441904927435</v>
      </c>
      <c r="KC21" s="31"/>
      <c r="KD21" s="31"/>
      <c r="KE21" s="31" t="str">
        <f>IF(KD21/(INDEX('Standards for Conversions'!$H$47:$H$73,MATCH(KC$3,'Standards for Conversions'!$A$47:$A$73,0)))=0,"",KD21/(INDEX('Standards for Conversions'!$H$47:$H$73,MATCH(KC$3,'Standards for Conversions'!$A$47:$A$73,0))))</f>
        <v/>
      </c>
      <c r="KF21" s="31"/>
      <c r="KG21" s="31"/>
      <c r="KH21" s="31" t="str">
        <f>IF(KG21/(INDEX('Standards for Conversions'!$H$47:$H$73,MATCH(KF$3,'Standards for Conversions'!$A$47:$A$73,0)))=0,"",KG21/(INDEX('Standards for Conversions'!$H$47:$H$73,MATCH(KF$3,'Standards for Conversions'!$A$47:$A$73,0))))</f>
        <v/>
      </c>
      <c r="KI21" s="31">
        <v>684.125</v>
      </c>
      <c r="KJ21" s="31">
        <v>1250</v>
      </c>
      <c r="KK21" s="31">
        <f>IF(KJ21/(INDEX('Standards for Conversions'!$H$47:$H$73,MATCH(KI$3,'Standards for Conversions'!$A$47:$A$73,0)))=0,"",KJ21/(INDEX('Standards for Conversions'!$H$47:$H$73,MATCH(KI$3,'Standards for Conversions'!$A$47:$A$73,0))))</f>
        <v>152.02070840937398</v>
      </c>
      <c r="KL21" s="31"/>
      <c r="KM21" s="31"/>
      <c r="KN21" s="31" t="str">
        <f>IF(KM21/(INDEX('Standards for Conversions'!$H$47:$H$73,MATCH(KL$3,'Standards for Conversions'!$A$47:$A$73,0)))=0,"",KM21/(INDEX('Standards for Conversions'!$H$47:$H$73,MATCH(KL$3,'Standards for Conversions'!$A$47:$A$73,0))))</f>
        <v/>
      </c>
      <c r="KO21" s="31">
        <f t="shared" si="42"/>
        <v>684.125</v>
      </c>
      <c r="KP21" s="31">
        <f t="shared" si="42"/>
        <v>1250</v>
      </c>
      <c r="KQ21" s="31">
        <f>IF(KP21/(INDEX('Standards for Conversions'!$H$47:$H$73,MATCH(KO$3,'Standards for Conversions'!$A$47:$A$73,0)))=0,"",KP21/(INDEX('Standards for Conversions'!$H$47:$H$73,MATCH(KO$3,'Standards for Conversions'!$A$47:$A$73,0))))</f>
        <v>152.02070840937398</v>
      </c>
      <c r="KR21" s="31"/>
      <c r="KS21" s="31"/>
      <c r="KT21" s="31" t="str">
        <f>IF(KS21/(INDEX('Standards for Conversions'!$H$47:$H$73,MATCH(KR$3,'Standards for Conversions'!$A$47:$A$73,0)))=0,"",KS21/(INDEX('Standards for Conversions'!$H$47:$H$73,MATCH(KR$3,'Standards for Conversions'!$A$47:$A$73,0))))</f>
        <v/>
      </c>
      <c r="KU21" s="31"/>
      <c r="KV21" s="31"/>
      <c r="KW21" s="31" t="str">
        <f>IF(KV21/(INDEX('Standards for Conversions'!$H$47:$H$73,MATCH(KU$3,'Standards for Conversions'!$A$47:$A$73,0)))=0,"",KV21/(INDEX('Standards for Conversions'!$H$47:$H$73,MATCH(KU$3,'Standards for Conversions'!$A$47:$A$73,0))))</f>
        <v/>
      </c>
      <c r="KX21" s="31"/>
      <c r="KY21" s="31"/>
      <c r="KZ21" s="31" t="str">
        <f>IF(KY21/(INDEX('Standards for Conversions'!$H$47:$H$73,MATCH(KX$3,'Standards for Conversions'!$A$47:$A$73,0)))=0,"",KY21/(INDEX('Standards for Conversions'!$H$47:$H$73,MATCH(KX$3,'Standards for Conversions'!$A$47:$A$73,0))))</f>
        <v/>
      </c>
      <c r="LA21" s="31"/>
      <c r="LB21" s="31"/>
      <c r="LC21" s="31" t="str">
        <f>IF(LB21/(INDEX('Standards for Conversions'!$H$47:$H$73,MATCH(LA$3,'Standards for Conversions'!$A$47:$A$73,0)))=0,"",LB21/(INDEX('Standards for Conversions'!$H$47:$H$73,MATCH(LA$3,'Standards for Conversions'!$A$47:$A$73,0))))</f>
        <v/>
      </c>
      <c r="LD21" s="31"/>
      <c r="LE21" s="31"/>
      <c r="LF21" s="31" t="str">
        <f>IF(LE21/(INDEX('Standards for Conversions'!$H$47:$H$73,MATCH(LD$3,'Standards for Conversions'!$A$47:$A$73,0)))=0,"",LE21/(INDEX('Standards for Conversions'!$H$47:$H$73,MATCH(LD$3,'Standards for Conversions'!$A$47:$A$73,0))))</f>
        <v/>
      </c>
      <c r="LG21" s="31"/>
      <c r="LH21" s="31"/>
      <c r="LI21" s="31" t="str">
        <f>IF(LH21/(INDEX('Standards for Conversions'!$H$47:$H$73,MATCH(LG$3,'Standards for Conversions'!$A$47:$A$73,0)))=0,"",LH21/(INDEX('Standards for Conversions'!$H$47:$H$73,MATCH(LG$3,'Standards for Conversions'!$A$47:$A$73,0))))</f>
        <v/>
      </c>
      <c r="LJ21" s="31"/>
      <c r="LK21" s="31"/>
      <c r="LL21" s="31" t="str">
        <f>IF(LK21/(INDEX('Standards for Conversions'!$H$47:$H$73,MATCH(LJ$3,'Standards for Conversions'!$A$47:$A$73,0)))=0,"",LK21/(INDEX('Standards for Conversions'!$H$47:$H$73,MATCH(LJ$3,'Standards for Conversions'!$A$47:$A$73,0))))</f>
        <v/>
      </c>
      <c r="LM21" s="31"/>
      <c r="LN21" s="31"/>
      <c r="LO21" s="31" t="str">
        <f>IF(LN21/(INDEX('Standards for Conversions'!$H$47:$H$73,MATCH(LM$3,'Standards for Conversions'!$A$47:$A$73,0)))=0,"",LN21/(INDEX('Standards for Conversions'!$H$47:$H$73,MATCH(LM$3,'Standards for Conversions'!$A$47:$A$73,0))))</f>
        <v/>
      </c>
      <c r="LP21" s="31"/>
      <c r="LQ21" s="31"/>
      <c r="LR21" s="31" t="str">
        <f>IF(LQ21/(INDEX('Standards for Conversions'!$H$47:$H$73,MATCH(LP$3,'Standards for Conversions'!$A$47:$A$73,0)))=0,"",LQ21/(INDEX('Standards for Conversions'!$H$47:$H$73,MATCH(LP$3,'Standards for Conversions'!$A$47:$A$73,0))))</f>
        <v/>
      </c>
      <c r="LS21" s="31"/>
      <c r="LT21" s="31"/>
      <c r="LU21" s="31" t="str">
        <f>IF(LT21/(INDEX('Standards for Conversions'!$H$47:$H$73,MATCH(LS$3,'Standards for Conversions'!$A$47:$A$73,0)))=0,"",LT21/(INDEX('Standards for Conversions'!$H$47:$H$73,MATCH(LS$3,'Standards for Conversions'!$A$47:$A$73,0))))</f>
        <v/>
      </c>
      <c r="LV21" s="31"/>
      <c r="LW21" s="31"/>
      <c r="LX21" s="31" t="str">
        <f>IF(LW21/(INDEX('Standards for Conversions'!$H$47:$H$73,MATCH(LV$3,'Standards for Conversions'!$A$47:$A$73,0)))=0,"",LW21/(INDEX('Standards for Conversions'!$H$47:$H$73,MATCH(LV$3,'Standards for Conversions'!$A$47:$A$73,0))))</f>
        <v/>
      </c>
      <c r="LY21" s="31"/>
      <c r="LZ21" s="31"/>
      <c r="MA21" s="31"/>
      <c r="MB21" s="31"/>
      <c r="MC21" s="31"/>
      <c r="MD21" s="31"/>
      <c r="ME21" s="31"/>
      <c r="MF21" s="31"/>
      <c r="MG21" s="31"/>
      <c r="MH21" s="31"/>
      <c r="MI21" s="31"/>
      <c r="MJ21" s="31"/>
      <c r="MK21" s="31"/>
      <c r="ML21" s="31"/>
      <c r="MM21" s="31"/>
      <c r="MN21" s="31"/>
    </row>
    <row r="22" spans="1:352" s="33" customFormat="1" ht="16.2" customHeight="1" x14ac:dyDescent="0.3">
      <c r="A22" s="102" t="s">
        <v>157</v>
      </c>
      <c r="B22" s="10" t="s">
        <v>374</v>
      </c>
      <c r="C22" s="9"/>
      <c r="D22" s="9"/>
      <c r="E22" s="31"/>
      <c r="F22" s="9"/>
      <c r="G22" s="9"/>
      <c r="H22" s="31"/>
      <c r="I22" s="9">
        <v>324</v>
      </c>
      <c r="J22" s="9">
        <v>4000</v>
      </c>
      <c r="K22" s="31">
        <v>790.16891891891885</v>
      </c>
      <c r="L22" s="9"/>
      <c r="M22" s="9"/>
      <c r="N22" s="31"/>
      <c r="O22" s="31">
        <f t="shared" si="4"/>
        <v>324</v>
      </c>
      <c r="P22" s="31">
        <f t="shared" si="5"/>
        <v>4000</v>
      </c>
      <c r="Q22" s="31">
        <f>IF(P22/(INDEX('Standards for Conversions'!$H$34:$H$73,MATCH(O$3,'Standards for Conversions'!$A$34:$A$73,0)))=0,"",P22/(INDEX('Standards for Conversions'!$H$34:$H$73,MATCH(O$3,'Standards for Conversions'!$A$34:$A$73,0))))</f>
        <v>790.16891891891885</v>
      </c>
      <c r="R22" s="9"/>
      <c r="S22" s="9"/>
      <c r="T22" s="31"/>
      <c r="U22" s="9"/>
      <c r="V22" s="9"/>
      <c r="W22" s="31"/>
      <c r="X22" s="9">
        <v>350</v>
      </c>
      <c r="Y22" s="9">
        <v>5500</v>
      </c>
      <c r="Z22" s="31">
        <v>1059.698670736653</v>
      </c>
      <c r="AA22" s="9"/>
      <c r="AB22" s="9"/>
      <c r="AC22" s="31"/>
      <c r="AD22" s="31">
        <f t="shared" si="6"/>
        <v>350</v>
      </c>
      <c r="AE22" s="31">
        <f t="shared" si="7"/>
        <v>5500</v>
      </c>
      <c r="AF22" s="31">
        <f>IF(AE22/(INDEX('Standards for Conversions'!$H$34:$H$73,MATCH(AD$3,'Standards for Conversions'!$A$34:$A$73,0)))=0,"",AE22/(INDEX('Standards for Conversions'!$H$34:$H$73,MATCH(AD$3,'Standards for Conversions'!$A$34:$A$73,0))))</f>
        <v>1059.698670736653</v>
      </c>
      <c r="AG22" s="9"/>
      <c r="AH22" s="9"/>
      <c r="AI22" s="31"/>
      <c r="AJ22" s="9"/>
      <c r="AK22" s="9"/>
      <c r="AL22" s="31"/>
      <c r="AM22" s="9">
        <v>100</v>
      </c>
      <c r="AN22" s="9">
        <v>2000</v>
      </c>
      <c r="AO22" s="31">
        <v>357.39687436632767</v>
      </c>
      <c r="AP22" s="9"/>
      <c r="AQ22" s="9"/>
      <c r="AR22" s="31"/>
      <c r="AS22" s="31">
        <f t="shared" si="8"/>
        <v>100</v>
      </c>
      <c r="AT22" s="31">
        <f t="shared" si="9"/>
        <v>2000</v>
      </c>
      <c r="AU22" s="31">
        <f>IF(AT22/(INDEX('Standards for Conversions'!$H$34:$H$73,MATCH(AS$3,'Standards for Conversions'!$A$34:$A$73,0)))=0,"",AT22/(INDEX('Standards for Conversions'!$H$34:$H$73,MATCH(AS$3,'Standards for Conversions'!$A$34:$A$73,0))))</f>
        <v>357.39687436632767</v>
      </c>
      <c r="AV22" s="9"/>
      <c r="AW22" s="9"/>
      <c r="AX22" s="31"/>
      <c r="AY22" s="9"/>
      <c r="AZ22" s="9"/>
      <c r="BA22" s="31"/>
      <c r="BB22" s="9">
        <v>100</v>
      </c>
      <c r="BC22" s="9">
        <v>3000</v>
      </c>
      <c r="BD22" s="31">
        <v>557.05638415746932</v>
      </c>
      <c r="BE22" s="9"/>
      <c r="BF22" s="9"/>
      <c r="BG22" s="31"/>
      <c r="BH22" s="31">
        <f t="shared" si="10"/>
        <v>100</v>
      </c>
      <c r="BI22" s="31">
        <f t="shared" si="11"/>
        <v>3000</v>
      </c>
      <c r="BJ22" s="31">
        <f>IF(BI22/(INDEX('Standards for Conversions'!$H$34:$H$73,MATCH(BH$3,'Standards for Conversions'!$A$34:$A$73,0)))=0,"",BI22/(INDEX('Standards for Conversions'!$H$34:$H$73,MATCH(BH$3,'Standards for Conversions'!$A$34:$A$73,0))))</f>
        <v>557.05638415746932</v>
      </c>
      <c r="BK22" s="9"/>
      <c r="BL22" s="9"/>
      <c r="BM22" s="31"/>
      <c r="BN22" s="9"/>
      <c r="BO22" s="9"/>
      <c r="BP22" s="31"/>
      <c r="BQ22" s="9">
        <v>40</v>
      </c>
      <c r="BR22" s="9">
        <v>1200</v>
      </c>
      <c r="BS22" s="31">
        <v>213.67590379768833</v>
      </c>
      <c r="BT22" s="7"/>
      <c r="BU22" s="7"/>
      <c r="BV22" s="31"/>
      <c r="BW22" s="31">
        <f t="shared" si="12"/>
        <v>40</v>
      </c>
      <c r="BX22" s="31">
        <f t="shared" si="13"/>
        <v>1200</v>
      </c>
      <c r="BY22" s="31">
        <f>IF(BX22/(INDEX('Standards for Conversions'!$H$34:$H$73,MATCH(BW$3,'Standards for Conversions'!$A$34:$A$73,0)))=0,"",BX22/(INDEX('Standards for Conversions'!$H$34:$H$73,MATCH(BW$3,'Standards for Conversions'!$A$34:$A$73,0))))</f>
        <v>213.67590379768833</v>
      </c>
      <c r="BZ22" s="7"/>
      <c r="CA22" s="7"/>
      <c r="CB22" s="31"/>
      <c r="CC22" s="7"/>
      <c r="CD22" s="7"/>
      <c r="CE22" s="31"/>
      <c r="CF22" s="9">
        <v>50</v>
      </c>
      <c r="CG22" s="9">
        <v>1500</v>
      </c>
      <c r="CH22" s="31">
        <v>260.42544755366299</v>
      </c>
      <c r="CI22" s="7"/>
      <c r="CJ22" s="7"/>
      <c r="CK22" s="31"/>
      <c r="CL22" s="31">
        <f t="shared" si="14"/>
        <v>50</v>
      </c>
      <c r="CM22" s="31">
        <f t="shared" si="15"/>
        <v>1500</v>
      </c>
      <c r="CN22" s="31">
        <f>IF(CM22/(INDEX('Standards for Conversions'!$H$34:$H$73,MATCH(CL$3,'Standards for Conversions'!$A$34:$A$73,0)))=0,"",CM22/(INDEX('Standards for Conversions'!$H$34:$H$73,MATCH(CL$3,'Standards for Conversions'!$A$34:$A$73,0))))</f>
        <v>260.42544755366299</v>
      </c>
      <c r="CO22" s="7"/>
      <c r="CP22" s="7"/>
      <c r="CQ22" s="31"/>
      <c r="CR22" s="7"/>
      <c r="CS22" s="7"/>
      <c r="CT22" s="31"/>
      <c r="CU22" s="9"/>
      <c r="CV22" s="9"/>
      <c r="CW22" s="31"/>
      <c r="CX22" s="7"/>
      <c r="CY22" s="7"/>
      <c r="CZ22" s="31"/>
      <c r="DA22" s="31">
        <f t="shared" si="16"/>
        <v>0</v>
      </c>
      <c r="DB22" s="31">
        <f t="shared" si="17"/>
        <v>0</v>
      </c>
      <c r="DC22" s="31" t="str">
        <f>IF(DB22/(INDEX('Standards for Conversions'!$H$34:$H$73,MATCH(DA$3,'Standards for Conversions'!$A$34:$A$73,0)))=0,"",DB22/(INDEX('Standards for Conversions'!$H$34:$H$73,MATCH(DA$3,'Standards for Conversions'!$A$34:$A$73,0))))</f>
        <v/>
      </c>
      <c r="DD22" s="7"/>
      <c r="DE22" s="7"/>
      <c r="DF22" s="31"/>
      <c r="DG22" s="7"/>
      <c r="DH22" s="7"/>
      <c r="DI22" s="31"/>
      <c r="DJ22" s="9"/>
      <c r="DK22" s="9"/>
      <c r="DL22" s="31"/>
      <c r="DM22" s="7"/>
      <c r="DN22" s="7"/>
      <c r="DO22" s="31"/>
      <c r="DP22" s="31">
        <f t="shared" si="18"/>
        <v>0</v>
      </c>
      <c r="DQ22" s="31">
        <f t="shared" si="19"/>
        <v>0</v>
      </c>
      <c r="DR22" s="31" t="str">
        <f>IF(DQ22/(INDEX('Standards for Conversions'!$H$34:$H$73,MATCH(DP$3,'Standards for Conversions'!$A$34:$A$73,0)))=0,"",DQ22/(INDEX('Standards for Conversions'!$H$34:$H$73,MATCH(DP$3,'Standards for Conversions'!$A$34:$A$73,0))))</f>
        <v/>
      </c>
      <c r="DS22" s="7"/>
      <c r="DT22" s="7"/>
      <c r="DU22" s="31"/>
      <c r="DV22" s="7"/>
      <c r="DW22" s="7"/>
      <c r="DX22" s="31"/>
      <c r="DY22" s="9"/>
      <c r="DZ22" s="9"/>
      <c r="EA22" s="31"/>
      <c r="EB22" s="7"/>
      <c r="EC22" s="7"/>
      <c r="ED22" s="31"/>
      <c r="EE22" s="31">
        <f t="shared" si="20"/>
        <v>0</v>
      </c>
      <c r="EF22" s="31">
        <f t="shared" si="21"/>
        <v>0</v>
      </c>
      <c r="EG22" s="31" t="str">
        <f>IF(EF22/(INDEX('Standards for Conversions'!$H$34:$H$73,MATCH(EE$3,'Standards for Conversions'!$A$34:$A$73,0)))=0,"",EF22/(INDEX('Standards for Conversions'!$H$34:$H$73,MATCH(EE$3,'Standards for Conversions'!$A$34:$A$73,0))))</f>
        <v/>
      </c>
      <c r="EH22" s="7"/>
      <c r="EI22" s="7"/>
      <c r="EJ22" s="31"/>
      <c r="EK22" s="7"/>
      <c r="EL22" s="7"/>
      <c r="EM22" s="31"/>
      <c r="EN22" s="9"/>
      <c r="EO22" s="9"/>
      <c r="EP22" s="31"/>
      <c r="EQ22" s="7"/>
      <c r="ER22" s="7"/>
      <c r="ES22" s="31"/>
      <c r="ET22" s="31">
        <f t="shared" si="22"/>
        <v>0</v>
      </c>
      <c r="EU22" s="31">
        <f t="shared" si="23"/>
        <v>0</v>
      </c>
      <c r="EV22" s="31" t="str">
        <f>IF(EU22/(INDEX('Standards for Conversions'!$H$34:$H$73,MATCH(ET$3,'Standards for Conversions'!$A$34:$A$73,0)))=0,"",EU22/(INDEX('Standards for Conversions'!$H$34:$H$73,MATCH(ET$3,'Standards for Conversions'!$A$34:$A$73,0))))</f>
        <v/>
      </c>
      <c r="EW22" s="7"/>
      <c r="EX22" s="7"/>
      <c r="EY22" s="31"/>
      <c r="EZ22" s="7"/>
      <c r="FA22" s="7"/>
      <c r="FB22" s="31"/>
      <c r="FC22" s="9"/>
      <c r="FD22" s="9"/>
      <c r="FE22" s="31"/>
      <c r="FF22" s="7"/>
      <c r="FG22" s="7"/>
      <c r="FH22" s="31"/>
      <c r="FI22" s="31">
        <f t="shared" si="24"/>
        <v>0</v>
      </c>
      <c r="FJ22" s="31">
        <f t="shared" si="25"/>
        <v>0</v>
      </c>
      <c r="FK22" s="31" t="str">
        <f>IF(FJ22/(INDEX('Standards for Conversions'!$H$34:$H$73,MATCH(FI$3,'Standards for Conversions'!$A$34:$A$73,0)))=0,"",FJ22/(INDEX('Standards for Conversions'!$H$34:$H$73,MATCH(FI$3,'Standards for Conversions'!$A$34:$A$73,0))))</f>
        <v/>
      </c>
      <c r="FL22" s="7"/>
      <c r="FM22" s="7"/>
      <c r="FN22" s="31"/>
      <c r="FO22" s="7"/>
      <c r="FP22" s="7"/>
      <c r="FQ22" s="31"/>
      <c r="FR22" s="9"/>
      <c r="FS22" s="9"/>
      <c r="FT22" s="31"/>
      <c r="FU22" s="7"/>
      <c r="FV22" s="7"/>
      <c r="FW22" s="31"/>
      <c r="FX22" s="31">
        <f t="shared" si="26"/>
        <v>0</v>
      </c>
      <c r="FY22" s="31">
        <f t="shared" si="27"/>
        <v>0</v>
      </c>
      <c r="FZ22" s="31" t="str">
        <f>IF(FY22/(INDEX('Standards for Conversions'!$H$34:$H$73,MATCH(FX$3,'Standards for Conversions'!$A$34:$A$73,0)))=0,"",FY22/(INDEX('Standards for Conversions'!$H$34:$H$73,MATCH(FX$3,'Standards for Conversions'!$A$34:$A$73,0))))</f>
        <v/>
      </c>
      <c r="GA22" s="7"/>
      <c r="GB22" s="7"/>
      <c r="GC22" s="31"/>
      <c r="GD22" s="7"/>
      <c r="GE22" s="7"/>
      <c r="GF22" s="31"/>
      <c r="GG22" s="9"/>
      <c r="GH22" s="9"/>
      <c r="GI22" s="31"/>
      <c r="GJ22" s="7"/>
      <c r="GK22" s="7"/>
      <c r="GL22" s="31"/>
      <c r="GM22" s="31">
        <f t="shared" si="28"/>
        <v>0</v>
      </c>
      <c r="GN22" s="31">
        <f t="shared" si="29"/>
        <v>0</v>
      </c>
      <c r="GO22" s="31" t="str">
        <f>IF(GN22/(INDEX('Standards for Conversions'!$H$34:$H$73,MATCH(GM$3,'Standards for Conversions'!$A$34:$A$73,0)))=0,"",GN22/(INDEX('Standards for Conversions'!$H$34:$H$73,MATCH(GM$3,'Standards for Conversions'!$A$34:$A$73,0))))</f>
        <v/>
      </c>
      <c r="GP22" s="7"/>
      <c r="GQ22" s="7"/>
      <c r="GR22" s="31"/>
      <c r="GS22" s="7"/>
      <c r="GT22" s="7"/>
      <c r="GU22" s="31"/>
      <c r="GV22" s="9"/>
      <c r="GW22" s="9"/>
      <c r="GX22" s="31"/>
      <c r="GY22" s="7"/>
      <c r="GZ22" s="7"/>
      <c r="HA22" s="31"/>
      <c r="HB22" s="31">
        <f t="shared" si="30"/>
        <v>0</v>
      </c>
      <c r="HC22" s="31">
        <f t="shared" si="31"/>
        <v>0</v>
      </c>
      <c r="HD22" s="31" t="str">
        <f>IF(HC22/(INDEX('Standards for Conversions'!$H$34:$H$73,MATCH(HB$3,'Standards for Conversions'!$A$34:$A$73,0)))=0,"",HC22/(INDEX('Standards for Conversions'!$H$34:$H$73,MATCH(HB$3,'Standards for Conversions'!$A$34:$A$73,0))))</f>
        <v/>
      </c>
      <c r="HE22" s="112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1"/>
      <c r="IV22" s="31"/>
      <c r="IW22" s="31"/>
      <c r="IX22" s="31"/>
      <c r="IY22" s="31"/>
      <c r="IZ22" s="31"/>
      <c r="JA22" s="31"/>
      <c r="JB22" s="31"/>
      <c r="JC22" s="31"/>
      <c r="JD22" s="31"/>
      <c r="JE22" s="31"/>
      <c r="JF22" s="31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31"/>
      <c r="KH22" s="31"/>
      <c r="KI22" s="31"/>
      <c r="KJ22" s="31"/>
      <c r="KK22" s="31"/>
      <c r="KL22" s="31"/>
      <c r="KM22" s="31"/>
      <c r="KN22" s="31"/>
      <c r="KO22" s="31"/>
      <c r="KP22" s="31"/>
      <c r="KQ22" s="31"/>
      <c r="KR22" s="31"/>
      <c r="KS22" s="31"/>
      <c r="KT22" s="31"/>
      <c r="KU22" s="31"/>
      <c r="KV22" s="31"/>
      <c r="KW22" s="31"/>
      <c r="KX22" s="31"/>
      <c r="KY22" s="31"/>
      <c r="KZ22" s="31"/>
      <c r="LA22" s="31"/>
      <c r="LB22" s="31"/>
      <c r="LC22" s="31"/>
      <c r="LD22" s="31"/>
      <c r="LE22" s="31"/>
      <c r="LF22" s="31"/>
      <c r="LG22" s="31"/>
      <c r="LH22" s="31"/>
      <c r="LI22" s="31"/>
      <c r="LJ22" s="31"/>
      <c r="LK22" s="31"/>
      <c r="LL22" s="31"/>
      <c r="LM22" s="31"/>
      <c r="LN22" s="31"/>
      <c r="LO22" s="31"/>
      <c r="LP22" s="31"/>
      <c r="LQ22" s="31"/>
      <c r="LR22" s="31"/>
      <c r="LS22" s="31"/>
      <c r="LT22" s="31"/>
      <c r="LU22" s="31"/>
      <c r="LV22" s="31"/>
      <c r="LW22" s="31"/>
      <c r="LX22" s="31"/>
      <c r="LY22" s="31"/>
      <c r="LZ22" s="31"/>
      <c r="MA22" s="31"/>
      <c r="MB22" s="31"/>
      <c r="MC22" s="31"/>
      <c r="MD22" s="31"/>
      <c r="ME22" s="31"/>
      <c r="MF22" s="31"/>
      <c r="MG22" s="31"/>
      <c r="MH22" s="31"/>
      <c r="MI22" s="31"/>
      <c r="MJ22" s="31"/>
      <c r="MK22" s="31"/>
      <c r="ML22" s="31"/>
      <c r="MM22" s="31"/>
      <c r="MN22" s="31"/>
    </row>
    <row r="23" spans="1:352" s="33" customFormat="1" ht="14.4" customHeight="1" x14ac:dyDescent="0.3">
      <c r="A23" s="102" t="s">
        <v>360</v>
      </c>
      <c r="B23" s="10" t="s">
        <v>399</v>
      </c>
      <c r="C23" s="9"/>
      <c r="D23" s="9"/>
      <c r="E23" s="31"/>
      <c r="F23" s="9"/>
      <c r="G23" s="9"/>
      <c r="H23" s="31" t="s">
        <v>128</v>
      </c>
      <c r="I23" s="9"/>
      <c r="J23" s="9"/>
      <c r="K23" s="31"/>
      <c r="L23" s="9"/>
      <c r="M23" s="9"/>
      <c r="N23" s="31" t="s">
        <v>128</v>
      </c>
      <c r="O23" s="31">
        <f t="shared" si="4"/>
        <v>0</v>
      </c>
      <c r="P23" s="31">
        <f t="shared" si="5"/>
        <v>0</v>
      </c>
      <c r="Q23" s="31" t="str">
        <f>IF(P23/(INDEX('Standards for Conversions'!$H$34:$H$73,MATCH(O$3,'Standards for Conversions'!$A$34:$A$73,0)))=0,"",P23/(INDEX('Standards for Conversions'!$H$34:$H$73,MATCH(O$3,'Standards for Conversions'!$A$34:$A$73,0))))</f>
        <v/>
      </c>
      <c r="R23" s="9"/>
      <c r="S23" s="9"/>
      <c r="T23" s="31"/>
      <c r="U23" s="9"/>
      <c r="V23" s="9"/>
      <c r="W23" s="31"/>
      <c r="X23" s="9"/>
      <c r="Y23" s="9"/>
      <c r="Z23" s="31"/>
      <c r="AA23" s="9"/>
      <c r="AB23" s="9"/>
      <c r="AC23" s="31"/>
      <c r="AD23" s="31">
        <f t="shared" si="6"/>
        <v>0</v>
      </c>
      <c r="AE23" s="31">
        <f t="shared" si="7"/>
        <v>0</v>
      </c>
      <c r="AF23" s="31" t="str">
        <f>IF(AE23/(INDEX('Standards for Conversions'!$H$34:$H$73,MATCH(AD$3,'Standards for Conversions'!$A$34:$A$73,0)))=0,"",AE23/(INDEX('Standards for Conversions'!$H$34:$H$73,MATCH(AD$3,'Standards for Conversions'!$A$34:$A$73,0))))</f>
        <v/>
      </c>
      <c r="AG23" s="9"/>
      <c r="AH23" s="9"/>
      <c r="AI23" s="31"/>
      <c r="AJ23" s="9"/>
      <c r="AK23" s="9"/>
      <c r="AL23" s="31"/>
      <c r="AM23" s="9"/>
      <c r="AN23" s="9"/>
      <c r="AO23" s="31"/>
      <c r="AP23" s="9"/>
      <c r="AQ23" s="9"/>
      <c r="AR23" s="31"/>
      <c r="AS23" s="31">
        <f t="shared" si="8"/>
        <v>0</v>
      </c>
      <c r="AT23" s="31">
        <f t="shared" si="9"/>
        <v>0</v>
      </c>
      <c r="AU23" s="31" t="str">
        <f>IF(AT23/(INDEX('Standards for Conversions'!$H$34:$H$73,MATCH(AS$3,'Standards for Conversions'!$A$34:$A$73,0)))=0,"",AT23/(INDEX('Standards for Conversions'!$H$34:$H$73,MATCH(AS$3,'Standards for Conversions'!$A$34:$A$73,0))))</f>
        <v/>
      </c>
      <c r="AV23" s="9"/>
      <c r="AW23" s="9"/>
      <c r="AX23" s="31"/>
      <c r="AY23" s="9"/>
      <c r="AZ23" s="9"/>
      <c r="BA23" s="31"/>
      <c r="BB23" s="9"/>
      <c r="BC23" s="9"/>
      <c r="BD23" s="31"/>
      <c r="BE23" s="9"/>
      <c r="BF23" s="9"/>
      <c r="BG23" s="31"/>
      <c r="BH23" s="31">
        <f t="shared" si="10"/>
        <v>0</v>
      </c>
      <c r="BI23" s="31">
        <f t="shared" si="11"/>
        <v>0</v>
      </c>
      <c r="BJ23" s="31" t="str">
        <f>IF(BI23/(INDEX('Standards for Conversions'!$H$34:$H$73,MATCH(BH$3,'Standards for Conversions'!$A$34:$A$73,0)))=0,"",BI23/(INDEX('Standards for Conversions'!$H$34:$H$73,MATCH(BH$3,'Standards for Conversions'!$A$34:$A$73,0))))</f>
        <v/>
      </c>
      <c r="BK23" s="9"/>
      <c r="BL23" s="9"/>
      <c r="BM23" s="31"/>
      <c r="BN23" s="9"/>
      <c r="BO23" s="9"/>
      <c r="BP23" s="31"/>
      <c r="BQ23" s="9"/>
      <c r="BR23" s="9"/>
      <c r="BS23" s="31"/>
      <c r="BT23" s="7"/>
      <c r="BU23" s="7"/>
      <c r="BV23" s="31"/>
      <c r="BW23" s="31">
        <f t="shared" si="12"/>
        <v>0</v>
      </c>
      <c r="BX23" s="31">
        <f t="shared" si="13"/>
        <v>0</v>
      </c>
      <c r="BY23" s="31" t="str">
        <f>IF(BX23/(INDEX('Standards for Conversions'!$H$34:$H$73,MATCH(BW$3,'Standards for Conversions'!$A$34:$A$73,0)))=0,"",BX23/(INDEX('Standards for Conversions'!$H$34:$H$73,MATCH(BW$3,'Standards for Conversions'!$A$34:$A$73,0))))</f>
        <v/>
      </c>
      <c r="BZ23" s="7"/>
      <c r="CA23" s="7"/>
      <c r="CB23" s="31"/>
      <c r="CC23" s="7"/>
      <c r="CD23" s="7"/>
      <c r="CE23" s="31"/>
      <c r="CF23" s="9"/>
      <c r="CG23" s="9"/>
      <c r="CH23" s="31"/>
      <c r="CI23" s="7"/>
      <c r="CJ23" s="7"/>
      <c r="CK23" s="31" t="s">
        <v>128</v>
      </c>
      <c r="CL23" s="31">
        <f t="shared" si="14"/>
        <v>0</v>
      </c>
      <c r="CM23" s="31">
        <f t="shared" si="15"/>
        <v>0</v>
      </c>
      <c r="CN23" s="31" t="str">
        <f>IF(CM23/(INDEX('Standards for Conversions'!$H$34:$H$73,MATCH(CL$3,'Standards for Conversions'!$A$34:$A$73,0)))=0,"",CM23/(INDEX('Standards for Conversions'!$H$34:$H$73,MATCH(CL$3,'Standards for Conversions'!$A$34:$A$73,0))))</f>
        <v/>
      </c>
      <c r="CO23" s="7"/>
      <c r="CP23" s="7"/>
      <c r="CQ23" s="31" t="s">
        <v>128</v>
      </c>
      <c r="CR23" s="7"/>
      <c r="CS23" s="7"/>
      <c r="CT23" s="31" t="s">
        <v>128</v>
      </c>
      <c r="CU23" s="9">
        <v>709.05</v>
      </c>
      <c r="CV23" s="9">
        <v>1600</v>
      </c>
      <c r="CW23" s="31">
        <v>283.207381014455</v>
      </c>
      <c r="CX23" s="7"/>
      <c r="CY23" s="7"/>
      <c r="CZ23" s="31" t="s">
        <v>128</v>
      </c>
      <c r="DA23" s="31">
        <f t="shared" si="16"/>
        <v>709.05</v>
      </c>
      <c r="DB23" s="31">
        <f t="shared" si="17"/>
        <v>1600</v>
      </c>
      <c r="DC23" s="31">
        <f>IF(DB23/(INDEX('Standards for Conversions'!$H$34:$H$73,MATCH(DA$3,'Standards for Conversions'!$A$34:$A$73,0)))=0,"",DB23/(INDEX('Standards for Conversions'!$H$34:$H$73,MATCH(DA$3,'Standards for Conversions'!$A$34:$A$73,0))))</f>
        <v>283.207381014455</v>
      </c>
      <c r="DD23" s="7"/>
      <c r="DE23" s="7"/>
      <c r="DF23" s="31" t="s">
        <v>128</v>
      </c>
      <c r="DG23" s="7"/>
      <c r="DH23" s="7"/>
      <c r="DI23" s="31" t="s">
        <v>128</v>
      </c>
      <c r="DJ23" s="9">
        <v>815</v>
      </c>
      <c r="DK23" s="9">
        <v>1800</v>
      </c>
      <c r="DL23" s="31">
        <v>315.17830994177456</v>
      </c>
      <c r="DM23" s="7"/>
      <c r="DN23" s="7"/>
      <c r="DO23" s="31" t="s">
        <v>128</v>
      </c>
      <c r="DP23" s="31">
        <f t="shared" si="18"/>
        <v>815</v>
      </c>
      <c r="DQ23" s="31">
        <f t="shared" si="19"/>
        <v>1800</v>
      </c>
      <c r="DR23" s="31">
        <f>IF(DQ23/(INDEX('Standards for Conversions'!$H$34:$H$73,MATCH(DP$3,'Standards for Conversions'!$A$34:$A$73,0)))=0,"",DQ23/(INDEX('Standards for Conversions'!$H$34:$H$73,MATCH(DP$3,'Standards for Conversions'!$A$34:$A$73,0))))</f>
        <v>315.17830994177456</v>
      </c>
      <c r="DS23" s="7"/>
      <c r="DT23" s="7"/>
      <c r="DU23" s="31" t="s">
        <v>128</v>
      </c>
      <c r="DV23" s="7"/>
      <c r="DW23" s="7"/>
      <c r="DX23" s="31" t="s">
        <v>128</v>
      </c>
      <c r="DY23" s="9">
        <v>622.66</v>
      </c>
      <c r="DZ23" s="9">
        <v>1060</v>
      </c>
      <c r="EA23" s="31">
        <v>185.38057305697978</v>
      </c>
      <c r="EB23" s="7"/>
      <c r="EC23" s="7"/>
      <c r="ED23" s="31" t="s">
        <v>128</v>
      </c>
      <c r="EE23" s="31">
        <f t="shared" si="20"/>
        <v>622.66</v>
      </c>
      <c r="EF23" s="31">
        <f t="shared" si="21"/>
        <v>1060</v>
      </c>
      <c r="EG23" s="31">
        <f>IF(EF23/(INDEX('Standards for Conversions'!$H$34:$H$73,MATCH(EE$3,'Standards for Conversions'!$A$34:$A$73,0)))=0,"",EF23/(INDEX('Standards for Conversions'!$H$34:$H$73,MATCH(EE$3,'Standards for Conversions'!$A$34:$A$73,0))))</f>
        <v>185.38057305697978</v>
      </c>
      <c r="EH23" s="7"/>
      <c r="EI23" s="7"/>
      <c r="EJ23" s="31" t="s">
        <v>128</v>
      </c>
      <c r="EK23" s="7"/>
      <c r="EL23" s="7"/>
      <c r="EM23" s="31" t="s">
        <v>128</v>
      </c>
      <c r="EN23" s="9">
        <v>392.83</v>
      </c>
      <c r="EO23" s="9">
        <v>820</v>
      </c>
      <c r="EP23" s="31">
        <v>140.45612471394222</v>
      </c>
      <c r="EQ23" s="7"/>
      <c r="ER23" s="7"/>
      <c r="ES23" s="31" t="s">
        <v>128</v>
      </c>
      <c r="ET23" s="31">
        <f t="shared" si="22"/>
        <v>392.83</v>
      </c>
      <c r="EU23" s="31">
        <f t="shared" si="23"/>
        <v>820</v>
      </c>
      <c r="EV23" s="31">
        <f>IF(EU23/(INDEX('Standards for Conversions'!$H$34:$H$73,MATCH(ET$3,'Standards for Conversions'!$A$34:$A$73,0)))=0,"",EU23/(INDEX('Standards for Conversions'!$H$34:$H$73,MATCH(ET$3,'Standards for Conversions'!$A$34:$A$73,0))))</f>
        <v>140.45612471394222</v>
      </c>
      <c r="EW23" s="7"/>
      <c r="EX23" s="7"/>
      <c r="EY23" s="31" t="s">
        <v>128</v>
      </c>
      <c r="EZ23" s="7"/>
      <c r="FA23" s="7"/>
      <c r="FB23" s="31" t="s">
        <v>128</v>
      </c>
      <c r="FC23" s="9">
        <v>407.5</v>
      </c>
      <c r="FD23" s="9">
        <v>750</v>
      </c>
      <c r="FE23" s="31">
        <v>128.62476373077254</v>
      </c>
      <c r="FF23" s="7"/>
      <c r="FG23" s="7"/>
      <c r="FH23" s="31" t="s">
        <v>128</v>
      </c>
      <c r="FI23" s="31">
        <f t="shared" si="24"/>
        <v>407.5</v>
      </c>
      <c r="FJ23" s="31">
        <f t="shared" si="25"/>
        <v>750</v>
      </c>
      <c r="FK23" s="31">
        <f>IF(FJ23/(INDEX('Standards for Conversions'!$H$34:$H$73,MATCH(FI$3,'Standards for Conversions'!$A$34:$A$73,0)))=0,"",FJ23/(INDEX('Standards for Conversions'!$H$34:$H$73,MATCH(FI$3,'Standards for Conversions'!$A$34:$A$73,0))))</f>
        <v>128.62476373077254</v>
      </c>
      <c r="FL23" s="7"/>
      <c r="FM23" s="7"/>
      <c r="FN23" s="31" t="s">
        <v>128</v>
      </c>
      <c r="FO23" s="7"/>
      <c r="FP23" s="7"/>
      <c r="FQ23" s="31" t="s">
        <v>128</v>
      </c>
      <c r="FR23" s="9">
        <v>163</v>
      </c>
      <c r="FS23" s="9">
        <v>350</v>
      </c>
      <c r="FT23" s="31">
        <v>57.579431270096464</v>
      </c>
      <c r="FU23" s="7"/>
      <c r="FV23" s="7"/>
      <c r="FW23" s="31" t="s">
        <v>128</v>
      </c>
      <c r="FX23" s="31">
        <f t="shared" si="26"/>
        <v>163</v>
      </c>
      <c r="FY23" s="31">
        <f t="shared" si="27"/>
        <v>350</v>
      </c>
      <c r="FZ23" s="31">
        <f>IF(FY23/(INDEX('Standards for Conversions'!$H$34:$H$73,MATCH(FX$3,'Standards for Conversions'!$A$34:$A$73,0)))=0,"",FY23/(INDEX('Standards for Conversions'!$H$34:$H$73,MATCH(FX$3,'Standards for Conversions'!$A$34:$A$73,0))))</f>
        <v>57.579431270096464</v>
      </c>
      <c r="GA23" s="7"/>
      <c r="GB23" s="7"/>
      <c r="GC23" s="31" t="s">
        <v>128</v>
      </c>
      <c r="GD23" s="7"/>
      <c r="GE23" s="7"/>
      <c r="GF23" s="31" t="s">
        <v>128</v>
      </c>
      <c r="GG23" s="9">
        <v>163</v>
      </c>
      <c r="GH23" s="9">
        <v>350</v>
      </c>
      <c r="GI23" s="31">
        <v>53.800086360476236</v>
      </c>
      <c r="GJ23" s="7"/>
      <c r="GK23" s="7"/>
      <c r="GL23" s="31" t="s">
        <v>128</v>
      </c>
      <c r="GM23" s="31">
        <f t="shared" si="28"/>
        <v>163</v>
      </c>
      <c r="GN23" s="31">
        <f t="shared" si="29"/>
        <v>350</v>
      </c>
      <c r="GO23" s="31">
        <f>IF(GN23/(INDEX('Standards for Conversions'!$H$34:$H$73,MATCH(GM$3,'Standards for Conversions'!$A$34:$A$73,0)))=0,"",GN23/(INDEX('Standards for Conversions'!$H$34:$H$73,MATCH(GM$3,'Standards for Conversions'!$A$34:$A$73,0))))</f>
        <v>53.800086360476236</v>
      </c>
      <c r="GP23" s="7"/>
      <c r="GQ23" s="7"/>
      <c r="GR23" s="31" t="s">
        <v>128</v>
      </c>
      <c r="GS23" s="7"/>
      <c r="GT23" s="7"/>
      <c r="GU23" s="31" t="s">
        <v>128</v>
      </c>
      <c r="GV23" s="9">
        <v>244.49999999999997</v>
      </c>
      <c r="GW23" s="9">
        <v>550</v>
      </c>
      <c r="GX23" s="31">
        <v>83.26203841502273</v>
      </c>
      <c r="GY23" s="7"/>
      <c r="GZ23" s="7"/>
      <c r="HA23" s="31" t="s">
        <v>128</v>
      </c>
      <c r="HB23" s="31">
        <f t="shared" si="30"/>
        <v>244.49999999999997</v>
      </c>
      <c r="HC23" s="31">
        <f t="shared" si="31"/>
        <v>550</v>
      </c>
      <c r="HD23" s="31">
        <f>IF(HC23/(INDEX('Standards for Conversions'!$H$34:$H$73,MATCH(HB$3,'Standards for Conversions'!$A$34:$A$73,0)))=0,"",HC23/(INDEX('Standards for Conversions'!$H$34:$H$73,MATCH(HB$3,'Standards for Conversions'!$A$34:$A$73,0))))</f>
        <v>83.26203841502273</v>
      </c>
      <c r="HE23" s="112" t="s">
        <v>98</v>
      </c>
      <c r="HF23" s="31"/>
      <c r="HG23" s="31"/>
      <c r="HH23" s="31" t="str">
        <f>IF(HG23/(INDEX('Standards for Conversions'!$H$47:$H$73,MATCH(HF$3,'Standards for Conversions'!$A$47:$A$73,0)))=0,"",HG23/(INDEX('Standards for Conversions'!$H$47:$H$73,MATCH(HF$3,'Standards for Conversions'!$A$47:$A$73,0))))</f>
        <v/>
      </c>
      <c r="HI23" s="31"/>
      <c r="HJ23" s="31"/>
      <c r="HK23" s="31" t="str">
        <f>IF(HJ23/(INDEX('Standards for Conversions'!$H$47:$H$73,MATCH(HI$3,'Standards for Conversions'!$A$47:$A$73,0)))=0,"",HJ23/(INDEX('Standards for Conversions'!$H$47:$H$73,MATCH(HI$3,'Standards for Conversions'!$A$47:$A$73,0))))</f>
        <v/>
      </c>
      <c r="HL23" s="31">
        <v>325</v>
      </c>
      <c r="HM23" s="31">
        <v>600</v>
      </c>
      <c r="HN23" s="31">
        <f>IF(HM23/(INDEX('Standards for Conversions'!$H$47:$H$73,MATCH(HL$3,'Standards for Conversions'!$A$47:$A$73,0)))=0,"",HM23/(INDEX('Standards for Conversions'!$H$47:$H$73,MATCH(HL$3,'Standards for Conversions'!$A$47:$A$73,0))))</f>
        <v>87.147247327713572</v>
      </c>
      <c r="HO23" s="31"/>
      <c r="HP23" s="31"/>
      <c r="HQ23" s="31" t="str">
        <f>IF(HP23/(INDEX('Standards for Conversions'!$H$47:$H$73,MATCH(HO$3,'Standards for Conversions'!$A$47:$A$73,0)))=0,"",HP23/(INDEX('Standards for Conversions'!$H$47:$H$73,MATCH(HO$3,'Standards for Conversions'!$A$47:$A$73,0))))</f>
        <v/>
      </c>
      <c r="HR23" s="31">
        <f t="shared" si="39"/>
        <v>325</v>
      </c>
      <c r="HS23" s="31">
        <f t="shared" si="39"/>
        <v>600</v>
      </c>
      <c r="HT23" s="31">
        <f>IF(HS23/(INDEX('Standards for Conversions'!$H$47:$H$73,MATCH(HR$3,'Standards for Conversions'!$A$47:$A$73,0)))=0,"",HS23/(INDEX('Standards for Conversions'!$H$47:$H$73,MATCH(HR$3,'Standards for Conversions'!$A$47:$A$73,0))))</f>
        <v>87.147247327713572</v>
      </c>
      <c r="HU23" s="31"/>
      <c r="HV23" s="31"/>
      <c r="HW23" s="31" t="str">
        <f>IF(HV23/(INDEX('Standards for Conversions'!$H$47:$H$73,MATCH(HU$3,'Standards for Conversions'!$A$47:$A$73,0)))=0,"",HV23/(INDEX('Standards for Conversions'!$H$47:$H$73,MATCH(HU$3,'Standards for Conversions'!$A$47:$A$73,0))))</f>
        <v/>
      </c>
      <c r="HX23" s="31"/>
      <c r="HY23" s="31"/>
      <c r="HZ23" s="31" t="str">
        <f>IF(HY23/(INDEX('Standards for Conversions'!$H$47:$H$73,MATCH(HX$3,'Standards for Conversions'!$A$47:$A$73,0)))=0,"",HY23/(INDEX('Standards for Conversions'!$H$47:$H$73,MATCH(HX$3,'Standards for Conversions'!$A$47:$A$73,0))))</f>
        <v/>
      </c>
      <c r="IA23" s="31">
        <v>406.25</v>
      </c>
      <c r="IB23" s="31">
        <v>700</v>
      </c>
      <c r="IC23" s="31">
        <f>IF(IB23/(INDEX('Standards for Conversions'!$H$47:$H$73,MATCH(IA$3,'Standards for Conversions'!$A$47:$A$73,0)))=0,"",IB23/(INDEX('Standards for Conversions'!$H$47:$H$73,MATCH(IA$3,'Standards for Conversions'!$A$47:$A$73,0))))</f>
        <v>101.22715973610265</v>
      </c>
      <c r="ID23" s="31"/>
      <c r="IE23" s="31"/>
      <c r="IF23" s="31" t="str">
        <f>IF(IE23/(INDEX('Standards for Conversions'!$H$47:$H$73,MATCH(ID$3,'Standards for Conversions'!$A$47:$A$73,0)))=0,"",IE23/(INDEX('Standards for Conversions'!$H$47:$H$73,MATCH(ID$3,'Standards for Conversions'!$A$47:$A$73,0))))</f>
        <v/>
      </c>
      <c r="IG23" s="31">
        <f t="shared" si="33"/>
        <v>406.25</v>
      </c>
      <c r="IH23" s="31">
        <f t="shared" si="34"/>
        <v>700</v>
      </c>
      <c r="II23" s="31">
        <f>IF(IH23/(INDEX('Standards for Conversions'!$H$47:$H$73,MATCH(IG$3,'Standards for Conversions'!$A$47:$A$73,0)))=0,"",IH23/(INDEX('Standards for Conversions'!$H$47:$H$73,MATCH(IG$3,'Standards for Conversions'!$A$47:$A$73,0))))</f>
        <v>101.22715973610265</v>
      </c>
      <c r="IJ23" s="31"/>
      <c r="IK23" s="31"/>
      <c r="IL23" s="31" t="str">
        <f>IF(IK23/(INDEX('Standards for Conversions'!$H$47:$H$73,MATCH(IJ$3,'Standards for Conversions'!$A$47:$A$73,0)))=0,"",IK23/(INDEX('Standards for Conversions'!$H$47:$H$73,MATCH(IJ$3,'Standards for Conversions'!$A$47:$A$73,0))))</f>
        <v/>
      </c>
      <c r="IM23" s="31"/>
      <c r="IN23" s="31"/>
      <c r="IO23" s="31" t="str">
        <f>IF(IN23/(INDEX('Standards for Conversions'!$H$47:$H$73,MATCH(IM$3,'Standards for Conversions'!$A$47:$A$73,0)))=0,"",IN23/(INDEX('Standards for Conversions'!$H$47:$H$73,MATCH(IM$3,'Standards for Conversions'!$A$47:$A$73,0))))</f>
        <v/>
      </c>
      <c r="IP23" s="31">
        <v>325</v>
      </c>
      <c r="IQ23" s="31">
        <v>600</v>
      </c>
      <c r="IR23" s="31">
        <f>IF(IQ23/(INDEX('Standards for Conversions'!$H$47:$H$73,MATCH(IP$3,'Standards for Conversions'!$A$47:$A$73,0)))=0,"",IQ23/(INDEX('Standards for Conversions'!$H$47:$H$73,MATCH(IP$3,'Standards for Conversions'!$A$47:$A$73,0))))</f>
        <v>97.056118015121214</v>
      </c>
      <c r="IS23" s="31"/>
      <c r="IT23" s="31"/>
      <c r="IU23" s="31" t="str">
        <f>IF(IT23/(INDEX('Standards for Conversions'!$H$47:$H$73,MATCH(IS$3,'Standards for Conversions'!$A$47:$A$73,0)))=0,"",IT23/(INDEX('Standards for Conversions'!$H$47:$H$73,MATCH(IS$3,'Standards for Conversions'!$A$47:$A$73,0))))</f>
        <v/>
      </c>
      <c r="IV23" s="31">
        <f t="shared" si="35"/>
        <v>325</v>
      </c>
      <c r="IW23" s="31">
        <f t="shared" si="35"/>
        <v>600</v>
      </c>
      <c r="IX23" s="31">
        <f>IF(IW23/(INDEX('Standards for Conversions'!$H$47:$H$73,MATCH(IV$3,'Standards for Conversions'!$A$47:$A$73,0)))=0,"",IW23/(INDEX('Standards for Conversions'!$H$47:$H$73,MATCH(IV$3,'Standards for Conversions'!$A$47:$A$73,0))))</f>
        <v>97.056118015121214</v>
      </c>
      <c r="IY23" s="31"/>
      <c r="IZ23" s="31"/>
      <c r="JA23" s="31" t="str">
        <f>IF(IZ23/(INDEX('Standards for Conversions'!$H$47:$H$73,MATCH(IY$3,'Standards for Conversions'!$A$47:$A$73,0)))=0,"",IZ23/(INDEX('Standards for Conversions'!$H$47:$H$73,MATCH(IY$3,'Standards for Conversions'!$A$47:$A$73,0))))</f>
        <v/>
      </c>
      <c r="JB23" s="31"/>
      <c r="JC23" s="31"/>
      <c r="JD23" s="31" t="str">
        <f>IF(JC23/(INDEX('Standards for Conversions'!$H$47:$H$73,MATCH(JB$3,'Standards for Conversions'!$A$47:$A$73,0)))=0,"",JC23/(INDEX('Standards for Conversions'!$H$47:$H$73,MATCH(JB$3,'Standards for Conversions'!$A$47:$A$73,0))))</f>
        <v/>
      </c>
      <c r="JE23" s="31">
        <v>243.75</v>
      </c>
      <c r="JF23" s="31">
        <v>500</v>
      </c>
      <c r="JG23" s="31">
        <f>IF(JF23/(INDEX('Standards for Conversions'!$H$47:$H$73,MATCH(JE$3,'Standards for Conversions'!$A$47:$A$73,0)))=0,"",JF23/(INDEX('Standards for Conversions'!$H$47:$H$73,MATCH(JE$3,'Standards for Conversions'!$A$47:$A$73,0))))</f>
        <v>76.327946213898784</v>
      </c>
      <c r="JH23" s="31"/>
      <c r="JI23" s="31"/>
      <c r="JJ23" s="31" t="str">
        <f>IF(JI23/(INDEX('Standards for Conversions'!$H$47:$H$73,MATCH(JH$3,'Standards for Conversions'!$A$47:$A$73,0)))=0,"",JI23/(INDEX('Standards for Conversions'!$H$47:$H$73,MATCH(JH$3,'Standards for Conversions'!$A$47:$A$73,0))))</f>
        <v/>
      </c>
      <c r="JK23" s="31">
        <f t="shared" si="40"/>
        <v>243.75</v>
      </c>
      <c r="JL23" s="31">
        <f t="shared" si="40"/>
        <v>500</v>
      </c>
      <c r="JM23" s="31">
        <f>IF(JL23/(INDEX('Standards for Conversions'!$H$47:$H$73,MATCH(JK$3,'Standards for Conversions'!$A$47:$A$73,0)))=0,"",JL23/(INDEX('Standards for Conversions'!$H$47:$H$73,MATCH(JK$3,'Standards for Conversions'!$A$47:$A$73,0))))</f>
        <v>76.327946213898784</v>
      </c>
      <c r="JN23" s="31"/>
      <c r="JO23" s="31"/>
      <c r="JP23" s="31" t="str">
        <f>IF(JO23/(INDEX('Standards for Conversions'!$H$47:$H$73,MATCH(JN$3,'Standards for Conversions'!$A$47:$A$73,0)))=0,"",JO23/(INDEX('Standards for Conversions'!$H$47:$H$73,MATCH(JN$3,'Standards for Conversions'!$A$47:$A$73,0))))</f>
        <v/>
      </c>
      <c r="JQ23" s="31"/>
      <c r="JR23" s="31"/>
      <c r="JS23" s="31" t="str">
        <f>IF(JR23/(INDEX('Standards for Conversions'!$H$47:$H$73,MATCH(JQ$3,'Standards for Conversions'!$A$47:$A$73,0)))=0,"",JR23/(INDEX('Standards for Conversions'!$H$47:$H$73,MATCH(JQ$3,'Standards for Conversions'!$A$47:$A$73,0))))</f>
        <v/>
      </c>
      <c r="JT23" s="31">
        <v>260</v>
      </c>
      <c r="JU23" s="31">
        <v>600</v>
      </c>
      <c r="JV23" s="31">
        <f>IF(JU23/(INDEX('Standards for Conversions'!$H$47:$H$73,MATCH(JT$3,'Standards for Conversions'!$A$47:$A$73,0)))=0,"",JU23/(INDEX('Standards for Conversions'!$H$47:$H$73,MATCH(JT$3,'Standards for Conversions'!$A$47:$A$73,0))))</f>
        <v>80.795407143477874</v>
      </c>
      <c r="JW23" s="31"/>
      <c r="JX23" s="31"/>
      <c r="JY23" s="31" t="str">
        <f>IF(JX23/(INDEX('Standards for Conversions'!$H$47:$H$73,MATCH(JW$3,'Standards for Conversions'!$A$47:$A$73,0)))=0,"",JX23/(INDEX('Standards for Conversions'!$H$47:$H$73,MATCH(JW$3,'Standards for Conversions'!$A$47:$A$73,0))))</f>
        <v/>
      </c>
      <c r="JZ23" s="31">
        <f t="shared" si="41"/>
        <v>260</v>
      </c>
      <c r="KA23" s="31">
        <f t="shared" si="41"/>
        <v>600</v>
      </c>
      <c r="KB23" s="31">
        <f>IF(KA23/(INDEX('Standards for Conversions'!$H$47:$H$73,MATCH(JZ$3,'Standards for Conversions'!$A$47:$A$73,0)))=0,"",KA23/(INDEX('Standards for Conversions'!$H$47:$H$73,MATCH(JZ$3,'Standards for Conversions'!$A$47:$A$73,0))))</f>
        <v>80.795407143477874</v>
      </c>
      <c r="KC23" s="31"/>
      <c r="KD23" s="31"/>
      <c r="KE23" s="31" t="str">
        <f>IF(KD23/(INDEX('Standards for Conversions'!$H$47:$H$73,MATCH(KC$3,'Standards for Conversions'!$A$47:$A$73,0)))=0,"",KD23/(INDEX('Standards for Conversions'!$H$47:$H$73,MATCH(KC$3,'Standards for Conversions'!$A$47:$A$73,0))))</f>
        <v/>
      </c>
      <c r="KF23" s="31"/>
      <c r="KG23" s="31"/>
      <c r="KH23" s="31" t="str">
        <f>IF(KG23/(INDEX('Standards for Conversions'!$H$47:$H$73,MATCH(KF$3,'Standards for Conversions'!$A$47:$A$73,0)))=0,"",KG23/(INDEX('Standards for Conversions'!$H$47:$H$73,MATCH(KF$3,'Standards for Conversions'!$A$47:$A$73,0))))</f>
        <v/>
      </c>
      <c r="KI23" s="31">
        <v>263.25</v>
      </c>
      <c r="KJ23" s="31">
        <v>735</v>
      </c>
      <c r="KK23" s="31">
        <f>IF(KJ23/(INDEX('Standards for Conversions'!$H$47:$H$73,MATCH(KI$3,'Standards for Conversions'!$A$47:$A$73,0)))=0,"",KJ23/(INDEX('Standards for Conversions'!$H$47:$H$73,MATCH(KI$3,'Standards for Conversions'!$A$47:$A$73,0))))</f>
        <v>89.388176544711897</v>
      </c>
      <c r="KL23" s="31"/>
      <c r="KM23" s="31"/>
      <c r="KN23" s="31" t="str">
        <f>IF(KM23/(INDEX('Standards for Conversions'!$H$47:$H$73,MATCH(KL$3,'Standards for Conversions'!$A$47:$A$73,0)))=0,"",KM23/(INDEX('Standards for Conversions'!$H$47:$H$73,MATCH(KL$3,'Standards for Conversions'!$A$47:$A$73,0))))</f>
        <v/>
      </c>
      <c r="KO23" s="31">
        <f t="shared" si="42"/>
        <v>263.25</v>
      </c>
      <c r="KP23" s="31">
        <f t="shared" si="42"/>
        <v>735</v>
      </c>
      <c r="KQ23" s="31">
        <f>IF(KP23/(INDEX('Standards for Conversions'!$H$47:$H$73,MATCH(KO$3,'Standards for Conversions'!$A$47:$A$73,0)))=0,"",KP23/(INDEX('Standards for Conversions'!$H$47:$H$73,MATCH(KO$3,'Standards for Conversions'!$A$47:$A$73,0))))</f>
        <v>89.388176544711897</v>
      </c>
      <c r="KR23" s="31"/>
      <c r="KS23" s="31"/>
      <c r="KT23" s="31" t="str">
        <f>IF(KS23/(INDEX('Standards for Conversions'!$H$47:$H$73,MATCH(KR$3,'Standards for Conversions'!$A$47:$A$73,0)))=0,"",KS23/(INDEX('Standards for Conversions'!$H$47:$H$73,MATCH(KR$3,'Standards for Conversions'!$A$47:$A$73,0))))</f>
        <v/>
      </c>
      <c r="KU23" s="31"/>
      <c r="KV23" s="31"/>
      <c r="KW23" s="31" t="str">
        <f>IF(KV23/(INDEX('Standards for Conversions'!$H$47:$H$73,MATCH(KU$3,'Standards for Conversions'!$A$47:$A$73,0)))=0,"",KV23/(INDEX('Standards for Conversions'!$H$47:$H$73,MATCH(KU$3,'Standards for Conversions'!$A$47:$A$73,0))))</f>
        <v/>
      </c>
      <c r="KX23" s="31"/>
      <c r="KY23" s="31"/>
      <c r="KZ23" s="31" t="str">
        <f>IF(KY23/(INDEX('Standards for Conversions'!$H$47:$H$73,MATCH(KX$3,'Standards for Conversions'!$A$47:$A$73,0)))=0,"",KY23/(INDEX('Standards for Conversions'!$H$47:$H$73,MATCH(KX$3,'Standards for Conversions'!$A$47:$A$73,0))))</f>
        <v/>
      </c>
      <c r="LA23" s="31"/>
      <c r="LB23" s="31"/>
      <c r="LC23" s="31" t="str">
        <f>IF(LB23/(INDEX('Standards for Conversions'!$H$47:$H$73,MATCH(LA$3,'Standards for Conversions'!$A$47:$A$73,0)))=0,"",LB23/(INDEX('Standards for Conversions'!$H$47:$H$73,MATCH(LA$3,'Standards for Conversions'!$A$47:$A$73,0))))</f>
        <v/>
      </c>
      <c r="LD23" s="31"/>
      <c r="LE23" s="31"/>
      <c r="LF23" s="31" t="str">
        <f>IF(LE23/(INDEX('Standards for Conversions'!$H$47:$H$73,MATCH(LD$3,'Standards for Conversions'!$A$47:$A$73,0)))=0,"",LE23/(INDEX('Standards for Conversions'!$H$47:$H$73,MATCH(LD$3,'Standards for Conversions'!$A$47:$A$73,0))))</f>
        <v/>
      </c>
      <c r="LG23" s="31"/>
      <c r="LH23" s="31"/>
      <c r="LI23" s="31" t="str">
        <f>IF(LH23/(INDEX('Standards for Conversions'!$H$47:$H$73,MATCH(LG$3,'Standards for Conversions'!$A$47:$A$73,0)))=0,"",LH23/(INDEX('Standards for Conversions'!$H$47:$H$73,MATCH(LG$3,'Standards for Conversions'!$A$47:$A$73,0))))</f>
        <v/>
      </c>
      <c r="LJ23" s="31"/>
      <c r="LK23" s="31"/>
      <c r="LL23" s="31" t="str">
        <f>IF(LK23/(INDEX('Standards for Conversions'!$H$47:$H$73,MATCH(LJ$3,'Standards for Conversions'!$A$47:$A$73,0)))=0,"",LK23/(INDEX('Standards for Conversions'!$H$47:$H$73,MATCH(LJ$3,'Standards for Conversions'!$A$47:$A$73,0))))</f>
        <v/>
      </c>
      <c r="LM23" s="31"/>
      <c r="LN23" s="31"/>
      <c r="LO23" s="31" t="str">
        <f>IF(LN23/(INDEX('Standards for Conversions'!$H$47:$H$73,MATCH(LM$3,'Standards for Conversions'!$A$47:$A$73,0)))=0,"",LN23/(INDEX('Standards for Conversions'!$H$47:$H$73,MATCH(LM$3,'Standards for Conversions'!$A$47:$A$73,0))))</f>
        <v/>
      </c>
      <c r="LP23" s="31"/>
      <c r="LQ23" s="31"/>
      <c r="LR23" s="31" t="str">
        <f>IF(LQ23/(INDEX('Standards for Conversions'!$H$47:$H$73,MATCH(LP$3,'Standards for Conversions'!$A$47:$A$73,0)))=0,"",LQ23/(INDEX('Standards for Conversions'!$H$47:$H$73,MATCH(LP$3,'Standards for Conversions'!$A$47:$A$73,0))))</f>
        <v/>
      </c>
      <c r="LS23" s="31"/>
      <c r="LT23" s="31"/>
      <c r="LU23" s="31" t="str">
        <f>IF(LT23/(INDEX('Standards for Conversions'!$H$47:$H$73,MATCH(LS$3,'Standards for Conversions'!$A$47:$A$73,0)))=0,"",LT23/(INDEX('Standards for Conversions'!$H$47:$H$73,MATCH(LS$3,'Standards for Conversions'!$A$47:$A$73,0))))</f>
        <v/>
      </c>
      <c r="LV23" s="31"/>
      <c r="LW23" s="31"/>
      <c r="LX23" s="31" t="str">
        <f>IF(LW23/(INDEX('Standards for Conversions'!$H$47:$H$73,MATCH(LV$3,'Standards for Conversions'!$A$47:$A$73,0)))=0,"",LW23/(INDEX('Standards for Conversions'!$H$47:$H$73,MATCH(LV$3,'Standards for Conversions'!$A$47:$A$73,0))))</f>
        <v/>
      </c>
      <c r="LY23" s="31"/>
      <c r="LZ23" s="31"/>
      <c r="MA23" s="31"/>
      <c r="MB23" s="31"/>
      <c r="MC23" s="31"/>
      <c r="MD23" s="31"/>
      <c r="ME23" s="31"/>
      <c r="MF23" s="31"/>
      <c r="MG23" s="31"/>
      <c r="MH23" s="31"/>
      <c r="MI23" s="31"/>
      <c r="MJ23" s="31"/>
      <c r="MK23" s="31"/>
      <c r="ML23" s="31"/>
      <c r="MM23" s="31"/>
      <c r="MN23" s="31"/>
    </row>
    <row r="24" spans="1:352" s="33" customFormat="1" ht="14.4" customHeight="1" x14ac:dyDescent="0.3">
      <c r="A24" s="102" t="s">
        <v>360</v>
      </c>
      <c r="B24" s="10" t="s">
        <v>374</v>
      </c>
      <c r="C24" s="9"/>
      <c r="D24" s="9"/>
      <c r="E24" s="31"/>
      <c r="F24" s="9"/>
      <c r="G24" s="9"/>
      <c r="H24" s="31"/>
      <c r="I24" s="9">
        <v>10</v>
      </c>
      <c r="J24" s="9">
        <v>250</v>
      </c>
      <c r="K24" s="31">
        <v>49.385557432432428</v>
      </c>
      <c r="L24" s="9"/>
      <c r="M24" s="9"/>
      <c r="N24" s="31"/>
      <c r="O24" s="31">
        <f t="shared" si="4"/>
        <v>10</v>
      </c>
      <c r="P24" s="31">
        <f t="shared" si="5"/>
        <v>250</v>
      </c>
      <c r="Q24" s="31">
        <f>IF(P24/(INDEX('Standards for Conversions'!$H$34:$H$73,MATCH(O$3,'Standards for Conversions'!$A$34:$A$73,0)))=0,"",P24/(INDEX('Standards for Conversions'!$H$34:$H$73,MATCH(O$3,'Standards for Conversions'!$A$34:$A$73,0))))</f>
        <v>49.385557432432428</v>
      </c>
      <c r="R24" s="9"/>
      <c r="S24" s="9"/>
      <c r="T24" s="31"/>
      <c r="U24" s="9"/>
      <c r="V24" s="9"/>
      <c r="W24" s="31"/>
      <c r="X24" s="9">
        <v>15</v>
      </c>
      <c r="Y24" s="9">
        <v>400</v>
      </c>
      <c r="Z24" s="31">
        <v>77.068994235392935</v>
      </c>
      <c r="AA24" s="9"/>
      <c r="AB24" s="9"/>
      <c r="AC24" s="31"/>
      <c r="AD24" s="31">
        <f t="shared" si="6"/>
        <v>15</v>
      </c>
      <c r="AE24" s="31">
        <f t="shared" si="7"/>
        <v>400</v>
      </c>
      <c r="AF24" s="31">
        <f>IF(AE24/(INDEX('Standards for Conversions'!$H$34:$H$73,MATCH(AD$3,'Standards for Conversions'!$A$34:$A$73,0)))=0,"",AE24/(INDEX('Standards for Conversions'!$H$34:$H$73,MATCH(AD$3,'Standards for Conversions'!$A$34:$A$73,0))))</f>
        <v>77.068994235392935</v>
      </c>
      <c r="AG24" s="9"/>
      <c r="AH24" s="9"/>
      <c r="AI24" s="31"/>
      <c r="AJ24" s="9"/>
      <c r="AK24" s="9"/>
      <c r="AL24" s="31"/>
      <c r="AM24" s="9">
        <v>20</v>
      </c>
      <c r="AN24" s="9">
        <v>200</v>
      </c>
      <c r="AO24" s="31">
        <v>35.739687436632771</v>
      </c>
      <c r="AP24" s="9"/>
      <c r="AQ24" s="9"/>
      <c r="AR24" s="31"/>
      <c r="AS24" s="31">
        <f t="shared" si="8"/>
        <v>20</v>
      </c>
      <c r="AT24" s="31">
        <f t="shared" si="9"/>
        <v>200</v>
      </c>
      <c r="AU24" s="31">
        <f>IF(AT24/(INDEX('Standards for Conversions'!$H$34:$H$73,MATCH(AS$3,'Standards for Conversions'!$A$34:$A$73,0)))=0,"",AT24/(INDEX('Standards for Conversions'!$H$34:$H$73,MATCH(AS$3,'Standards for Conversions'!$A$34:$A$73,0))))</f>
        <v>35.739687436632771</v>
      </c>
      <c r="AV24" s="9"/>
      <c r="AW24" s="9"/>
      <c r="AX24" s="31"/>
      <c r="AY24" s="9"/>
      <c r="AZ24" s="9"/>
      <c r="BA24" s="31"/>
      <c r="BB24" s="9">
        <v>15</v>
      </c>
      <c r="BC24" s="9">
        <v>300</v>
      </c>
      <c r="BD24" s="31">
        <v>55.70563841574694</v>
      </c>
      <c r="BE24" s="9"/>
      <c r="BF24" s="9"/>
      <c r="BG24" s="31"/>
      <c r="BH24" s="31">
        <f t="shared" si="10"/>
        <v>15</v>
      </c>
      <c r="BI24" s="31">
        <f t="shared" si="11"/>
        <v>300</v>
      </c>
      <c r="BJ24" s="31">
        <f>IF(BI24/(INDEX('Standards for Conversions'!$H$34:$H$73,MATCH(BH$3,'Standards for Conversions'!$A$34:$A$73,0)))=0,"",BI24/(INDEX('Standards for Conversions'!$H$34:$H$73,MATCH(BH$3,'Standards for Conversions'!$A$34:$A$73,0))))</f>
        <v>55.70563841574694</v>
      </c>
      <c r="BK24" s="9"/>
      <c r="BL24" s="9"/>
      <c r="BM24" s="31"/>
      <c r="BN24" s="9"/>
      <c r="BO24" s="9"/>
      <c r="BP24" s="31"/>
      <c r="BQ24" s="9">
        <v>20</v>
      </c>
      <c r="BR24" s="9">
        <v>400</v>
      </c>
      <c r="BS24" s="31">
        <v>71.225301265896107</v>
      </c>
      <c r="BT24" s="7"/>
      <c r="BU24" s="7"/>
      <c r="BV24" s="31"/>
      <c r="BW24" s="31">
        <f t="shared" si="12"/>
        <v>20</v>
      </c>
      <c r="BX24" s="31">
        <f t="shared" si="13"/>
        <v>400</v>
      </c>
      <c r="BY24" s="31">
        <f>IF(BX24/(INDEX('Standards for Conversions'!$H$34:$H$73,MATCH(BW$3,'Standards for Conversions'!$A$34:$A$73,0)))=0,"",BX24/(INDEX('Standards for Conversions'!$H$34:$H$73,MATCH(BW$3,'Standards for Conversions'!$A$34:$A$73,0))))</f>
        <v>71.225301265896107</v>
      </c>
      <c r="BZ24" s="7"/>
      <c r="CA24" s="7"/>
      <c r="CB24" s="31"/>
      <c r="CC24" s="7"/>
      <c r="CD24" s="7"/>
      <c r="CE24" s="31"/>
      <c r="CF24" s="9">
        <v>40</v>
      </c>
      <c r="CG24" s="9">
        <v>1600</v>
      </c>
      <c r="CH24" s="31">
        <v>277.78714405724054</v>
      </c>
      <c r="CI24" s="7"/>
      <c r="CJ24" s="7"/>
      <c r="CK24" s="31"/>
      <c r="CL24" s="31">
        <f t="shared" si="14"/>
        <v>40</v>
      </c>
      <c r="CM24" s="31">
        <f t="shared" si="15"/>
        <v>1600</v>
      </c>
      <c r="CN24" s="31">
        <f>IF(CM24/(INDEX('Standards for Conversions'!$H$34:$H$73,MATCH(CL$3,'Standards for Conversions'!$A$34:$A$73,0)))=0,"",CM24/(INDEX('Standards for Conversions'!$H$34:$H$73,MATCH(CL$3,'Standards for Conversions'!$A$34:$A$73,0))))</f>
        <v>277.78714405724054</v>
      </c>
      <c r="CO24" s="7"/>
      <c r="CP24" s="7"/>
      <c r="CQ24" s="31"/>
      <c r="CR24" s="7"/>
      <c r="CS24" s="7"/>
      <c r="CT24" s="31"/>
      <c r="CU24" s="9"/>
      <c r="CV24" s="9"/>
      <c r="CW24" s="31"/>
      <c r="CX24" s="7"/>
      <c r="CY24" s="7"/>
      <c r="CZ24" s="31"/>
      <c r="DA24" s="31">
        <f t="shared" si="16"/>
        <v>0</v>
      </c>
      <c r="DB24" s="31">
        <f t="shared" si="17"/>
        <v>0</v>
      </c>
      <c r="DC24" s="31" t="str">
        <f>IF(DB24/(INDEX('Standards for Conversions'!$H$34:$H$73,MATCH(DA$3,'Standards for Conversions'!$A$34:$A$73,0)))=0,"",DB24/(INDEX('Standards for Conversions'!$H$34:$H$73,MATCH(DA$3,'Standards for Conversions'!$A$34:$A$73,0))))</f>
        <v/>
      </c>
      <c r="DD24" s="7"/>
      <c r="DE24" s="7"/>
      <c r="DF24" s="31"/>
      <c r="DG24" s="7"/>
      <c r="DH24" s="7"/>
      <c r="DI24" s="31"/>
      <c r="DJ24" s="9"/>
      <c r="DK24" s="9"/>
      <c r="DL24" s="31"/>
      <c r="DM24" s="7"/>
      <c r="DN24" s="7"/>
      <c r="DO24" s="31"/>
      <c r="DP24" s="31">
        <f t="shared" si="18"/>
        <v>0</v>
      </c>
      <c r="DQ24" s="31">
        <f t="shared" si="19"/>
        <v>0</v>
      </c>
      <c r="DR24" s="31" t="str">
        <f>IF(DQ24/(INDEX('Standards for Conversions'!$H$34:$H$73,MATCH(DP$3,'Standards for Conversions'!$A$34:$A$73,0)))=0,"",DQ24/(INDEX('Standards for Conversions'!$H$34:$H$73,MATCH(DP$3,'Standards for Conversions'!$A$34:$A$73,0))))</f>
        <v/>
      </c>
      <c r="DS24" s="7"/>
      <c r="DT24" s="7"/>
      <c r="DU24" s="31"/>
      <c r="DV24" s="7"/>
      <c r="DW24" s="7"/>
      <c r="DX24" s="31"/>
      <c r="DY24" s="9"/>
      <c r="DZ24" s="9"/>
      <c r="EA24" s="31"/>
      <c r="EB24" s="7"/>
      <c r="EC24" s="7"/>
      <c r="ED24" s="31"/>
      <c r="EE24" s="31">
        <f t="shared" si="20"/>
        <v>0</v>
      </c>
      <c r="EF24" s="31">
        <f t="shared" si="21"/>
        <v>0</v>
      </c>
      <c r="EG24" s="31" t="str">
        <f>IF(EF24/(INDEX('Standards for Conversions'!$H$34:$H$73,MATCH(EE$3,'Standards for Conversions'!$A$34:$A$73,0)))=0,"",EF24/(INDEX('Standards for Conversions'!$H$34:$H$73,MATCH(EE$3,'Standards for Conversions'!$A$34:$A$73,0))))</f>
        <v/>
      </c>
      <c r="EH24" s="7"/>
      <c r="EI24" s="7"/>
      <c r="EJ24" s="31"/>
      <c r="EK24" s="7"/>
      <c r="EL24" s="7"/>
      <c r="EM24" s="31"/>
      <c r="EN24" s="9"/>
      <c r="EO24" s="9"/>
      <c r="EP24" s="31"/>
      <c r="EQ24" s="7"/>
      <c r="ER24" s="7"/>
      <c r="ES24" s="31"/>
      <c r="ET24" s="31">
        <f t="shared" si="22"/>
        <v>0</v>
      </c>
      <c r="EU24" s="31">
        <f t="shared" si="23"/>
        <v>0</v>
      </c>
      <c r="EV24" s="31" t="str">
        <f>IF(EU24/(INDEX('Standards for Conversions'!$H$34:$H$73,MATCH(ET$3,'Standards for Conversions'!$A$34:$A$73,0)))=0,"",EU24/(INDEX('Standards for Conversions'!$H$34:$H$73,MATCH(ET$3,'Standards for Conversions'!$A$34:$A$73,0))))</f>
        <v/>
      </c>
      <c r="EW24" s="7"/>
      <c r="EX24" s="7"/>
      <c r="EY24" s="31"/>
      <c r="EZ24" s="7"/>
      <c r="FA24" s="7"/>
      <c r="FB24" s="31"/>
      <c r="FC24" s="9"/>
      <c r="FD24" s="9"/>
      <c r="FE24" s="31"/>
      <c r="FF24" s="7"/>
      <c r="FG24" s="7"/>
      <c r="FH24" s="31"/>
      <c r="FI24" s="31">
        <f t="shared" si="24"/>
        <v>0</v>
      </c>
      <c r="FJ24" s="31">
        <f t="shared" si="25"/>
        <v>0</v>
      </c>
      <c r="FK24" s="31" t="str">
        <f>IF(FJ24/(INDEX('Standards for Conversions'!$H$34:$H$73,MATCH(FI$3,'Standards for Conversions'!$A$34:$A$73,0)))=0,"",FJ24/(INDEX('Standards for Conversions'!$H$34:$H$73,MATCH(FI$3,'Standards for Conversions'!$A$34:$A$73,0))))</f>
        <v/>
      </c>
      <c r="FL24" s="7"/>
      <c r="FM24" s="7"/>
      <c r="FN24" s="31"/>
      <c r="FO24" s="7"/>
      <c r="FP24" s="7"/>
      <c r="FQ24" s="31"/>
      <c r="FR24" s="9"/>
      <c r="FS24" s="9"/>
      <c r="FT24" s="31"/>
      <c r="FU24" s="7"/>
      <c r="FV24" s="7"/>
      <c r="FW24" s="31"/>
      <c r="FX24" s="31">
        <f t="shared" si="26"/>
        <v>0</v>
      </c>
      <c r="FY24" s="31">
        <f t="shared" si="27"/>
        <v>0</v>
      </c>
      <c r="FZ24" s="31" t="str">
        <f>IF(FY24/(INDEX('Standards for Conversions'!$H$34:$H$73,MATCH(FX$3,'Standards for Conversions'!$A$34:$A$73,0)))=0,"",FY24/(INDEX('Standards for Conversions'!$H$34:$H$73,MATCH(FX$3,'Standards for Conversions'!$A$34:$A$73,0))))</f>
        <v/>
      </c>
      <c r="GA24" s="7"/>
      <c r="GB24" s="7"/>
      <c r="GC24" s="31"/>
      <c r="GD24" s="7"/>
      <c r="GE24" s="7"/>
      <c r="GF24" s="31"/>
      <c r="GG24" s="9"/>
      <c r="GH24" s="9"/>
      <c r="GI24" s="31"/>
      <c r="GJ24" s="7"/>
      <c r="GK24" s="7"/>
      <c r="GL24" s="31"/>
      <c r="GM24" s="31">
        <f t="shared" si="28"/>
        <v>0</v>
      </c>
      <c r="GN24" s="31">
        <f t="shared" si="29"/>
        <v>0</v>
      </c>
      <c r="GO24" s="31" t="str">
        <f>IF(GN24/(INDEX('Standards for Conversions'!$H$34:$H$73,MATCH(GM$3,'Standards for Conversions'!$A$34:$A$73,0)))=0,"",GN24/(INDEX('Standards for Conversions'!$H$34:$H$73,MATCH(GM$3,'Standards for Conversions'!$A$34:$A$73,0))))</f>
        <v/>
      </c>
      <c r="GP24" s="7"/>
      <c r="GQ24" s="7"/>
      <c r="GR24" s="31"/>
      <c r="GS24" s="7"/>
      <c r="GT24" s="7"/>
      <c r="GU24" s="31"/>
      <c r="GV24" s="9"/>
      <c r="GW24" s="9"/>
      <c r="GX24" s="31"/>
      <c r="GY24" s="7"/>
      <c r="GZ24" s="7"/>
      <c r="HA24" s="31"/>
      <c r="HB24" s="31">
        <f t="shared" si="30"/>
        <v>0</v>
      </c>
      <c r="HC24" s="31">
        <f t="shared" si="31"/>
        <v>0</v>
      </c>
      <c r="HD24" s="31" t="str">
        <f>IF(HC24/(INDEX('Standards for Conversions'!$H$34:$H$73,MATCH(HB$3,'Standards for Conversions'!$A$34:$A$73,0)))=0,"",HC24/(INDEX('Standards for Conversions'!$H$34:$H$73,MATCH(HB$3,'Standards for Conversions'!$A$34:$A$73,0))))</f>
        <v/>
      </c>
      <c r="HE24" s="112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1"/>
      <c r="IV24" s="31"/>
      <c r="IW24" s="31"/>
      <c r="IX24" s="31"/>
      <c r="IY24" s="31"/>
      <c r="IZ24" s="31"/>
      <c r="JA24" s="31"/>
      <c r="JB24" s="31"/>
      <c r="JC24" s="31"/>
      <c r="JD24" s="31"/>
      <c r="JE24" s="31"/>
      <c r="JF24" s="31"/>
      <c r="JG24" s="31"/>
      <c r="JH24" s="31"/>
      <c r="JI24" s="31"/>
      <c r="JJ24" s="31"/>
      <c r="JK24" s="31"/>
      <c r="JL24" s="31"/>
      <c r="JM24" s="31"/>
      <c r="JN24" s="31"/>
      <c r="JO24" s="31"/>
      <c r="JP24" s="31"/>
      <c r="JQ24" s="31"/>
      <c r="JR24" s="31"/>
      <c r="JS24" s="31"/>
      <c r="JT24" s="31"/>
      <c r="JU24" s="31"/>
      <c r="JV24" s="31"/>
      <c r="JW24" s="31"/>
      <c r="JX24" s="31"/>
      <c r="JY24" s="31"/>
      <c r="JZ24" s="31"/>
      <c r="KA24" s="31"/>
      <c r="KB24" s="31"/>
      <c r="KC24" s="31"/>
      <c r="KD24" s="31"/>
      <c r="KE24" s="31"/>
      <c r="KF24" s="31"/>
      <c r="KG24" s="31"/>
      <c r="KH24" s="31"/>
      <c r="KI24" s="31"/>
      <c r="KJ24" s="31"/>
      <c r="KK24" s="31"/>
      <c r="KL24" s="31"/>
      <c r="KM24" s="31"/>
      <c r="KN24" s="31"/>
      <c r="KO24" s="31"/>
      <c r="KP24" s="31"/>
      <c r="KQ24" s="31"/>
      <c r="KR24" s="31"/>
      <c r="KS24" s="31"/>
      <c r="KT24" s="31"/>
      <c r="KU24" s="31"/>
      <c r="KV24" s="31"/>
      <c r="KW24" s="31"/>
      <c r="KX24" s="31"/>
      <c r="KY24" s="31"/>
      <c r="KZ24" s="31"/>
      <c r="LA24" s="31"/>
      <c r="LB24" s="31"/>
      <c r="LC24" s="31"/>
      <c r="LD24" s="31"/>
      <c r="LE24" s="31"/>
      <c r="LF24" s="31"/>
      <c r="LG24" s="31"/>
      <c r="LH24" s="31"/>
      <c r="LI24" s="31"/>
      <c r="LJ24" s="31"/>
      <c r="LK24" s="31"/>
      <c r="LL24" s="31"/>
      <c r="LM24" s="31"/>
      <c r="LN24" s="31"/>
      <c r="LO24" s="31"/>
      <c r="LP24" s="31"/>
      <c r="LQ24" s="31"/>
      <c r="LR24" s="31"/>
      <c r="LS24" s="31"/>
      <c r="LT24" s="31"/>
      <c r="LU24" s="31"/>
      <c r="LV24" s="31"/>
      <c r="LW24" s="31"/>
      <c r="LX24" s="31"/>
      <c r="LY24" s="31"/>
      <c r="LZ24" s="31"/>
      <c r="MA24" s="31"/>
      <c r="MB24" s="31"/>
      <c r="MC24" s="31"/>
      <c r="MD24" s="31"/>
      <c r="ME24" s="31"/>
      <c r="MF24" s="31"/>
      <c r="MG24" s="31"/>
      <c r="MH24" s="31"/>
      <c r="MI24" s="31"/>
      <c r="MJ24" s="31"/>
      <c r="MK24" s="31"/>
      <c r="ML24" s="31"/>
      <c r="MM24" s="31"/>
      <c r="MN24" s="31"/>
    </row>
    <row r="25" spans="1:352" s="33" customFormat="1" ht="14.4" customHeight="1" x14ac:dyDescent="0.3">
      <c r="A25" s="102" t="s">
        <v>205</v>
      </c>
      <c r="B25" s="10" t="s">
        <v>399</v>
      </c>
      <c r="C25" s="7"/>
      <c r="D25" s="7"/>
      <c r="E25" s="31" t="s">
        <v>128</v>
      </c>
      <c r="F25" s="7"/>
      <c r="G25" s="7"/>
      <c r="H25" s="31" t="s">
        <v>128</v>
      </c>
      <c r="I25" s="9"/>
      <c r="J25" s="9"/>
      <c r="K25" s="31" t="s">
        <v>128</v>
      </c>
      <c r="L25" s="7"/>
      <c r="M25" s="7"/>
      <c r="N25" s="31" t="s">
        <v>128</v>
      </c>
      <c r="O25" s="31">
        <f t="shared" si="4"/>
        <v>0</v>
      </c>
      <c r="P25" s="31">
        <f t="shared" si="5"/>
        <v>0</v>
      </c>
      <c r="Q25" s="31" t="str">
        <f>IF(P25/(INDEX('Standards for Conversions'!$H$34:$H$73,MATCH(O$3,'Standards for Conversions'!$A$34:$A$73,0)))=0,"",P25/(INDEX('Standards for Conversions'!$H$34:$H$73,MATCH(O$3,'Standards for Conversions'!$A$34:$A$73,0))))</f>
        <v/>
      </c>
      <c r="R25" s="7"/>
      <c r="S25" s="7"/>
      <c r="T25" s="31" t="s">
        <v>128</v>
      </c>
      <c r="U25" s="7"/>
      <c r="V25" s="7"/>
      <c r="W25" s="31" t="s">
        <v>128</v>
      </c>
      <c r="X25" s="9"/>
      <c r="Y25" s="9"/>
      <c r="Z25" s="31" t="s">
        <v>128</v>
      </c>
      <c r="AA25" s="7"/>
      <c r="AB25" s="7"/>
      <c r="AC25" s="31" t="s">
        <v>128</v>
      </c>
      <c r="AD25" s="31">
        <f t="shared" si="6"/>
        <v>0</v>
      </c>
      <c r="AE25" s="31">
        <f t="shared" si="7"/>
        <v>0</v>
      </c>
      <c r="AF25" s="31" t="str">
        <f>IF(AE25/(INDEX('Standards for Conversions'!$H$34:$H$73,MATCH(AD$3,'Standards for Conversions'!$A$34:$A$73,0)))=0,"",AE25/(INDEX('Standards for Conversions'!$H$34:$H$73,MATCH(AD$3,'Standards for Conversions'!$A$34:$A$73,0))))</f>
        <v/>
      </c>
      <c r="AG25" s="7"/>
      <c r="AH25" s="7"/>
      <c r="AI25" s="31" t="s">
        <v>128</v>
      </c>
      <c r="AJ25" s="7"/>
      <c r="AK25" s="7"/>
      <c r="AL25" s="31" t="s">
        <v>128</v>
      </c>
      <c r="AM25" s="9"/>
      <c r="AN25" s="9"/>
      <c r="AO25" s="31" t="s">
        <v>128</v>
      </c>
      <c r="AP25" s="7"/>
      <c r="AQ25" s="7"/>
      <c r="AR25" s="31" t="s">
        <v>128</v>
      </c>
      <c r="AS25" s="31">
        <f t="shared" si="8"/>
        <v>0</v>
      </c>
      <c r="AT25" s="31">
        <f t="shared" si="9"/>
        <v>0</v>
      </c>
      <c r="AU25" s="31" t="str">
        <f>IF(AT25/(INDEX('Standards for Conversions'!$H$34:$H$73,MATCH(AS$3,'Standards for Conversions'!$A$34:$A$73,0)))=0,"",AT25/(INDEX('Standards for Conversions'!$H$34:$H$73,MATCH(AS$3,'Standards for Conversions'!$A$34:$A$73,0))))</f>
        <v/>
      </c>
      <c r="AV25" s="7"/>
      <c r="AW25" s="7"/>
      <c r="AX25" s="31" t="s">
        <v>128</v>
      </c>
      <c r="AY25" s="7"/>
      <c r="AZ25" s="7"/>
      <c r="BA25" s="31" t="s">
        <v>128</v>
      </c>
      <c r="BB25" s="9"/>
      <c r="BC25" s="9"/>
      <c r="BD25" s="31" t="s">
        <v>128</v>
      </c>
      <c r="BE25" s="7"/>
      <c r="BF25" s="7"/>
      <c r="BG25" s="31" t="s">
        <v>128</v>
      </c>
      <c r="BH25" s="31">
        <f t="shared" si="10"/>
        <v>0</v>
      </c>
      <c r="BI25" s="31">
        <f t="shared" si="11"/>
        <v>0</v>
      </c>
      <c r="BJ25" s="31" t="str">
        <f>IF(BI25/(INDEX('Standards for Conversions'!$H$34:$H$73,MATCH(BH$3,'Standards for Conversions'!$A$34:$A$73,0)))=0,"",BI25/(INDEX('Standards for Conversions'!$H$34:$H$73,MATCH(BH$3,'Standards for Conversions'!$A$34:$A$73,0))))</f>
        <v/>
      </c>
      <c r="BK25" s="7"/>
      <c r="BL25" s="7"/>
      <c r="BM25" s="31" t="s">
        <v>128</v>
      </c>
      <c r="BN25" s="7"/>
      <c r="BO25" s="7"/>
      <c r="BP25" s="31" t="s">
        <v>128</v>
      </c>
      <c r="BQ25" s="9"/>
      <c r="BR25" s="9"/>
      <c r="BS25" s="31" t="s">
        <v>128</v>
      </c>
      <c r="BT25" s="7"/>
      <c r="BU25" s="7"/>
      <c r="BV25" s="31" t="s">
        <v>128</v>
      </c>
      <c r="BW25" s="31">
        <f t="shared" si="12"/>
        <v>0</v>
      </c>
      <c r="BX25" s="31">
        <f t="shared" si="13"/>
        <v>0</v>
      </c>
      <c r="BY25" s="31" t="str">
        <f>IF(BX25/(INDEX('Standards for Conversions'!$H$34:$H$73,MATCH(BW$3,'Standards for Conversions'!$A$34:$A$73,0)))=0,"",BX25/(INDEX('Standards for Conversions'!$H$34:$H$73,MATCH(BW$3,'Standards for Conversions'!$A$34:$A$73,0))))</f>
        <v/>
      </c>
      <c r="BZ25" s="7"/>
      <c r="CA25" s="7"/>
      <c r="CB25" s="31" t="s">
        <v>128</v>
      </c>
      <c r="CC25" s="7"/>
      <c r="CD25" s="7"/>
      <c r="CE25" s="31" t="s">
        <v>128</v>
      </c>
      <c r="CF25" s="9"/>
      <c r="CG25" s="9"/>
      <c r="CH25" s="31" t="s">
        <v>128</v>
      </c>
      <c r="CI25" s="7"/>
      <c r="CJ25" s="7"/>
      <c r="CK25" s="31" t="s">
        <v>128</v>
      </c>
      <c r="CL25" s="31">
        <f t="shared" si="14"/>
        <v>0</v>
      </c>
      <c r="CM25" s="31">
        <f t="shared" si="15"/>
        <v>0</v>
      </c>
      <c r="CN25" s="31" t="str">
        <f>IF(CM25/(INDEX('Standards for Conversions'!$H$34:$H$73,MATCH(CL$3,'Standards for Conversions'!$A$34:$A$73,0)))=0,"",CM25/(INDEX('Standards for Conversions'!$H$34:$H$73,MATCH(CL$3,'Standards for Conversions'!$A$34:$A$73,0))))</f>
        <v/>
      </c>
      <c r="CO25" s="7"/>
      <c r="CP25" s="7"/>
      <c r="CQ25" s="31" t="s">
        <v>128</v>
      </c>
      <c r="CR25" s="7"/>
      <c r="CS25" s="7"/>
      <c r="CT25" s="31" t="s">
        <v>128</v>
      </c>
      <c r="CU25" s="9"/>
      <c r="CV25" s="9"/>
      <c r="CW25" s="31" t="s">
        <v>128</v>
      </c>
      <c r="CX25" s="7"/>
      <c r="CY25" s="7"/>
      <c r="CZ25" s="31" t="s">
        <v>128</v>
      </c>
      <c r="DA25" s="31">
        <f t="shared" si="16"/>
        <v>0</v>
      </c>
      <c r="DB25" s="31">
        <f t="shared" si="17"/>
        <v>0</v>
      </c>
      <c r="DC25" s="31" t="str">
        <f>IF(DB25/(INDEX('Standards for Conversions'!$H$34:$H$73,MATCH(DA$3,'Standards for Conversions'!$A$34:$A$73,0)))=0,"",DB25/(INDEX('Standards for Conversions'!$H$34:$H$73,MATCH(DA$3,'Standards for Conversions'!$A$34:$A$73,0))))</f>
        <v/>
      </c>
      <c r="DD25" s="7"/>
      <c r="DE25" s="7"/>
      <c r="DF25" s="31" t="s">
        <v>128</v>
      </c>
      <c r="DG25" s="7"/>
      <c r="DH25" s="7"/>
      <c r="DI25" s="31" t="s">
        <v>128</v>
      </c>
      <c r="DJ25" s="9"/>
      <c r="DK25" s="9"/>
      <c r="DL25" s="31" t="s">
        <v>128</v>
      </c>
      <c r="DM25" s="7"/>
      <c r="DN25" s="7"/>
      <c r="DO25" s="31" t="s">
        <v>128</v>
      </c>
      <c r="DP25" s="31">
        <f t="shared" si="18"/>
        <v>0</v>
      </c>
      <c r="DQ25" s="31">
        <f t="shared" si="19"/>
        <v>0</v>
      </c>
      <c r="DR25" s="31" t="str">
        <f>IF(DQ25/(INDEX('Standards for Conversions'!$H$34:$H$73,MATCH(DP$3,'Standards for Conversions'!$A$34:$A$73,0)))=0,"",DQ25/(INDEX('Standards for Conversions'!$H$34:$H$73,MATCH(DP$3,'Standards for Conversions'!$A$34:$A$73,0))))</f>
        <v/>
      </c>
      <c r="DS25" s="7"/>
      <c r="DT25" s="7"/>
      <c r="DU25" s="31" t="s">
        <v>128</v>
      </c>
      <c r="DV25" s="7"/>
      <c r="DW25" s="7"/>
      <c r="DX25" s="31" t="s">
        <v>128</v>
      </c>
      <c r="DY25" s="9"/>
      <c r="DZ25" s="9"/>
      <c r="EA25" s="31" t="s">
        <v>128</v>
      </c>
      <c r="EB25" s="7"/>
      <c r="EC25" s="7"/>
      <c r="ED25" s="31" t="s">
        <v>128</v>
      </c>
      <c r="EE25" s="31">
        <f t="shared" si="20"/>
        <v>0</v>
      </c>
      <c r="EF25" s="31">
        <f t="shared" si="21"/>
        <v>0</v>
      </c>
      <c r="EG25" s="31" t="str">
        <f>IF(EF25/(INDEX('Standards for Conversions'!$H$34:$H$73,MATCH(EE$3,'Standards for Conversions'!$A$34:$A$73,0)))=0,"",EF25/(INDEX('Standards for Conversions'!$H$34:$H$73,MATCH(EE$3,'Standards for Conversions'!$A$34:$A$73,0))))</f>
        <v/>
      </c>
      <c r="EH25" s="7"/>
      <c r="EI25" s="7"/>
      <c r="EJ25" s="31" t="s">
        <v>128</v>
      </c>
      <c r="EK25" s="7"/>
      <c r="EL25" s="7"/>
      <c r="EM25" s="31" t="s">
        <v>128</v>
      </c>
      <c r="EN25" s="9"/>
      <c r="EO25" s="9"/>
      <c r="EP25" s="31" t="s">
        <v>128</v>
      </c>
      <c r="EQ25" s="7"/>
      <c r="ER25" s="7"/>
      <c r="ES25" s="31" t="s">
        <v>128</v>
      </c>
      <c r="ET25" s="31">
        <f t="shared" si="22"/>
        <v>0</v>
      </c>
      <c r="EU25" s="31">
        <f t="shared" si="23"/>
        <v>0</v>
      </c>
      <c r="EV25" s="31" t="str">
        <f>IF(EU25/(INDEX('Standards for Conversions'!$H$34:$H$73,MATCH(ET$3,'Standards for Conversions'!$A$34:$A$73,0)))=0,"",EU25/(INDEX('Standards for Conversions'!$H$34:$H$73,MATCH(ET$3,'Standards for Conversions'!$A$34:$A$73,0))))</f>
        <v/>
      </c>
      <c r="EW25" s="7"/>
      <c r="EX25" s="7"/>
      <c r="EY25" s="31" t="s">
        <v>128</v>
      </c>
      <c r="EZ25" s="7"/>
      <c r="FA25" s="7"/>
      <c r="FB25" s="31" t="s">
        <v>128</v>
      </c>
      <c r="FC25" s="9"/>
      <c r="FD25" s="9"/>
      <c r="FE25" s="31" t="s">
        <v>128</v>
      </c>
      <c r="FF25" s="7"/>
      <c r="FG25" s="7"/>
      <c r="FH25" s="31" t="s">
        <v>128</v>
      </c>
      <c r="FI25" s="31">
        <f t="shared" si="24"/>
        <v>0</v>
      </c>
      <c r="FJ25" s="31">
        <f t="shared" si="25"/>
        <v>0</v>
      </c>
      <c r="FK25" s="31" t="str">
        <f>IF(FJ25/(INDEX('Standards for Conversions'!$H$34:$H$73,MATCH(FI$3,'Standards for Conversions'!$A$34:$A$73,0)))=0,"",FJ25/(INDEX('Standards for Conversions'!$H$34:$H$73,MATCH(FI$3,'Standards for Conversions'!$A$34:$A$73,0))))</f>
        <v/>
      </c>
      <c r="FL25" s="7"/>
      <c r="FM25" s="7"/>
      <c r="FN25" s="31" t="s">
        <v>128</v>
      </c>
      <c r="FO25" s="7"/>
      <c r="FP25" s="7"/>
      <c r="FQ25" s="31" t="s">
        <v>128</v>
      </c>
      <c r="FR25" s="9"/>
      <c r="FS25" s="9"/>
      <c r="FT25" s="31" t="s">
        <v>128</v>
      </c>
      <c r="FU25" s="7"/>
      <c r="FV25" s="7"/>
      <c r="FW25" s="31" t="s">
        <v>128</v>
      </c>
      <c r="FX25" s="31">
        <f t="shared" si="26"/>
        <v>0</v>
      </c>
      <c r="FY25" s="31">
        <f t="shared" si="27"/>
        <v>0</v>
      </c>
      <c r="FZ25" s="31" t="str">
        <f>IF(FY25/(INDEX('Standards for Conversions'!$H$34:$H$73,MATCH(FX$3,'Standards for Conversions'!$A$34:$A$73,0)))=0,"",FY25/(INDEX('Standards for Conversions'!$H$34:$H$73,MATCH(FX$3,'Standards for Conversions'!$A$34:$A$73,0))))</f>
        <v/>
      </c>
      <c r="GA25" s="7"/>
      <c r="GB25" s="7"/>
      <c r="GC25" s="31" t="s">
        <v>128</v>
      </c>
      <c r="GD25" s="7"/>
      <c r="GE25" s="7"/>
      <c r="GF25" s="31" t="s">
        <v>128</v>
      </c>
      <c r="GG25" s="9"/>
      <c r="GH25" s="9"/>
      <c r="GI25" s="31" t="s">
        <v>128</v>
      </c>
      <c r="GJ25" s="7"/>
      <c r="GK25" s="7"/>
      <c r="GL25" s="31" t="s">
        <v>128</v>
      </c>
      <c r="GM25" s="31">
        <f t="shared" si="28"/>
        <v>0</v>
      </c>
      <c r="GN25" s="31">
        <f t="shared" si="29"/>
        <v>0</v>
      </c>
      <c r="GO25" s="31" t="str">
        <f>IF(GN25/(INDEX('Standards for Conversions'!$H$34:$H$73,MATCH(GM$3,'Standards for Conversions'!$A$34:$A$73,0)))=0,"",GN25/(INDEX('Standards for Conversions'!$H$34:$H$73,MATCH(GM$3,'Standards for Conversions'!$A$34:$A$73,0))))</f>
        <v/>
      </c>
      <c r="GP25" s="7"/>
      <c r="GQ25" s="7"/>
      <c r="GR25" s="31" t="s">
        <v>128</v>
      </c>
      <c r="GS25" s="7"/>
      <c r="GT25" s="7"/>
      <c r="GU25" s="31" t="s">
        <v>128</v>
      </c>
      <c r="GV25" s="9"/>
      <c r="GW25" s="9"/>
      <c r="GX25" s="31" t="s">
        <v>128</v>
      </c>
      <c r="GY25" s="7"/>
      <c r="GZ25" s="7"/>
      <c r="HA25" s="31" t="s">
        <v>128</v>
      </c>
      <c r="HB25" s="31">
        <f t="shared" si="30"/>
        <v>0</v>
      </c>
      <c r="HC25" s="31">
        <f t="shared" si="31"/>
        <v>0</v>
      </c>
      <c r="HD25" s="31" t="str">
        <f>IF(HC25/(INDEX('Standards for Conversions'!$H$34:$H$73,MATCH(HB$3,'Standards for Conversions'!$A$34:$A$73,0)))=0,"",HC25/(INDEX('Standards for Conversions'!$H$34:$H$73,MATCH(HB$3,'Standards for Conversions'!$A$34:$A$73,0))))</f>
        <v/>
      </c>
      <c r="HE25" s="112"/>
      <c r="HF25" s="31"/>
      <c r="HG25" s="31"/>
      <c r="HH25" s="31" t="str">
        <f>IF(HG25/(INDEX('Standards for Conversions'!$H$47:$H$73,MATCH(HF$3,'Standards for Conversions'!$A$47:$A$73,0)))=0,"",HG25/(INDEX('Standards for Conversions'!$H$47:$H$73,MATCH(HF$3,'Standards for Conversions'!$A$47:$A$73,0))))</f>
        <v/>
      </c>
      <c r="HI25" s="31"/>
      <c r="HJ25" s="31"/>
      <c r="HK25" s="31" t="str">
        <f>IF(HJ25/(INDEX('Standards for Conversions'!$H$47:$H$73,MATCH(HI$3,'Standards for Conversions'!$A$47:$A$73,0)))=0,"",HJ25/(INDEX('Standards for Conversions'!$H$47:$H$73,MATCH(HI$3,'Standards for Conversions'!$A$47:$A$73,0))))</f>
        <v/>
      </c>
      <c r="HL25" s="31"/>
      <c r="HM25" s="31"/>
      <c r="HN25" s="31" t="str">
        <f>IF(HM25/(INDEX('Standards for Conversions'!$H$47:$H$73,MATCH(HL$3,'Standards for Conversions'!$A$47:$A$73,0)))=0,"",HM25/(INDEX('Standards for Conversions'!$H$47:$H$73,MATCH(HL$3,'Standards for Conversions'!$A$47:$A$73,0))))</f>
        <v/>
      </c>
      <c r="HO25" s="31"/>
      <c r="HP25" s="31"/>
      <c r="HQ25" s="31" t="str">
        <f>IF(HP25/(INDEX('Standards for Conversions'!$H$47:$H$73,MATCH(HO$3,'Standards for Conversions'!$A$47:$A$73,0)))=0,"",HP25/(INDEX('Standards for Conversions'!$H$47:$H$73,MATCH(HO$3,'Standards for Conversions'!$A$47:$A$73,0))))</f>
        <v/>
      </c>
      <c r="HR25" s="31"/>
      <c r="HS25" s="31"/>
      <c r="HT25" s="31" t="str">
        <f>IF(HS25/(INDEX('Standards for Conversions'!$H$47:$H$73,MATCH(HR$3,'Standards for Conversions'!$A$47:$A$73,0)))=0,"",HS25/(INDEX('Standards for Conversions'!$H$47:$H$73,MATCH(HR$3,'Standards for Conversions'!$A$47:$A$73,0))))</f>
        <v/>
      </c>
      <c r="HU25" s="31"/>
      <c r="HV25" s="31"/>
      <c r="HW25" s="31" t="str">
        <f>IF(HV25/(INDEX('Standards for Conversions'!$H$47:$H$73,MATCH(HU$3,'Standards for Conversions'!$A$47:$A$73,0)))=0,"",HV25/(INDEX('Standards for Conversions'!$H$47:$H$73,MATCH(HU$3,'Standards for Conversions'!$A$47:$A$73,0))))</f>
        <v/>
      </c>
      <c r="HX25" s="31"/>
      <c r="HY25" s="31"/>
      <c r="HZ25" s="31" t="str">
        <f>IF(HY25/(INDEX('Standards for Conversions'!$H$47:$H$73,MATCH(HX$3,'Standards for Conversions'!$A$47:$A$73,0)))=0,"",HY25/(INDEX('Standards for Conversions'!$H$47:$H$73,MATCH(HX$3,'Standards for Conversions'!$A$47:$A$73,0))))</f>
        <v/>
      </c>
      <c r="IA25" s="31"/>
      <c r="IB25" s="31"/>
      <c r="IC25" s="31" t="str">
        <f>IF(IB25/(INDEX('Standards for Conversions'!$H$47:$H$73,MATCH(IA$3,'Standards for Conversions'!$A$47:$A$73,0)))=0,"",IB25/(INDEX('Standards for Conversions'!$H$47:$H$73,MATCH(IA$3,'Standards for Conversions'!$A$47:$A$73,0))))</f>
        <v/>
      </c>
      <c r="ID25" s="31"/>
      <c r="IE25" s="31"/>
      <c r="IF25" s="31" t="str">
        <f>IF(IE25/(INDEX('Standards for Conversions'!$H$47:$H$73,MATCH(ID$3,'Standards for Conversions'!$A$47:$A$73,0)))=0,"",IE25/(INDEX('Standards for Conversions'!$H$47:$H$73,MATCH(ID$3,'Standards for Conversions'!$A$47:$A$73,0))))</f>
        <v/>
      </c>
      <c r="IG25" s="31"/>
      <c r="IH25" s="31"/>
      <c r="II25" s="31" t="str">
        <f>IF(IH25/(INDEX('Standards for Conversions'!$H$47:$H$73,MATCH(IG$3,'Standards for Conversions'!$A$47:$A$73,0)))=0,"",IH25/(INDEX('Standards for Conversions'!$H$47:$H$73,MATCH(IG$3,'Standards for Conversions'!$A$47:$A$73,0))))</f>
        <v/>
      </c>
      <c r="IJ25" s="31"/>
      <c r="IK25" s="31"/>
      <c r="IL25" s="31" t="str">
        <f>IF(IK25/(INDEX('Standards for Conversions'!$H$47:$H$73,MATCH(IJ$3,'Standards for Conversions'!$A$47:$A$73,0)))=0,"",IK25/(INDEX('Standards for Conversions'!$H$47:$H$73,MATCH(IJ$3,'Standards for Conversions'!$A$47:$A$73,0))))</f>
        <v/>
      </c>
      <c r="IM25" s="31"/>
      <c r="IN25" s="31"/>
      <c r="IO25" s="31" t="str">
        <f>IF(IN25/(INDEX('Standards for Conversions'!$H$47:$H$73,MATCH(IM$3,'Standards for Conversions'!$A$47:$A$73,0)))=0,"",IN25/(INDEX('Standards for Conversions'!$H$47:$H$73,MATCH(IM$3,'Standards for Conversions'!$A$47:$A$73,0))))</f>
        <v/>
      </c>
      <c r="IP25" s="31"/>
      <c r="IQ25" s="31"/>
      <c r="IR25" s="31" t="str">
        <f>IF(IQ25/(INDEX('Standards for Conversions'!$H$47:$H$73,MATCH(IP$3,'Standards for Conversions'!$A$47:$A$73,0)))=0,"",IQ25/(INDEX('Standards for Conversions'!$H$47:$H$73,MATCH(IP$3,'Standards for Conversions'!$A$47:$A$73,0))))</f>
        <v/>
      </c>
      <c r="IS25" s="31"/>
      <c r="IT25" s="31"/>
      <c r="IU25" s="31" t="str">
        <f>IF(IT25/(INDEX('Standards for Conversions'!$H$47:$H$73,MATCH(IS$3,'Standards for Conversions'!$A$47:$A$73,0)))=0,"",IT25/(INDEX('Standards for Conversions'!$H$47:$H$73,MATCH(IS$3,'Standards for Conversions'!$A$47:$A$73,0))))</f>
        <v/>
      </c>
      <c r="IV25" s="31"/>
      <c r="IW25" s="31"/>
      <c r="IX25" s="31" t="str">
        <f>IF(IW25/(INDEX('Standards for Conversions'!$H$47:$H$73,MATCH(IV$3,'Standards for Conversions'!$A$47:$A$73,0)))=0,"",IW25/(INDEX('Standards for Conversions'!$H$47:$H$73,MATCH(IV$3,'Standards for Conversions'!$A$47:$A$73,0))))</f>
        <v/>
      </c>
      <c r="IY25" s="31"/>
      <c r="IZ25" s="31"/>
      <c r="JA25" s="31" t="str">
        <f>IF(IZ25/(INDEX('Standards for Conversions'!$H$47:$H$73,MATCH(IY$3,'Standards for Conversions'!$A$47:$A$73,0)))=0,"",IZ25/(INDEX('Standards for Conversions'!$H$47:$H$73,MATCH(IY$3,'Standards for Conversions'!$A$47:$A$73,0))))</f>
        <v/>
      </c>
      <c r="JB25" s="31"/>
      <c r="JC25" s="31"/>
      <c r="JD25" s="31" t="str">
        <f>IF(JC25/(INDEX('Standards for Conversions'!$H$47:$H$73,MATCH(JB$3,'Standards for Conversions'!$A$47:$A$73,0)))=0,"",JC25/(INDEX('Standards for Conversions'!$H$47:$H$73,MATCH(JB$3,'Standards for Conversions'!$A$47:$A$73,0))))</f>
        <v/>
      </c>
      <c r="JE25" s="31"/>
      <c r="JF25" s="31"/>
      <c r="JG25" s="31" t="str">
        <f>IF(JF25/(INDEX('Standards for Conversions'!$H$47:$H$73,MATCH(JE$3,'Standards for Conversions'!$A$47:$A$73,0)))=0,"",JF25/(INDEX('Standards for Conversions'!$H$47:$H$73,MATCH(JE$3,'Standards for Conversions'!$A$47:$A$73,0))))</f>
        <v/>
      </c>
      <c r="JH25" s="31"/>
      <c r="JI25" s="31"/>
      <c r="JJ25" s="31" t="str">
        <f>IF(JI25/(INDEX('Standards for Conversions'!$H$47:$H$73,MATCH(JH$3,'Standards for Conversions'!$A$47:$A$73,0)))=0,"",JI25/(INDEX('Standards for Conversions'!$H$47:$H$73,MATCH(JH$3,'Standards for Conversions'!$A$47:$A$73,0))))</f>
        <v/>
      </c>
      <c r="JK25" s="31"/>
      <c r="JL25" s="31"/>
      <c r="JM25" s="31" t="str">
        <f>IF(JL25/(INDEX('Standards for Conversions'!$H$47:$H$73,MATCH(JK$3,'Standards for Conversions'!$A$47:$A$73,0)))=0,"",JL25/(INDEX('Standards for Conversions'!$H$47:$H$73,MATCH(JK$3,'Standards for Conversions'!$A$47:$A$73,0))))</f>
        <v/>
      </c>
      <c r="JN25" s="31"/>
      <c r="JO25" s="31"/>
      <c r="JP25" s="31" t="str">
        <f>IF(JO25/(INDEX('Standards for Conversions'!$H$47:$H$73,MATCH(JN$3,'Standards for Conversions'!$A$47:$A$73,0)))=0,"",JO25/(INDEX('Standards for Conversions'!$H$47:$H$73,MATCH(JN$3,'Standards for Conversions'!$A$47:$A$73,0))))</f>
        <v/>
      </c>
      <c r="JQ25" s="31"/>
      <c r="JR25" s="31"/>
      <c r="JS25" s="31" t="str">
        <f>IF(JR25/(INDEX('Standards for Conversions'!$H$47:$H$73,MATCH(JQ$3,'Standards for Conversions'!$A$47:$A$73,0)))=0,"",JR25/(INDEX('Standards for Conversions'!$H$47:$H$73,MATCH(JQ$3,'Standards for Conversions'!$A$47:$A$73,0))))</f>
        <v/>
      </c>
      <c r="JT25" s="31"/>
      <c r="JU25" s="31"/>
      <c r="JV25" s="31" t="str">
        <f>IF(JU25/(INDEX('Standards for Conversions'!$H$47:$H$73,MATCH(JT$3,'Standards for Conversions'!$A$47:$A$73,0)))=0,"",JU25/(INDEX('Standards for Conversions'!$H$47:$H$73,MATCH(JT$3,'Standards for Conversions'!$A$47:$A$73,0))))</f>
        <v/>
      </c>
      <c r="JW25" s="31"/>
      <c r="JX25" s="31"/>
      <c r="JY25" s="31" t="str">
        <f>IF(JX25/(INDEX('Standards for Conversions'!$H$47:$H$73,MATCH(JW$3,'Standards for Conversions'!$A$47:$A$73,0)))=0,"",JX25/(INDEX('Standards for Conversions'!$H$47:$H$73,MATCH(JW$3,'Standards for Conversions'!$A$47:$A$73,0))))</f>
        <v/>
      </c>
      <c r="JZ25" s="31"/>
      <c r="KA25" s="31"/>
      <c r="KB25" s="31" t="str">
        <f>IF(KA25/(INDEX('Standards for Conversions'!$H$47:$H$73,MATCH(JZ$3,'Standards for Conversions'!$A$47:$A$73,0)))=0,"",KA25/(INDEX('Standards for Conversions'!$H$47:$H$73,MATCH(JZ$3,'Standards for Conversions'!$A$47:$A$73,0))))</f>
        <v/>
      </c>
      <c r="KC25" s="31"/>
      <c r="KD25" s="31"/>
      <c r="KE25" s="31" t="str">
        <f>IF(KD25/(INDEX('Standards for Conversions'!$H$47:$H$73,MATCH(KC$3,'Standards for Conversions'!$A$47:$A$73,0)))=0,"",KD25/(INDEX('Standards for Conversions'!$H$47:$H$73,MATCH(KC$3,'Standards for Conversions'!$A$47:$A$73,0))))</f>
        <v/>
      </c>
      <c r="KF25" s="31"/>
      <c r="KG25" s="31"/>
      <c r="KH25" s="31" t="str">
        <f>IF(KG25/(INDEX('Standards for Conversions'!$H$47:$H$73,MATCH(KF$3,'Standards for Conversions'!$A$47:$A$73,0)))=0,"",KG25/(INDEX('Standards for Conversions'!$H$47:$H$73,MATCH(KF$3,'Standards for Conversions'!$A$47:$A$73,0))))</f>
        <v/>
      </c>
      <c r="KI25" s="31"/>
      <c r="KJ25" s="31"/>
      <c r="KK25" s="31" t="str">
        <f>IF(KJ25/(INDEX('Standards for Conversions'!$H$47:$H$73,MATCH(KI$3,'Standards for Conversions'!$A$47:$A$73,0)))=0,"",KJ25/(INDEX('Standards for Conversions'!$H$47:$H$73,MATCH(KI$3,'Standards for Conversions'!$A$47:$A$73,0))))</f>
        <v/>
      </c>
      <c r="KL25" s="31"/>
      <c r="KM25" s="31"/>
      <c r="KN25" s="31" t="str">
        <f>IF(KM25/(INDEX('Standards for Conversions'!$H$47:$H$73,MATCH(KL$3,'Standards for Conversions'!$A$47:$A$73,0)))=0,"",KM25/(INDEX('Standards for Conversions'!$H$47:$H$73,MATCH(KL$3,'Standards for Conversions'!$A$47:$A$73,0))))</f>
        <v/>
      </c>
      <c r="KO25" s="31"/>
      <c r="KP25" s="31"/>
      <c r="KQ25" s="31" t="str">
        <f>IF(KP25/(INDEX('Standards for Conversions'!$H$47:$H$73,MATCH(KO$3,'Standards for Conversions'!$A$47:$A$73,0)))=0,"",KP25/(INDEX('Standards for Conversions'!$H$47:$H$73,MATCH(KO$3,'Standards for Conversions'!$A$47:$A$73,0))))</f>
        <v/>
      </c>
      <c r="KR25" s="31"/>
      <c r="KS25" s="31"/>
      <c r="KT25" s="31" t="str">
        <f>IF(KS25/(INDEX('Standards for Conversions'!$H$47:$H$73,MATCH(KR$3,'Standards for Conversions'!$A$47:$A$73,0)))=0,"",KS25/(INDEX('Standards for Conversions'!$H$47:$H$73,MATCH(KR$3,'Standards for Conversions'!$A$47:$A$73,0))))</f>
        <v/>
      </c>
      <c r="KU25" s="31"/>
      <c r="KV25" s="31"/>
      <c r="KW25" s="31" t="str">
        <f>IF(KV25/(INDEX('Standards for Conversions'!$H$47:$H$73,MATCH(KU$3,'Standards for Conversions'!$A$47:$A$73,0)))=0,"",KV25/(INDEX('Standards for Conversions'!$H$47:$H$73,MATCH(KU$3,'Standards for Conversions'!$A$47:$A$73,0))))</f>
        <v/>
      </c>
      <c r="KX25" s="31"/>
      <c r="KY25" s="31"/>
      <c r="KZ25" s="31" t="str">
        <f>IF(KY25/(INDEX('Standards for Conversions'!$H$47:$H$73,MATCH(KX$3,'Standards for Conversions'!$A$47:$A$73,0)))=0,"",KY25/(INDEX('Standards for Conversions'!$H$47:$H$73,MATCH(KX$3,'Standards for Conversions'!$A$47:$A$73,0))))</f>
        <v/>
      </c>
      <c r="LA25" s="31"/>
      <c r="LB25" s="31"/>
      <c r="LC25" s="31" t="str">
        <f>IF(LB25/(INDEX('Standards for Conversions'!$H$47:$H$73,MATCH(LA$3,'Standards for Conversions'!$A$47:$A$73,0)))=0,"",LB25/(INDEX('Standards for Conversions'!$H$47:$H$73,MATCH(LA$3,'Standards for Conversions'!$A$47:$A$73,0))))</f>
        <v/>
      </c>
      <c r="LD25" s="31"/>
      <c r="LE25" s="31"/>
      <c r="LF25" s="31" t="str">
        <f>IF(LE25/(INDEX('Standards for Conversions'!$H$47:$H$73,MATCH(LD$3,'Standards for Conversions'!$A$47:$A$73,0)))=0,"",LE25/(INDEX('Standards for Conversions'!$H$47:$H$73,MATCH(LD$3,'Standards for Conversions'!$A$47:$A$73,0))))</f>
        <v/>
      </c>
      <c r="LG25" s="31"/>
      <c r="LH25" s="31"/>
      <c r="LI25" s="31" t="str">
        <f>IF(LH25/(INDEX('Standards for Conversions'!$H$47:$H$73,MATCH(LG$3,'Standards for Conversions'!$A$47:$A$73,0)))=0,"",LH25/(INDEX('Standards for Conversions'!$H$47:$H$73,MATCH(LG$3,'Standards for Conversions'!$A$47:$A$73,0))))</f>
        <v/>
      </c>
      <c r="LJ25" s="31"/>
      <c r="LK25" s="31"/>
      <c r="LL25" s="31" t="str">
        <f>IF(LK25/(INDEX('Standards for Conversions'!$H$47:$H$73,MATCH(LJ$3,'Standards for Conversions'!$A$47:$A$73,0)))=0,"",LK25/(INDEX('Standards for Conversions'!$H$47:$H$73,MATCH(LJ$3,'Standards for Conversions'!$A$47:$A$73,0))))</f>
        <v/>
      </c>
      <c r="LM25" s="31"/>
      <c r="LN25" s="31"/>
      <c r="LO25" s="31" t="str">
        <f>IF(LN25/(INDEX('Standards for Conversions'!$H$47:$H$73,MATCH(LM$3,'Standards for Conversions'!$A$47:$A$73,0)))=0,"",LN25/(INDEX('Standards for Conversions'!$H$47:$H$73,MATCH(LM$3,'Standards for Conversions'!$A$47:$A$73,0))))</f>
        <v/>
      </c>
      <c r="LP25" s="31"/>
      <c r="LQ25" s="31"/>
      <c r="LR25" s="31" t="str">
        <f>IF(LQ25/(INDEX('Standards for Conversions'!$H$47:$H$73,MATCH(LP$3,'Standards for Conversions'!$A$47:$A$73,0)))=0,"",LQ25/(INDEX('Standards for Conversions'!$H$47:$H$73,MATCH(LP$3,'Standards for Conversions'!$A$47:$A$73,0))))</f>
        <v/>
      </c>
      <c r="LS25" s="31"/>
      <c r="LT25" s="31"/>
      <c r="LU25" s="31" t="str">
        <f>IF(LT25/(INDEX('Standards for Conversions'!$H$47:$H$73,MATCH(LS$3,'Standards for Conversions'!$A$47:$A$73,0)))=0,"",LT25/(INDEX('Standards for Conversions'!$H$47:$H$73,MATCH(LS$3,'Standards for Conversions'!$A$47:$A$73,0))))</f>
        <v/>
      </c>
      <c r="LV25" s="31"/>
      <c r="LW25" s="31"/>
      <c r="LX25" s="31" t="str">
        <f>IF(LW25/(INDEX('Standards for Conversions'!$H$47:$H$73,MATCH(LV$3,'Standards for Conversions'!$A$47:$A$73,0)))=0,"",LW25/(INDEX('Standards for Conversions'!$H$47:$H$73,MATCH(LV$3,'Standards for Conversions'!$A$47:$A$73,0))))</f>
        <v/>
      </c>
      <c r="LY25" s="31"/>
      <c r="LZ25" s="31"/>
      <c r="MA25" s="31"/>
      <c r="MB25" s="31"/>
      <c r="MC25" s="31"/>
      <c r="MD25" s="31"/>
      <c r="ME25" s="31"/>
      <c r="MF25" s="31"/>
      <c r="MG25" s="31"/>
      <c r="MH25" s="31"/>
      <c r="MI25" s="31">
        <v>5811</v>
      </c>
      <c r="MJ25" s="31">
        <v>1984</v>
      </c>
      <c r="MK25" s="31">
        <v>2749</v>
      </c>
      <c r="ML25" s="31">
        <v>987</v>
      </c>
      <c r="MM25" s="31"/>
      <c r="MN25" s="31"/>
    </row>
    <row r="26" spans="1:352" s="33" customFormat="1" ht="14.4" customHeight="1" x14ac:dyDescent="0.3">
      <c r="A26" s="102" t="s">
        <v>67</v>
      </c>
      <c r="B26" s="10" t="s">
        <v>399</v>
      </c>
      <c r="C26" s="7"/>
      <c r="D26" s="7"/>
      <c r="E26" s="31" t="s">
        <v>128</v>
      </c>
      <c r="F26" s="7"/>
      <c r="G26" s="7"/>
      <c r="H26" s="31" t="s">
        <v>128</v>
      </c>
      <c r="I26" s="9"/>
      <c r="J26" s="9"/>
      <c r="K26" s="31" t="s">
        <v>128</v>
      </c>
      <c r="L26" s="7">
        <v>2001</v>
      </c>
      <c r="M26" s="7">
        <v>37000</v>
      </c>
      <c r="N26" s="31">
        <v>7309.0624999999991</v>
      </c>
      <c r="O26" s="31">
        <f t="shared" si="4"/>
        <v>2001</v>
      </c>
      <c r="P26" s="31">
        <f t="shared" si="5"/>
        <v>37000</v>
      </c>
      <c r="Q26" s="31">
        <f>IF(P26/(INDEX('Standards for Conversions'!$H$34:$H$73,MATCH(O$3,'Standards for Conversions'!$A$34:$A$73,0)))=0,"",P26/(INDEX('Standards for Conversions'!$H$34:$H$73,MATCH(O$3,'Standards for Conversions'!$A$34:$A$73,0))))</f>
        <v>7309.0624999999991</v>
      </c>
      <c r="R26" s="7"/>
      <c r="S26" s="7"/>
      <c r="T26" s="31" t="s">
        <v>128</v>
      </c>
      <c r="U26" s="7">
        <v>150</v>
      </c>
      <c r="V26" s="7">
        <v>3500</v>
      </c>
      <c r="W26" s="31">
        <v>674.35369955968827</v>
      </c>
      <c r="X26" s="9"/>
      <c r="Y26" s="9"/>
      <c r="Z26" s="31" t="s">
        <v>128</v>
      </c>
      <c r="AA26" s="7">
        <v>1800</v>
      </c>
      <c r="AB26" s="7">
        <v>34000</v>
      </c>
      <c r="AC26" s="31">
        <v>6550.8645100084004</v>
      </c>
      <c r="AD26" s="31">
        <f t="shared" si="6"/>
        <v>1950</v>
      </c>
      <c r="AE26" s="31">
        <f t="shared" si="7"/>
        <v>37500</v>
      </c>
      <c r="AF26" s="31">
        <f>IF(AE26/(INDEX('Standards for Conversions'!$H$34:$H$73,MATCH(AD$3,'Standards for Conversions'!$A$34:$A$73,0)))=0,"",AE26/(INDEX('Standards for Conversions'!$H$34:$H$73,MATCH(AD$3,'Standards for Conversions'!$A$34:$A$73,0))))</f>
        <v>7225.2182095680882</v>
      </c>
      <c r="AG26" s="7">
        <v>15</v>
      </c>
      <c r="AH26" s="7">
        <v>90</v>
      </c>
      <c r="AI26" s="31">
        <v>16.082859346484746</v>
      </c>
      <c r="AJ26" s="7">
        <v>75</v>
      </c>
      <c r="AK26" s="7">
        <v>1250</v>
      </c>
      <c r="AL26" s="31">
        <v>223.37304647895482</v>
      </c>
      <c r="AM26" s="9"/>
      <c r="AN26" s="9"/>
      <c r="AO26" s="31" t="s">
        <v>128</v>
      </c>
      <c r="AP26" s="7">
        <v>2550</v>
      </c>
      <c r="AQ26" s="7">
        <v>27000</v>
      </c>
      <c r="AR26" s="31">
        <v>4825</v>
      </c>
      <c r="AS26" s="31">
        <f t="shared" si="8"/>
        <v>2640</v>
      </c>
      <c r="AT26" s="31">
        <f t="shared" si="9"/>
        <v>28340</v>
      </c>
      <c r="AU26" s="31">
        <f>IF(AT26/(INDEX('Standards for Conversions'!$H$34:$H$73,MATCH(AS$3,'Standards for Conversions'!$A$34:$A$73,0)))=0,"",AT26/(INDEX('Standards for Conversions'!$H$34:$H$73,MATCH(AS$3,'Standards for Conversions'!$A$34:$A$73,0))))</f>
        <v>5064.3137097708632</v>
      </c>
      <c r="AV26" s="7"/>
      <c r="AW26" s="7"/>
      <c r="AX26" s="31" t="s">
        <v>128</v>
      </c>
      <c r="AY26" s="7">
        <v>75</v>
      </c>
      <c r="AZ26" s="7">
        <v>1000</v>
      </c>
      <c r="BA26" s="31">
        <v>185.68546138582312</v>
      </c>
      <c r="BB26" s="9"/>
      <c r="BC26" s="9"/>
      <c r="BD26" s="31" t="s">
        <v>128</v>
      </c>
      <c r="BE26" s="7">
        <v>3000</v>
      </c>
      <c r="BF26" s="7">
        <v>30000</v>
      </c>
      <c r="BG26" s="31">
        <v>5570.5638415746935</v>
      </c>
      <c r="BH26" s="31">
        <f t="shared" si="10"/>
        <v>3075</v>
      </c>
      <c r="BI26" s="31">
        <f t="shared" si="11"/>
        <v>31000</v>
      </c>
      <c r="BJ26" s="31">
        <f>IF(BI26/(INDEX('Standards for Conversions'!$H$34:$H$73,MATCH(BH$3,'Standards for Conversions'!$A$34:$A$73,0)))=0,"",BI26/(INDEX('Standards for Conversions'!$H$34:$H$73,MATCH(BH$3,'Standards for Conversions'!$A$34:$A$73,0))))</f>
        <v>5756.2493029605166</v>
      </c>
      <c r="BK26" s="7"/>
      <c r="BL26" s="7"/>
      <c r="BM26" s="31" t="s">
        <v>128</v>
      </c>
      <c r="BN26" s="7">
        <v>450</v>
      </c>
      <c r="BO26" s="7">
        <v>6000</v>
      </c>
      <c r="BP26" s="31">
        <v>1068.3795189884415</v>
      </c>
      <c r="BQ26" s="9"/>
      <c r="BR26" s="9"/>
      <c r="BS26" s="31" t="s">
        <v>128</v>
      </c>
      <c r="BT26" s="7">
        <v>2250</v>
      </c>
      <c r="BU26" s="7">
        <v>24000</v>
      </c>
      <c r="BV26" s="31">
        <v>4273.5180759537661</v>
      </c>
      <c r="BW26" s="31">
        <f t="shared" si="12"/>
        <v>2700</v>
      </c>
      <c r="BX26" s="31">
        <f t="shared" si="13"/>
        <v>30000</v>
      </c>
      <c r="BY26" s="31">
        <f>IF(BX26/(INDEX('Standards for Conversions'!$H$34:$H$73,MATCH(BW$3,'Standards for Conversions'!$A$34:$A$73,0)))=0,"",BX26/(INDEX('Standards for Conversions'!$H$34:$H$73,MATCH(BW$3,'Standards for Conversions'!$A$34:$A$73,0))))</f>
        <v>5341.8975949422083</v>
      </c>
      <c r="BZ26" s="7"/>
      <c r="CA26" s="7"/>
      <c r="CB26" s="31" t="s">
        <v>128</v>
      </c>
      <c r="CC26" s="7">
        <v>300</v>
      </c>
      <c r="CD26" s="7">
        <v>3200</v>
      </c>
      <c r="CE26" s="31">
        <v>555.57428811448108</v>
      </c>
      <c r="CF26" s="9"/>
      <c r="CG26" s="9"/>
      <c r="CH26" s="31" t="s">
        <v>128</v>
      </c>
      <c r="CI26" s="7">
        <v>2250</v>
      </c>
      <c r="CJ26" s="7">
        <v>24000</v>
      </c>
      <c r="CK26" s="31">
        <v>4166.8071608586079</v>
      </c>
      <c r="CL26" s="31">
        <f t="shared" si="14"/>
        <v>2550</v>
      </c>
      <c r="CM26" s="31">
        <f t="shared" si="15"/>
        <v>27200</v>
      </c>
      <c r="CN26" s="31">
        <f>IF(CM26/(INDEX('Standards for Conversions'!$H$34:$H$73,MATCH(CL$3,'Standards for Conversions'!$A$34:$A$73,0)))=0,"",CM26/(INDEX('Standards for Conversions'!$H$34:$H$73,MATCH(CL$3,'Standards for Conversions'!$A$34:$A$73,0))))</f>
        <v>4722.3814489730885</v>
      </c>
      <c r="CO26" s="7"/>
      <c r="CP26" s="7"/>
      <c r="CQ26" s="31" t="s">
        <v>128</v>
      </c>
      <c r="CR26" s="7">
        <v>480</v>
      </c>
      <c r="CS26" s="7">
        <v>6500</v>
      </c>
      <c r="CT26" s="31">
        <v>1150.5299853712233</v>
      </c>
      <c r="CU26" s="9"/>
      <c r="CV26" s="9"/>
      <c r="CW26" s="31" t="s">
        <v>128</v>
      </c>
      <c r="CX26" s="7">
        <v>2250</v>
      </c>
      <c r="CY26" s="7">
        <v>15000</v>
      </c>
      <c r="CZ26" s="31">
        <v>2655.0691970105154</v>
      </c>
      <c r="DA26" s="31">
        <f t="shared" si="16"/>
        <v>2730</v>
      </c>
      <c r="DB26" s="31">
        <f t="shared" si="17"/>
        <v>21500</v>
      </c>
      <c r="DC26" s="31">
        <f>IF(DB26/(INDEX('Standards for Conversions'!$H$34:$H$73,MATCH(DA$3,'Standards for Conversions'!$A$34:$A$73,0)))=0,"",DB26/(INDEX('Standards for Conversions'!$H$34:$H$73,MATCH(DA$3,'Standards for Conversions'!$A$34:$A$73,0))))</f>
        <v>3805.599182381739</v>
      </c>
      <c r="DD26" s="7"/>
      <c r="DE26" s="7"/>
      <c r="DF26" s="31" t="s">
        <v>128</v>
      </c>
      <c r="DG26" s="7">
        <v>225</v>
      </c>
      <c r="DH26" s="7">
        <v>2200</v>
      </c>
      <c r="DI26" s="31">
        <v>385.21793437328</v>
      </c>
      <c r="DJ26" s="9"/>
      <c r="DK26" s="9"/>
      <c r="DL26" s="31" t="s">
        <v>128</v>
      </c>
      <c r="DM26" s="7">
        <v>2250</v>
      </c>
      <c r="DN26" s="7">
        <v>15000</v>
      </c>
      <c r="DO26" s="31">
        <v>2626.4859161814547</v>
      </c>
      <c r="DP26" s="31">
        <f t="shared" si="18"/>
        <v>2475</v>
      </c>
      <c r="DQ26" s="31">
        <f t="shared" si="19"/>
        <v>17200</v>
      </c>
      <c r="DR26" s="31">
        <f>IF(DQ26/(INDEX('Standards for Conversions'!$H$34:$H$73,MATCH(DP$3,'Standards for Conversions'!$A$34:$A$73,0)))=0,"",DQ26/(INDEX('Standards for Conversions'!$H$34:$H$73,MATCH(DP$3,'Standards for Conversions'!$A$34:$A$73,0))))</f>
        <v>3011.7038505547348</v>
      </c>
      <c r="DS26" s="7"/>
      <c r="DT26" s="7"/>
      <c r="DU26" s="31" t="s">
        <v>128</v>
      </c>
      <c r="DV26" s="7">
        <v>1020</v>
      </c>
      <c r="DW26" s="7">
        <v>6670</v>
      </c>
      <c r="DX26" s="31">
        <v>1166.4985115943916</v>
      </c>
      <c r="DY26" s="9"/>
      <c r="DZ26" s="9"/>
      <c r="EA26" s="31" t="s">
        <v>128</v>
      </c>
      <c r="EB26" s="7">
        <v>5907</v>
      </c>
      <c r="EC26" s="7">
        <v>46860</v>
      </c>
      <c r="ED26" s="31">
        <v>8195.2204277830879</v>
      </c>
      <c r="EE26" s="31">
        <f t="shared" si="20"/>
        <v>6927</v>
      </c>
      <c r="EF26" s="31">
        <f t="shared" si="21"/>
        <v>53530</v>
      </c>
      <c r="EG26" s="31">
        <f>IF(EF26/(INDEX('Standards for Conversions'!$H$34:$H$73,MATCH(EE$3,'Standards for Conversions'!$A$34:$A$73,0)))=0,"",EF26/(INDEX('Standards for Conversions'!$H$34:$H$73,MATCH(EE$3,'Standards for Conversions'!$A$34:$A$73,0))))</f>
        <v>9361.7189393774788</v>
      </c>
      <c r="EH26" s="7"/>
      <c r="EI26" s="7"/>
      <c r="EJ26" s="31" t="s">
        <v>128</v>
      </c>
      <c r="EK26" s="7">
        <v>199.5</v>
      </c>
      <c r="EL26" s="7">
        <v>1515</v>
      </c>
      <c r="EM26" s="31">
        <v>259.50125480685665</v>
      </c>
      <c r="EN26" s="9"/>
      <c r="EO26" s="9"/>
      <c r="EP26" s="31" t="s">
        <v>128</v>
      </c>
      <c r="EQ26" s="7">
        <v>4117.5</v>
      </c>
      <c r="ER26" s="7">
        <v>41960</v>
      </c>
      <c r="ES26" s="31">
        <v>7187.2426743866044</v>
      </c>
      <c r="ET26" s="31">
        <f t="shared" si="22"/>
        <v>4317</v>
      </c>
      <c r="EU26" s="31">
        <f t="shared" si="23"/>
        <v>43475</v>
      </c>
      <c r="EV26" s="31">
        <f>IF(EU26/(INDEX('Standards for Conversions'!$H$34:$H$73,MATCH(ET$3,'Standards for Conversions'!$A$34:$A$73,0)))=0,"",EU26/(INDEX('Standards for Conversions'!$H$34:$H$73,MATCH(ET$3,'Standards for Conversions'!$A$34:$A$73,0))))</f>
        <v>7446.7439291934606</v>
      </c>
      <c r="EW26" s="7"/>
      <c r="EX26" s="7"/>
      <c r="EY26" s="31" t="s">
        <v>128</v>
      </c>
      <c r="EZ26" s="7">
        <v>450</v>
      </c>
      <c r="FA26" s="7">
        <v>3000</v>
      </c>
      <c r="FB26" s="31">
        <v>514.49905492309017</v>
      </c>
      <c r="FC26" s="9"/>
      <c r="FD26" s="9"/>
      <c r="FE26" s="31" t="s">
        <v>128</v>
      </c>
      <c r="FF26" s="7">
        <v>4500</v>
      </c>
      <c r="FG26" s="7">
        <v>45000</v>
      </c>
      <c r="FH26" s="31">
        <v>7717.485823846353</v>
      </c>
      <c r="FI26" s="31">
        <f t="shared" si="24"/>
        <v>4950</v>
      </c>
      <c r="FJ26" s="31">
        <f t="shared" si="25"/>
        <v>48000</v>
      </c>
      <c r="FK26" s="31">
        <f>IF(FJ26/(INDEX('Standards for Conversions'!$H$34:$H$73,MATCH(FI$3,'Standards for Conversions'!$A$34:$A$73,0)))=0,"",FJ26/(INDEX('Standards for Conversions'!$H$34:$H$73,MATCH(FI$3,'Standards for Conversions'!$A$34:$A$73,0))))</f>
        <v>8231.9848787694427</v>
      </c>
      <c r="FL26" s="7"/>
      <c r="FM26" s="7"/>
      <c r="FN26" s="31" t="s">
        <v>128</v>
      </c>
      <c r="FO26" s="7">
        <v>375</v>
      </c>
      <c r="FP26" s="7">
        <v>2500</v>
      </c>
      <c r="FQ26" s="31">
        <v>411.28165192926042</v>
      </c>
      <c r="FR26" s="9"/>
      <c r="FS26" s="9"/>
      <c r="FT26" s="31" t="s">
        <v>128</v>
      </c>
      <c r="FU26" s="7">
        <v>3750</v>
      </c>
      <c r="FV26" s="7">
        <v>31500</v>
      </c>
      <c r="FW26" s="31">
        <v>5182.1488143086817</v>
      </c>
      <c r="FX26" s="31">
        <f t="shared" si="26"/>
        <v>4125</v>
      </c>
      <c r="FY26" s="31">
        <f t="shared" si="27"/>
        <v>34000</v>
      </c>
      <c r="FZ26" s="31">
        <f>IF(FY26/(INDEX('Standards for Conversions'!$H$34:$H$73,MATCH(FX$3,'Standards for Conversions'!$A$34:$A$73,0)))=0,"",FY26/(INDEX('Standards for Conversions'!$H$34:$H$73,MATCH(FX$3,'Standards for Conversions'!$A$34:$A$73,0))))</f>
        <v>5593.4304662379418</v>
      </c>
      <c r="GA26" s="7"/>
      <c r="GB26" s="7"/>
      <c r="GC26" s="31" t="s">
        <v>128</v>
      </c>
      <c r="GD26" s="7">
        <v>375</v>
      </c>
      <c r="GE26" s="7">
        <v>3000</v>
      </c>
      <c r="GF26" s="31">
        <v>461.14359737551058</v>
      </c>
      <c r="GG26" s="9"/>
      <c r="GH26" s="9"/>
      <c r="GI26" s="31" t="s">
        <v>128</v>
      </c>
      <c r="GJ26" s="7">
        <v>3000</v>
      </c>
      <c r="GK26" s="7">
        <v>35000</v>
      </c>
      <c r="GL26" s="31">
        <v>5380.0086360476234</v>
      </c>
      <c r="GM26" s="31">
        <f t="shared" si="28"/>
        <v>3375</v>
      </c>
      <c r="GN26" s="31">
        <f t="shared" si="29"/>
        <v>38000</v>
      </c>
      <c r="GO26" s="31">
        <f>IF(GN26/(INDEX('Standards for Conversions'!$H$34:$H$73,MATCH(GM$3,'Standards for Conversions'!$A$34:$A$73,0)))=0,"",GN26/(INDEX('Standards for Conversions'!$H$34:$H$73,MATCH(GM$3,'Standards for Conversions'!$A$34:$A$73,0))))</f>
        <v>5841.152233423134</v>
      </c>
      <c r="GP26" s="7"/>
      <c r="GQ26" s="7"/>
      <c r="GR26" s="31" t="s">
        <v>128</v>
      </c>
      <c r="GS26" s="7">
        <v>600</v>
      </c>
      <c r="GT26" s="7">
        <v>4500</v>
      </c>
      <c r="GU26" s="31">
        <v>681.23485975927679</v>
      </c>
      <c r="GV26" s="9"/>
      <c r="GW26" s="9"/>
      <c r="GX26" s="31" t="s">
        <v>128</v>
      </c>
      <c r="GY26" s="7">
        <v>3150</v>
      </c>
      <c r="GZ26" s="7">
        <v>40000</v>
      </c>
      <c r="HA26" s="31">
        <v>6055.420975638016</v>
      </c>
      <c r="HB26" s="31">
        <f t="shared" si="30"/>
        <v>3750</v>
      </c>
      <c r="HC26" s="31">
        <f t="shared" si="31"/>
        <v>44500</v>
      </c>
      <c r="HD26" s="31">
        <f>IF(HC26/(INDEX('Standards for Conversions'!$H$34:$H$73,MATCH(HB$3,'Standards for Conversions'!$A$34:$A$73,0)))=0,"",HC26/(INDEX('Standards for Conversions'!$H$34:$H$73,MATCH(HB$3,'Standards for Conversions'!$A$34:$A$73,0))))</f>
        <v>6736.6558353972932</v>
      </c>
      <c r="HE26" s="112" t="s">
        <v>98</v>
      </c>
      <c r="HF26" s="31"/>
      <c r="HG26" s="31"/>
      <c r="HH26" s="31" t="str">
        <f>IF(HG26/(INDEX('Standards for Conversions'!$H$47:$H$73,MATCH(HF$3,'Standards for Conversions'!$A$47:$A$73,0)))=0,"",HG26/(INDEX('Standards for Conversions'!$H$47:$H$73,MATCH(HF$3,'Standards for Conversions'!$A$47:$A$73,0))))</f>
        <v/>
      </c>
      <c r="HI26" s="31">
        <v>375</v>
      </c>
      <c r="HJ26" s="31">
        <v>5500</v>
      </c>
      <c r="HK26" s="31">
        <f>IF(HJ26/(INDEX('Standards for Conversions'!$H$47:$H$73,MATCH(HI$3,'Standards for Conversions'!$A$47:$A$73,0)))=0,"",HJ26/(INDEX('Standards for Conversions'!$H$47:$H$73,MATCH(HI$3,'Standards for Conversions'!$A$47:$A$73,0))))</f>
        <v>798.84976717070776</v>
      </c>
      <c r="HL26" s="31"/>
      <c r="HM26" s="31"/>
      <c r="HN26" s="31" t="str">
        <f>IF(HM26/(INDEX('Standards for Conversions'!$H$47:$H$73,MATCH(HL$3,'Standards for Conversions'!$A$47:$A$73,0)))=0,"",HM26/(INDEX('Standards for Conversions'!$H$47:$H$73,MATCH(HL$3,'Standards for Conversions'!$A$47:$A$73,0))))</f>
        <v/>
      </c>
      <c r="HO26" s="31">
        <v>3750</v>
      </c>
      <c r="HP26" s="31">
        <v>50000</v>
      </c>
      <c r="HQ26" s="31">
        <f>IF(HP26/(INDEX('Standards for Conversions'!$H$47:$H$73,MATCH(HO$3,'Standards for Conversions'!$A$47:$A$73,0)))=0,"",HP26/(INDEX('Standards for Conversions'!$H$47:$H$73,MATCH(HO$3,'Standards for Conversions'!$A$47:$A$73,0))))</f>
        <v>7262.2706106427977</v>
      </c>
      <c r="HR26" s="31">
        <f>HF26+HI26+HL26+HO26</f>
        <v>4125</v>
      </c>
      <c r="HS26" s="31">
        <f>HG26+HJ26+HM26+HP26</f>
        <v>55500</v>
      </c>
      <c r="HT26" s="31">
        <f>IF(HS26/(INDEX('Standards for Conversions'!$H$47:$H$73,MATCH(HR$3,'Standards for Conversions'!$A$47:$A$73,0)))=0,"",HS26/(INDEX('Standards for Conversions'!$H$47:$H$73,MATCH(HR$3,'Standards for Conversions'!$A$47:$A$73,0))))</f>
        <v>8061.1203778135059</v>
      </c>
      <c r="HU26" s="31"/>
      <c r="HV26" s="31"/>
      <c r="HW26" s="31" t="str">
        <f>IF(HV26/(INDEX('Standards for Conversions'!$H$47:$H$73,MATCH(HU$3,'Standards for Conversions'!$A$47:$A$73,0)))=0,"",HV26/(INDEX('Standards for Conversions'!$H$47:$H$73,MATCH(HU$3,'Standards for Conversions'!$A$47:$A$73,0))))</f>
        <v/>
      </c>
      <c r="HX26" s="31">
        <v>225</v>
      </c>
      <c r="HY26" s="31">
        <v>5700</v>
      </c>
      <c r="HZ26" s="31">
        <f>IF(HY26/(INDEX('Standards for Conversions'!$H$47:$H$73,MATCH(HX$3,'Standards for Conversions'!$A$47:$A$73,0)))=0,"",HY26/(INDEX('Standards for Conversions'!$H$47:$H$73,MATCH(HX$3,'Standards for Conversions'!$A$47:$A$73,0))))</f>
        <v>824.27830070826451</v>
      </c>
      <c r="IA26" s="31"/>
      <c r="IB26" s="31"/>
      <c r="IC26" s="31" t="str">
        <f>IF(IB26/(INDEX('Standards for Conversions'!$H$47:$H$73,MATCH(IA$3,'Standards for Conversions'!$A$47:$A$73,0)))=0,"",IB26/(INDEX('Standards for Conversions'!$H$47:$H$73,MATCH(IA$3,'Standards for Conversions'!$A$47:$A$73,0))))</f>
        <v/>
      </c>
      <c r="ID26" s="31">
        <v>3078</v>
      </c>
      <c r="IE26" s="31">
        <v>76284</v>
      </c>
      <c r="IF26" s="31">
        <f>IF(IE26/(INDEX('Standards for Conversions'!$H$47:$H$73,MATCH(ID$3,'Standards for Conversions'!$A$47:$A$73,0)))=0,"",IE26/(INDEX('Standards for Conversions'!$H$47:$H$73,MATCH(ID$3,'Standards for Conversions'!$A$47:$A$73,0))))</f>
        <v>11031.446647584078</v>
      </c>
      <c r="IG26" s="31">
        <f>HU26+HX26+IA26+ID26</f>
        <v>3303</v>
      </c>
      <c r="IH26" s="31">
        <f>HV26+HY26+IB26+IE26</f>
        <v>81984</v>
      </c>
      <c r="II26" s="31">
        <f>IF(IH26/(INDEX('Standards for Conversions'!$H$47:$H$73,MATCH(IG$3,'Standards for Conversions'!$A$47:$A$73,0)))=0,"",IH26/(INDEX('Standards for Conversions'!$H$47:$H$73,MATCH(IG$3,'Standards for Conversions'!$A$47:$A$73,0))))</f>
        <v>11855.724948292343</v>
      </c>
      <c r="IJ26" s="31"/>
      <c r="IK26" s="31"/>
      <c r="IL26" s="31" t="str">
        <f>IF(IK26/(INDEX('Standards for Conversions'!$H$47:$H$73,MATCH(IJ$3,'Standards for Conversions'!$A$47:$A$73,0)))=0,"",IK26/(INDEX('Standards for Conversions'!$H$47:$H$73,MATCH(IJ$3,'Standards for Conversions'!$A$47:$A$73,0))))</f>
        <v/>
      </c>
      <c r="IM26" s="31">
        <v>600</v>
      </c>
      <c r="IN26" s="31">
        <v>14800</v>
      </c>
      <c r="IO26" s="31">
        <f>IF(IN26/(INDEX('Standards for Conversions'!$H$47:$H$73,MATCH(IM$3,'Standards for Conversions'!$A$47:$A$73,0)))=0,"",IN26/(INDEX('Standards for Conversions'!$H$47:$H$73,MATCH(IM$3,'Standards for Conversions'!$A$47:$A$73,0))))</f>
        <v>2394.0509110396565</v>
      </c>
      <c r="IP26" s="31"/>
      <c r="IQ26" s="31"/>
      <c r="IR26" s="31" t="str">
        <f>IF(IQ26/(INDEX('Standards for Conversions'!$H$47:$H$73,MATCH(IP$3,'Standards for Conversions'!$A$47:$A$73,0)))=0,"",IQ26/(INDEX('Standards for Conversions'!$H$47:$H$73,MATCH(IP$3,'Standards for Conversions'!$A$47:$A$73,0))))</f>
        <v/>
      </c>
      <c r="IS26" s="31">
        <v>1830</v>
      </c>
      <c r="IT26" s="31">
        <v>51400</v>
      </c>
      <c r="IU26" s="31">
        <f>IF(IT26/(INDEX('Standards for Conversions'!$H$47:$H$73,MATCH(IS$3,'Standards for Conversions'!$A$47:$A$73,0)))=0,"",IT26/(INDEX('Standards for Conversions'!$H$47:$H$73,MATCH(IS$3,'Standards for Conversions'!$A$47:$A$73,0))))</f>
        <v>8314.4741099620514</v>
      </c>
      <c r="IV26" s="31">
        <f t="shared" ref="IV26:IW28" si="43">IJ26+IM26+IP26+IS26</f>
        <v>2430</v>
      </c>
      <c r="IW26" s="31">
        <f t="shared" si="43"/>
        <v>66200</v>
      </c>
      <c r="IX26" s="31">
        <f>IF(IW26/(INDEX('Standards for Conversions'!$H$47:$H$73,MATCH(IV$3,'Standards for Conversions'!$A$47:$A$73,0)))=0,"",IW26/(INDEX('Standards for Conversions'!$H$47:$H$73,MATCH(IV$3,'Standards for Conversions'!$A$47:$A$73,0))))</f>
        <v>10708.525021001708</v>
      </c>
      <c r="IY26" s="31"/>
      <c r="IZ26" s="31"/>
      <c r="JA26" s="31" t="str">
        <f>IF(IZ26/(INDEX('Standards for Conversions'!$H$47:$H$73,MATCH(IY$3,'Standards for Conversions'!$A$47:$A$73,0)))=0,"",IZ26/(INDEX('Standards for Conversions'!$H$47:$H$73,MATCH(IY$3,'Standards for Conversions'!$A$47:$A$73,0))))</f>
        <v/>
      </c>
      <c r="JB26" s="31">
        <v>525</v>
      </c>
      <c r="JC26" s="31">
        <v>12000</v>
      </c>
      <c r="JD26" s="31">
        <f>IF(JC26/(INDEX('Standards for Conversions'!$H$47:$H$73,MATCH(JB$3,'Standards for Conversions'!$A$47:$A$73,0)))=0,"",JC26/(INDEX('Standards for Conversions'!$H$47:$H$73,MATCH(JB$3,'Standards for Conversions'!$A$47:$A$73,0))))</f>
        <v>1831.8707091335707</v>
      </c>
      <c r="JE26" s="31"/>
      <c r="JF26" s="31"/>
      <c r="JG26" s="31" t="str">
        <f>IF(JF26/(INDEX('Standards for Conversions'!$H$47:$H$73,MATCH(JE$3,'Standards for Conversions'!$A$47:$A$73,0)))=0,"",JF26/(INDEX('Standards for Conversions'!$H$47:$H$73,MATCH(JE$3,'Standards for Conversions'!$A$47:$A$73,0))))</f>
        <v/>
      </c>
      <c r="JH26" s="31">
        <v>2250</v>
      </c>
      <c r="JI26" s="31">
        <v>55000</v>
      </c>
      <c r="JJ26" s="31">
        <f>IF(JI26/(INDEX('Standards for Conversions'!$H$47:$H$73,MATCH(JH$3,'Standards for Conversions'!$A$47:$A$73,0)))=0,"",JI26/(INDEX('Standards for Conversions'!$H$47:$H$73,MATCH(JH$3,'Standards for Conversions'!$A$47:$A$73,0))))</f>
        <v>8396.0740835288652</v>
      </c>
      <c r="JK26" s="31">
        <f t="shared" ref="JK26:JL28" si="44">IY26+JB26+JE26+JH26</f>
        <v>2775</v>
      </c>
      <c r="JL26" s="31">
        <f t="shared" si="44"/>
        <v>67000</v>
      </c>
      <c r="JM26" s="31">
        <f>IF(JL26/(INDEX('Standards for Conversions'!$H$47:$H$73,MATCH(JK$3,'Standards for Conversions'!$A$47:$A$73,0)))=0,"",JL26/(INDEX('Standards for Conversions'!$H$47:$H$73,MATCH(JK$3,'Standards for Conversions'!$A$47:$A$73,0))))</f>
        <v>10227.944792662436</v>
      </c>
      <c r="JN26" s="31"/>
      <c r="JO26" s="31"/>
      <c r="JP26" s="31" t="str">
        <f>IF(JO26/(INDEX('Standards for Conversions'!$H$47:$H$73,MATCH(JN$3,'Standards for Conversions'!$A$47:$A$73,0)))=0,"",JO26/(INDEX('Standards for Conversions'!$H$47:$H$73,MATCH(JN$3,'Standards for Conversions'!$A$47:$A$73,0))))</f>
        <v/>
      </c>
      <c r="JQ26" s="31">
        <v>450</v>
      </c>
      <c r="JR26" s="31">
        <v>12000</v>
      </c>
      <c r="JS26" s="31">
        <f>IF(JR26/(INDEX('Standards for Conversions'!$H$47:$H$73,MATCH(JQ$3,'Standards for Conversions'!$A$47:$A$73,0)))=0,"",JR26/(INDEX('Standards for Conversions'!$H$47:$H$73,MATCH(JQ$3,'Standards for Conversions'!$A$47:$A$73,0))))</f>
        <v>1615.9081428695577</v>
      </c>
      <c r="JT26" s="31"/>
      <c r="JU26" s="31"/>
      <c r="JV26" s="31" t="str">
        <f>IF(JU26/(INDEX('Standards for Conversions'!$H$47:$H$73,MATCH(JT$3,'Standards for Conversions'!$A$47:$A$73,0)))=0,"",JU26/(INDEX('Standards for Conversions'!$H$47:$H$73,MATCH(JT$3,'Standards for Conversions'!$A$47:$A$73,0))))</f>
        <v/>
      </c>
      <c r="JW26" s="31">
        <v>1800</v>
      </c>
      <c r="JX26" s="31">
        <v>54000</v>
      </c>
      <c r="JY26" s="31">
        <f>IF(JX26/(INDEX('Standards for Conversions'!$H$47:$H$73,MATCH(JW$3,'Standards for Conversions'!$A$47:$A$73,0)))=0,"",JX26/(INDEX('Standards for Conversions'!$H$47:$H$73,MATCH(JW$3,'Standards for Conversions'!$A$47:$A$73,0))))</f>
        <v>7271.5866429130092</v>
      </c>
      <c r="JZ26" s="31">
        <f t="shared" ref="JZ26:KA28" si="45">JN26+JQ26+JT26+JW26</f>
        <v>2250</v>
      </c>
      <c r="KA26" s="31">
        <f t="shared" si="45"/>
        <v>66000</v>
      </c>
      <c r="KB26" s="31">
        <f>IF(KA26/(INDEX('Standards for Conversions'!$H$47:$H$73,MATCH(JZ$3,'Standards for Conversions'!$A$47:$A$73,0)))=0,"",KA26/(INDEX('Standards for Conversions'!$H$47:$H$73,MATCH(JZ$3,'Standards for Conversions'!$A$47:$A$73,0))))</f>
        <v>8887.4947857825664</v>
      </c>
      <c r="KC26" s="31"/>
      <c r="KD26" s="31"/>
      <c r="KE26" s="31" t="str">
        <f>IF(KD26/(INDEX('Standards for Conversions'!$H$47:$H$73,MATCH(KC$3,'Standards for Conversions'!$A$47:$A$73,0)))=0,"",KD26/(INDEX('Standards for Conversions'!$H$47:$H$73,MATCH(KC$3,'Standards for Conversions'!$A$47:$A$73,0))))</f>
        <v/>
      </c>
      <c r="KF26" s="31">
        <v>562.5</v>
      </c>
      <c r="KG26" s="31">
        <v>13500</v>
      </c>
      <c r="KH26" s="31">
        <f>IF(KG26/(INDEX('Standards for Conversions'!$H$47:$H$73,MATCH(KF$3,'Standards for Conversions'!$A$47:$A$73,0)))=0,"",KG26/(INDEX('Standards for Conversions'!$H$47:$H$73,MATCH(KF$3,'Standards for Conversions'!$A$47:$A$73,0))))</f>
        <v>1641.823650821239</v>
      </c>
      <c r="KI26" s="31"/>
      <c r="KJ26" s="31"/>
      <c r="KK26" s="31" t="str">
        <f>IF(KJ26/(INDEX('Standards for Conversions'!$H$47:$H$73,MATCH(KI$3,'Standards for Conversions'!$A$47:$A$73,0)))=0,"",KJ26/(INDEX('Standards for Conversions'!$H$47:$H$73,MATCH(KI$3,'Standards for Conversions'!$A$47:$A$73,0))))</f>
        <v/>
      </c>
      <c r="KL26" s="31">
        <v>1567.5</v>
      </c>
      <c r="KM26" s="31">
        <v>47060</v>
      </c>
      <c r="KN26" s="31">
        <f>IF(KM26/(INDEX('Standards for Conversions'!$H$47:$H$73,MATCH(KL$3,'Standards for Conversions'!$A$47:$A$73,0)))=0,"",KM26/(INDEX('Standards for Conversions'!$H$47:$H$73,MATCH(KL$3,'Standards for Conversions'!$A$47:$A$73,0))))</f>
        <v>5723.2756301961117</v>
      </c>
      <c r="KO26" s="31">
        <f t="shared" ref="KO26:KP28" si="46">KC26+KF26+KI26+KL26</f>
        <v>2130</v>
      </c>
      <c r="KP26" s="31">
        <f t="shared" si="46"/>
        <v>60560</v>
      </c>
      <c r="KQ26" s="31">
        <f>IF(KP26/(INDEX('Standards for Conversions'!$H$47:$H$73,MATCH(KO$3,'Standards for Conversions'!$A$47:$A$73,0)))=0,"",KP26/(INDEX('Standards for Conversions'!$H$47:$H$73,MATCH(KO$3,'Standards for Conversions'!$A$47:$A$73,0))))</f>
        <v>7365.0992810173502</v>
      </c>
      <c r="KR26" s="31">
        <f>2000+9000</f>
        <v>11000</v>
      </c>
      <c r="KS26" s="31">
        <f>50000+15000</f>
        <v>65000</v>
      </c>
      <c r="KT26" s="31">
        <f>IF(KS26/(INDEX('Standards for Conversions'!$H$47:$H$73,MATCH(KR$3,'Standards for Conversions'!$A$47:$A$73,0)))=0,"",KS26/(INDEX('Standards for Conversions'!$H$47:$H$73,MATCH(KR$3,'Standards for Conversions'!$A$47:$A$73,0))))</f>
        <v>6371.9543448190952</v>
      </c>
      <c r="KU26" s="31">
        <f>2080+12000</f>
        <v>14080</v>
      </c>
      <c r="KV26" s="31">
        <f>52000+20000</f>
        <v>72000</v>
      </c>
      <c r="KW26" s="31">
        <f>IF(KV26/(INDEX('Standards for Conversions'!$H$47:$H$73,MATCH(KU$3,'Standards for Conversions'!$A$47:$A$73,0)))=0,"",KV26/(INDEX('Standards for Conversions'!$H$47:$H$73,MATCH(KU$3,'Standards for Conversions'!$A$47:$A$73,0))))</f>
        <v>7271.5866429130074</v>
      </c>
      <c r="KX26" s="31">
        <f>2000+1500</f>
        <v>3500</v>
      </c>
      <c r="KY26" s="31">
        <f>50000+2500</f>
        <v>52500</v>
      </c>
      <c r="KZ26" s="31">
        <f>IF(KY26/(INDEX('Standards for Conversions'!$H$47:$H$73,MATCH(KX$3,'Standards for Conversions'!$A$47:$A$73,0)))=0,"",KY26/(INDEX('Standards for Conversions'!$H$47:$H$73,MATCH(KX$3,'Standards for Conversions'!$A$47:$A$73,0))))</f>
        <v>5480.0501189493343</v>
      </c>
      <c r="LA26" s="31">
        <f>2500+2000</f>
        <v>4500</v>
      </c>
      <c r="LB26" s="31">
        <f>50000+30000</f>
        <v>80000</v>
      </c>
      <c r="LC26" s="31">
        <f>IF(LB26/(INDEX('Standards for Conversions'!$H$47:$H$73,MATCH(LA$3,'Standards for Conversions'!$A$47:$A$73,0)))=0,"",LB26/(INDEX('Standards for Conversions'!$H$47:$H$73,MATCH(LA$3,'Standards for Conversions'!$A$47:$A$73,0))))</f>
        <v>7469.7640566611608</v>
      </c>
      <c r="LD26" s="31">
        <f>2000+1500</f>
        <v>3500</v>
      </c>
      <c r="LE26" s="31">
        <f>26000+20000</f>
        <v>46000</v>
      </c>
      <c r="LF26" s="31">
        <f>IF(LE26/(INDEX('Standards for Conversions'!$H$47:$H$73,MATCH(LD$3,'Standards for Conversions'!$A$47:$A$73,0)))=0,"",LE26/(INDEX('Standards for Conversions'!$H$47:$H$73,MATCH(LD$3,'Standards for Conversions'!$A$47:$A$73,0))))</f>
        <v>4197.7194497552209</v>
      </c>
      <c r="LG26" s="31">
        <f>1800+1200</f>
        <v>3000</v>
      </c>
      <c r="LH26" s="31">
        <f>32000+16000</f>
        <v>48000</v>
      </c>
      <c r="LI26" s="31">
        <f>IF(LH26/(INDEX('Standards for Conversions'!$H$47:$H$73,MATCH(LG$3,'Standards for Conversions'!$A$47:$A$73,0)))=0,"",LH26/(INDEX('Standards for Conversions'!$H$47:$H$73,MATCH(LG$3,'Standards for Conversions'!$A$47:$A$73,0))))</f>
        <v>4461.5325454071426</v>
      </c>
      <c r="LJ26" s="31">
        <f>5736+2400</f>
        <v>8136</v>
      </c>
      <c r="LK26" s="31">
        <f>65459+32729</f>
        <v>98188</v>
      </c>
      <c r="LL26" s="31">
        <f>IF(LK26/(INDEX('Standards for Conversions'!$H$47:$H$73,MATCH(LJ$3,'Standards for Conversions'!$A$47:$A$73,0)))=0,"",LK26/(INDEX('Standards for Conversions'!$H$47:$H$73,MATCH(LJ$3,'Standards for Conversions'!$A$47:$A$73,0))))</f>
        <v>9417.4847085469701</v>
      </c>
      <c r="LM26" s="31">
        <f>4728+596</f>
        <v>5324</v>
      </c>
      <c r="LN26" s="31">
        <f>73851+8658</f>
        <v>82509</v>
      </c>
      <c r="LO26" s="31">
        <f>IF(LN26/(INDEX('Standards for Conversions'!$H$47:$H$73,MATCH(LM$3,'Standards for Conversions'!$A$47:$A$73,0)))=0,"",LN26/(INDEX('Standards for Conversions'!$H$47:$H$73,MATCH(LM$3,'Standards for Conversions'!$A$47:$A$73,0))))</f>
        <v>7599.2177355359772</v>
      </c>
      <c r="LP26" s="31">
        <f>6000+800</f>
        <v>6800</v>
      </c>
      <c r="LQ26" s="31">
        <f>84700+12000</f>
        <v>96700</v>
      </c>
      <c r="LR26" s="31">
        <f>IF(LQ26/(INDEX('Standards for Conversions'!$H$47:$H$73,MATCH(LP$3,'Standards for Conversions'!$A$47:$A$73,0)))=0,"",LQ26/(INDEX('Standards for Conversions'!$H$47:$H$73,MATCH(LP$3,'Standards for Conversions'!$A$47:$A$73,0))))</f>
        <v>7882.5278046334097</v>
      </c>
      <c r="LS26" s="31">
        <f>5800+200</f>
        <v>6000</v>
      </c>
      <c r="LT26" s="31">
        <f>83200+3500</f>
        <v>86700</v>
      </c>
      <c r="LU26" s="31">
        <f>IF(LT26/(INDEX('Standards for Conversions'!$H$47:$H$73,MATCH(LS$3,'Standards for Conversions'!$A$47:$A$73,0)))=0,"",LT26/(INDEX('Standards for Conversions'!$H$47:$H$73,MATCH(LS$3,'Standards for Conversions'!$A$47:$A$73,0))))</f>
        <v>7269.2999804466826</v>
      </c>
      <c r="LV26" s="31">
        <v>6150</v>
      </c>
      <c r="LW26" s="31">
        <f>2000+150000</f>
        <v>152000</v>
      </c>
      <c r="LX26" s="31">
        <f>IF(LW26/(INDEX('Standards for Conversions'!$H$47:$H$73,MATCH(LV$3,'Standards for Conversions'!$A$47:$A$73,0)))=0,"",LW26/(INDEX('Standards for Conversions'!$H$47:$H$73,MATCH(LV$3,'Standards for Conversions'!$A$47:$A$73,0))))</f>
        <v>13597.172554387183</v>
      </c>
      <c r="LY26" s="31">
        <v>4900</v>
      </c>
      <c r="LZ26" s="31">
        <v>10620</v>
      </c>
      <c r="MA26" s="31">
        <v>5300</v>
      </c>
      <c r="MB26" s="31">
        <v>13734</v>
      </c>
      <c r="MC26" s="31">
        <v>4760</v>
      </c>
      <c r="MD26" s="31">
        <v>12693</v>
      </c>
      <c r="ME26" s="31">
        <v>5072</v>
      </c>
      <c r="MF26" s="31">
        <v>13526</v>
      </c>
      <c r="MG26" s="31">
        <v>4824</v>
      </c>
      <c r="MH26" s="31">
        <v>13829</v>
      </c>
      <c r="MI26" s="31">
        <v>5186</v>
      </c>
      <c r="MJ26" s="31">
        <v>15963</v>
      </c>
      <c r="MK26" s="31">
        <v>5204</v>
      </c>
      <c r="ML26" s="31">
        <v>16966</v>
      </c>
      <c r="MM26" s="31"/>
      <c r="MN26" s="31"/>
    </row>
    <row r="27" spans="1:352" s="33" customFormat="1" ht="14.4" customHeight="1" x14ac:dyDescent="0.3">
      <c r="A27" s="104" t="s">
        <v>237</v>
      </c>
      <c r="B27" s="10" t="s">
        <v>40</v>
      </c>
      <c r="C27" s="7"/>
      <c r="D27" s="7"/>
      <c r="E27" s="31"/>
      <c r="F27" s="7"/>
      <c r="G27" s="7"/>
      <c r="H27" s="31"/>
      <c r="I27" s="9"/>
      <c r="J27" s="9"/>
      <c r="K27" s="31"/>
      <c r="L27" s="7"/>
      <c r="M27" s="7"/>
      <c r="N27" s="31"/>
      <c r="O27" s="31"/>
      <c r="P27" s="31"/>
      <c r="Q27" s="31"/>
      <c r="R27" s="7"/>
      <c r="S27" s="7"/>
      <c r="T27" s="31"/>
      <c r="U27" s="7"/>
      <c r="V27" s="7"/>
      <c r="W27" s="31"/>
      <c r="X27" s="9"/>
      <c r="Y27" s="9"/>
      <c r="Z27" s="31"/>
      <c r="AA27" s="7">
        <v>5</v>
      </c>
      <c r="AB27" s="7">
        <v>50</v>
      </c>
      <c r="AC27" s="68">
        <v>9.6336242794241169</v>
      </c>
      <c r="AD27" s="31">
        <f t="shared" ref="AD27" si="47">R27+U27+X27+AA27</f>
        <v>5</v>
      </c>
      <c r="AE27" s="31">
        <f t="shared" ref="AE27" si="48">S27+V27+Y27+AB27</f>
        <v>50</v>
      </c>
      <c r="AF27" s="68">
        <f>IF(AE27/(INDEX('Standards for Conversions'!$H$34:$H$73,MATCH(AD$3,'Standards for Conversions'!$A$34:$A$73,0)))=0,"",AE27/(INDEX('Standards for Conversions'!$H$34:$H$73,MATCH(AD$3,'Standards for Conversions'!$A$34:$A$73,0))))</f>
        <v>9.6336242794241169</v>
      </c>
      <c r="AG27" s="7"/>
      <c r="AH27" s="7"/>
      <c r="AI27" s="31"/>
      <c r="AJ27" s="7"/>
      <c r="AK27" s="7"/>
      <c r="AL27" s="31"/>
      <c r="AM27" s="9"/>
      <c r="AN27" s="9"/>
      <c r="AO27" s="31"/>
      <c r="AP27" s="7">
        <v>5</v>
      </c>
      <c r="AQ27" s="7">
        <v>50</v>
      </c>
      <c r="AR27" s="68">
        <v>8.9349218591581927</v>
      </c>
      <c r="AS27" s="31">
        <f t="shared" ref="AS27" si="49">AG27+AJ27+AM27+AP27</f>
        <v>5</v>
      </c>
      <c r="AT27" s="31">
        <f t="shared" ref="AT27" si="50">AH27+AK27+AN27+AQ27</f>
        <v>50</v>
      </c>
      <c r="AU27" s="68">
        <f>IF(AT27/(INDEX('Standards for Conversions'!$H$34:$H$73,MATCH(AS$3,'Standards for Conversions'!$A$34:$A$73,0)))=0,"",AT27/(INDEX('Standards for Conversions'!$H$34:$H$73,MATCH(AS$3,'Standards for Conversions'!$A$34:$A$73,0))))</f>
        <v>8.9349218591581927</v>
      </c>
      <c r="AV27" s="7"/>
      <c r="AW27" s="7"/>
      <c r="AX27" s="31"/>
      <c r="AY27" s="7"/>
      <c r="AZ27" s="7"/>
      <c r="BA27" s="31"/>
      <c r="BB27" s="9"/>
      <c r="BC27" s="9"/>
      <c r="BD27" s="31"/>
      <c r="BE27" s="7">
        <v>5</v>
      </c>
      <c r="BF27" s="7">
        <v>50</v>
      </c>
      <c r="BG27" s="68">
        <v>9.2842730692911566</v>
      </c>
      <c r="BH27" s="31">
        <f t="shared" ref="BH27" si="51">AV27+AY27+BB27+BE27</f>
        <v>5</v>
      </c>
      <c r="BI27" s="31">
        <f t="shared" ref="BI27" si="52">AW27+AZ27+BC27+BF27</f>
        <v>50</v>
      </c>
      <c r="BJ27" s="68">
        <f>IF(BI27/(INDEX('Standards for Conversions'!$H$34:$H$73,MATCH(BH$3,'Standards for Conversions'!$A$34:$A$73,0)))=0,"",BI27/(INDEX('Standards for Conversions'!$H$34:$H$73,MATCH(BH$3,'Standards for Conversions'!$A$34:$A$73,0))))</f>
        <v>9.2842730692911566</v>
      </c>
      <c r="BK27" s="7"/>
      <c r="BL27" s="7"/>
      <c r="BM27" s="31"/>
      <c r="BN27" s="7"/>
      <c r="BO27" s="7"/>
      <c r="BP27" s="31"/>
      <c r="BQ27" s="9"/>
      <c r="BR27" s="9"/>
      <c r="BS27" s="31"/>
      <c r="BT27" s="7">
        <v>5</v>
      </c>
      <c r="BU27" s="7">
        <v>50</v>
      </c>
      <c r="BV27" s="68">
        <v>8.9031626582370134</v>
      </c>
      <c r="BW27" s="31">
        <f t="shared" ref="BW27" si="53">BK27+BN27+BQ27+BT27</f>
        <v>5</v>
      </c>
      <c r="BX27" s="31">
        <f t="shared" ref="BX27" si="54">BL27+BO27+BR27+BU27</f>
        <v>50</v>
      </c>
      <c r="BY27" s="68">
        <f>IF(BX27/(INDEX('Standards for Conversions'!$H$34:$H$73,MATCH(BW$3,'Standards for Conversions'!$A$34:$A$73,0)))=0,"",BX27/(INDEX('Standards for Conversions'!$H$34:$H$73,MATCH(BW$3,'Standards for Conversions'!$A$34:$A$73,0))))</f>
        <v>8.9031626582370134</v>
      </c>
      <c r="BZ27" s="7"/>
      <c r="CA27" s="7"/>
      <c r="CB27" s="31"/>
      <c r="CC27" s="7"/>
      <c r="CD27" s="7"/>
      <c r="CE27" s="31"/>
      <c r="CF27" s="9"/>
      <c r="CG27" s="9"/>
      <c r="CH27" s="31"/>
      <c r="CI27" s="7">
        <v>10</v>
      </c>
      <c r="CJ27" s="7">
        <v>100</v>
      </c>
      <c r="CK27" s="68">
        <v>17.361696503577534</v>
      </c>
      <c r="CL27" s="31">
        <f t="shared" ref="CL27" si="55">BZ27+CC27+CF27+CI27</f>
        <v>10</v>
      </c>
      <c r="CM27" s="31">
        <f t="shared" ref="CM27" si="56">CA27+CD27+CG27+CJ27</f>
        <v>100</v>
      </c>
      <c r="CN27" s="68">
        <f>IF(CM27/(INDEX('Standards for Conversions'!$H$34:$H$73,MATCH(CL$3,'Standards for Conversions'!$A$34:$A$73,0)))=0,"",CM27/(INDEX('Standards for Conversions'!$H$34:$H$73,MATCH(CL$3,'Standards for Conversions'!$A$34:$A$73,0))))</f>
        <v>17.361696503577534</v>
      </c>
      <c r="CO27" s="7"/>
      <c r="CP27" s="7"/>
      <c r="CQ27" s="31"/>
      <c r="CR27" s="7"/>
      <c r="CS27" s="7"/>
      <c r="CT27" s="31"/>
      <c r="CU27" s="9"/>
      <c r="CV27" s="9"/>
      <c r="CW27" s="31"/>
      <c r="CX27" s="7"/>
      <c r="CY27" s="7"/>
      <c r="CZ27" s="31"/>
      <c r="DA27" s="31"/>
      <c r="DB27" s="31"/>
      <c r="DC27" s="31"/>
      <c r="DD27" s="7"/>
      <c r="DE27" s="7"/>
      <c r="DF27" s="31"/>
      <c r="DG27" s="7"/>
      <c r="DH27" s="7"/>
      <c r="DI27" s="31"/>
      <c r="DJ27" s="9"/>
      <c r="DK27" s="9"/>
      <c r="DL27" s="31"/>
      <c r="DM27" s="7"/>
      <c r="DN27" s="7"/>
      <c r="DO27" s="31"/>
      <c r="DP27" s="31"/>
      <c r="DQ27" s="31"/>
      <c r="DR27" s="31"/>
      <c r="DS27" s="7"/>
      <c r="DT27" s="7"/>
      <c r="DU27" s="31"/>
      <c r="DV27" s="7"/>
      <c r="DW27" s="7"/>
      <c r="DX27" s="31"/>
      <c r="DY27" s="9"/>
      <c r="DZ27" s="9"/>
      <c r="EA27" s="31"/>
      <c r="EB27" s="7"/>
      <c r="EC27" s="7"/>
      <c r="ED27" s="31"/>
      <c r="EE27" s="31"/>
      <c r="EF27" s="31"/>
      <c r="EG27" s="31"/>
      <c r="EH27" s="7"/>
      <c r="EI27" s="7"/>
      <c r="EJ27" s="31"/>
      <c r="EK27" s="7"/>
      <c r="EL27" s="7"/>
      <c r="EM27" s="31"/>
      <c r="EN27" s="9"/>
      <c r="EO27" s="9"/>
      <c r="EP27" s="31"/>
      <c r="EQ27" s="7">
        <v>75</v>
      </c>
      <c r="ER27" s="7">
        <v>100</v>
      </c>
      <c r="ES27" s="68">
        <v>17.12879569682222</v>
      </c>
      <c r="ET27" s="31">
        <f t="shared" ref="ET27" si="57">EH27+EK27+EN27+EQ27</f>
        <v>75</v>
      </c>
      <c r="EU27" s="31">
        <f t="shared" ref="EU27" si="58">EI27+EL27+EO27+ER27</f>
        <v>100</v>
      </c>
      <c r="EV27" s="68">
        <f>IF(EU27/(INDEX('Standards for Conversions'!$H$34:$H$73,MATCH(ET$3,'Standards for Conversions'!$A$34:$A$73,0)))=0,"",EU27/(INDEX('Standards for Conversions'!$H$34:$H$73,MATCH(ET$3,'Standards for Conversions'!$A$34:$A$73,0))))</f>
        <v>17.12879569682222</v>
      </c>
      <c r="EW27" s="7"/>
      <c r="EX27" s="7"/>
      <c r="EY27" s="31"/>
      <c r="EZ27" s="7"/>
      <c r="FA27" s="7"/>
      <c r="FB27" s="31"/>
      <c r="FC27" s="9"/>
      <c r="FD27" s="9"/>
      <c r="FE27" s="31"/>
      <c r="FF27" s="7">
        <v>200</v>
      </c>
      <c r="FG27" s="7">
        <v>450</v>
      </c>
      <c r="FH27" s="68">
        <v>77.174858238463528</v>
      </c>
      <c r="FI27" s="31">
        <f t="shared" ref="FI27" si="59">EW27+EZ27+FC27+FF27</f>
        <v>200</v>
      </c>
      <c r="FJ27" s="31">
        <f t="shared" ref="FJ27" si="60">EX27+FA27+FD27+FG27</f>
        <v>450</v>
      </c>
      <c r="FK27" s="68">
        <f>IF(FJ27/(INDEX('Standards for Conversions'!$H$34:$H$73,MATCH(FI$3,'Standards for Conversions'!$A$34:$A$73,0)))=0,"",FJ27/(INDEX('Standards for Conversions'!$H$34:$H$73,MATCH(FI$3,'Standards for Conversions'!$A$34:$A$73,0))))</f>
        <v>77.174858238463528</v>
      </c>
      <c r="FL27" s="7"/>
      <c r="FM27" s="7"/>
      <c r="FN27" s="31"/>
      <c r="FO27" s="7"/>
      <c r="FP27" s="7"/>
      <c r="FQ27" s="31"/>
      <c r="FR27" s="9"/>
      <c r="FS27" s="9"/>
      <c r="FT27" s="31"/>
      <c r="FU27" s="7">
        <v>50</v>
      </c>
      <c r="FV27" s="7">
        <v>200</v>
      </c>
      <c r="FW27" s="68">
        <v>32.902532154340832</v>
      </c>
      <c r="FX27" s="31">
        <f t="shared" ref="FX27" si="61">FL27+FO27+FR27+FU27</f>
        <v>50</v>
      </c>
      <c r="FY27" s="31">
        <f t="shared" ref="FY27" si="62">FM27+FP27+FS27+FV27</f>
        <v>200</v>
      </c>
      <c r="FZ27" s="68">
        <f>IF(FY27/(INDEX('Standards for Conversions'!$H$34:$H$73,MATCH(FX$3,'Standards for Conversions'!$A$34:$A$73,0)))=0,"",FY27/(INDEX('Standards for Conversions'!$H$34:$H$73,MATCH(FX$3,'Standards for Conversions'!$A$34:$A$73,0))))</f>
        <v>32.902532154340832</v>
      </c>
      <c r="GA27" s="7"/>
      <c r="GB27" s="7"/>
      <c r="GC27" s="31"/>
      <c r="GD27" s="7"/>
      <c r="GE27" s="7"/>
      <c r="GF27" s="31"/>
      <c r="GG27" s="9"/>
      <c r="GH27" s="9"/>
      <c r="GI27" s="31"/>
      <c r="GJ27" s="7">
        <v>40</v>
      </c>
      <c r="GK27" s="7">
        <v>150</v>
      </c>
      <c r="GL27" s="68">
        <v>23.057179868775528</v>
      </c>
      <c r="GM27" s="31">
        <f t="shared" ref="GM27" si="63">GA27+GD27+GG27+GJ27</f>
        <v>40</v>
      </c>
      <c r="GN27" s="31">
        <f t="shared" ref="GN27" si="64">GB27+GE27+GH27+GK27</f>
        <v>150</v>
      </c>
      <c r="GO27" s="68">
        <f>IF(GN27/(INDEX('Standards for Conversions'!$H$34:$H$73,MATCH(GM$3,'Standards for Conversions'!$A$34:$A$73,0)))=0,"",GN27/(INDEX('Standards for Conversions'!$H$34:$H$73,MATCH(GM$3,'Standards for Conversions'!$A$34:$A$73,0))))</f>
        <v>23.057179868775528</v>
      </c>
      <c r="GP27" s="7"/>
      <c r="GQ27" s="7"/>
      <c r="GR27" s="31"/>
      <c r="GS27" s="7"/>
      <c r="GT27" s="7"/>
      <c r="GU27" s="31"/>
      <c r="GV27" s="9"/>
      <c r="GW27" s="9"/>
      <c r="GX27" s="31"/>
      <c r="GY27" s="7">
        <v>45</v>
      </c>
      <c r="GZ27" s="7">
        <v>250</v>
      </c>
      <c r="HA27" s="68">
        <v>37.846381097737599</v>
      </c>
      <c r="HB27" s="31">
        <f t="shared" ref="HB27" si="65">GP27+GS27+GV27+GY27</f>
        <v>45</v>
      </c>
      <c r="HC27" s="31">
        <f t="shared" ref="HC27" si="66">GQ27+GT27+GW27+GZ27</f>
        <v>250</v>
      </c>
      <c r="HD27" s="68">
        <f>IF(HC27/(INDEX('Standards for Conversions'!$H$34:$H$73,MATCH(HB$3,'Standards for Conversions'!$A$34:$A$73,0)))=0,"",HC27/(INDEX('Standards for Conversions'!$H$34:$H$73,MATCH(HB$3,'Standards for Conversions'!$A$34:$A$73,0))))</f>
        <v>37.846381097737599</v>
      </c>
      <c r="HE27" s="112"/>
      <c r="HF27" s="31"/>
      <c r="HG27" s="31"/>
      <c r="HH27" s="31"/>
      <c r="HI27" s="31"/>
      <c r="HJ27" s="31"/>
      <c r="HK27" s="31"/>
      <c r="HL27" s="31"/>
      <c r="HM27" s="31"/>
      <c r="HN27" s="31"/>
      <c r="HO27" s="31">
        <v>40</v>
      </c>
      <c r="HP27" s="31">
        <v>200</v>
      </c>
      <c r="HQ27" s="68">
        <v>29.049082442571191</v>
      </c>
      <c r="HR27" s="31">
        <f>HF27+HI27+HL27+HO27</f>
        <v>40</v>
      </c>
      <c r="HS27" s="31">
        <f>HG27+HJ27+HM27+HP27</f>
        <v>200</v>
      </c>
      <c r="HT27" s="68">
        <f>IF(HS27/(INDEX('Standards for Conversions'!$H$47:$H$73,MATCH(HR$3,'Standards for Conversions'!$A$47:$A$73,0)))=0,"",HS27/(INDEX('Standards for Conversions'!$H$47:$H$73,MATCH(HR$3,'Standards for Conversions'!$A$47:$A$73,0))))</f>
        <v>29.049082442571191</v>
      </c>
      <c r="HU27" s="31"/>
      <c r="HV27" s="31"/>
      <c r="HW27" s="31"/>
      <c r="HX27" s="31"/>
      <c r="HY27" s="31"/>
      <c r="HZ27" s="31"/>
      <c r="IA27" s="31"/>
      <c r="IB27" s="31"/>
      <c r="IC27" s="31"/>
      <c r="ID27" s="31">
        <v>27</v>
      </c>
      <c r="IE27" s="31">
        <v>104</v>
      </c>
      <c r="IF27" s="68">
        <v>15.039463732220966</v>
      </c>
      <c r="IG27" s="31">
        <f>HU27+HX27+IA27+ID27</f>
        <v>27</v>
      </c>
      <c r="IH27" s="31">
        <f>HV27+HY27+IB27+IE27</f>
        <v>104</v>
      </c>
      <c r="II27" s="68">
        <f>IF(IH27/(INDEX('Standards for Conversions'!$H$47:$H$73,MATCH(IG$3,'Standards for Conversions'!$A$47:$A$73,0)))=0,"",IH27/(INDEX('Standards for Conversions'!$H$47:$H$73,MATCH(IG$3,'Standards for Conversions'!$A$47:$A$73,0))))</f>
        <v>15.039463732220966</v>
      </c>
      <c r="IJ27" s="31"/>
      <c r="IK27" s="31"/>
      <c r="IL27" s="31"/>
      <c r="IM27" s="31"/>
      <c r="IN27" s="31"/>
      <c r="IO27" s="31"/>
      <c r="IP27" s="31"/>
      <c r="IQ27" s="31"/>
      <c r="IR27" s="31"/>
      <c r="IS27" s="31">
        <v>30</v>
      </c>
      <c r="IT27" s="31">
        <v>60</v>
      </c>
      <c r="IU27" s="68">
        <v>9.7056118015121218</v>
      </c>
      <c r="IV27" s="31">
        <f t="shared" ref="IV27" si="67">IJ27+IM27+IP27+IS27</f>
        <v>30</v>
      </c>
      <c r="IW27" s="31">
        <f t="shared" ref="IW27" si="68">IK27+IN27+IQ27+IT27</f>
        <v>60</v>
      </c>
      <c r="IX27" s="68">
        <f>IF(IW27/(INDEX('Standards for Conversions'!$H$47:$H$73,MATCH(IV$3,'Standards for Conversions'!$A$47:$A$73,0)))=0,"",IW27/(INDEX('Standards for Conversions'!$H$47:$H$73,MATCH(IV$3,'Standards for Conversions'!$A$47:$A$73,0))))</f>
        <v>9.7056118015121218</v>
      </c>
      <c r="IY27" s="31"/>
      <c r="IZ27" s="31"/>
      <c r="JA27" s="31"/>
      <c r="JB27" s="31"/>
      <c r="JC27" s="31"/>
      <c r="JD27" s="31"/>
      <c r="JE27" s="31"/>
      <c r="JF27" s="31"/>
      <c r="JG27" s="31"/>
      <c r="JH27" s="31">
        <v>20</v>
      </c>
      <c r="JI27" s="31">
        <v>70</v>
      </c>
      <c r="JJ27" s="68">
        <v>10.68591246994583</v>
      </c>
      <c r="JK27" s="31">
        <f t="shared" ref="JK27" si="69">IY27+JB27+JE27+JH27</f>
        <v>20</v>
      </c>
      <c r="JL27" s="31">
        <f t="shared" ref="JL27" si="70">IZ27+JC27+JF27+JI27</f>
        <v>70</v>
      </c>
      <c r="JM27" s="68">
        <f>IF(JL27/(INDEX('Standards for Conversions'!$H$47:$H$73,MATCH(JK$3,'Standards for Conversions'!$A$47:$A$73,0)))=0,"",JL27/(INDEX('Standards for Conversions'!$H$47:$H$73,MATCH(JK$3,'Standards for Conversions'!$A$47:$A$73,0))))</f>
        <v>10.68591246994583</v>
      </c>
      <c r="JN27" s="31"/>
      <c r="JO27" s="31"/>
      <c r="JP27" s="31"/>
      <c r="JQ27" s="31"/>
      <c r="JR27" s="31"/>
      <c r="JS27" s="31"/>
      <c r="JT27" s="31"/>
      <c r="JU27" s="31"/>
      <c r="JV27" s="31"/>
      <c r="JW27" s="31">
        <v>22</v>
      </c>
      <c r="JX27" s="31">
        <v>80</v>
      </c>
      <c r="JY27" s="68">
        <v>10.772720952463716</v>
      </c>
      <c r="JZ27" s="31">
        <f t="shared" ref="JZ27" si="71">JN27+JQ27+JT27+JW27</f>
        <v>22</v>
      </c>
      <c r="KA27" s="31">
        <f t="shared" ref="KA27" si="72">JO27+JR27+JU27+JX27</f>
        <v>80</v>
      </c>
      <c r="KB27" s="68">
        <f>IF(KA27/(INDEX('Standards for Conversions'!$H$47:$H$73,MATCH(JZ$3,'Standards for Conversions'!$A$47:$A$73,0)))=0,"",KA27/(INDEX('Standards for Conversions'!$H$47:$H$73,MATCH(JZ$3,'Standards for Conversions'!$A$47:$A$73,0))))</f>
        <v>10.772720952463716</v>
      </c>
      <c r="KC27" s="31"/>
      <c r="KD27" s="31"/>
      <c r="KE27" s="31"/>
      <c r="KF27" s="31"/>
      <c r="KG27" s="31"/>
      <c r="KH27" s="31"/>
      <c r="KI27" s="31"/>
      <c r="KJ27" s="31"/>
      <c r="KK27" s="31"/>
      <c r="KL27" s="31">
        <v>20</v>
      </c>
      <c r="KM27" s="31">
        <v>180</v>
      </c>
      <c r="KN27" s="68">
        <v>21.890982010949852</v>
      </c>
      <c r="KO27" s="31">
        <f t="shared" ref="KO27" si="73">KC27+KF27+KI27+KL27</f>
        <v>20</v>
      </c>
      <c r="KP27" s="31">
        <f t="shared" ref="KP27" si="74">KD27+KG27+KJ27+KM27</f>
        <v>180</v>
      </c>
      <c r="KQ27" s="68">
        <f>IF(KP27/(INDEX('Standards for Conversions'!$H$47:$H$73,MATCH(KO$3,'Standards for Conversions'!$A$47:$A$73,0)))=0,"",KP27/(INDEX('Standards for Conversions'!$H$47:$H$73,MATCH(KO$3,'Standards for Conversions'!$A$47:$A$73,0))))</f>
        <v>21.890982010949852</v>
      </c>
      <c r="KR27" s="31">
        <v>25</v>
      </c>
      <c r="KS27" s="31">
        <v>250</v>
      </c>
      <c r="KT27" s="68">
        <v>24.507516710842673</v>
      </c>
      <c r="KU27" s="31"/>
      <c r="KV27" s="31"/>
      <c r="KW27" s="31"/>
      <c r="KX27" s="31"/>
      <c r="KY27" s="31"/>
      <c r="KZ27" s="31"/>
      <c r="LA27" s="31"/>
      <c r="LB27" s="31"/>
      <c r="LC27" s="31"/>
      <c r="LD27" s="31"/>
      <c r="LE27" s="31"/>
      <c r="LF27" s="31"/>
      <c r="LG27" s="31"/>
      <c r="LH27" s="31"/>
      <c r="LI27" s="31"/>
      <c r="LJ27" s="31"/>
      <c r="LK27" s="31"/>
      <c r="LL27" s="31"/>
      <c r="LM27" s="31"/>
      <c r="LN27" s="31"/>
      <c r="LO27" s="31"/>
      <c r="LP27" s="31"/>
      <c r="LQ27" s="31"/>
      <c r="LR27" s="31"/>
      <c r="LS27" s="31"/>
      <c r="LT27" s="31"/>
      <c r="LU27" s="31"/>
      <c r="LV27" s="31"/>
      <c r="LW27" s="31"/>
      <c r="LX27" s="31"/>
      <c r="LY27" s="31"/>
      <c r="LZ27" s="31"/>
      <c r="MA27" s="31"/>
      <c r="MB27" s="31"/>
      <c r="MC27" s="31"/>
      <c r="MD27" s="31"/>
      <c r="ME27" s="31"/>
      <c r="MF27" s="31"/>
      <c r="MG27" s="31"/>
      <c r="MH27" s="31"/>
      <c r="MI27" s="31"/>
      <c r="MJ27" s="31"/>
      <c r="MK27" s="31">
        <v>36</v>
      </c>
      <c r="ML27" s="68">
        <v>88</v>
      </c>
      <c r="MM27" s="31"/>
      <c r="MN27" s="31"/>
    </row>
    <row r="28" spans="1:352" s="33" customFormat="1" ht="14.4" customHeight="1" x14ac:dyDescent="0.3">
      <c r="A28" s="102" t="s">
        <v>93</v>
      </c>
      <c r="B28" s="10" t="s">
        <v>97</v>
      </c>
      <c r="C28" s="7"/>
      <c r="D28" s="7"/>
      <c r="E28" s="31" t="s">
        <v>128</v>
      </c>
      <c r="F28" s="7"/>
      <c r="G28" s="7"/>
      <c r="H28" s="31" t="s">
        <v>128</v>
      </c>
      <c r="I28" s="9">
        <v>15300</v>
      </c>
      <c r="J28" s="9">
        <v>40500</v>
      </c>
      <c r="K28" s="31">
        <v>8000.4603040540533</v>
      </c>
      <c r="L28" s="7"/>
      <c r="M28" s="7"/>
      <c r="N28" s="31" t="s">
        <v>128</v>
      </c>
      <c r="O28" s="31">
        <f t="shared" si="4"/>
        <v>15300</v>
      </c>
      <c r="P28" s="31">
        <f t="shared" si="5"/>
        <v>40500</v>
      </c>
      <c r="Q28" s="31">
        <f>IF(P28/(INDEX('Standards for Conversions'!$H$34:$H$73,MATCH(O$3,'Standards for Conversions'!$A$34:$A$73,0)))=0,"",P28/(INDEX('Standards for Conversions'!$H$34:$H$73,MATCH(O$3,'Standards for Conversions'!$A$34:$A$73,0))))</f>
        <v>8000.4603040540533</v>
      </c>
      <c r="R28" s="7"/>
      <c r="S28" s="7"/>
      <c r="T28" s="31" t="s">
        <v>128</v>
      </c>
      <c r="U28" s="7"/>
      <c r="V28" s="7"/>
      <c r="W28" s="31" t="s">
        <v>128</v>
      </c>
      <c r="X28" s="9">
        <v>13500</v>
      </c>
      <c r="Y28" s="9">
        <v>30000</v>
      </c>
      <c r="Z28" s="31">
        <v>5780.1745676544706</v>
      </c>
      <c r="AA28" s="7"/>
      <c r="AB28" s="7"/>
      <c r="AC28" s="31" t="s">
        <v>128</v>
      </c>
      <c r="AD28" s="31">
        <f t="shared" si="6"/>
        <v>13500</v>
      </c>
      <c r="AE28" s="31">
        <f t="shared" si="7"/>
        <v>30000</v>
      </c>
      <c r="AF28" s="31">
        <f>IF(AE28/(INDEX('Standards for Conversions'!$H$34:$H$73,MATCH(AD$3,'Standards for Conversions'!$A$34:$A$73,0)))=0,"",AE28/(INDEX('Standards for Conversions'!$H$34:$H$73,MATCH(AD$3,'Standards for Conversions'!$A$34:$A$73,0))))</f>
        <v>5780.1745676544706</v>
      </c>
      <c r="AG28" s="7"/>
      <c r="AH28" s="7"/>
      <c r="AI28" s="31" t="s">
        <v>128</v>
      </c>
      <c r="AJ28" s="7"/>
      <c r="AK28" s="7"/>
      <c r="AL28" s="31" t="s">
        <v>128</v>
      </c>
      <c r="AM28" s="9">
        <v>18000</v>
      </c>
      <c r="AN28" s="9">
        <v>32000</v>
      </c>
      <c r="AO28" s="31">
        <v>5718.3499898612426</v>
      </c>
      <c r="AP28" s="7"/>
      <c r="AQ28" s="7"/>
      <c r="AR28" s="31" t="s">
        <v>128</v>
      </c>
      <c r="AS28" s="31">
        <f t="shared" si="8"/>
        <v>18000</v>
      </c>
      <c r="AT28" s="31">
        <f t="shared" si="9"/>
        <v>32000</v>
      </c>
      <c r="AU28" s="31">
        <f>IF(AT28/(INDEX('Standards for Conversions'!$H$34:$H$73,MATCH(AS$3,'Standards for Conversions'!$A$34:$A$73,0)))=0,"",AT28/(INDEX('Standards for Conversions'!$H$34:$H$73,MATCH(AS$3,'Standards for Conversions'!$A$34:$A$73,0))))</f>
        <v>5718.3499898612426</v>
      </c>
      <c r="AV28" s="7"/>
      <c r="AW28" s="7"/>
      <c r="AX28" s="31" t="s">
        <v>128</v>
      </c>
      <c r="AY28" s="7"/>
      <c r="AZ28" s="7"/>
      <c r="BA28" s="31" t="s">
        <v>128</v>
      </c>
      <c r="BB28" s="9"/>
      <c r="BC28" s="9"/>
      <c r="BD28" s="31" t="s">
        <v>128</v>
      </c>
      <c r="BE28" s="7"/>
      <c r="BF28" s="7"/>
      <c r="BG28" s="31" t="s">
        <v>128</v>
      </c>
      <c r="BH28" s="31">
        <f t="shared" si="10"/>
        <v>0</v>
      </c>
      <c r="BI28" s="31">
        <f t="shared" si="11"/>
        <v>0</v>
      </c>
      <c r="BJ28" s="31" t="str">
        <f>IF(BI28/(INDEX('Standards for Conversions'!$H$34:$H$73,MATCH(BH$3,'Standards for Conversions'!$A$34:$A$73,0)))=0,"",BI28/(INDEX('Standards for Conversions'!$H$34:$H$73,MATCH(BH$3,'Standards for Conversions'!$A$34:$A$73,0))))</f>
        <v/>
      </c>
      <c r="BK28" s="7"/>
      <c r="BL28" s="7"/>
      <c r="BM28" s="31" t="s">
        <v>128</v>
      </c>
      <c r="BN28" s="7"/>
      <c r="BO28" s="7"/>
      <c r="BP28" s="31" t="s">
        <v>128</v>
      </c>
      <c r="BQ28" s="9">
        <v>4500</v>
      </c>
      <c r="BR28" s="9">
        <v>5000</v>
      </c>
      <c r="BS28" s="31">
        <v>890.31626582370131</v>
      </c>
      <c r="BT28" s="7">
        <v>8082</v>
      </c>
      <c r="BU28" s="7">
        <v>18000</v>
      </c>
      <c r="BV28" s="31">
        <v>3205.1385569653248</v>
      </c>
      <c r="BW28" s="31">
        <f t="shared" si="12"/>
        <v>12582</v>
      </c>
      <c r="BX28" s="31">
        <f t="shared" si="13"/>
        <v>23000</v>
      </c>
      <c r="BY28" s="31">
        <f>IF(BX28/(INDEX('Standards for Conversions'!$H$34:$H$73,MATCH(BW$3,'Standards for Conversions'!$A$34:$A$73,0)))=0,"",BX28/(INDEX('Standards for Conversions'!$H$34:$H$73,MATCH(BW$3,'Standards for Conversions'!$A$34:$A$73,0))))</f>
        <v>4095.4548227890264</v>
      </c>
      <c r="BZ28" s="7"/>
      <c r="CA28" s="7"/>
      <c r="CB28" s="31" t="s">
        <v>128</v>
      </c>
      <c r="CC28" s="7"/>
      <c r="CD28" s="7"/>
      <c r="CE28" s="31" t="s">
        <v>128</v>
      </c>
      <c r="CF28" s="9">
        <v>3600</v>
      </c>
      <c r="CG28" s="9">
        <v>8000</v>
      </c>
      <c r="CH28" s="31">
        <v>1388.9357202862025</v>
      </c>
      <c r="CI28" s="7">
        <v>8082</v>
      </c>
      <c r="CJ28" s="7">
        <v>18000</v>
      </c>
      <c r="CK28" s="31">
        <v>3125.1053706439557</v>
      </c>
      <c r="CL28" s="31">
        <f t="shared" si="14"/>
        <v>11682</v>
      </c>
      <c r="CM28" s="31">
        <f t="shared" si="15"/>
        <v>26000</v>
      </c>
      <c r="CN28" s="31">
        <f>IF(CM28/(INDEX('Standards for Conversions'!$H$34:$H$73,MATCH(CL$3,'Standards for Conversions'!$A$34:$A$73,0)))=0,"",CM28/(INDEX('Standards for Conversions'!$H$34:$H$73,MATCH(CL$3,'Standards for Conversions'!$A$34:$A$73,0))))</f>
        <v>4514.0410909301581</v>
      </c>
      <c r="CO28" s="7"/>
      <c r="CP28" s="7"/>
      <c r="CQ28" s="31" t="s">
        <v>128</v>
      </c>
      <c r="CR28" s="7"/>
      <c r="CS28" s="7"/>
      <c r="CT28" s="31" t="s">
        <v>128</v>
      </c>
      <c r="CU28" s="9">
        <v>675</v>
      </c>
      <c r="CV28" s="9">
        <v>1500</v>
      </c>
      <c r="CW28" s="31">
        <v>265.50691970105152</v>
      </c>
      <c r="CX28" s="7">
        <v>8082</v>
      </c>
      <c r="CY28" s="7">
        <v>18000</v>
      </c>
      <c r="CZ28" s="31">
        <v>3186.0830364126186</v>
      </c>
      <c r="DA28" s="31">
        <f t="shared" si="16"/>
        <v>8757</v>
      </c>
      <c r="DB28" s="31">
        <f t="shared" si="17"/>
        <v>19500</v>
      </c>
      <c r="DC28" s="31">
        <f>IF(DB28/(INDEX('Standards for Conversions'!$H$34:$H$73,MATCH(DA$3,'Standards for Conversions'!$A$34:$A$73,0)))=0,"",DB28/(INDEX('Standards for Conversions'!$H$34:$H$73,MATCH(DA$3,'Standards for Conversions'!$A$34:$A$73,0))))</f>
        <v>3451.5899561136703</v>
      </c>
      <c r="DD28" s="7"/>
      <c r="DE28" s="7"/>
      <c r="DF28" s="31" t="s">
        <v>128</v>
      </c>
      <c r="DG28" s="7"/>
      <c r="DH28" s="7"/>
      <c r="DI28" s="31" t="s">
        <v>128</v>
      </c>
      <c r="DJ28" s="9">
        <v>18000</v>
      </c>
      <c r="DK28" s="9">
        <v>25000</v>
      </c>
      <c r="DL28" s="31">
        <v>4377.4765269690915</v>
      </c>
      <c r="DM28" s="7">
        <v>1800</v>
      </c>
      <c r="DN28" s="7">
        <v>2000</v>
      </c>
      <c r="DO28" s="31">
        <v>350.19812215752728</v>
      </c>
      <c r="DP28" s="31">
        <f t="shared" si="18"/>
        <v>19800</v>
      </c>
      <c r="DQ28" s="31">
        <f t="shared" si="19"/>
        <v>27000</v>
      </c>
      <c r="DR28" s="31">
        <f>IF(DQ28/(INDEX('Standards for Conversions'!$H$34:$H$73,MATCH(DP$3,'Standards for Conversions'!$A$34:$A$73,0)))=0,"",DQ28/(INDEX('Standards for Conversions'!$H$34:$H$73,MATCH(DP$3,'Standards for Conversions'!$A$34:$A$73,0))))</f>
        <v>4727.6746491266185</v>
      </c>
      <c r="DS28" s="7"/>
      <c r="DT28" s="7"/>
      <c r="DU28" s="31" t="s">
        <v>128</v>
      </c>
      <c r="DV28" s="7"/>
      <c r="DW28" s="7"/>
      <c r="DX28" s="31" t="s">
        <v>128</v>
      </c>
      <c r="DY28" s="9">
        <v>26226</v>
      </c>
      <c r="DZ28" s="9">
        <v>33240</v>
      </c>
      <c r="EA28" s="31">
        <v>5813.25495133397</v>
      </c>
      <c r="EB28" s="7"/>
      <c r="EC28" s="7"/>
      <c r="ED28" s="31" t="s">
        <v>128</v>
      </c>
      <c r="EE28" s="31">
        <f t="shared" si="20"/>
        <v>26226</v>
      </c>
      <c r="EF28" s="31">
        <f t="shared" si="21"/>
        <v>33240</v>
      </c>
      <c r="EG28" s="31">
        <f>IF(EF28/(INDEX('Standards for Conversions'!$H$34:$H$73,MATCH(EE$3,'Standards for Conversions'!$A$34:$A$73,0)))=0,"",EF28/(INDEX('Standards for Conversions'!$H$34:$H$73,MATCH(EE$3,'Standards for Conversions'!$A$34:$A$73,0))))</f>
        <v>5813.25495133397</v>
      </c>
      <c r="EH28" s="7"/>
      <c r="EI28" s="7"/>
      <c r="EJ28" s="31" t="s">
        <v>128</v>
      </c>
      <c r="EK28" s="7"/>
      <c r="EL28" s="7"/>
      <c r="EM28" s="31" t="s">
        <v>128</v>
      </c>
      <c r="EN28" s="9">
        <v>21033</v>
      </c>
      <c r="EO28" s="9">
        <v>35600</v>
      </c>
      <c r="EP28" s="31">
        <v>6097.8512680687109</v>
      </c>
      <c r="EQ28" s="7"/>
      <c r="ER28" s="7"/>
      <c r="ES28" s="31" t="s">
        <v>128</v>
      </c>
      <c r="ET28" s="31">
        <f t="shared" si="22"/>
        <v>21033</v>
      </c>
      <c r="EU28" s="31">
        <f t="shared" si="23"/>
        <v>35600</v>
      </c>
      <c r="EV28" s="31">
        <f>IF(EU28/(INDEX('Standards for Conversions'!$H$34:$H$73,MATCH(ET$3,'Standards for Conversions'!$A$34:$A$73,0)))=0,"",EU28/(INDEX('Standards for Conversions'!$H$34:$H$73,MATCH(ET$3,'Standards for Conversions'!$A$34:$A$73,0))))</f>
        <v>6097.8512680687109</v>
      </c>
      <c r="EW28" s="7"/>
      <c r="EX28" s="7"/>
      <c r="EY28" s="31" t="s">
        <v>128</v>
      </c>
      <c r="EZ28" s="7"/>
      <c r="FA28" s="7"/>
      <c r="FB28" s="31" t="s">
        <v>128</v>
      </c>
      <c r="FC28" s="9">
        <v>18000</v>
      </c>
      <c r="FD28" s="9">
        <v>35000</v>
      </c>
      <c r="FE28" s="31">
        <v>6002.4889741027191</v>
      </c>
      <c r="FF28" s="7"/>
      <c r="FG28" s="7"/>
      <c r="FH28" s="31" t="s">
        <v>128</v>
      </c>
      <c r="FI28" s="31">
        <f t="shared" si="24"/>
        <v>18000</v>
      </c>
      <c r="FJ28" s="31">
        <f t="shared" si="25"/>
        <v>35000</v>
      </c>
      <c r="FK28" s="31">
        <f>IF(FJ28/(INDEX('Standards for Conversions'!$H$34:$H$73,MATCH(FI$3,'Standards for Conversions'!$A$34:$A$73,0)))=0,"",FJ28/(INDEX('Standards for Conversions'!$H$34:$H$73,MATCH(FI$3,'Standards for Conversions'!$A$34:$A$73,0))))</f>
        <v>6002.4889741027191</v>
      </c>
      <c r="FL28" s="7"/>
      <c r="FM28" s="7"/>
      <c r="FN28" s="31" t="s">
        <v>128</v>
      </c>
      <c r="FO28" s="7"/>
      <c r="FP28" s="7"/>
      <c r="FQ28" s="31" t="s">
        <v>128</v>
      </c>
      <c r="FR28" s="9">
        <v>10800</v>
      </c>
      <c r="FS28" s="9">
        <v>16000</v>
      </c>
      <c r="FT28" s="31">
        <v>2632.2025723472666</v>
      </c>
      <c r="FU28" s="7"/>
      <c r="FV28" s="7"/>
      <c r="FW28" s="31" t="s">
        <v>128</v>
      </c>
      <c r="FX28" s="31">
        <f t="shared" si="26"/>
        <v>10800</v>
      </c>
      <c r="FY28" s="31">
        <f t="shared" si="27"/>
        <v>16000</v>
      </c>
      <c r="FZ28" s="31">
        <f>IF(FY28/(INDEX('Standards for Conversions'!$H$34:$H$73,MATCH(FX$3,'Standards for Conversions'!$A$34:$A$73,0)))=0,"",FY28/(INDEX('Standards for Conversions'!$H$34:$H$73,MATCH(FX$3,'Standards for Conversions'!$A$34:$A$73,0))))</f>
        <v>2632.2025723472666</v>
      </c>
      <c r="GA28" s="7"/>
      <c r="GB28" s="7"/>
      <c r="GC28" s="31" t="s">
        <v>128</v>
      </c>
      <c r="GD28" s="7"/>
      <c r="GE28" s="7"/>
      <c r="GF28" s="31" t="s">
        <v>128</v>
      </c>
      <c r="GG28" s="9">
        <v>7200</v>
      </c>
      <c r="GH28" s="9">
        <v>10000</v>
      </c>
      <c r="GI28" s="31">
        <v>1537.1453245850353</v>
      </c>
      <c r="GJ28" s="7"/>
      <c r="GK28" s="7"/>
      <c r="GL28" s="31" t="s">
        <v>128</v>
      </c>
      <c r="GM28" s="31">
        <f t="shared" si="28"/>
        <v>7200</v>
      </c>
      <c r="GN28" s="31">
        <f t="shared" si="29"/>
        <v>10000</v>
      </c>
      <c r="GO28" s="31">
        <f>IF(GN28/(INDEX('Standards for Conversions'!$H$34:$H$73,MATCH(GM$3,'Standards for Conversions'!$A$34:$A$73,0)))=0,"",GN28/(INDEX('Standards for Conversions'!$H$34:$H$73,MATCH(GM$3,'Standards for Conversions'!$A$34:$A$73,0))))</f>
        <v>1537.1453245850353</v>
      </c>
      <c r="GP28" s="7"/>
      <c r="GQ28" s="7"/>
      <c r="GR28" s="31" t="s">
        <v>128</v>
      </c>
      <c r="GS28" s="7"/>
      <c r="GT28" s="7"/>
      <c r="GU28" s="31" t="s">
        <v>128</v>
      </c>
      <c r="GV28" s="9">
        <v>9000</v>
      </c>
      <c r="GW28" s="9">
        <v>13000</v>
      </c>
      <c r="GX28" s="31">
        <v>1968.0118170823553</v>
      </c>
      <c r="GY28" s="7">
        <v>450</v>
      </c>
      <c r="GZ28" s="7">
        <v>300</v>
      </c>
      <c r="HA28" s="31">
        <v>45.415657317285124</v>
      </c>
      <c r="HB28" s="31">
        <f t="shared" si="30"/>
        <v>9450</v>
      </c>
      <c r="HC28" s="31">
        <f t="shared" si="31"/>
        <v>13300</v>
      </c>
      <c r="HD28" s="31">
        <f>IF(HC28/(INDEX('Standards for Conversions'!$H$34:$H$73,MATCH(HB$3,'Standards for Conversions'!$A$34:$A$73,0)))=0,"",HC28/(INDEX('Standards for Conversions'!$H$34:$H$73,MATCH(HB$3,'Standards for Conversions'!$A$34:$A$73,0))))</f>
        <v>2013.4274743996405</v>
      </c>
      <c r="HE28" s="112" t="s">
        <v>97</v>
      </c>
      <c r="HF28" s="31"/>
      <c r="HG28" s="31"/>
      <c r="HH28" s="31" t="str">
        <f>IF(HG28/(INDEX('Standards for Conversions'!$H$47:$H$73,MATCH(HF$3,'Standards for Conversions'!$A$47:$A$73,0)))=0,"",HG28/(INDEX('Standards for Conversions'!$H$47:$H$73,MATCH(HF$3,'Standards for Conversions'!$A$47:$A$73,0))))</f>
        <v/>
      </c>
      <c r="HI28" s="31"/>
      <c r="HJ28" s="31"/>
      <c r="HK28" s="31" t="str">
        <f>IF(HJ28/(INDEX('Standards for Conversions'!$H$47:$H$73,MATCH(HI$3,'Standards for Conversions'!$A$47:$A$73,0)))=0,"",HJ28/(INDEX('Standards for Conversions'!$H$47:$H$73,MATCH(HI$3,'Standards for Conversions'!$A$47:$A$73,0))))</f>
        <v/>
      </c>
      <c r="HL28" s="31">
        <v>10800</v>
      </c>
      <c r="HM28" s="31">
        <v>16000</v>
      </c>
      <c r="HN28" s="31">
        <f>IF(HM28/(INDEX('Standards for Conversions'!$H$47:$H$73,MATCH(HL$3,'Standards for Conversions'!$A$47:$A$73,0)))=0,"",HM28/(INDEX('Standards for Conversions'!$H$47:$H$73,MATCH(HL$3,'Standards for Conversions'!$A$47:$A$73,0))))</f>
        <v>2323.9265954056955</v>
      </c>
      <c r="HO28" s="31">
        <v>360</v>
      </c>
      <c r="HP28" s="31">
        <v>150</v>
      </c>
      <c r="HQ28" s="31">
        <f>IF(HP28/(INDEX('Standards for Conversions'!$H$47:$H$73,MATCH(HO$3,'Standards for Conversions'!$A$47:$A$73,0)))=0,"",HP28/(INDEX('Standards for Conversions'!$H$47:$H$73,MATCH(HO$3,'Standards for Conversions'!$A$47:$A$73,0))))</f>
        <v>21.786811831928393</v>
      </c>
      <c r="HR28" s="31">
        <f>HF28+HI28+HL28+HO28</f>
        <v>11160</v>
      </c>
      <c r="HS28" s="31">
        <f>HG28+HJ28+HM28+HP28</f>
        <v>16150</v>
      </c>
      <c r="HT28" s="31">
        <f>IF(HS28/(INDEX('Standards for Conversions'!$H$47:$H$73,MATCH(HR$3,'Standards for Conversions'!$A$47:$A$73,0)))=0,"",HS28/(INDEX('Standards for Conversions'!$H$47:$H$73,MATCH(HR$3,'Standards for Conversions'!$A$47:$A$73,0))))</f>
        <v>2345.7134072376239</v>
      </c>
      <c r="HU28" s="31"/>
      <c r="HV28" s="31"/>
      <c r="HW28" s="31" t="str">
        <f>IF(HV28/(INDEX('Standards for Conversions'!$H$47:$H$73,MATCH(HU$3,'Standards for Conversions'!$A$47:$A$73,0)))=0,"",HV28/(INDEX('Standards for Conversions'!$H$47:$H$73,MATCH(HU$3,'Standards for Conversions'!$A$47:$A$73,0))))</f>
        <v/>
      </c>
      <c r="HX28" s="31"/>
      <c r="HY28" s="31"/>
      <c r="HZ28" s="31" t="str">
        <f>IF(HY28/(INDEX('Standards for Conversions'!$H$47:$H$73,MATCH(HX$3,'Standards for Conversions'!$A$47:$A$73,0)))=0,"",HY28/(INDEX('Standards for Conversions'!$H$47:$H$73,MATCH(HX$3,'Standards for Conversions'!$A$47:$A$73,0))))</f>
        <v/>
      </c>
      <c r="IA28" s="31">
        <v>31716</v>
      </c>
      <c r="IB28" s="31">
        <v>33503</v>
      </c>
      <c r="IC28" s="31">
        <f>IF(IB28/(INDEX('Standards for Conversions'!$H$47:$H$73,MATCH(IA$3,'Standards for Conversions'!$A$47:$A$73,0)))=0,"",IB28/(INDEX('Standards for Conversions'!$H$47:$H$73,MATCH(IA$3,'Standards for Conversions'!$A$47:$A$73,0))))</f>
        <v>4844.8764751980671</v>
      </c>
      <c r="ID28" s="31"/>
      <c r="IE28" s="31"/>
      <c r="IF28" s="31" t="str">
        <f>IF(IE28/(INDEX('Standards for Conversions'!$H$47:$H$73,MATCH(ID$3,'Standards for Conversions'!$A$47:$A$73,0)))=0,"",IE28/(INDEX('Standards for Conversions'!$H$47:$H$73,MATCH(ID$3,'Standards for Conversions'!$A$47:$A$73,0))))</f>
        <v/>
      </c>
      <c r="IG28" s="31">
        <f>HU28+HX28+IA28+ID28</f>
        <v>31716</v>
      </c>
      <c r="IH28" s="31">
        <f>HV28+HY28+IB28+IE28</f>
        <v>33503</v>
      </c>
      <c r="II28" s="31">
        <f>IF(IH28/(INDEX('Standards for Conversions'!$H$47:$H$73,MATCH(IG$3,'Standards for Conversions'!$A$47:$A$73,0)))=0,"",IH28/(INDEX('Standards for Conversions'!$H$47:$H$73,MATCH(IG$3,'Standards for Conversions'!$A$47:$A$73,0))))</f>
        <v>4844.8764751980671</v>
      </c>
      <c r="IJ28" s="31"/>
      <c r="IK28" s="31"/>
      <c r="IL28" s="31" t="str">
        <f>IF(IK28/(INDEX('Standards for Conversions'!$H$47:$H$73,MATCH(IJ$3,'Standards for Conversions'!$A$47:$A$73,0)))=0,"",IK28/(INDEX('Standards for Conversions'!$H$47:$H$73,MATCH(IJ$3,'Standards for Conversions'!$A$47:$A$73,0))))</f>
        <v/>
      </c>
      <c r="IM28" s="31"/>
      <c r="IN28" s="31"/>
      <c r="IO28" s="31" t="str">
        <f>IF(IN28/(INDEX('Standards for Conversions'!$H$47:$H$73,MATCH(IM$3,'Standards for Conversions'!$A$47:$A$73,0)))=0,"",IN28/(INDEX('Standards for Conversions'!$H$47:$H$73,MATCH(IM$3,'Standards for Conversions'!$A$47:$A$73,0))))</f>
        <v/>
      </c>
      <c r="IP28" s="31">
        <v>36000</v>
      </c>
      <c r="IQ28" s="31">
        <v>40000</v>
      </c>
      <c r="IR28" s="31">
        <f>IF(IQ28/(INDEX('Standards for Conversions'!$H$47:$H$73,MATCH(IP$3,'Standards for Conversions'!$A$47:$A$73,0)))=0,"",IQ28/(INDEX('Standards for Conversions'!$H$47:$H$73,MATCH(IP$3,'Standards for Conversions'!$A$47:$A$73,0))))</f>
        <v>6470.4078676747476</v>
      </c>
      <c r="IS28" s="31"/>
      <c r="IT28" s="31"/>
      <c r="IU28" s="31" t="str">
        <f>IF(IT28/(INDEX('Standards for Conversions'!$H$47:$H$73,MATCH(IS$3,'Standards for Conversions'!$A$47:$A$73,0)))=0,"",IT28/(INDEX('Standards for Conversions'!$H$47:$H$73,MATCH(IS$3,'Standards for Conversions'!$A$47:$A$73,0))))</f>
        <v/>
      </c>
      <c r="IV28" s="31">
        <f t="shared" si="43"/>
        <v>36000</v>
      </c>
      <c r="IW28" s="31">
        <f t="shared" si="43"/>
        <v>40000</v>
      </c>
      <c r="IX28" s="31">
        <f>IF(IW28/(INDEX('Standards for Conversions'!$H$47:$H$73,MATCH(IV$3,'Standards for Conversions'!$A$47:$A$73,0)))=0,"",IW28/(INDEX('Standards for Conversions'!$H$47:$H$73,MATCH(IV$3,'Standards for Conversions'!$A$47:$A$73,0))))</f>
        <v>6470.4078676747476</v>
      </c>
      <c r="IY28" s="31"/>
      <c r="IZ28" s="31"/>
      <c r="JA28" s="31" t="str">
        <f>IF(IZ28/(INDEX('Standards for Conversions'!$H$47:$H$73,MATCH(IY$3,'Standards for Conversions'!$A$47:$A$73,0)))=0,"",IZ28/(INDEX('Standards for Conversions'!$H$47:$H$73,MATCH(IY$3,'Standards for Conversions'!$A$47:$A$73,0))))</f>
        <v/>
      </c>
      <c r="JB28" s="31"/>
      <c r="JC28" s="31"/>
      <c r="JD28" s="31" t="str">
        <f>IF(JC28/(INDEX('Standards for Conversions'!$H$47:$H$73,MATCH(JB$3,'Standards for Conversions'!$A$47:$A$73,0)))=0,"",JC28/(INDEX('Standards for Conversions'!$H$47:$H$73,MATCH(JB$3,'Standards for Conversions'!$A$47:$A$73,0))))</f>
        <v/>
      </c>
      <c r="JE28" s="31">
        <v>32400</v>
      </c>
      <c r="JF28" s="31">
        <v>36000</v>
      </c>
      <c r="JG28" s="31">
        <f>IF(JF28/(INDEX('Standards for Conversions'!$H$47:$H$73,MATCH(JE$3,'Standards for Conversions'!$A$47:$A$73,0)))=0,"",JF28/(INDEX('Standards for Conversions'!$H$47:$H$73,MATCH(JE$3,'Standards for Conversions'!$A$47:$A$73,0))))</f>
        <v>5495.6121274007119</v>
      </c>
      <c r="JH28" s="31">
        <v>900</v>
      </c>
      <c r="JI28" s="31">
        <v>700</v>
      </c>
      <c r="JJ28" s="31">
        <f>IF(JI28/(INDEX('Standards for Conversions'!$H$47:$H$73,MATCH(JH$3,'Standards for Conversions'!$A$47:$A$73,0)))=0,"",JI28/(INDEX('Standards for Conversions'!$H$47:$H$73,MATCH(JH$3,'Standards for Conversions'!$A$47:$A$73,0))))</f>
        <v>106.85912469945829</v>
      </c>
      <c r="JK28" s="31">
        <f t="shared" si="44"/>
        <v>33300</v>
      </c>
      <c r="JL28" s="31">
        <f t="shared" si="44"/>
        <v>36700</v>
      </c>
      <c r="JM28" s="31">
        <f>IF(JL28/(INDEX('Standards for Conversions'!$H$47:$H$73,MATCH(JK$3,'Standards for Conversions'!$A$47:$A$73,0)))=0,"",JL28/(INDEX('Standards for Conversions'!$H$47:$H$73,MATCH(JK$3,'Standards for Conversions'!$A$47:$A$73,0))))</f>
        <v>5602.4712521001702</v>
      </c>
      <c r="JN28" s="31"/>
      <c r="JO28" s="31"/>
      <c r="JP28" s="31" t="str">
        <f>IF(JO28/(INDEX('Standards for Conversions'!$H$47:$H$73,MATCH(JN$3,'Standards for Conversions'!$A$47:$A$73,0)))=0,"",JO28/(INDEX('Standards for Conversions'!$H$47:$H$73,MATCH(JN$3,'Standards for Conversions'!$A$47:$A$73,0))))</f>
        <v/>
      </c>
      <c r="JQ28" s="31"/>
      <c r="JR28" s="31"/>
      <c r="JS28" s="31" t="str">
        <f>IF(JR28/(INDEX('Standards for Conversions'!$H$47:$H$73,MATCH(JQ$3,'Standards for Conversions'!$A$47:$A$73,0)))=0,"",JR28/(INDEX('Standards for Conversions'!$H$47:$H$73,MATCH(JQ$3,'Standards for Conversions'!$A$47:$A$73,0))))</f>
        <v/>
      </c>
      <c r="JT28" s="31">
        <v>27000</v>
      </c>
      <c r="JU28" s="31">
        <v>45000</v>
      </c>
      <c r="JV28" s="31">
        <f>IF(JU28/(INDEX('Standards for Conversions'!$H$47:$H$73,MATCH(JT$3,'Standards for Conversions'!$A$47:$A$73,0)))=0,"",JU28/(INDEX('Standards for Conversions'!$H$47:$H$73,MATCH(JT$3,'Standards for Conversions'!$A$47:$A$73,0))))</f>
        <v>6059.6555357608404</v>
      </c>
      <c r="JW28" s="31">
        <v>1350</v>
      </c>
      <c r="JX28" s="31">
        <v>1000</v>
      </c>
      <c r="JY28" s="31">
        <f>IF(JX28/(INDEX('Standards for Conversions'!$H$47:$H$73,MATCH(JW$3,'Standards for Conversions'!$A$47:$A$73,0)))=0,"",JX28/(INDEX('Standards for Conversions'!$H$47:$H$73,MATCH(JW$3,'Standards for Conversions'!$A$47:$A$73,0))))</f>
        <v>134.65901190579646</v>
      </c>
      <c r="JZ28" s="31">
        <f t="shared" si="45"/>
        <v>28350</v>
      </c>
      <c r="KA28" s="31">
        <f t="shared" si="45"/>
        <v>46000</v>
      </c>
      <c r="KB28" s="31">
        <f>IF(KA28/(INDEX('Standards for Conversions'!$H$47:$H$73,MATCH(JZ$3,'Standards for Conversions'!$A$47:$A$73,0)))=0,"",KA28/(INDEX('Standards for Conversions'!$H$47:$H$73,MATCH(JZ$3,'Standards for Conversions'!$A$47:$A$73,0))))</f>
        <v>6194.3145476666377</v>
      </c>
      <c r="KC28" s="31"/>
      <c r="KD28" s="31"/>
      <c r="KE28" s="31" t="str">
        <f>IF(KD28/(INDEX('Standards for Conversions'!$H$47:$H$73,MATCH(KC$3,'Standards for Conversions'!$A$47:$A$73,0)))=0,"",KD28/(INDEX('Standards for Conversions'!$H$47:$H$73,MATCH(KC$3,'Standards for Conversions'!$A$47:$A$73,0))))</f>
        <v/>
      </c>
      <c r="KF28" s="31"/>
      <c r="KG28" s="31"/>
      <c r="KH28" s="31" t="str">
        <f>IF(KG28/(INDEX('Standards for Conversions'!$H$47:$H$73,MATCH(KF$3,'Standards for Conversions'!$A$47:$A$73,0)))=0,"",KG28/(INDEX('Standards for Conversions'!$H$47:$H$73,MATCH(KF$3,'Standards for Conversions'!$A$47:$A$73,0))))</f>
        <v/>
      </c>
      <c r="KI28" s="31">
        <v>34992</v>
      </c>
      <c r="KJ28" s="31">
        <v>41000</v>
      </c>
      <c r="KK28" s="31">
        <f>IF(KJ28/(INDEX('Standards for Conversions'!$H$47:$H$73,MATCH(KI$3,'Standards for Conversions'!$A$47:$A$73,0)))=0,"",KJ28/(INDEX('Standards for Conversions'!$H$47:$H$73,MATCH(KI$3,'Standards for Conversions'!$A$47:$A$73,0))))</f>
        <v>4986.2792358274664</v>
      </c>
      <c r="KL28" s="31"/>
      <c r="KM28" s="31"/>
      <c r="KN28" s="31" t="str">
        <f>IF(KM28/(INDEX('Standards for Conversions'!$H$47:$H$73,MATCH(KL$3,'Standards for Conversions'!$A$47:$A$73,0)))=0,"",KM28/(INDEX('Standards for Conversions'!$H$47:$H$73,MATCH(KL$3,'Standards for Conversions'!$A$47:$A$73,0))))</f>
        <v/>
      </c>
      <c r="KO28" s="31">
        <f t="shared" si="46"/>
        <v>34992</v>
      </c>
      <c r="KP28" s="31">
        <f t="shared" si="46"/>
        <v>41000</v>
      </c>
      <c r="KQ28" s="31">
        <f>IF(KP28/(INDEX('Standards for Conversions'!$H$47:$H$73,MATCH(KO$3,'Standards for Conversions'!$A$47:$A$73,0)))=0,"",KP28/(INDEX('Standards for Conversions'!$H$47:$H$73,MATCH(KO$3,'Standards for Conversions'!$A$47:$A$73,0))))</f>
        <v>4986.2792358274664</v>
      </c>
      <c r="KR28" s="31">
        <f>800+22500</f>
        <v>23300</v>
      </c>
      <c r="KS28" s="31">
        <f>600+45000</f>
        <v>45600</v>
      </c>
      <c r="KT28" s="31">
        <f>IF(KS28/(INDEX('Standards for Conversions'!$H$47:$H$73,MATCH(KR$3,'Standards for Conversions'!$A$47:$A$73,0)))=0,"",KS28/(INDEX('Standards for Conversions'!$H$47:$H$73,MATCH(KR$3,'Standards for Conversions'!$A$47:$A$73,0))))</f>
        <v>4470.171048057704</v>
      </c>
      <c r="KU28" s="31">
        <f>500+20000</f>
        <v>20500</v>
      </c>
      <c r="KV28" s="31">
        <f>1000+40000</f>
        <v>41000</v>
      </c>
      <c r="KW28" s="31">
        <f>IF(KV28/(INDEX('Standards for Conversions'!$H$47:$H$73,MATCH(KU$3,'Standards for Conversions'!$A$47:$A$73,0)))=0,"",KV28/(INDEX('Standards for Conversions'!$H$47:$H$73,MATCH(KU$3,'Standards for Conversions'!$A$47:$A$73,0))))</f>
        <v>4140.7646161032408</v>
      </c>
      <c r="KX28" s="31">
        <v>30000</v>
      </c>
      <c r="KY28" s="31">
        <v>60000</v>
      </c>
      <c r="KZ28" s="31">
        <f>IF(KY28/(INDEX('Standards for Conversions'!$H$47:$H$73,MATCH(KX$3,'Standards for Conversions'!$A$47:$A$73,0)))=0,"",KY28/(INDEX('Standards for Conversions'!$H$47:$H$73,MATCH(KX$3,'Standards for Conversions'!$A$47:$A$73,0))))</f>
        <v>6262.9144216563818</v>
      </c>
      <c r="LA28" s="31">
        <f>500+30000</f>
        <v>30500</v>
      </c>
      <c r="LB28" s="31">
        <f>1500+80000</f>
        <v>81500</v>
      </c>
      <c r="LC28" s="31">
        <f>IF(LB28/(INDEX('Standards for Conversions'!$H$47:$H$73,MATCH(LA$3,'Standards for Conversions'!$A$47:$A$73,0)))=0,"",LB28/(INDEX('Standards for Conversions'!$H$47:$H$73,MATCH(LA$3,'Standards for Conversions'!$A$47:$A$73,0))))</f>
        <v>7609.8221327235578</v>
      </c>
      <c r="LD28" s="31">
        <f>400+40000</f>
        <v>40400</v>
      </c>
      <c r="LE28" s="31">
        <f>1200+90000</f>
        <v>91200</v>
      </c>
      <c r="LF28" s="31">
        <f>IF(LE28/(INDEX('Standards for Conversions'!$H$47:$H$73,MATCH(LD$3,'Standards for Conversions'!$A$47:$A$73,0)))=0,"",LE28/(INDEX('Standards for Conversions'!$H$47:$H$73,MATCH(LD$3,'Standards for Conversions'!$A$47:$A$73,0))))</f>
        <v>8322.435082992959</v>
      </c>
      <c r="LG28" s="31">
        <f>300+50000</f>
        <v>50300</v>
      </c>
      <c r="LH28" s="31">
        <f>900+110000</f>
        <v>110900</v>
      </c>
      <c r="LI28" s="31">
        <f>IF(LH28/(INDEX('Standards for Conversions'!$H$47:$H$73,MATCH(LG$3,'Standards for Conversions'!$A$47:$A$73,0)))=0,"",LH28/(INDEX('Standards for Conversions'!$H$47:$H$73,MATCH(LG$3,'Standards for Conversions'!$A$47:$A$73,0))))</f>
        <v>10307.999151784419</v>
      </c>
      <c r="LJ28" s="31">
        <f>3333+31416</f>
        <v>34749</v>
      </c>
      <c r="LK28" s="31">
        <f>10000+70684</f>
        <v>80684</v>
      </c>
      <c r="LL28" s="31">
        <f>IF(LK28/(INDEX('Standards for Conversions'!$H$47:$H$73,MATCH(LJ$3,'Standards for Conversions'!$A$47:$A$73,0)))=0,"",LK28/(INDEX('Standards for Conversions'!$H$47:$H$73,MATCH(LJ$3,'Standards for Conversions'!$A$47:$A$73,0))))</f>
        <v>7738.6272887155637</v>
      </c>
      <c r="LM28" s="31">
        <f>15269+1106</f>
        <v>16375</v>
      </c>
      <c r="LN28" s="31">
        <f>42221+1698</f>
        <v>43919</v>
      </c>
      <c r="LO28" s="31">
        <f>IF(LN28/(INDEX('Standards for Conversions'!$H$47:$H$73,MATCH(LM$3,'Standards for Conversions'!$A$47:$A$73,0)))=0,"",LN28/(INDEX('Standards for Conversions'!$H$47:$H$73,MATCH(LM$3,'Standards for Conversions'!$A$47:$A$73,0))))</f>
        <v>4045.0138012459802</v>
      </c>
      <c r="LP28" s="31">
        <v>15900</v>
      </c>
      <c r="LQ28" s="31">
        <v>57400</v>
      </c>
      <c r="LR28" s="31">
        <f>IF(LQ28/(INDEX('Standards for Conversions'!$H$47:$H$73,MATCH(LP$3,'Standards for Conversions'!$A$47:$A$73,0)))=0,"",LQ28/(INDEX('Standards for Conversions'!$H$47:$H$73,MATCH(LP$3,'Standards for Conversions'!$A$47:$A$73,0))))</f>
        <v>4678.9772077141442</v>
      </c>
      <c r="LS28" s="31">
        <f>18200+400</f>
        <v>18600</v>
      </c>
      <c r="LT28" s="31">
        <f>60200+1500</f>
        <v>61700</v>
      </c>
      <c r="LU28" s="31">
        <f>IF(LT28/(INDEX('Standards for Conversions'!$H$47:$H$73,MATCH(LS$3,'Standards for Conversions'!$A$47:$A$73,0)))=0,"",LT28/(INDEX('Standards for Conversions'!$H$47:$H$73,MATCH(LS$3,'Standards for Conversions'!$A$47:$A$73,0))))</f>
        <v>5173.1927196489078</v>
      </c>
      <c r="LV28" s="31">
        <v>26000</v>
      </c>
      <c r="LW28" s="31">
        <f>72000+6000</f>
        <v>78000</v>
      </c>
      <c r="LX28" s="31">
        <f>IF(LW28/(INDEX('Standards for Conversions'!$H$47:$H$73,MATCH(LV$3,'Standards for Conversions'!$A$47:$A$73,0)))=0,"",LW28/(INDEX('Standards for Conversions'!$H$47:$H$73,MATCH(LV$3,'Standards for Conversions'!$A$47:$A$73,0))))</f>
        <v>6977.4964423828969</v>
      </c>
      <c r="LY28" s="31">
        <v>28000</v>
      </c>
      <c r="LZ28" s="31">
        <v>10500</v>
      </c>
      <c r="MA28" s="31">
        <v>8000</v>
      </c>
      <c r="MB28" s="31">
        <v>2667</v>
      </c>
      <c r="MC28" s="31">
        <v>18000</v>
      </c>
      <c r="MD28" s="31">
        <v>6200</v>
      </c>
      <c r="ME28" s="31">
        <v>19475</v>
      </c>
      <c r="MF28" s="31">
        <v>7285</v>
      </c>
      <c r="MG28" s="31">
        <v>19258</v>
      </c>
      <c r="MH28" s="31">
        <v>7543</v>
      </c>
      <c r="MI28" s="31">
        <v>1984</v>
      </c>
      <c r="MJ28" s="31">
        <v>535</v>
      </c>
      <c r="MK28" s="31">
        <v>3488</v>
      </c>
      <c r="ML28" s="31">
        <v>1105</v>
      </c>
      <c r="MM28" s="31"/>
      <c r="MN28" s="31"/>
    </row>
    <row r="29" spans="1:352" s="33" customFormat="1" ht="14.4" customHeight="1" x14ac:dyDescent="0.3">
      <c r="A29" s="104" t="s">
        <v>196</v>
      </c>
      <c r="B29" s="10" t="s">
        <v>8</v>
      </c>
      <c r="C29" s="7"/>
      <c r="D29" s="7"/>
      <c r="E29" s="31" t="s">
        <v>128</v>
      </c>
      <c r="F29"/>
      <c r="G29" s="7"/>
      <c r="H29" s="31" t="s">
        <v>128</v>
      </c>
      <c r="I29" s="9"/>
      <c r="J29" s="9"/>
      <c r="K29" s="31" t="s">
        <v>128</v>
      </c>
      <c r="L29" s="7"/>
      <c r="M29" s="7"/>
      <c r="N29" s="31" t="s">
        <v>128</v>
      </c>
      <c r="O29" s="31">
        <f t="shared" si="4"/>
        <v>0</v>
      </c>
      <c r="P29" s="31">
        <f t="shared" si="5"/>
        <v>0</v>
      </c>
      <c r="Q29" s="31" t="str">
        <f>IF(P29/(INDEX('Standards for Conversions'!$H$34:$H$73,MATCH(O$3,'Standards for Conversions'!$A$34:$A$73,0)))=0,"",P29/(INDEX('Standards for Conversions'!$H$34:$H$73,MATCH(O$3,'Standards for Conversions'!$A$34:$A$73,0))))</f>
        <v/>
      </c>
      <c r="R29" s="7"/>
      <c r="S29" s="7"/>
      <c r="T29" s="31" t="s">
        <v>128</v>
      </c>
      <c r="U29"/>
      <c r="V29" s="7"/>
      <c r="W29" s="31" t="s">
        <v>128</v>
      </c>
      <c r="X29" s="9"/>
      <c r="Y29" s="9"/>
      <c r="Z29" s="31" t="s">
        <v>128</v>
      </c>
      <c r="AA29" s="7"/>
      <c r="AB29" s="7"/>
      <c r="AC29" s="31" t="s">
        <v>128</v>
      </c>
      <c r="AD29" s="31">
        <f t="shared" si="6"/>
        <v>0</v>
      </c>
      <c r="AE29" s="31">
        <f t="shared" si="7"/>
        <v>0</v>
      </c>
      <c r="AF29" s="31" t="str">
        <f>IF(AE29/(INDEX('Standards for Conversions'!$H$34:$H$73,MATCH(AD$3,'Standards for Conversions'!$A$34:$A$73,0)))=0,"",AE29/(INDEX('Standards for Conversions'!$H$34:$H$73,MATCH(AD$3,'Standards for Conversions'!$A$34:$A$73,0))))</f>
        <v/>
      </c>
      <c r="AG29" s="7"/>
      <c r="AH29" s="7"/>
      <c r="AI29" s="31" t="s">
        <v>128</v>
      </c>
      <c r="AJ29"/>
      <c r="AK29" s="7"/>
      <c r="AL29" s="31" t="s">
        <v>128</v>
      </c>
      <c r="AM29" s="9"/>
      <c r="AN29" s="9"/>
      <c r="AO29" s="31" t="s">
        <v>128</v>
      </c>
      <c r="AP29" s="7"/>
      <c r="AQ29" s="7"/>
      <c r="AR29" s="31" t="s">
        <v>128</v>
      </c>
      <c r="AS29" s="31">
        <f t="shared" si="8"/>
        <v>0</v>
      </c>
      <c r="AT29" s="31">
        <f t="shared" si="9"/>
        <v>0</v>
      </c>
      <c r="AU29" s="31" t="str">
        <f>IF(AT29/(INDEX('Standards for Conversions'!$H$34:$H$73,MATCH(AS$3,'Standards for Conversions'!$A$34:$A$73,0)))=0,"",AT29/(INDEX('Standards for Conversions'!$H$34:$H$73,MATCH(AS$3,'Standards for Conversions'!$A$34:$A$73,0))))</f>
        <v/>
      </c>
      <c r="AV29" s="7"/>
      <c r="AW29" s="7"/>
      <c r="AX29" s="31" t="s">
        <v>128</v>
      </c>
      <c r="AY29"/>
      <c r="AZ29" s="7"/>
      <c r="BA29" s="31" t="s">
        <v>128</v>
      </c>
      <c r="BB29" s="9"/>
      <c r="BC29" s="9"/>
      <c r="BD29" s="31" t="s">
        <v>128</v>
      </c>
      <c r="BE29" s="7"/>
      <c r="BF29" s="7"/>
      <c r="BG29" s="31" t="s">
        <v>128</v>
      </c>
      <c r="BH29" s="31">
        <f t="shared" si="10"/>
        <v>0</v>
      </c>
      <c r="BI29" s="31">
        <f t="shared" si="11"/>
        <v>0</v>
      </c>
      <c r="BJ29" s="31" t="str">
        <f>IF(BI29/(INDEX('Standards for Conversions'!$H$34:$H$73,MATCH(BH$3,'Standards for Conversions'!$A$34:$A$73,0)))=0,"",BI29/(INDEX('Standards for Conversions'!$H$34:$H$73,MATCH(BH$3,'Standards for Conversions'!$A$34:$A$73,0))))</f>
        <v/>
      </c>
      <c r="BK29" s="7"/>
      <c r="BL29" s="7"/>
      <c r="BM29" s="31" t="s">
        <v>128</v>
      </c>
      <c r="BN29"/>
      <c r="BO29" s="7"/>
      <c r="BP29" s="31" t="s">
        <v>128</v>
      </c>
      <c r="BQ29" s="9"/>
      <c r="BR29" s="9"/>
      <c r="BS29" s="31" t="s">
        <v>128</v>
      </c>
      <c r="BT29" s="7"/>
      <c r="BU29" s="7"/>
      <c r="BV29" s="31" t="s">
        <v>128</v>
      </c>
      <c r="BW29" s="31">
        <f t="shared" si="12"/>
        <v>0</v>
      </c>
      <c r="BX29" s="31">
        <f t="shared" si="13"/>
        <v>0</v>
      </c>
      <c r="BY29" s="31" t="str">
        <f>IF(BX29/(INDEX('Standards for Conversions'!$H$34:$H$73,MATCH(BW$3,'Standards for Conversions'!$A$34:$A$73,0)))=0,"",BX29/(INDEX('Standards for Conversions'!$H$34:$H$73,MATCH(BW$3,'Standards for Conversions'!$A$34:$A$73,0))))</f>
        <v/>
      </c>
      <c r="BZ29" s="7"/>
      <c r="CA29" s="7"/>
      <c r="CB29" s="31" t="s">
        <v>128</v>
      </c>
      <c r="CC29"/>
      <c r="CD29" s="7"/>
      <c r="CE29" s="31" t="s">
        <v>128</v>
      </c>
      <c r="CF29" s="9"/>
      <c r="CG29" s="9"/>
      <c r="CH29" s="31" t="s">
        <v>128</v>
      </c>
      <c r="CI29" s="7"/>
      <c r="CJ29" s="7"/>
      <c r="CK29" s="31" t="s">
        <v>128</v>
      </c>
      <c r="CL29" s="31">
        <f t="shared" si="14"/>
        <v>0</v>
      </c>
      <c r="CM29" s="31">
        <f t="shared" si="15"/>
        <v>0</v>
      </c>
      <c r="CN29" s="31" t="str">
        <f>IF(CM29/(INDEX('Standards for Conversions'!$H$34:$H$73,MATCH(CL$3,'Standards for Conversions'!$A$34:$A$73,0)))=0,"",CM29/(INDEX('Standards for Conversions'!$H$34:$H$73,MATCH(CL$3,'Standards for Conversions'!$A$34:$A$73,0))))</f>
        <v/>
      </c>
      <c r="CO29" s="7"/>
      <c r="CP29" s="7"/>
      <c r="CQ29" s="31" t="s">
        <v>128</v>
      </c>
      <c r="CR29"/>
      <c r="CS29" s="7"/>
      <c r="CT29" s="31" t="s">
        <v>128</v>
      </c>
      <c r="CU29" s="9"/>
      <c r="CV29" s="9"/>
      <c r="CW29" s="31" t="s">
        <v>128</v>
      </c>
      <c r="CX29" s="7"/>
      <c r="CY29" s="7"/>
      <c r="CZ29" s="31" t="s">
        <v>128</v>
      </c>
      <c r="DA29" s="31">
        <f t="shared" si="16"/>
        <v>0</v>
      </c>
      <c r="DB29" s="31">
        <f t="shared" si="17"/>
        <v>0</v>
      </c>
      <c r="DC29" s="31" t="str">
        <f>IF(DB29/(INDEX('Standards for Conversions'!$H$34:$H$73,MATCH(DA$3,'Standards for Conversions'!$A$34:$A$73,0)))=0,"",DB29/(INDEX('Standards for Conversions'!$H$34:$H$73,MATCH(DA$3,'Standards for Conversions'!$A$34:$A$73,0))))</f>
        <v/>
      </c>
      <c r="DD29" s="7"/>
      <c r="DE29" s="7"/>
      <c r="DF29" s="31" t="s">
        <v>128</v>
      </c>
      <c r="DG29" s="7"/>
      <c r="DH29" s="7"/>
      <c r="DI29" s="31" t="s">
        <v>128</v>
      </c>
      <c r="DJ29" s="9"/>
      <c r="DK29" s="9"/>
      <c r="DL29" s="31" t="s">
        <v>128</v>
      </c>
      <c r="DM29" s="7"/>
      <c r="DN29" s="7"/>
      <c r="DO29" s="31" t="s">
        <v>128</v>
      </c>
      <c r="DP29" s="31">
        <f t="shared" si="18"/>
        <v>0</v>
      </c>
      <c r="DQ29" s="31">
        <f t="shared" si="19"/>
        <v>0</v>
      </c>
      <c r="DR29" s="31" t="str">
        <f>IF(DQ29/(INDEX('Standards for Conversions'!$H$34:$H$73,MATCH(DP$3,'Standards for Conversions'!$A$34:$A$73,0)))=0,"",DQ29/(INDEX('Standards for Conversions'!$H$34:$H$73,MATCH(DP$3,'Standards for Conversions'!$A$34:$A$73,0))))</f>
        <v/>
      </c>
      <c r="DS29" s="7"/>
      <c r="DT29" s="7"/>
      <c r="DU29" s="31" t="s">
        <v>128</v>
      </c>
      <c r="DV29" s="7"/>
      <c r="DW29" s="7"/>
      <c r="DX29" s="31" t="s">
        <v>128</v>
      </c>
      <c r="DY29" s="9"/>
      <c r="DZ29" s="9"/>
      <c r="EA29" s="31" t="s">
        <v>128</v>
      </c>
      <c r="EB29" s="7"/>
      <c r="EC29" s="7"/>
      <c r="ED29" s="31" t="s">
        <v>128</v>
      </c>
      <c r="EE29" s="31">
        <f t="shared" si="20"/>
        <v>0</v>
      </c>
      <c r="EF29" s="31">
        <f t="shared" si="21"/>
        <v>0</v>
      </c>
      <c r="EG29" s="31" t="str">
        <f>IF(EF29/(INDEX('Standards for Conversions'!$H$34:$H$73,MATCH(EE$3,'Standards for Conversions'!$A$34:$A$73,0)))=0,"",EF29/(INDEX('Standards for Conversions'!$H$34:$H$73,MATCH(EE$3,'Standards for Conversions'!$A$34:$A$73,0))))</f>
        <v/>
      </c>
      <c r="EH29" s="7"/>
      <c r="EI29" s="7"/>
      <c r="EJ29" s="31" t="s">
        <v>128</v>
      </c>
      <c r="EK29" s="7"/>
      <c r="EL29" s="7"/>
      <c r="EM29" s="31" t="s">
        <v>128</v>
      </c>
      <c r="EN29" s="9"/>
      <c r="EO29" s="9"/>
      <c r="EP29" s="31" t="s">
        <v>128</v>
      </c>
      <c r="EQ29" s="7"/>
      <c r="ER29" s="7"/>
      <c r="ES29" s="31" t="s">
        <v>128</v>
      </c>
      <c r="ET29" s="31">
        <f t="shared" si="22"/>
        <v>0</v>
      </c>
      <c r="EU29" s="31">
        <f t="shared" si="23"/>
        <v>0</v>
      </c>
      <c r="EV29" s="31" t="str">
        <f>IF(EU29/(INDEX('Standards for Conversions'!$H$34:$H$73,MATCH(ET$3,'Standards for Conversions'!$A$34:$A$73,0)))=0,"",EU29/(INDEX('Standards for Conversions'!$H$34:$H$73,MATCH(ET$3,'Standards for Conversions'!$A$34:$A$73,0))))</f>
        <v/>
      </c>
      <c r="EW29" s="7"/>
      <c r="EX29" s="7"/>
      <c r="EY29" s="31" t="s">
        <v>128</v>
      </c>
      <c r="EZ29" s="7"/>
      <c r="FA29" s="7"/>
      <c r="FB29" s="31" t="s">
        <v>128</v>
      </c>
      <c r="FC29" s="9"/>
      <c r="FD29" s="9"/>
      <c r="FE29" s="31" t="s">
        <v>128</v>
      </c>
      <c r="FF29" s="7"/>
      <c r="FG29" s="7"/>
      <c r="FH29" s="31" t="s">
        <v>128</v>
      </c>
      <c r="FI29" s="31">
        <f t="shared" si="24"/>
        <v>0</v>
      </c>
      <c r="FJ29" s="31">
        <f t="shared" si="25"/>
        <v>0</v>
      </c>
      <c r="FK29" s="31" t="str">
        <f>IF(FJ29/(INDEX('Standards for Conversions'!$H$34:$H$73,MATCH(FI$3,'Standards for Conversions'!$A$34:$A$73,0)))=0,"",FJ29/(INDEX('Standards for Conversions'!$H$34:$H$73,MATCH(FI$3,'Standards for Conversions'!$A$34:$A$73,0))))</f>
        <v/>
      </c>
      <c r="FL29" s="7"/>
      <c r="FM29" s="7"/>
      <c r="FN29" s="31" t="s">
        <v>128</v>
      </c>
      <c r="FO29" s="7"/>
      <c r="FP29" s="7"/>
      <c r="FQ29" s="31" t="s">
        <v>128</v>
      </c>
      <c r="FR29" s="9"/>
      <c r="FS29" s="9"/>
      <c r="FT29" s="31" t="s">
        <v>128</v>
      </c>
      <c r="FU29" s="7"/>
      <c r="FV29" s="7"/>
      <c r="FW29" s="31" t="s">
        <v>128</v>
      </c>
      <c r="FX29" s="31">
        <f t="shared" si="26"/>
        <v>0</v>
      </c>
      <c r="FY29" s="31">
        <f t="shared" si="27"/>
        <v>0</v>
      </c>
      <c r="FZ29" s="31" t="str">
        <f>IF(FY29/(INDEX('Standards for Conversions'!$H$34:$H$73,MATCH(FX$3,'Standards for Conversions'!$A$34:$A$73,0)))=0,"",FY29/(INDEX('Standards for Conversions'!$H$34:$H$73,MATCH(FX$3,'Standards for Conversions'!$A$34:$A$73,0))))</f>
        <v/>
      </c>
      <c r="GA29" s="7"/>
      <c r="GB29" s="7"/>
      <c r="GC29" s="31" t="s">
        <v>128</v>
      </c>
      <c r="GD29" s="7"/>
      <c r="GE29" s="7"/>
      <c r="GF29" s="31" t="s">
        <v>128</v>
      </c>
      <c r="GG29" s="9"/>
      <c r="GH29" s="9"/>
      <c r="GI29" s="31" t="s">
        <v>128</v>
      </c>
      <c r="GJ29" s="7"/>
      <c r="GK29" s="7"/>
      <c r="GL29" s="31" t="s">
        <v>128</v>
      </c>
      <c r="GM29" s="31">
        <f t="shared" si="28"/>
        <v>0</v>
      </c>
      <c r="GN29" s="31">
        <f t="shared" si="29"/>
        <v>0</v>
      </c>
      <c r="GO29" s="31" t="str">
        <f>IF(GN29/(INDEX('Standards for Conversions'!$H$34:$H$73,MATCH(GM$3,'Standards for Conversions'!$A$34:$A$73,0)))=0,"",GN29/(INDEX('Standards for Conversions'!$H$34:$H$73,MATCH(GM$3,'Standards for Conversions'!$A$34:$A$73,0))))</f>
        <v/>
      </c>
      <c r="GP29" s="7"/>
      <c r="GQ29" s="7"/>
      <c r="GR29" s="31" t="s">
        <v>128</v>
      </c>
      <c r="GS29" s="7"/>
      <c r="GT29" s="7"/>
      <c r="GU29" s="31" t="s">
        <v>128</v>
      </c>
      <c r="GV29" s="9"/>
      <c r="GW29" s="9"/>
      <c r="GX29" s="31" t="s">
        <v>128</v>
      </c>
      <c r="GY29" s="7"/>
      <c r="GZ29" s="7"/>
      <c r="HA29" s="31" t="s">
        <v>128</v>
      </c>
      <c r="HB29" s="31">
        <f t="shared" si="30"/>
        <v>0</v>
      </c>
      <c r="HC29" s="31">
        <f t="shared" si="31"/>
        <v>0</v>
      </c>
      <c r="HD29" s="31" t="str">
        <f>IF(HC29/(INDEX('Standards for Conversions'!$H$34:$H$73,MATCH(HB$3,'Standards for Conversions'!$A$34:$A$73,0)))=0,"",HC29/(INDEX('Standards for Conversions'!$H$34:$H$73,MATCH(HB$3,'Standards for Conversions'!$A$34:$A$73,0))))</f>
        <v/>
      </c>
      <c r="HE29" s="112" t="s">
        <v>8</v>
      </c>
      <c r="HF29" s="31"/>
      <c r="HG29" s="31"/>
      <c r="HH29" s="31" t="str">
        <f>IF(HG29/(INDEX('Standards for Conversions'!$H$47:$H$73,MATCH(HF$3,'Standards for Conversions'!$A$47:$A$73,0)))=0,"",HG29/(INDEX('Standards for Conversions'!$H$47:$H$73,MATCH(HF$3,'Standards for Conversions'!$A$47:$A$73,0))))</f>
        <v/>
      </c>
      <c r="HI29" s="31"/>
      <c r="HJ29" s="31"/>
      <c r="HK29" s="31" t="str">
        <f>IF(HJ29/(INDEX('Standards for Conversions'!$H$47:$H$73,MATCH(HI$3,'Standards for Conversions'!$A$47:$A$73,0)))=0,"",HJ29/(INDEX('Standards for Conversions'!$H$47:$H$73,MATCH(HI$3,'Standards for Conversions'!$A$47:$A$73,0))))</f>
        <v/>
      </c>
      <c r="HL29" s="31"/>
      <c r="HM29" s="31"/>
      <c r="HN29" s="31" t="str">
        <f>IF(HM29/(INDEX('Standards for Conversions'!$H$47:$H$73,MATCH(HL$3,'Standards for Conversions'!$A$47:$A$73,0)))=0,"",HM29/(INDEX('Standards for Conversions'!$H$47:$H$73,MATCH(HL$3,'Standards for Conversions'!$A$47:$A$73,0))))</f>
        <v/>
      </c>
      <c r="HO29" s="31"/>
      <c r="HP29" s="31"/>
      <c r="HQ29" s="31" t="str">
        <f>IF(HP29/(INDEX('Standards for Conversions'!$H$47:$H$73,MATCH(HO$3,'Standards for Conversions'!$A$47:$A$73,0)))=0,"",HP29/(INDEX('Standards for Conversions'!$H$47:$H$73,MATCH(HO$3,'Standards for Conversions'!$A$47:$A$73,0))))</f>
        <v/>
      </c>
      <c r="HR29" s="31"/>
      <c r="HS29" s="31"/>
      <c r="HT29" s="31" t="str">
        <f>IF(HS29/(INDEX('Standards for Conversions'!$H$47:$H$73,MATCH(HR$3,'Standards for Conversions'!$A$47:$A$73,0)))=0,"",HS29/(INDEX('Standards for Conversions'!$H$47:$H$73,MATCH(HR$3,'Standards for Conversions'!$A$47:$A$73,0))))</f>
        <v/>
      </c>
      <c r="HU29" s="31"/>
      <c r="HV29" s="31"/>
      <c r="HW29" s="31" t="str">
        <f>IF(HV29/(INDEX('Standards for Conversions'!$H$47:$H$73,MATCH(HU$3,'Standards for Conversions'!$A$47:$A$73,0)))=0,"",HV29/(INDEX('Standards for Conversions'!$H$47:$H$73,MATCH(HU$3,'Standards for Conversions'!$A$47:$A$73,0))))</f>
        <v/>
      </c>
      <c r="HX29" s="31"/>
      <c r="HY29" s="31"/>
      <c r="HZ29" s="31" t="str">
        <f>IF(HY29/(INDEX('Standards for Conversions'!$H$47:$H$73,MATCH(HX$3,'Standards for Conversions'!$A$47:$A$73,0)))=0,"",HY29/(INDEX('Standards for Conversions'!$H$47:$H$73,MATCH(HX$3,'Standards for Conversions'!$A$47:$A$73,0))))</f>
        <v/>
      </c>
      <c r="IA29" s="31"/>
      <c r="IB29" s="31"/>
      <c r="IC29" s="31" t="str">
        <f>IF(IB29/(INDEX('Standards for Conversions'!$H$47:$H$73,MATCH(IA$3,'Standards for Conversions'!$A$47:$A$73,0)))=0,"",IB29/(INDEX('Standards for Conversions'!$H$47:$H$73,MATCH(IA$3,'Standards for Conversions'!$A$47:$A$73,0))))</f>
        <v/>
      </c>
      <c r="ID29" s="31"/>
      <c r="IE29" s="31"/>
      <c r="IF29" s="31" t="str">
        <f>IF(IE29/(INDEX('Standards for Conversions'!$H$47:$H$73,MATCH(ID$3,'Standards for Conversions'!$A$47:$A$73,0)))=0,"",IE29/(INDEX('Standards for Conversions'!$H$47:$H$73,MATCH(ID$3,'Standards for Conversions'!$A$47:$A$73,0))))</f>
        <v/>
      </c>
      <c r="IG29" s="31"/>
      <c r="IH29" s="31"/>
      <c r="II29" s="31" t="str">
        <f>IF(IH29/(INDEX('Standards for Conversions'!$H$47:$H$73,MATCH(IG$3,'Standards for Conversions'!$A$47:$A$73,0)))=0,"",IH29/(INDEX('Standards for Conversions'!$H$47:$H$73,MATCH(IG$3,'Standards for Conversions'!$A$47:$A$73,0))))</f>
        <v/>
      </c>
      <c r="IJ29" s="31"/>
      <c r="IK29" s="31"/>
      <c r="IL29" s="31" t="str">
        <f>IF(IK29/(INDEX('Standards for Conversions'!$H$47:$H$73,MATCH(IJ$3,'Standards for Conversions'!$A$47:$A$73,0)))=0,"",IK29/(INDEX('Standards for Conversions'!$H$47:$H$73,MATCH(IJ$3,'Standards for Conversions'!$A$47:$A$73,0))))</f>
        <v/>
      </c>
      <c r="IM29" s="31"/>
      <c r="IN29" s="31"/>
      <c r="IO29" s="31" t="str">
        <f>IF(IN29/(INDEX('Standards for Conversions'!$H$47:$H$73,MATCH(IM$3,'Standards for Conversions'!$A$47:$A$73,0)))=0,"",IN29/(INDEX('Standards for Conversions'!$H$47:$H$73,MATCH(IM$3,'Standards for Conversions'!$A$47:$A$73,0))))</f>
        <v/>
      </c>
      <c r="IP29" s="31"/>
      <c r="IQ29" s="31"/>
      <c r="IR29" s="31" t="str">
        <f>IF(IQ29/(INDEX('Standards for Conversions'!$H$47:$H$73,MATCH(IP$3,'Standards for Conversions'!$A$47:$A$73,0)))=0,"",IQ29/(INDEX('Standards for Conversions'!$H$47:$H$73,MATCH(IP$3,'Standards for Conversions'!$A$47:$A$73,0))))</f>
        <v/>
      </c>
      <c r="IS29" s="31"/>
      <c r="IT29" s="31"/>
      <c r="IU29" s="31" t="str">
        <f>IF(IT29/(INDEX('Standards for Conversions'!$H$47:$H$73,MATCH(IS$3,'Standards for Conversions'!$A$47:$A$73,0)))=0,"",IT29/(INDEX('Standards for Conversions'!$H$47:$H$73,MATCH(IS$3,'Standards for Conversions'!$A$47:$A$73,0))))</f>
        <v/>
      </c>
      <c r="IV29" s="31"/>
      <c r="IW29" s="31"/>
      <c r="IX29" s="31" t="str">
        <f>IF(IW29/(INDEX('Standards for Conversions'!$H$47:$H$73,MATCH(IV$3,'Standards for Conversions'!$A$47:$A$73,0)))=0,"",IW29/(INDEX('Standards for Conversions'!$H$47:$H$73,MATCH(IV$3,'Standards for Conversions'!$A$47:$A$73,0))))</f>
        <v/>
      </c>
      <c r="IY29" s="31"/>
      <c r="IZ29" s="31"/>
      <c r="JA29" s="31" t="str">
        <f>IF(IZ29/(INDEX('Standards for Conversions'!$H$47:$H$73,MATCH(IY$3,'Standards for Conversions'!$A$47:$A$73,0)))=0,"",IZ29/(INDEX('Standards for Conversions'!$H$47:$H$73,MATCH(IY$3,'Standards for Conversions'!$A$47:$A$73,0))))</f>
        <v/>
      </c>
      <c r="JB29" s="31"/>
      <c r="JC29" s="31"/>
      <c r="JD29" s="31" t="str">
        <f>IF(JC29/(INDEX('Standards for Conversions'!$H$47:$H$73,MATCH(JB$3,'Standards for Conversions'!$A$47:$A$73,0)))=0,"",JC29/(INDEX('Standards for Conversions'!$H$47:$H$73,MATCH(JB$3,'Standards for Conversions'!$A$47:$A$73,0))))</f>
        <v/>
      </c>
      <c r="JE29" s="31"/>
      <c r="JF29" s="31"/>
      <c r="JG29" s="31" t="str">
        <f>IF(JF29/(INDEX('Standards for Conversions'!$H$47:$H$73,MATCH(JE$3,'Standards for Conversions'!$A$47:$A$73,0)))=0,"",JF29/(INDEX('Standards for Conversions'!$H$47:$H$73,MATCH(JE$3,'Standards for Conversions'!$A$47:$A$73,0))))</f>
        <v/>
      </c>
      <c r="JH29" s="31"/>
      <c r="JI29" s="31"/>
      <c r="JJ29" s="31" t="str">
        <f>IF(JI29/(INDEX('Standards for Conversions'!$H$47:$H$73,MATCH(JH$3,'Standards for Conversions'!$A$47:$A$73,0)))=0,"",JI29/(INDEX('Standards for Conversions'!$H$47:$H$73,MATCH(JH$3,'Standards for Conversions'!$A$47:$A$73,0))))</f>
        <v/>
      </c>
      <c r="JK29" s="31"/>
      <c r="JL29" s="31"/>
      <c r="JM29" s="31" t="str">
        <f>IF(JL29/(INDEX('Standards for Conversions'!$H$47:$H$73,MATCH(JK$3,'Standards for Conversions'!$A$47:$A$73,0)))=0,"",JL29/(INDEX('Standards for Conversions'!$H$47:$H$73,MATCH(JK$3,'Standards for Conversions'!$A$47:$A$73,0))))</f>
        <v/>
      </c>
      <c r="JN29" s="31"/>
      <c r="JO29" s="31"/>
      <c r="JP29" s="31" t="str">
        <f>IF(JO29/(INDEX('Standards for Conversions'!$H$47:$H$73,MATCH(JN$3,'Standards for Conversions'!$A$47:$A$73,0)))=0,"",JO29/(INDEX('Standards for Conversions'!$H$47:$H$73,MATCH(JN$3,'Standards for Conversions'!$A$47:$A$73,0))))</f>
        <v/>
      </c>
      <c r="JQ29" s="31"/>
      <c r="JR29" s="31"/>
      <c r="JS29" s="31" t="str">
        <f>IF(JR29/(INDEX('Standards for Conversions'!$H$47:$H$73,MATCH(JQ$3,'Standards for Conversions'!$A$47:$A$73,0)))=0,"",JR29/(INDEX('Standards for Conversions'!$H$47:$H$73,MATCH(JQ$3,'Standards for Conversions'!$A$47:$A$73,0))))</f>
        <v/>
      </c>
      <c r="JT29" s="31"/>
      <c r="JU29" s="31"/>
      <c r="JV29" s="31" t="str">
        <f>IF(JU29/(INDEX('Standards for Conversions'!$H$47:$H$73,MATCH(JT$3,'Standards for Conversions'!$A$47:$A$73,0)))=0,"",JU29/(INDEX('Standards for Conversions'!$H$47:$H$73,MATCH(JT$3,'Standards for Conversions'!$A$47:$A$73,0))))</f>
        <v/>
      </c>
      <c r="JW29" s="31"/>
      <c r="JX29" s="31"/>
      <c r="JY29" s="31" t="str">
        <f>IF(JX29/(INDEX('Standards for Conversions'!$H$47:$H$73,MATCH(JW$3,'Standards for Conversions'!$A$47:$A$73,0)))=0,"",JX29/(INDEX('Standards for Conversions'!$H$47:$H$73,MATCH(JW$3,'Standards for Conversions'!$A$47:$A$73,0))))</f>
        <v/>
      </c>
      <c r="JZ29" s="31"/>
      <c r="KA29" s="31"/>
      <c r="KB29" s="31" t="str">
        <f>IF(KA29/(INDEX('Standards for Conversions'!$H$47:$H$73,MATCH(JZ$3,'Standards for Conversions'!$A$47:$A$73,0)))=0,"",KA29/(INDEX('Standards for Conversions'!$H$47:$H$73,MATCH(JZ$3,'Standards for Conversions'!$A$47:$A$73,0))))</f>
        <v/>
      </c>
      <c r="KC29" s="31"/>
      <c r="KD29" s="31"/>
      <c r="KE29" s="31" t="str">
        <f>IF(KD29/(INDEX('Standards for Conversions'!$H$47:$H$73,MATCH(KC$3,'Standards for Conversions'!$A$47:$A$73,0)))=0,"",KD29/(INDEX('Standards for Conversions'!$H$47:$H$73,MATCH(KC$3,'Standards for Conversions'!$A$47:$A$73,0))))</f>
        <v/>
      </c>
      <c r="KF29" s="31"/>
      <c r="KG29" s="31"/>
      <c r="KH29" s="31" t="str">
        <f>IF(KG29/(INDEX('Standards for Conversions'!$H$47:$H$73,MATCH(KF$3,'Standards for Conversions'!$A$47:$A$73,0)))=0,"",KG29/(INDEX('Standards for Conversions'!$H$47:$H$73,MATCH(KF$3,'Standards for Conversions'!$A$47:$A$73,0))))</f>
        <v/>
      </c>
      <c r="KI29" s="31"/>
      <c r="KJ29" s="31"/>
      <c r="KK29" s="31" t="str">
        <f>IF(KJ29/(INDEX('Standards for Conversions'!$H$47:$H$73,MATCH(KI$3,'Standards for Conversions'!$A$47:$A$73,0)))=0,"",KJ29/(INDEX('Standards for Conversions'!$H$47:$H$73,MATCH(KI$3,'Standards for Conversions'!$A$47:$A$73,0))))</f>
        <v/>
      </c>
      <c r="KL29" s="31"/>
      <c r="KM29" s="31"/>
      <c r="KN29" s="31" t="str">
        <f>IF(KM29/(INDEX('Standards for Conversions'!$H$47:$H$73,MATCH(KL$3,'Standards for Conversions'!$A$47:$A$73,0)))=0,"",KM29/(INDEX('Standards for Conversions'!$H$47:$H$73,MATCH(KL$3,'Standards for Conversions'!$A$47:$A$73,0))))</f>
        <v/>
      </c>
      <c r="KO29" s="31"/>
      <c r="KP29" s="31"/>
      <c r="KQ29" s="31" t="str">
        <f>IF(KP29/(INDEX('Standards for Conversions'!$H$47:$H$73,MATCH(KO$3,'Standards for Conversions'!$A$47:$A$73,0)))=0,"",KP29/(INDEX('Standards for Conversions'!$H$47:$H$73,MATCH(KO$3,'Standards for Conversions'!$A$47:$A$73,0))))</f>
        <v/>
      </c>
      <c r="KR29" s="31">
        <v>90000</v>
      </c>
      <c r="KS29" s="31">
        <v>60000</v>
      </c>
      <c r="KT29" s="31">
        <f>IF(KS29/(INDEX('Standards for Conversions'!$H$47:$H$73,MATCH(KR$3,'Standards for Conversions'!$A$47:$A$73,0)))=0,"",KS29/(INDEX('Standards for Conversions'!$H$47:$H$73,MATCH(KR$3,'Standards for Conversions'!$A$47:$A$73,0))))</f>
        <v>5881.8040106022418</v>
      </c>
      <c r="KU29" s="31">
        <v>105000</v>
      </c>
      <c r="KV29" s="31">
        <v>70000</v>
      </c>
      <c r="KW29" s="31">
        <f>IF(KV29/(INDEX('Standards for Conversions'!$H$47:$H$73,MATCH(KU$3,'Standards for Conversions'!$A$47:$A$73,0)))=0,"",KV29/(INDEX('Standards for Conversions'!$H$47:$H$73,MATCH(KU$3,'Standards for Conversions'!$A$47:$A$73,0))))</f>
        <v>7069.5981250543127</v>
      </c>
      <c r="KX29" s="31">
        <v>120000</v>
      </c>
      <c r="KY29" s="31">
        <v>80000</v>
      </c>
      <c r="KZ29" s="31">
        <f>IF(KY29/(INDEX('Standards for Conversions'!$H$47:$H$73,MATCH(KX$3,'Standards for Conversions'!$A$47:$A$73,0)))=0,"",KY29/(INDEX('Standards for Conversions'!$H$47:$H$73,MATCH(KX$3,'Standards for Conversions'!$A$47:$A$73,0))))</f>
        <v>8350.5525622085097</v>
      </c>
      <c r="LA29" s="31">
        <f>125000</f>
        <v>125000</v>
      </c>
      <c r="LB29" s="31">
        <v>100000</v>
      </c>
      <c r="LC29" s="31">
        <f>IF(LB29/(INDEX('Standards for Conversions'!$H$47:$H$73,MATCH(LA$3,'Standards for Conversions'!$A$47:$A$73,0)))=0,"",LB29/(INDEX('Standards for Conversions'!$H$47:$H$73,MATCH(LA$3,'Standards for Conversions'!$A$47:$A$73,0))))</f>
        <v>9337.2050708264505</v>
      </c>
      <c r="LD29" s="31">
        <f>150000</f>
        <v>150000</v>
      </c>
      <c r="LE29" s="31">
        <v>125000</v>
      </c>
      <c r="LF29" s="31">
        <f>IF(LE29/(INDEX('Standards for Conversions'!$H$47:$H$73,MATCH(LD$3,'Standards for Conversions'!$A$47:$A$73,0)))=0,"",LE29/(INDEX('Standards for Conversions'!$H$47:$H$73,MATCH(LD$3,'Standards for Conversions'!$A$47:$A$73,0))))</f>
        <v>11406.846330856577</v>
      </c>
      <c r="LG29" s="31">
        <f>90000+48000</f>
        <v>138000</v>
      </c>
      <c r="LH29" s="31">
        <f>75000+12000</f>
        <v>87000</v>
      </c>
      <c r="LI29" s="31">
        <f>IF(LH29/(INDEX('Standards for Conversions'!$H$47:$H$73,MATCH(LG$3,'Standards for Conversions'!$A$47:$A$73,0)))=0,"",LH29/(INDEX('Standards for Conversions'!$H$47:$H$73,MATCH(LG$3,'Standards for Conversions'!$A$47:$A$73,0))))</f>
        <v>8086.527738550446</v>
      </c>
      <c r="LJ29" s="31">
        <f>55222+46000</f>
        <v>101222</v>
      </c>
      <c r="LK29" s="31">
        <f>40611+10000</f>
        <v>50611</v>
      </c>
      <c r="LL29" s="31">
        <f>IF(LK29/(INDEX('Standards for Conversions'!$H$47:$H$73,MATCH(LJ$3,'Standards for Conversions'!$A$47:$A$73,0)))=0,"",LK29/(INDEX('Standards for Conversions'!$H$47:$H$73,MATCH(LJ$3,'Standards for Conversions'!$A$47:$A$73,0))))</f>
        <v>4854.2420518217168</v>
      </c>
      <c r="LM29" s="31">
        <v>34914</v>
      </c>
      <c r="LN29" s="31">
        <v>35517</v>
      </c>
      <c r="LO29" s="31">
        <f>IF(LN29/(INDEX('Standards for Conversions'!$H$47:$H$73,MATCH(LM$3,'Standards for Conversions'!$A$47:$A$73,0)))=0,"",LN29/(INDEX('Standards for Conversions'!$H$47:$H$73,MATCH(LM$3,'Standards for Conversions'!$A$47:$A$73,0))))</f>
        <v>3271.1754634407312</v>
      </c>
      <c r="LP29" s="31">
        <v>43700</v>
      </c>
      <c r="LQ29" s="31">
        <v>54600</v>
      </c>
      <c r="LR29" s="31">
        <f>IF(LQ29/(INDEX('Standards for Conversions'!$H$47:$H$73,MATCH(LP$3,'Standards for Conversions'!$A$47:$A$73,0)))=0,"",LQ29/(INDEX('Standards for Conversions'!$H$47:$H$73,MATCH(LP$3,'Standards for Conversions'!$A$47:$A$73,0))))</f>
        <v>4450.7344170939423</v>
      </c>
      <c r="LS29" s="31">
        <v>60400</v>
      </c>
      <c r="LT29" s="31">
        <v>62900</v>
      </c>
      <c r="LU29" s="31">
        <f>IF(LT29/(INDEX('Standards for Conversions'!$H$47:$H$73,MATCH(LS$3,'Standards for Conversions'!$A$47:$A$73,0)))=0,"",LT29/(INDEX('Standards for Conversions'!$H$47:$H$73,MATCH(LS$3,'Standards for Conversions'!$A$47:$A$73,0))))</f>
        <v>5273.805868167201</v>
      </c>
      <c r="LV29" s="31">
        <v>80000</v>
      </c>
      <c r="LW29" s="31">
        <v>80000</v>
      </c>
      <c r="LX29" s="31">
        <f>IF(LW29/(INDEX('Standards for Conversions'!$H$47:$H$73,MATCH(LV$3,'Standards for Conversions'!$A$47:$A$73,0)))=0,"",LW29/(INDEX('Standards for Conversions'!$H$47:$H$73,MATCH(LV$3,'Standards for Conversions'!$A$47:$A$73,0))))</f>
        <v>7156.4066075722021</v>
      </c>
      <c r="LY29" s="31">
        <v>112000</v>
      </c>
      <c r="LZ29" s="31">
        <v>6500</v>
      </c>
      <c r="MA29" s="31">
        <v>216000</v>
      </c>
      <c r="MB29" s="31">
        <v>9867</v>
      </c>
      <c r="MC29" s="31">
        <v>237000</v>
      </c>
      <c r="MD29" s="31">
        <v>10933</v>
      </c>
      <c r="ME29" s="31">
        <v>84100</v>
      </c>
      <c r="MF29" s="31">
        <v>6762</v>
      </c>
      <c r="MG29" s="31">
        <v>110870</v>
      </c>
      <c r="MH29" s="31">
        <v>9156</v>
      </c>
      <c r="MI29" s="31"/>
      <c r="MJ29" s="31"/>
      <c r="MK29" s="31"/>
      <c r="ML29" s="31"/>
      <c r="MM29" s="31"/>
      <c r="MN29" s="31"/>
    </row>
    <row r="30" spans="1:352" s="33" customFormat="1" ht="14.4" customHeight="1" x14ac:dyDescent="0.3">
      <c r="A30" s="102" t="s">
        <v>158</v>
      </c>
      <c r="B30" s="10" t="s">
        <v>97</v>
      </c>
      <c r="C30" s="9"/>
      <c r="D30" s="9"/>
      <c r="E30" s="31" t="s">
        <v>128</v>
      </c>
      <c r="F30" s="9"/>
      <c r="G30" s="9"/>
      <c r="H30" s="31" t="s">
        <v>128</v>
      </c>
      <c r="I30" s="9"/>
      <c r="J30" s="9"/>
      <c r="K30" s="31" t="s">
        <v>128</v>
      </c>
      <c r="L30" s="9">
        <v>450</v>
      </c>
      <c r="M30" s="9">
        <v>150</v>
      </c>
      <c r="N30" s="31">
        <v>29.631334459459456</v>
      </c>
      <c r="O30" s="31">
        <f t="shared" si="4"/>
        <v>450</v>
      </c>
      <c r="P30" s="31">
        <f t="shared" si="5"/>
        <v>150</v>
      </c>
      <c r="Q30" s="31">
        <f>IF(P30/(INDEX('Standards for Conversions'!$H$34:$H$73,MATCH(O$3,'Standards for Conversions'!$A$34:$A$73,0)))=0,"",P30/(INDEX('Standards for Conversions'!$H$34:$H$73,MATCH(O$3,'Standards for Conversions'!$A$34:$A$73,0))))</f>
        <v>29.631334459459456</v>
      </c>
      <c r="R30" s="9"/>
      <c r="S30" s="9"/>
      <c r="T30" s="31" t="s">
        <v>128</v>
      </c>
      <c r="U30" s="9"/>
      <c r="V30" s="9"/>
      <c r="W30" s="31" t="s">
        <v>128</v>
      </c>
      <c r="X30" s="9"/>
      <c r="Y30" s="9"/>
      <c r="Z30" s="31" t="s">
        <v>128</v>
      </c>
      <c r="AA30" s="9">
        <v>9000</v>
      </c>
      <c r="AB30" s="9">
        <v>3000</v>
      </c>
      <c r="AC30" s="31">
        <v>578.01745676544704</v>
      </c>
      <c r="AD30" s="31">
        <f t="shared" si="6"/>
        <v>9000</v>
      </c>
      <c r="AE30" s="31">
        <f t="shared" si="7"/>
        <v>3000</v>
      </c>
      <c r="AF30" s="31">
        <f>IF(AE30/(INDEX('Standards for Conversions'!$H$34:$H$73,MATCH(AD$3,'Standards for Conversions'!$A$34:$A$73,0)))=0,"",AE30/(INDEX('Standards for Conversions'!$H$34:$H$73,MATCH(AD$3,'Standards for Conversions'!$A$34:$A$73,0))))</f>
        <v>578.01745676544704</v>
      </c>
      <c r="AG30" s="9"/>
      <c r="AH30" s="9"/>
      <c r="AI30" s="31" t="s">
        <v>128</v>
      </c>
      <c r="AJ30" s="9"/>
      <c r="AK30" s="9"/>
      <c r="AL30" s="31" t="s">
        <v>128</v>
      </c>
      <c r="AM30" s="9"/>
      <c r="AN30" s="9"/>
      <c r="AO30" s="31" t="s">
        <v>128</v>
      </c>
      <c r="AP30" s="9">
        <v>450</v>
      </c>
      <c r="AQ30" s="9">
        <v>200</v>
      </c>
      <c r="AR30" s="31">
        <v>35.739687436632771</v>
      </c>
      <c r="AS30" s="31">
        <f t="shared" si="8"/>
        <v>450</v>
      </c>
      <c r="AT30" s="31">
        <f t="shared" si="9"/>
        <v>200</v>
      </c>
      <c r="AU30" s="31">
        <f>IF(AT30/(INDEX('Standards for Conversions'!$H$34:$H$73,MATCH(AS$3,'Standards for Conversions'!$A$34:$A$73,0)))=0,"",AT30/(INDEX('Standards for Conversions'!$H$34:$H$73,MATCH(AS$3,'Standards for Conversions'!$A$34:$A$73,0))))</f>
        <v>35.739687436632771</v>
      </c>
      <c r="AV30" s="9"/>
      <c r="AW30" s="9"/>
      <c r="AX30" s="31" t="s">
        <v>128</v>
      </c>
      <c r="AY30" s="9"/>
      <c r="AZ30" s="9"/>
      <c r="BA30" s="31" t="s">
        <v>128</v>
      </c>
      <c r="BB30" s="9"/>
      <c r="BC30" s="9"/>
      <c r="BD30" s="31" t="s">
        <v>128</v>
      </c>
      <c r="BE30" s="9">
        <v>450</v>
      </c>
      <c r="BF30" s="9">
        <v>200</v>
      </c>
      <c r="BG30" s="31">
        <v>37.137092277164626</v>
      </c>
      <c r="BH30" s="31">
        <f t="shared" si="10"/>
        <v>450</v>
      </c>
      <c r="BI30" s="31">
        <f t="shared" si="11"/>
        <v>200</v>
      </c>
      <c r="BJ30" s="31">
        <f>IF(BI30/(INDEX('Standards for Conversions'!$H$34:$H$73,MATCH(BH$3,'Standards for Conversions'!$A$34:$A$73,0)))=0,"",BI30/(INDEX('Standards for Conversions'!$H$34:$H$73,MATCH(BH$3,'Standards for Conversions'!$A$34:$A$73,0))))</f>
        <v>37.137092277164626</v>
      </c>
      <c r="BK30" s="9"/>
      <c r="BL30" s="9"/>
      <c r="BM30" s="31" t="s">
        <v>128</v>
      </c>
      <c r="BN30" s="9"/>
      <c r="BO30" s="9"/>
      <c r="BP30" s="31" t="s">
        <v>128</v>
      </c>
      <c r="BQ30" s="9"/>
      <c r="BR30" s="9"/>
      <c r="BS30" s="31" t="s">
        <v>128</v>
      </c>
      <c r="BT30" s="9">
        <v>9900</v>
      </c>
      <c r="BU30" s="9">
        <v>3000</v>
      </c>
      <c r="BV30" s="31">
        <v>534.18975949422077</v>
      </c>
      <c r="BW30" s="31">
        <f t="shared" si="12"/>
        <v>9900</v>
      </c>
      <c r="BX30" s="31">
        <f t="shared" si="13"/>
        <v>3000</v>
      </c>
      <c r="BY30" s="31">
        <f>IF(BX30/(INDEX('Standards for Conversions'!$H$34:$H$73,MATCH(BW$3,'Standards for Conversions'!$A$34:$A$73,0)))=0,"",BX30/(INDEX('Standards for Conversions'!$H$34:$H$73,MATCH(BW$3,'Standards for Conversions'!$A$34:$A$73,0))))</f>
        <v>534.18975949422077</v>
      </c>
      <c r="BZ30" s="9"/>
      <c r="CA30" s="9"/>
      <c r="CB30" s="31" t="s">
        <v>128</v>
      </c>
      <c r="CC30" s="9">
        <v>22500</v>
      </c>
      <c r="CD30" s="9">
        <v>5000</v>
      </c>
      <c r="CE30" s="31">
        <v>868.0848251788766</v>
      </c>
      <c r="CF30" s="9"/>
      <c r="CG30" s="9"/>
      <c r="CH30" s="31" t="s">
        <v>128</v>
      </c>
      <c r="CI30" s="9">
        <v>900</v>
      </c>
      <c r="CJ30" s="9">
        <v>250</v>
      </c>
      <c r="CK30" s="31">
        <v>43.404241258943827</v>
      </c>
      <c r="CL30" s="31">
        <f t="shared" si="14"/>
        <v>23400</v>
      </c>
      <c r="CM30" s="31">
        <f t="shared" si="15"/>
        <v>5250</v>
      </c>
      <c r="CN30" s="31">
        <f>IF(CM30/(INDEX('Standards for Conversions'!$H$34:$H$73,MATCH(CL$3,'Standards for Conversions'!$A$34:$A$73,0)))=0,"",CM30/(INDEX('Standards for Conversions'!$H$34:$H$73,MATCH(CL$3,'Standards for Conversions'!$A$34:$A$73,0))))</f>
        <v>911.48906643782038</v>
      </c>
      <c r="CO30" s="9"/>
      <c r="CP30" s="9"/>
      <c r="CQ30" s="31" t="s">
        <v>128</v>
      </c>
      <c r="CR30" s="9">
        <v>34200</v>
      </c>
      <c r="CS30" s="9">
        <v>7500</v>
      </c>
      <c r="CT30" s="31">
        <v>1327.5345985052577</v>
      </c>
      <c r="CU30" s="9"/>
      <c r="CV30" s="9"/>
      <c r="CW30" s="31" t="s">
        <v>128</v>
      </c>
      <c r="CX30" s="9">
        <v>6750</v>
      </c>
      <c r="CY30" s="9">
        <v>1700</v>
      </c>
      <c r="CZ30" s="31">
        <v>300.90784232785842</v>
      </c>
      <c r="DA30" s="31">
        <f t="shared" si="16"/>
        <v>40950</v>
      </c>
      <c r="DB30" s="31">
        <f t="shared" si="17"/>
        <v>9200</v>
      </c>
      <c r="DC30" s="31">
        <f>IF(DB30/(INDEX('Standards for Conversions'!$H$34:$H$73,MATCH(DA$3,'Standards for Conversions'!$A$34:$A$73,0)))=0,"",DB30/(INDEX('Standards for Conversions'!$H$34:$H$73,MATCH(DA$3,'Standards for Conversions'!$A$34:$A$73,0))))</f>
        <v>1628.4424408331161</v>
      </c>
      <c r="DD30" s="9"/>
      <c r="DE30" s="9"/>
      <c r="DF30" s="31" t="s">
        <v>128</v>
      </c>
      <c r="DG30" s="9">
        <v>27000</v>
      </c>
      <c r="DH30" s="9">
        <v>6700</v>
      </c>
      <c r="DI30" s="31">
        <v>1173.1637092277165</v>
      </c>
      <c r="DJ30" s="9"/>
      <c r="DK30" s="9"/>
      <c r="DL30" s="31" t="s">
        <v>128</v>
      </c>
      <c r="DM30" s="9">
        <v>18000</v>
      </c>
      <c r="DN30" s="9">
        <v>5000</v>
      </c>
      <c r="DO30" s="31">
        <v>875.49530539381828</v>
      </c>
      <c r="DP30" s="31">
        <f t="shared" si="18"/>
        <v>45000</v>
      </c>
      <c r="DQ30" s="31">
        <f t="shared" si="19"/>
        <v>11700</v>
      </c>
      <c r="DR30" s="31">
        <f>IF(DQ30/(INDEX('Standards for Conversions'!$H$34:$H$73,MATCH(DP$3,'Standards for Conversions'!$A$34:$A$73,0)))=0,"",DQ30/(INDEX('Standards for Conversions'!$H$34:$H$73,MATCH(DP$3,'Standards for Conversions'!$A$34:$A$73,0))))</f>
        <v>2048.6590146215349</v>
      </c>
      <c r="DS30" s="9"/>
      <c r="DT30" s="9"/>
      <c r="DU30" s="31" t="s">
        <v>128</v>
      </c>
      <c r="DV30" s="9">
        <v>93708</v>
      </c>
      <c r="DW30" s="9">
        <v>19100</v>
      </c>
      <c r="DX30" s="31">
        <v>3340.3480616870888</v>
      </c>
      <c r="DY30" s="9"/>
      <c r="DZ30" s="9"/>
      <c r="EA30" s="31" t="s">
        <v>128</v>
      </c>
      <c r="EB30" s="9">
        <v>9630</v>
      </c>
      <c r="EC30" s="9">
        <v>2110</v>
      </c>
      <c r="ED30" s="31">
        <v>369.01227278323336</v>
      </c>
      <c r="EE30" s="31">
        <f t="shared" si="20"/>
        <v>103338</v>
      </c>
      <c r="EF30" s="31">
        <f t="shared" si="21"/>
        <v>21210</v>
      </c>
      <c r="EG30" s="31">
        <f>IF(EF30/(INDEX('Standards for Conversions'!$H$34:$H$73,MATCH(EE$3,'Standards for Conversions'!$A$34:$A$73,0)))=0,"",EF30/(INDEX('Standards for Conversions'!$H$34:$H$73,MATCH(EE$3,'Standards for Conversions'!$A$34:$A$73,0))))</f>
        <v>3709.360334470322</v>
      </c>
      <c r="EH30" s="9">
        <v>126000</v>
      </c>
      <c r="EI30" s="9">
        <v>16667</v>
      </c>
      <c r="EJ30" s="31">
        <v>2854.8563787893595</v>
      </c>
      <c r="EK30" s="9">
        <v>137817</v>
      </c>
      <c r="EL30" s="9">
        <v>25370</v>
      </c>
      <c r="EM30" s="31">
        <v>4345.5754682837978</v>
      </c>
      <c r="EN30" s="9"/>
      <c r="EO30" s="9"/>
      <c r="EP30" s="31" t="s">
        <v>128</v>
      </c>
      <c r="EQ30" s="9">
        <v>7650</v>
      </c>
      <c r="ER30" s="9">
        <v>1480</v>
      </c>
      <c r="ES30" s="31">
        <v>253.50617631296888</v>
      </c>
      <c r="ET30" s="31">
        <f t="shared" si="22"/>
        <v>271467</v>
      </c>
      <c r="EU30" s="31">
        <f t="shared" si="23"/>
        <v>43517</v>
      </c>
      <c r="EV30" s="31">
        <f>IF(EU30/(INDEX('Standards for Conversions'!$H$34:$H$73,MATCH(ET$3,'Standards for Conversions'!$A$34:$A$73,0)))=0,"",EU30/(INDEX('Standards for Conversions'!$H$34:$H$73,MATCH(ET$3,'Standards for Conversions'!$A$34:$A$73,0))))</f>
        <v>7453.9380233861257</v>
      </c>
      <c r="EW30" s="9"/>
      <c r="EX30" s="9"/>
      <c r="EY30" s="31" t="s">
        <v>128</v>
      </c>
      <c r="EZ30" s="9">
        <v>153000</v>
      </c>
      <c r="FA30" s="9">
        <v>20700</v>
      </c>
      <c r="FB30" s="31">
        <v>3550.0434789693222</v>
      </c>
      <c r="FC30" s="9"/>
      <c r="FD30" s="9"/>
      <c r="FE30" s="31" t="s">
        <v>128</v>
      </c>
      <c r="FF30" s="9"/>
      <c r="FG30" s="9"/>
      <c r="FH30" s="31" t="s">
        <v>128</v>
      </c>
      <c r="FI30" s="31">
        <f t="shared" si="24"/>
        <v>153000</v>
      </c>
      <c r="FJ30" s="31">
        <f t="shared" si="25"/>
        <v>20700</v>
      </c>
      <c r="FK30" s="31">
        <f>IF(FJ30/(INDEX('Standards for Conversions'!$H$34:$H$73,MATCH(FI$3,'Standards for Conversions'!$A$34:$A$73,0)))=0,"",FJ30/(INDEX('Standards for Conversions'!$H$34:$H$73,MATCH(FI$3,'Standards for Conversions'!$A$34:$A$73,0))))</f>
        <v>3550.0434789693222</v>
      </c>
      <c r="FL30" s="9">
        <v>108000</v>
      </c>
      <c r="FM30" s="9">
        <v>45000</v>
      </c>
      <c r="FN30" s="31">
        <v>7403.0697347266878</v>
      </c>
      <c r="FO30" s="9">
        <v>126000</v>
      </c>
      <c r="FP30" s="9">
        <v>22000</v>
      </c>
      <c r="FQ30" s="31">
        <v>3619.278536977492</v>
      </c>
      <c r="FR30" s="9"/>
      <c r="FS30" s="9"/>
      <c r="FT30" s="31" t="s">
        <v>128</v>
      </c>
      <c r="FU30" s="9"/>
      <c r="FV30" s="9"/>
      <c r="FW30" s="31" t="s">
        <v>128</v>
      </c>
      <c r="FX30" s="31">
        <f t="shared" si="26"/>
        <v>234000</v>
      </c>
      <c r="FY30" s="31">
        <f t="shared" si="27"/>
        <v>67000</v>
      </c>
      <c r="FZ30" s="31">
        <f>IF(FY30/(INDEX('Standards for Conversions'!$H$34:$H$73,MATCH(FX$3,'Standards for Conversions'!$A$34:$A$73,0)))=0,"",FY30/(INDEX('Standards for Conversions'!$H$34:$H$73,MATCH(FX$3,'Standards for Conversions'!$A$34:$A$73,0))))</f>
        <v>11022.348271704179</v>
      </c>
      <c r="GA30" s="9"/>
      <c r="GB30" s="9"/>
      <c r="GC30" s="31" t="s">
        <v>128</v>
      </c>
      <c r="GD30" s="9">
        <v>117000</v>
      </c>
      <c r="GE30" s="9">
        <v>20000</v>
      </c>
      <c r="GF30" s="31">
        <v>3074.2906491700705</v>
      </c>
      <c r="GG30" s="9"/>
      <c r="GH30" s="9"/>
      <c r="GI30" s="31" t="s">
        <v>128</v>
      </c>
      <c r="GJ30" s="9">
        <v>27000</v>
      </c>
      <c r="GK30" s="9">
        <v>25000</v>
      </c>
      <c r="GL30" s="31">
        <v>3842.8633114625882</v>
      </c>
      <c r="GM30" s="31">
        <f t="shared" si="28"/>
        <v>144000</v>
      </c>
      <c r="GN30" s="31">
        <f t="shared" si="29"/>
        <v>45000</v>
      </c>
      <c r="GO30" s="31">
        <f>IF(GN30/(INDEX('Standards for Conversions'!$H$34:$H$73,MATCH(GM$3,'Standards for Conversions'!$A$34:$A$73,0)))=0,"",GN30/(INDEX('Standards for Conversions'!$H$34:$H$73,MATCH(GM$3,'Standards for Conversions'!$A$34:$A$73,0))))</f>
        <v>6917.1539606326587</v>
      </c>
      <c r="GP30" s="9"/>
      <c r="GQ30" s="9"/>
      <c r="GR30" s="31" t="s">
        <v>128</v>
      </c>
      <c r="GS30" s="9">
        <v>36000</v>
      </c>
      <c r="GT30" s="9">
        <v>7600</v>
      </c>
      <c r="GU30" s="31">
        <v>1150.5299853712231</v>
      </c>
      <c r="GV30" s="9"/>
      <c r="GW30" s="9"/>
      <c r="GX30" s="31" t="s">
        <v>128</v>
      </c>
      <c r="GY30" s="9">
        <v>72000</v>
      </c>
      <c r="GZ30" s="9">
        <v>14000</v>
      </c>
      <c r="HA30" s="31">
        <v>2119.3973414733059</v>
      </c>
      <c r="HB30" s="31">
        <f t="shared" si="30"/>
        <v>108000</v>
      </c>
      <c r="HC30" s="31">
        <f t="shared" si="31"/>
        <v>21600</v>
      </c>
      <c r="HD30" s="31">
        <f>IF(HC30/(INDEX('Standards for Conversions'!$H$34:$H$73,MATCH(HB$3,'Standards for Conversions'!$A$34:$A$73,0)))=0,"",HC30/(INDEX('Standards for Conversions'!$H$34:$H$73,MATCH(HB$3,'Standards for Conversions'!$A$34:$A$73,0))))</f>
        <v>3269.9273268445286</v>
      </c>
      <c r="HE30" s="112" t="s">
        <v>97</v>
      </c>
      <c r="HF30" s="31"/>
      <c r="HG30" s="31"/>
      <c r="HH30" s="31" t="str">
        <f>IF(HG30/(INDEX('Standards for Conversions'!$H$47:$H$73,MATCH(HF$3,'Standards for Conversions'!$A$47:$A$73,0)))=0,"",HG30/(INDEX('Standards for Conversions'!$H$47:$H$73,MATCH(HF$3,'Standards for Conversions'!$A$47:$A$73,0))))</f>
        <v/>
      </c>
      <c r="HI30" s="31">
        <v>18000</v>
      </c>
      <c r="HJ30" s="31">
        <v>4000</v>
      </c>
      <c r="HK30" s="31">
        <f>IF(HJ30/(INDEX('Standards for Conversions'!$H$47:$H$73,MATCH(HI$3,'Standards for Conversions'!$A$47:$A$73,0)))=0,"",HJ30/(INDEX('Standards for Conversions'!$H$47:$H$73,MATCH(HI$3,'Standards for Conversions'!$A$47:$A$73,0))))</f>
        <v>580.98164885142387</v>
      </c>
      <c r="HL30" s="31"/>
      <c r="HM30" s="31"/>
      <c r="HN30" s="31" t="str">
        <f>IF(HM30/(INDEX('Standards for Conversions'!$H$47:$H$73,MATCH(HL$3,'Standards for Conversions'!$A$47:$A$73,0)))=0,"",HM30/(INDEX('Standards for Conversions'!$H$47:$H$73,MATCH(HL$3,'Standards for Conversions'!$A$47:$A$73,0))))</f>
        <v/>
      </c>
      <c r="HO30" s="31">
        <v>63000</v>
      </c>
      <c r="HP30" s="31">
        <v>14000</v>
      </c>
      <c r="HQ30" s="31">
        <f>IF(HP30/(INDEX('Standards for Conversions'!$H$47:$H$73,MATCH(HO$3,'Standards for Conversions'!$A$47:$A$73,0)))=0,"",HP30/(INDEX('Standards for Conversions'!$H$47:$H$73,MATCH(HO$3,'Standards for Conversions'!$A$47:$A$73,0))))</f>
        <v>2033.4357709799833</v>
      </c>
      <c r="HR30" s="31">
        <f t="shared" ref="HR30:HS34" si="75">HF30+HI30+HL30+HO30</f>
        <v>81000</v>
      </c>
      <c r="HS30" s="31">
        <f t="shared" si="75"/>
        <v>18000</v>
      </c>
      <c r="HT30" s="31">
        <f>IF(HS30/(INDEX('Standards for Conversions'!$H$47:$H$73,MATCH(HR$3,'Standards for Conversions'!$A$47:$A$73,0)))=0,"",HS30/(INDEX('Standards for Conversions'!$H$47:$H$73,MATCH(HR$3,'Standards for Conversions'!$A$47:$A$73,0))))</f>
        <v>2614.4174198314072</v>
      </c>
      <c r="HU30" s="31"/>
      <c r="HV30" s="31"/>
      <c r="HW30" s="31" t="str">
        <f>IF(HV30/(INDEX('Standards for Conversions'!$H$47:$H$73,MATCH(HU$3,'Standards for Conversions'!$A$47:$A$73,0)))=0,"",HV30/(INDEX('Standards for Conversions'!$H$47:$H$73,MATCH(HU$3,'Standards for Conversions'!$A$47:$A$73,0))))</f>
        <v/>
      </c>
      <c r="HX30" s="31"/>
      <c r="HY30" s="31"/>
      <c r="HZ30" s="31" t="str">
        <f>IF(HY30/(INDEX('Standards for Conversions'!$H$47:$H$73,MATCH(HX$3,'Standards for Conversions'!$A$47:$A$73,0)))=0,"",HY30/(INDEX('Standards for Conversions'!$H$47:$H$73,MATCH(HX$3,'Standards for Conversions'!$A$47:$A$73,0))))</f>
        <v/>
      </c>
      <c r="IA30" s="31"/>
      <c r="IB30" s="31"/>
      <c r="IC30" s="31" t="str">
        <f>IF(IB30/(INDEX('Standards for Conversions'!$H$47:$H$73,MATCH(IA$3,'Standards for Conversions'!$A$47:$A$73,0)))=0,"",IB30/(INDEX('Standards for Conversions'!$H$47:$H$73,MATCH(IA$3,'Standards for Conversions'!$A$47:$A$73,0))))</f>
        <v/>
      </c>
      <c r="ID30" s="31">
        <v>39492</v>
      </c>
      <c r="IE30" s="31">
        <v>8803</v>
      </c>
      <c r="IF30" s="31">
        <f>IF(IE30/(INDEX('Standards for Conversions'!$H$47:$H$73,MATCH(ID$3,'Standards for Conversions'!$A$47:$A$73,0)))=0,"",IE30/(INDEX('Standards for Conversions'!$H$47:$H$73,MATCH(ID$3,'Standards for Conversions'!$A$47:$A$73,0))))</f>
        <v>1273.0038387955881</v>
      </c>
      <c r="IG30" s="31">
        <f t="shared" ref="IG30:IH34" si="76">HU30+HX30+IA30+ID30</f>
        <v>39492</v>
      </c>
      <c r="IH30" s="31">
        <f t="shared" si="76"/>
        <v>8803</v>
      </c>
      <c r="II30" s="31">
        <f>IF(IH30/(INDEX('Standards for Conversions'!$H$47:$H$73,MATCH(IG$3,'Standards for Conversions'!$A$47:$A$73,0)))=0,"",IH30/(INDEX('Standards for Conversions'!$H$47:$H$73,MATCH(IG$3,'Standards for Conversions'!$A$47:$A$73,0))))</f>
        <v>1273.0038387955881</v>
      </c>
      <c r="IJ30" s="31"/>
      <c r="IK30" s="31"/>
      <c r="IL30" s="31" t="str">
        <f>IF(IK30/(INDEX('Standards for Conversions'!$H$47:$H$73,MATCH(IJ$3,'Standards for Conversions'!$A$47:$A$73,0)))=0,"",IK30/(INDEX('Standards for Conversions'!$H$47:$H$73,MATCH(IJ$3,'Standards for Conversions'!$A$47:$A$73,0))))</f>
        <v/>
      </c>
      <c r="IM30" s="31"/>
      <c r="IN30" s="31"/>
      <c r="IO30" s="31" t="str">
        <f>IF(IN30/(INDEX('Standards for Conversions'!$H$47:$H$73,MATCH(IM$3,'Standards for Conversions'!$A$47:$A$73,0)))=0,"",IN30/(INDEX('Standards for Conversions'!$H$47:$H$73,MATCH(IM$3,'Standards for Conversions'!$A$47:$A$73,0))))</f>
        <v/>
      </c>
      <c r="IP30" s="31"/>
      <c r="IQ30" s="31"/>
      <c r="IR30" s="31" t="str">
        <f>IF(IQ30/(INDEX('Standards for Conversions'!$H$47:$H$73,MATCH(IP$3,'Standards for Conversions'!$A$47:$A$73,0)))=0,"",IQ30/(INDEX('Standards for Conversions'!$H$47:$H$73,MATCH(IP$3,'Standards for Conversions'!$A$47:$A$73,0))))</f>
        <v/>
      </c>
      <c r="IS30" s="31">
        <v>81000</v>
      </c>
      <c r="IT30" s="31">
        <v>16500</v>
      </c>
      <c r="IU30" s="31">
        <f>IF(IT30/(INDEX('Standards for Conversions'!$H$47:$H$73,MATCH(IS$3,'Standards for Conversions'!$A$47:$A$73,0)))=0,"",IT30/(INDEX('Standards for Conversions'!$H$47:$H$73,MATCH(IS$3,'Standards for Conversions'!$A$47:$A$73,0))))</f>
        <v>2669.0432454158336</v>
      </c>
      <c r="IV30" s="31">
        <f t="shared" ref="IV30:IW31" si="77">IJ30+IM30+IP30+IS30</f>
        <v>81000</v>
      </c>
      <c r="IW30" s="31">
        <f t="shared" si="77"/>
        <v>16500</v>
      </c>
      <c r="IX30" s="31">
        <f>IF(IW30/(INDEX('Standards for Conversions'!$H$47:$H$73,MATCH(IV$3,'Standards for Conversions'!$A$47:$A$73,0)))=0,"",IW30/(INDEX('Standards for Conversions'!$H$47:$H$73,MATCH(IV$3,'Standards for Conversions'!$A$47:$A$73,0))))</f>
        <v>2669.0432454158336</v>
      </c>
      <c r="IY30" s="31"/>
      <c r="IZ30" s="31"/>
      <c r="JA30" s="31" t="str">
        <f>IF(IZ30/(INDEX('Standards for Conversions'!$H$47:$H$73,MATCH(IY$3,'Standards for Conversions'!$A$47:$A$73,0)))=0,"",IZ30/(INDEX('Standards for Conversions'!$H$47:$H$73,MATCH(IY$3,'Standards for Conversions'!$A$47:$A$73,0))))</f>
        <v/>
      </c>
      <c r="JB30" s="31"/>
      <c r="JC30" s="31"/>
      <c r="JD30" s="31" t="str">
        <f>IF(JC30/(INDEX('Standards for Conversions'!$H$47:$H$73,MATCH(JB$3,'Standards for Conversions'!$A$47:$A$73,0)))=0,"",JC30/(INDEX('Standards for Conversions'!$H$47:$H$73,MATCH(JB$3,'Standards for Conversions'!$A$47:$A$73,0))))</f>
        <v/>
      </c>
      <c r="JE30" s="31"/>
      <c r="JF30" s="31"/>
      <c r="JG30" s="31" t="str">
        <f>IF(JF30/(INDEX('Standards for Conversions'!$H$47:$H$73,MATCH(JE$3,'Standards for Conversions'!$A$47:$A$73,0)))=0,"",JF30/(INDEX('Standards for Conversions'!$H$47:$H$73,MATCH(JE$3,'Standards for Conversions'!$A$47:$A$73,0))))</f>
        <v/>
      </c>
      <c r="JH30" s="31">
        <v>72000</v>
      </c>
      <c r="JI30" s="31">
        <v>14000</v>
      </c>
      <c r="JJ30" s="31">
        <f>IF(JI30/(INDEX('Standards for Conversions'!$H$47:$H$73,MATCH(JH$3,'Standards for Conversions'!$A$47:$A$73,0)))=0,"",JI30/(INDEX('Standards for Conversions'!$H$47:$H$73,MATCH(JH$3,'Standards for Conversions'!$A$47:$A$73,0))))</f>
        <v>2137.1824939891658</v>
      </c>
      <c r="JK30" s="31">
        <f t="shared" ref="JK30:JL34" si="78">IY30+JB30+JE30+JH30</f>
        <v>72000</v>
      </c>
      <c r="JL30" s="31">
        <f t="shared" si="78"/>
        <v>14000</v>
      </c>
      <c r="JM30" s="31">
        <f>IF(JL30/(INDEX('Standards for Conversions'!$H$47:$H$73,MATCH(JK$3,'Standards for Conversions'!$A$47:$A$73,0)))=0,"",JL30/(INDEX('Standards for Conversions'!$H$47:$H$73,MATCH(JK$3,'Standards for Conversions'!$A$47:$A$73,0))))</f>
        <v>2137.1824939891658</v>
      </c>
      <c r="JN30" s="31"/>
      <c r="JO30" s="31"/>
      <c r="JP30" s="31" t="str">
        <f>IF(JO30/(INDEX('Standards for Conversions'!$H$47:$H$73,MATCH(JN$3,'Standards for Conversions'!$A$47:$A$73,0)))=0,"",JO30/(INDEX('Standards for Conversions'!$H$47:$H$73,MATCH(JN$3,'Standards for Conversions'!$A$47:$A$73,0))))</f>
        <v/>
      </c>
      <c r="JQ30" s="31"/>
      <c r="JR30" s="31"/>
      <c r="JS30" s="31" t="str">
        <f>IF(JR30/(INDEX('Standards for Conversions'!$H$47:$H$73,MATCH(JQ$3,'Standards for Conversions'!$A$47:$A$73,0)))=0,"",JR30/(INDEX('Standards for Conversions'!$H$47:$H$73,MATCH(JQ$3,'Standards for Conversions'!$A$47:$A$73,0))))</f>
        <v/>
      </c>
      <c r="JT30" s="31"/>
      <c r="JU30" s="31"/>
      <c r="JV30" s="31" t="str">
        <f>IF(JU30/(INDEX('Standards for Conversions'!$H$47:$H$73,MATCH(JT$3,'Standards for Conversions'!$A$47:$A$73,0)))=0,"",JU30/(INDEX('Standards for Conversions'!$H$47:$H$73,MATCH(JT$3,'Standards for Conversions'!$A$47:$A$73,0))))</f>
        <v/>
      </c>
      <c r="JW30" s="31">
        <v>67500</v>
      </c>
      <c r="JX30" s="31">
        <v>13000</v>
      </c>
      <c r="JY30" s="31">
        <f>IF(JX30/(INDEX('Standards for Conversions'!$H$47:$H$73,MATCH(JW$3,'Standards for Conversions'!$A$47:$A$73,0)))=0,"",JX30/(INDEX('Standards for Conversions'!$H$47:$H$73,MATCH(JW$3,'Standards for Conversions'!$A$47:$A$73,0))))</f>
        <v>1750.5671547753541</v>
      </c>
      <c r="JZ30" s="31">
        <f t="shared" ref="JZ30:KA34" si="79">JN30+JQ30+JT30+JW30</f>
        <v>67500</v>
      </c>
      <c r="KA30" s="31">
        <f t="shared" si="79"/>
        <v>13000</v>
      </c>
      <c r="KB30" s="31">
        <f>IF(KA30/(INDEX('Standards for Conversions'!$H$47:$H$73,MATCH(JZ$3,'Standards for Conversions'!$A$47:$A$73,0)))=0,"",KA30/(INDEX('Standards for Conversions'!$H$47:$H$73,MATCH(JZ$3,'Standards for Conversions'!$A$47:$A$73,0))))</f>
        <v>1750.5671547753541</v>
      </c>
      <c r="KC30" s="31"/>
      <c r="KD30" s="31"/>
      <c r="KE30" s="31" t="str">
        <f>IF(KD30/(INDEX('Standards for Conversions'!$H$47:$H$73,MATCH(KC$3,'Standards for Conversions'!$A$47:$A$73,0)))=0,"",KD30/(INDEX('Standards for Conversions'!$H$47:$H$73,MATCH(KC$3,'Standards for Conversions'!$A$47:$A$73,0))))</f>
        <v/>
      </c>
      <c r="KF30" s="31"/>
      <c r="KG30" s="31"/>
      <c r="KH30" s="31" t="str">
        <f>IF(KG30/(INDEX('Standards for Conversions'!$H$47:$H$73,MATCH(KF$3,'Standards for Conversions'!$A$47:$A$73,0)))=0,"",KG30/(INDEX('Standards for Conversions'!$H$47:$H$73,MATCH(KF$3,'Standards for Conversions'!$A$47:$A$73,0))))</f>
        <v/>
      </c>
      <c r="KI30" s="31"/>
      <c r="KJ30" s="31"/>
      <c r="KK30" s="31" t="str">
        <f>IF(KJ30/(INDEX('Standards for Conversions'!$H$47:$H$73,MATCH(KI$3,'Standards for Conversions'!$A$47:$A$73,0)))=0,"",KJ30/(INDEX('Standards for Conversions'!$H$47:$H$73,MATCH(KI$3,'Standards for Conversions'!$A$47:$A$73,0))))</f>
        <v/>
      </c>
      <c r="KL30" s="31">
        <v>58275</v>
      </c>
      <c r="KM30" s="31">
        <v>10760</v>
      </c>
      <c r="KN30" s="31">
        <f>IF(KM30/(INDEX('Standards for Conversions'!$H$47:$H$73,MATCH(KL$3,'Standards for Conversions'!$A$47:$A$73,0)))=0,"",KM30/(INDEX('Standards for Conversions'!$H$47:$H$73,MATCH(KL$3,'Standards for Conversions'!$A$47:$A$73,0))))</f>
        <v>1308.5942579878911</v>
      </c>
      <c r="KO30" s="31">
        <f t="shared" ref="KO30:KP31" si="80">KC30+KF30+KI30+KL30</f>
        <v>58275</v>
      </c>
      <c r="KP30" s="31">
        <f t="shared" si="80"/>
        <v>10760</v>
      </c>
      <c r="KQ30" s="31">
        <f>IF(KP30/(INDEX('Standards for Conversions'!$H$47:$H$73,MATCH(KO$3,'Standards for Conversions'!$A$47:$A$73,0)))=0,"",KP30/(INDEX('Standards for Conversions'!$H$47:$H$73,MATCH(KO$3,'Standards for Conversions'!$A$47:$A$73,0))))</f>
        <v>1308.5942579878911</v>
      </c>
      <c r="KR30" s="31"/>
      <c r="KS30" s="31"/>
      <c r="KT30" s="31" t="str">
        <f>IF(KS30/(INDEX('Standards for Conversions'!$H$47:$H$73,MATCH(KR$3,'Standards for Conversions'!$A$47:$A$73,0)))=0,"",KS30/(INDEX('Standards for Conversions'!$H$47:$H$73,MATCH(KR$3,'Standards for Conversions'!$A$47:$A$73,0))))</f>
        <v/>
      </c>
      <c r="KU30" s="31"/>
      <c r="KV30" s="31"/>
      <c r="KW30" s="31" t="str">
        <f>IF(KV30/(INDEX('Standards for Conversions'!$H$47:$H$73,MATCH(KU$3,'Standards for Conversions'!$A$47:$A$73,0)))=0,"",KV30/(INDEX('Standards for Conversions'!$H$47:$H$73,MATCH(KU$3,'Standards for Conversions'!$A$47:$A$73,0))))</f>
        <v/>
      </c>
      <c r="KX30" s="31"/>
      <c r="KY30" s="31"/>
      <c r="KZ30" s="31" t="str">
        <f>IF(KY30/(INDEX('Standards for Conversions'!$H$47:$H$73,MATCH(KX$3,'Standards for Conversions'!$A$47:$A$73,0)))=0,"",KY30/(INDEX('Standards for Conversions'!$H$47:$H$73,MATCH(KX$3,'Standards for Conversions'!$A$47:$A$73,0))))</f>
        <v/>
      </c>
      <c r="LA30" s="31"/>
      <c r="LB30" s="31"/>
      <c r="LC30" s="31" t="str">
        <f>IF(LB30/(INDEX('Standards for Conversions'!$H$47:$H$73,MATCH(LA$3,'Standards for Conversions'!$A$47:$A$73,0)))=0,"",LB30/(INDEX('Standards for Conversions'!$H$47:$H$73,MATCH(LA$3,'Standards for Conversions'!$A$47:$A$73,0))))</f>
        <v/>
      </c>
      <c r="LD30" s="31"/>
      <c r="LE30" s="31"/>
      <c r="LF30" s="31" t="str">
        <f>IF(LE30/(INDEX('Standards for Conversions'!$H$47:$H$73,MATCH(LD$3,'Standards for Conversions'!$A$47:$A$73,0)))=0,"",LE30/(INDEX('Standards for Conversions'!$H$47:$H$73,MATCH(LD$3,'Standards for Conversions'!$A$47:$A$73,0))))</f>
        <v/>
      </c>
      <c r="LG30" s="31"/>
      <c r="LH30" s="31"/>
      <c r="LI30" s="31" t="str">
        <f>IF(LH30/(INDEX('Standards for Conversions'!$H$47:$H$73,MATCH(LG$3,'Standards for Conversions'!$A$47:$A$73,0)))=0,"",LH30/(INDEX('Standards for Conversions'!$H$47:$H$73,MATCH(LG$3,'Standards for Conversions'!$A$47:$A$73,0))))</f>
        <v/>
      </c>
      <c r="LJ30" s="31"/>
      <c r="LK30" s="31"/>
      <c r="LL30" s="31" t="str">
        <f>IF(LK30/(INDEX('Standards for Conversions'!$H$47:$H$73,MATCH(LJ$3,'Standards for Conversions'!$A$47:$A$73,0)))=0,"",LK30/(INDEX('Standards for Conversions'!$H$47:$H$73,MATCH(LJ$3,'Standards for Conversions'!$A$47:$A$73,0))))</f>
        <v/>
      </c>
      <c r="LM30" s="31"/>
      <c r="LN30" s="31"/>
      <c r="LO30" s="31" t="str">
        <f>IF(LN30/(INDEX('Standards for Conversions'!$H$47:$H$73,MATCH(LM$3,'Standards for Conversions'!$A$47:$A$73,0)))=0,"",LN30/(INDEX('Standards for Conversions'!$H$47:$H$73,MATCH(LM$3,'Standards for Conversions'!$A$47:$A$73,0))))</f>
        <v/>
      </c>
      <c r="LP30" s="31"/>
      <c r="LQ30" s="31"/>
      <c r="LR30" s="31" t="str">
        <f>IF(LQ30/(INDEX('Standards for Conversions'!$H$47:$H$73,MATCH(LP$3,'Standards for Conversions'!$A$47:$A$73,0)))=0,"",LQ30/(INDEX('Standards for Conversions'!$H$47:$H$73,MATCH(LP$3,'Standards for Conversions'!$A$47:$A$73,0))))</f>
        <v/>
      </c>
      <c r="LS30" s="31"/>
      <c r="LT30" s="31"/>
      <c r="LU30" s="31" t="str">
        <f>IF(LT30/(INDEX('Standards for Conversions'!$H$47:$H$73,MATCH(LS$3,'Standards for Conversions'!$A$47:$A$73,0)))=0,"",LT30/(INDEX('Standards for Conversions'!$H$47:$H$73,MATCH(LS$3,'Standards for Conversions'!$A$47:$A$73,0))))</f>
        <v/>
      </c>
      <c r="LV30" s="31"/>
      <c r="LW30" s="31"/>
      <c r="LX30" s="31" t="str">
        <f>IF(LW30/(INDEX('Standards for Conversions'!$H$47:$H$73,MATCH(LV$3,'Standards for Conversions'!$A$47:$A$73,0)))=0,"",LW30/(INDEX('Standards for Conversions'!$H$47:$H$73,MATCH(LV$3,'Standards for Conversions'!$A$47:$A$73,0))))</f>
        <v/>
      </c>
      <c r="LY30" s="31"/>
      <c r="LZ30" s="31"/>
      <c r="MA30" s="31"/>
      <c r="MB30" s="31"/>
      <c r="MC30" s="31"/>
      <c r="MD30" s="31"/>
      <c r="ME30" s="31"/>
      <c r="MF30" s="31"/>
      <c r="MG30" s="31"/>
      <c r="MH30" s="31"/>
      <c r="MI30" s="31">
        <v>97000</v>
      </c>
      <c r="MJ30" s="31">
        <v>3334</v>
      </c>
      <c r="MK30" s="31">
        <v>97624</v>
      </c>
      <c r="ML30" s="31">
        <v>2746</v>
      </c>
      <c r="MM30" s="31"/>
      <c r="MN30" s="31"/>
    </row>
    <row r="31" spans="1:352" s="33" customFormat="1" ht="14.4" customHeight="1" x14ac:dyDescent="0.3">
      <c r="A31" s="102" t="s">
        <v>159</v>
      </c>
      <c r="B31" s="10" t="s">
        <v>97</v>
      </c>
      <c r="O31" s="31">
        <f t="shared" si="4"/>
        <v>0</v>
      </c>
      <c r="P31" s="31">
        <f t="shared" si="5"/>
        <v>0</v>
      </c>
      <c r="Q31" s="31" t="str">
        <f>IF(P31/(INDEX('Standards for Conversions'!$H$34:$H$73,MATCH(O$3,'Standards for Conversions'!$A$34:$A$73,0)))=0,"",P31/(INDEX('Standards for Conversions'!$H$34:$H$73,MATCH(O$3,'Standards for Conversions'!$A$34:$A$73,0))))</f>
        <v/>
      </c>
      <c r="AD31" s="31">
        <f t="shared" si="6"/>
        <v>0</v>
      </c>
      <c r="AE31" s="31">
        <f t="shared" si="7"/>
        <v>0</v>
      </c>
      <c r="AF31" s="31" t="str">
        <f>IF(AE31/(INDEX('Standards for Conversions'!$H$34:$H$73,MATCH(AD$3,'Standards for Conversions'!$A$34:$A$73,0)))=0,"",AE31/(INDEX('Standards for Conversions'!$H$34:$H$73,MATCH(AD$3,'Standards for Conversions'!$A$34:$A$73,0))))</f>
        <v/>
      </c>
      <c r="AS31" s="31">
        <f t="shared" si="8"/>
        <v>0</v>
      </c>
      <c r="AT31" s="31">
        <f t="shared" si="9"/>
        <v>0</v>
      </c>
      <c r="AU31" s="31" t="str">
        <f>IF(AT31/(INDEX('Standards for Conversions'!$H$34:$H$73,MATCH(AS$3,'Standards for Conversions'!$A$34:$A$73,0)))=0,"",AT31/(INDEX('Standards for Conversions'!$H$34:$H$73,MATCH(AS$3,'Standards for Conversions'!$A$34:$A$73,0))))</f>
        <v/>
      </c>
      <c r="BH31" s="31">
        <f t="shared" si="10"/>
        <v>0</v>
      </c>
      <c r="BI31" s="31">
        <f t="shared" si="11"/>
        <v>0</v>
      </c>
      <c r="BJ31" s="31" t="str">
        <f>IF(BI31/(INDEX('Standards for Conversions'!$H$34:$H$73,MATCH(BH$3,'Standards for Conversions'!$A$34:$A$73,0)))=0,"",BI31/(INDEX('Standards for Conversions'!$H$34:$H$73,MATCH(BH$3,'Standards for Conversions'!$A$34:$A$73,0))))</f>
        <v/>
      </c>
      <c r="BW31" s="31">
        <f t="shared" si="12"/>
        <v>0</v>
      </c>
      <c r="BX31" s="31">
        <f t="shared" si="13"/>
        <v>0</v>
      </c>
      <c r="BY31" s="31" t="str">
        <f>IF(BX31/(INDEX('Standards for Conversions'!$H$34:$H$73,MATCH(BW$3,'Standards for Conversions'!$A$34:$A$73,0)))=0,"",BX31/(INDEX('Standards for Conversions'!$H$34:$H$73,MATCH(BW$3,'Standards for Conversions'!$A$34:$A$73,0))))</f>
        <v/>
      </c>
      <c r="CL31" s="31">
        <f t="shared" si="14"/>
        <v>0</v>
      </c>
      <c r="CM31" s="31">
        <f t="shared" si="15"/>
        <v>0</v>
      </c>
      <c r="CN31" s="31" t="str">
        <f>IF(CM31/(INDEX('Standards for Conversions'!$H$34:$H$73,MATCH(CL$3,'Standards for Conversions'!$A$34:$A$73,0)))=0,"",CM31/(INDEX('Standards for Conversions'!$H$34:$H$73,MATCH(CL$3,'Standards for Conversions'!$A$34:$A$73,0))))</f>
        <v/>
      </c>
      <c r="DA31" s="31">
        <f t="shared" si="16"/>
        <v>0</v>
      </c>
      <c r="DB31" s="31">
        <f t="shared" si="17"/>
        <v>0</v>
      </c>
      <c r="DC31" s="31" t="str">
        <f>IF(DB31/(INDEX('Standards for Conversions'!$H$34:$H$73,MATCH(DA$3,'Standards for Conversions'!$A$34:$A$73,0)))=0,"",DB31/(INDEX('Standards for Conversions'!$H$34:$H$73,MATCH(DA$3,'Standards for Conversions'!$A$34:$A$73,0))))</f>
        <v/>
      </c>
      <c r="DP31" s="31">
        <f t="shared" si="18"/>
        <v>0</v>
      </c>
      <c r="DQ31" s="31">
        <f t="shared" si="19"/>
        <v>0</v>
      </c>
      <c r="DR31" s="31" t="str">
        <f>IF(DQ31/(INDEX('Standards for Conversions'!$H$34:$H$73,MATCH(DP$3,'Standards for Conversions'!$A$34:$A$73,0)))=0,"",DQ31/(INDEX('Standards for Conversions'!$H$34:$H$73,MATCH(DP$3,'Standards for Conversions'!$A$34:$A$73,0))))</f>
        <v/>
      </c>
      <c r="EE31" s="31">
        <f t="shared" si="20"/>
        <v>0</v>
      </c>
      <c r="EF31" s="31">
        <f t="shared" si="21"/>
        <v>0</v>
      </c>
      <c r="EG31" s="31" t="str">
        <f>IF(EF31/(INDEX('Standards for Conversions'!$H$34:$H$73,MATCH(EE$3,'Standards for Conversions'!$A$34:$A$73,0)))=0,"",EF31/(INDEX('Standards for Conversions'!$H$34:$H$73,MATCH(EE$3,'Standards for Conversions'!$A$34:$A$73,0))))</f>
        <v/>
      </c>
      <c r="ET31" s="31">
        <f t="shared" si="22"/>
        <v>0</v>
      </c>
      <c r="EU31" s="31">
        <f t="shared" si="23"/>
        <v>0</v>
      </c>
      <c r="EV31" s="31" t="str">
        <f>IF(EU31/(INDEX('Standards for Conversions'!$H$34:$H$73,MATCH(ET$3,'Standards for Conversions'!$A$34:$A$73,0)))=0,"",EU31/(INDEX('Standards for Conversions'!$H$34:$H$73,MATCH(ET$3,'Standards for Conversions'!$A$34:$A$73,0))))</f>
        <v/>
      </c>
      <c r="EW31" s="7"/>
      <c r="EX31" s="7"/>
      <c r="EY31" s="31" t="s">
        <v>128</v>
      </c>
      <c r="EZ31" s="7"/>
      <c r="FA31" s="7"/>
      <c r="FB31" s="31" t="s">
        <v>128</v>
      </c>
      <c r="FC31" s="9"/>
      <c r="FD31" s="9"/>
      <c r="FE31" s="31" t="s">
        <v>128</v>
      </c>
      <c r="FF31" s="7">
        <v>31500</v>
      </c>
      <c r="FG31" s="7">
        <v>20000</v>
      </c>
      <c r="FH31" s="31">
        <v>3429.9936994872683</v>
      </c>
      <c r="FI31" s="31">
        <f t="shared" si="24"/>
        <v>31500</v>
      </c>
      <c r="FJ31" s="31">
        <f t="shared" si="25"/>
        <v>20000</v>
      </c>
      <c r="FK31" s="31">
        <f>IF(FJ31/(INDEX('Standards for Conversions'!$H$34:$H$73,MATCH(FI$3,'Standards for Conversions'!$A$34:$A$73,0)))=0,"",FJ31/(INDEX('Standards for Conversions'!$H$34:$H$73,MATCH(FI$3,'Standards for Conversions'!$A$34:$A$73,0))))</f>
        <v>3429.9936994872683</v>
      </c>
      <c r="FL31" s="7"/>
      <c r="FM31" s="7"/>
      <c r="FN31" s="31" t="s">
        <v>128</v>
      </c>
      <c r="FO31" s="7"/>
      <c r="FP31" s="7"/>
      <c r="FQ31" s="31" t="s">
        <v>128</v>
      </c>
      <c r="FR31" s="9"/>
      <c r="FS31" s="9"/>
      <c r="FT31" s="31" t="s">
        <v>128</v>
      </c>
      <c r="FU31" s="7">
        <v>36900</v>
      </c>
      <c r="FV31" s="7">
        <v>17000</v>
      </c>
      <c r="FW31" s="31">
        <v>2796.7152331189709</v>
      </c>
      <c r="FX31" s="31">
        <f t="shared" si="26"/>
        <v>36900</v>
      </c>
      <c r="FY31" s="31">
        <f t="shared" si="27"/>
        <v>17000</v>
      </c>
      <c r="FZ31" s="31">
        <f>IF(FY31/(INDEX('Standards for Conversions'!$H$34:$H$73,MATCH(FX$3,'Standards for Conversions'!$A$34:$A$73,0)))=0,"",FY31/(INDEX('Standards for Conversions'!$H$34:$H$73,MATCH(FX$3,'Standards for Conversions'!$A$34:$A$73,0))))</f>
        <v>2796.7152331189709</v>
      </c>
      <c r="GA31" s="7"/>
      <c r="GB31" s="7"/>
      <c r="GC31" s="31" t="s">
        <v>128</v>
      </c>
      <c r="GD31" s="7"/>
      <c r="GE31" s="7"/>
      <c r="GF31" s="31" t="s">
        <v>128</v>
      </c>
      <c r="GG31" s="9"/>
      <c r="GH31" s="9"/>
      <c r="GI31" s="31" t="s">
        <v>128</v>
      </c>
      <c r="GJ31" s="7">
        <v>31500</v>
      </c>
      <c r="GK31" s="7">
        <v>12000</v>
      </c>
      <c r="GL31" s="31">
        <v>1844.5743895020423</v>
      </c>
      <c r="GM31" s="31">
        <f t="shared" si="28"/>
        <v>31500</v>
      </c>
      <c r="GN31" s="31">
        <f t="shared" si="29"/>
        <v>12000</v>
      </c>
      <c r="GO31" s="31">
        <f>IF(GN31/(INDEX('Standards for Conversions'!$H$34:$H$73,MATCH(GM$3,'Standards for Conversions'!$A$34:$A$73,0)))=0,"",GN31/(INDEX('Standards for Conversions'!$H$34:$H$73,MATCH(GM$3,'Standards for Conversions'!$A$34:$A$73,0))))</f>
        <v>1844.5743895020423</v>
      </c>
      <c r="GP31" s="7"/>
      <c r="GQ31" s="7"/>
      <c r="GR31" s="31" t="s">
        <v>128</v>
      </c>
      <c r="GS31" s="7"/>
      <c r="GT31" s="7"/>
      <c r="GU31" s="31" t="s">
        <v>128</v>
      </c>
      <c r="GV31" s="9"/>
      <c r="GW31" s="9"/>
      <c r="GX31" s="31" t="s">
        <v>128</v>
      </c>
      <c r="GY31" s="7">
        <v>28800</v>
      </c>
      <c r="GZ31" s="7">
        <v>11000</v>
      </c>
      <c r="HA31" s="31">
        <v>1665.2407683004544</v>
      </c>
      <c r="HB31" s="31">
        <f t="shared" si="30"/>
        <v>28800</v>
      </c>
      <c r="HC31" s="31">
        <f t="shared" si="31"/>
        <v>11000</v>
      </c>
      <c r="HD31" s="31">
        <f>IF(HC31/(INDEX('Standards for Conversions'!$H$34:$H$73,MATCH(HB$3,'Standards for Conversions'!$A$34:$A$73,0)))=0,"",HC31/(INDEX('Standards for Conversions'!$H$34:$H$73,MATCH(HB$3,'Standards for Conversions'!$A$34:$A$73,0))))</f>
        <v>1665.2407683004544</v>
      </c>
      <c r="HE31" s="112" t="s">
        <v>97</v>
      </c>
      <c r="HF31" s="31"/>
      <c r="HG31" s="31"/>
      <c r="HH31" s="31" t="str">
        <f>IF(HG31/(INDEX('Standards for Conversions'!$H$47:$H$73,MATCH(HF$3,'Standards for Conversions'!$A$47:$A$73,0)))=0,"",HG31/(INDEX('Standards for Conversions'!$H$47:$H$73,MATCH(HF$3,'Standards for Conversions'!$A$47:$A$73,0))))</f>
        <v/>
      </c>
      <c r="HI31" s="31"/>
      <c r="HJ31" s="31"/>
      <c r="HK31" s="31" t="str">
        <f>IF(HJ31/(INDEX('Standards for Conversions'!$H$47:$H$73,MATCH(HI$3,'Standards for Conversions'!$A$47:$A$73,0)))=0,"",HJ31/(INDEX('Standards for Conversions'!$H$47:$H$73,MATCH(HI$3,'Standards for Conversions'!$A$47:$A$73,0))))</f>
        <v/>
      </c>
      <c r="HL31" s="31"/>
      <c r="HM31" s="31"/>
      <c r="HN31" s="31" t="str">
        <f>IF(HM31/(INDEX('Standards for Conversions'!$H$47:$H$73,MATCH(HL$3,'Standards for Conversions'!$A$47:$A$73,0)))=0,"",HM31/(INDEX('Standards for Conversions'!$H$47:$H$73,MATCH(HL$3,'Standards for Conversions'!$A$47:$A$73,0))))</f>
        <v/>
      </c>
      <c r="HO31" s="31">
        <v>31500</v>
      </c>
      <c r="HP31" s="31">
        <v>13000</v>
      </c>
      <c r="HQ31" s="31">
        <f>IF(HP31/(INDEX('Standards for Conversions'!$H$47:$H$73,MATCH(HO$3,'Standards for Conversions'!$A$47:$A$73,0)))=0,"",HP31/(INDEX('Standards for Conversions'!$H$47:$H$73,MATCH(HO$3,'Standards for Conversions'!$A$47:$A$73,0))))</f>
        <v>1888.1903587671275</v>
      </c>
      <c r="HR31" s="31">
        <f t="shared" si="75"/>
        <v>31500</v>
      </c>
      <c r="HS31" s="31">
        <f t="shared" si="75"/>
        <v>13000</v>
      </c>
      <c r="HT31" s="31">
        <f>IF(HS31/(INDEX('Standards for Conversions'!$H$47:$H$73,MATCH(HR$3,'Standards for Conversions'!$A$47:$A$73,0)))=0,"",HS31/(INDEX('Standards for Conversions'!$H$47:$H$73,MATCH(HR$3,'Standards for Conversions'!$A$47:$A$73,0))))</f>
        <v>1888.1903587671275</v>
      </c>
      <c r="HU31" s="31">
        <v>180</v>
      </c>
      <c r="HV31" s="31">
        <v>550</v>
      </c>
      <c r="HW31" s="31">
        <f>IF(HV31/(INDEX('Standards for Conversions'!$H$47:$H$73,MATCH(HU$3,'Standards for Conversions'!$A$47:$A$73,0)))=0,"",HV31/(INDEX('Standards for Conversions'!$H$47:$H$73,MATCH(HU$3,'Standards for Conversions'!$A$47:$A$73,0))))</f>
        <v>79.535625506937805</v>
      </c>
      <c r="HX31" s="31"/>
      <c r="HY31" s="31"/>
      <c r="HZ31" s="31" t="str">
        <f>IF(HY31/(INDEX('Standards for Conversions'!$H$47:$H$73,MATCH(HX$3,'Standards for Conversions'!$A$47:$A$73,0)))=0,"",HY31/(INDEX('Standards for Conversions'!$H$47:$H$73,MATCH(HX$3,'Standards for Conversions'!$A$47:$A$73,0))))</f>
        <v/>
      </c>
      <c r="IA31" s="31"/>
      <c r="IB31" s="31"/>
      <c r="IC31" s="31" t="str">
        <f>IF(IB31/(INDEX('Standards for Conversions'!$H$47:$H$73,MATCH(IA$3,'Standards for Conversions'!$A$47:$A$73,0)))=0,"",IB31/(INDEX('Standards for Conversions'!$H$47:$H$73,MATCH(IA$3,'Standards for Conversions'!$A$47:$A$73,0))))</f>
        <v/>
      </c>
      <c r="ID31" s="31">
        <v>41895</v>
      </c>
      <c r="IE31" s="31">
        <v>30368</v>
      </c>
      <c r="IF31" s="31">
        <f>IF(IE31/(INDEX('Standards for Conversions'!$H$47:$H$73,MATCH(ID$3,'Standards for Conversions'!$A$47:$A$73,0)))=0,"",IE31/(INDEX('Standards for Conversions'!$H$47:$H$73,MATCH(ID$3,'Standards for Conversions'!$A$47:$A$73,0))))</f>
        <v>4391.523409808522</v>
      </c>
      <c r="IG31" s="31">
        <f t="shared" si="76"/>
        <v>42075</v>
      </c>
      <c r="IH31" s="31">
        <f t="shared" si="76"/>
        <v>30918</v>
      </c>
      <c r="II31" s="31">
        <f>IF(IH31/(INDEX('Standards for Conversions'!$H$47:$H$73,MATCH(IG$3,'Standards for Conversions'!$A$47:$A$73,0)))=0,"",IH31/(INDEX('Standards for Conversions'!$H$47:$H$73,MATCH(IG$3,'Standards for Conversions'!$A$47:$A$73,0))))</f>
        <v>4471.0590353154594</v>
      </c>
      <c r="IJ31" s="31"/>
      <c r="IK31" s="31"/>
      <c r="IL31" s="31" t="str">
        <f>IF(IK31/(INDEX('Standards for Conversions'!$H$47:$H$73,MATCH(IJ$3,'Standards for Conversions'!$A$47:$A$73,0)))=0,"",IK31/(INDEX('Standards for Conversions'!$H$47:$H$73,MATCH(IJ$3,'Standards for Conversions'!$A$47:$A$73,0))))</f>
        <v/>
      </c>
      <c r="IM31" s="31"/>
      <c r="IN31" s="31"/>
      <c r="IO31" s="31" t="str">
        <f>IF(IN31/(INDEX('Standards for Conversions'!$H$47:$H$73,MATCH(IM$3,'Standards for Conversions'!$A$47:$A$73,0)))=0,"",IN31/(INDEX('Standards for Conversions'!$H$47:$H$73,MATCH(IM$3,'Standards for Conversions'!$A$47:$A$73,0))))</f>
        <v/>
      </c>
      <c r="IP31" s="31"/>
      <c r="IQ31" s="31"/>
      <c r="IR31" s="31" t="str">
        <f>IF(IQ31/(INDEX('Standards for Conversions'!$H$47:$H$73,MATCH(IP$3,'Standards for Conversions'!$A$47:$A$73,0)))=0,"",IQ31/(INDEX('Standards for Conversions'!$H$47:$H$73,MATCH(IP$3,'Standards for Conversions'!$A$47:$A$73,0))))</f>
        <v/>
      </c>
      <c r="IS31" s="31">
        <v>30150</v>
      </c>
      <c r="IT31" s="31">
        <v>39200</v>
      </c>
      <c r="IU31" s="31">
        <f>IF(IT31/(INDEX('Standards for Conversions'!$H$47:$H$73,MATCH(IS$3,'Standards for Conversions'!$A$47:$A$73,0)))=0,"",IT31/(INDEX('Standards for Conversions'!$H$47:$H$73,MATCH(IS$3,'Standards for Conversions'!$A$47:$A$73,0))))</f>
        <v>6340.9997103212527</v>
      </c>
      <c r="IV31" s="31">
        <f t="shared" si="77"/>
        <v>30150</v>
      </c>
      <c r="IW31" s="31">
        <f t="shared" si="77"/>
        <v>39200</v>
      </c>
      <c r="IX31" s="31">
        <f>IF(IW31/(INDEX('Standards for Conversions'!$H$47:$H$73,MATCH(IV$3,'Standards for Conversions'!$A$47:$A$73,0)))=0,"",IW31/(INDEX('Standards for Conversions'!$H$47:$H$73,MATCH(IV$3,'Standards for Conversions'!$A$47:$A$73,0))))</f>
        <v>6340.9997103212527</v>
      </c>
      <c r="IY31" s="31"/>
      <c r="IZ31" s="31"/>
      <c r="JA31" s="31" t="str">
        <f>IF(IZ31/(INDEX('Standards for Conversions'!$H$47:$H$73,MATCH(IY$3,'Standards for Conversions'!$A$47:$A$73,0)))=0,"",IZ31/(INDEX('Standards for Conversions'!$H$47:$H$73,MATCH(IY$3,'Standards for Conversions'!$A$47:$A$73,0))))</f>
        <v/>
      </c>
      <c r="JB31" s="31"/>
      <c r="JC31" s="31"/>
      <c r="JD31" s="31" t="str">
        <f>IF(JC31/(INDEX('Standards for Conversions'!$H$47:$H$73,MATCH(JB$3,'Standards for Conversions'!$A$47:$A$73,0)))=0,"",JC31/(INDEX('Standards for Conversions'!$H$47:$H$73,MATCH(JB$3,'Standards for Conversions'!$A$47:$A$73,0))))</f>
        <v/>
      </c>
      <c r="JE31" s="31"/>
      <c r="JF31" s="31"/>
      <c r="JG31" s="31" t="str">
        <f>IF(JF31/(INDEX('Standards for Conversions'!$H$47:$H$73,MATCH(JE$3,'Standards for Conversions'!$A$47:$A$73,0)))=0,"",JF31/(INDEX('Standards for Conversions'!$H$47:$H$73,MATCH(JE$3,'Standards for Conversions'!$A$47:$A$73,0))))</f>
        <v/>
      </c>
      <c r="JH31" s="31">
        <v>27000</v>
      </c>
      <c r="JI31" s="31">
        <v>32000</v>
      </c>
      <c r="JJ31" s="31">
        <f>IF(JI31/(INDEX('Standards for Conversions'!$H$47:$H$73,MATCH(JH$3,'Standards for Conversions'!$A$47:$A$73,0)))=0,"",JI31/(INDEX('Standards for Conversions'!$H$47:$H$73,MATCH(JH$3,'Standards for Conversions'!$A$47:$A$73,0))))</f>
        <v>4884.9885576895222</v>
      </c>
      <c r="JK31" s="31">
        <f t="shared" si="78"/>
        <v>27000</v>
      </c>
      <c r="JL31" s="31">
        <f t="shared" si="78"/>
        <v>32000</v>
      </c>
      <c r="JM31" s="31">
        <f>IF(JL31/(INDEX('Standards for Conversions'!$H$47:$H$73,MATCH(JK$3,'Standards for Conversions'!$A$47:$A$73,0)))=0,"",JL31/(INDEX('Standards for Conversions'!$H$47:$H$73,MATCH(JK$3,'Standards for Conversions'!$A$47:$A$73,0))))</f>
        <v>4884.9885576895222</v>
      </c>
      <c r="JN31" s="31"/>
      <c r="JO31" s="31"/>
      <c r="JP31" s="31" t="str">
        <f>IF(JO31/(INDEX('Standards for Conversions'!$H$47:$H$73,MATCH(JN$3,'Standards for Conversions'!$A$47:$A$73,0)))=0,"",JO31/(INDEX('Standards for Conversions'!$H$47:$H$73,MATCH(JN$3,'Standards for Conversions'!$A$47:$A$73,0))))</f>
        <v/>
      </c>
      <c r="JQ31" s="31"/>
      <c r="JR31" s="31"/>
      <c r="JS31" s="31" t="str">
        <f>IF(JR31/(INDEX('Standards for Conversions'!$H$47:$H$73,MATCH(JQ$3,'Standards for Conversions'!$A$47:$A$73,0)))=0,"",JR31/(INDEX('Standards for Conversions'!$H$47:$H$73,MATCH(JQ$3,'Standards for Conversions'!$A$47:$A$73,0))))</f>
        <v/>
      </c>
      <c r="JT31" s="31"/>
      <c r="JU31" s="31"/>
      <c r="JV31" s="31" t="str">
        <f>IF(JU31/(INDEX('Standards for Conversions'!$H$47:$H$73,MATCH(JT$3,'Standards for Conversions'!$A$47:$A$73,0)))=0,"",JU31/(INDEX('Standards for Conversions'!$H$47:$H$73,MATCH(JT$3,'Standards for Conversions'!$A$47:$A$73,0))))</f>
        <v/>
      </c>
      <c r="JW31" s="31">
        <v>32400</v>
      </c>
      <c r="JX31" s="31">
        <v>45000</v>
      </c>
      <c r="JY31" s="31">
        <f>IF(JX31/(INDEX('Standards for Conversions'!$H$47:$H$73,MATCH(JW$3,'Standards for Conversions'!$A$47:$A$73,0)))=0,"",JX31/(INDEX('Standards for Conversions'!$H$47:$H$73,MATCH(JW$3,'Standards for Conversions'!$A$47:$A$73,0))))</f>
        <v>6059.6555357608404</v>
      </c>
      <c r="JZ31" s="31">
        <f t="shared" si="79"/>
        <v>32400</v>
      </c>
      <c r="KA31" s="31">
        <f t="shared" si="79"/>
        <v>45000</v>
      </c>
      <c r="KB31" s="31">
        <f>IF(KA31/(INDEX('Standards for Conversions'!$H$47:$H$73,MATCH(JZ$3,'Standards for Conversions'!$A$47:$A$73,0)))=0,"",KA31/(INDEX('Standards for Conversions'!$H$47:$H$73,MATCH(JZ$3,'Standards for Conversions'!$A$47:$A$73,0))))</f>
        <v>6059.6555357608404</v>
      </c>
      <c r="KC31" s="31"/>
      <c r="KD31" s="31"/>
      <c r="KE31" s="31" t="str">
        <f>IF(KD31/(INDEX('Standards for Conversions'!$H$47:$H$73,MATCH(KC$3,'Standards for Conversions'!$A$47:$A$73,0)))=0,"",KD31/(INDEX('Standards for Conversions'!$H$47:$H$73,MATCH(KC$3,'Standards for Conversions'!$A$47:$A$73,0))))</f>
        <v/>
      </c>
      <c r="KF31" s="31"/>
      <c r="KG31" s="31"/>
      <c r="KH31" s="31" t="str">
        <f>IF(KG31/(INDEX('Standards for Conversions'!$H$47:$H$73,MATCH(KF$3,'Standards for Conversions'!$A$47:$A$73,0)))=0,"",KG31/(INDEX('Standards for Conversions'!$H$47:$H$73,MATCH(KF$3,'Standards for Conversions'!$A$47:$A$73,0))))</f>
        <v/>
      </c>
      <c r="KI31" s="31"/>
      <c r="KJ31" s="31"/>
      <c r="KK31" s="31" t="str">
        <f>IF(KJ31/(INDEX('Standards for Conversions'!$H$47:$H$73,MATCH(KI$3,'Standards for Conversions'!$A$47:$A$73,0)))=0,"",KJ31/(INDEX('Standards for Conversions'!$H$47:$H$73,MATCH(KI$3,'Standards for Conversions'!$A$47:$A$73,0))))</f>
        <v/>
      </c>
      <c r="KL31" s="31">
        <v>4500</v>
      </c>
      <c r="KM31" s="31">
        <v>27100</v>
      </c>
      <c r="KN31" s="31">
        <f>IF(KM31/(INDEX('Standards for Conversions'!$H$47:$H$73,MATCH(KL$3,'Standards for Conversions'!$A$47:$A$73,0)))=0,"",KM31/(INDEX('Standards for Conversions'!$H$47:$H$73,MATCH(KL$3,'Standards for Conversions'!$A$47:$A$73,0))))</f>
        <v>3295.8089583152278</v>
      </c>
      <c r="KO31" s="31">
        <f t="shared" si="80"/>
        <v>4500</v>
      </c>
      <c r="KP31" s="31">
        <f t="shared" si="80"/>
        <v>27100</v>
      </c>
      <c r="KQ31" s="31">
        <f>IF(KP31/(INDEX('Standards for Conversions'!$H$47:$H$73,MATCH(KO$3,'Standards for Conversions'!$A$47:$A$73,0)))=0,"",KP31/(INDEX('Standards for Conversions'!$H$47:$H$73,MATCH(KO$3,'Standards for Conversions'!$A$47:$A$73,0))))</f>
        <v>3295.8089583152278</v>
      </c>
      <c r="KR31" s="31"/>
      <c r="KS31" s="31"/>
      <c r="KT31" s="31" t="str">
        <f>IF(KS31/(INDEX('Standards for Conversions'!$H$47:$H$73,MATCH(KR$3,'Standards for Conversions'!$A$47:$A$73,0)))=0,"",KS31/(INDEX('Standards for Conversions'!$H$47:$H$73,MATCH(KR$3,'Standards for Conversions'!$A$47:$A$73,0))))</f>
        <v/>
      </c>
      <c r="KU31" s="31"/>
      <c r="KV31" s="31"/>
      <c r="KW31" s="31" t="str">
        <f>IF(KV31/(INDEX('Standards for Conversions'!$H$47:$H$73,MATCH(KU$3,'Standards for Conversions'!$A$47:$A$73,0)))=0,"",KV31/(INDEX('Standards for Conversions'!$H$47:$H$73,MATCH(KU$3,'Standards for Conversions'!$A$47:$A$73,0))))</f>
        <v/>
      </c>
      <c r="KX31" s="31"/>
      <c r="KY31" s="31"/>
      <c r="KZ31" s="31" t="str">
        <f>IF(KY31/(INDEX('Standards for Conversions'!$H$47:$H$73,MATCH(KX$3,'Standards for Conversions'!$A$47:$A$73,0)))=0,"",KY31/(INDEX('Standards for Conversions'!$H$47:$H$73,MATCH(KX$3,'Standards for Conversions'!$A$47:$A$73,0))))</f>
        <v/>
      </c>
      <c r="LA31" s="31"/>
      <c r="LB31" s="31"/>
      <c r="LC31" s="31" t="str">
        <f>IF(LB31/(INDEX('Standards for Conversions'!$H$47:$H$73,MATCH(LA$3,'Standards for Conversions'!$A$47:$A$73,0)))=0,"",LB31/(INDEX('Standards for Conversions'!$H$47:$H$73,MATCH(LA$3,'Standards for Conversions'!$A$47:$A$73,0))))</f>
        <v/>
      </c>
      <c r="LD31" s="31"/>
      <c r="LE31" s="31"/>
      <c r="LF31" s="31" t="str">
        <f>IF(LE31/(INDEX('Standards for Conversions'!$H$47:$H$73,MATCH(LD$3,'Standards for Conversions'!$A$47:$A$73,0)))=0,"",LE31/(INDEX('Standards for Conversions'!$H$47:$H$73,MATCH(LD$3,'Standards for Conversions'!$A$47:$A$73,0))))</f>
        <v/>
      </c>
      <c r="LG31" s="31"/>
      <c r="LH31" s="31"/>
      <c r="LI31" s="31" t="str">
        <f>IF(LH31/(INDEX('Standards for Conversions'!$H$47:$H$73,MATCH(LG$3,'Standards for Conversions'!$A$47:$A$73,0)))=0,"",LH31/(INDEX('Standards for Conversions'!$H$47:$H$73,MATCH(LG$3,'Standards for Conversions'!$A$47:$A$73,0))))</f>
        <v/>
      </c>
      <c r="LJ31" s="31"/>
      <c r="LK31" s="31"/>
      <c r="LL31" s="31" t="str">
        <f>IF(LK31/(INDEX('Standards for Conversions'!$H$47:$H$73,MATCH(LJ$3,'Standards for Conversions'!$A$47:$A$73,0)))=0,"",LK31/(INDEX('Standards for Conversions'!$H$47:$H$73,MATCH(LJ$3,'Standards for Conversions'!$A$47:$A$73,0))))</f>
        <v/>
      </c>
      <c r="LM31" s="31"/>
      <c r="LN31" s="31"/>
      <c r="LO31" s="31" t="str">
        <f>IF(LN31/(INDEX('Standards for Conversions'!$H$47:$H$73,MATCH(LM$3,'Standards for Conversions'!$A$47:$A$73,0)))=0,"",LN31/(INDEX('Standards for Conversions'!$H$47:$H$73,MATCH(LM$3,'Standards for Conversions'!$A$47:$A$73,0))))</f>
        <v/>
      </c>
      <c r="LP31" s="31"/>
      <c r="LQ31" s="31"/>
      <c r="LR31" s="31" t="str">
        <f>IF(LQ31/(INDEX('Standards for Conversions'!$H$47:$H$73,MATCH(LP$3,'Standards for Conversions'!$A$47:$A$73,0)))=0,"",LQ31/(INDEX('Standards for Conversions'!$H$47:$H$73,MATCH(LP$3,'Standards for Conversions'!$A$47:$A$73,0))))</f>
        <v/>
      </c>
      <c r="LS31" s="31"/>
      <c r="LT31" s="31"/>
      <c r="LU31" s="31" t="str">
        <f>IF(LT31/(INDEX('Standards for Conversions'!$H$47:$H$73,MATCH(LS$3,'Standards for Conversions'!$A$47:$A$73,0)))=0,"",LT31/(INDEX('Standards for Conversions'!$H$47:$H$73,MATCH(LS$3,'Standards for Conversions'!$A$47:$A$73,0))))</f>
        <v/>
      </c>
      <c r="LV31" s="31"/>
      <c r="LW31" s="31"/>
      <c r="LX31" s="31" t="str">
        <f>IF(LW31/(INDEX('Standards for Conversions'!$H$47:$H$73,MATCH(LV$3,'Standards for Conversions'!$A$47:$A$73,0)))=0,"",LW31/(INDEX('Standards for Conversions'!$H$47:$H$73,MATCH(LV$3,'Standards for Conversions'!$A$47:$A$73,0))))</f>
        <v/>
      </c>
      <c r="LY31" s="31"/>
      <c r="LZ31" s="31"/>
      <c r="MA31" s="31"/>
      <c r="MB31" s="31"/>
      <c r="MC31" s="31"/>
      <c r="MD31" s="31"/>
      <c r="ME31" s="31"/>
      <c r="MF31" s="31"/>
      <c r="MG31" s="31"/>
      <c r="MH31" s="31"/>
      <c r="MI31" s="31"/>
      <c r="MJ31" s="31"/>
      <c r="MK31" s="31"/>
      <c r="ML31" s="31"/>
      <c r="MM31" s="31"/>
      <c r="MN31" s="31"/>
    </row>
    <row r="32" spans="1:352" s="33" customFormat="1" ht="14.4" customHeight="1" x14ac:dyDescent="0.3">
      <c r="A32" s="102" t="s">
        <v>159</v>
      </c>
      <c r="B32" s="10" t="s">
        <v>42</v>
      </c>
      <c r="C32" s="9"/>
      <c r="D32" s="9"/>
      <c r="E32" s="31" t="s">
        <v>128</v>
      </c>
      <c r="F32" s="9"/>
      <c r="G32" s="9"/>
      <c r="H32" s="31" t="s">
        <v>128</v>
      </c>
      <c r="I32" s="9"/>
      <c r="J32" s="9"/>
      <c r="K32" s="31" t="s">
        <v>128</v>
      </c>
      <c r="L32" s="9">
        <v>7000</v>
      </c>
      <c r="M32" s="9">
        <v>55000</v>
      </c>
      <c r="N32" s="31">
        <v>10864.822635135133</v>
      </c>
      <c r="O32" s="31">
        <f t="shared" si="4"/>
        <v>7000</v>
      </c>
      <c r="P32" s="31">
        <f t="shared" si="5"/>
        <v>55000</v>
      </c>
      <c r="Q32" s="31">
        <f>IF(P32/(INDEX('Standards for Conversions'!$H$34:$H$73,MATCH(O$3,'Standards for Conversions'!$A$34:$A$73,0)))=0,"",P32/(INDEX('Standards for Conversions'!$H$34:$H$73,MATCH(O$3,'Standards for Conversions'!$A$34:$A$73,0))))</f>
        <v>10864.822635135133</v>
      </c>
      <c r="R32" s="9"/>
      <c r="S32" s="9"/>
      <c r="T32" s="31" t="s">
        <v>128</v>
      </c>
      <c r="U32" s="9"/>
      <c r="V32" s="9"/>
      <c r="W32" s="31" t="s">
        <v>128</v>
      </c>
      <c r="X32" s="9"/>
      <c r="Y32" s="9"/>
      <c r="Z32" s="31" t="s">
        <v>128</v>
      </c>
      <c r="AA32" s="9">
        <v>7000</v>
      </c>
      <c r="AB32" s="9">
        <v>55000</v>
      </c>
      <c r="AC32" s="31">
        <v>10596.98670736653</v>
      </c>
      <c r="AD32" s="31">
        <f t="shared" si="6"/>
        <v>7000</v>
      </c>
      <c r="AE32" s="31">
        <f t="shared" si="7"/>
        <v>55000</v>
      </c>
      <c r="AF32" s="31">
        <f>IF(AE32/(INDEX('Standards for Conversions'!$H$34:$H$73,MATCH(AD$3,'Standards for Conversions'!$A$34:$A$73,0)))=0,"",AE32/(INDEX('Standards for Conversions'!$H$34:$H$73,MATCH(AD$3,'Standards for Conversions'!$A$34:$A$73,0))))</f>
        <v>10596.98670736653</v>
      </c>
      <c r="AG32" s="9"/>
      <c r="AH32" s="9"/>
      <c r="AI32" s="31" t="s">
        <v>128</v>
      </c>
      <c r="AJ32" s="9"/>
      <c r="AK32" s="9"/>
      <c r="AL32" s="31" t="s">
        <v>128</v>
      </c>
      <c r="AM32" s="9"/>
      <c r="AN32" s="9"/>
      <c r="AO32" s="31" t="s">
        <v>128</v>
      </c>
      <c r="AP32" s="9">
        <v>5000</v>
      </c>
      <c r="AQ32" s="9">
        <v>42000</v>
      </c>
      <c r="AR32" s="31">
        <v>7505.3343616928814</v>
      </c>
      <c r="AS32" s="31">
        <f t="shared" si="8"/>
        <v>5000</v>
      </c>
      <c r="AT32" s="31">
        <f t="shared" si="9"/>
        <v>42000</v>
      </c>
      <c r="AU32" s="31">
        <f>IF(AT32/(INDEX('Standards for Conversions'!$H$34:$H$73,MATCH(AS$3,'Standards for Conversions'!$A$34:$A$73,0)))=0,"",AT32/(INDEX('Standards for Conversions'!$H$34:$H$73,MATCH(AS$3,'Standards for Conversions'!$A$34:$A$73,0))))</f>
        <v>7505.3343616928814</v>
      </c>
      <c r="AV32" s="9"/>
      <c r="AW32" s="9"/>
      <c r="AX32" s="31" t="s">
        <v>128</v>
      </c>
      <c r="AY32" s="9"/>
      <c r="AZ32" s="9"/>
      <c r="BA32" s="31" t="s">
        <v>128</v>
      </c>
      <c r="BB32" s="9"/>
      <c r="BC32" s="9"/>
      <c r="BD32" s="31" t="s">
        <v>128</v>
      </c>
      <c r="BE32" s="9">
        <v>5000</v>
      </c>
      <c r="BF32" s="9">
        <v>60000</v>
      </c>
      <c r="BG32" s="31">
        <v>11141.127683149387</v>
      </c>
      <c r="BH32" s="31">
        <f t="shared" si="10"/>
        <v>5000</v>
      </c>
      <c r="BI32" s="31">
        <f t="shared" si="11"/>
        <v>60000</v>
      </c>
      <c r="BJ32" s="31">
        <f>IF(BI32/(INDEX('Standards for Conversions'!$H$34:$H$73,MATCH(BH$3,'Standards for Conversions'!$A$34:$A$73,0)))=0,"",BI32/(INDEX('Standards for Conversions'!$H$34:$H$73,MATCH(BH$3,'Standards for Conversions'!$A$34:$A$73,0))))</f>
        <v>11141.127683149387</v>
      </c>
      <c r="BK32" s="9"/>
      <c r="BL32" s="9"/>
      <c r="BM32" s="31" t="s">
        <v>128</v>
      </c>
      <c r="BN32" s="9"/>
      <c r="BO32" s="9"/>
      <c r="BP32" s="31" t="s">
        <v>128</v>
      </c>
      <c r="BQ32" s="9"/>
      <c r="BR32" s="9"/>
      <c r="BS32" s="31" t="s">
        <v>128</v>
      </c>
      <c r="BT32" s="9">
        <v>4600</v>
      </c>
      <c r="BU32" s="9">
        <v>32000</v>
      </c>
      <c r="BV32" s="31">
        <v>5698.0241012716888</v>
      </c>
      <c r="BW32" s="31">
        <f t="shared" si="12"/>
        <v>4600</v>
      </c>
      <c r="BX32" s="31">
        <f t="shared" si="13"/>
        <v>32000</v>
      </c>
      <c r="BY32" s="31">
        <f>IF(BX32/(INDEX('Standards for Conversions'!$H$34:$H$73,MATCH(BW$3,'Standards for Conversions'!$A$34:$A$73,0)))=0,"",BX32/(INDEX('Standards for Conversions'!$H$34:$H$73,MATCH(BW$3,'Standards for Conversions'!$A$34:$A$73,0))))</f>
        <v>5698.0241012716888</v>
      </c>
      <c r="BZ32" s="9"/>
      <c r="CA32" s="9"/>
      <c r="CB32" s="31" t="s">
        <v>128</v>
      </c>
      <c r="CC32" s="9"/>
      <c r="CD32" s="9"/>
      <c r="CE32" s="31" t="s">
        <v>128</v>
      </c>
      <c r="CF32" s="9"/>
      <c r="CG32" s="9"/>
      <c r="CH32" s="31" t="s">
        <v>128</v>
      </c>
      <c r="CI32" s="9">
        <v>4500</v>
      </c>
      <c r="CJ32" s="9">
        <v>50000</v>
      </c>
      <c r="CK32" s="31">
        <v>8680.848251788766</v>
      </c>
      <c r="CL32" s="31">
        <f t="shared" si="14"/>
        <v>4500</v>
      </c>
      <c r="CM32" s="31">
        <f t="shared" si="15"/>
        <v>50000</v>
      </c>
      <c r="CN32" s="31">
        <f>IF(CM32/(INDEX('Standards for Conversions'!$H$34:$H$73,MATCH(CL$3,'Standards for Conversions'!$A$34:$A$73,0)))=0,"",CM32/(INDEX('Standards for Conversions'!$H$34:$H$73,MATCH(CL$3,'Standards for Conversions'!$A$34:$A$73,0))))</f>
        <v>8680.848251788766</v>
      </c>
      <c r="CO32" s="9"/>
      <c r="CP32" s="9"/>
      <c r="CQ32" s="31" t="s">
        <v>128</v>
      </c>
      <c r="CR32" s="9"/>
      <c r="CS32" s="9"/>
      <c r="CT32" s="31" t="s">
        <v>128</v>
      </c>
      <c r="CU32" s="9"/>
      <c r="CV32" s="9"/>
      <c r="CW32" s="31" t="s">
        <v>128</v>
      </c>
      <c r="CX32" s="9">
        <v>5300</v>
      </c>
      <c r="CY32" s="9">
        <v>70000</v>
      </c>
      <c r="CZ32" s="31">
        <v>12390.322919382405</v>
      </c>
      <c r="DA32" s="31">
        <f t="shared" si="16"/>
        <v>5300</v>
      </c>
      <c r="DB32" s="31">
        <f t="shared" si="17"/>
        <v>70000</v>
      </c>
      <c r="DC32" s="31">
        <f>IF(DB32/(INDEX('Standards for Conversions'!$H$34:$H$73,MATCH(DA$3,'Standards for Conversions'!$A$34:$A$73,0)))=0,"",DB32/(INDEX('Standards for Conversions'!$H$34:$H$73,MATCH(DA$3,'Standards for Conversions'!$A$34:$A$73,0))))</f>
        <v>12390.322919382405</v>
      </c>
      <c r="DD32" s="9"/>
      <c r="DE32" s="9"/>
      <c r="DF32" s="31" t="s">
        <v>128</v>
      </c>
      <c r="DG32" s="9"/>
      <c r="DH32" s="9"/>
      <c r="DI32" s="31" t="s">
        <v>128</v>
      </c>
      <c r="DJ32" s="9"/>
      <c r="DK32" s="9"/>
      <c r="DL32" s="31" t="s">
        <v>128</v>
      </c>
      <c r="DM32" s="9">
        <v>6000</v>
      </c>
      <c r="DN32" s="9">
        <v>75000</v>
      </c>
      <c r="DO32" s="31">
        <v>13132.429580907274</v>
      </c>
      <c r="DP32" s="31">
        <f t="shared" si="18"/>
        <v>6000</v>
      </c>
      <c r="DQ32" s="31">
        <f t="shared" si="19"/>
        <v>75000</v>
      </c>
      <c r="DR32" s="31">
        <f>IF(DQ32/(INDEX('Standards for Conversions'!$H$34:$H$73,MATCH(DP$3,'Standards for Conversions'!$A$34:$A$73,0)))=0,"",DQ32/(INDEX('Standards for Conversions'!$H$34:$H$73,MATCH(DP$3,'Standards for Conversions'!$A$34:$A$73,0))))</f>
        <v>13132.429580907274</v>
      </c>
      <c r="DS32" s="9"/>
      <c r="DT32" s="9"/>
      <c r="DU32" s="31" t="s">
        <v>128</v>
      </c>
      <c r="DV32" s="9"/>
      <c r="DW32" s="9"/>
      <c r="DX32" s="31" t="s">
        <v>128</v>
      </c>
      <c r="DY32" s="9"/>
      <c r="DZ32" s="9"/>
      <c r="EA32" s="31" t="s">
        <v>128</v>
      </c>
      <c r="EB32" s="7">
        <v>6268</v>
      </c>
      <c r="EC32" s="7">
        <v>34630</v>
      </c>
      <c r="ED32" s="31">
        <v>6056.3483443049154</v>
      </c>
      <c r="EE32" s="31">
        <f t="shared" si="20"/>
        <v>6268</v>
      </c>
      <c r="EF32" s="31">
        <f t="shared" si="21"/>
        <v>34630</v>
      </c>
      <c r="EG32" s="31">
        <f>IF(EF32/(INDEX('Standards for Conversions'!$H$34:$H$73,MATCH(EE$3,'Standards for Conversions'!$A$34:$A$73,0)))=0,"",EF32/(INDEX('Standards for Conversions'!$H$34:$H$73,MATCH(EE$3,'Standards for Conversions'!$A$34:$A$73,0))))</f>
        <v>6056.3483443049154</v>
      </c>
      <c r="EH32" s="7"/>
      <c r="EI32" s="7"/>
      <c r="EJ32" s="31" t="s">
        <v>128</v>
      </c>
      <c r="EK32" s="7"/>
      <c r="EL32" s="7"/>
      <c r="EM32" s="31" t="s">
        <v>128</v>
      </c>
      <c r="EN32" s="9"/>
      <c r="EO32" s="9"/>
      <c r="EP32" s="31" t="s">
        <v>128</v>
      </c>
      <c r="EQ32" s="7">
        <v>4037</v>
      </c>
      <c r="ER32" s="7">
        <v>20625</v>
      </c>
      <c r="ES32" s="31">
        <v>3532.8141124695831</v>
      </c>
      <c r="ET32" s="31">
        <f t="shared" si="22"/>
        <v>4037</v>
      </c>
      <c r="EU32" s="31">
        <f t="shared" si="23"/>
        <v>20625</v>
      </c>
      <c r="EV32" s="31">
        <f>IF(EU32/(INDEX('Standards for Conversions'!$H$34:$H$73,MATCH(ET$3,'Standards for Conversions'!$A$34:$A$73,0)))=0,"",EU32/(INDEX('Standards for Conversions'!$H$34:$H$73,MATCH(ET$3,'Standards for Conversions'!$A$34:$A$73,0))))</f>
        <v>3532.8141124695831</v>
      </c>
      <c r="EW32" s="7"/>
      <c r="EX32" s="7"/>
      <c r="EY32" s="31"/>
      <c r="EZ32" s="7"/>
      <c r="FA32" s="7"/>
      <c r="FB32" s="31"/>
      <c r="FC32" s="9"/>
      <c r="FD32" s="9"/>
      <c r="FE32" s="31"/>
      <c r="FF32" s="7"/>
      <c r="FG32" s="7"/>
      <c r="FH32" s="31"/>
      <c r="FI32" s="31">
        <f t="shared" si="24"/>
        <v>0</v>
      </c>
      <c r="FJ32" s="31">
        <f t="shared" si="25"/>
        <v>0</v>
      </c>
      <c r="FK32" s="31" t="str">
        <f>IF(FJ32/(INDEX('Standards for Conversions'!$H$34:$H$73,MATCH(FI$3,'Standards for Conversions'!$A$34:$A$73,0)))=0,"",FJ32/(INDEX('Standards for Conversions'!$H$34:$H$73,MATCH(FI$3,'Standards for Conversions'!$A$34:$A$73,0))))</f>
        <v/>
      </c>
      <c r="FL32" s="7"/>
      <c r="FM32" s="7"/>
      <c r="FN32" s="31"/>
      <c r="FO32" s="7"/>
      <c r="FP32" s="7"/>
      <c r="FQ32" s="31"/>
      <c r="FR32" s="9"/>
      <c r="FS32" s="9"/>
      <c r="FT32" s="31"/>
      <c r="FU32" s="7"/>
      <c r="FV32" s="7"/>
      <c r="FW32" s="31"/>
      <c r="FX32" s="31">
        <f t="shared" si="26"/>
        <v>0</v>
      </c>
      <c r="FY32" s="31">
        <f t="shared" si="27"/>
        <v>0</v>
      </c>
      <c r="FZ32" s="31" t="str">
        <f>IF(FY32/(INDEX('Standards for Conversions'!$H$34:$H$73,MATCH(FX$3,'Standards for Conversions'!$A$34:$A$73,0)))=0,"",FY32/(INDEX('Standards for Conversions'!$H$34:$H$73,MATCH(FX$3,'Standards for Conversions'!$A$34:$A$73,0))))</f>
        <v/>
      </c>
      <c r="GA32" s="7"/>
      <c r="GB32" s="7"/>
      <c r="GC32" s="31"/>
      <c r="GD32" s="7"/>
      <c r="GE32" s="7"/>
      <c r="GF32" s="31"/>
      <c r="GG32" s="9"/>
      <c r="GH32" s="9"/>
      <c r="GI32" s="31"/>
      <c r="GJ32" s="7"/>
      <c r="GK32" s="7"/>
      <c r="GL32" s="31"/>
      <c r="GM32" s="31">
        <f t="shared" si="28"/>
        <v>0</v>
      </c>
      <c r="GN32" s="31">
        <f t="shared" si="29"/>
        <v>0</v>
      </c>
      <c r="GO32" s="31" t="str">
        <f>IF(GN32/(INDEX('Standards for Conversions'!$H$34:$H$73,MATCH(GM$3,'Standards for Conversions'!$A$34:$A$73,0)))=0,"",GN32/(INDEX('Standards for Conversions'!$H$34:$H$73,MATCH(GM$3,'Standards for Conversions'!$A$34:$A$73,0))))</f>
        <v/>
      </c>
      <c r="GP32" s="7"/>
      <c r="GQ32" s="7"/>
      <c r="GR32" s="31"/>
      <c r="GS32" s="7"/>
      <c r="GT32" s="7"/>
      <c r="GU32" s="31"/>
      <c r="GV32" s="9"/>
      <c r="GW32" s="9"/>
      <c r="GX32" s="31"/>
      <c r="GY32" s="7"/>
      <c r="GZ32" s="7"/>
      <c r="HA32" s="31"/>
      <c r="HB32" s="31">
        <f t="shared" si="30"/>
        <v>0</v>
      </c>
      <c r="HC32" s="31">
        <f t="shared" si="31"/>
        <v>0</v>
      </c>
      <c r="HD32" s="31" t="str">
        <f>IF(HC32/(INDEX('Standards for Conversions'!$H$34:$H$73,MATCH(HB$3,'Standards for Conversions'!$A$34:$A$73,0)))=0,"",HC32/(INDEX('Standards for Conversions'!$H$34:$H$73,MATCH(HB$3,'Standards for Conversions'!$A$34:$A$73,0))))</f>
        <v/>
      </c>
      <c r="HE32" s="112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  <c r="IU32" s="31"/>
      <c r="IV32" s="31"/>
      <c r="IW32" s="31"/>
      <c r="IX32" s="31"/>
      <c r="IY32" s="31"/>
      <c r="IZ32" s="31"/>
      <c r="JA32" s="31"/>
      <c r="JB32" s="31"/>
      <c r="JC32" s="31"/>
      <c r="JD32" s="31"/>
      <c r="JE32" s="31"/>
      <c r="JF32" s="31"/>
      <c r="JG32" s="31"/>
      <c r="JH32" s="31"/>
      <c r="JI32" s="31"/>
      <c r="JJ32" s="31"/>
      <c r="JK32" s="31"/>
      <c r="JL32" s="31"/>
      <c r="JM32" s="31"/>
      <c r="JN32" s="31"/>
      <c r="JO32" s="31"/>
      <c r="JP32" s="31"/>
      <c r="JQ32" s="31"/>
      <c r="JR32" s="31"/>
      <c r="JS32" s="31"/>
      <c r="JT32" s="31"/>
      <c r="JU32" s="31"/>
      <c r="JV32" s="31"/>
      <c r="JW32" s="31"/>
      <c r="JX32" s="31"/>
      <c r="JY32" s="31"/>
      <c r="JZ32" s="31"/>
      <c r="KA32" s="31"/>
      <c r="KB32" s="31"/>
      <c r="KC32" s="31"/>
      <c r="KD32" s="31"/>
      <c r="KE32" s="31"/>
      <c r="KF32" s="31"/>
      <c r="KG32" s="31"/>
      <c r="KH32" s="31"/>
      <c r="KI32" s="31"/>
      <c r="KJ32" s="31"/>
      <c r="KK32" s="31"/>
      <c r="KL32" s="31"/>
      <c r="KM32" s="31"/>
      <c r="KN32" s="31"/>
      <c r="KO32" s="31"/>
      <c r="KP32" s="31"/>
      <c r="KQ32" s="31"/>
      <c r="KR32" s="31"/>
      <c r="KS32" s="31"/>
      <c r="KT32" s="31"/>
      <c r="KU32" s="31"/>
      <c r="KV32" s="31"/>
      <c r="KW32" s="31"/>
      <c r="KX32" s="31"/>
      <c r="KY32" s="31"/>
      <c r="KZ32" s="31"/>
      <c r="LA32" s="31"/>
      <c r="LB32" s="31"/>
      <c r="LC32" s="31"/>
      <c r="LD32" s="31"/>
      <c r="LE32" s="31"/>
      <c r="LF32" s="31"/>
      <c r="LG32" s="31"/>
      <c r="LH32" s="31"/>
      <c r="LI32" s="31"/>
      <c r="LJ32" s="31"/>
      <c r="LK32" s="31"/>
      <c r="LL32" s="31"/>
      <c r="LM32" s="31"/>
      <c r="LN32" s="31"/>
      <c r="LO32" s="31"/>
      <c r="LP32" s="31"/>
      <c r="LQ32" s="31"/>
      <c r="LR32" s="31"/>
      <c r="LS32" s="31"/>
      <c r="LT32" s="31"/>
      <c r="LU32" s="31"/>
      <c r="LV32" s="31"/>
      <c r="LW32" s="31"/>
      <c r="LX32" s="31"/>
      <c r="LY32" s="31"/>
      <c r="LZ32" s="31"/>
      <c r="MA32" s="31"/>
      <c r="MB32" s="31"/>
      <c r="MC32" s="31"/>
      <c r="MD32" s="31"/>
      <c r="ME32" s="31"/>
      <c r="MF32" s="31"/>
      <c r="MG32" s="31"/>
      <c r="MH32" s="31"/>
      <c r="MI32" s="31"/>
      <c r="MJ32" s="31"/>
      <c r="MK32" s="31"/>
      <c r="ML32" s="31"/>
      <c r="MM32" s="31"/>
      <c r="MN32" s="31"/>
    </row>
    <row r="33" spans="1:352" s="33" customFormat="1" ht="14.4" customHeight="1" x14ac:dyDescent="0.3">
      <c r="A33" s="102" t="s">
        <v>103</v>
      </c>
      <c r="B33" s="10" t="s">
        <v>374</v>
      </c>
      <c r="C33" s="9"/>
      <c r="D33" s="9"/>
      <c r="E33" s="31"/>
      <c r="F33" s="9"/>
      <c r="G33" s="9"/>
      <c r="H33" s="31"/>
      <c r="I33" s="9"/>
      <c r="J33" s="9"/>
      <c r="K33" s="31"/>
      <c r="L33" s="9"/>
      <c r="M33" s="9"/>
      <c r="N33" s="31"/>
      <c r="O33" s="31">
        <f t="shared" si="4"/>
        <v>0</v>
      </c>
      <c r="P33" s="31">
        <f t="shared" si="5"/>
        <v>0</v>
      </c>
      <c r="Q33" s="31" t="str">
        <f>IF(P33/(INDEX('Standards for Conversions'!$H$34:$H$73,MATCH(O$3,'Standards for Conversions'!$A$34:$A$73,0)))=0,"",P33/(INDEX('Standards for Conversions'!$H$34:$H$73,MATCH(O$3,'Standards for Conversions'!$A$34:$A$73,0))))</f>
        <v/>
      </c>
      <c r="R33" s="9"/>
      <c r="S33" s="9"/>
      <c r="T33" s="31"/>
      <c r="U33" s="9"/>
      <c r="V33" s="9"/>
      <c r="W33" s="31"/>
      <c r="X33" s="9"/>
      <c r="Y33" s="9"/>
      <c r="Z33" s="31"/>
      <c r="AA33" s="9">
        <v>15</v>
      </c>
      <c r="AB33" s="9">
        <v>400</v>
      </c>
      <c r="AC33" s="31">
        <v>77.068994235392935</v>
      </c>
      <c r="AD33" s="31">
        <f t="shared" si="6"/>
        <v>15</v>
      </c>
      <c r="AE33" s="31">
        <f t="shared" si="7"/>
        <v>400</v>
      </c>
      <c r="AF33" s="31">
        <f>IF(AE33/(INDEX('Standards for Conversions'!$H$34:$H$73,MATCH(AD$3,'Standards for Conversions'!$A$34:$A$73,0)))=0,"",AE33/(INDEX('Standards for Conversions'!$H$34:$H$73,MATCH(AD$3,'Standards for Conversions'!$A$34:$A$73,0))))</f>
        <v>77.068994235392935</v>
      </c>
      <c r="AG33" s="9"/>
      <c r="AH33" s="9"/>
      <c r="AI33" s="31" t="s">
        <v>128</v>
      </c>
      <c r="AJ33" s="9"/>
      <c r="AK33" s="9"/>
      <c r="AL33" s="31" t="s">
        <v>128</v>
      </c>
      <c r="AM33" s="9"/>
      <c r="AN33" s="9"/>
      <c r="AO33" s="31" t="s">
        <v>128</v>
      </c>
      <c r="AP33" s="9">
        <v>4</v>
      </c>
      <c r="AQ33" s="9">
        <v>125</v>
      </c>
      <c r="AR33" s="31">
        <v>22.337304647895479</v>
      </c>
      <c r="AS33" s="31">
        <f t="shared" si="8"/>
        <v>4</v>
      </c>
      <c r="AT33" s="31">
        <f t="shared" si="9"/>
        <v>125</v>
      </c>
      <c r="AU33" s="31">
        <f>IF(AT33/(INDEX('Standards for Conversions'!$H$34:$H$73,MATCH(AS$3,'Standards for Conversions'!$A$34:$A$73,0)))=0,"",AT33/(INDEX('Standards for Conversions'!$H$34:$H$73,MATCH(AS$3,'Standards for Conversions'!$A$34:$A$73,0))))</f>
        <v>22.337304647895479</v>
      </c>
      <c r="AV33" s="9"/>
      <c r="AW33" s="9"/>
      <c r="AX33" s="31" t="s">
        <v>128</v>
      </c>
      <c r="AY33" s="9"/>
      <c r="AZ33" s="9"/>
      <c r="BA33" s="31" t="s">
        <v>128</v>
      </c>
      <c r="BB33" s="9"/>
      <c r="BC33" s="9"/>
      <c r="BD33" s="31" t="s">
        <v>128</v>
      </c>
      <c r="BE33" s="9">
        <v>6</v>
      </c>
      <c r="BF33" s="9">
        <v>200</v>
      </c>
      <c r="BG33" s="31">
        <v>37.137092277164626</v>
      </c>
      <c r="BH33" s="31">
        <f t="shared" si="10"/>
        <v>6</v>
      </c>
      <c r="BI33" s="31">
        <f t="shared" si="11"/>
        <v>200</v>
      </c>
      <c r="BJ33" s="31">
        <f>IF(BI33/(INDEX('Standards for Conversions'!$H$34:$H$73,MATCH(BH$3,'Standards for Conversions'!$A$34:$A$73,0)))=0,"",BI33/(INDEX('Standards for Conversions'!$H$34:$H$73,MATCH(BH$3,'Standards for Conversions'!$A$34:$A$73,0))))</f>
        <v>37.137092277164626</v>
      </c>
      <c r="BK33" s="9"/>
      <c r="BL33" s="9"/>
      <c r="BM33" s="31" t="s">
        <v>128</v>
      </c>
      <c r="BN33" s="9"/>
      <c r="BO33" s="9"/>
      <c r="BP33" s="31" t="s">
        <v>128</v>
      </c>
      <c r="BQ33" s="9"/>
      <c r="BR33" s="9"/>
      <c r="BS33" s="31" t="s">
        <v>128</v>
      </c>
      <c r="BT33" s="9">
        <v>5</v>
      </c>
      <c r="BU33" s="9">
        <v>200</v>
      </c>
      <c r="BV33" s="31">
        <v>35.612650632948053</v>
      </c>
      <c r="BW33" s="31">
        <f t="shared" si="12"/>
        <v>5</v>
      </c>
      <c r="BX33" s="31">
        <f t="shared" si="13"/>
        <v>200</v>
      </c>
      <c r="BY33" s="31">
        <f>IF(BX33/(INDEX('Standards for Conversions'!$H$34:$H$73,MATCH(BW$3,'Standards for Conversions'!$A$34:$A$73,0)))=0,"",BX33/(INDEX('Standards for Conversions'!$H$34:$H$73,MATCH(BW$3,'Standards for Conversions'!$A$34:$A$73,0))))</f>
        <v>35.612650632948053</v>
      </c>
      <c r="BZ33" s="9"/>
      <c r="CA33" s="9"/>
      <c r="CB33" s="31" t="s">
        <v>128</v>
      </c>
      <c r="CC33" s="9"/>
      <c r="CD33" s="9"/>
      <c r="CE33" s="31" t="s">
        <v>128</v>
      </c>
      <c r="CF33" s="9"/>
      <c r="CG33" s="9"/>
      <c r="CH33" s="31" t="s">
        <v>128</v>
      </c>
      <c r="CI33" s="9">
        <v>5</v>
      </c>
      <c r="CJ33" s="9">
        <v>200</v>
      </c>
      <c r="CK33" s="31">
        <v>34.723393007155067</v>
      </c>
      <c r="CL33" s="31">
        <f t="shared" si="14"/>
        <v>5</v>
      </c>
      <c r="CM33" s="31">
        <f t="shared" si="15"/>
        <v>200</v>
      </c>
      <c r="CN33" s="31">
        <f>IF(CM33/(INDEX('Standards for Conversions'!$H$34:$H$73,MATCH(CL$3,'Standards for Conversions'!$A$34:$A$73,0)))=0,"",CM33/(INDEX('Standards for Conversions'!$H$34:$H$73,MATCH(CL$3,'Standards for Conversions'!$A$34:$A$73,0))))</f>
        <v>34.723393007155067</v>
      </c>
      <c r="CO33" s="9"/>
      <c r="CP33" s="9"/>
      <c r="CQ33" s="31" t="s">
        <v>128</v>
      </c>
      <c r="CR33" s="9"/>
      <c r="CS33" s="9"/>
      <c r="CT33" s="31" t="s">
        <v>128</v>
      </c>
      <c r="CU33" s="9"/>
      <c r="CV33" s="9"/>
      <c r="CW33" s="31" t="s">
        <v>128</v>
      </c>
      <c r="CX33" s="9">
        <v>6</v>
      </c>
      <c r="CY33" s="7">
        <v>200</v>
      </c>
      <c r="CZ33" s="31">
        <v>35.400922626806874</v>
      </c>
      <c r="DA33" s="31">
        <f t="shared" si="16"/>
        <v>6</v>
      </c>
      <c r="DB33" s="31">
        <f t="shared" si="17"/>
        <v>200</v>
      </c>
      <c r="DC33" s="31">
        <f>IF(DB33/(INDEX('Standards for Conversions'!$H$34:$H$73,MATCH(DA$3,'Standards for Conversions'!$A$34:$A$73,0)))=0,"",DB33/(INDEX('Standards for Conversions'!$H$34:$H$73,MATCH(DA$3,'Standards for Conversions'!$A$34:$A$73,0))))</f>
        <v>35.400922626806874</v>
      </c>
      <c r="DD33" s="7"/>
      <c r="DE33" s="7"/>
      <c r="DF33" s="31" t="s">
        <v>128</v>
      </c>
      <c r="DG33" s="7"/>
      <c r="DH33" s="7"/>
      <c r="DI33" s="31" t="s">
        <v>128</v>
      </c>
      <c r="DJ33" s="9"/>
      <c r="DK33" s="9"/>
      <c r="DL33" s="31" t="s">
        <v>128</v>
      </c>
      <c r="DM33" s="7">
        <v>30</v>
      </c>
      <c r="DN33" s="7">
        <v>900</v>
      </c>
      <c r="DO33" s="31">
        <v>157.58915497088728</v>
      </c>
      <c r="DP33" s="31">
        <f t="shared" si="18"/>
        <v>30</v>
      </c>
      <c r="DQ33" s="31">
        <f t="shared" si="19"/>
        <v>900</v>
      </c>
      <c r="DR33" s="31">
        <f>IF(DQ33/(INDEX('Standards for Conversions'!$H$34:$H$73,MATCH(DP$3,'Standards for Conversions'!$A$34:$A$73,0)))=0,"",DQ33/(INDEX('Standards for Conversions'!$H$34:$H$73,MATCH(DP$3,'Standards for Conversions'!$A$34:$A$73,0))))</f>
        <v>157.58915497088728</v>
      </c>
      <c r="DS33" s="9"/>
      <c r="DT33" s="9"/>
      <c r="DU33" s="31"/>
      <c r="DV33" s="9"/>
      <c r="DW33" s="9"/>
      <c r="DX33" s="31"/>
      <c r="DY33" s="9"/>
      <c r="DZ33" s="9"/>
      <c r="EA33" s="31"/>
      <c r="EB33" s="7"/>
      <c r="EC33" s="7"/>
      <c r="ED33" s="31"/>
      <c r="EE33" s="31">
        <f t="shared" si="20"/>
        <v>0</v>
      </c>
      <c r="EF33" s="31">
        <f t="shared" si="21"/>
        <v>0</v>
      </c>
      <c r="EG33" s="31" t="str">
        <f>IF(EF33/(INDEX('Standards for Conversions'!$H$34:$H$73,MATCH(EE$3,'Standards for Conversions'!$A$34:$A$73,0)))=0,"",EF33/(INDEX('Standards for Conversions'!$H$34:$H$73,MATCH(EE$3,'Standards for Conversions'!$A$34:$A$73,0))))</f>
        <v/>
      </c>
      <c r="EH33" s="7"/>
      <c r="EI33" s="7"/>
      <c r="EJ33" s="31"/>
      <c r="EK33" s="7"/>
      <c r="EL33" s="7"/>
      <c r="EM33" s="31"/>
      <c r="EN33" s="9"/>
      <c r="EO33" s="9"/>
      <c r="EP33" s="31"/>
      <c r="EQ33" s="7"/>
      <c r="ER33" s="7"/>
      <c r="ES33" s="31"/>
      <c r="ET33" s="31">
        <f t="shared" si="22"/>
        <v>0</v>
      </c>
      <c r="EU33" s="31">
        <f t="shared" si="23"/>
        <v>0</v>
      </c>
      <c r="EV33" s="31" t="str">
        <f>IF(EU33/(INDEX('Standards for Conversions'!$H$34:$H$73,MATCH(ET$3,'Standards for Conversions'!$A$34:$A$73,0)))=0,"",EU33/(INDEX('Standards for Conversions'!$H$34:$H$73,MATCH(ET$3,'Standards for Conversions'!$A$34:$A$73,0))))</f>
        <v/>
      </c>
      <c r="EW33" s="7"/>
      <c r="EX33" s="7"/>
      <c r="EY33" s="31"/>
      <c r="EZ33" s="7"/>
      <c r="FA33" s="7"/>
      <c r="FB33" s="31"/>
      <c r="FC33" s="9"/>
      <c r="FD33" s="9"/>
      <c r="FE33" s="31"/>
      <c r="FF33" s="7"/>
      <c r="FG33" s="7"/>
      <c r="FH33" s="31"/>
      <c r="FI33" s="31">
        <f t="shared" si="24"/>
        <v>0</v>
      </c>
      <c r="FJ33" s="31">
        <f t="shared" si="25"/>
        <v>0</v>
      </c>
      <c r="FK33" s="31" t="str">
        <f>IF(FJ33/(INDEX('Standards for Conversions'!$H$34:$H$73,MATCH(FI$3,'Standards for Conversions'!$A$34:$A$73,0)))=0,"",FJ33/(INDEX('Standards for Conversions'!$H$34:$H$73,MATCH(FI$3,'Standards for Conversions'!$A$34:$A$73,0))))</f>
        <v/>
      </c>
      <c r="FL33" s="7"/>
      <c r="FM33" s="7"/>
      <c r="FN33" s="31"/>
      <c r="FO33" s="7"/>
      <c r="FP33" s="7"/>
      <c r="FQ33" s="31"/>
      <c r="FR33" s="9"/>
      <c r="FS33" s="9"/>
      <c r="FT33" s="31"/>
      <c r="FU33" s="7"/>
      <c r="FV33" s="7"/>
      <c r="FW33" s="31"/>
      <c r="FX33" s="31">
        <f t="shared" si="26"/>
        <v>0</v>
      </c>
      <c r="FY33" s="31">
        <f t="shared" si="27"/>
        <v>0</v>
      </c>
      <c r="FZ33" s="31" t="str">
        <f>IF(FY33/(INDEX('Standards for Conversions'!$H$34:$H$73,MATCH(FX$3,'Standards for Conversions'!$A$34:$A$73,0)))=0,"",FY33/(INDEX('Standards for Conversions'!$H$34:$H$73,MATCH(FX$3,'Standards for Conversions'!$A$34:$A$73,0))))</f>
        <v/>
      </c>
      <c r="GA33" s="7"/>
      <c r="GB33" s="7"/>
      <c r="GC33" s="31"/>
      <c r="GD33" s="7"/>
      <c r="GE33" s="7"/>
      <c r="GF33" s="31"/>
      <c r="GG33" s="9"/>
      <c r="GH33" s="9"/>
      <c r="GI33" s="31"/>
      <c r="GJ33" s="7"/>
      <c r="GK33" s="7"/>
      <c r="GL33" s="31"/>
      <c r="GM33" s="31">
        <f t="shared" si="28"/>
        <v>0</v>
      </c>
      <c r="GN33" s="31">
        <f t="shared" si="29"/>
        <v>0</v>
      </c>
      <c r="GO33" s="31" t="str">
        <f>IF(GN33/(INDEX('Standards for Conversions'!$H$34:$H$73,MATCH(GM$3,'Standards for Conversions'!$A$34:$A$73,0)))=0,"",GN33/(INDEX('Standards for Conversions'!$H$34:$H$73,MATCH(GM$3,'Standards for Conversions'!$A$34:$A$73,0))))</f>
        <v/>
      </c>
      <c r="GP33" s="7"/>
      <c r="GQ33" s="7"/>
      <c r="GR33" s="31"/>
      <c r="GS33" s="7"/>
      <c r="GT33" s="7"/>
      <c r="GU33" s="31"/>
      <c r="GV33" s="9"/>
      <c r="GW33" s="9"/>
      <c r="GX33" s="31"/>
      <c r="GY33" s="7"/>
      <c r="GZ33" s="7"/>
      <c r="HA33" s="31"/>
      <c r="HB33" s="31">
        <f t="shared" si="30"/>
        <v>0</v>
      </c>
      <c r="HC33" s="31">
        <f t="shared" si="31"/>
        <v>0</v>
      </c>
      <c r="HD33" s="31" t="str">
        <f>IF(HC33/(INDEX('Standards for Conversions'!$H$34:$H$73,MATCH(HB$3,'Standards for Conversions'!$A$34:$A$73,0)))=0,"",HC33/(INDEX('Standards for Conversions'!$H$34:$H$73,MATCH(HB$3,'Standards for Conversions'!$A$34:$A$73,0))))</f>
        <v/>
      </c>
      <c r="HE33" s="112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1"/>
      <c r="IU33" s="31"/>
      <c r="IV33" s="31"/>
      <c r="IW33" s="31"/>
      <c r="IX33" s="31"/>
      <c r="IY33" s="31"/>
      <c r="IZ33" s="31"/>
      <c r="JA33" s="31"/>
      <c r="JB33" s="31"/>
      <c r="JC33" s="31"/>
      <c r="JD33" s="31"/>
      <c r="JE33" s="31"/>
      <c r="JF33" s="31"/>
      <c r="JG33" s="31"/>
      <c r="JH33" s="31"/>
      <c r="JI33" s="31"/>
      <c r="JJ33" s="31"/>
      <c r="JK33" s="31"/>
      <c r="JL33" s="31"/>
      <c r="JM33" s="31"/>
      <c r="JN33" s="31"/>
      <c r="JO33" s="31"/>
      <c r="JP33" s="31"/>
      <c r="JQ33" s="31"/>
      <c r="JR33" s="31"/>
      <c r="JS33" s="31"/>
      <c r="JT33" s="31"/>
      <c r="JU33" s="31"/>
      <c r="JV33" s="31"/>
      <c r="JW33" s="31"/>
      <c r="JX33" s="31"/>
      <c r="JY33" s="31"/>
      <c r="JZ33" s="31"/>
      <c r="KA33" s="31"/>
      <c r="KB33" s="31"/>
      <c r="KC33" s="31"/>
      <c r="KD33" s="31"/>
      <c r="KE33" s="31"/>
      <c r="KF33" s="31"/>
      <c r="KG33" s="31"/>
      <c r="KH33" s="31"/>
      <c r="KI33" s="31"/>
      <c r="KJ33" s="31"/>
      <c r="KK33" s="31"/>
      <c r="KL33" s="31"/>
      <c r="KM33" s="31"/>
      <c r="KN33" s="31"/>
      <c r="KO33" s="31"/>
      <c r="KP33" s="31"/>
      <c r="KQ33" s="31"/>
      <c r="KR33" s="31"/>
      <c r="KS33" s="31"/>
      <c r="KT33" s="31"/>
      <c r="KU33" s="31"/>
      <c r="KV33" s="31"/>
      <c r="KW33" s="31"/>
      <c r="KX33" s="31"/>
      <c r="KY33" s="31"/>
      <c r="KZ33" s="31"/>
      <c r="LA33" s="31"/>
      <c r="LB33" s="31"/>
      <c r="LC33" s="31"/>
      <c r="LD33" s="31"/>
      <c r="LE33" s="31"/>
      <c r="LF33" s="31"/>
      <c r="LG33" s="31"/>
      <c r="LH33" s="31"/>
      <c r="LI33" s="31"/>
      <c r="LJ33" s="31"/>
      <c r="LK33" s="31"/>
      <c r="LL33" s="31"/>
      <c r="LM33" s="31"/>
      <c r="LN33" s="31"/>
      <c r="LO33" s="31"/>
      <c r="LP33" s="31"/>
      <c r="LQ33" s="31"/>
      <c r="LR33" s="31"/>
      <c r="LS33" s="31"/>
      <c r="LT33" s="31"/>
      <c r="LU33" s="31"/>
      <c r="LV33" s="31"/>
      <c r="LW33" s="31"/>
      <c r="LX33" s="31"/>
      <c r="LY33" s="31"/>
      <c r="LZ33" s="31"/>
      <c r="MA33" s="31"/>
      <c r="MB33" s="31"/>
      <c r="MC33" s="31"/>
      <c r="MD33" s="31"/>
      <c r="ME33" s="31"/>
      <c r="MF33" s="31"/>
      <c r="MG33" s="31"/>
      <c r="MH33" s="31"/>
      <c r="MI33" s="31"/>
      <c r="MJ33" s="31"/>
      <c r="MK33" s="31"/>
      <c r="ML33" s="31"/>
      <c r="MM33" s="31"/>
      <c r="MN33" s="31"/>
    </row>
    <row r="34" spans="1:352" s="33" customFormat="1" ht="14.4" customHeight="1" x14ac:dyDescent="0.3">
      <c r="A34" s="102" t="s">
        <v>103</v>
      </c>
      <c r="B34" s="10" t="s">
        <v>399</v>
      </c>
      <c r="C34" s="9"/>
      <c r="D34" s="9"/>
      <c r="E34" s="31" t="s">
        <v>128</v>
      </c>
      <c r="F34" s="9"/>
      <c r="G34" s="9"/>
      <c r="H34" s="31" t="s">
        <v>128</v>
      </c>
      <c r="I34" s="9"/>
      <c r="J34" s="9"/>
      <c r="K34" s="31" t="s">
        <v>128</v>
      </c>
      <c r="L34" s="9">
        <v>171</v>
      </c>
      <c r="M34" s="9">
        <v>300</v>
      </c>
      <c r="N34" s="31">
        <v>59.262668918918912</v>
      </c>
      <c r="O34" s="31">
        <f t="shared" si="4"/>
        <v>171</v>
      </c>
      <c r="P34" s="31">
        <f t="shared" si="5"/>
        <v>300</v>
      </c>
      <c r="Q34" s="31">
        <f>IF(P34/(INDEX('Standards for Conversions'!$H$34:$H$73,MATCH(O$3,'Standards for Conversions'!$A$34:$A$73,0)))=0,"",P34/(INDEX('Standards for Conversions'!$H$34:$H$73,MATCH(O$3,'Standards for Conversions'!$A$34:$A$73,0))))</f>
        <v>59.262668918918912</v>
      </c>
      <c r="R34" s="9"/>
      <c r="S34" s="9"/>
      <c r="T34" s="31" t="s">
        <v>128</v>
      </c>
      <c r="U34" s="9"/>
      <c r="V34" s="9"/>
      <c r="W34" s="31" t="s">
        <v>128</v>
      </c>
      <c r="X34" s="9"/>
      <c r="Y34" s="9"/>
      <c r="Z34" s="31" t="s">
        <v>128</v>
      </c>
      <c r="AD34" s="31">
        <f t="shared" si="6"/>
        <v>0</v>
      </c>
      <c r="AE34" s="31">
        <f t="shared" si="7"/>
        <v>0</v>
      </c>
      <c r="AF34" s="31" t="str">
        <f>IF(AE34/(INDEX('Standards for Conversions'!$H$34:$H$73,MATCH(AD$3,'Standards for Conversions'!$A$34:$A$73,0)))=0,"",AE34/(INDEX('Standards for Conversions'!$H$34:$H$73,MATCH(AD$3,'Standards for Conversions'!$A$34:$A$73,0))))</f>
        <v/>
      </c>
      <c r="AS34" s="31">
        <f t="shared" si="8"/>
        <v>0</v>
      </c>
      <c r="AT34" s="31">
        <f t="shared" si="9"/>
        <v>0</v>
      </c>
      <c r="AU34" s="31" t="str">
        <f>IF(AT34/(INDEX('Standards for Conversions'!$H$34:$H$73,MATCH(AS$3,'Standards for Conversions'!$A$34:$A$73,0)))=0,"",AT34/(INDEX('Standards for Conversions'!$H$34:$H$73,MATCH(AS$3,'Standards for Conversions'!$A$34:$A$73,0))))</f>
        <v/>
      </c>
      <c r="BH34" s="31">
        <f t="shared" si="10"/>
        <v>0</v>
      </c>
      <c r="BI34" s="31">
        <f t="shared" si="11"/>
        <v>0</v>
      </c>
      <c r="BJ34" s="31" t="str">
        <f>IF(BI34/(INDEX('Standards for Conversions'!$H$34:$H$73,MATCH(BH$3,'Standards for Conversions'!$A$34:$A$73,0)))=0,"",BI34/(INDEX('Standards for Conversions'!$H$34:$H$73,MATCH(BH$3,'Standards for Conversions'!$A$34:$A$73,0))))</f>
        <v/>
      </c>
      <c r="BW34" s="31">
        <f t="shared" si="12"/>
        <v>0</v>
      </c>
      <c r="BX34" s="31">
        <f t="shared" si="13"/>
        <v>0</v>
      </c>
      <c r="BY34" s="31" t="str">
        <f>IF(BX34/(INDEX('Standards for Conversions'!$H$34:$H$73,MATCH(BW$3,'Standards for Conversions'!$A$34:$A$73,0)))=0,"",BX34/(INDEX('Standards for Conversions'!$H$34:$H$73,MATCH(BW$3,'Standards for Conversions'!$A$34:$A$73,0))))</f>
        <v/>
      </c>
      <c r="CL34" s="31">
        <f t="shared" si="14"/>
        <v>0</v>
      </c>
      <c r="CM34" s="31">
        <f t="shared" si="15"/>
        <v>0</v>
      </c>
      <c r="CN34" s="31" t="str">
        <f>IF(CM34/(INDEX('Standards for Conversions'!$H$34:$H$73,MATCH(CL$3,'Standards for Conversions'!$A$34:$A$73,0)))=0,"",CM34/(INDEX('Standards for Conversions'!$H$34:$H$73,MATCH(CL$3,'Standards for Conversions'!$A$34:$A$73,0))))</f>
        <v/>
      </c>
      <c r="DA34" s="31">
        <f t="shared" si="16"/>
        <v>0</v>
      </c>
      <c r="DB34" s="31">
        <f t="shared" si="17"/>
        <v>0</v>
      </c>
      <c r="DC34" s="31" t="str">
        <f>IF(DB34/(INDEX('Standards for Conversions'!$H$34:$H$73,MATCH(DA$3,'Standards for Conversions'!$A$34:$A$73,0)))=0,"",DB34/(INDEX('Standards for Conversions'!$H$34:$H$73,MATCH(DA$3,'Standards for Conversions'!$A$34:$A$73,0))))</f>
        <v/>
      </c>
      <c r="DP34" s="31">
        <f t="shared" si="18"/>
        <v>0</v>
      </c>
      <c r="DQ34" s="31">
        <f t="shared" si="19"/>
        <v>0</v>
      </c>
      <c r="DR34" s="31" t="str">
        <f>IF(DQ34/(INDEX('Standards for Conversions'!$H$34:$H$73,MATCH(DP$3,'Standards for Conversions'!$A$34:$A$73,0)))=0,"",DQ34/(INDEX('Standards for Conversions'!$H$34:$H$73,MATCH(DP$3,'Standards for Conversions'!$A$34:$A$73,0))))</f>
        <v/>
      </c>
      <c r="DS34" s="7"/>
      <c r="DT34" s="7"/>
      <c r="DU34" s="31"/>
      <c r="DV34" s="7"/>
      <c r="DW34" s="7"/>
      <c r="DX34" s="31"/>
      <c r="DY34" s="9"/>
      <c r="DZ34" s="9"/>
      <c r="EA34" s="31" t="s">
        <v>128</v>
      </c>
      <c r="EB34" s="7">
        <v>69</v>
      </c>
      <c r="EC34" s="7">
        <v>200</v>
      </c>
      <c r="ED34" s="31">
        <v>34.977466614524488</v>
      </c>
      <c r="EE34" s="31">
        <f t="shared" si="20"/>
        <v>69</v>
      </c>
      <c r="EF34" s="31">
        <f t="shared" si="21"/>
        <v>200</v>
      </c>
      <c r="EG34" s="31">
        <f>IF(EF34/(INDEX('Standards for Conversions'!$H$34:$H$73,MATCH(EE$3,'Standards for Conversions'!$A$34:$A$73,0)))=0,"",EF34/(INDEX('Standards for Conversions'!$H$34:$H$73,MATCH(EE$3,'Standards for Conversions'!$A$34:$A$73,0))))</f>
        <v>34.977466614524488</v>
      </c>
      <c r="EH34" s="7"/>
      <c r="EI34" s="7"/>
      <c r="EJ34" s="31" t="s">
        <v>128</v>
      </c>
      <c r="EK34" s="7"/>
      <c r="EL34" s="7"/>
      <c r="EM34" s="31" t="s">
        <v>128</v>
      </c>
      <c r="EN34" s="9"/>
      <c r="EO34" s="9"/>
      <c r="EP34" s="31" t="s">
        <v>128</v>
      </c>
      <c r="EQ34" s="7">
        <v>63</v>
      </c>
      <c r="ER34" s="7">
        <v>190</v>
      </c>
      <c r="ES34" s="31">
        <v>32.544711823962224</v>
      </c>
      <c r="ET34" s="31">
        <f t="shared" si="22"/>
        <v>63</v>
      </c>
      <c r="EU34" s="31">
        <f t="shared" si="23"/>
        <v>190</v>
      </c>
      <c r="EV34" s="31">
        <f>IF(EU34/(INDEX('Standards for Conversions'!$H$34:$H$73,MATCH(ET$3,'Standards for Conversions'!$A$34:$A$73,0)))=0,"",EU34/(INDEX('Standards for Conversions'!$H$34:$H$73,MATCH(ET$3,'Standards for Conversions'!$A$34:$A$73,0))))</f>
        <v>32.544711823962224</v>
      </c>
      <c r="EW34" s="7"/>
      <c r="EX34" s="7"/>
      <c r="EY34" s="31" t="s">
        <v>128</v>
      </c>
      <c r="EZ34" s="7"/>
      <c r="FA34" s="7"/>
      <c r="FB34" s="31" t="s">
        <v>128</v>
      </c>
      <c r="FC34" s="9"/>
      <c r="FD34" s="9"/>
      <c r="FE34" s="31" t="s">
        <v>128</v>
      </c>
      <c r="FF34" s="7">
        <v>75</v>
      </c>
      <c r="FG34" s="7">
        <v>250</v>
      </c>
      <c r="FH34" s="31">
        <v>42.874921243590848</v>
      </c>
      <c r="FI34" s="31">
        <f t="shared" si="24"/>
        <v>75</v>
      </c>
      <c r="FJ34" s="31">
        <f t="shared" si="25"/>
        <v>250</v>
      </c>
      <c r="FK34" s="31">
        <f>IF(FJ34/(INDEX('Standards for Conversions'!$H$34:$H$73,MATCH(FI$3,'Standards for Conversions'!$A$34:$A$73,0)))=0,"",FJ34/(INDEX('Standards for Conversions'!$H$34:$H$73,MATCH(FI$3,'Standards for Conversions'!$A$34:$A$73,0))))</f>
        <v>42.874921243590848</v>
      </c>
      <c r="FL34" s="7"/>
      <c r="FM34" s="7"/>
      <c r="FN34" s="31" t="s">
        <v>128</v>
      </c>
      <c r="FO34" s="7"/>
      <c r="FP34" s="7"/>
      <c r="FQ34" s="31" t="s">
        <v>128</v>
      </c>
      <c r="FR34" s="9"/>
      <c r="FS34" s="9"/>
      <c r="FT34" s="31" t="s">
        <v>128</v>
      </c>
      <c r="FU34" s="7">
        <v>37.5</v>
      </c>
      <c r="FV34" s="7">
        <v>75</v>
      </c>
      <c r="FW34" s="31">
        <v>12.338449557877814</v>
      </c>
      <c r="FX34" s="31">
        <f t="shared" si="26"/>
        <v>37.5</v>
      </c>
      <c r="FY34" s="31">
        <f t="shared" si="27"/>
        <v>75</v>
      </c>
      <c r="FZ34" s="31">
        <f>IF(FY34/(INDEX('Standards for Conversions'!$H$34:$H$73,MATCH(FX$3,'Standards for Conversions'!$A$34:$A$73,0)))=0,"",FY34/(INDEX('Standards for Conversions'!$H$34:$H$73,MATCH(FX$3,'Standards for Conversions'!$A$34:$A$73,0))))</f>
        <v>12.338449557877814</v>
      </c>
      <c r="GA34" s="7"/>
      <c r="GB34" s="7"/>
      <c r="GC34" s="31" t="s">
        <v>128</v>
      </c>
      <c r="GD34" s="7"/>
      <c r="GE34" s="7"/>
      <c r="GF34" s="31" t="s">
        <v>128</v>
      </c>
      <c r="GG34" s="9"/>
      <c r="GH34" s="9"/>
      <c r="GI34" s="31" t="s">
        <v>128</v>
      </c>
      <c r="GJ34" s="7">
        <v>30</v>
      </c>
      <c r="GK34" s="7">
        <v>100</v>
      </c>
      <c r="GL34" s="31">
        <v>15.371453245850352</v>
      </c>
      <c r="GM34" s="31">
        <f t="shared" si="28"/>
        <v>30</v>
      </c>
      <c r="GN34" s="31">
        <f t="shared" si="29"/>
        <v>100</v>
      </c>
      <c r="GO34" s="31">
        <f>IF(GN34/(INDEX('Standards for Conversions'!$H$34:$H$73,MATCH(GM$3,'Standards for Conversions'!$A$34:$A$73,0)))=0,"",GN34/(INDEX('Standards for Conversions'!$H$34:$H$73,MATCH(GM$3,'Standards for Conversions'!$A$34:$A$73,0))))</f>
        <v>15.371453245850352</v>
      </c>
      <c r="GP34" s="7"/>
      <c r="GQ34" s="7"/>
      <c r="GR34" s="31" t="s">
        <v>128</v>
      </c>
      <c r="GS34" s="7"/>
      <c r="GT34" s="7"/>
      <c r="GU34" s="31" t="s">
        <v>128</v>
      </c>
      <c r="GV34" s="9"/>
      <c r="GW34" s="9"/>
      <c r="GX34" s="31" t="s">
        <v>128</v>
      </c>
      <c r="GY34" s="7">
        <v>37.5</v>
      </c>
      <c r="GZ34" s="7">
        <v>150</v>
      </c>
      <c r="HA34" s="31">
        <v>22.707828658642562</v>
      </c>
      <c r="HB34" s="31">
        <f t="shared" si="30"/>
        <v>37.5</v>
      </c>
      <c r="HC34" s="31">
        <f t="shared" si="31"/>
        <v>150</v>
      </c>
      <c r="HD34" s="31">
        <f>IF(HC34/(INDEX('Standards for Conversions'!$H$34:$H$73,MATCH(HB$3,'Standards for Conversions'!$A$34:$A$73,0)))=0,"",HC34/(INDEX('Standards for Conversions'!$H$34:$H$73,MATCH(HB$3,'Standards for Conversions'!$A$34:$A$73,0))))</f>
        <v>22.707828658642562</v>
      </c>
      <c r="HE34" s="112" t="s">
        <v>98</v>
      </c>
      <c r="HF34" s="31"/>
      <c r="HG34" s="31"/>
      <c r="HH34" s="31" t="str">
        <f>IF(HG34/(INDEX('Standards for Conversions'!$H$47:$H$73,MATCH(HF$3,'Standards for Conversions'!$A$47:$A$73,0)))=0,"",HG34/(INDEX('Standards for Conversions'!$H$47:$H$73,MATCH(HF$3,'Standards for Conversions'!$A$47:$A$73,0))))</f>
        <v/>
      </c>
      <c r="HI34" s="31"/>
      <c r="HJ34" s="31"/>
      <c r="HK34" s="31" t="str">
        <f>IF(HJ34/(INDEX('Standards for Conversions'!$H$47:$H$73,MATCH(HI$3,'Standards for Conversions'!$A$47:$A$73,0)))=0,"",HJ34/(INDEX('Standards for Conversions'!$H$47:$H$73,MATCH(HI$3,'Standards for Conversions'!$A$47:$A$73,0))))</f>
        <v/>
      </c>
      <c r="HL34" s="31"/>
      <c r="HM34" s="31"/>
      <c r="HN34" s="31" t="str">
        <f>IF(HM34/(INDEX('Standards for Conversions'!$H$47:$H$73,MATCH(HL$3,'Standards for Conversions'!$A$47:$A$73,0)))=0,"",HM34/(INDEX('Standards for Conversions'!$H$47:$H$73,MATCH(HL$3,'Standards for Conversions'!$A$47:$A$73,0))))</f>
        <v/>
      </c>
      <c r="HO34" s="31">
        <v>45</v>
      </c>
      <c r="HP34" s="31">
        <v>180</v>
      </c>
      <c r="HQ34" s="31">
        <f>IF(HP34/(INDEX('Standards for Conversions'!$H$47:$H$73,MATCH(HO$3,'Standards for Conversions'!$A$47:$A$73,0)))=0,"",HP34/(INDEX('Standards for Conversions'!$H$47:$H$73,MATCH(HO$3,'Standards for Conversions'!$A$47:$A$73,0))))</f>
        <v>26.144174198314072</v>
      </c>
      <c r="HR34" s="31">
        <f t="shared" si="75"/>
        <v>45</v>
      </c>
      <c r="HS34" s="31">
        <f t="shared" si="75"/>
        <v>180</v>
      </c>
      <c r="HT34" s="31">
        <f>IF(HS34/(INDEX('Standards for Conversions'!$H$47:$H$73,MATCH(HR$3,'Standards for Conversions'!$A$47:$A$73,0)))=0,"",HS34/(INDEX('Standards for Conversions'!$H$47:$H$73,MATCH(HR$3,'Standards for Conversions'!$A$47:$A$73,0))))</f>
        <v>26.144174198314072</v>
      </c>
      <c r="HU34" s="31"/>
      <c r="HV34" s="31"/>
      <c r="HW34" s="31" t="str">
        <f>IF(HV34/(INDEX('Standards for Conversions'!$H$47:$H$73,MATCH(HU$3,'Standards for Conversions'!$A$47:$A$73,0)))=0,"",HV34/(INDEX('Standards for Conversions'!$H$47:$H$73,MATCH(HU$3,'Standards for Conversions'!$A$47:$A$73,0))))</f>
        <v/>
      </c>
      <c r="HX34" s="31"/>
      <c r="HY34" s="31"/>
      <c r="HZ34" s="31" t="str">
        <f>IF(HY34/(INDEX('Standards for Conversions'!$H$47:$H$73,MATCH(HX$3,'Standards for Conversions'!$A$47:$A$73,0)))=0,"",HY34/(INDEX('Standards for Conversions'!$H$47:$H$73,MATCH(HX$3,'Standards for Conversions'!$A$47:$A$73,0))))</f>
        <v/>
      </c>
      <c r="IA34" s="31"/>
      <c r="IB34" s="31"/>
      <c r="IC34" s="31" t="str">
        <f>IF(IB34/(INDEX('Standards for Conversions'!$H$47:$H$73,MATCH(IA$3,'Standards for Conversions'!$A$47:$A$73,0)))=0,"",IB34/(INDEX('Standards for Conversions'!$H$47:$H$73,MATCH(IA$3,'Standards for Conversions'!$A$47:$A$73,0))))</f>
        <v/>
      </c>
      <c r="ID34" s="31">
        <v>15</v>
      </c>
      <c r="IE34" s="31">
        <v>94</v>
      </c>
      <c r="IF34" s="31">
        <f>IF(IE34/(INDEX('Standards for Conversions'!$H$47:$H$73,MATCH(ID$3,'Standards for Conversions'!$A$47:$A$73,0)))=0,"",IE34/(INDEX('Standards for Conversions'!$H$47:$H$73,MATCH(ID$3,'Standards for Conversions'!$A$47:$A$73,0))))</f>
        <v>13.593361450276642</v>
      </c>
      <c r="IG34" s="31">
        <f t="shared" si="76"/>
        <v>15</v>
      </c>
      <c r="IH34" s="31">
        <f t="shared" si="76"/>
        <v>94</v>
      </c>
      <c r="II34" s="31">
        <f>IF(IH34/(INDEX('Standards for Conversions'!$H$47:$H$73,MATCH(IG$3,'Standards for Conversions'!$A$47:$A$73,0)))=0,"",IH34/(INDEX('Standards for Conversions'!$H$47:$H$73,MATCH(IG$3,'Standards for Conversions'!$A$47:$A$73,0))))</f>
        <v>13.593361450276642</v>
      </c>
      <c r="IJ34" s="31"/>
      <c r="IK34" s="31"/>
      <c r="IL34" s="31" t="str">
        <f>IF(IK34/(INDEX('Standards for Conversions'!$H$47:$H$73,MATCH(IJ$3,'Standards for Conversions'!$A$47:$A$73,0)))=0,"",IK34/(INDEX('Standards for Conversions'!$H$47:$H$73,MATCH(IJ$3,'Standards for Conversions'!$A$47:$A$73,0))))</f>
        <v/>
      </c>
      <c r="IM34" s="31"/>
      <c r="IN34" s="31"/>
      <c r="IO34" s="31" t="str">
        <f>IF(IN34/(INDEX('Standards for Conversions'!$H$47:$H$73,MATCH(IM$3,'Standards for Conversions'!$A$47:$A$73,0)))=0,"",IN34/(INDEX('Standards for Conversions'!$H$47:$H$73,MATCH(IM$3,'Standards for Conversions'!$A$47:$A$73,0))))</f>
        <v/>
      </c>
      <c r="IP34" s="31"/>
      <c r="IQ34" s="31"/>
      <c r="IR34" s="31" t="str">
        <f>IF(IQ34/(INDEX('Standards for Conversions'!$H$47:$H$73,MATCH(IP$3,'Standards for Conversions'!$A$47:$A$73,0)))=0,"",IQ34/(INDEX('Standards for Conversions'!$H$47:$H$73,MATCH(IP$3,'Standards for Conversions'!$A$47:$A$73,0))))</f>
        <v/>
      </c>
      <c r="IS34" s="31"/>
      <c r="IT34" s="31"/>
      <c r="IU34" s="31" t="str">
        <f>IF(IT34/(INDEX('Standards for Conversions'!$H$47:$H$73,MATCH(IS$3,'Standards for Conversions'!$A$47:$A$73,0)))=0,"",IT34/(INDEX('Standards for Conversions'!$H$47:$H$73,MATCH(IS$3,'Standards for Conversions'!$A$47:$A$73,0))))</f>
        <v/>
      </c>
      <c r="IV34" s="31"/>
      <c r="IW34" s="31"/>
      <c r="IX34" s="31" t="str">
        <f>IF(IW34/(INDEX('Standards for Conversions'!$H$47:$H$73,MATCH(IV$3,'Standards for Conversions'!$A$47:$A$73,0)))=0,"",IW34/(INDEX('Standards for Conversions'!$H$47:$H$73,MATCH(IV$3,'Standards for Conversions'!$A$47:$A$73,0))))</f>
        <v/>
      </c>
      <c r="IY34" s="31"/>
      <c r="IZ34" s="31"/>
      <c r="JA34" s="31" t="str">
        <f>IF(IZ34/(INDEX('Standards for Conversions'!$H$47:$H$73,MATCH(IY$3,'Standards for Conversions'!$A$47:$A$73,0)))=0,"",IZ34/(INDEX('Standards for Conversions'!$H$47:$H$73,MATCH(IY$3,'Standards for Conversions'!$A$47:$A$73,0))))</f>
        <v/>
      </c>
      <c r="JB34" s="31"/>
      <c r="JC34" s="31"/>
      <c r="JD34" s="31" t="str">
        <f>IF(JC34/(INDEX('Standards for Conversions'!$H$47:$H$73,MATCH(JB$3,'Standards for Conversions'!$A$47:$A$73,0)))=0,"",JC34/(INDEX('Standards for Conversions'!$H$47:$H$73,MATCH(JB$3,'Standards for Conversions'!$A$47:$A$73,0))))</f>
        <v/>
      </c>
      <c r="JE34" s="31"/>
      <c r="JF34" s="31"/>
      <c r="JG34" s="31" t="str">
        <f>IF(JF34/(INDEX('Standards for Conversions'!$H$47:$H$73,MATCH(JE$3,'Standards for Conversions'!$A$47:$A$73,0)))=0,"",JF34/(INDEX('Standards for Conversions'!$H$47:$H$73,MATCH(JE$3,'Standards for Conversions'!$A$47:$A$73,0))))</f>
        <v/>
      </c>
      <c r="JH34" s="31">
        <v>15</v>
      </c>
      <c r="JI34" s="31">
        <v>100</v>
      </c>
      <c r="JJ34" s="31">
        <f>IF(JI34/(INDEX('Standards for Conversions'!$H$47:$H$73,MATCH(JH$3,'Standards for Conversions'!$A$47:$A$73,0)))=0,"",JI34/(INDEX('Standards for Conversions'!$H$47:$H$73,MATCH(JH$3,'Standards for Conversions'!$A$47:$A$73,0))))</f>
        <v>15.265589242779756</v>
      </c>
      <c r="JK34" s="31">
        <f t="shared" si="78"/>
        <v>15</v>
      </c>
      <c r="JL34" s="31">
        <f t="shared" si="78"/>
        <v>100</v>
      </c>
      <c r="JM34" s="31">
        <f>IF(JL34/(INDEX('Standards for Conversions'!$H$47:$H$73,MATCH(JK$3,'Standards for Conversions'!$A$47:$A$73,0)))=0,"",JL34/(INDEX('Standards for Conversions'!$H$47:$H$73,MATCH(JK$3,'Standards for Conversions'!$A$47:$A$73,0))))</f>
        <v>15.265589242779756</v>
      </c>
      <c r="JN34" s="31"/>
      <c r="JO34" s="31"/>
      <c r="JP34" s="31" t="str">
        <f>IF(JO34/(INDEX('Standards for Conversions'!$H$47:$H$73,MATCH(JN$3,'Standards for Conversions'!$A$47:$A$73,0)))=0,"",JO34/(INDEX('Standards for Conversions'!$H$47:$H$73,MATCH(JN$3,'Standards for Conversions'!$A$47:$A$73,0))))</f>
        <v/>
      </c>
      <c r="JQ34" s="31"/>
      <c r="JR34" s="31"/>
      <c r="JS34" s="31" t="str">
        <f>IF(JR34/(INDEX('Standards for Conversions'!$H$47:$H$73,MATCH(JQ$3,'Standards for Conversions'!$A$47:$A$73,0)))=0,"",JR34/(INDEX('Standards for Conversions'!$H$47:$H$73,MATCH(JQ$3,'Standards for Conversions'!$A$47:$A$73,0))))</f>
        <v/>
      </c>
      <c r="JT34" s="31"/>
      <c r="JU34" s="31"/>
      <c r="JV34" s="31" t="str">
        <f>IF(JU34/(INDEX('Standards for Conversions'!$H$47:$H$73,MATCH(JT$3,'Standards for Conversions'!$A$47:$A$73,0)))=0,"",JU34/(INDEX('Standards for Conversions'!$H$47:$H$73,MATCH(JT$3,'Standards for Conversions'!$A$47:$A$73,0))))</f>
        <v/>
      </c>
      <c r="JW34" s="31">
        <v>18</v>
      </c>
      <c r="JX34" s="31">
        <v>120</v>
      </c>
      <c r="JY34" s="31">
        <f>IF(JX34/(INDEX('Standards for Conversions'!$H$47:$H$73,MATCH(JW$3,'Standards for Conversions'!$A$47:$A$73,0)))=0,"",JX34/(INDEX('Standards for Conversions'!$H$47:$H$73,MATCH(JW$3,'Standards for Conversions'!$A$47:$A$73,0))))</f>
        <v>16.159081428695576</v>
      </c>
      <c r="JZ34" s="31">
        <f t="shared" si="79"/>
        <v>18</v>
      </c>
      <c r="KA34" s="31">
        <f t="shared" si="79"/>
        <v>120</v>
      </c>
      <c r="KB34" s="31">
        <f>IF(KA34/(INDEX('Standards for Conversions'!$H$47:$H$73,MATCH(JZ$3,'Standards for Conversions'!$A$47:$A$73,0)))=0,"",KA34/(INDEX('Standards for Conversions'!$H$47:$H$73,MATCH(JZ$3,'Standards for Conversions'!$A$47:$A$73,0))))</f>
        <v>16.159081428695576</v>
      </c>
      <c r="KC34" s="31"/>
      <c r="KD34" s="31"/>
      <c r="KE34" s="31" t="str">
        <f>IF(KD34/(INDEX('Standards for Conversions'!$H$47:$H$73,MATCH(KC$3,'Standards for Conversions'!$A$47:$A$73,0)))=0,"",KD34/(INDEX('Standards for Conversions'!$H$47:$H$73,MATCH(KC$3,'Standards for Conversions'!$A$47:$A$73,0))))</f>
        <v/>
      </c>
      <c r="KF34" s="31"/>
      <c r="KG34" s="31"/>
      <c r="KH34" s="31" t="str">
        <f>IF(KG34/(INDEX('Standards for Conversions'!$H$47:$H$73,MATCH(KF$3,'Standards for Conversions'!$A$47:$A$73,0)))=0,"",KG34/(INDEX('Standards for Conversions'!$H$47:$H$73,MATCH(KF$3,'Standards for Conversions'!$A$47:$A$73,0))))</f>
        <v/>
      </c>
      <c r="KI34" s="31"/>
      <c r="KJ34" s="31"/>
      <c r="KK34" s="31" t="str">
        <f>IF(KJ34/(INDEX('Standards for Conversions'!$H$47:$H$73,MATCH(KI$3,'Standards for Conversions'!$A$47:$A$73,0)))=0,"",KJ34/(INDEX('Standards for Conversions'!$H$47:$H$73,MATCH(KI$3,'Standards for Conversions'!$A$47:$A$73,0))))</f>
        <v/>
      </c>
      <c r="KL34" s="31"/>
      <c r="KM34" s="31"/>
      <c r="KN34" s="31" t="str">
        <f>IF(KM34/(INDEX('Standards for Conversions'!$H$47:$H$73,MATCH(KL$3,'Standards for Conversions'!$A$47:$A$73,0)))=0,"",KM34/(INDEX('Standards for Conversions'!$H$47:$H$73,MATCH(KL$3,'Standards for Conversions'!$A$47:$A$73,0))))</f>
        <v/>
      </c>
      <c r="KO34" s="31"/>
      <c r="KP34" s="31"/>
      <c r="KQ34" s="31" t="str">
        <f>IF(KP34/(INDEX('Standards for Conversions'!$H$47:$H$73,MATCH(KO$3,'Standards for Conversions'!$A$47:$A$73,0)))=0,"",KP34/(INDEX('Standards for Conversions'!$H$47:$H$73,MATCH(KO$3,'Standards for Conversions'!$A$47:$A$73,0))))</f>
        <v/>
      </c>
      <c r="KR34" s="31"/>
      <c r="KS34" s="31"/>
      <c r="KT34" s="31" t="str">
        <f>IF(KS34/(INDEX('Standards for Conversions'!$H$47:$H$73,MATCH(KR$3,'Standards for Conversions'!$A$47:$A$73,0)))=0,"",KS34/(INDEX('Standards for Conversions'!$H$47:$H$73,MATCH(KR$3,'Standards for Conversions'!$A$47:$A$73,0))))</f>
        <v/>
      </c>
      <c r="KU34" s="31"/>
      <c r="KV34" s="31"/>
      <c r="KW34" s="31" t="str">
        <f>IF(KV34/(INDEX('Standards for Conversions'!$H$47:$H$73,MATCH(KU$3,'Standards for Conversions'!$A$47:$A$73,0)))=0,"",KV34/(INDEX('Standards for Conversions'!$H$47:$H$73,MATCH(KU$3,'Standards for Conversions'!$A$47:$A$73,0))))</f>
        <v/>
      </c>
      <c r="KX34" s="31"/>
      <c r="KY34" s="31"/>
      <c r="KZ34" s="31" t="str">
        <f>IF(KY34/(INDEX('Standards for Conversions'!$H$47:$H$73,MATCH(KX$3,'Standards for Conversions'!$A$47:$A$73,0)))=0,"",KY34/(INDEX('Standards for Conversions'!$H$47:$H$73,MATCH(KX$3,'Standards for Conversions'!$A$47:$A$73,0))))</f>
        <v/>
      </c>
      <c r="LA34" s="31"/>
      <c r="LB34" s="31"/>
      <c r="LC34" s="31" t="str">
        <f>IF(LB34/(INDEX('Standards for Conversions'!$H$47:$H$73,MATCH(LA$3,'Standards for Conversions'!$A$47:$A$73,0)))=0,"",LB34/(INDEX('Standards for Conversions'!$H$47:$H$73,MATCH(LA$3,'Standards for Conversions'!$A$47:$A$73,0))))</f>
        <v/>
      </c>
      <c r="LD34" s="31"/>
      <c r="LE34" s="31"/>
      <c r="LF34" s="31" t="str">
        <f>IF(LE34/(INDEX('Standards for Conversions'!$H$47:$H$73,MATCH(LD$3,'Standards for Conversions'!$A$47:$A$73,0)))=0,"",LE34/(INDEX('Standards for Conversions'!$H$47:$H$73,MATCH(LD$3,'Standards for Conversions'!$A$47:$A$73,0))))</f>
        <v/>
      </c>
      <c r="LG34" s="31"/>
      <c r="LH34" s="31"/>
      <c r="LI34" s="31" t="str">
        <f>IF(LH34/(INDEX('Standards for Conversions'!$H$47:$H$73,MATCH(LG$3,'Standards for Conversions'!$A$47:$A$73,0)))=0,"",LH34/(INDEX('Standards for Conversions'!$H$47:$H$73,MATCH(LG$3,'Standards for Conversions'!$A$47:$A$73,0))))</f>
        <v/>
      </c>
      <c r="LJ34" s="31"/>
      <c r="LK34" s="31"/>
      <c r="LL34" s="31" t="str">
        <f>IF(LK34/(INDEX('Standards for Conversions'!$H$47:$H$73,MATCH(LJ$3,'Standards for Conversions'!$A$47:$A$73,0)))=0,"",LK34/(INDEX('Standards for Conversions'!$H$47:$H$73,MATCH(LJ$3,'Standards for Conversions'!$A$47:$A$73,0))))</f>
        <v/>
      </c>
      <c r="LM34" s="31"/>
      <c r="LN34" s="31"/>
      <c r="LO34" s="31" t="str">
        <f>IF(LN34/(INDEX('Standards for Conversions'!$H$47:$H$73,MATCH(LM$3,'Standards for Conversions'!$A$47:$A$73,0)))=0,"",LN34/(INDEX('Standards for Conversions'!$H$47:$H$73,MATCH(LM$3,'Standards for Conversions'!$A$47:$A$73,0))))</f>
        <v/>
      </c>
      <c r="LP34" s="31"/>
      <c r="LQ34" s="31"/>
      <c r="LR34" s="31" t="str">
        <f>IF(LQ34/(INDEX('Standards for Conversions'!$H$47:$H$73,MATCH(LP$3,'Standards for Conversions'!$A$47:$A$73,0)))=0,"",LQ34/(INDEX('Standards for Conversions'!$H$47:$H$73,MATCH(LP$3,'Standards for Conversions'!$A$47:$A$73,0))))</f>
        <v/>
      </c>
      <c r="LS34" s="31"/>
      <c r="LT34" s="31"/>
      <c r="LU34" s="31" t="str">
        <f>IF(LT34/(INDEX('Standards for Conversions'!$H$47:$H$73,MATCH(LS$3,'Standards for Conversions'!$A$47:$A$73,0)))=0,"",LT34/(INDEX('Standards for Conversions'!$H$47:$H$73,MATCH(LS$3,'Standards for Conversions'!$A$47:$A$73,0))))</f>
        <v/>
      </c>
      <c r="LV34" s="31"/>
      <c r="LW34" s="31"/>
      <c r="LX34" s="31" t="str">
        <f>IF(LW34/(INDEX('Standards for Conversions'!$H$47:$H$73,MATCH(LV$3,'Standards for Conversions'!$A$47:$A$73,0)))=0,"",LW34/(INDEX('Standards for Conversions'!$H$47:$H$73,MATCH(LV$3,'Standards for Conversions'!$A$47:$A$73,0))))</f>
        <v/>
      </c>
      <c r="LY34" s="31"/>
      <c r="LZ34" s="31"/>
      <c r="MA34" s="31"/>
      <c r="MB34" s="31"/>
      <c r="MC34" s="31"/>
      <c r="MD34" s="31"/>
      <c r="ME34" s="31"/>
      <c r="MF34" s="31"/>
      <c r="MG34" s="31"/>
      <c r="MH34" s="31"/>
      <c r="MI34" s="31"/>
      <c r="MJ34" s="31"/>
      <c r="MK34" s="31"/>
      <c r="ML34" s="31"/>
      <c r="MM34" s="31"/>
      <c r="MN34" s="31"/>
    </row>
    <row r="35" spans="1:352" s="33" customFormat="1" ht="14.4" customHeight="1" x14ac:dyDescent="0.3">
      <c r="A35" s="102" t="s">
        <v>94</v>
      </c>
      <c r="B35" s="10"/>
      <c r="C35" s="7"/>
      <c r="D35" s="7"/>
      <c r="E35" s="31" t="s">
        <v>128</v>
      </c>
      <c r="F35" s="7"/>
      <c r="G35" s="7"/>
      <c r="H35" s="31" t="s">
        <v>128</v>
      </c>
      <c r="I35" s="9"/>
      <c r="J35" s="9"/>
      <c r="K35" s="31" t="s">
        <v>128</v>
      </c>
      <c r="L35" s="7"/>
      <c r="M35" s="7"/>
      <c r="N35" s="31" t="s">
        <v>128</v>
      </c>
      <c r="O35" s="31">
        <f t="shared" si="4"/>
        <v>0</v>
      </c>
      <c r="P35" s="31">
        <f t="shared" si="5"/>
        <v>0</v>
      </c>
      <c r="Q35" s="31" t="str">
        <f>IF(P35/(INDEX('Standards for Conversions'!$H$34:$H$73,MATCH(O$3,'Standards for Conversions'!$A$34:$A$73,0)))=0,"",P35/(INDEX('Standards for Conversions'!$H$34:$H$73,MATCH(O$3,'Standards for Conversions'!$A$34:$A$73,0))))</f>
        <v/>
      </c>
      <c r="R35" s="7"/>
      <c r="S35" s="7"/>
      <c r="T35" s="31" t="s">
        <v>128</v>
      </c>
      <c r="U35" s="7"/>
      <c r="V35" s="7"/>
      <c r="W35" s="31" t="s">
        <v>128</v>
      </c>
      <c r="X35" s="9"/>
      <c r="Y35" s="9"/>
      <c r="Z35" s="31" t="s">
        <v>128</v>
      </c>
      <c r="AA35" s="7"/>
      <c r="AB35" s="7"/>
      <c r="AC35" s="31" t="s">
        <v>128</v>
      </c>
      <c r="AD35" s="31">
        <f t="shared" si="6"/>
        <v>0</v>
      </c>
      <c r="AE35" s="31">
        <f t="shared" si="7"/>
        <v>0</v>
      </c>
      <c r="AF35" s="31" t="str">
        <f>IF(AE35/(INDEX('Standards for Conversions'!$H$34:$H$73,MATCH(AD$3,'Standards for Conversions'!$A$34:$A$73,0)))=0,"",AE35/(INDEX('Standards for Conversions'!$H$34:$H$73,MATCH(AD$3,'Standards for Conversions'!$A$34:$A$73,0))))</f>
        <v/>
      </c>
      <c r="AG35" s="7"/>
      <c r="AH35" s="7"/>
      <c r="AI35" s="31" t="s">
        <v>128</v>
      </c>
      <c r="AJ35" s="7"/>
      <c r="AK35" s="7"/>
      <c r="AL35" s="31" t="s">
        <v>128</v>
      </c>
      <c r="AM35" s="9"/>
      <c r="AN35" s="9"/>
      <c r="AO35" s="31" t="s">
        <v>128</v>
      </c>
      <c r="AP35" s="7"/>
      <c r="AQ35" s="7"/>
      <c r="AR35" s="31" t="s">
        <v>128</v>
      </c>
      <c r="AS35" s="31">
        <f t="shared" si="8"/>
        <v>0</v>
      </c>
      <c r="AT35" s="31">
        <f t="shared" si="9"/>
        <v>0</v>
      </c>
      <c r="AU35" s="31" t="str">
        <f>IF(AT35/(INDEX('Standards for Conversions'!$H$34:$H$73,MATCH(AS$3,'Standards for Conversions'!$A$34:$A$73,0)))=0,"",AT35/(INDEX('Standards for Conversions'!$H$34:$H$73,MATCH(AS$3,'Standards for Conversions'!$A$34:$A$73,0))))</f>
        <v/>
      </c>
      <c r="AV35" s="7"/>
      <c r="AW35" s="7"/>
      <c r="AX35" s="31" t="s">
        <v>128</v>
      </c>
      <c r="AY35" s="7"/>
      <c r="AZ35" s="7"/>
      <c r="BA35" s="31" t="s">
        <v>128</v>
      </c>
      <c r="BB35" s="9"/>
      <c r="BC35" s="9"/>
      <c r="BD35" s="31" t="s">
        <v>128</v>
      </c>
      <c r="BE35" s="7"/>
      <c r="BF35" s="7"/>
      <c r="BG35" s="31" t="s">
        <v>128</v>
      </c>
      <c r="BH35" s="31">
        <f t="shared" si="10"/>
        <v>0</v>
      </c>
      <c r="BI35" s="31">
        <f t="shared" si="11"/>
        <v>0</v>
      </c>
      <c r="BJ35" s="31" t="str">
        <f>IF(BI35/(INDEX('Standards for Conversions'!$H$34:$H$73,MATCH(BH$3,'Standards for Conversions'!$A$34:$A$73,0)))=0,"",BI35/(INDEX('Standards for Conversions'!$H$34:$H$73,MATCH(BH$3,'Standards for Conversions'!$A$34:$A$73,0))))</f>
        <v/>
      </c>
      <c r="BK35" s="7"/>
      <c r="BL35" s="7"/>
      <c r="BM35" s="31" t="s">
        <v>128</v>
      </c>
      <c r="BN35" s="7"/>
      <c r="BO35" s="7"/>
      <c r="BP35" s="31" t="s">
        <v>128</v>
      </c>
      <c r="BQ35" s="9"/>
      <c r="BR35" s="9"/>
      <c r="BS35" s="31" t="s">
        <v>128</v>
      </c>
      <c r="BT35" s="7"/>
      <c r="BU35" s="7"/>
      <c r="BV35" s="31" t="s">
        <v>128</v>
      </c>
      <c r="BW35" s="31">
        <f t="shared" si="12"/>
        <v>0</v>
      </c>
      <c r="BX35" s="31">
        <f t="shared" si="13"/>
        <v>0</v>
      </c>
      <c r="BY35" s="31" t="str">
        <f>IF(BX35/(INDEX('Standards for Conversions'!$H$34:$H$73,MATCH(BW$3,'Standards for Conversions'!$A$34:$A$73,0)))=0,"",BX35/(INDEX('Standards for Conversions'!$H$34:$H$73,MATCH(BW$3,'Standards for Conversions'!$A$34:$A$73,0))))</f>
        <v/>
      </c>
      <c r="BZ35" s="7"/>
      <c r="CA35" s="7"/>
      <c r="CB35" s="31" t="s">
        <v>128</v>
      </c>
      <c r="CC35" s="7"/>
      <c r="CD35" s="7"/>
      <c r="CE35" s="31" t="s">
        <v>128</v>
      </c>
      <c r="CF35" s="9"/>
      <c r="CG35" s="9"/>
      <c r="CH35" s="31" t="s">
        <v>128</v>
      </c>
      <c r="CI35" s="7"/>
      <c r="CJ35" s="7"/>
      <c r="CK35" s="31" t="s">
        <v>128</v>
      </c>
      <c r="CL35" s="31">
        <f t="shared" si="14"/>
        <v>0</v>
      </c>
      <c r="CM35" s="31">
        <f t="shared" si="15"/>
        <v>0</v>
      </c>
      <c r="CN35" s="31" t="str">
        <f>IF(CM35/(INDEX('Standards for Conversions'!$H$34:$H$73,MATCH(CL$3,'Standards for Conversions'!$A$34:$A$73,0)))=0,"",CM35/(INDEX('Standards for Conversions'!$H$34:$H$73,MATCH(CL$3,'Standards for Conversions'!$A$34:$A$73,0))))</f>
        <v/>
      </c>
      <c r="CO35" s="7"/>
      <c r="CP35" s="7"/>
      <c r="CQ35" s="31" t="s">
        <v>128</v>
      </c>
      <c r="CR35" s="7"/>
      <c r="CS35" s="7"/>
      <c r="CT35" s="31" t="s">
        <v>128</v>
      </c>
      <c r="CU35" s="9"/>
      <c r="CV35" s="9"/>
      <c r="CW35" s="31" t="s">
        <v>128</v>
      </c>
      <c r="CX35" s="7"/>
      <c r="CY35" s="7"/>
      <c r="CZ35" s="31" t="s">
        <v>128</v>
      </c>
      <c r="DA35" s="31">
        <f t="shared" si="16"/>
        <v>0</v>
      </c>
      <c r="DB35" s="31">
        <f t="shared" si="17"/>
        <v>0</v>
      </c>
      <c r="DC35" s="31" t="str">
        <f>IF(DB35/(INDEX('Standards for Conversions'!$H$34:$H$73,MATCH(DA$3,'Standards for Conversions'!$A$34:$A$73,0)))=0,"",DB35/(INDEX('Standards for Conversions'!$H$34:$H$73,MATCH(DA$3,'Standards for Conversions'!$A$34:$A$73,0))))</f>
        <v/>
      </c>
      <c r="DD35" s="7"/>
      <c r="DE35" s="7"/>
      <c r="DF35" s="31" t="s">
        <v>128</v>
      </c>
      <c r="DG35" s="7"/>
      <c r="DH35" s="7"/>
      <c r="DI35" s="31" t="s">
        <v>128</v>
      </c>
      <c r="DJ35" s="9"/>
      <c r="DK35" s="9"/>
      <c r="DL35" s="31" t="s">
        <v>128</v>
      </c>
      <c r="DM35" s="7"/>
      <c r="DN35" s="7"/>
      <c r="DO35" s="31" t="s">
        <v>128</v>
      </c>
      <c r="DP35" s="31">
        <f t="shared" si="18"/>
        <v>0</v>
      </c>
      <c r="DQ35" s="31">
        <f t="shared" si="19"/>
        <v>0</v>
      </c>
      <c r="DR35" s="31" t="str">
        <f>IF(DQ35/(INDEX('Standards for Conversions'!$H$34:$H$73,MATCH(DP$3,'Standards for Conversions'!$A$34:$A$73,0)))=0,"",DQ35/(INDEX('Standards for Conversions'!$H$34:$H$73,MATCH(DP$3,'Standards for Conversions'!$A$34:$A$73,0))))</f>
        <v/>
      </c>
      <c r="DS35" s="7"/>
      <c r="DT35" s="7"/>
      <c r="DU35" s="31" t="s">
        <v>128</v>
      </c>
      <c r="DV35" s="7"/>
      <c r="DW35" s="7"/>
      <c r="DX35" s="31" t="s">
        <v>128</v>
      </c>
      <c r="DY35" s="9"/>
      <c r="DZ35" s="9"/>
      <c r="EA35" s="31" t="s">
        <v>128</v>
      </c>
      <c r="EB35" s="7"/>
      <c r="EC35" s="7"/>
      <c r="ED35" s="31" t="s">
        <v>128</v>
      </c>
      <c r="EE35" s="31">
        <f t="shared" si="20"/>
        <v>0</v>
      </c>
      <c r="EF35" s="31">
        <f t="shared" si="21"/>
        <v>0</v>
      </c>
      <c r="EG35" s="31" t="str">
        <f>IF(EF35/(INDEX('Standards for Conversions'!$H$34:$H$73,MATCH(EE$3,'Standards for Conversions'!$A$34:$A$73,0)))=0,"",EF35/(INDEX('Standards for Conversions'!$H$34:$H$73,MATCH(EE$3,'Standards for Conversions'!$A$34:$A$73,0))))</f>
        <v/>
      </c>
      <c r="EH35" s="7"/>
      <c r="EI35" s="7"/>
      <c r="EJ35" s="31" t="s">
        <v>128</v>
      </c>
      <c r="EK35" s="7"/>
      <c r="EL35" s="7"/>
      <c r="EM35" s="31" t="s">
        <v>128</v>
      </c>
      <c r="EN35" s="9"/>
      <c r="EO35" s="9"/>
      <c r="EP35" s="31" t="s">
        <v>128</v>
      </c>
      <c r="EQ35" s="7"/>
      <c r="ER35" s="7"/>
      <c r="ES35" s="31" t="s">
        <v>128</v>
      </c>
      <c r="ET35" s="31">
        <f t="shared" si="22"/>
        <v>0</v>
      </c>
      <c r="EU35" s="31">
        <f t="shared" si="23"/>
        <v>0</v>
      </c>
      <c r="EV35" s="31" t="str">
        <f>IF(EU35/(INDEX('Standards for Conversions'!$H$34:$H$73,MATCH(ET$3,'Standards for Conversions'!$A$34:$A$73,0)))=0,"",EU35/(INDEX('Standards for Conversions'!$H$34:$H$73,MATCH(ET$3,'Standards for Conversions'!$A$34:$A$73,0))))</f>
        <v/>
      </c>
      <c r="EW35" s="7"/>
      <c r="EX35" s="7"/>
      <c r="EY35" s="31" t="s">
        <v>128</v>
      </c>
      <c r="EZ35" s="7"/>
      <c r="FA35" s="7"/>
      <c r="FB35" s="31" t="s">
        <v>128</v>
      </c>
      <c r="FC35" s="9"/>
      <c r="FD35" s="9"/>
      <c r="FE35" s="31" t="s">
        <v>128</v>
      </c>
      <c r="FF35" s="7"/>
      <c r="FG35" s="7"/>
      <c r="FH35" s="31" t="s">
        <v>128</v>
      </c>
      <c r="FI35" s="31">
        <f t="shared" si="24"/>
        <v>0</v>
      </c>
      <c r="FJ35" s="31">
        <f t="shared" si="25"/>
        <v>0</v>
      </c>
      <c r="FK35" s="31" t="str">
        <f>IF(FJ35/(INDEX('Standards for Conversions'!$H$34:$H$73,MATCH(FI$3,'Standards for Conversions'!$A$34:$A$73,0)))=0,"",FJ35/(INDEX('Standards for Conversions'!$H$34:$H$73,MATCH(FI$3,'Standards for Conversions'!$A$34:$A$73,0))))</f>
        <v/>
      </c>
      <c r="FL35" s="7"/>
      <c r="FM35" s="7"/>
      <c r="FN35" s="31" t="s">
        <v>128</v>
      </c>
      <c r="FO35" s="7"/>
      <c r="FP35" s="7"/>
      <c r="FQ35" s="31" t="s">
        <v>128</v>
      </c>
      <c r="FR35" s="9"/>
      <c r="FS35" s="9"/>
      <c r="FT35" s="31" t="s">
        <v>128</v>
      </c>
      <c r="FU35" s="7"/>
      <c r="FV35" s="7"/>
      <c r="FW35" s="31" t="s">
        <v>128</v>
      </c>
      <c r="FX35" s="31">
        <f t="shared" si="26"/>
        <v>0</v>
      </c>
      <c r="FY35" s="31">
        <f t="shared" si="27"/>
        <v>0</v>
      </c>
      <c r="FZ35" s="31" t="str">
        <f>IF(FY35/(INDEX('Standards for Conversions'!$H$34:$H$73,MATCH(FX$3,'Standards for Conversions'!$A$34:$A$73,0)))=0,"",FY35/(INDEX('Standards for Conversions'!$H$34:$H$73,MATCH(FX$3,'Standards for Conversions'!$A$34:$A$73,0))))</f>
        <v/>
      </c>
      <c r="GA35" s="7"/>
      <c r="GB35" s="7"/>
      <c r="GC35" s="31" t="s">
        <v>128</v>
      </c>
      <c r="GD35" s="7"/>
      <c r="GE35" s="7"/>
      <c r="GF35" s="31" t="s">
        <v>128</v>
      </c>
      <c r="GG35" s="9"/>
      <c r="GH35" s="9"/>
      <c r="GI35" s="31" t="s">
        <v>128</v>
      </c>
      <c r="GJ35" s="7"/>
      <c r="GK35" s="7"/>
      <c r="GL35" s="31" t="s">
        <v>128</v>
      </c>
      <c r="GM35" s="31">
        <f t="shared" si="28"/>
        <v>0</v>
      </c>
      <c r="GN35" s="31">
        <f t="shared" si="29"/>
        <v>0</v>
      </c>
      <c r="GO35" s="31" t="str">
        <f>IF(GN35/(INDEX('Standards for Conversions'!$H$34:$H$73,MATCH(GM$3,'Standards for Conversions'!$A$34:$A$73,0)))=0,"",GN35/(INDEX('Standards for Conversions'!$H$34:$H$73,MATCH(GM$3,'Standards for Conversions'!$A$34:$A$73,0))))</f>
        <v/>
      </c>
      <c r="GP35" s="7"/>
      <c r="GQ35" s="7"/>
      <c r="GR35" s="31" t="s">
        <v>128</v>
      </c>
      <c r="GS35" s="7"/>
      <c r="GT35" s="7"/>
      <c r="GU35" s="31" t="s">
        <v>128</v>
      </c>
      <c r="GV35" s="9"/>
      <c r="GW35" s="9"/>
      <c r="GX35" s="31" t="s">
        <v>128</v>
      </c>
      <c r="GY35" s="7"/>
      <c r="GZ35" s="7"/>
      <c r="HA35" s="31" t="s">
        <v>128</v>
      </c>
      <c r="HB35" s="31">
        <f t="shared" si="30"/>
        <v>0</v>
      </c>
      <c r="HC35" s="31">
        <f t="shared" si="31"/>
        <v>0</v>
      </c>
      <c r="HD35" s="31" t="str">
        <f>IF(HC35/(INDEX('Standards for Conversions'!$H$34:$H$73,MATCH(HB$3,'Standards for Conversions'!$A$34:$A$73,0)))=0,"",HC35/(INDEX('Standards for Conversions'!$H$34:$H$73,MATCH(HB$3,'Standards for Conversions'!$A$34:$A$73,0))))</f>
        <v/>
      </c>
      <c r="HE35" s="112"/>
      <c r="HF35" s="31"/>
      <c r="HG35" s="31"/>
      <c r="HH35" s="31" t="str">
        <f>IF(HG35/(INDEX('Standards for Conversions'!$H$47:$H$73,MATCH(HF$3,'Standards for Conversions'!$A$47:$A$73,0)))=0,"",HG35/(INDEX('Standards for Conversions'!$H$47:$H$73,MATCH(HF$3,'Standards for Conversions'!$A$47:$A$73,0))))</f>
        <v/>
      </c>
      <c r="HI35" s="31"/>
      <c r="HJ35" s="31"/>
      <c r="HK35" s="31" t="str">
        <f>IF(HJ35/(INDEX('Standards for Conversions'!$H$47:$H$73,MATCH(HI$3,'Standards for Conversions'!$A$47:$A$73,0)))=0,"",HJ35/(INDEX('Standards for Conversions'!$H$47:$H$73,MATCH(HI$3,'Standards for Conversions'!$A$47:$A$73,0))))</f>
        <v/>
      </c>
      <c r="HL35" s="31"/>
      <c r="HM35" s="31"/>
      <c r="HN35" s="31" t="str">
        <f>IF(HM35/(INDEX('Standards for Conversions'!$H$47:$H$73,MATCH(HL$3,'Standards for Conversions'!$A$47:$A$73,0)))=0,"",HM35/(INDEX('Standards for Conversions'!$H$47:$H$73,MATCH(HL$3,'Standards for Conversions'!$A$47:$A$73,0))))</f>
        <v/>
      </c>
      <c r="HO35" s="31"/>
      <c r="HP35" s="31"/>
      <c r="HQ35" s="31" t="str">
        <f>IF(HP35/(INDEX('Standards for Conversions'!$H$47:$H$73,MATCH(HO$3,'Standards for Conversions'!$A$47:$A$73,0)))=0,"",HP35/(INDEX('Standards for Conversions'!$H$47:$H$73,MATCH(HO$3,'Standards for Conversions'!$A$47:$A$73,0))))</f>
        <v/>
      </c>
      <c r="HR35" s="31"/>
      <c r="HS35" s="31"/>
      <c r="HT35" s="31" t="str">
        <f>IF(HS35/(INDEX('Standards for Conversions'!$H$47:$H$73,MATCH(HR$3,'Standards for Conversions'!$A$47:$A$73,0)))=0,"",HS35/(INDEX('Standards for Conversions'!$H$47:$H$73,MATCH(HR$3,'Standards for Conversions'!$A$47:$A$73,0))))</f>
        <v/>
      </c>
      <c r="HU35" s="31"/>
      <c r="HV35" s="31"/>
      <c r="HW35" s="31" t="str">
        <f>IF(HV35/(INDEX('Standards for Conversions'!$H$47:$H$73,MATCH(HU$3,'Standards for Conversions'!$A$47:$A$73,0)))=0,"",HV35/(INDEX('Standards for Conversions'!$H$47:$H$73,MATCH(HU$3,'Standards for Conversions'!$A$47:$A$73,0))))</f>
        <v/>
      </c>
      <c r="HX35" s="31"/>
      <c r="HY35" s="31"/>
      <c r="HZ35" s="31" t="str">
        <f>IF(HY35/(INDEX('Standards for Conversions'!$H$47:$H$73,MATCH(HX$3,'Standards for Conversions'!$A$47:$A$73,0)))=0,"",HY35/(INDEX('Standards for Conversions'!$H$47:$H$73,MATCH(HX$3,'Standards for Conversions'!$A$47:$A$73,0))))</f>
        <v/>
      </c>
      <c r="IA35" s="31"/>
      <c r="IB35" s="31"/>
      <c r="IC35" s="31" t="str">
        <f>IF(IB35/(INDEX('Standards for Conversions'!$H$47:$H$73,MATCH(IA$3,'Standards for Conversions'!$A$47:$A$73,0)))=0,"",IB35/(INDEX('Standards for Conversions'!$H$47:$H$73,MATCH(IA$3,'Standards for Conversions'!$A$47:$A$73,0))))</f>
        <v/>
      </c>
      <c r="ID35" s="31"/>
      <c r="IE35" s="31"/>
      <c r="IF35" s="31" t="str">
        <f>IF(IE35/(INDEX('Standards for Conversions'!$H$47:$H$73,MATCH(ID$3,'Standards for Conversions'!$A$47:$A$73,0)))=0,"",IE35/(INDEX('Standards for Conversions'!$H$47:$H$73,MATCH(ID$3,'Standards for Conversions'!$A$47:$A$73,0))))</f>
        <v/>
      </c>
      <c r="IG35" s="31"/>
      <c r="IH35" s="31"/>
      <c r="II35" s="31" t="str">
        <f>IF(IH35/(INDEX('Standards for Conversions'!$H$47:$H$73,MATCH(IG$3,'Standards for Conversions'!$A$47:$A$73,0)))=0,"",IH35/(INDEX('Standards for Conversions'!$H$47:$H$73,MATCH(IG$3,'Standards for Conversions'!$A$47:$A$73,0))))</f>
        <v/>
      </c>
      <c r="IJ35" s="31"/>
      <c r="IK35" s="31"/>
      <c r="IL35" s="31" t="str">
        <f>IF(IK35/(INDEX('Standards for Conversions'!$H$47:$H$73,MATCH(IJ$3,'Standards for Conversions'!$A$47:$A$73,0)))=0,"",IK35/(INDEX('Standards for Conversions'!$H$47:$H$73,MATCH(IJ$3,'Standards for Conversions'!$A$47:$A$73,0))))</f>
        <v/>
      </c>
      <c r="IM35" s="31"/>
      <c r="IN35" s="31"/>
      <c r="IO35" s="31" t="str">
        <f>IF(IN35/(INDEX('Standards for Conversions'!$H$47:$H$73,MATCH(IM$3,'Standards for Conversions'!$A$47:$A$73,0)))=0,"",IN35/(INDEX('Standards for Conversions'!$H$47:$H$73,MATCH(IM$3,'Standards for Conversions'!$A$47:$A$73,0))))</f>
        <v/>
      </c>
      <c r="IP35" s="31"/>
      <c r="IQ35" s="31"/>
      <c r="IR35" s="31" t="str">
        <f>IF(IQ35/(INDEX('Standards for Conversions'!$H$47:$H$73,MATCH(IP$3,'Standards for Conversions'!$A$47:$A$73,0)))=0,"",IQ35/(INDEX('Standards for Conversions'!$H$47:$H$73,MATCH(IP$3,'Standards for Conversions'!$A$47:$A$73,0))))</f>
        <v/>
      </c>
      <c r="IS35" s="31"/>
      <c r="IT35" s="31"/>
      <c r="IU35" s="31" t="str">
        <f>IF(IT35/(INDEX('Standards for Conversions'!$H$47:$H$73,MATCH(IS$3,'Standards for Conversions'!$A$47:$A$73,0)))=0,"",IT35/(INDEX('Standards for Conversions'!$H$47:$H$73,MATCH(IS$3,'Standards for Conversions'!$A$47:$A$73,0))))</f>
        <v/>
      </c>
      <c r="IV35" s="31"/>
      <c r="IW35" s="31"/>
      <c r="IX35" s="31" t="str">
        <f>IF(IW35/(INDEX('Standards for Conversions'!$H$47:$H$73,MATCH(IV$3,'Standards for Conversions'!$A$47:$A$73,0)))=0,"",IW35/(INDEX('Standards for Conversions'!$H$47:$H$73,MATCH(IV$3,'Standards for Conversions'!$A$47:$A$73,0))))</f>
        <v/>
      </c>
      <c r="IY35" s="31"/>
      <c r="IZ35" s="31"/>
      <c r="JA35" s="31" t="str">
        <f>IF(IZ35/(INDEX('Standards for Conversions'!$H$47:$H$73,MATCH(IY$3,'Standards for Conversions'!$A$47:$A$73,0)))=0,"",IZ35/(INDEX('Standards for Conversions'!$H$47:$H$73,MATCH(IY$3,'Standards for Conversions'!$A$47:$A$73,0))))</f>
        <v/>
      </c>
      <c r="JB35" s="31"/>
      <c r="JC35" s="31"/>
      <c r="JD35" s="31" t="str">
        <f>IF(JC35/(INDEX('Standards for Conversions'!$H$47:$H$73,MATCH(JB$3,'Standards for Conversions'!$A$47:$A$73,0)))=0,"",JC35/(INDEX('Standards for Conversions'!$H$47:$H$73,MATCH(JB$3,'Standards for Conversions'!$A$47:$A$73,0))))</f>
        <v/>
      </c>
      <c r="JE35" s="31"/>
      <c r="JF35" s="31"/>
      <c r="JG35" s="31" t="str">
        <f>IF(JF35/(INDEX('Standards for Conversions'!$H$47:$H$73,MATCH(JE$3,'Standards for Conversions'!$A$47:$A$73,0)))=0,"",JF35/(INDEX('Standards for Conversions'!$H$47:$H$73,MATCH(JE$3,'Standards for Conversions'!$A$47:$A$73,0))))</f>
        <v/>
      </c>
      <c r="JH35" s="31"/>
      <c r="JI35" s="31"/>
      <c r="JJ35" s="31" t="str">
        <f>IF(JI35/(INDEX('Standards for Conversions'!$H$47:$H$73,MATCH(JH$3,'Standards for Conversions'!$A$47:$A$73,0)))=0,"",JI35/(INDEX('Standards for Conversions'!$H$47:$H$73,MATCH(JH$3,'Standards for Conversions'!$A$47:$A$73,0))))</f>
        <v/>
      </c>
      <c r="JK35" s="31"/>
      <c r="JL35" s="31"/>
      <c r="JM35" s="31" t="str">
        <f>IF(JL35/(INDEX('Standards for Conversions'!$H$47:$H$73,MATCH(JK$3,'Standards for Conversions'!$A$47:$A$73,0)))=0,"",JL35/(INDEX('Standards for Conversions'!$H$47:$H$73,MATCH(JK$3,'Standards for Conversions'!$A$47:$A$73,0))))</f>
        <v/>
      </c>
      <c r="JN35" s="31"/>
      <c r="JO35" s="31"/>
      <c r="JP35" s="31" t="str">
        <f>IF(JO35/(INDEX('Standards for Conversions'!$H$47:$H$73,MATCH(JN$3,'Standards for Conversions'!$A$47:$A$73,0)))=0,"",JO35/(INDEX('Standards for Conversions'!$H$47:$H$73,MATCH(JN$3,'Standards for Conversions'!$A$47:$A$73,0))))</f>
        <v/>
      </c>
      <c r="JQ35" s="31"/>
      <c r="JR35" s="31"/>
      <c r="JS35" s="31" t="str">
        <f>IF(JR35/(INDEX('Standards for Conversions'!$H$47:$H$73,MATCH(JQ$3,'Standards for Conversions'!$A$47:$A$73,0)))=0,"",JR35/(INDEX('Standards for Conversions'!$H$47:$H$73,MATCH(JQ$3,'Standards for Conversions'!$A$47:$A$73,0))))</f>
        <v/>
      </c>
      <c r="JT35" s="31"/>
      <c r="JU35" s="31"/>
      <c r="JV35" s="31" t="str">
        <f>IF(JU35/(INDEX('Standards for Conversions'!$H$47:$H$73,MATCH(JT$3,'Standards for Conversions'!$A$47:$A$73,0)))=0,"",JU35/(INDEX('Standards for Conversions'!$H$47:$H$73,MATCH(JT$3,'Standards for Conversions'!$A$47:$A$73,0))))</f>
        <v/>
      </c>
      <c r="JW35" s="31"/>
      <c r="JX35" s="31"/>
      <c r="JY35" s="31" t="str">
        <f>IF(JX35/(INDEX('Standards for Conversions'!$H$47:$H$73,MATCH(JW$3,'Standards for Conversions'!$A$47:$A$73,0)))=0,"",JX35/(INDEX('Standards for Conversions'!$H$47:$H$73,MATCH(JW$3,'Standards for Conversions'!$A$47:$A$73,0))))</f>
        <v/>
      </c>
      <c r="JZ35" s="31"/>
      <c r="KA35" s="31"/>
      <c r="KB35" s="31" t="str">
        <f>IF(KA35/(INDEX('Standards for Conversions'!$H$47:$H$73,MATCH(JZ$3,'Standards for Conversions'!$A$47:$A$73,0)))=0,"",KA35/(INDEX('Standards for Conversions'!$H$47:$H$73,MATCH(JZ$3,'Standards for Conversions'!$A$47:$A$73,0))))</f>
        <v/>
      </c>
      <c r="KC35" s="31"/>
      <c r="KD35" s="31"/>
      <c r="KE35" s="31" t="str">
        <f>IF(KD35/(INDEX('Standards for Conversions'!$H$47:$H$73,MATCH(KC$3,'Standards for Conversions'!$A$47:$A$73,0)))=0,"",KD35/(INDEX('Standards for Conversions'!$H$47:$H$73,MATCH(KC$3,'Standards for Conversions'!$A$47:$A$73,0))))</f>
        <v/>
      </c>
      <c r="KF35" s="31"/>
      <c r="KG35" s="31"/>
      <c r="KH35" s="31" t="str">
        <f>IF(KG35/(INDEX('Standards for Conversions'!$H$47:$H$73,MATCH(KF$3,'Standards for Conversions'!$A$47:$A$73,0)))=0,"",KG35/(INDEX('Standards for Conversions'!$H$47:$H$73,MATCH(KF$3,'Standards for Conversions'!$A$47:$A$73,0))))</f>
        <v/>
      </c>
      <c r="KI35" s="31"/>
      <c r="KJ35" s="31"/>
      <c r="KK35" s="31" t="str">
        <f>IF(KJ35/(INDEX('Standards for Conversions'!$H$47:$H$73,MATCH(KI$3,'Standards for Conversions'!$A$47:$A$73,0)))=0,"",KJ35/(INDEX('Standards for Conversions'!$H$47:$H$73,MATCH(KI$3,'Standards for Conversions'!$A$47:$A$73,0))))</f>
        <v/>
      </c>
      <c r="KL35" s="31"/>
      <c r="KM35" s="31"/>
      <c r="KN35" s="31" t="str">
        <f>IF(KM35/(INDEX('Standards for Conversions'!$H$47:$H$73,MATCH(KL$3,'Standards for Conversions'!$A$47:$A$73,0)))=0,"",KM35/(INDEX('Standards for Conversions'!$H$47:$H$73,MATCH(KL$3,'Standards for Conversions'!$A$47:$A$73,0))))</f>
        <v/>
      </c>
      <c r="KO35" s="31"/>
      <c r="KP35" s="31"/>
      <c r="KQ35" s="31" t="str">
        <f>IF(KP35/(INDEX('Standards for Conversions'!$H$47:$H$73,MATCH(KO$3,'Standards for Conversions'!$A$47:$A$73,0)))=0,"",KP35/(INDEX('Standards for Conversions'!$H$47:$H$73,MATCH(KO$3,'Standards for Conversions'!$A$47:$A$73,0))))</f>
        <v/>
      </c>
      <c r="KR35" s="31"/>
      <c r="KS35" s="31"/>
      <c r="KT35" s="31" t="str">
        <f>IF(KS35/(INDEX('Standards for Conversions'!$H$47:$H$73,MATCH(KR$3,'Standards for Conversions'!$A$47:$A$73,0)))=0,"",KS35/(INDEX('Standards for Conversions'!$H$47:$H$73,MATCH(KR$3,'Standards for Conversions'!$A$47:$A$73,0))))</f>
        <v/>
      </c>
      <c r="KU35" s="31"/>
      <c r="KV35" s="31"/>
      <c r="KW35" s="31" t="str">
        <f>IF(KV35/(INDEX('Standards for Conversions'!$H$47:$H$73,MATCH(KU$3,'Standards for Conversions'!$A$47:$A$73,0)))=0,"",KV35/(INDEX('Standards for Conversions'!$H$47:$H$73,MATCH(KU$3,'Standards for Conversions'!$A$47:$A$73,0))))</f>
        <v/>
      </c>
      <c r="KX35" s="31"/>
      <c r="KY35" s="31"/>
      <c r="KZ35" s="31" t="str">
        <f>IF(KY35/(INDEX('Standards for Conversions'!$H$47:$H$73,MATCH(KX$3,'Standards for Conversions'!$A$47:$A$73,0)))=0,"",KY35/(INDEX('Standards for Conversions'!$H$47:$H$73,MATCH(KX$3,'Standards for Conversions'!$A$47:$A$73,0))))</f>
        <v/>
      </c>
      <c r="LA35" s="31"/>
      <c r="LB35" s="31"/>
      <c r="LC35" s="31" t="str">
        <f>IF(LB35/(INDEX('Standards for Conversions'!$H$47:$H$73,MATCH(LA$3,'Standards for Conversions'!$A$47:$A$73,0)))=0,"",LB35/(INDEX('Standards for Conversions'!$H$47:$H$73,MATCH(LA$3,'Standards for Conversions'!$A$47:$A$73,0))))</f>
        <v/>
      </c>
      <c r="LD35" s="31"/>
      <c r="LE35" s="31"/>
      <c r="LF35" s="31" t="str">
        <f>IF(LE35/(INDEX('Standards for Conversions'!$H$47:$H$73,MATCH(LD$3,'Standards for Conversions'!$A$47:$A$73,0)))=0,"",LE35/(INDEX('Standards for Conversions'!$H$47:$H$73,MATCH(LD$3,'Standards for Conversions'!$A$47:$A$73,0))))</f>
        <v/>
      </c>
      <c r="LG35" s="31"/>
      <c r="LH35" s="31"/>
      <c r="LI35" s="31" t="str">
        <f>IF(LH35/(INDEX('Standards for Conversions'!$H$47:$H$73,MATCH(LG$3,'Standards for Conversions'!$A$47:$A$73,0)))=0,"",LH35/(INDEX('Standards for Conversions'!$H$47:$H$73,MATCH(LG$3,'Standards for Conversions'!$A$47:$A$73,0))))</f>
        <v/>
      </c>
      <c r="LJ35" s="31"/>
      <c r="LK35" s="31"/>
      <c r="LL35" s="31" t="str">
        <f>IF(LK35/(INDEX('Standards for Conversions'!$H$47:$H$73,MATCH(LJ$3,'Standards for Conversions'!$A$47:$A$73,0)))=0,"",LK35/(INDEX('Standards for Conversions'!$H$47:$H$73,MATCH(LJ$3,'Standards for Conversions'!$A$47:$A$73,0))))</f>
        <v/>
      </c>
      <c r="LM35" s="31"/>
      <c r="LN35" s="31"/>
      <c r="LO35" s="31" t="str">
        <f>IF(LN35/(INDEX('Standards for Conversions'!$H$47:$H$73,MATCH(LM$3,'Standards for Conversions'!$A$47:$A$73,0)))=0,"",LN35/(INDEX('Standards for Conversions'!$H$47:$H$73,MATCH(LM$3,'Standards for Conversions'!$A$47:$A$73,0))))</f>
        <v/>
      </c>
      <c r="LP35" s="31"/>
      <c r="LQ35" s="31"/>
      <c r="LR35" s="31" t="str">
        <f>IF(LQ35/(INDEX('Standards for Conversions'!$H$47:$H$73,MATCH(LP$3,'Standards for Conversions'!$A$47:$A$73,0)))=0,"",LQ35/(INDEX('Standards for Conversions'!$H$47:$H$73,MATCH(LP$3,'Standards for Conversions'!$A$47:$A$73,0))))</f>
        <v/>
      </c>
      <c r="LS35" s="31"/>
      <c r="LT35" s="31"/>
      <c r="LU35" s="31" t="str">
        <f>IF(LT35/(INDEX('Standards for Conversions'!$H$47:$H$73,MATCH(LS$3,'Standards for Conversions'!$A$47:$A$73,0)))=0,"",LT35/(INDEX('Standards for Conversions'!$H$47:$H$73,MATCH(LS$3,'Standards for Conversions'!$A$47:$A$73,0))))</f>
        <v/>
      </c>
      <c r="LV35" s="31"/>
      <c r="LW35" s="31"/>
      <c r="LX35" s="31" t="str">
        <f>IF(LW35/(INDEX('Standards for Conversions'!$H$47:$H$73,MATCH(LV$3,'Standards for Conversions'!$A$47:$A$73,0)))=0,"",LW35/(INDEX('Standards for Conversions'!$H$47:$H$73,MATCH(LV$3,'Standards for Conversions'!$A$47:$A$73,0))))</f>
        <v/>
      </c>
      <c r="LY35" s="31"/>
      <c r="LZ35" s="31"/>
      <c r="MA35" s="31"/>
      <c r="MB35" s="31"/>
      <c r="MC35" s="31"/>
      <c r="MD35" s="31"/>
      <c r="ME35" s="31"/>
      <c r="MF35" s="31"/>
      <c r="MG35" s="31"/>
      <c r="MH35" s="31"/>
      <c r="MI35" s="31">
        <v>13830</v>
      </c>
      <c r="MJ35" s="31">
        <v>2329</v>
      </c>
      <c r="MK35" s="31">
        <v>9811</v>
      </c>
      <c r="ML35" s="31">
        <v>1537</v>
      </c>
      <c r="MM35" s="31"/>
      <c r="MN35" s="31"/>
    </row>
    <row r="36" spans="1:352" s="33" customFormat="1" ht="14.4" customHeight="1" x14ac:dyDescent="0.3">
      <c r="A36" s="102" t="s">
        <v>70</v>
      </c>
      <c r="B36" s="10" t="s">
        <v>399</v>
      </c>
      <c r="C36">
        <v>875</v>
      </c>
      <c r="D36" s="7">
        <v>6000</v>
      </c>
      <c r="E36" s="31">
        <v>1185.2533783783783</v>
      </c>
      <c r="F36" s="7"/>
      <c r="G36" s="7"/>
      <c r="H36" s="31" t="s">
        <v>128</v>
      </c>
      <c r="I36" s="9"/>
      <c r="J36" s="9"/>
      <c r="K36" s="31" t="s">
        <v>128</v>
      </c>
      <c r="L36" s="9">
        <v>8750</v>
      </c>
      <c r="M36" s="9">
        <v>50000</v>
      </c>
      <c r="N36" s="31">
        <v>9877.1114864864849</v>
      </c>
      <c r="O36" s="31">
        <f t="shared" si="4"/>
        <v>9625</v>
      </c>
      <c r="P36" s="31">
        <f t="shared" si="5"/>
        <v>56000</v>
      </c>
      <c r="Q36" s="31">
        <f>IF(P36/(INDEX('Standards for Conversions'!$H$34:$H$73,MATCH(O$3,'Standards for Conversions'!$A$34:$A$73,0)))=0,"",P36/(INDEX('Standards for Conversions'!$H$34:$H$73,MATCH(O$3,'Standards for Conversions'!$A$34:$A$73,0))))</f>
        <v>11062.364864864863</v>
      </c>
      <c r="R36">
        <v>1225</v>
      </c>
      <c r="S36" s="7">
        <v>7000</v>
      </c>
      <c r="T36" s="31">
        <v>1348.7073991193765</v>
      </c>
      <c r="U36" s="7"/>
      <c r="V36" s="7"/>
      <c r="W36" s="31" t="s">
        <v>128</v>
      </c>
      <c r="X36" s="9"/>
      <c r="Y36" s="9"/>
      <c r="Z36" s="31" t="s">
        <v>128</v>
      </c>
      <c r="AA36" s="9">
        <v>12250</v>
      </c>
      <c r="AB36" s="9">
        <v>70000</v>
      </c>
      <c r="AC36" s="31">
        <v>13487.073991193765</v>
      </c>
      <c r="AD36" s="31">
        <f t="shared" si="6"/>
        <v>13475</v>
      </c>
      <c r="AE36" s="31">
        <f t="shared" si="7"/>
        <v>77000</v>
      </c>
      <c r="AF36" s="31">
        <f>IF(AE36/(INDEX('Standards for Conversions'!$H$34:$H$73,MATCH(AD$3,'Standards for Conversions'!$A$34:$A$73,0)))=0,"",AE36/(INDEX('Standards for Conversions'!$H$34:$H$73,MATCH(AD$3,'Standards for Conversions'!$A$34:$A$73,0))))</f>
        <v>14835.781390313141</v>
      </c>
      <c r="AG36">
        <v>2275</v>
      </c>
      <c r="AH36" s="7">
        <v>14000</v>
      </c>
      <c r="AI36" s="31">
        <v>2501.7781205642937</v>
      </c>
      <c r="AJ36" s="7">
        <v>437.5</v>
      </c>
      <c r="AK36" s="7">
        <v>1000</v>
      </c>
      <c r="AL36" s="31">
        <v>178.69843718316383</v>
      </c>
      <c r="AM36" s="9"/>
      <c r="AN36" s="9"/>
      <c r="AO36" s="31" t="s">
        <v>128</v>
      </c>
      <c r="AP36" s="9">
        <v>5425</v>
      </c>
      <c r="AQ36" s="9">
        <v>37200</v>
      </c>
      <c r="AR36" s="31">
        <v>6647.5818632136961</v>
      </c>
      <c r="AS36" s="31">
        <f t="shared" si="8"/>
        <v>8137.5</v>
      </c>
      <c r="AT36" s="31">
        <f t="shared" si="9"/>
        <v>52200</v>
      </c>
      <c r="AU36" s="31">
        <f>IF(AT36/(INDEX('Standards for Conversions'!$H$34:$H$73,MATCH(AS$3,'Standards for Conversions'!$A$34:$A$73,0)))=0,"",AT36/(INDEX('Standards for Conversions'!$H$34:$H$73,MATCH(AS$3,'Standards for Conversions'!$A$34:$A$73,0))))</f>
        <v>9328.0584209611534</v>
      </c>
      <c r="AV36"/>
      <c r="AW36" s="7"/>
      <c r="AX36" s="31" t="s">
        <v>128</v>
      </c>
      <c r="AY36" s="7"/>
      <c r="AZ36" s="7"/>
      <c r="BA36" s="31" t="s">
        <v>128</v>
      </c>
      <c r="BB36" s="9"/>
      <c r="BC36" s="9"/>
      <c r="BD36" s="31" t="s">
        <v>128</v>
      </c>
      <c r="BE36" s="9">
        <v>5250</v>
      </c>
      <c r="BF36" s="9">
        <v>33000</v>
      </c>
      <c r="BG36" s="31">
        <v>6127.6202257321629</v>
      </c>
      <c r="BH36" s="31">
        <f t="shared" si="10"/>
        <v>5250</v>
      </c>
      <c r="BI36" s="31">
        <f t="shared" si="11"/>
        <v>33000</v>
      </c>
      <c r="BJ36" s="31">
        <f>IF(BI36/(INDEX('Standards for Conversions'!$H$34:$H$73,MATCH(BH$3,'Standards for Conversions'!$A$34:$A$73,0)))=0,"",BI36/(INDEX('Standards for Conversions'!$H$34:$H$73,MATCH(BH$3,'Standards for Conversions'!$A$34:$A$73,0))))</f>
        <v>6127.6202257321629</v>
      </c>
      <c r="BK36">
        <v>875</v>
      </c>
      <c r="BL36" s="7">
        <v>5000</v>
      </c>
      <c r="BM36" s="31">
        <v>890.31626582370131</v>
      </c>
      <c r="BN36" s="7">
        <v>175</v>
      </c>
      <c r="BO36" s="7">
        <v>1000</v>
      </c>
      <c r="BP36" s="31">
        <v>178.06325316474027</v>
      </c>
      <c r="BQ36" s="9"/>
      <c r="BR36" s="9"/>
      <c r="BS36" s="31" t="s">
        <v>128</v>
      </c>
      <c r="BT36" s="9">
        <v>7000</v>
      </c>
      <c r="BU36" s="9">
        <v>40000</v>
      </c>
      <c r="BV36" s="31">
        <v>7122.5301265896105</v>
      </c>
      <c r="BW36" s="31">
        <f t="shared" si="12"/>
        <v>8050</v>
      </c>
      <c r="BX36" s="31">
        <f t="shared" si="13"/>
        <v>46000</v>
      </c>
      <c r="BY36" s="31">
        <f>IF(BX36/(INDEX('Standards for Conversions'!$H$34:$H$73,MATCH(BW$3,'Standards for Conversions'!$A$34:$A$73,0)))=0,"",BX36/(INDEX('Standards for Conversions'!$H$34:$H$73,MATCH(BW$3,'Standards for Conversions'!$A$34:$A$73,0))))</f>
        <v>8190.9096455780527</v>
      </c>
      <c r="BZ36">
        <v>875</v>
      </c>
      <c r="CA36" s="7">
        <v>6500</v>
      </c>
      <c r="CB36" s="31">
        <v>1128.5102727325395</v>
      </c>
      <c r="CC36" s="7">
        <v>175</v>
      </c>
      <c r="CD36" s="7">
        <v>1000</v>
      </c>
      <c r="CE36" s="31">
        <v>173.61696503577531</v>
      </c>
      <c r="CF36" s="9"/>
      <c r="CG36" s="9"/>
      <c r="CH36" s="31" t="s">
        <v>128</v>
      </c>
      <c r="CI36" s="9">
        <v>7000</v>
      </c>
      <c r="CJ36" s="9">
        <v>48000</v>
      </c>
      <c r="CK36" s="31">
        <v>8333.6143217172157</v>
      </c>
      <c r="CL36" s="31">
        <f t="shared" si="14"/>
        <v>8050</v>
      </c>
      <c r="CM36" s="31">
        <f t="shared" si="15"/>
        <v>55500</v>
      </c>
      <c r="CN36" s="31">
        <f>IF(CM36/(INDEX('Standards for Conversions'!$H$34:$H$73,MATCH(CL$3,'Standards for Conversions'!$A$34:$A$73,0)))=0,"",CM36/(INDEX('Standards for Conversions'!$H$34:$H$73,MATCH(CL$3,'Standards for Conversions'!$A$34:$A$73,0))))</f>
        <v>9635.7415594855302</v>
      </c>
      <c r="CO36" s="7">
        <v>525</v>
      </c>
      <c r="CP36" s="7">
        <v>4500</v>
      </c>
      <c r="CQ36" s="31">
        <v>796.52075910315466</v>
      </c>
      <c r="CR36" s="7"/>
      <c r="CS36" s="7"/>
      <c r="CT36" s="31" t="s">
        <v>128</v>
      </c>
      <c r="CU36" s="9"/>
      <c r="CV36" s="9"/>
      <c r="CW36" s="31" t="s">
        <v>128</v>
      </c>
      <c r="CX36" s="9">
        <v>9012.5</v>
      </c>
      <c r="CY36" s="9">
        <v>60000</v>
      </c>
      <c r="CZ36" s="31">
        <v>10620.276788042062</v>
      </c>
      <c r="DA36" s="31">
        <f t="shared" si="16"/>
        <v>9537.5</v>
      </c>
      <c r="DB36" s="31">
        <f t="shared" si="17"/>
        <v>64500</v>
      </c>
      <c r="DC36" s="31">
        <f>IF(DB36/(INDEX('Standards for Conversions'!$H$34:$H$73,MATCH(DA$3,'Standards for Conversions'!$A$34:$A$73,0)))=0,"",DB36/(INDEX('Standards for Conversions'!$H$34:$H$73,MATCH(DA$3,'Standards for Conversions'!$A$34:$A$73,0))))</f>
        <v>11416.797547145216</v>
      </c>
      <c r="DD36" s="7">
        <v>700</v>
      </c>
      <c r="DE36" s="7">
        <v>6000</v>
      </c>
      <c r="DF36" s="31">
        <v>1050.5943664725819</v>
      </c>
      <c r="DG36" s="9"/>
      <c r="DH36" s="9"/>
      <c r="DI36" s="31" t="s">
        <v>128</v>
      </c>
      <c r="DJ36" s="9"/>
      <c r="DK36" s="9"/>
      <c r="DL36" s="31" t="s">
        <v>128</v>
      </c>
      <c r="DM36" s="9">
        <v>8750</v>
      </c>
      <c r="DN36" s="9">
        <v>60000</v>
      </c>
      <c r="DO36" s="31">
        <v>10505.943664725819</v>
      </c>
      <c r="DP36" s="31">
        <f t="shared" si="18"/>
        <v>9450</v>
      </c>
      <c r="DQ36" s="31">
        <f t="shared" si="19"/>
        <v>66000</v>
      </c>
      <c r="DR36" s="31">
        <f>IF(DQ36/(INDEX('Standards for Conversions'!$H$34:$H$73,MATCH(DP$3,'Standards for Conversions'!$A$34:$A$73,0)))=0,"",DQ36/(INDEX('Standards for Conversions'!$H$34:$H$73,MATCH(DP$3,'Standards for Conversions'!$A$34:$A$73,0))))</f>
        <v>11556.538031198401</v>
      </c>
      <c r="DS36" s="9"/>
      <c r="DT36" s="9"/>
      <c r="DU36" s="31" t="s">
        <v>128</v>
      </c>
      <c r="DV36" s="9">
        <f>4*16</f>
        <v>64</v>
      </c>
      <c r="DW36" s="9">
        <v>420</v>
      </c>
      <c r="DX36" s="31">
        <v>73.452679890501429</v>
      </c>
      <c r="DY36" s="9"/>
      <c r="DZ36" s="9"/>
      <c r="EA36" s="31" t="s">
        <v>128</v>
      </c>
      <c r="EB36" s="9">
        <v>176.75</v>
      </c>
      <c r="EC36" s="9">
        <v>1180</v>
      </c>
      <c r="ED36" s="31">
        <v>206.36705302569447</v>
      </c>
      <c r="EE36" s="31">
        <f t="shared" si="20"/>
        <v>240.75</v>
      </c>
      <c r="EF36" s="31">
        <f t="shared" si="21"/>
        <v>1600</v>
      </c>
      <c r="EG36" s="31">
        <f>IF(EF36/(INDEX('Standards for Conversions'!$H$34:$H$73,MATCH(EE$3,'Standards for Conversions'!$A$34:$A$73,0)))=0,"",EF36/(INDEX('Standards for Conversions'!$H$34:$H$73,MATCH(EE$3,'Standards for Conversions'!$A$34:$A$73,0))))</f>
        <v>279.8197329161959</v>
      </c>
      <c r="EH36" s="9"/>
      <c r="EI36" s="9"/>
      <c r="EJ36" s="31" t="s">
        <v>128</v>
      </c>
      <c r="EK36" s="9">
        <f>4*27</f>
        <v>108</v>
      </c>
      <c r="EL36" s="9">
        <v>550</v>
      </c>
      <c r="EM36" s="31">
        <v>94.208376332522221</v>
      </c>
      <c r="EN36" s="9"/>
      <c r="EO36" s="9"/>
      <c r="EP36" s="31" t="s">
        <v>128</v>
      </c>
      <c r="EQ36" s="9">
        <v>9894.5</v>
      </c>
      <c r="ER36" s="9">
        <v>66220</v>
      </c>
      <c r="ES36" s="31">
        <v>11342.688510435675</v>
      </c>
      <c r="ET36" s="31">
        <f t="shared" si="22"/>
        <v>10002.5</v>
      </c>
      <c r="EU36" s="31">
        <f t="shared" si="23"/>
        <v>66770</v>
      </c>
      <c r="EV36" s="31">
        <f>IF(EU36/(INDEX('Standards for Conversions'!$H$34:$H$73,MATCH(ET$3,'Standards for Conversions'!$A$34:$A$73,0)))=0,"",EU36/(INDEX('Standards for Conversions'!$H$34:$H$73,MATCH(ET$3,'Standards for Conversions'!$A$34:$A$73,0))))</f>
        <v>11436.896886768198</v>
      </c>
      <c r="EW36" s="9"/>
      <c r="EX36" s="9"/>
      <c r="EY36" s="31" t="s">
        <v>128</v>
      </c>
      <c r="EZ36" s="9"/>
      <c r="FA36" s="9"/>
      <c r="FB36" s="31" t="s">
        <v>128</v>
      </c>
      <c r="FC36" s="9"/>
      <c r="FD36" s="9"/>
      <c r="FE36" s="31" t="s">
        <v>128</v>
      </c>
      <c r="FF36" s="9">
        <v>10500</v>
      </c>
      <c r="FG36" s="9">
        <v>70000</v>
      </c>
      <c r="FH36" s="31">
        <v>12004.977948205438</v>
      </c>
      <c r="FI36" s="31">
        <f t="shared" si="24"/>
        <v>10500</v>
      </c>
      <c r="FJ36" s="31">
        <f t="shared" si="25"/>
        <v>70000</v>
      </c>
      <c r="FK36" s="31">
        <f>IF(FJ36/(INDEX('Standards for Conversions'!$H$34:$H$73,MATCH(FI$3,'Standards for Conversions'!$A$34:$A$73,0)))=0,"",FJ36/(INDEX('Standards for Conversions'!$H$34:$H$73,MATCH(FI$3,'Standards for Conversions'!$A$34:$A$73,0))))</f>
        <v>12004.977948205438</v>
      </c>
      <c r="FL36" s="9"/>
      <c r="FM36" s="9"/>
      <c r="FN36" s="31" t="s">
        <v>128</v>
      </c>
      <c r="FO36" s="9"/>
      <c r="FP36" s="9"/>
      <c r="FQ36" s="31" t="s">
        <v>128</v>
      </c>
      <c r="FR36" s="9"/>
      <c r="FS36" s="9"/>
      <c r="FT36" s="31" t="s">
        <v>128</v>
      </c>
      <c r="FU36" s="9">
        <v>9800</v>
      </c>
      <c r="FV36" s="9">
        <v>45900</v>
      </c>
      <c r="FW36" s="31">
        <v>7551.1311294212219</v>
      </c>
      <c r="FX36" s="31">
        <f t="shared" si="26"/>
        <v>9800</v>
      </c>
      <c r="FY36" s="31">
        <f t="shared" si="27"/>
        <v>45900</v>
      </c>
      <c r="FZ36" s="31">
        <f>IF(FY36/(INDEX('Standards for Conversions'!$H$34:$H$73,MATCH(FX$3,'Standards for Conversions'!$A$34:$A$73,0)))=0,"",FY36/(INDEX('Standards for Conversions'!$H$34:$H$73,MATCH(FX$3,'Standards for Conversions'!$A$34:$A$73,0))))</f>
        <v>7551.1311294212219</v>
      </c>
      <c r="GA36" s="9"/>
      <c r="GB36" s="9"/>
      <c r="GC36" s="31" t="s">
        <v>128</v>
      </c>
      <c r="GD36" s="9"/>
      <c r="GE36" s="9"/>
      <c r="GF36" s="31" t="s">
        <v>128</v>
      </c>
      <c r="GG36" s="9"/>
      <c r="GH36" s="9"/>
      <c r="GI36" s="31" t="s">
        <v>128</v>
      </c>
      <c r="GJ36" s="9">
        <v>9275</v>
      </c>
      <c r="GK36" s="9">
        <v>45300</v>
      </c>
      <c r="GL36" s="31">
        <v>6963.2683203702099</v>
      </c>
      <c r="GM36" s="31">
        <f t="shared" si="28"/>
        <v>9275</v>
      </c>
      <c r="GN36" s="31">
        <f t="shared" si="29"/>
        <v>45300</v>
      </c>
      <c r="GO36" s="31">
        <f>IF(GN36/(INDEX('Standards for Conversions'!$H$34:$H$73,MATCH(GM$3,'Standards for Conversions'!$A$34:$A$73,0)))=0,"",GN36/(INDEX('Standards for Conversions'!$H$34:$H$73,MATCH(GM$3,'Standards for Conversions'!$A$34:$A$73,0))))</f>
        <v>6963.2683203702099</v>
      </c>
      <c r="GP36" s="9"/>
      <c r="GQ36" s="9"/>
      <c r="GR36" s="31" t="s">
        <v>128</v>
      </c>
      <c r="GS36" s="9"/>
      <c r="GT36" s="9"/>
      <c r="GU36" s="31" t="s">
        <v>128</v>
      </c>
      <c r="GV36" s="9"/>
      <c r="GW36" s="9"/>
      <c r="GX36" s="31" t="s">
        <v>128</v>
      </c>
      <c r="GY36" s="9">
        <v>11025</v>
      </c>
      <c r="GZ36" s="9">
        <v>53000</v>
      </c>
      <c r="HA36" s="31">
        <v>8023.4327927203713</v>
      </c>
      <c r="HB36" s="31">
        <f t="shared" si="30"/>
        <v>11025</v>
      </c>
      <c r="HC36" s="31">
        <f t="shared" si="31"/>
        <v>53000</v>
      </c>
      <c r="HD36" s="31">
        <f>IF(HC36/(INDEX('Standards for Conversions'!$H$34:$H$73,MATCH(HB$3,'Standards for Conversions'!$A$34:$A$73,0)))=0,"",HC36/(INDEX('Standards for Conversions'!$H$34:$H$73,MATCH(HB$3,'Standards for Conversions'!$A$34:$A$73,0))))</f>
        <v>8023.4327927203713</v>
      </c>
      <c r="HE36" s="112" t="s">
        <v>98</v>
      </c>
      <c r="HF36" s="31"/>
      <c r="HG36" s="31"/>
      <c r="HH36" s="31" t="str">
        <f>IF(HG36/(INDEX('Standards for Conversions'!$H$47:$H$73,MATCH(HF$3,'Standards for Conversions'!$A$47:$A$73,0)))=0,"",HG36/(INDEX('Standards for Conversions'!$H$47:$H$73,MATCH(HF$3,'Standards for Conversions'!$A$47:$A$73,0))))</f>
        <v/>
      </c>
      <c r="HI36" s="31"/>
      <c r="HJ36" s="31"/>
      <c r="HK36" s="31" t="str">
        <f>IF(HJ36/(INDEX('Standards for Conversions'!$H$47:$H$73,MATCH(HI$3,'Standards for Conversions'!$A$47:$A$73,0)))=0,"",HJ36/(INDEX('Standards for Conversions'!$H$47:$H$73,MATCH(HI$3,'Standards for Conversions'!$A$47:$A$73,0))))</f>
        <v/>
      </c>
      <c r="HL36" s="31"/>
      <c r="HM36" s="31"/>
      <c r="HN36" s="31" t="str">
        <f>IF(HM36/(INDEX('Standards for Conversions'!$H$47:$H$73,MATCH(HL$3,'Standards for Conversions'!$A$47:$A$73,0)))=0,"",HM36/(INDEX('Standards for Conversions'!$H$47:$H$73,MATCH(HL$3,'Standards for Conversions'!$A$47:$A$73,0))))</f>
        <v/>
      </c>
      <c r="HO36" s="31">
        <v>11375</v>
      </c>
      <c r="HP36" s="31">
        <v>55000</v>
      </c>
      <c r="HQ36" s="31">
        <f>IF(HP36/(INDEX('Standards for Conversions'!$H$47:$H$73,MATCH(HO$3,'Standards for Conversions'!$A$47:$A$73,0)))=0,"",HP36/(INDEX('Standards for Conversions'!$H$47:$H$73,MATCH(HO$3,'Standards for Conversions'!$A$47:$A$73,0))))</f>
        <v>7988.4976717070776</v>
      </c>
      <c r="HR36" s="31">
        <f t="shared" ref="HR36:HS38" si="81">HF36+HI36+HL36+HO36</f>
        <v>11375</v>
      </c>
      <c r="HS36" s="31">
        <f t="shared" si="81"/>
        <v>55000</v>
      </c>
      <c r="HT36" s="31">
        <f>IF(HS36/(INDEX('Standards for Conversions'!$H$47:$H$73,MATCH(HR$3,'Standards for Conversions'!$A$47:$A$73,0)))=0,"",HS36/(INDEX('Standards for Conversions'!$H$47:$H$73,MATCH(HR$3,'Standards for Conversions'!$A$47:$A$73,0))))</f>
        <v>7988.4976717070776</v>
      </c>
      <c r="HU36" s="31">
        <v>4663.75</v>
      </c>
      <c r="HV36" s="31">
        <v>21000</v>
      </c>
      <c r="HW36" s="31">
        <f>IF(HV36/(INDEX('Standards for Conversions'!$H$47:$H$73,MATCH(HU$3,'Standards for Conversions'!$A$47:$A$73,0)))=0,"",HV36/(INDEX('Standards for Conversions'!$H$47:$H$73,MATCH(HU$3,'Standards for Conversions'!$A$47:$A$73,0))))</f>
        <v>3036.8147920830797</v>
      </c>
      <c r="HX36" s="31"/>
      <c r="HY36" s="31"/>
      <c r="HZ36" s="31" t="str">
        <f>IF(HY36/(INDEX('Standards for Conversions'!$H$47:$H$73,MATCH(HX$3,'Standards for Conversions'!$A$47:$A$73,0)))=0,"",HY36/(INDEX('Standards for Conversions'!$H$47:$H$73,MATCH(HX$3,'Standards for Conversions'!$A$47:$A$73,0))))</f>
        <v/>
      </c>
      <c r="IA36" s="31"/>
      <c r="IB36" s="31"/>
      <c r="IC36" s="31" t="str">
        <f>IF(IB36/(INDEX('Standards for Conversions'!$H$47:$H$73,MATCH(IA$3,'Standards for Conversions'!$A$47:$A$73,0)))=0,"",IB36/(INDEX('Standards for Conversions'!$H$47:$H$73,MATCH(IA$3,'Standards for Conversions'!$A$47:$A$73,0))))</f>
        <v/>
      </c>
      <c r="ID36" s="31">
        <v>9019.5</v>
      </c>
      <c r="IE36" s="31">
        <v>46630</v>
      </c>
      <c r="IF36" s="31">
        <f>IF(IE36/(INDEX('Standards for Conversions'!$H$47:$H$73,MATCH(ID$3,'Standards for Conversions'!$A$47:$A$73,0)))=0,"",IE36/(INDEX('Standards for Conversions'!$H$47:$H$73,MATCH(ID$3,'Standards for Conversions'!$A$47:$A$73,0))))</f>
        <v>6743.1749407063808</v>
      </c>
      <c r="IG36" s="31">
        <f t="shared" ref="IG36:IH38" si="82">HU36+HX36+IA36+ID36</f>
        <v>13683.25</v>
      </c>
      <c r="IH36" s="31">
        <f t="shared" si="82"/>
        <v>67630</v>
      </c>
      <c r="II36" s="31">
        <f>IF(IH36/(INDEX('Standards for Conversions'!$H$47:$H$73,MATCH(IG$3,'Standards for Conversions'!$A$47:$A$73,0)))=0,"",IH36/(INDEX('Standards for Conversions'!$H$47:$H$73,MATCH(IG$3,'Standards for Conversions'!$A$47:$A$73,0))))</f>
        <v>9779.9897327894614</v>
      </c>
      <c r="IJ36" s="31"/>
      <c r="IK36" s="31"/>
      <c r="IL36" s="31" t="str">
        <f>IF(IK36/(INDEX('Standards for Conversions'!$H$47:$H$73,MATCH(IJ$3,'Standards for Conversions'!$A$47:$A$73,0)))=0,"",IK36/(INDEX('Standards for Conversions'!$H$47:$H$73,MATCH(IJ$3,'Standards for Conversions'!$A$47:$A$73,0))))</f>
        <v/>
      </c>
      <c r="IM36" s="31"/>
      <c r="IN36" s="31"/>
      <c r="IO36" s="31" t="str">
        <f>IF(IN36/(INDEX('Standards for Conversions'!$H$47:$H$73,MATCH(IM$3,'Standards for Conversions'!$A$47:$A$73,0)))=0,"",IN36/(INDEX('Standards for Conversions'!$H$47:$H$73,MATCH(IM$3,'Standards for Conversions'!$A$47:$A$73,0))))</f>
        <v/>
      </c>
      <c r="IP36" s="31"/>
      <c r="IQ36" s="31"/>
      <c r="IR36" s="31" t="str">
        <f>IF(IQ36/(INDEX('Standards for Conversions'!$H$47:$H$73,MATCH(IP$3,'Standards for Conversions'!$A$47:$A$73,0)))=0,"",IQ36/(INDEX('Standards for Conversions'!$H$47:$H$73,MATCH(IP$3,'Standards for Conversions'!$A$47:$A$73,0))))</f>
        <v/>
      </c>
      <c r="IS36" s="31">
        <v>9572.5</v>
      </c>
      <c r="IT36" s="31">
        <v>59050</v>
      </c>
      <c r="IU36" s="31">
        <f>IF(IT36/(INDEX('Standards for Conversions'!$H$47:$H$73,MATCH(IS$3,'Standards for Conversions'!$A$47:$A$73,0)))=0,"",IT36/(INDEX('Standards for Conversions'!$H$47:$H$73,MATCH(IS$3,'Standards for Conversions'!$A$47:$A$73,0))))</f>
        <v>9551.9396146548461</v>
      </c>
      <c r="IV36" s="31">
        <f t="shared" ref="IV36:IW38" si="83">IJ36+IM36+IP36+IS36</f>
        <v>9572.5</v>
      </c>
      <c r="IW36" s="31">
        <f t="shared" si="83"/>
        <v>59050</v>
      </c>
      <c r="IX36" s="31">
        <f>IF(IW36/(INDEX('Standards for Conversions'!$H$47:$H$73,MATCH(IV$3,'Standards for Conversions'!$A$47:$A$73,0)))=0,"",IW36/(INDEX('Standards for Conversions'!$H$47:$H$73,MATCH(IV$3,'Standards for Conversions'!$A$47:$A$73,0))))</f>
        <v>9551.9396146548461</v>
      </c>
      <c r="IY36" s="31">
        <v>2625</v>
      </c>
      <c r="IZ36" s="31">
        <v>14000</v>
      </c>
      <c r="JA36" s="31">
        <f>IF(IZ36/(INDEX('Standards for Conversions'!$H$47:$H$73,MATCH(IY$3,'Standards for Conversions'!$A$47:$A$73,0)))=0,"",IZ36/(INDEX('Standards for Conversions'!$H$47:$H$73,MATCH(IY$3,'Standards for Conversions'!$A$47:$A$73,0))))</f>
        <v>2137.1824939891658</v>
      </c>
      <c r="JB36" s="31"/>
      <c r="JC36" s="31"/>
      <c r="JD36" s="31" t="str">
        <f>IF(JC36/(INDEX('Standards for Conversions'!$H$47:$H$73,MATCH(JB$3,'Standards for Conversions'!$A$47:$A$73,0)))=0,"",JC36/(INDEX('Standards for Conversions'!$H$47:$H$73,MATCH(JB$3,'Standards for Conversions'!$A$47:$A$73,0))))</f>
        <v/>
      </c>
      <c r="JE36" s="31"/>
      <c r="JF36" s="31"/>
      <c r="JG36" s="31" t="str">
        <f>IF(JF36/(INDEX('Standards for Conversions'!$H$47:$H$73,MATCH(JE$3,'Standards for Conversions'!$A$47:$A$73,0)))=0,"",JF36/(INDEX('Standards for Conversions'!$H$47:$H$73,MATCH(JE$3,'Standards for Conversions'!$A$47:$A$73,0))))</f>
        <v/>
      </c>
      <c r="JH36" s="31">
        <v>8750</v>
      </c>
      <c r="JI36" s="31">
        <v>45000</v>
      </c>
      <c r="JJ36" s="31">
        <f>IF(JI36/(INDEX('Standards for Conversions'!$H$47:$H$73,MATCH(JH$3,'Standards for Conversions'!$A$47:$A$73,0)))=0,"",JI36/(INDEX('Standards for Conversions'!$H$47:$H$73,MATCH(JH$3,'Standards for Conversions'!$A$47:$A$73,0))))</f>
        <v>6869.5151592508901</v>
      </c>
      <c r="JK36" s="31">
        <f t="shared" ref="JK36:JL38" si="84">IY36+JB36+JE36+JH36</f>
        <v>11375</v>
      </c>
      <c r="JL36" s="31">
        <f t="shared" si="84"/>
        <v>59000</v>
      </c>
      <c r="JM36" s="31">
        <f>IF(JL36/(INDEX('Standards for Conversions'!$H$47:$H$73,MATCH(JK$3,'Standards for Conversions'!$A$47:$A$73,0)))=0,"",JL36/(INDEX('Standards for Conversions'!$H$47:$H$73,MATCH(JK$3,'Standards for Conversions'!$A$47:$A$73,0))))</f>
        <v>9006.6976532400568</v>
      </c>
      <c r="JN36" s="31"/>
      <c r="JO36" s="31"/>
      <c r="JP36" s="31" t="str">
        <f>IF(JO36/(INDEX('Standards for Conversions'!$H$47:$H$73,MATCH(JN$3,'Standards for Conversions'!$A$47:$A$73,0)))=0,"",JO36/(INDEX('Standards for Conversions'!$H$47:$H$73,MATCH(JN$3,'Standards for Conversions'!$A$47:$A$73,0))))</f>
        <v/>
      </c>
      <c r="JQ36" s="31"/>
      <c r="JR36" s="31"/>
      <c r="JS36" s="31" t="str">
        <f>IF(JR36/(INDEX('Standards for Conversions'!$H$47:$H$73,MATCH(JQ$3,'Standards for Conversions'!$A$47:$A$73,0)))=0,"",JR36/(INDEX('Standards for Conversions'!$H$47:$H$73,MATCH(JQ$3,'Standards for Conversions'!$A$47:$A$73,0))))</f>
        <v/>
      </c>
      <c r="JT36" s="31"/>
      <c r="JU36" s="31"/>
      <c r="JV36" s="31" t="str">
        <f>IF(JU36/(INDEX('Standards for Conversions'!$H$47:$H$73,MATCH(JT$3,'Standards for Conversions'!$A$47:$A$73,0)))=0,"",JU36/(INDEX('Standards for Conversions'!$H$47:$H$73,MATCH(JT$3,'Standards for Conversions'!$A$47:$A$73,0))))</f>
        <v/>
      </c>
      <c r="JW36" s="31">
        <v>9905</v>
      </c>
      <c r="JX36" s="31">
        <v>63050</v>
      </c>
      <c r="JY36" s="31">
        <f>IF(JX36/(INDEX('Standards for Conversions'!$H$47:$H$73,MATCH(JW$3,'Standards for Conversions'!$A$47:$A$73,0)))=0,"",JX36/(INDEX('Standards for Conversions'!$H$47:$H$73,MATCH(JW$3,'Standards for Conversions'!$A$47:$A$73,0))))</f>
        <v>8490.2507006604665</v>
      </c>
      <c r="JZ36" s="31">
        <f t="shared" ref="JZ36:KA38" si="85">JN36+JQ36+JT36+JW36</f>
        <v>9905</v>
      </c>
      <c r="KA36" s="31">
        <f t="shared" si="85"/>
        <v>63050</v>
      </c>
      <c r="KB36" s="31">
        <f>IF(KA36/(INDEX('Standards for Conversions'!$H$47:$H$73,MATCH(JZ$3,'Standards for Conversions'!$A$47:$A$73,0)))=0,"",KA36/(INDEX('Standards for Conversions'!$H$47:$H$73,MATCH(JZ$3,'Standards for Conversions'!$A$47:$A$73,0))))</f>
        <v>8490.2507006604665</v>
      </c>
      <c r="KC36" s="31">
        <v>700</v>
      </c>
      <c r="KD36" s="31">
        <v>5000</v>
      </c>
      <c r="KE36" s="31">
        <f>IF(KD36/(INDEX('Standards for Conversions'!$H$47:$H$73,MATCH(KC$3,'Standards for Conversions'!$A$47:$A$73,0)))=0,"",KD36/(INDEX('Standards for Conversions'!$H$47:$H$73,MATCH(KC$3,'Standards for Conversions'!$A$47:$A$73,0))))</f>
        <v>608.08283363749592</v>
      </c>
      <c r="KF36" s="31"/>
      <c r="KG36" s="31"/>
      <c r="KH36" s="31" t="str">
        <f>IF(KG36/(INDEX('Standards for Conversions'!$H$47:$H$73,MATCH(KF$3,'Standards for Conversions'!$A$47:$A$73,0)))=0,"",KG36/(INDEX('Standards for Conversions'!$H$47:$H$73,MATCH(KF$3,'Standards for Conversions'!$A$47:$A$73,0))))</f>
        <v/>
      </c>
      <c r="KI36" s="31"/>
      <c r="KJ36" s="31"/>
      <c r="KK36" s="31" t="str">
        <f>IF(KJ36/(INDEX('Standards for Conversions'!$H$47:$H$73,MATCH(KI$3,'Standards for Conversions'!$A$47:$A$73,0)))=0,"",KJ36/(INDEX('Standards for Conversions'!$H$47:$H$73,MATCH(KI$3,'Standards for Conversions'!$A$47:$A$73,0))))</f>
        <v/>
      </c>
      <c r="KL36" s="31">
        <v>12792.5</v>
      </c>
      <c r="KM36" s="31">
        <v>67760</v>
      </c>
      <c r="KN36" s="31">
        <f>IF(KM36/(INDEX('Standards for Conversions'!$H$47:$H$73,MATCH(KL$3,'Standards for Conversions'!$A$47:$A$73,0)))=0,"",KM36/(INDEX('Standards for Conversions'!$H$47:$H$73,MATCH(KL$3,'Standards for Conversions'!$A$47:$A$73,0))))</f>
        <v>8240.7385614553441</v>
      </c>
      <c r="KO36" s="31">
        <f t="shared" ref="KO36:KP38" si="86">KC36+KF36+KI36+KL36</f>
        <v>13492.5</v>
      </c>
      <c r="KP36" s="31">
        <f t="shared" si="86"/>
        <v>72760</v>
      </c>
      <c r="KQ36" s="31">
        <f>IF(KP36/(INDEX('Standards for Conversions'!$H$47:$H$73,MATCH(KO$3,'Standards for Conversions'!$A$47:$A$73,0)))=0,"",KP36/(INDEX('Standards for Conversions'!$H$47:$H$73,MATCH(KO$3,'Standards for Conversions'!$A$47:$A$73,0))))</f>
        <v>8848.8213950928402</v>
      </c>
      <c r="KR36" s="31">
        <v>9870</v>
      </c>
      <c r="KS36" s="31">
        <v>65000</v>
      </c>
      <c r="KT36" s="31">
        <f>IF(KS36/(INDEX('Standards for Conversions'!$H$47:$H$73,MATCH(KR$3,'Standards for Conversions'!$A$47:$A$73,0)))=0,"",KS36/(INDEX('Standards for Conversions'!$H$47:$H$73,MATCH(KR$3,'Standards for Conversions'!$A$47:$A$73,0))))</f>
        <v>6371.9543448190952</v>
      </c>
      <c r="KU36" s="31">
        <v>9135</v>
      </c>
      <c r="KV36" s="31">
        <v>60900</v>
      </c>
      <c r="KW36" s="31">
        <f>IF(KV36/(INDEX('Standards for Conversions'!$H$47:$H$73,MATCH(KU$3,'Standards for Conversions'!$A$47:$A$73,0)))=0,"",KV36/(INDEX('Standards for Conversions'!$H$47:$H$73,MATCH(KU$3,'Standards for Conversions'!$A$47:$A$73,0))))</f>
        <v>6150.5503687972523</v>
      </c>
      <c r="KX36" s="31">
        <v>9000</v>
      </c>
      <c r="KY36" s="31">
        <v>60000</v>
      </c>
      <c r="KZ36" s="31">
        <f>IF(KY36/(INDEX('Standards for Conversions'!$H$47:$H$73,MATCH(KX$3,'Standards for Conversions'!$A$47:$A$73,0)))=0,"",KY36/(INDEX('Standards for Conversions'!$H$47:$H$73,MATCH(KX$3,'Standards for Conversions'!$A$47:$A$73,0))))</f>
        <v>6262.9144216563818</v>
      </c>
      <c r="LA36" s="31">
        <v>10000</v>
      </c>
      <c r="LB36" s="31">
        <v>70000</v>
      </c>
      <c r="LC36" s="31">
        <f>IF(LB36/(INDEX('Standards for Conversions'!$H$47:$H$73,MATCH(LA$3,'Standards for Conversions'!$A$47:$A$73,0)))=0,"",LB36/(INDEX('Standards for Conversions'!$H$47:$H$73,MATCH(LA$3,'Standards for Conversions'!$A$47:$A$73,0))))</f>
        <v>6536.0435495785159</v>
      </c>
      <c r="LD36" s="31">
        <f>9000</f>
        <v>9000</v>
      </c>
      <c r="LE36" s="31">
        <v>60000</v>
      </c>
      <c r="LF36" s="31">
        <f>IF(LE36/(INDEX('Standards for Conversions'!$H$47:$H$73,MATCH(LD$3,'Standards for Conversions'!$A$47:$A$73,0)))=0,"",LE36/(INDEX('Standards for Conversions'!$H$47:$H$73,MATCH(LD$3,'Standards for Conversions'!$A$47:$A$73,0))))</f>
        <v>5475.2862388111571</v>
      </c>
      <c r="LG36" s="31">
        <v>8000</v>
      </c>
      <c r="LH36" s="31">
        <v>53000</v>
      </c>
      <c r="LI36" s="31">
        <f>IF(LH36/(INDEX('Standards for Conversions'!$H$47:$H$73,MATCH(LG$3,'Standards for Conversions'!$A$47:$A$73,0)))=0,"",LH36/(INDEX('Standards for Conversions'!$H$47:$H$73,MATCH(LG$3,'Standards for Conversions'!$A$47:$A$73,0))))</f>
        <v>4926.2755188870533</v>
      </c>
      <c r="LJ36" s="31">
        <v>10043</v>
      </c>
      <c r="LK36" s="31">
        <v>59423</v>
      </c>
      <c r="LL36" s="31">
        <f>IF(LK36/(INDEX('Standards for Conversions'!$H$47:$H$73,MATCH(LJ$3,'Standards for Conversions'!$A$47:$A$73,0)))=0,"",LK36/(INDEX('Standards for Conversions'!$H$47:$H$73,MATCH(LJ$3,'Standards for Conversions'!$A$47:$A$73,0))))</f>
        <v>5699.4255289443381</v>
      </c>
      <c r="LM36" s="31">
        <v>12326</v>
      </c>
      <c r="LN36" s="31">
        <v>68771</v>
      </c>
      <c r="LO36" s="31">
        <f>IF(LN36/(INDEX('Standards for Conversions'!$H$47:$H$73,MATCH(LM$3,'Standards for Conversions'!$A$47:$A$73,0)))=0,"",LN36/(INDEX('Standards for Conversions'!$H$47:$H$73,MATCH(LM$3,'Standards for Conversions'!$A$47:$A$73,0))))</f>
        <v>6333.9248189960445</v>
      </c>
      <c r="LP36" s="31">
        <v>24100</v>
      </c>
      <c r="LQ36" s="31">
        <v>136400</v>
      </c>
      <c r="LR36" s="31">
        <f>IF(LQ36/(INDEX('Standards for Conversions'!$H$47:$H$73,MATCH(LP$3,'Standards for Conversions'!$A$47:$A$73,0)))=0,"",LQ36/(INDEX('Standards for Conversions'!$H$47:$H$73,MATCH(LP$3,'Standards for Conversions'!$A$47:$A$73,0))))</f>
        <v>11118.684514498418</v>
      </c>
      <c r="LS36" s="31">
        <f>16500+11200+5100</f>
        <v>32800</v>
      </c>
      <c r="LT36" s="31">
        <f>105600+67200+25700</f>
        <v>198500</v>
      </c>
      <c r="LU36" s="31">
        <f>IF(LT36/(INDEX('Standards for Conversions'!$H$47:$H$73,MATCH(LS$3,'Standards for Conversions'!$A$47:$A$73,0)))=0,"",LT36/(INDEX('Standards for Conversions'!$H$47:$H$73,MATCH(LS$3,'Standards for Conversions'!$A$47:$A$73,0))))</f>
        <v>16643.091650734332</v>
      </c>
      <c r="LV36" s="31">
        <v>15200</v>
      </c>
      <c r="LW36" s="31">
        <v>144400</v>
      </c>
      <c r="LX36" s="31">
        <f>IF(LW36/(INDEX('Standards for Conversions'!$H$47:$H$73,MATCH(LV$3,'Standards for Conversions'!$A$47:$A$73,0)))=0,"",LW36/(INDEX('Standards for Conversions'!$H$47:$H$73,MATCH(LV$3,'Standards for Conversions'!$A$47:$A$73,0))))</f>
        <v>12917.313926667824</v>
      </c>
      <c r="LY36" s="31">
        <v>10000</v>
      </c>
      <c r="LZ36" s="31">
        <v>9000</v>
      </c>
      <c r="MA36" s="31">
        <v>21500</v>
      </c>
      <c r="MB36" s="31">
        <v>14333</v>
      </c>
      <c r="MC36" s="31">
        <v>20400</v>
      </c>
      <c r="MD36" s="31">
        <v>11147</v>
      </c>
      <c r="ME36" s="31">
        <v>21080</v>
      </c>
      <c r="MF36" s="31">
        <v>12274</v>
      </c>
      <c r="MG36" s="31">
        <v>22287</v>
      </c>
      <c r="MH36" s="31">
        <v>14783</v>
      </c>
      <c r="MI36" s="31"/>
      <c r="MJ36" s="31"/>
      <c r="MK36" s="31"/>
      <c r="ML36" s="31"/>
      <c r="MM36" s="31"/>
      <c r="MN36" s="31"/>
    </row>
    <row r="37" spans="1:352" s="33" customFormat="1" ht="14.4" customHeight="1" x14ac:dyDescent="0.3">
      <c r="A37" s="102" t="s">
        <v>160</v>
      </c>
      <c r="B37" s="10" t="s">
        <v>399</v>
      </c>
      <c r="C37" s="7">
        <v>350</v>
      </c>
      <c r="D37" s="7">
        <v>600</v>
      </c>
      <c r="E37" s="31">
        <v>118.52533783783782</v>
      </c>
      <c r="F37" s="7"/>
      <c r="G37" s="7"/>
      <c r="H37" s="31" t="s">
        <v>128</v>
      </c>
      <c r="I37" s="9"/>
      <c r="J37" s="9"/>
      <c r="K37" s="31" t="s">
        <v>128</v>
      </c>
      <c r="L37">
        <v>423.5</v>
      </c>
      <c r="M37">
        <v>1700</v>
      </c>
      <c r="N37" s="31">
        <v>335.82179054054052</v>
      </c>
      <c r="O37" s="31">
        <f t="shared" si="4"/>
        <v>773.5</v>
      </c>
      <c r="P37" s="31">
        <f t="shared" si="5"/>
        <v>2300</v>
      </c>
      <c r="Q37" s="31">
        <f>IF(P37/(INDEX('Standards for Conversions'!$H$34:$H$73,MATCH(O$3,'Standards for Conversions'!$A$34:$A$73,0)))=0,"",P37/(INDEX('Standards for Conversions'!$H$34:$H$73,MATCH(O$3,'Standards for Conversions'!$A$34:$A$73,0))))</f>
        <v>454.34712837837833</v>
      </c>
      <c r="R37" s="7"/>
      <c r="S37" s="7"/>
      <c r="T37" s="31" t="s">
        <v>128</v>
      </c>
      <c r="U37" s="7"/>
      <c r="V37" s="7"/>
      <c r="W37" s="31" t="s">
        <v>128</v>
      </c>
      <c r="X37" s="9"/>
      <c r="Y37" s="9"/>
      <c r="Z37" s="31" t="s">
        <v>128</v>
      </c>
      <c r="AA37">
        <v>437.5</v>
      </c>
      <c r="AB37">
        <v>1700</v>
      </c>
      <c r="AC37" s="31">
        <v>327.54322550042002</v>
      </c>
      <c r="AD37" s="31">
        <f t="shared" si="6"/>
        <v>437.5</v>
      </c>
      <c r="AE37" s="31">
        <f t="shared" si="7"/>
        <v>1700</v>
      </c>
      <c r="AF37" s="31">
        <f>IF(AE37/(INDEX('Standards for Conversions'!$H$34:$H$73,MATCH(AD$3,'Standards for Conversions'!$A$34:$A$73,0)))=0,"",AE37/(INDEX('Standards for Conversions'!$H$34:$H$73,MATCH(AD$3,'Standards for Conversions'!$A$34:$A$73,0))))</f>
        <v>327.54322550042002</v>
      </c>
      <c r="AG37" s="7"/>
      <c r="AH37" s="7"/>
      <c r="AI37" s="31" t="s">
        <v>128</v>
      </c>
      <c r="AJ37" s="7"/>
      <c r="AK37" s="7"/>
      <c r="AL37" s="31" t="s">
        <v>128</v>
      </c>
      <c r="AM37" s="9"/>
      <c r="AN37" s="9"/>
      <c r="AO37" s="31" t="s">
        <v>128</v>
      </c>
      <c r="AP37">
        <v>54.25</v>
      </c>
      <c r="AQ37">
        <v>550</v>
      </c>
      <c r="AR37" s="31">
        <v>98.284140450740111</v>
      </c>
      <c r="AS37" s="31">
        <f t="shared" si="8"/>
        <v>54.25</v>
      </c>
      <c r="AT37" s="31">
        <f t="shared" si="9"/>
        <v>550</v>
      </c>
      <c r="AU37" s="31">
        <f>IF(AT37/(INDEX('Standards for Conversions'!$H$34:$H$73,MATCH(AS$3,'Standards for Conversions'!$A$34:$A$73,0)))=0,"",AT37/(INDEX('Standards for Conversions'!$H$34:$H$73,MATCH(AS$3,'Standards for Conversions'!$A$34:$A$73,0))))</f>
        <v>98.284140450740111</v>
      </c>
      <c r="AV37" s="7"/>
      <c r="AW37" s="7"/>
      <c r="AX37" s="31" t="s">
        <v>128</v>
      </c>
      <c r="AY37" s="7"/>
      <c r="AZ37" s="7"/>
      <c r="BA37" s="31" t="s">
        <v>128</v>
      </c>
      <c r="BB37" s="9"/>
      <c r="BC37" s="9"/>
      <c r="BD37" s="31" t="s">
        <v>128</v>
      </c>
      <c r="BE37">
        <v>70</v>
      </c>
      <c r="BF37">
        <v>600</v>
      </c>
      <c r="BG37" s="31">
        <v>111.41127683149388</v>
      </c>
      <c r="BH37" s="31">
        <f t="shared" si="10"/>
        <v>70</v>
      </c>
      <c r="BI37" s="31">
        <f t="shared" si="11"/>
        <v>600</v>
      </c>
      <c r="BJ37" s="31">
        <f>IF(BI37/(INDEX('Standards for Conversions'!$H$34:$H$73,MATCH(BH$3,'Standards for Conversions'!$A$34:$A$73,0)))=0,"",BI37/(INDEX('Standards for Conversions'!$H$34:$H$73,MATCH(BH$3,'Standards for Conversions'!$A$34:$A$73,0))))</f>
        <v>111.41127683149388</v>
      </c>
      <c r="BK37" s="7"/>
      <c r="BL37" s="7"/>
      <c r="BM37" s="31" t="s">
        <v>128</v>
      </c>
      <c r="BN37" s="7"/>
      <c r="BO37" s="7"/>
      <c r="BP37" s="31" t="s">
        <v>128</v>
      </c>
      <c r="BQ37" s="9"/>
      <c r="BR37" s="9"/>
      <c r="BS37" s="31" t="s">
        <v>128</v>
      </c>
      <c r="BT37">
        <v>105</v>
      </c>
      <c r="BU37">
        <v>800</v>
      </c>
      <c r="BV37" s="31">
        <v>142.45060253179221</v>
      </c>
      <c r="BW37" s="31">
        <f t="shared" si="12"/>
        <v>105</v>
      </c>
      <c r="BX37" s="31">
        <f t="shared" si="13"/>
        <v>800</v>
      </c>
      <c r="BY37" s="31">
        <f>IF(BX37/(INDEX('Standards for Conversions'!$H$34:$H$73,MATCH(BW$3,'Standards for Conversions'!$A$34:$A$73,0)))=0,"",BX37/(INDEX('Standards for Conversions'!$H$34:$H$73,MATCH(BW$3,'Standards for Conversions'!$A$34:$A$73,0))))</f>
        <v>142.45060253179221</v>
      </c>
      <c r="BZ37" s="7"/>
      <c r="CA37" s="7"/>
      <c r="CB37" s="31" t="s">
        <v>128</v>
      </c>
      <c r="CC37" s="7"/>
      <c r="CD37" s="7"/>
      <c r="CE37" s="31" t="s">
        <v>128</v>
      </c>
      <c r="CF37" s="9"/>
      <c r="CG37" s="9"/>
      <c r="CH37" s="31" t="s">
        <v>128</v>
      </c>
      <c r="CI37">
        <v>175</v>
      </c>
      <c r="CJ37">
        <v>800</v>
      </c>
      <c r="CK37" s="31">
        <v>138.89357202862027</v>
      </c>
      <c r="CL37" s="31">
        <f t="shared" si="14"/>
        <v>175</v>
      </c>
      <c r="CM37" s="31">
        <f t="shared" si="15"/>
        <v>800</v>
      </c>
      <c r="CN37" s="31">
        <f>IF(CM37/(INDEX('Standards for Conversions'!$H$34:$H$73,MATCH(CL$3,'Standards for Conversions'!$A$34:$A$73,0)))=0,"",CM37/(INDEX('Standards for Conversions'!$H$34:$H$73,MATCH(CL$3,'Standards for Conversions'!$A$34:$A$73,0))))</f>
        <v>138.89357202862027</v>
      </c>
      <c r="CO37" s="7"/>
      <c r="CP37" s="7"/>
      <c r="CQ37" s="31" t="s">
        <v>128</v>
      </c>
      <c r="CR37" s="7"/>
      <c r="CS37" s="7"/>
      <c r="CT37" s="31" t="s">
        <v>128</v>
      </c>
      <c r="CU37" s="9"/>
      <c r="CV37" s="9"/>
      <c r="CW37" s="31" t="s">
        <v>128</v>
      </c>
      <c r="CX37">
        <v>201.25</v>
      </c>
      <c r="CY37">
        <v>1300</v>
      </c>
      <c r="CZ37" s="31">
        <v>230.10599707424467</v>
      </c>
      <c r="DA37" s="31">
        <f t="shared" si="16"/>
        <v>201.25</v>
      </c>
      <c r="DB37" s="31">
        <f t="shared" si="17"/>
        <v>1300</v>
      </c>
      <c r="DC37" s="31">
        <f>IF(DB37/(INDEX('Standards for Conversions'!$H$34:$H$73,MATCH(DA$3,'Standards for Conversions'!$A$34:$A$73,0)))=0,"",DB37/(INDEX('Standards for Conversions'!$H$34:$H$73,MATCH(DA$3,'Standards for Conversions'!$A$34:$A$73,0))))</f>
        <v>230.10599707424467</v>
      </c>
      <c r="DD37" s="7"/>
      <c r="DE37" s="7"/>
      <c r="DF37" s="31" t="s">
        <v>128</v>
      </c>
      <c r="DG37" s="7"/>
      <c r="DH37" s="7"/>
      <c r="DI37" s="31" t="s">
        <v>128</v>
      </c>
      <c r="DJ37" s="9"/>
      <c r="DK37" s="9"/>
      <c r="DL37" s="31" t="s">
        <v>128</v>
      </c>
      <c r="DM37">
        <v>218.75</v>
      </c>
      <c r="DN37">
        <v>1500</v>
      </c>
      <c r="DO37" s="31">
        <v>262.64859161814547</v>
      </c>
      <c r="DP37" s="31">
        <f t="shared" si="18"/>
        <v>218.75</v>
      </c>
      <c r="DQ37" s="31">
        <f t="shared" si="19"/>
        <v>1500</v>
      </c>
      <c r="DR37" s="31">
        <f>IF(DQ37/(INDEX('Standards for Conversions'!$H$34:$H$73,MATCH(DP$3,'Standards for Conversions'!$A$34:$A$73,0)))=0,"",DQ37/(INDEX('Standards for Conversions'!$H$34:$H$73,MATCH(DP$3,'Standards for Conversions'!$A$34:$A$73,0))))</f>
        <v>262.64859161814547</v>
      </c>
      <c r="DS37" s="7"/>
      <c r="DT37" s="7"/>
      <c r="DU37" s="31" t="s">
        <v>128</v>
      </c>
      <c r="DV37" s="7"/>
      <c r="DW37" s="7"/>
      <c r="DX37" s="31" t="s">
        <v>128</v>
      </c>
      <c r="DY37" s="9"/>
      <c r="DZ37" s="9"/>
      <c r="EA37" s="31" t="s">
        <v>128</v>
      </c>
      <c r="EB37">
        <v>10164</v>
      </c>
      <c r="EC37">
        <v>58385</v>
      </c>
      <c r="ED37" s="31">
        <v>10210.796941445062</v>
      </c>
      <c r="EE37" s="31">
        <f t="shared" si="20"/>
        <v>10164</v>
      </c>
      <c r="EF37" s="31">
        <f t="shared" si="21"/>
        <v>58385</v>
      </c>
      <c r="EG37" s="31">
        <f>IF(EF37/(INDEX('Standards for Conversions'!$H$34:$H$73,MATCH(EE$3,'Standards for Conversions'!$A$34:$A$73,0)))=0,"",EF37/(INDEX('Standards for Conversions'!$H$34:$H$73,MATCH(EE$3,'Standards for Conversions'!$A$34:$A$73,0))))</f>
        <v>10210.796941445062</v>
      </c>
      <c r="EH37" s="7"/>
      <c r="EI37" s="7"/>
      <c r="EJ37" s="31" t="s">
        <v>128</v>
      </c>
      <c r="EK37" s="7"/>
      <c r="EL37" s="7"/>
      <c r="EM37" s="31" t="s">
        <v>128</v>
      </c>
      <c r="EN37" s="9"/>
      <c r="EO37" s="9"/>
      <c r="EP37" s="31" t="s">
        <v>128</v>
      </c>
      <c r="EQ37">
        <v>178.5</v>
      </c>
      <c r="ER37">
        <v>950</v>
      </c>
      <c r="ES37" s="31">
        <v>162.72355911981111</v>
      </c>
      <c r="ET37" s="31">
        <f t="shared" si="22"/>
        <v>178.5</v>
      </c>
      <c r="EU37" s="31">
        <f t="shared" si="23"/>
        <v>950</v>
      </c>
      <c r="EV37" s="31">
        <f>IF(EU37/(INDEX('Standards for Conversions'!$H$34:$H$73,MATCH(ET$3,'Standards for Conversions'!$A$34:$A$73,0)))=0,"",EU37/(INDEX('Standards for Conversions'!$H$34:$H$73,MATCH(ET$3,'Standards for Conversions'!$A$34:$A$73,0))))</f>
        <v>162.72355911981111</v>
      </c>
      <c r="EW37" s="7"/>
      <c r="EX37" s="7"/>
      <c r="EY37" s="31" t="s">
        <v>128</v>
      </c>
      <c r="EZ37" s="7"/>
      <c r="FA37" s="7"/>
      <c r="FB37" s="31" t="s">
        <v>128</v>
      </c>
      <c r="FC37" s="9"/>
      <c r="FD37" s="9"/>
      <c r="FE37" s="31" t="s">
        <v>128</v>
      </c>
      <c r="FF37">
        <v>262.5</v>
      </c>
      <c r="FG37">
        <v>1200</v>
      </c>
      <c r="FH37" s="31">
        <v>205.79962196923609</v>
      </c>
      <c r="FI37" s="31">
        <f t="shared" si="24"/>
        <v>262.5</v>
      </c>
      <c r="FJ37" s="31">
        <f t="shared" si="25"/>
        <v>1200</v>
      </c>
      <c r="FK37" s="31">
        <f>IF(FJ37/(INDEX('Standards for Conversions'!$H$34:$H$73,MATCH(FI$3,'Standards for Conversions'!$A$34:$A$73,0)))=0,"",FJ37/(INDEX('Standards for Conversions'!$H$34:$H$73,MATCH(FI$3,'Standards for Conversions'!$A$34:$A$73,0))))</f>
        <v>205.79962196923609</v>
      </c>
      <c r="FL37" s="7"/>
      <c r="FM37" s="7"/>
      <c r="FN37" s="31" t="s">
        <v>128</v>
      </c>
      <c r="FO37" s="7"/>
      <c r="FP37" s="7"/>
      <c r="FQ37" s="31" t="s">
        <v>128</v>
      </c>
      <c r="FR37" s="9"/>
      <c r="FS37" s="9"/>
      <c r="FT37" s="31" t="s">
        <v>128</v>
      </c>
      <c r="FU37">
        <v>175</v>
      </c>
      <c r="FV37">
        <v>850</v>
      </c>
      <c r="FW37" s="31">
        <v>139.83576165594855</v>
      </c>
      <c r="FX37" s="31">
        <f t="shared" si="26"/>
        <v>175</v>
      </c>
      <c r="FY37" s="31">
        <f t="shared" si="27"/>
        <v>850</v>
      </c>
      <c r="FZ37" s="31">
        <f>IF(FY37/(INDEX('Standards for Conversions'!$H$34:$H$73,MATCH(FX$3,'Standards for Conversions'!$A$34:$A$73,0)))=0,"",FY37/(INDEX('Standards for Conversions'!$H$34:$H$73,MATCH(FX$3,'Standards for Conversions'!$A$34:$A$73,0))))</f>
        <v>139.83576165594855</v>
      </c>
      <c r="GA37" s="7"/>
      <c r="GB37" s="7"/>
      <c r="GC37" s="31" t="s">
        <v>128</v>
      </c>
      <c r="GD37" s="7"/>
      <c r="GE37" s="7"/>
      <c r="GF37" s="31" t="s">
        <v>128</v>
      </c>
      <c r="GG37" s="9"/>
      <c r="GH37" s="9"/>
      <c r="GI37" s="31" t="s">
        <v>128</v>
      </c>
      <c r="GJ37">
        <v>262.5</v>
      </c>
      <c r="GK37">
        <v>1350</v>
      </c>
      <c r="GL37" s="31">
        <v>207.51461881897976</v>
      </c>
      <c r="GM37" s="31">
        <f t="shared" si="28"/>
        <v>262.5</v>
      </c>
      <c r="GN37" s="31">
        <f t="shared" si="29"/>
        <v>1350</v>
      </c>
      <c r="GO37" s="31">
        <f>IF(GN37/(INDEX('Standards for Conversions'!$H$34:$H$73,MATCH(GM$3,'Standards for Conversions'!$A$34:$A$73,0)))=0,"",GN37/(INDEX('Standards for Conversions'!$H$34:$H$73,MATCH(GM$3,'Standards for Conversions'!$A$34:$A$73,0))))</f>
        <v>207.51461881897976</v>
      </c>
      <c r="GP37" s="7"/>
      <c r="GQ37" s="7"/>
      <c r="GR37" s="31" t="s">
        <v>128</v>
      </c>
      <c r="GS37" s="7"/>
      <c r="GT37" s="7"/>
      <c r="GU37" s="31" t="s">
        <v>128</v>
      </c>
      <c r="GV37" s="9"/>
      <c r="GW37" s="9"/>
      <c r="GX37" s="31" t="s">
        <v>128</v>
      </c>
      <c r="GY37">
        <v>245</v>
      </c>
      <c r="GZ37">
        <v>1300</v>
      </c>
      <c r="HA37" s="31">
        <v>196.80118170823553</v>
      </c>
      <c r="HB37" s="31">
        <f t="shared" si="30"/>
        <v>245</v>
      </c>
      <c r="HC37" s="31">
        <f t="shared" si="31"/>
        <v>1300</v>
      </c>
      <c r="HD37" s="31">
        <f>IF(HC37/(INDEX('Standards for Conversions'!$H$34:$H$73,MATCH(HB$3,'Standards for Conversions'!$A$34:$A$73,0)))=0,"",HC37/(INDEX('Standards for Conversions'!$H$34:$H$73,MATCH(HB$3,'Standards for Conversions'!$A$34:$A$73,0))))</f>
        <v>196.80118170823553</v>
      </c>
      <c r="HE37" s="112" t="s">
        <v>98</v>
      </c>
      <c r="HF37" s="31"/>
      <c r="HG37" s="31"/>
      <c r="HH37" s="31" t="str">
        <f>IF(HG37/(INDEX('Standards for Conversions'!$H$47:$H$73,MATCH(HF$3,'Standards for Conversions'!$A$47:$A$73,0)))=0,"",HG37/(INDEX('Standards for Conversions'!$H$47:$H$73,MATCH(HF$3,'Standards for Conversions'!$A$47:$A$73,0))))</f>
        <v/>
      </c>
      <c r="HI37" s="31"/>
      <c r="HJ37" s="31"/>
      <c r="HK37" s="31" t="str">
        <f>IF(HJ37/(INDEX('Standards for Conversions'!$H$47:$H$73,MATCH(HI$3,'Standards for Conversions'!$A$47:$A$73,0)))=0,"",HJ37/(INDEX('Standards for Conversions'!$H$47:$H$73,MATCH(HI$3,'Standards for Conversions'!$A$47:$A$73,0))))</f>
        <v/>
      </c>
      <c r="HL37" s="31"/>
      <c r="HM37" s="31"/>
      <c r="HN37" s="31" t="str">
        <f>IF(HM37/(INDEX('Standards for Conversions'!$H$47:$H$73,MATCH(HL$3,'Standards for Conversions'!$A$47:$A$73,0)))=0,"",HM37/(INDEX('Standards for Conversions'!$H$47:$H$73,MATCH(HL$3,'Standards for Conversions'!$A$47:$A$73,0))))</f>
        <v/>
      </c>
      <c r="HO37" s="31">
        <v>175</v>
      </c>
      <c r="HP37" s="31">
        <v>1000</v>
      </c>
      <c r="HQ37" s="31">
        <f>IF(HP37/(INDEX('Standards for Conversions'!$H$47:$H$73,MATCH(HO$3,'Standards for Conversions'!$A$47:$A$73,0)))=0,"",HP37/(INDEX('Standards for Conversions'!$H$47:$H$73,MATCH(HO$3,'Standards for Conversions'!$A$47:$A$73,0))))</f>
        <v>145.24541221285597</v>
      </c>
      <c r="HR37" s="31">
        <f t="shared" si="81"/>
        <v>175</v>
      </c>
      <c r="HS37" s="31">
        <f t="shared" si="81"/>
        <v>1000</v>
      </c>
      <c r="HT37" s="31">
        <f>IF(HS37/(INDEX('Standards for Conversions'!$H$47:$H$73,MATCH(HR$3,'Standards for Conversions'!$A$47:$A$73,0)))=0,"",HS37/(INDEX('Standards for Conversions'!$H$47:$H$73,MATCH(HR$3,'Standards for Conversions'!$A$47:$A$73,0))))</f>
        <v>145.24541221285597</v>
      </c>
      <c r="HU37" s="31"/>
      <c r="HV37" s="31"/>
      <c r="HW37" s="31" t="str">
        <f>IF(HV37/(INDEX('Standards for Conversions'!$H$47:$H$73,MATCH(HU$3,'Standards for Conversions'!$A$47:$A$73,0)))=0,"",HV37/(INDEX('Standards for Conversions'!$H$47:$H$73,MATCH(HU$3,'Standards for Conversions'!$A$47:$A$73,0))))</f>
        <v/>
      </c>
      <c r="HX37" s="31"/>
      <c r="HY37" s="31"/>
      <c r="HZ37" s="31" t="str">
        <f>IF(HY37/(INDEX('Standards for Conversions'!$H$47:$H$73,MATCH(HX$3,'Standards for Conversions'!$A$47:$A$73,0)))=0,"",HY37/(INDEX('Standards for Conversions'!$H$47:$H$73,MATCH(HX$3,'Standards for Conversions'!$A$47:$A$73,0))))</f>
        <v/>
      </c>
      <c r="IA37" s="31"/>
      <c r="IB37" s="31"/>
      <c r="IC37" s="31" t="str">
        <f>IF(IB37/(INDEX('Standards for Conversions'!$H$47:$H$73,MATCH(IA$3,'Standards for Conversions'!$A$47:$A$73,0)))=0,"",IB37/(INDEX('Standards for Conversions'!$H$47:$H$73,MATCH(IA$3,'Standards for Conversions'!$A$47:$A$73,0))))</f>
        <v/>
      </c>
      <c r="ID37" s="31">
        <v>250.25</v>
      </c>
      <c r="IE37" s="31">
        <v>1235</v>
      </c>
      <c r="IF37" s="31">
        <f>IF(IE37/(INDEX('Standards for Conversions'!$H$47:$H$73,MATCH(ID$3,'Standards for Conversions'!$A$47:$A$73,0)))=0,"",IE37/(INDEX('Standards for Conversions'!$H$47:$H$73,MATCH(ID$3,'Standards for Conversions'!$A$47:$A$73,0))))</f>
        <v>178.59363182012396</v>
      </c>
      <c r="IG37" s="31">
        <f t="shared" si="82"/>
        <v>250.25</v>
      </c>
      <c r="IH37" s="31">
        <f t="shared" si="82"/>
        <v>1235</v>
      </c>
      <c r="II37" s="31">
        <f>IF(IH37/(INDEX('Standards for Conversions'!$H$47:$H$73,MATCH(IG$3,'Standards for Conversions'!$A$47:$A$73,0)))=0,"",IH37/(INDEX('Standards for Conversions'!$H$47:$H$73,MATCH(IG$3,'Standards for Conversions'!$A$47:$A$73,0))))</f>
        <v>178.59363182012396</v>
      </c>
      <c r="IJ37" s="31">
        <v>2800</v>
      </c>
      <c r="IK37" s="31">
        <v>13600</v>
      </c>
      <c r="IL37" s="31">
        <f>IF(IK37/(INDEX('Standards for Conversions'!$H$47:$H$73,MATCH(IJ$3,'Standards for Conversions'!$A$47:$A$73,0)))=0,"",IK37/(INDEX('Standards for Conversions'!$H$47:$H$73,MATCH(IJ$3,'Standards for Conversions'!$A$47:$A$73,0))))</f>
        <v>2199.9386750094141</v>
      </c>
      <c r="IM37" s="31"/>
      <c r="IN37" s="31"/>
      <c r="IO37" s="31" t="str">
        <f>IF(IN37/(INDEX('Standards for Conversions'!$H$47:$H$73,MATCH(IM$3,'Standards for Conversions'!$A$47:$A$73,0)))=0,"",IN37/(INDEX('Standards for Conversions'!$H$47:$H$73,MATCH(IM$3,'Standards for Conversions'!$A$47:$A$73,0))))</f>
        <v/>
      </c>
      <c r="IP37" s="31"/>
      <c r="IQ37" s="31"/>
      <c r="IR37" s="31" t="str">
        <f>IF(IQ37/(INDEX('Standards for Conversions'!$H$47:$H$73,MATCH(IP$3,'Standards for Conversions'!$A$47:$A$73,0)))=0,"",IQ37/(INDEX('Standards for Conversions'!$H$47:$H$73,MATCH(IP$3,'Standards for Conversions'!$A$47:$A$73,0))))</f>
        <v/>
      </c>
      <c r="IS37" s="31">
        <v>306.25</v>
      </c>
      <c r="IT37" s="31">
        <v>1300</v>
      </c>
      <c r="IU37" s="31">
        <f>IF(IT37/(INDEX('Standards for Conversions'!$H$47:$H$73,MATCH(IS$3,'Standards for Conversions'!$A$47:$A$73,0)))=0,"",IT37/(INDEX('Standards for Conversions'!$H$47:$H$73,MATCH(IS$3,'Standards for Conversions'!$A$47:$A$73,0))))</f>
        <v>210.2882556994293</v>
      </c>
      <c r="IV37" s="31">
        <f t="shared" si="83"/>
        <v>3106.25</v>
      </c>
      <c r="IW37" s="31">
        <f t="shared" si="83"/>
        <v>14900</v>
      </c>
      <c r="IX37" s="31">
        <f>IF(IW37/(INDEX('Standards for Conversions'!$H$47:$H$73,MATCH(IV$3,'Standards for Conversions'!$A$47:$A$73,0)))=0,"",IW37/(INDEX('Standards for Conversions'!$H$47:$H$73,MATCH(IV$3,'Standards for Conversions'!$A$47:$A$73,0))))</f>
        <v>2410.2269307088436</v>
      </c>
      <c r="IY37" s="31"/>
      <c r="IZ37" s="31"/>
      <c r="JA37" s="31" t="str">
        <f>IF(IZ37/(INDEX('Standards for Conversions'!$H$47:$H$73,MATCH(IY$3,'Standards for Conversions'!$A$47:$A$73,0)))=0,"",IZ37/(INDEX('Standards for Conversions'!$H$47:$H$73,MATCH(IY$3,'Standards for Conversions'!$A$47:$A$73,0))))</f>
        <v/>
      </c>
      <c r="JB37" s="31"/>
      <c r="JC37" s="31"/>
      <c r="JD37" s="31" t="str">
        <f>IF(JC37/(INDEX('Standards for Conversions'!$H$47:$H$73,MATCH(JB$3,'Standards for Conversions'!$A$47:$A$73,0)))=0,"",JC37/(INDEX('Standards for Conversions'!$H$47:$H$73,MATCH(JB$3,'Standards for Conversions'!$A$47:$A$73,0))))</f>
        <v/>
      </c>
      <c r="JE37" s="31"/>
      <c r="JF37" s="31"/>
      <c r="JG37" s="31" t="str">
        <f>IF(JF37/(INDEX('Standards for Conversions'!$H$47:$H$73,MATCH(JE$3,'Standards for Conversions'!$A$47:$A$73,0)))=0,"",JF37/(INDEX('Standards for Conversions'!$H$47:$H$73,MATCH(JE$3,'Standards for Conversions'!$A$47:$A$73,0))))</f>
        <v/>
      </c>
      <c r="JH37" s="31">
        <v>262.5</v>
      </c>
      <c r="JI37" s="31">
        <v>1000</v>
      </c>
      <c r="JJ37" s="31">
        <f>IF(JI37/(INDEX('Standards for Conversions'!$H$47:$H$73,MATCH(JH$3,'Standards for Conversions'!$A$47:$A$73,0)))=0,"",JI37/(INDEX('Standards for Conversions'!$H$47:$H$73,MATCH(JH$3,'Standards for Conversions'!$A$47:$A$73,0))))</f>
        <v>152.65589242779757</v>
      </c>
      <c r="JK37" s="31">
        <f t="shared" si="84"/>
        <v>262.5</v>
      </c>
      <c r="JL37" s="31">
        <f t="shared" si="84"/>
        <v>1000</v>
      </c>
      <c r="JM37" s="31">
        <f>IF(JL37/(INDEX('Standards for Conversions'!$H$47:$H$73,MATCH(JK$3,'Standards for Conversions'!$A$47:$A$73,0)))=0,"",JL37/(INDEX('Standards for Conversions'!$H$47:$H$73,MATCH(JK$3,'Standards for Conversions'!$A$47:$A$73,0))))</f>
        <v>152.65589242779757</v>
      </c>
      <c r="JN37" s="31"/>
      <c r="JO37" s="31"/>
      <c r="JP37" s="31" t="str">
        <f>IF(JO37/(INDEX('Standards for Conversions'!$H$47:$H$73,MATCH(JN$3,'Standards for Conversions'!$A$47:$A$73,0)))=0,"",JO37/(INDEX('Standards for Conversions'!$H$47:$H$73,MATCH(JN$3,'Standards for Conversions'!$A$47:$A$73,0))))</f>
        <v/>
      </c>
      <c r="JQ37" s="31"/>
      <c r="JR37" s="31"/>
      <c r="JS37" s="31" t="str">
        <f>IF(JR37/(INDEX('Standards for Conversions'!$H$47:$H$73,MATCH(JQ$3,'Standards for Conversions'!$A$47:$A$73,0)))=0,"",JR37/(INDEX('Standards for Conversions'!$H$47:$H$73,MATCH(JQ$3,'Standards for Conversions'!$A$47:$A$73,0))))</f>
        <v/>
      </c>
      <c r="JT37" s="31"/>
      <c r="JU37" s="31"/>
      <c r="JV37" s="31" t="str">
        <f>IF(JU37/(INDEX('Standards for Conversions'!$H$47:$H$73,MATCH(JT$3,'Standards for Conversions'!$A$47:$A$73,0)))=0,"",JU37/(INDEX('Standards for Conversions'!$H$47:$H$73,MATCH(JT$3,'Standards for Conversions'!$A$47:$A$73,0))))</f>
        <v/>
      </c>
      <c r="JW37" s="31">
        <v>245</v>
      </c>
      <c r="JX37" s="31">
        <v>900</v>
      </c>
      <c r="JY37" s="31">
        <f>IF(JX37/(INDEX('Standards for Conversions'!$H$47:$H$73,MATCH(JW$3,'Standards for Conversions'!$A$47:$A$73,0)))=0,"",JX37/(INDEX('Standards for Conversions'!$H$47:$H$73,MATCH(JW$3,'Standards for Conversions'!$A$47:$A$73,0))))</f>
        <v>121.19311071521682</v>
      </c>
      <c r="JZ37" s="31">
        <f t="shared" si="85"/>
        <v>245</v>
      </c>
      <c r="KA37" s="31">
        <f t="shared" si="85"/>
        <v>900</v>
      </c>
      <c r="KB37" s="31">
        <f>IF(KA37/(INDEX('Standards for Conversions'!$H$47:$H$73,MATCH(JZ$3,'Standards for Conversions'!$A$47:$A$73,0)))=0,"",KA37/(INDEX('Standards for Conversions'!$H$47:$H$73,MATCH(JZ$3,'Standards for Conversions'!$A$47:$A$73,0))))</f>
        <v>121.19311071521682</v>
      </c>
      <c r="KC37" s="31"/>
      <c r="KD37" s="31"/>
      <c r="KE37" s="31" t="str">
        <f>IF(KD37/(INDEX('Standards for Conversions'!$H$47:$H$73,MATCH(KC$3,'Standards for Conversions'!$A$47:$A$73,0)))=0,"",KD37/(INDEX('Standards for Conversions'!$H$47:$H$73,MATCH(KC$3,'Standards for Conversions'!$A$47:$A$73,0))))</f>
        <v/>
      </c>
      <c r="KF37" s="31"/>
      <c r="KG37" s="31"/>
      <c r="KH37" s="31" t="str">
        <f>IF(KG37/(INDEX('Standards for Conversions'!$H$47:$H$73,MATCH(KF$3,'Standards for Conversions'!$A$47:$A$73,0)))=0,"",KG37/(INDEX('Standards for Conversions'!$H$47:$H$73,MATCH(KF$3,'Standards for Conversions'!$A$47:$A$73,0))))</f>
        <v/>
      </c>
      <c r="KI37" s="31"/>
      <c r="KJ37" s="31"/>
      <c r="KK37" s="31" t="str">
        <f>IF(KJ37/(INDEX('Standards for Conversions'!$H$47:$H$73,MATCH(KI$3,'Standards for Conversions'!$A$47:$A$73,0)))=0,"",KJ37/(INDEX('Standards for Conversions'!$H$47:$H$73,MATCH(KI$3,'Standards for Conversions'!$A$47:$A$73,0))))</f>
        <v/>
      </c>
      <c r="KL37" s="31">
        <v>147</v>
      </c>
      <c r="KM37" s="31">
        <v>725</v>
      </c>
      <c r="KN37" s="31">
        <f>IF(KM37/(INDEX('Standards for Conversions'!$H$47:$H$73,MATCH(KL$3,'Standards for Conversions'!$A$47:$A$73,0)))=0,"",KM37/(INDEX('Standards for Conversions'!$H$47:$H$73,MATCH(KL$3,'Standards for Conversions'!$A$47:$A$73,0))))</f>
        <v>88.172010877436904</v>
      </c>
      <c r="KO37" s="31">
        <f t="shared" si="86"/>
        <v>147</v>
      </c>
      <c r="KP37" s="31">
        <f t="shared" si="86"/>
        <v>725</v>
      </c>
      <c r="KQ37" s="31">
        <f>IF(KP37/(INDEX('Standards for Conversions'!$H$47:$H$73,MATCH(KO$3,'Standards for Conversions'!$A$47:$A$73,0)))=0,"",KP37/(INDEX('Standards for Conversions'!$H$47:$H$73,MATCH(KO$3,'Standards for Conversions'!$A$47:$A$73,0))))</f>
        <v>88.172010877436904</v>
      </c>
      <c r="KR37" s="31"/>
      <c r="KS37" s="31"/>
      <c r="KT37" s="31" t="str">
        <f>IF(KS37/(INDEX('Standards for Conversions'!$H$47:$H$73,MATCH(KR$3,'Standards for Conversions'!$A$47:$A$73,0)))=0,"",KS37/(INDEX('Standards for Conversions'!$H$47:$H$73,MATCH(KR$3,'Standards for Conversions'!$A$47:$A$73,0))))</f>
        <v/>
      </c>
      <c r="KU37" s="31"/>
      <c r="KV37" s="31"/>
      <c r="KW37" s="31" t="str">
        <f>IF(KV37/(INDEX('Standards for Conversions'!$H$47:$H$73,MATCH(KU$3,'Standards for Conversions'!$A$47:$A$73,0)))=0,"",KV37/(INDEX('Standards for Conversions'!$H$47:$H$73,MATCH(KU$3,'Standards for Conversions'!$A$47:$A$73,0))))</f>
        <v/>
      </c>
      <c r="KX37" s="31"/>
      <c r="KY37" s="31"/>
      <c r="KZ37" s="31" t="str">
        <f>IF(KY37/(INDEX('Standards for Conversions'!$H$47:$H$73,MATCH(KX$3,'Standards for Conversions'!$A$47:$A$73,0)))=0,"",KY37/(INDEX('Standards for Conversions'!$H$47:$H$73,MATCH(KX$3,'Standards for Conversions'!$A$47:$A$73,0))))</f>
        <v/>
      </c>
      <c r="LA37" s="31"/>
      <c r="LB37" s="31"/>
      <c r="LC37" s="31" t="str">
        <f>IF(LB37/(INDEX('Standards for Conversions'!$H$47:$H$73,MATCH(LA$3,'Standards for Conversions'!$A$47:$A$73,0)))=0,"",LB37/(INDEX('Standards for Conversions'!$H$47:$H$73,MATCH(LA$3,'Standards for Conversions'!$A$47:$A$73,0))))</f>
        <v/>
      </c>
      <c r="LD37" s="31"/>
      <c r="LE37" s="31"/>
      <c r="LF37" s="31" t="str">
        <f>IF(LE37/(INDEX('Standards for Conversions'!$H$47:$H$73,MATCH(LD$3,'Standards for Conversions'!$A$47:$A$73,0)))=0,"",LE37/(INDEX('Standards for Conversions'!$H$47:$H$73,MATCH(LD$3,'Standards for Conversions'!$A$47:$A$73,0))))</f>
        <v/>
      </c>
      <c r="LG37" s="31"/>
      <c r="LH37" s="31"/>
      <c r="LI37" s="31" t="str">
        <f>IF(LH37/(INDEX('Standards for Conversions'!$H$47:$H$73,MATCH(LG$3,'Standards for Conversions'!$A$47:$A$73,0)))=0,"",LH37/(INDEX('Standards for Conversions'!$H$47:$H$73,MATCH(LG$3,'Standards for Conversions'!$A$47:$A$73,0))))</f>
        <v/>
      </c>
      <c r="LJ37" s="31"/>
      <c r="LK37" s="31"/>
      <c r="LL37" s="31" t="str">
        <f>IF(LK37/(INDEX('Standards for Conversions'!$H$47:$H$73,MATCH(LJ$3,'Standards for Conversions'!$A$47:$A$73,0)))=0,"",LK37/(INDEX('Standards for Conversions'!$H$47:$H$73,MATCH(LJ$3,'Standards for Conversions'!$A$47:$A$73,0))))</f>
        <v/>
      </c>
      <c r="LM37" s="31"/>
      <c r="LN37" s="31"/>
      <c r="LO37" s="31" t="str">
        <f>IF(LN37/(INDEX('Standards for Conversions'!$H$47:$H$73,MATCH(LM$3,'Standards for Conversions'!$A$47:$A$73,0)))=0,"",LN37/(INDEX('Standards for Conversions'!$H$47:$H$73,MATCH(LM$3,'Standards for Conversions'!$A$47:$A$73,0))))</f>
        <v/>
      </c>
      <c r="LP37" s="31"/>
      <c r="LQ37" s="31"/>
      <c r="LR37" s="31" t="str">
        <f>IF(LQ37/(INDEX('Standards for Conversions'!$H$47:$H$73,MATCH(LP$3,'Standards for Conversions'!$A$47:$A$73,0)))=0,"",LQ37/(INDEX('Standards for Conversions'!$H$47:$H$73,MATCH(LP$3,'Standards for Conversions'!$A$47:$A$73,0))))</f>
        <v/>
      </c>
      <c r="LS37" s="31"/>
      <c r="LT37" s="31"/>
      <c r="LU37" s="31" t="str">
        <f>IF(LT37/(INDEX('Standards for Conversions'!$H$47:$H$73,MATCH(LS$3,'Standards for Conversions'!$A$47:$A$73,0)))=0,"",LT37/(INDEX('Standards for Conversions'!$H$47:$H$73,MATCH(LS$3,'Standards for Conversions'!$A$47:$A$73,0))))</f>
        <v/>
      </c>
      <c r="LV37" s="31"/>
      <c r="LW37" s="31"/>
      <c r="LX37" s="31" t="str">
        <f>IF(LW37/(INDEX('Standards for Conversions'!$H$47:$H$73,MATCH(LV$3,'Standards for Conversions'!$A$47:$A$73,0)))=0,"",LW37/(INDEX('Standards for Conversions'!$H$47:$H$73,MATCH(LV$3,'Standards for Conversions'!$A$47:$A$73,0))))</f>
        <v/>
      </c>
      <c r="LY37" s="31"/>
      <c r="LZ37" s="31"/>
      <c r="MA37" s="31"/>
      <c r="MB37" s="31"/>
      <c r="MC37" s="31"/>
      <c r="MD37" s="31"/>
      <c r="ME37" s="31"/>
      <c r="MF37" s="31"/>
      <c r="MG37" s="31"/>
      <c r="MH37" s="31"/>
      <c r="MI37" s="31">
        <v>80</v>
      </c>
      <c r="MJ37" s="31">
        <v>70</v>
      </c>
      <c r="MK37" s="31">
        <v>38</v>
      </c>
      <c r="ML37" s="31">
        <v>39</v>
      </c>
      <c r="MM37" s="31"/>
      <c r="MN37" s="31"/>
    </row>
    <row r="38" spans="1:352" s="33" customFormat="1" ht="14.4" customHeight="1" x14ac:dyDescent="0.3">
      <c r="A38" s="102" t="s">
        <v>143</v>
      </c>
      <c r="B38" s="10" t="s">
        <v>399</v>
      </c>
      <c r="C38" s="7"/>
      <c r="D38" s="7"/>
      <c r="E38" s="31" t="s">
        <v>128</v>
      </c>
      <c r="F38" s="7">
        <v>3.5</v>
      </c>
      <c r="G38" s="7">
        <v>50</v>
      </c>
      <c r="H38" s="31">
        <v>9.877111486486486</v>
      </c>
      <c r="I38" s="9"/>
      <c r="J38" s="9"/>
      <c r="K38" s="31" t="s">
        <v>128</v>
      </c>
      <c r="L38" s="7"/>
      <c r="M38" s="7"/>
      <c r="N38" s="31" t="s">
        <v>128</v>
      </c>
      <c r="O38" s="31">
        <f t="shared" si="4"/>
        <v>3.5</v>
      </c>
      <c r="P38" s="31">
        <f t="shared" si="5"/>
        <v>50</v>
      </c>
      <c r="Q38" s="31">
        <f>IF(P38/(INDEX('Standards for Conversions'!$H$34:$H$73,MATCH(O$3,'Standards for Conversions'!$A$34:$A$73,0)))=0,"",P38/(INDEX('Standards for Conversions'!$H$34:$H$73,MATCH(O$3,'Standards for Conversions'!$A$34:$A$73,0))))</f>
        <v>9.877111486486486</v>
      </c>
      <c r="R38" s="7"/>
      <c r="S38" s="7"/>
      <c r="T38" s="31" t="s">
        <v>128</v>
      </c>
      <c r="U38" s="7">
        <v>17.5</v>
      </c>
      <c r="V38" s="7">
        <v>250</v>
      </c>
      <c r="W38" s="31">
        <v>48.168121397120586</v>
      </c>
      <c r="X38" s="9"/>
      <c r="Y38" s="9"/>
      <c r="Z38" s="31" t="s">
        <v>128</v>
      </c>
      <c r="AA38" s="7"/>
      <c r="AB38" s="7"/>
      <c r="AC38" s="31" t="s">
        <v>128</v>
      </c>
      <c r="AD38" s="31">
        <f t="shared" si="6"/>
        <v>17.5</v>
      </c>
      <c r="AE38" s="31">
        <f t="shared" si="7"/>
        <v>250</v>
      </c>
      <c r="AF38" s="31">
        <f>IF(AE38/(INDEX('Standards for Conversions'!$H$34:$H$73,MATCH(AD$3,'Standards for Conversions'!$A$34:$A$73,0)))=0,"",AE38/(INDEX('Standards for Conversions'!$H$34:$H$73,MATCH(AD$3,'Standards for Conversions'!$A$34:$A$73,0))))</f>
        <v>48.168121397120586</v>
      </c>
      <c r="AG38" s="7"/>
      <c r="AH38" s="7"/>
      <c r="AI38" s="31" t="s">
        <v>128</v>
      </c>
      <c r="AJ38" s="7">
        <v>35</v>
      </c>
      <c r="AK38" s="7">
        <v>500</v>
      </c>
      <c r="AL38" s="31">
        <v>89.349218591581916</v>
      </c>
      <c r="AM38" s="9"/>
      <c r="AN38" s="9"/>
      <c r="AO38" s="31" t="s">
        <v>128</v>
      </c>
      <c r="AP38" s="7"/>
      <c r="AQ38" s="7"/>
      <c r="AR38" s="31" t="s">
        <v>128</v>
      </c>
      <c r="AS38" s="31">
        <f t="shared" si="8"/>
        <v>35</v>
      </c>
      <c r="AT38" s="31">
        <f t="shared" si="9"/>
        <v>500</v>
      </c>
      <c r="AU38" s="31">
        <f>IF(AT38/(INDEX('Standards for Conversions'!$H$34:$H$73,MATCH(AS$3,'Standards for Conversions'!$A$34:$A$73,0)))=0,"",AT38/(INDEX('Standards for Conversions'!$H$34:$H$73,MATCH(AS$3,'Standards for Conversions'!$A$34:$A$73,0))))</f>
        <v>89.349218591581916</v>
      </c>
      <c r="AV38" s="7"/>
      <c r="AW38" s="7"/>
      <c r="AX38" s="31" t="s">
        <v>128</v>
      </c>
      <c r="AY38" s="7">
        <v>52.5</v>
      </c>
      <c r="AZ38" s="7">
        <v>600</v>
      </c>
      <c r="BA38" s="31">
        <v>111.41127683149388</v>
      </c>
      <c r="BB38" s="9"/>
      <c r="BC38" s="9"/>
      <c r="BD38" s="31" t="s">
        <v>128</v>
      </c>
      <c r="BE38" s="7"/>
      <c r="BF38" s="7"/>
      <c r="BG38" s="31" t="s">
        <v>128</v>
      </c>
      <c r="BH38" s="31">
        <f t="shared" si="10"/>
        <v>52.5</v>
      </c>
      <c r="BI38" s="31">
        <f t="shared" si="11"/>
        <v>600</v>
      </c>
      <c r="BJ38" s="31">
        <f>IF(BI38/(INDEX('Standards for Conversions'!$H$34:$H$73,MATCH(BH$3,'Standards for Conversions'!$A$34:$A$73,0)))=0,"",BI38/(INDEX('Standards for Conversions'!$H$34:$H$73,MATCH(BH$3,'Standards for Conversions'!$A$34:$A$73,0))))</f>
        <v>111.41127683149388</v>
      </c>
      <c r="BK38" s="7"/>
      <c r="BL38" s="7"/>
      <c r="BM38" s="31" t="s">
        <v>128</v>
      </c>
      <c r="BN38" s="7">
        <v>87.5</v>
      </c>
      <c r="BO38" s="7">
        <v>1200</v>
      </c>
      <c r="BP38" s="31">
        <v>213.67590379768833</v>
      </c>
      <c r="BQ38" s="9"/>
      <c r="BR38" s="9"/>
      <c r="BS38" s="31" t="s">
        <v>128</v>
      </c>
      <c r="BT38" s="7"/>
      <c r="BU38" s="7"/>
      <c r="BV38" s="31" t="s">
        <v>128</v>
      </c>
      <c r="BW38" s="31">
        <f t="shared" si="12"/>
        <v>87.5</v>
      </c>
      <c r="BX38" s="31">
        <f t="shared" si="13"/>
        <v>1200</v>
      </c>
      <c r="BY38" s="31">
        <f>IF(BX38/(INDEX('Standards for Conversions'!$H$34:$H$73,MATCH(BW$3,'Standards for Conversions'!$A$34:$A$73,0)))=0,"",BX38/(INDEX('Standards for Conversions'!$H$34:$H$73,MATCH(BW$3,'Standards for Conversions'!$A$34:$A$73,0))))</f>
        <v>213.67590379768833</v>
      </c>
      <c r="BZ38" s="7"/>
      <c r="CA38" s="7"/>
      <c r="CB38" s="31" t="s">
        <v>128</v>
      </c>
      <c r="CC38" s="7">
        <v>87.5</v>
      </c>
      <c r="CD38" s="7">
        <v>1000</v>
      </c>
      <c r="CE38" s="31">
        <v>173.61696503577531</v>
      </c>
      <c r="CF38" s="9"/>
      <c r="CG38" s="9"/>
      <c r="CH38" s="31" t="s">
        <v>128</v>
      </c>
      <c r="CI38" s="7"/>
      <c r="CJ38" s="7"/>
      <c r="CK38" s="31" t="s">
        <v>128</v>
      </c>
      <c r="CL38" s="31">
        <f t="shared" si="14"/>
        <v>87.5</v>
      </c>
      <c r="CM38" s="31">
        <f t="shared" si="15"/>
        <v>1000</v>
      </c>
      <c r="CN38" s="31">
        <f>IF(CM38/(INDEX('Standards for Conversions'!$H$34:$H$73,MATCH(CL$3,'Standards for Conversions'!$A$34:$A$73,0)))=0,"",CM38/(INDEX('Standards for Conversions'!$H$34:$H$73,MATCH(CL$3,'Standards for Conversions'!$A$34:$A$73,0))))</f>
        <v>173.61696503577531</v>
      </c>
      <c r="CO38" s="7"/>
      <c r="CP38" s="7"/>
      <c r="CQ38" s="31" t="s">
        <v>128</v>
      </c>
      <c r="CR38" s="7">
        <v>43.75</v>
      </c>
      <c r="CS38" s="7">
        <v>500</v>
      </c>
      <c r="CT38" s="31">
        <v>88.502306567017186</v>
      </c>
      <c r="CU38" s="9"/>
      <c r="CV38" s="9"/>
      <c r="CW38" s="31" t="s">
        <v>128</v>
      </c>
      <c r="CX38" s="7"/>
      <c r="CY38" s="7"/>
      <c r="CZ38" s="31" t="s">
        <v>128</v>
      </c>
      <c r="DA38" s="31">
        <f t="shared" si="16"/>
        <v>43.75</v>
      </c>
      <c r="DB38" s="31">
        <f t="shared" si="17"/>
        <v>500</v>
      </c>
      <c r="DC38" s="31">
        <f>IF(DB38/(INDEX('Standards for Conversions'!$H$34:$H$73,MATCH(DA$3,'Standards for Conversions'!$A$34:$A$73,0)))=0,"",DB38/(INDEX('Standards for Conversions'!$H$34:$H$73,MATCH(DA$3,'Standards for Conversions'!$A$34:$A$73,0))))</f>
        <v>88.502306567017186</v>
      </c>
      <c r="DD38" s="7"/>
      <c r="DE38" s="7"/>
      <c r="DF38" s="31" t="s">
        <v>128</v>
      </c>
      <c r="DG38" s="7">
        <v>35</v>
      </c>
      <c r="DH38" s="7">
        <v>500</v>
      </c>
      <c r="DI38" s="31">
        <v>87.54953053938182</v>
      </c>
      <c r="DJ38" s="9"/>
      <c r="DK38" s="9"/>
      <c r="DL38" s="31" t="s">
        <v>128</v>
      </c>
      <c r="DM38" s="7"/>
      <c r="DN38" s="7"/>
      <c r="DO38" s="31" t="s">
        <v>128</v>
      </c>
      <c r="DP38" s="31">
        <f t="shared" si="18"/>
        <v>35</v>
      </c>
      <c r="DQ38" s="31">
        <f t="shared" si="19"/>
        <v>500</v>
      </c>
      <c r="DR38" s="31">
        <f>IF(DQ38/(INDEX('Standards for Conversions'!$H$34:$H$73,MATCH(DP$3,'Standards for Conversions'!$A$34:$A$73,0)))=0,"",DQ38/(INDEX('Standards for Conversions'!$H$34:$H$73,MATCH(DP$3,'Standards for Conversions'!$A$34:$A$73,0))))</f>
        <v>87.54953053938182</v>
      </c>
      <c r="DS38" s="7"/>
      <c r="DT38" s="7"/>
      <c r="DU38" s="31" t="s">
        <v>128</v>
      </c>
      <c r="DV38" s="7">
        <v>8.75</v>
      </c>
      <c r="DW38" s="7">
        <v>100</v>
      </c>
      <c r="DX38" s="31">
        <v>17.488733307262244</v>
      </c>
      <c r="DY38" s="9"/>
      <c r="DZ38" s="9"/>
      <c r="EA38" s="31" t="s">
        <v>128</v>
      </c>
      <c r="EB38" s="7"/>
      <c r="EC38" s="7"/>
      <c r="ED38" s="31" t="s">
        <v>128</v>
      </c>
      <c r="EE38" s="31">
        <f t="shared" si="20"/>
        <v>8.75</v>
      </c>
      <c r="EF38" s="31">
        <f t="shared" si="21"/>
        <v>100</v>
      </c>
      <c r="EG38" s="31">
        <f>IF(EF38/(INDEX('Standards for Conversions'!$H$34:$H$73,MATCH(EE$3,'Standards for Conversions'!$A$34:$A$73,0)))=0,"",EF38/(INDEX('Standards for Conversions'!$H$34:$H$73,MATCH(EE$3,'Standards for Conversions'!$A$34:$A$73,0))))</f>
        <v>17.488733307262244</v>
      </c>
      <c r="EH38" s="7"/>
      <c r="EI38" s="7"/>
      <c r="EJ38" s="31" t="s">
        <v>128</v>
      </c>
      <c r="EK38" s="7">
        <v>87.5</v>
      </c>
      <c r="EL38" s="7">
        <v>800</v>
      </c>
      <c r="EM38" s="31">
        <v>137.03036557457776</v>
      </c>
      <c r="EN38" s="9"/>
      <c r="EO38" s="9"/>
      <c r="EP38" s="31" t="s">
        <v>128</v>
      </c>
      <c r="EQ38" s="7"/>
      <c r="ER38" s="7"/>
      <c r="ES38" s="31" t="s">
        <v>128</v>
      </c>
      <c r="ET38" s="31">
        <f t="shared" si="22"/>
        <v>87.5</v>
      </c>
      <c r="EU38" s="31">
        <f t="shared" si="23"/>
        <v>800</v>
      </c>
      <c r="EV38" s="31">
        <f>IF(EU38/(INDEX('Standards for Conversions'!$H$34:$H$73,MATCH(ET$3,'Standards for Conversions'!$A$34:$A$73,0)))=0,"",EU38/(INDEX('Standards for Conversions'!$H$34:$H$73,MATCH(ET$3,'Standards for Conversions'!$A$34:$A$73,0))))</f>
        <v>137.03036557457776</v>
      </c>
      <c r="EW38" s="7"/>
      <c r="EX38" s="7"/>
      <c r="EY38" s="31" t="s">
        <v>128</v>
      </c>
      <c r="EZ38" s="7">
        <v>87.5</v>
      </c>
      <c r="FA38" s="7">
        <v>800</v>
      </c>
      <c r="FB38" s="31">
        <v>137.19974797949072</v>
      </c>
      <c r="FC38" s="9"/>
      <c r="FD38" s="9"/>
      <c r="FE38" s="31" t="s">
        <v>128</v>
      </c>
      <c r="FF38" s="7"/>
      <c r="FG38" s="7"/>
      <c r="FH38" s="31" t="s">
        <v>128</v>
      </c>
      <c r="FI38" s="31">
        <f t="shared" si="24"/>
        <v>87.5</v>
      </c>
      <c r="FJ38" s="31">
        <f t="shared" si="25"/>
        <v>800</v>
      </c>
      <c r="FK38" s="31">
        <f>IF(FJ38/(INDEX('Standards for Conversions'!$H$34:$H$73,MATCH(FI$3,'Standards for Conversions'!$A$34:$A$73,0)))=0,"",FJ38/(INDEX('Standards for Conversions'!$H$34:$H$73,MATCH(FI$3,'Standards for Conversions'!$A$34:$A$73,0))))</f>
        <v>137.19974797949072</v>
      </c>
      <c r="FL38" s="7"/>
      <c r="FM38" s="7"/>
      <c r="FN38" s="31" t="s">
        <v>128</v>
      </c>
      <c r="FO38" s="7">
        <v>87.5</v>
      </c>
      <c r="FP38" s="7">
        <v>800</v>
      </c>
      <c r="FQ38" s="31">
        <v>131.61012861736333</v>
      </c>
      <c r="FR38" s="9"/>
      <c r="FS38" s="9"/>
      <c r="FT38" s="31" t="s">
        <v>128</v>
      </c>
      <c r="FU38" s="7"/>
      <c r="FV38" s="7"/>
      <c r="FW38" s="31" t="s">
        <v>128</v>
      </c>
      <c r="FX38" s="31">
        <f t="shared" si="26"/>
        <v>87.5</v>
      </c>
      <c r="FY38" s="31">
        <f t="shared" si="27"/>
        <v>800</v>
      </c>
      <c r="FZ38" s="31">
        <f>IF(FY38/(INDEX('Standards for Conversions'!$H$34:$H$73,MATCH(FX$3,'Standards for Conversions'!$A$34:$A$73,0)))=0,"",FY38/(INDEX('Standards for Conversions'!$H$34:$H$73,MATCH(FX$3,'Standards for Conversions'!$A$34:$A$73,0))))</f>
        <v>131.61012861736333</v>
      </c>
      <c r="GA38" s="7"/>
      <c r="GB38" s="7"/>
      <c r="GC38" s="31" t="s">
        <v>128</v>
      </c>
      <c r="GD38" s="7">
        <v>131.25</v>
      </c>
      <c r="GE38" s="7">
        <v>850</v>
      </c>
      <c r="GF38" s="31">
        <v>130.65735258972799</v>
      </c>
      <c r="GG38" s="9"/>
      <c r="GH38" s="9"/>
      <c r="GI38" s="31" t="s">
        <v>128</v>
      </c>
      <c r="GJ38" s="7"/>
      <c r="GK38" s="7"/>
      <c r="GL38" s="31" t="s">
        <v>128</v>
      </c>
      <c r="GM38" s="31">
        <f t="shared" si="28"/>
        <v>131.25</v>
      </c>
      <c r="GN38" s="31">
        <f t="shared" si="29"/>
        <v>850</v>
      </c>
      <c r="GO38" s="31">
        <f>IF(GN38/(INDEX('Standards for Conversions'!$H$34:$H$73,MATCH(GM$3,'Standards for Conversions'!$A$34:$A$73,0)))=0,"",GN38/(INDEX('Standards for Conversions'!$H$34:$H$73,MATCH(GM$3,'Standards for Conversions'!$A$34:$A$73,0))))</f>
        <v>130.65735258972799</v>
      </c>
      <c r="GP38" s="7"/>
      <c r="GQ38" s="7"/>
      <c r="GR38" s="31" t="s">
        <v>128</v>
      </c>
      <c r="GS38" s="7">
        <v>131.25</v>
      </c>
      <c r="GT38" s="7">
        <v>850</v>
      </c>
      <c r="GU38" s="31">
        <v>128.67769573230785</v>
      </c>
      <c r="GV38" s="9"/>
      <c r="GW38" s="9"/>
      <c r="GX38" s="31" t="s">
        <v>128</v>
      </c>
      <c r="GY38" s="7"/>
      <c r="GZ38" s="7"/>
      <c r="HA38" s="31" t="s">
        <v>128</v>
      </c>
      <c r="HB38" s="31">
        <f t="shared" si="30"/>
        <v>131.25</v>
      </c>
      <c r="HC38" s="31">
        <f t="shared" si="31"/>
        <v>850</v>
      </c>
      <c r="HD38" s="31">
        <f>IF(HC38/(INDEX('Standards for Conversions'!$H$34:$H$73,MATCH(HB$3,'Standards for Conversions'!$A$34:$A$73,0)))=0,"",HC38/(INDEX('Standards for Conversions'!$H$34:$H$73,MATCH(HB$3,'Standards for Conversions'!$A$34:$A$73,0))))</f>
        <v>128.67769573230785</v>
      </c>
      <c r="HE38" s="112" t="s">
        <v>98</v>
      </c>
      <c r="HF38" s="31"/>
      <c r="HG38" s="31"/>
      <c r="HH38" s="31" t="str">
        <f>IF(HG38/(INDEX('Standards for Conversions'!$H$47:$H$73,MATCH(HF$3,'Standards for Conversions'!$A$47:$A$73,0)))=0,"",HG38/(INDEX('Standards for Conversions'!$H$47:$H$73,MATCH(HF$3,'Standards for Conversions'!$A$47:$A$73,0))))</f>
        <v/>
      </c>
      <c r="HI38" s="31">
        <v>43.75</v>
      </c>
      <c r="HJ38" s="31">
        <v>400</v>
      </c>
      <c r="HK38" s="31">
        <f>IF(HJ38/(INDEX('Standards for Conversions'!$H$47:$H$73,MATCH(HI$3,'Standards for Conversions'!$A$47:$A$73,0)))=0,"",HJ38/(INDEX('Standards for Conversions'!$H$47:$H$73,MATCH(HI$3,'Standards for Conversions'!$A$47:$A$73,0))))</f>
        <v>58.098164885142381</v>
      </c>
      <c r="HL38" s="31"/>
      <c r="HM38" s="31"/>
      <c r="HN38" s="31" t="str">
        <f>IF(HM38/(INDEX('Standards for Conversions'!$H$47:$H$73,MATCH(HL$3,'Standards for Conversions'!$A$47:$A$73,0)))=0,"",HM38/(INDEX('Standards for Conversions'!$H$47:$H$73,MATCH(HL$3,'Standards for Conversions'!$A$47:$A$73,0))))</f>
        <v/>
      </c>
      <c r="HO38" s="31"/>
      <c r="HP38" s="31"/>
      <c r="HQ38" s="31" t="str">
        <f>IF(HP38/(INDEX('Standards for Conversions'!$H$47:$H$73,MATCH(HO$3,'Standards for Conversions'!$A$47:$A$73,0)))=0,"",HP38/(INDEX('Standards for Conversions'!$H$47:$H$73,MATCH(HO$3,'Standards for Conversions'!$A$47:$A$73,0))))</f>
        <v/>
      </c>
      <c r="HR38" s="31">
        <f t="shared" si="81"/>
        <v>43.75</v>
      </c>
      <c r="HS38" s="31">
        <f t="shared" si="81"/>
        <v>400</v>
      </c>
      <c r="HT38" s="31">
        <f>IF(HS38/(INDEX('Standards for Conversions'!$H$47:$H$73,MATCH(HR$3,'Standards for Conversions'!$A$47:$A$73,0)))=0,"",HS38/(INDEX('Standards for Conversions'!$H$47:$H$73,MATCH(HR$3,'Standards for Conversions'!$A$47:$A$73,0))))</f>
        <v>58.098164885142381</v>
      </c>
      <c r="HU38" s="31"/>
      <c r="HV38" s="31"/>
      <c r="HW38" s="31" t="str">
        <f>IF(HV38/(INDEX('Standards for Conversions'!$H$47:$H$73,MATCH(HU$3,'Standards for Conversions'!$A$47:$A$73,0)))=0,"",HV38/(INDEX('Standards for Conversions'!$H$47:$H$73,MATCH(HU$3,'Standards for Conversions'!$A$47:$A$73,0))))</f>
        <v/>
      </c>
      <c r="HX38" s="31">
        <v>136.5</v>
      </c>
      <c r="HY38" s="31">
        <v>1020</v>
      </c>
      <c r="HZ38" s="31">
        <f>IF(HY38/(INDEX('Standards for Conversions'!$H$47:$H$73,MATCH(HX$3,'Standards for Conversions'!$A$47:$A$73,0)))=0,"",HY38/(INDEX('Standards for Conversions'!$H$47:$H$73,MATCH(HX$3,'Standards for Conversions'!$A$47:$A$73,0))))</f>
        <v>147.50243275832102</v>
      </c>
      <c r="IA38" s="31"/>
      <c r="IB38" s="31"/>
      <c r="IC38" s="31" t="str">
        <f>IF(IB38/(INDEX('Standards for Conversions'!$H$47:$H$73,MATCH(IA$3,'Standards for Conversions'!$A$47:$A$73,0)))=0,"",IB38/(INDEX('Standards for Conversions'!$H$47:$H$73,MATCH(IA$3,'Standards for Conversions'!$A$47:$A$73,0))))</f>
        <v/>
      </c>
      <c r="ID38" s="31"/>
      <c r="IE38" s="31"/>
      <c r="IF38" s="31" t="str">
        <f>IF(IE38/(INDEX('Standards for Conversions'!$H$47:$H$73,MATCH(ID$3,'Standards for Conversions'!$A$47:$A$73,0)))=0,"",IE38/(INDEX('Standards for Conversions'!$H$47:$H$73,MATCH(ID$3,'Standards for Conversions'!$A$47:$A$73,0))))</f>
        <v/>
      </c>
      <c r="IG38" s="31">
        <f t="shared" si="82"/>
        <v>136.5</v>
      </c>
      <c r="IH38" s="31">
        <f t="shared" si="82"/>
        <v>1020</v>
      </c>
      <c r="II38" s="31">
        <f>IF(IH38/(INDEX('Standards for Conversions'!$H$47:$H$73,MATCH(IG$3,'Standards for Conversions'!$A$47:$A$73,0)))=0,"",IH38/(INDEX('Standards for Conversions'!$H$47:$H$73,MATCH(IG$3,'Standards for Conversions'!$A$47:$A$73,0))))</f>
        <v>147.50243275832102</v>
      </c>
      <c r="IJ38" s="31"/>
      <c r="IK38" s="31"/>
      <c r="IL38" s="31" t="str">
        <f>IF(IK38/(INDEX('Standards for Conversions'!$H$47:$H$73,MATCH(IJ$3,'Standards for Conversions'!$A$47:$A$73,0)))=0,"",IK38/(INDEX('Standards for Conversions'!$H$47:$H$73,MATCH(IJ$3,'Standards for Conversions'!$A$47:$A$73,0))))</f>
        <v/>
      </c>
      <c r="IM38" s="31">
        <v>218.75</v>
      </c>
      <c r="IN38" s="31">
        <v>1600</v>
      </c>
      <c r="IO38" s="31">
        <f>IF(IN38/(INDEX('Standards for Conversions'!$H$47:$H$73,MATCH(IM$3,'Standards for Conversions'!$A$47:$A$73,0)))=0,"",IN38/(INDEX('Standards for Conversions'!$H$47:$H$73,MATCH(IM$3,'Standards for Conversions'!$A$47:$A$73,0))))</f>
        <v>258.81631470698989</v>
      </c>
      <c r="IP38" s="31"/>
      <c r="IQ38" s="31"/>
      <c r="IR38" s="31" t="str">
        <f>IF(IQ38/(INDEX('Standards for Conversions'!$H$47:$H$73,MATCH(IP$3,'Standards for Conversions'!$A$47:$A$73,0)))=0,"",IQ38/(INDEX('Standards for Conversions'!$H$47:$H$73,MATCH(IP$3,'Standards for Conversions'!$A$47:$A$73,0))))</f>
        <v/>
      </c>
      <c r="IS38" s="31"/>
      <c r="IT38" s="31"/>
      <c r="IU38" s="31" t="str">
        <f>IF(IT38/(INDEX('Standards for Conversions'!$H$47:$H$73,MATCH(IS$3,'Standards for Conversions'!$A$47:$A$73,0)))=0,"",IT38/(INDEX('Standards for Conversions'!$H$47:$H$73,MATCH(IS$3,'Standards for Conversions'!$A$47:$A$73,0))))</f>
        <v/>
      </c>
      <c r="IV38" s="31">
        <f t="shared" si="83"/>
        <v>218.75</v>
      </c>
      <c r="IW38" s="31">
        <f t="shared" si="83"/>
        <v>1600</v>
      </c>
      <c r="IX38" s="31">
        <f>IF(IW38/(INDEX('Standards for Conversions'!$H$47:$H$73,MATCH(IV$3,'Standards for Conversions'!$A$47:$A$73,0)))=0,"",IW38/(INDEX('Standards for Conversions'!$H$47:$H$73,MATCH(IV$3,'Standards for Conversions'!$A$47:$A$73,0))))</f>
        <v>258.81631470698989</v>
      </c>
      <c r="IY38" s="31"/>
      <c r="IZ38" s="31"/>
      <c r="JA38" s="31" t="str">
        <f>IF(IZ38/(INDEX('Standards for Conversions'!$H$47:$H$73,MATCH(IY$3,'Standards for Conversions'!$A$47:$A$73,0)))=0,"",IZ38/(INDEX('Standards for Conversions'!$H$47:$H$73,MATCH(IY$3,'Standards for Conversions'!$A$47:$A$73,0))))</f>
        <v/>
      </c>
      <c r="JB38" s="31">
        <v>175</v>
      </c>
      <c r="JC38" s="31">
        <v>1200</v>
      </c>
      <c r="JD38" s="31">
        <f>IF(JC38/(INDEX('Standards for Conversions'!$H$47:$H$73,MATCH(JB$3,'Standards for Conversions'!$A$47:$A$73,0)))=0,"",JC38/(INDEX('Standards for Conversions'!$H$47:$H$73,MATCH(JB$3,'Standards for Conversions'!$A$47:$A$73,0))))</f>
        <v>183.18707091335708</v>
      </c>
      <c r="JE38" s="31"/>
      <c r="JF38" s="31"/>
      <c r="JG38" s="31" t="str">
        <f>IF(JF38/(INDEX('Standards for Conversions'!$H$47:$H$73,MATCH(JE$3,'Standards for Conversions'!$A$47:$A$73,0)))=0,"",JF38/(INDEX('Standards for Conversions'!$H$47:$H$73,MATCH(JE$3,'Standards for Conversions'!$A$47:$A$73,0))))</f>
        <v/>
      </c>
      <c r="JH38" s="31"/>
      <c r="JI38" s="31"/>
      <c r="JJ38" s="31" t="str">
        <f>IF(JI38/(INDEX('Standards for Conversions'!$H$47:$H$73,MATCH(JH$3,'Standards for Conversions'!$A$47:$A$73,0)))=0,"",JI38/(INDEX('Standards for Conversions'!$H$47:$H$73,MATCH(JH$3,'Standards for Conversions'!$A$47:$A$73,0))))</f>
        <v/>
      </c>
      <c r="JK38" s="31">
        <f t="shared" si="84"/>
        <v>175</v>
      </c>
      <c r="JL38" s="31">
        <f t="shared" si="84"/>
        <v>1200</v>
      </c>
      <c r="JM38" s="31">
        <f>IF(JL38/(INDEX('Standards for Conversions'!$H$47:$H$73,MATCH(JK$3,'Standards for Conversions'!$A$47:$A$73,0)))=0,"",JL38/(INDEX('Standards for Conversions'!$H$47:$H$73,MATCH(JK$3,'Standards for Conversions'!$A$47:$A$73,0))))</f>
        <v>183.18707091335708</v>
      </c>
      <c r="JN38" s="31"/>
      <c r="JO38" s="31"/>
      <c r="JP38" s="31" t="str">
        <f>IF(JO38/(INDEX('Standards for Conversions'!$H$47:$H$73,MATCH(JN$3,'Standards for Conversions'!$A$47:$A$73,0)))=0,"",JO38/(INDEX('Standards for Conversions'!$H$47:$H$73,MATCH(JN$3,'Standards for Conversions'!$A$47:$A$73,0))))</f>
        <v/>
      </c>
      <c r="JQ38" s="31">
        <v>227.5</v>
      </c>
      <c r="JR38" s="31">
        <v>1600</v>
      </c>
      <c r="JS38" s="31">
        <f>IF(JR38/(INDEX('Standards for Conversions'!$H$47:$H$73,MATCH(JQ$3,'Standards for Conversions'!$A$47:$A$73,0)))=0,"",JR38/(INDEX('Standards for Conversions'!$H$47:$H$73,MATCH(JQ$3,'Standards for Conversions'!$A$47:$A$73,0))))</f>
        <v>215.45441904927435</v>
      </c>
      <c r="JT38" s="31"/>
      <c r="JU38" s="31"/>
      <c r="JV38" s="31" t="str">
        <f>IF(JU38/(INDEX('Standards for Conversions'!$H$47:$H$73,MATCH(JT$3,'Standards for Conversions'!$A$47:$A$73,0)))=0,"",JU38/(INDEX('Standards for Conversions'!$H$47:$H$73,MATCH(JT$3,'Standards for Conversions'!$A$47:$A$73,0))))</f>
        <v/>
      </c>
      <c r="JW38" s="31"/>
      <c r="JX38" s="31"/>
      <c r="JY38" s="31" t="str">
        <f>IF(JX38/(INDEX('Standards for Conversions'!$H$47:$H$73,MATCH(JW$3,'Standards for Conversions'!$A$47:$A$73,0)))=0,"",JX38/(INDEX('Standards for Conversions'!$H$47:$H$73,MATCH(JW$3,'Standards for Conversions'!$A$47:$A$73,0))))</f>
        <v/>
      </c>
      <c r="JZ38" s="31">
        <f t="shared" si="85"/>
        <v>227.5</v>
      </c>
      <c r="KA38" s="31">
        <f t="shared" si="85"/>
        <v>1600</v>
      </c>
      <c r="KB38" s="31">
        <f>IF(KA38/(INDEX('Standards for Conversions'!$H$47:$H$73,MATCH(JZ$3,'Standards for Conversions'!$A$47:$A$73,0)))=0,"",KA38/(INDEX('Standards for Conversions'!$H$47:$H$73,MATCH(JZ$3,'Standards for Conversions'!$A$47:$A$73,0))))</f>
        <v>215.45441904927435</v>
      </c>
      <c r="KC38" s="31"/>
      <c r="KD38" s="31"/>
      <c r="KE38" s="31" t="str">
        <f>IF(KD38/(INDEX('Standards for Conversions'!$H$47:$H$73,MATCH(KC$3,'Standards for Conversions'!$A$47:$A$73,0)))=0,"",KD38/(INDEX('Standards for Conversions'!$H$47:$H$73,MATCH(KC$3,'Standards for Conversions'!$A$47:$A$73,0))))</f>
        <v/>
      </c>
      <c r="KF38" s="31">
        <v>122.5</v>
      </c>
      <c r="KG38" s="31">
        <v>1400</v>
      </c>
      <c r="KH38" s="31">
        <f>IF(KG38/(INDEX('Standards for Conversions'!$H$47:$H$73,MATCH(KF$3,'Standards for Conversions'!$A$47:$A$73,0)))=0,"",KG38/(INDEX('Standards for Conversions'!$H$47:$H$73,MATCH(KF$3,'Standards for Conversions'!$A$47:$A$73,0))))</f>
        <v>170.26319341849884</v>
      </c>
      <c r="KI38" s="31"/>
      <c r="KJ38" s="31"/>
      <c r="KK38" s="31" t="str">
        <f>IF(KJ38/(INDEX('Standards for Conversions'!$H$47:$H$73,MATCH(KI$3,'Standards for Conversions'!$A$47:$A$73,0)))=0,"",KJ38/(INDEX('Standards for Conversions'!$H$47:$H$73,MATCH(KI$3,'Standards for Conversions'!$A$47:$A$73,0))))</f>
        <v/>
      </c>
      <c r="KL38" s="31"/>
      <c r="KM38" s="31"/>
      <c r="KN38" s="31" t="str">
        <f>IF(KM38/(INDEX('Standards for Conversions'!$H$47:$H$73,MATCH(KL$3,'Standards for Conversions'!$A$47:$A$73,0)))=0,"",KM38/(INDEX('Standards for Conversions'!$H$47:$H$73,MATCH(KL$3,'Standards for Conversions'!$A$47:$A$73,0))))</f>
        <v/>
      </c>
      <c r="KO38" s="31">
        <f t="shared" si="86"/>
        <v>122.5</v>
      </c>
      <c r="KP38" s="31">
        <f t="shared" si="86"/>
        <v>1400</v>
      </c>
      <c r="KQ38" s="31">
        <f>IF(KP38/(INDEX('Standards for Conversions'!$H$47:$H$73,MATCH(KO$3,'Standards for Conversions'!$A$47:$A$73,0)))=0,"",KP38/(INDEX('Standards for Conversions'!$H$47:$H$73,MATCH(KO$3,'Standards for Conversions'!$A$47:$A$73,0))))</f>
        <v>170.26319341849884</v>
      </c>
      <c r="KR38" s="31"/>
      <c r="KS38" s="31"/>
      <c r="KT38" s="31" t="str">
        <f>IF(KS38/(INDEX('Standards for Conversions'!$H$47:$H$73,MATCH(KR$3,'Standards for Conversions'!$A$47:$A$73,0)))=0,"",KS38/(INDEX('Standards for Conversions'!$H$47:$H$73,MATCH(KR$3,'Standards for Conversions'!$A$47:$A$73,0))))</f>
        <v/>
      </c>
      <c r="KU38" s="31"/>
      <c r="KV38" s="31"/>
      <c r="KW38" s="31" t="str">
        <f>IF(KV38/(INDEX('Standards for Conversions'!$H$47:$H$73,MATCH(KU$3,'Standards for Conversions'!$A$47:$A$73,0)))=0,"",KV38/(INDEX('Standards for Conversions'!$H$47:$H$73,MATCH(KU$3,'Standards for Conversions'!$A$47:$A$73,0))))</f>
        <v/>
      </c>
      <c r="KX38" s="31"/>
      <c r="KY38" s="31"/>
      <c r="KZ38" s="31" t="str">
        <f>IF(KY38/(INDEX('Standards for Conversions'!$H$47:$H$73,MATCH(KX$3,'Standards for Conversions'!$A$47:$A$73,0)))=0,"",KY38/(INDEX('Standards for Conversions'!$H$47:$H$73,MATCH(KX$3,'Standards for Conversions'!$A$47:$A$73,0))))</f>
        <v/>
      </c>
      <c r="LA38" s="31"/>
      <c r="LB38" s="31"/>
      <c r="LC38" s="31" t="str">
        <f>IF(LB38/(INDEX('Standards for Conversions'!$H$47:$H$73,MATCH(LA$3,'Standards for Conversions'!$A$47:$A$73,0)))=0,"",LB38/(INDEX('Standards for Conversions'!$H$47:$H$73,MATCH(LA$3,'Standards for Conversions'!$A$47:$A$73,0))))</f>
        <v/>
      </c>
      <c r="LD38" s="31"/>
      <c r="LE38" s="31"/>
      <c r="LF38" s="31" t="str">
        <f>IF(LE38/(INDEX('Standards for Conversions'!$H$47:$H$73,MATCH(LD$3,'Standards for Conversions'!$A$47:$A$73,0)))=0,"",LE38/(INDEX('Standards for Conversions'!$H$47:$H$73,MATCH(LD$3,'Standards for Conversions'!$A$47:$A$73,0))))</f>
        <v/>
      </c>
      <c r="LG38" s="31"/>
      <c r="LH38" s="31"/>
      <c r="LI38" s="31" t="str">
        <f>IF(LH38/(INDEX('Standards for Conversions'!$H$47:$H$73,MATCH(LG$3,'Standards for Conversions'!$A$47:$A$73,0)))=0,"",LH38/(INDEX('Standards for Conversions'!$H$47:$H$73,MATCH(LG$3,'Standards for Conversions'!$A$47:$A$73,0))))</f>
        <v/>
      </c>
      <c r="LJ38" s="31"/>
      <c r="LK38" s="31"/>
      <c r="LL38" s="31" t="str">
        <f>IF(LK38/(INDEX('Standards for Conversions'!$H$47:$H$73,MATCH(LJ$3,'Standards for Conversions'!$A$47:$A$73,0)))=0,"",LK38/(INDEX('Standards for Conversions'!$H$47:$H$73,MATCH(LJ$3,'Standards for Conversions'!$A$47:$A$73,0))))</f>
        <v/>
      </c>
      <c r="LM38" s="31"/>
      <c r="LN38" s="31"/>
      <c r="LO38" s="31" t="str">
        <f>IF(LN38/(INDEX('Standards for Conversions'!$H$47:$H$73,MATCH(LM$3,'Standards for Conversions'!$A$47:$A$73,0)))=0,"",LN38/(INDEX('Standards for Conversions'!$H$47:$H$73,MATCH(LM$3,'Standards for Conversions'!$A$47:$A$73,0))))</f>
        <v/>
      </c>
      <c r="LP38" s="31"/>
      <c r="LQ38" s="31"/>
      <c r="LR38" s="31" t="str">
        <f>IF(LQ38/(INDEX('Standards for Conversions'!$H$47:$H$73,MATCH(LP$3,'Standards for Conversions'!$A$47:$A$73,0)))=0,"",LQ38/(INDEX('Standards for Conversions'!$H$47:$H$73,MATCH(LP$3,'Standards for Conversions'!$A$47:$A$73,0))))</f>
        <v/>
      </c>
      <c r="LS38" s="31"/>
      <c r="LT38" s="31"/>
      <c r="LU38" s="31" t="str">
        <f>IF(LT38/(INDEX('Standards for Conversions'!$H$47:$H$73,MATCH(LS$3,'Standards for Conversions'!$A$47:$A$73,0)))=0,"",LT38/(INDEX('Standards for Conversions'!$H$47:$H$73,MATCH(LS$3,'Standards for Conversions'!$A$47:$A$73,0))))</f>
        <v/>
      </c>
      <c r="LV38" s="31"/>
      <c r="LW38" s="31"/>
      <c r="LX38" s="31" t="str">
        <f>IF(LW38/(INDEX('Standards for Conversions'!$H$47:$H$73,MATCH(LV$3,'Standards for Conversions'!$A$47:$A$73,0)))=0,"",LW38/(INDEX('Standards for Conversions'!$H$47:$H$73,MATCH(LV$3,'Standards for Conversions'!$A$47:$A$73,0))))</f>
        <v/>
      </c>
      <c r="LY38" s="31"/>
      <c r="LZ38" s="31"/>
      <c r="MA38" s="31"/>
      <c r="MB38" s="31"/>
      <c r="MC38" s="31"/>
      <c r="MD38" s="31"/>
      <c r="ME38" s="31"/>
      <c r="MF38" s="31"/>
      <c r="MG38" s="31"/>
      <c r="MH38" s="31"/>
      <c r="MI38" s="31">
        <v>736</v>
      </c>
      <c r="MJ38" s="31">
        <v>474</v>
      </c>
      <c r="MK38" s="31">
        <v>732</v>
      </c>
      <c r="ML38" s="31">
        <v>832</v>
      </c>
      <c r="MM38" s="31"/>
      <c r="MN38" s="31"/>
    </row>
    <row r="39" spans="1:352" ht="14.4" customHeight="1" x14ac:dyDescent="0.3">
      <c r="A39" s="102" t="s">
        <v>161</v>
      </c>
      <c r="B39" s="10"/>
      <c r="C39"/>
      <c r="D39" s="7"/>
      <c r="E39" s="31" t="s">
        <v>128</v>
      </c>
      <c r="F39" s="7"/>
      <c r="G39" s="7"/>
      <c r="H39" s="31" t="s">
        <v>128</v>
      </c>
      <c r="I39" s="10"/>
      <c r="J39" s="9"/>
      <c r="K39" s="31" t="s">
        <v>128</v>
      </c>
      <c r="L39"/>
      <c r="M39" s="7"/>
      <c r="N39" s="31" t="s">
        <v>128</v>
      </c>
      <c r="O39" s="31">
        <f t="shared" si="4"/>
        <v>0</v>
      </c>
      <c r="P39" s="31">
        <f t="shared" si="5"/>
        <v>0</v>
      </c>
      <c r="Q39" s="31" t="str">
        <f>IF(P39/(INDEX('Standards for Conversions'!$H$34:$H$73,MATCH(O$3,'Standards for Conversions'!$A$34:$A$73,0)))=0,"",P39/(INDEX('Standards for Conversions'!$H$34:$H$73,MATCH(O$3,'Standards for Conversions'!$A$34:$A$73,0))))</f>
        <v/>
      </c>
      <c r="R39"/>
      <c r="S39" s="7"/>
      <c r="T39" s="31" t="s">
        <v>128</v>
      </c>
      <c r="U39" s="7"/>
      <c r="V39" s="7"/>
      <c r="W39" s="31" t="s">
        <v>128</v>
      </c>
      <c r="X39" s="10"/>
      <c r="Y39" s="9"/>
      <c r="Z39" s="31" t="s">
        <v>128</v>
      </c>
      <c r="AA39"/>
      <c r="AB39" s="7"/>
      <c r="AC39" s="31" t="s">
        <v>128</v>
      </c>
      <c r="AD39" s="31">
        <f t="shared" si="6"/>
        <v>0</v>
      </c>
      <c r="AE39" s="31">
        <f t="shared" si="7"/>
        <v>0</v>
      </c>
      <c r="AF39" s="31" t="str">
        <f>IF(AE39/(INDEX('Standards for Conversions'!$H$34:$H$73,MATCH(AD$3,'Standards for Conversions'!$A$34:$A$73,0)))=0,"",AE39/(INDEX('Standards for Conversions'!$H$34:$H$73,MATCH(AD$3,'Standards for Conversions'!$A$34:$A$73,0))))</f>
        <v/>
      </c>
      <c r="AG39"/>
      <c r="AH39" s="7"/>
      <c r="AI39" s="31" t="s">
        <v>128</v>
      </c>
      <c r="AJ39" s="7"/>
      <c r="AK39" s="7"/>
      <c r="AL39" s="31" t="s">
        <v>128</v>
      </c>
      <c r="AM39" s="10"/>
      <c r="AN39" s="9"/>
      <c r="AO39" s="31" t="s">
        <v>128</v>
      </c>
      <c r="AP39"/>
      <c r="AQ39" s="7"/>
      <c r="AR39" s="31" t="s">
        <v>128</v>
      </c>
      <c r="AS39" s="31">
        <f t="shared" si="8"/>
        <v>0</v>
      </c>
      <c r="AT39" s="31">
        <f t="shared" si="9"/>
        <v>0</v>
      </c>
      <c r="AU39" s="31" t="str">
        <f>IF(AT39/(INDEX('Standards for Conversions'!$H$34:$H$73,MATCH(AS$3,'Standards for Conversions'!$A$34:$A$73,0)))=0,"",AT39/(INDEX('Standards for Conversions'!$H$34:$H$73,MATCH(AS$3,'Standards for Conversions'!$A$34:$A$73,0))))</f>
        <v/>
      </c>
      <c r="AV39"/>
      <c r="AW39" s="7"/>
      <c r="AX39" s="31" t="s">
        <v>128</v>
      </c>
      <c r="AY39" s="7"/>
      <c r="AZ39" s="7"/>
      <c r="BA39" s="31" t="s">
        <v>128</v>
      </c>
      <c r="BB39" s="10"/>
      <c r="BC39" s="9"/>
      <c r="BD39" s="31" t="s">
        <v>128</v>
      </c>
      <c r="BE39"/>
      <c r="BF39" s="7"/>
      <c r="BG39" s="31" t="s">
        <v>128</v>
      </c>
      <c r="BH39" s="31">
        <f t="shared" si="10"/>
        <v>0</v>
      </c>
      <c r="BI39" s="31">
        <f t="shared" si="11"/>
        <v>0</v>
      </c>
      <c r="BJ39" s="31" t="str">
        <f>IF(BI39/(INDEX('Standards for Conversions'!$H$34:$H$73,MATCH(BH$3,'Standards for Conversions'!$A$34:$A$73,0)))=0,"",BI39/(INDEX('Standards for Conversions'!$H$34:$H$73,MATCH(BH$3,'Standards for Conversions'!$A$34:$A$73,0))))</f>
        <v/>
      </c>
      <c r="BK39"/>
      <c r="BL39" s="7"/>
      <c r="BM39" s="31" t="s">
        <v>128</v>
      </c>
      <c r="BN39" s="7"/>
      <c r="BO39" s="7"/>
      <c r="BP39" s="31" t="s">
        <v>128</v>
      </c>
      <c r="BQ39" s="10"/>
      <c r="BR39" s="9"/>
      <c r="BS39" s="31" t="s">
        <v>128</v>
      </c>
      <c r="BT39"/>
      <c r="BU39" s="7"/>
      <c r="BV39" s="31" t="s">
        <v>128</v>
      </c>
      <c r="BW39" s="31">
        <f t="shared" si="12"/>
        <v>0</v>
      </c>
      <c r="BX39" s="31">
        <f t="shared" si="13"/>
        <v>0</v>
      </c>
      <c r="BY39" s="31" t="str">
        <f>IF(BX39/(INDEX('Standards for Conversions'!$H$34:$H$73,MATCH(BW$3,'Standards for Conversions'!$A$34:$A$73,0)))=0,"",BX39/(INDEX('Standards for Conversions'!$H$34:$H$73,MATCH(BW$3,'Standards for Conversions'!$A$34:$A$73,0))))</f>
        <v/>
      </c>
      <c r="BZ39"/>
      <c r="CA39" s="7"/>
      <c r="CB39" s="31" t="s">
        <v>128</v>
      </c>
      <c r="CC39" s="7"/>
      <c r="CD39" s="7"/>
      <c r="CE39" s="31" t="s">
        <v>128</v>
      </c>
      <c r="CF39" s="10"/>
      <c r="CG39" s="9"/>
      <c r="CH39" s="31" t="s">
        <v>128</v>
      </c>
      <c r="CI39"/>
      <c r="CJ39" s="7"/>
      <c r="CK39" s="31" t="s">
        <v>128</v>
      </c>
      <c r="CL39" s="31">
        <f t="shared" si="14"/>
        <v>0</v>
      </c>
      <c r="CM39" s="31">
        <f t="shared" si="15"/>
        <v>0</v>
      </c>
      <c r="CN39" s="31" t="str">
        <f>IF(CM39/(INDEX('Standards for Conversions'!$H$34:$H$73,MATCH(CL$3,'Standards for Conversions'!$A$34:$A$73,0)))=0,"",CM39/(INDEX('Standards for Conversions'!$H$34:$H$73,MATCH(CL$3,'Standards for Conversions'!$A$34:$A$73,0))))</f>
        <v/>
      </c>
      <c r="CO39"/>
      <c r="CP39" s="7"/>
      <c r="CQ39" s="31" t="s">
        <v>128</v>
      </c>
      <c r="CR39" s="7"/>
      <c r="CS39" s="7"/>
      <c r="CT39" s="31" t="s">
        <v>128</v>
      </c>
      <c r="CU39" s="10"/>
      <c r="CV39" s="9"/>
      <c r="CW39" s="31" t="s">
        <v>128</v>
      </c>
      <c r="CX39"/>
      <c r="CY39" s="7"/>
      <c r="CZ39" s="31" t="s">
        <v>128</v>
      </c>
      <c r="DA39" s="31">
        <f t="shared" si="16"/>
        <v>0</v>
      </c>
      <c r="DB39" s="31">
        <f t="shared" si="17"/>
        <v>0</v>
      </c>
      <c r="DC39" s="31" t="str">
        <f>IF(DB39/(INDEX('Standards for Conversions'!$H$34:$H$73,MATCH(DA$3,'Standards for Conversions'!$A$34:$A$73,0)))=0,"",DB39/(INDEX('Standards for Conversions'!$H$34:$H$73,MATCH(DA$3,'Standards for Conversions'!$A$34:$A$73,0))))</f>
        <v/>
      </c>
      <c r="DD39"/>
      <c r="DE39" s="7"/>
      <c r="DF39" s="31" t="s">
        <v>128</v>
      </c>
      <c r="DG39" s="7"/>
      <c r="DH39" s="7"/>
      <c r="DI39" s="31" t="s">
        <v>128</v>
      </c>
      <c r="DJ39" s="10"/>
      <c r="DK39" s="9"/>
      <c r="DL39" s="31" t="s">
        <v>128</v>
      </c>
      <c r="DM39"/>
      <c r="DN39" s="7"/>
      <c r="DO39" s="31" t="s">
        <v>128</v>
      </c>
      <c r="DP39" s="31">
        <f t="shared" si="18"/>
        <v>0</v>
      </c>
      <c r="DQ39" s="31">
        <f t="shared" si="19"/>
        <v>0</v>
      </c>
      <c r="DR39" s="31" t="str">
        <f>IF(DQ39/(INDEX('Standards for Conversions'!$H$34:$H$73,MATCH(DP$3,'Standards for Conversions'!$A$34:$A$73,0)))=0,"",DQ39/(INDEX('Standards for Conversions'!$H$34:$H$73,MATCH(DP$3,'Standards for Conversions'!$A$34:$A$73,0))))</f>
        <v/>
      </c>
      <c r="DS39"/>
      <c r="DT39" s="7"/>
      <c r="DU39" s="31" t="s">
        <v>128</v>
      </c>
      <c r="DV39" s="7"/>
      <c r="DW39" s="7"/>
      <c r="DX39" s="31" t="s">
        <v>128</v>
      </c>
      <c r="DY39" s="10"/>
      <c r="DZ39" s="9"/>
      <c r="EA39" s="31" t="s">
        <v>128</v>
      </c>
      <c r="EB39"/>
      <c r="EC39" s="7"/>
      <c r="ED39" s="31" t="s">
        <v>128</v>
      </c>
      <c r="EE39" s="31">
        <f t="shared" si="20"/>
        <v>0</v>
      </c>
      <c r="EF39" s="31">
        <f t="shared" si="21"/>
        <v>0</v>
      </c>
      <c r="EG39" s="31" t="str">
        <f>IF(EF39/(INDEX('Standards for Conversions'!$H$34:$H$73,MATCH(EE$3,'Standards for Conversions'!$A$34:$A$73,0)))=0,"",EF39/(INDEX('Standards for Conversions'!$H$34:$H$73,MATCH(EE$3,'Standards for Conversions'!$A$34:$A$73,0))))</f>
        <v/>
      </c>
      <c r="EH39"/>
      <c r="EI39" s="7"/>
      <c r="EJ39" s="31" t="s">
        <v>128</v>
      </c>
      <c r="EK39" s="7"/>
      <c r="EL39" s="7"/>
      <c r="EM39" s="31" t="s">
        <v>128</v>
      </c>
      <c r="EN39" s="10"/>
      <c r="EO39" s="9"/>
      <c r="EP39" s="31" t="s">
        <v>128</v>
      </c>
      <c r="EQ39"/>
      <c r="ER39" s="7"/>
      <c r="ES39" s="31" t="s">
        <v>128</v>
      </c>
      <c r="ET39" s="31">
        <f t="shared" si="22"/>
        <v>0</v>
      </c>
      <c r="EU39" s="31">
        <f t="shared" si="23"/>
        <v>0</v>
      </c>
      <c r="EV39" s="31" t="str">
        <f>IF(EU39/(INDEX('Standards for Conversions'!$H$34:$H$73,MATCH(ET$3,'Standards for Conversions'!$A$34:$A$73,0)))=0,"",EU39/(INDEX('Standards for Conversions'!$H$34:$H$73,MATCH(ET$3,'Standards for Conversions'!$A$34:$A$73,0))))</f>
        <v/>
      </c>
      <c r="EW39"/>
      <c r="EX39" s="7"/>
      <c r="EY39" s="31" t="s">
        <v>128</v>
      </c>
      <c r="EZ39" s="7"/>
      <c r="FA39" s="7"/>
      <c r="FB39" s="31" t="s">
        <v>128</v>
      </c>
      <c r="FC39" s="10"/>
      <c r="FD39" s="9"/>
      <c r="FE39" s="31" t="s">
        <v>128</v>
      </c>
      <c r="FF39"/>
      <c r="FG39" s="7"/>
      <c r="FH39" s="31" t="s">
        <v>128</v>
      </c>
      <c r="FI39" s="31">
        <f t="shared" si="24"/>
        <v>0</v>
      </c>
      <c r="FJ39" s="31">
        <f t="shared" si="25"/>
        <v>0</v>
      </c>
      <c r="FK39" s="31" t="str">
        <f>IF(FJ39/(INDEX('Standards for Conversions'!$H$34:$H$73,MATCH(FI$3,'Standards for Conversions'!$A$34:$A$73,0)))=0,"",FJ39/(INDEX('Standards for Conversions'!$H$34:$H$73,MATCH(FI$3,'Standards for Conversions'!$A$34:$A$73,0))))</f>
        <v/>
      </c>
      <c r="FL39"/>
      <c r="FM39" s="7"/>
      <c r="FN39" s="31" t="s">
        <v>128</v>
      </c>
      <c r="FO39" s="7"/>
      <c r="FP39" s="7"/>
      <c r="FQ39" s="31" t="s">
        <v>128</v>
      </c>
      <c r="FR39" s="10"/>
      <c r="FS39" s="9"/>
      <c r="FT39" s="31" t="s">
        <v>128</v>
      </c>
      <c r="FU39"/>
      <c r="FV39" s="7"/>
      <c r="FW39" s="31" t="s">
        <v>128</v>
      </c>
      <c r="FX39" s="31">
        <f t="shared" si="26"/>
        <v>0</v>
      </c>
      <c r="FY39" s="31">
        <f t="shared" si="27"/>
        <v>0</v>
      </c>
      <c r="FZ39" s="31" t="str">
        <f>IF(FY39/(INDEX('Standards for Conversions'!$H$34:$H$73,MATCH(FX$3,'Standards for Conversions'!$A$34:$A$73,0)))=0,"",FY39/(INDEX('Standards for Conversions'!$H$34:$H$73,MATCH(FX$3,'Standards for Conversions'!$A$34:$A$73,0))))</f>
        <v/>
      </c>
      <c r="GA39"/>
      <c r="GB39" s="7"/>
      <c r="GC39" s="31" t="s">
        <v>128</v>
      </c>
      <c r="GD39" s="7"/>
      <c r="GE39" s="7"/>
      <c r="GF39" s="31" t="s">
        <v>128</v>
      </c>
      <c r="GG39" s="10"/>
      <c r="GH39" s="9"/>
      <c r="GI39" s="31" t="s">
        <v>128</v>
      </c>
      <c r="GJ39"/>
      <c r="GK39" s="7"/>
      <c r="GL39" s="31" t="s">
        <v>128</v>
      </c>
      <c r="GM39" s="31">
        <f t="shared" si="28"/>
        <v>0</v>
      </c>
      <c r="GN39" s="31">
        <f t="shared" si="29"/>
        <v>0</v>
      </c>
      <c r="GO39" s="31" t="str">
        <f>IF(GN39/(INDEX('Standards for Conversions'!$H$34:$H$73,MATCH(GM$3,'Standards for Conversions'!$A$34:$A$73,0)))=0,"",GN39/(INDEX('Standards for Conversions'!$H$34:$H$73,MATCH(GM$3,'Standards for Conversions'!$A$34:$A$73,0))))</f>
        <v/>
      </c>
      <c r="GP39"/>
      <c r="GQ39" s="7"/>
      <c r="GR39" s="31" t="s">
        <v>128</v>
      </c>
      <c r="GS39" s="7"/>
      <c r="GT39" s="7"/>
      <c r="GU39" s="31" t="s">
        <v>128</v>
      </c>
      <c r="GV39" s="10"/>
      <c r="GW39" s="9"/>
      <c r="GX39" s="31" t="s">
        <v>128</v>
      </c>
      <c r="GY39"/>
      <c r="GZ39" s="7"/>
      <c r="HA39" s="31" t="s">
        <v>128</v>
      </c>
      <c r="HB39" s="31">
        <f t="shared" si="30"/>
        <v>0</v>
      </c>
      <c r="HC39" s="31">
        <f t="shared" si="31"/>
        <v>0</v>
      </c>
      <c r="HD39" s="31" t="str">
        <f>IF(HC39/(INDEX('Standards for Conversions'!$H$34:$H$73,MATCH(HB$3,'Standards for Conversions'!$A$34:$A$73,0)))=0,"",HC39/(INDEX('Standards for Conversions'!$H$34:$H$73,MATCH(HB$3,'Standards for Conversions'!$A$34:$A$73,0))))</f>
        <v/>
      </c>
      <c r="HE39" s="112"/>
      <c r="HF39" s="31"/>
      <c r="HG39" s="31"/>
      <c r="HH39" s="31" t="str">
        <f>IF(HG39/(INDEX('Standards for Conversions'!$H$47:$H$73,MATCH(HF$3,'Standards for Conversions'!$A$47:$A$73,0)))=0,"",HG39/(INDEX('Standards for Conversions'!$H$47:$H$73,MATCH(HF$3,'Standards for Conversions'!$A$47:$A$73,0))))</f>
        <v/>
      </c>
      <c r="HI39" s="31"/>
      <c r="HJ39" s="31"/>
      <c r="HK39" s="31" t="str">
        <f>IF(HJ39/(INDEX('Standards for Conversions'!$H$47:$H$73,MATCH(HI$3,'Standards for Conversions'!$A$47:$A$73,0)))=0,"",HJ39/(INDEX('Standards for Conversions'!$H$47:$H$73,MATCH(HI$3,'Standards for Conversions'!$A$47:$A$73,0))))</f>
        <v/>
      </c>
      <c r="HL39" s="31"/>
      <c r="HM39" s="31"/>
      <c r="HN39" s="31" t="str">
        <f>IF(HM39/(INDEX('Standards for Conversions'!$H$47:$H$73,MATCH(HL$3,'Standards for Conversions'!$A$47:$A$73,0)))=0,"",HM39/(INDEX('Standards for Conversions'!$H$47:$H$73,MATCH(HL$3,'Standards for Conversions'!$A$47:$A$73,0))))</f>
        <v/>
      </c>
      <c r="HO39" s="31"/>
      <c r="HP39" s="31"/>
      <c r="HQ39" s="31" t="str">
        <f>IF(HP39/(INDEX('Standards for Conversions'!$H$47:$H$73,MATCH(HO$3,'Standards for Conversions'!$A$47:$A$73,0)))=0,"",HP39/(INDEX('Standards for Conversions'!$H$47:$H$73,MATCH(HO$3,'Standards for Conversions'!$A$47:$A$73,0))))</f>
        <v/>
      </c>
      <c r="HR39" s="31"/>
      <c r="HS39" s="31"/>
      <c r="HT39" s="31" t="str">
        <f>IF(HS39/(INDEX('Standards for Conversions'!$H$47:$H$73,MATCH(HR$3,'Standards for Conversions'!$A$47:$A$73,0)))=0,"",HS39/(INDEX('Standards for Conversions'!$H$47:$H$73,MATCH(HR$3,'Standards for Conversions'!$A$47:$A$73,0))))</f>
        <v/>
      </c>
      <c r="HU39" s="31"/>
      <c r="HV39" s="31"/>
      <c r="HW39" s="31" t="str">
        <f>IF(HV39/(INDEX('Standards for Conversions'!$H$47:$H$73,MATCH(HU$3,'Standards for Conversions'!$A$47:$A$73,0)))=0,"",HV39/(INDEX('Standards for Conversions'!$H$47:$H$73,MATCH(HU$3,'Standards for Conversions'!$A$47:$A$73,0))))</f>
        <v/>
      </c>
      <c r="HX39" s="31"/>
      <c r="HY39" s="31"/>
      <c r="HZ39" s="31" t="str">
        <f>IF(HY39/(INDEX('Standards for Conversions'!$H$47:$H$73,MATCH(HX$3,'Standards for Conversions'!$A$47:$A$73,0)))=0,"",HY39/(INDEX('Standards for Conversions'!$H$47:$H$73,MATCH(HX$3,'Standards for Conversions'!$A$47:$A$73,0))))</f>
        <v/>
      </c>
      <c r="IA39" s="31"/>
      <c r="IB39" s="31"/>
      <c r="IC39" s="31" t="str">
        <f>IF(IB39/(INDEX('Standards for Conversions'!$H$47:$H$73,MATCH(IA$3,'Standards for Conversions'!$A$47:$A$73,0)))=0,"",IB39/(INDEX('Standards for Conversions'!$H$47:$H$73,MATCH(IA$3,'Standards for Conversions'!$A$47:$A$73,0))))</f>
        <v/>
      </c>
      <c r="ID39" s="31"/>
      <c r="IE39" s="31"/>
      <c r="IF39" s="31" t="str">
        <f>IF(IE39/(INDEX('Standards for Conversions'!$H$47:$H$73,MATCH(ID$3,'Standards for Conversions'!$A$47:$A$73,0)))=0,"",IE39/(INDEX('Standards for Conversions'!$H$47:$H$73,MATCH(ID$3,'Standards for Conversions'!$A$47:$A$73,0))))</f>
        <v/>
      </c>
      <c r="IG39" s="31"/>
      <c r="IH39" s="31"/>
      <c r="II39" s="31" t="str">
        <f>IF(IH39/(INDEX('Standards for Conversions'!$H$47:$H$73,MATCH(IG$3,'Standards for Conversions'!$A$47:$A$73,0)))=0,"",IH39/(INDEX('Standards for Conversions'!$H$47:$H$73,MATCH(IG$3,'Standards for Conversions'!$A$47:$A$73,0))))</f>
        <v/>
      </c>
      <c r="IJ39" s="31"/>
      <c r="IK39" s="31"/>
      <c r="IL39" s="31" t="str">
        <f>IF(IK39/(INDEX('Standards for Conversions'!$H$47:$H$73,MATCH(IJ$3,'Standards for Conversions'!$A$47:$A$73,0)))=0,"",IK39/(INDEX('Standards for Conversions'!$H$47:$H$73,MATCH(IJ$3,'Standards for Conversions'!$A$47:$A$73,0))))</f>
        <v/>
      </c>
      <c r="IM39" s="31"/>
      <c r="IN39" s="31"/>
      <c r="IO39" s="31" t="str">
        <f>IF(IN39/(INDEX('Standards for Conversions'!$H$47:$H$73,MATCH(IM$3,'Standards for Conversions'!$A$47:$A$73,0)))=0,"",IN39/(INDEX('Standards for Conversions'!$H$47:$H$73,MATCH(IM$3,'Standards for Conversions'!$A$47:$A$73,0))))</f>
        <v/>
      </c>
      <c r="IP39" s="31"/>
      <c r="IQ39" s="31"/>
      <c r="IR39" s="31" t="str">
        <f>IF(IQ39/(INDEX('Standards for Conversions'!$H$47:$H$73,MATCH(IP$3,'Standards for Conversions'!$A$47:$A$73,0)))=0,"",IQ39/(INDEX('Standards for Conversions'!$H$47:$H$73,MATCH(IP$3,'Standards for Conversions'!$A$47:$A$73,0))))</f>
        <v/>
      </c>
      <c r="IS39" s="31"/>
      <c r="IT39" s="31"/>
      <c r="IU39" s="31" t="str">
        <f>IF(IT39/(INDEX('Standards for Conversions'!$H$47:$H$73,MATCH(IS$3,'Standards for Conversions'!$A$47:$A$73,0)))=0,"",IT39/(INDEX('Standards for Conversions'!$H$47:$H$73,MATCH(IS$3,'Standards for Conversions'!$A$47:$A$73,0))))</f>
        <v/>
      </c>
      <c r="IV39" s="31"/>
      <c r="IW39" s="31"/>
      <c r="IX39" s="31" t="str">
        <f>IF(IW39/(INDEX('Standards for Conversions'!$H$47:$H$73,MATCH(IV$3,'Standards for Conversions'!$A$47:$A$73,0)))=0,"",IW39/(INDEX('Standards for Conversions'!$H$47:$H$73,MATCH(IV$3,'Standards for Conversions'!$A$47:$A$73,0))))</f>
        <v/>
      </c>
      <c r="IY39" s="31"/>
      <c r="IZ39" s="31"/>
      <c r="JA39" s="31" t="str">
        <f>IF(IZ39/(INDEX('Standards for Conversions'!$H$47:$H$73,MATCH(IY$3,'Standards for Conversions'!$A$47:$A$73,0)))=0,"",IZ39/(INDEX('Standards for Conversions'!$H$47:$H$73,MATCH(IY$3,'Standards for Conversions'!$A$47:$A$73,0))))</f>
        <v/>
      </c>
      <c r="JB39" s="31"/>
      <c r="JC39" s="31"/>
      <c r="JD39" s="31" t="str">
        <f>IF(JC39/(INDEX('Standards for Conversions'!$H$47:$H$73,MATCH(JB$3,'Standards for Conversions'!$A$47:$A$73,0)))=0,"",JC39/(INDEX('Standards for Conversions'!$H$47:$H$73,MATCH(JB$3,'Standards for Conversions'!$A$47:$A$73,0))))</f>
        <v/>
      </c>
      <c r="JE39" s="31"/>
      <c r="JF39" s="31"/>
      <c r="JG39" s="31" t="str">
        <f>IF(JF39/(INDEX('Standards for Conversions'!$H$47:$H$73,MATCH(JE$3,'Standards for Conversions'!$A$47:$A$73,0)))=0,"",JF39/(INDEX('Standards for Conversions'!$H$47:$H$73,MATCH(JE$3,'Standards for Conversions'!$A$47:$A$73,0))))</f>
        <v/>
      </c>
      <c r="JH39" s="31"/>
      <c r="JI39" s="31"/>
      <c r="JJ39" s="31" t="str">
        <f>IF(JI39/(INDEX('Standards for Conversions'!$H$47:$H$73,MATCH(JH$3,'Standards for Conversions'!$A$47:$A$73,0)))=0,"",JI39/(INDEX('Standards for Conversions'!$H$47:$H$73,MATCH(JH$3,'Standards for Conversions'!$A$47:$A$73,0))))</f>
        <v/>
      </c>
      <c r="JK39" s="31"/>
      <c r="JL39" s="31"/>
      <c r="JM39" s="31" t="str">
        <f>IF(JL39/(INDEX('Standards for Conversions'!$H$47:$H$73,MATCH(JK$3,'Standards for Conversions'!$A$47:$A$73,0)))=0,"",JL39/(INDEX('Standards for Conversions'!$H$47:$H$73,MATCH(JK$3,'Standards for Conversions'!$A$47:$A$73,0))))</f>
        <v/>
      </c>
      <c r="JN39" s="31"/>
      <c r="JO39" s="31"/>
      <c r="JP39" s="31" t="str">
        <f>IF(JO39/(INDEX('Standards for Conversions'!$H$47:$H$73,MATCH(JN$3,'Standards for Conversions'!$A$47:$A$73,0)))=0,"",JO39/(INDEX('Standards for Conversions'!$H$47:$H$73,MATCH(JN$3,'Standards for Conversions'!$A$47:$A$73,0))))</f>
        <v/>
      </c>
      <c r="JQ39" s="31"/>
      <c r="JR39" s="31"/>
      <c r="JS39" s="31" t="str">
        <f>IF(JR39/(INDEX('Standards for Conversions'!$H$47:$H$73,MATCH(JQ$3,'Standards for Conversions'!$A$47:$A$73,0)))=0,"",JR39/(INDEX('Standards for Conversions'!$H$47:$H$73,MATCH(JQ$3,'Standards for Conversions'!$A$47:$A$73,0))))</f>
        <v/>
      </c>
      <c r="JT39" s="31"/>
      <c r="JU39" s="31"/>
      <c r="JV39" s="31" t="str">
        <f>IF(JU39/(INDEX('Standards for Conversions'!$H$47:$H$73,MATCH(JT$3,'Standards for Conversions'!$A$47:$A$73,0)))=0,"",JU39/(INDEX('Standards for Conversions'!$H$47:$H$73,MATCH(JT$3,'Standards for Conversions'!$A$47:$A$73,0))))</f>
        <v/>
      </c>
      <c r="JW39" s="31"/>
      <c r="JX39" s="31"/>
      <c r="JY39" s="31" t="str">
        <f>IF(JX39/(INDEX('Standards for Conversions'!$H$47:$H$73,MATCH(JW$3,'Standards for Conversions'!$A$47:$A$73,0)))=0,"",JX39/(INDEX('Standards for Conversions'!$H$47:$H$73,MATCH(JW$3,'Standards for Conversions'!$A$47:$A$73,0))))</f>
        <v/>
      </c>
      <c r="JZ39" s="31"/>
      <c r="KA39" s="31"/>
      <c r="KB39" s="31" t="str">
        <f>IF(KA39/(INDEX('Standards for Conversions'!$H$47:$H$73,MATCH(JZ$3,'Standards for Conversions'!$A$47:$A$73,0)))=0,"",KA39/(INDEX('Standards for Conversions'!$H$47:$H$73,MATCH(JZ$3,'Standards for Conversions'!$A$47:$A$73,0))))</f>
        <v/>
      </c>
      <c r="KC39" s="31"/>
      <c r="KD39" s="31"/>
      <c r="KE39" s="31" t="str">
        <f>IF(KD39/(INDEX('Standards for Conversions'!$H$47:$H$73,MATCH(KC$3,'Standards for Conversions'!$A$47:$A$73,0)))=0,"",KD39/(INDEX('Standards for Conversions'!$H$47:$H$73,MATCH(KC$3,'Standards for Conversions'!$A$47:$A$73,0))))</f>
        <v/>
      </c>
      <c r="KF39" s="31"/>
      <c r="KG39" s="31"/>
      <c r="KH39" s="31" t="str">
        <f>IF(KG39/(INDEX('Standards for Conversions'!$H$47:$H$73,MATCH(KF$3,'Standards for Conversions'!$A$47:$A$73,0)))=0,"",KG39/(INDEX('Standards for Conversions'!$H$47:$H$73,MATCH(KF$3,'Standards for Conversions'!$A$47:$A$73,0))))</f>
        <v/>
      </c>
      <c r="KI39" s="31"/>
      <c r="KJ39" s="31"/>
      <c r="KK39" s="31" t="str">
        <f>IF(KJ39/(INDEX('Standards for Conversions'!$H$47:$H$73,MATCH(KI$3,'Standards for Conversions'!$A$47:$A$73,0)))=0,"",KJ39/(INDEX('Standards for Conversions'!$H$47:$H$73,MATCH(KI$3,'Standards for Conversions'!$A$47:$A$73,0))))</f>
        <v/>
      </c>
      <c r="KL39" s="31"/>
      <c r="KM39" s="31"/>
      <c r="KN39" s="31" t="str">
        <f>IF(KM39/(INDEX('Standards for Conversions'!$H$47:$H$73,MATCH(KL$3,'Standards for Conversions'!$A$47:$A$73,0)))=0,"",KM39/(INDEX('Standards for Conversions'!$H$47:$H$73,MATCH(KL$3,'Standards for Conversions'!$A$47:$A$73,0))))</f>
        <v/>
      </c>
      <c r="KO39" s="31"/>
      <c r="KP39" s="31"/>
      <c r="KQ39" s="31" t="str">
        <f>IF(KP39/(INDEX('Standards for Conversions'!$H$47:$H$73,MATCH(KO$3,'Standards for Conversions'!$A$47:$A$73,0)))=0,"",KP39/(INDEX('Standards for Conversions'!$H$47:$H$73,MATCH(KO$3,'Standards for Conversions'!$A$47:$A$73,0))))</f>
        <v/>
      </c>
      <c r="KR39" s="31"/>
      <c r="KS39" s="31"/>
      <c r="KT39" s="31" t="str">
        <f>IF(KS39/(INDEX('Standards for Conversions'!$H$47:$H$73,MATCH(KR$3,'Standards for Conversions'!$A$47:$A$73,0)))=0,"",KS39/(INDEX('Standards for Conversions'!$H$47:$H$73,MATCH(KR$3,'Standards for Conversions'!$A$47:$A$73,0))))</f>
        <v/>
      </c>
      <c r="KU39" s="31"/>
      <c r="KV39" s="31"/>
      <c r="KW39" s="31" t="str">
        <f>IF(KV39/(INDEX('Standards for Conversions'!$H$47:$H$73,MATCH(KU$3,'Standards for Conversions'!$A$47:$A$73,0)))=0,"",KV39/(INDEX('Standards for Conversions'!$H$47:$H$73,MATCH(KU$3,'Standards for Conversions'!$A$47:$A$73,0))))</f>
        <v/>
      </c>
      <c r="KX39" s="31"/>
      <c r="KY39" s="31"/>
      <c r="KZ39" s="31" t="str">
        <f>IF(KY39/(INDEX('Standards for Conversions'!$H$47:$H$73,MATCH(KX$3,'Standards for Conversions'!$A$47:$A$73,0)))=0,"",KY39/(INDEX('Standards for Conversions'!$H$47:$H$73,MATCH(KX$3,'Standards for Conversions'!$A$47:$A$73,0))))</f>
        <v/>
      </c>
      <c r="LA39" s="31"/>
      <c r="LB39" s="31"/>
      <c r="LC39" s="31" t="str">
        <f>IF(LB39/(INDEX('Standards for Conversions'!$H$47:$H$73,MATCH(LA$3,'Standards for Conversions'!$A$47:$A$73,0)))=0,"",LB39/(INDEX('Standards for Conversions'!$H$47:$H$73,MATCH(LA$3,'Standards for Conversions'!$A$47:$A$73,0))))</f>
        <v/>
      </c>
      <c r="LD39" s="31"/>
      <c r="LE39" s="31"/>
      <c r="LF39" s="31" t="str">
        <f>IF(LE39/(INDEX('Standards for Conversions'!$H$47:$H$73,MATCH(LD$3,'Standards for Conversions'!$A$47:$A$73,0)))=0,"",LE39/(INDEX('Standards for Conversions'!$H$47:$H$73,MATCH(LD$3,'Standards for Conversions'!$A$47:$A$73,0))))</f>
        <v/>
      </c>
      <c r="LG39" s="31"/>
      <c r="LH39" s="31"/>
      <c r="LI39" s="31" t="str">
        <f>IF(LH39/(INDEX('Standards for Conversions'!$H$47:$H$73,MATCH(LG$3,'Standards for Conversions'!$A$47:$A$73,0)))=0,"",LH39/(INDEX('Standards for Conversions'!$H$47:$H$73,MATCH(LG$3,'Standards for Conversions'!$A$47:$A$73,0))))</f>
        <v/>
      </c>
      <c r="LJ39" s="31"/>
      <c r="LK39" s="31"/>
      <c r="LL39" s="31" t="str">
        <f>IF(LK39/(INDEX('Standards for Conversions'!$H$47:$H$73,MATCH(LJ$3,'Standards for Conversions'!$A$47:$A$73,0)))=0,"",LK39/(INDEX('Standards for Conversions'!$H$47:$H$73,MATCH(LJ$3,'Standards for Conversions'!$A$47:$A$73,0))))</f>
        <v/>
      </c>
      <c r="LM39" s="31"/>
      <c r="LN39" s="31"/>
      <c r="LO39" s="31" t="str">
        <f>IF(LN39/(INDEX('Standards for Conversions'!$H$47:$H$73,MATCH(LM$3,'Standards for Conversions'!$A$47:$A$73,0)))=0,"",LN39/(INDEX('Standards for Conversions'!$H$47:$H$73,MATCH(LM$3,'Standards for Conversions'!$A$47:$A$73,0))))</f>
        <v/>
      </c>
      <c r="LP39" s="31"/>
      <c r="LQ39" s="31"/>
      <c r="LR39" s="31" t="str">
        <f>IF(LQ39/(INDEX('Standards for Conversions'!$H$47:$H$73,MATCH(LP$3,'Standards for Conversions'!$A$47:$A$73,0)))=0,"",LQ39/(INDEX('Standards for Conversions'!$H$47:$H$73,MATCH(LP$3,'Standards for Conversions'!$A$47:$A$73,0))))</f>
        <v/>
      </c>
      <c r="LS39" s="31"/>
      <c r="LT39" s="31"/>
      <c r="LU39" s="31" t="str">
        <f>IF(LT39/(INDEX('Standards for Conversions'!$H$47:$H$73,MATCH(LS$3,'Standards for Conversions'!$A$47:$A$73,0)))=0,"",LT39/(INDEX('Standards for Conversions'!$H$47:$H$73,MATCH(LS$3,'Standards for Conversions'!$A$47:$A$73,0))))</f>
        <v/>
      </c>
      <c r="LV39" s="31"/>
      <c r="LW39" s="31"/>
      <c r="LX39" s="31" t="str">
        <f>IF(LW39/(INDEX('Standards for Conversions'!$H$47:$H$73,MATCH(LV$3,'Standards for Conversions'!$A$47:$A$73,0)))=0,"",LW39/(INDEX('Standards for Conversions'!$H$47:$H$73,MATCH(LV$3,'Standards for Conversions'!$A$47:$A$73,0))))</f>
        <v/>
      </c>
      <c r="LY39" s="31"/>
      <c r="LZ39" s="31"/>
      <c r="MA39" s="31"/>
      <c r="MB39" s="31"/>
      <c r="MC39" s="31"/>
      <c r="MD39" s="31"/>
      <c r="ME39" s="31"/>
      <c r="MF39" s="31"/>
      <c r="MG39" s="31"/>
      <c r="MH39" s="31"/>
      <c r="MI39" s="31">
        <v>12978</v>
      </c>
      <c r="MJ39" s="31">
        <v>9577</v>
      </c>
      <c r="MK39" s="31">
        <v>11258</v>
      </c>
      <c r="ML39" s="31">
        <v>9565</v>
      </c>
      <c r="MM39" s="31"/>
      <c r="MN39" s="31"/>
    </row>
    <row r="40" spans="1:352" ht="14.4" customHeight="1" x14ac:dyDescent="0.3">
      <c r="A40" s="102" t="s">
        <v>108</v>
      </c>
      <c r="B40" s="10" t="s">
        <v>427</v>
      </c>
      <c r="C40" s="9"/>
      <c r="D40" s="9"/>
      <c r="E40" s="31" t="s">
        <v>128</v>
      </c>
      <c r="F40" s="9"/>
      <c r="G40" s="9"/>
      <c r="H40" s="31" t="s">
        <v>128</v>
      </c>
      <c r="I40" s="9"/>
      <c r="J40" s="9"/>
      <c r="K40" s="31" t="s">
        <v>128</v>
      </c>
      <c r="L40" s="9"/>
      <c r="M40" s="9"/>
      <c r="N40" s="31" t="s">
        <v>128</v>
      </c>
      <c r="O40" s="31">
        <f t="shared" si="4"/>
        <v>0</v>
      </c>
      <c r="P40" s="31">
        <f t="shared" si="5"/>
        <v>0</v>
      </c>
      <c r="Q40" s="31" t="str">
        <f>IF(P40/(INDEX('Standards for Conversions'!$H$34:$H$73,MATCH(O$3,'Standards for Conversions'!$A$34:$A$73,0)))=0,"",P40/(INDEX('Standards for Conversions'!$H$34:$H$73,MATCH(O$3,'Standards for Conversions'!$A$34:$A$73,0))))</f>
        <v/>
      </c>
      <c r="R40" s="9"/>
      <c r="S40" s="9"/>
      <c r="T40" s="31" t="s">
        <v>128</v>
      </c>
      <c r="U40" s="9"/>
      <c r="V40" s="9"/>
      <c r="W40" s="31" t="s">
        <v>128</v>
      </c>
      <c r="X40" s="9"/>
      <c r="Y40" s="9"/>
      <c r="Z40" s="31" t="s">
        <v>128</v>
      </c>
      <c r="AA40" s="9"/>
      <c r="AB40" s="9"/>
      <c r="AC40" s="31" t="s">
        <v>128</v>
      </c>
      <c r="AD40" s="31">
        <f t="shared" si="6"/>
        <v>0</v>
      </c>
      <c r="AE40" s="31">
        <f t="shared" si="7"/>
        <v>0</v>
      </c>
      <c r="AF40" s="31" t="str">
        <f>IF(AE40/(INDEX('Standards for Conversions'!$H$34:$H$73,MATCH(AD$3,'Standards for Conversions'!$A$34:$A$73,0)))=0,"",AE40/(INDEX('Standards for Conversions'!$H$34:$H$73,MATCH(AD$3,'Standards for Conversions'!$A$34:$A$73,0))))</f>
        <v/>
      </c>
      <c r="AG40" s="9"/>
      <c r="AH40" s="9"/>
      <c r="AI40" s="31" t="s">
        <v>128</v>
      </c>
      <c r="AJ40" s="9"/>
      <c r="AK40" s="9"/>
      <c r="AL40" s="31" t="s">
        <v>128</v>
      </c>
      <c r="AM40" s="9"/>
      <c r="AN40" s="9"/>
      <c r="AO40" s="31" t="s">
        <v>128</v>
      </c>
      <c r="AP40" s="9"/>
      <c r="AQ40" s="9"/>
      <c r="AR40" s="31" t="s">
        <v>128</v>
      </c>
      <c r="AS40" s="31">
        <f t="shared" si="8"/>
        <v>0</v>
      </c>
      <c r="AT40" s="31">
        <f t="shared" si="9"/>
        <v>0</v>
      </c>
      <c r="AU40" s="31" t="str">
        <f>IF(AT40/(INDEX('Standards for Conversions'!$H$34:$H$73,MATCH(AS$3,'Standards for Conversions'!$A$34:$A$73,0)))=0,"",AT40/(INDEX('Standards for Conversions'!$H$34:$H$73,MATCH(AS$3,'Standards for Conversions'!$A$34:$A$73,0))))</f>
        <v/>
      </c>
      <c r="AV40" s="9"/>
      <c r="AW40" s="9"/>
      <c r="AX40" s="31" t="s">
        <v>128</v>
      </c>
      <c r="AY40" s="9"/>
      <c r="AZ40" s="9"/>
      <c r="BA40" s="31" t="s">
        <v>128</v>
      </c>
      <c r="BB40" s="9"/>
      <c r="BC40" s="9"/>
      <c r="BD40" s="31" t="s">
        <v>128</v>
      </c>
      <c r="BE40" s="9"/>
      <c r="BF40" s="9"/>
      <c r="BG40" s="31" t="s">
        <v>128</v>
      </c>
      <c r="BH40" s="31">
        <f t="shared" si="10"/>
        <v>0</v>
      </c>
      <c r="BI40" s="31">
        <f t="shared" si="11"/>
        <v>0</v>
      </c>
      <c r="BJ40" s="31" t="str">
        <f>IF(BI40/(INDEX('Standards for Conversions'!$H$34:$H$73,MATCH(BH$3,'Standards for Conversions'!$A$34:$A$73,0)))=0,"",BI40/(INDEX('Standards for Conversions'!$H$34:$H$73,MATCH(BH$3,'Standards for Conversions'!$A$34:$A$73,0))))</f>
        <v/>
      </c>
      <c r="BK40" s="9"/>
      <c r="BL40" s="9"/>
      <c r="BM40" s="31" t="s">
        <v>128</v>
      </c>
      <c r="BN40" s="9"/>
      <c r="BO40" s="9"/>
      <c r="BP40" s="31" t="s">
        <v>128</v>
      </c>
      <c r="BQ40" s="9"/>
      <c r="BR40" s="9"/>
      <c r="BS40" s="31" t="s">
        <v>128</v>
      </c>
      <c r="BT40" s="9"/>
      <c r="BU40" s="9"/>
      <c r="BV40" s="31" t="s">
        <v>128</v>
      </c>
      <c r="BW40" s="31">
        <f t="shared" si="12"/>
        <v>0</v>
      </c>
      <c r="BX40" s="31">
        <f t="shared" si="13"/>
        <v>0</v>
      </c>
      <c r="BY40" s="31" t="str">
        <f>IF(BX40/(INDEX('Standards for Conversions'!$H$34:$H$73,MATCH(BW$3,'Standards for Conversions'!$A$34:$A$73,0)))=0,"",BX40/(INDEX('Standards for Conversions'!$H$34:$H$73,MATCH(BW$3,'Standards for Conversions'!$A$34:$A$73,0))))</f>
        <v/>
      </c>
      <c r="BZ40" s="9"/>
      <c r="CA40" s="9"/>
      <c r="CB40" s="31" t="s">
        <v>128</v>
      </c>
      <c r="CC40" s="9"/>
      <c r="CD40" s="9"/>
      <c r="CE40" s="31" t="s">
        <v>128</v>
      </c>
      <c r="CF40" s="9"/>
      <c r="CG40" s="9"/>
      <c r="CH40" s="31" t="s">
        <v>128</v>
      </c>
      <c r="CI40" s="9"/>
      <c r="CJ40" s="9"/>
      <c r="CK40" s="31" t="s">
        <v>128</v>
      </c>
      <c r="CL40" s="31">
        <f t="shared" si="14"/>
        <v>0</v>
      </c>
      <c r="CM40" s="31">
        <f t="shared" si="15"/>
        <v>0</v>
      </c>
      <c r="CN40" s="31" t="str">
        <f>IF(CM40/(INDEX('Standards for Conversions'!$H$34:$H$73,MATCH(CL$3,'Standards for Conversions'!$A$34:$A$73,0)))=0,"",CM40/(INDEX('Standards for Conversions'!$H$34:$H$73,MATCH(CL$3,'Standards for Conversions'!$A$34:$A$73,0))))</f>
        <v/>
      </c>
      <c r="CO40" s="9"/>
      <c r="CP40" s="9"/>
      <c r="CQ40" s="31" t="s">
        <v>128</v>
      </c>
      <c r="CR40" s="9"/>
      <c r="CS40" s="9"/>
      <c r="CT40" s="31" t="s">
        <v>128</v>
      </c>
      <c r="CU40" s="9"/>
      <c r="CV40" s="9"/>
      <c r="CW40" s="31" t="s">
        <v>128</v>
      </c>
      <c r="CX40" s="9"/>
      <c r="CY40" s="9"/>
      <c r="CZ40" s="31" t="s">
        <v>128</v>
      </c>
      <c r="DA40" s="31">
        <f t="shared" si="16"/>
        <v>0</v>
      </c>
      <c r="DB40" s="31">
        <f t="shared" si="17"/>
        <v>0</v>
      </c>
      <c r="DC40" s="31" t="str">
        <f>IF(DB40/(INDEX('Standards for Conversions'!$H$34:$H$73,MATCH(DA$3,'Standards for Conversions'!$A$34:$A$73,0)))=0,"",DB40/(INDEX('Standards for Conversions'!$H$34:$H$73,MATCH(DA$3,'Standards for Conversions'!$A$34:$A$73,0))))</f>
        <v/>
      </c>
      <c r="DD40" s="9"/>
      <c r="DE40" s="9"/>
      <c r="DF40" s="31" t="s">
        <v>128</v>
      </c>
      <c r="DG40" s="9"/>
      <c r="DH40" s="9"/>
      <c r="DI40" s="31" t="s">
        <v>128</v>
      </c>
      <c r="DJ40" s="9"/>
      <c r="DK40" s="9"/>
      <c r="DL40" s="31" t="s">
        <v>128</v>
      </c>
      <c r="DM40" s="9"/>
      <c r="DN40" s="9"/>
      <c r="DO40" s="31" t="s">
        <v>128</v>
      </c>
      <c r="DP40" s="31">
        <f t="shared" si="18"/>
        <v>0</v>
      </c>
      <c r="DQ40" s="31">
        <f t="shared" si="19"/>
        <v>0</v>
      </c>
      <c r="DR40" s="31" t="str">
        <f>IF(DQ40/(INDEX('Standards for Conversions'!$H$34:$H$73,MATCH(DP$3,'Standards for Conversions'!$A$34:$A$73,0)))=0,"",DQ40/(INDEX('Standards for Conversions'!$H$34:$H$73,MATCH(DP$3,'Standards for Conversions'!$A$34:$A$73,0))))</f>
        <v/>
      </c>
      <c r="DS40" s="9"/>
      <c r="DT40" s="9"/>
      <c r="DU40" s="31" t="s">
        <v>128</v>
      </c>
      <c r="DV40" s="9"/>
      <c r="DW40" s="9"/>
      <c r="DX40" s="31" t="s">
        <v>128</v>
      </c>
      <c r="DY40" s="9"/>
      <c r="DZ40" s="9"/>
      <c r="EA40" s="31" t="s">
        <v>128</v>
      </c>
      <c r="EB40" s="7">
        <v>696</v>
      </c>
      <c r="EC40" s="7">
        <v>5730</v>
      </c>
      <c r="ED40" s="31">
        <v>1002.1044185061266</v>
      </c>
      <c r="EE40" s="31">
        <f t="shared" si="20"/>
        <v>696</v>
      </c>
      <c r="EF40" s="31">
        <f t="shared" si="21"/>
        <v>5730</v>
      </c>
      <c r="EG40" s="31">
        <f>IF(EF40/(INDEX('Standards for Conversions'!$H$34:$H$73,MATCH(EE$3,'Standards for Conversions'!$A$34:$A$73,0)))=0,"",EF40/(INDEX('Standards for Conversions'!$H$34:$H$73,MATCH(EE$3,'Standards for Conversions'!$A$34:$A$73,0))))</f>
        <v>1002.1044185061266</v>
      </c>
      <c r="EH40" s="7"/>
      <c r="EI40" s="7"/>
      <c r="EJ40" s="31" t="s">
        <v>128</v>
      </c>
      <c r="EK40" s="7"/>
      <c r="EL40" s="7"/>
      <c r="EM40" s="31" t="s">
        <v>128</v>
      </c>
      <c r="EN40" s="9"/>
      <c r="EO40" s="9"/>
      <c r="EP40" s="31" t="s">
        <v>128</v>
      </c>
      <c r="EQ40" s="9">
        <v>405</v>
      </c>
      <c r="ER40" s="9">
        <v>4560</v>
      </c>
      <c r="ES40" s="31">
        <v>781.07308377509332</v>
      </c>
      <c r="ET40" s="31">
        <f t="shared" si="22"/>
        <v>405</v>
      </c>
      <c r="EU40" s="31">
        <f t="shared" si="23"/>
        <v>4560</v>
      </c>
      <c r="EV40" s="31">
        <f>IF(EU40/(INDEX('Standards for Conversions'!$H$34:$H$73,MATCH(ET$3,'Standards for Conversions'!$A$34:$A$73,0)))=0,"",EU40/(INDEX('Standards for Conversions'!$H$34:$H$73,MATCH(ET$3,'Standards for Conversions'!$A$34:$A$73,0))))</f>
        <v>781.07308377509332</v>
      </c>
      <c r="EW40" s="7"/>
      <c r="EX40" s="7"/>
      <c r="EY40" s="31" t="s">
        <v>128</v>
      </c>
      <c r="EZ40" s="7"/>
      <c r="FA40" s="7"/>
      <c r="FB40" s="31" t="s">
        <v>128</v>
      </c>
      <c r="FC40" s="9"/>
      <c r="FD40" s="9"/>
      <c r="FE40" s="31" t="s">
        <v>128</v>
      </c>
      <c r="FF40" s="7">
        <v>500</v>
      </c>
      <c r="FG40" s="7">
        <v>5000</v>
      </c>
      <c r="FH40" s="31">
        <v>857.49842487181706</v>
      </c>
      <c r="FI40" s="31">
        <f t="shared" si="24"/>
        <v>500</v>
      </c>
      <c r="FJ40" s="31">
        <f t="shared" si="25"/>
        <v>5000</v>
      </c>
      <c r="FK40" s="31">
        <f>IF(FJ40/(INDEX('Standards for Conversions'!$H$34:$H$73,MATCH(FI$3,'Standards for Conversions'!$A$34:$A$73,0)))=0,"",FJ40/(INDEX('Standards for Conversions'!$H$34:$H$73,MATCH(FI$3,'Standards for Conversions'!$A$34:$A$73,0))))</f>
        <v>857.49842487181706</v>
      </c>
      <c r="FL40" s="7"/>
      <c r="FM40" s="7"/>
      <c r="FN40" s="31" t="s">
        <v>128</v>
      </c>
      <c r="FO40" s="7"/>
      <c r="FP40" s="7"/>
      <c r="FQ40" s="31" t="s">
        <v>128</v>
      </c>
      <c r="FR40" s="9"/>
      <c r="FS40" s="9"/>
      <c r="FT40" s="31" t="s">
        <v>128</v>
      </c>
      <c r="FU40" s="7">
        <v>520</v>
      </c>
      <c r="FV40" s="7">
        <v>5000</v>
      </c>
      <c r="FW40" s="31">
        <v>822.56330385852084</v>
      </c>
      <c r="FX40" s="31">
        <f t="shared" si="26"/>
        <v>520</v>
      </c>
      <c r="FY40" s="31">
        <f t="shared" si="27"/>
        <v>5000</v>
      </c>
      <c r="FZ40" s="31">
        <f>IF(FY40/(INDEX('Standards for Conversions'!$H$34:$H$73,MATCH(FX$3,'Standards for Conversions'!$A$34:$A$73,0)))=0,"",FY40/(INDEX('Standards for Conversions'!$H$34:$H$73,MATCH(FX$3,'Standards for Conversions'!$A$34:$A$73,0))))</f>
        <v>822.56330385852084</v>
      </c>
      <c r="GA40" s="7"/>
      <c r="GB40" s="7"/>
      <c r="GC40" s="31" t="s">
        <v>128</v>
      </c>
      <c r="GD40" s="7"/>
      <c r="GE40" s="7"/>
      <c r="GF40" s="31" t="s">
        <v>128</v>
      </c>
      <c r="GG40" s="9"/>
      <c r="GH40" s="9"/>
      <c r="GI40" s="31" t="s">
        <v>128</v>
      </c>
      <c r="GJ40" s="7">
        <v>400</v>
      </c>
      <c r="GK40" s="7">
        <v>4000</v>
      </c>
      <c r="GL40" s="31">
        <v>614.85812983401411</v>
      </c>
      <c r="GM40" s="31">
        <f t="shared" si="28"/>
        <v>400</v>
      </c>
      <c r="GN40" s="31">
        <f t="shared" si="29"/>
        <v>4000</v>
      </c>
      <c r="GO40" s="31">
        <f>IF(GN40/(INDEX('Standards for Conversions'!$H$34:$H$73,MATCH(GM$3,'Standards for Conversions'!$A$34:$A$73,0)))=0,"",GN40/(INDEX('Standards for Conversions'!$H$34:$H$73,MATCH(GM$3,'Standards for Conversions'!$A$34:$A$73,0))))</f>
        <v>614.85812983401411</v>
      </c>
      <c r="GP40" s="7"/>
      <c r="GQ40" s="7"/>
      <c r="GR40" s="31" t="s">
        <v>128</v>
      </c>
      <c r="GS40" s="7"/>
      <c r="GT40" s="7"/>
      <c r="GU40" s="31" t="s">
        <v>128</v>
      </c>
      <c r="GV40" s="9"/>
      <c r="GW40" s="9"/>
      <c r="GX40" s="31" t="s">
        <v>128</v>
      </c>
      <c r="GY40" s="7">
        <v>450</v>
      </c>
      <c r="GZ40" s="7">
        <v>4500</v>
      </c>
      <c r="HA40" s="31">
        <v>681.23485975927679</v>
      </c>
      <c r="HB40" s="31">
        <f t="shared" si="30"/>
        <v>450</v>
      </c>
      <c r="HC40" s="31">
        <f t="shared" si="31"/>
        <v>4500</v>
      </c>
      <c r="HD40" s="31">
        <f>IF(HC40/(INDEX('Standards for Conversions'!$H$34:$H$73,MATCH(HB$3,'Standards for Conversions'!$A$34:$A$73,0)))=0,"",HC40/(INDEX('Standards for Conversions'!$H$34:$H$73,MATCH(HB$3,'Standards for Conversions'!$A$34:$A$73,0))))</f>
        <v>681.23485975927679</v>
      </c>
      <c r="HE40" s="112" t="s">
        <v>97</v>
      </c>
      <c r="HF40" s="31"/>
      <c r="HG40" s="31"/>
      <c r="HH40" s="31" t="str">
        <f>IF(HG40/(INDEX('Standards for Conversions'!$H$47:$H$73,MATCH(HF$3,'Standards for Conversions'!$A$47:$A$73,0)))=0,"",HG40/(INDEX('Standards for Conversions'!$H$47:$H$73,MATCH(HF$3,'Standards for Conversions'!$A$47:$A$73,0))))</f>
        <v/>
      </c>
      <c r="HI40" s="31"/>
      <c r="HJ40" s="31"/>
      <c r="HK40" s="31" t="str">
        <f>IF(HJ40/(INDEX('Standards for Conversions'!$H$47:$H$73,MATCH(HI$3,'Standards for Conversions'!$A$47:$A$73,0)))=0,"",HJ40/(INDEX('Standards for Conversions'!$H$47:$H$73,MATCH(HI$3,'Standards for Conversions'!$A$47:$A$73,0))))</f>
        <v/>
      </c>
      <c r="HL40" s="31"/>
      <c r="HM40" s="31"/>
      <c r="HN40" s="31" t="str">
        <f>IF(HM40/(INDEX('Standards for Conversions'!$H$47:$H$73,MATCH(HL$3,'Standards for Conversions'!$A$47:$A$73,0)))=0,"",HM40/(INDEX('Standards for Conversions'!$H$47:$H$73,MATCH(HL$3,'Standards for Conversions'!$A$47:$A$73,0))))</f>
        <v/>
      </c>
      <c r="HO40" s="31">
        <v>500</v>
      </c>
      <c r="HP40" s="31">
        <v>5000</v>
      </c>
      <c r="HQ40" s="31">
        <f>IF(HP40/(INDEX('Standards for Conversions'!$H$47:$H$73,MATCH(HO$3,'Standards for Conversions'!$A$47:$A$73,0)))=0,"",HP40/(INDEX('Standards for Conversions'!$H$47:$H$73,MATCH(HO$3,'Standards for Conversions'!$A$47:$A$73,0))))</f>
        <v>726.22706106427984</v>
      </c>
      <c r="HR40" s="31">
        <f>HF40+HI40+HL40+HO40</f>
        <v>500</v>
      </c>
      <c r="HS40" s="31">
        <f>HG40+HJ40+HM40+HP40</f>
        <v>5000</v>
      </c>
      <c r="HT40" s="31">
        <f>IF(HS40/(INDEX('Standards for Conversions'!$H$47:$H$73,MATCH(HR$3,'Standards for Conversions'!$A$47:$A$73,0)))=0,"",HS40/(INDEX('Standards for Conversions'!$H$47:$H$73,MATCH(HR$3,'Standards for Conversions'!$A$47:$A$73,0))))</f>
        <v>726.22706106427984</v>
      </c>
      <c r="HU40" s="31"/>
      <c r="HV40" s="31"/>
      <c r="HW40" s="31" t="str">
        <f>IF(HV40/(INDEX('Standards for Conversions'!$H$47:$H$73,MATCH(HU$3,'Standards for Conversions'!$A$47:$A$73,0)))=0,"",HV40/(INDEX('Standards for Conversions'!$H$47:$H$73,MATCH(HU$3,'Standards for Conversions'!$A$47:$A$73,0))))</f>
        <v/>
      </c>
      <c r="HX40" s="31"/>
      <c r="HY40" s="31"/>
      <c r="HZ40" s="31" t="str">
        <f>IF(HY40/(INDEX('Standards for Conversions'!$H$47:$H$73,MATCH(HX$3,'Standards for Conversions'!$A$47:$A$73,0)))=0,"",HY40/(INDEX('Standards for Conversions'!$H$47:$H$73,MATCH(HX$3,'Standards for Conversions'!$A$47:$A$73,0))))</f>
        <v/>
      </c>
      <c r="IA40" s="31"/>
      <c r="IB40" s="31"/>
      <c r="IC40" s="31" t="str">
        <f>IF(IB40/(INDEX('Standards for Conversions'!$H$47:$H$73,MATCH(IA$3,'Standards for Conversions'!$A$47:$A$73,0)))=0,"",IB40/(INDEX('Standards for Conversions'!$H$47:$H$73,MATCH(IA$3,'Standards for Conversions'!$A$47:$A$73,0))))</f>
        <v/>
      </c>
      <c r="ID40" s="31">
        <v>120</v>
      </c>
      <c r="IE40" s="31">
        <v>886</v>
      </c>
      <c r="IF40" s="31">
        <f>IF(IE40/(INDEX('Standards for Conversions'!$H$47:$H$73,MATCH(ID$3,'Standards for Conversions'!$A$47:$A$73,0)))=0,"",IE40/(INDEX('Standards for Conversions'!$H$47:$H$73,MATCH(ID$3,'Standards for Conversions'!$A$47:$A$73,0))))</f>
        <v>128.12466218026708</v>
      </c>
      <c r="IG40" s="31">
        <f>HU40+HX40+IA40+ID40</f>
        <v>120</v>
      </c>
      <c r="IH40" s="31">
        <f>HV40+HY40+IB40+IE40</f>
        <v>886</v>
      </c>
      <c r="II40" s="31">
        <f>IF(IH40/(INDEX('Standards for Conversions'!$H$47:$H$73,MATCH(IG$3,'Standards for Conversions'!$A$47:$A$73,0)))=0,"",IH40/(INDEX('Standards for Conversions'!$H$47:$H$73,MATCH(IG$3,'Standards for Conversions'!$A$47:$A$73,0))))</f>
        <v>128.12466218026708</v>
      </c>
      <c r="IJ40" s="31"/>
      <c r="IK40" s="31"/>
      <c r="IL40" s="31" t="str">
        <f>IF(IK40/(INDEX('Standards for Conversions'!$H$47:$H$73,MATCH(IJ$3,'Standards for Conversions'!$A$47:$A$73,0)))=0,"",IK40/(INDEX('Standards for Conversions'!$H$47:$H$73,MATCH(IJ$3,'Standards for Conversions'!$A$47:$A$73,0))))</f>
        <v/>
      </c>
      <c r="IM40" s="31"/>
      <c r="IN40" s="31"/>
      <c r="IO40" s="31" t="str">
        <f>IF(IN40/(INDEX('Standards for Conversions'!$H$47:$H$73,MATCH(IM$3,'Standards for Conversions'!$A$47:$A$73,0)))=0,"",IN40/(INDEX('Standards for Conversions'!$H$47:$H$73,MATCH(IM$3,'Standards for Conversions'!$A$47:$A$73,0))))</f>
        <v/>
      </c>
      <c r="IP40" s="31"/>
      <c r="IQ40" s="31"/>
      <c r="IR40" s="31" t="str">
        <f>IF(IQ40/(INDEX('Standards for Conversions'!$H$47:$H$73,MATCH(IP$3,'Standards for Conversions'!$A$47:$A$73,0)))=0,"",IQ40/(INDEX('Standards for Conversions'!$H$47:$H$73,MATCH(IP$3,'Standards for Conversions'!$A$47:$A$73,0))))</f>
        <v/>
      </c>
      <c r="IS40" s="31">
        <v>630</v>
      </c>
      <c r="IT40" s="31">
        <v>2800</v>
      </c>
      <c r="IU40" s="31">
        <f>IF(IT40/(INDEX('Standards for Conversions'!$H$47:$H$73,MATCH(IS$3,'Standards for Conversions'!$A$47:$A$73,0)))=0,"",IT40/(INDEX('Standards for Conversions'!$H$47:$H$73,MATCH(IS$3,'Standards for Conversions'!$A$47:$A$73,0))))</f>
        <v>452.92855073723234</v>
      </c>
      <c r="IV40" s="31">
        <f t="shared" ref="IV40:IW40" si="87">IJ40+IM40+IP40+IS40</f>
        <v>630</v>
      </c>
      <c r="IW40" s="31">
        <f t="shared" si="87"/>
        <v>2800</v>
      </c>
      <c r="IX40" s="31">
        <f>IF(IW40/(INDEX('Standards for Conversions'!$H$47:$H$73,MATCH(IV$3,'Standards for Conversions'!$A$47:$A$73,0)))=0,"",IW40/(INDEX('Standards for Conversions'!$H$47:$H$73,MATCH(IV$3,'Standards for Conversions'!$A$47:$A$73,0))))</f>
        <v>452.92855073723234</v>
      </c>
      <c r="IY40" s="31"/>
      <c r="IZ40" s="31"/>
      <c r="JA40" s="31" t="str">
        <f>IF(IZ40/(INDEX('Standards for Conversions'!$H$47:$H$73,MATCH(IY$3,'Standards for Conversions'!$A$47:$A$73,0)))=0,"",IZ40/(INDEX('Standards for Conversions'!$H$47:$H$73,MATCH(IY$3,'Standards for Conversions'!$A$47:$A$73,0))))</f>
        <v/>
      </c>
      <c r="JB40" s="31"/>
      <c r="JC40" s="31"/>
      <c r="JD40" s="31" t="str">
        <f>IF(JC40/(INDEX('Standards for Conversions'!$H$47:$H$73,MATCH(JB$3,'Standards for Conversions'!$A$47:$A$73,0)))=0,"",JC40/(INDEX('Standards for Conversions'!$H$47:$H$73,MATCH(JB$3,'Standards for Conversions'!$A$47:$A$73,0))))</f>
        <v/>
      </c>
      <c r="JE40" s="31"/>
      <c r="JF40" s="31"/>
      <c r="JG40" s="31" t="str">
        <f>IF(JF40/(INDEX('Standards for Conversions'!$H$47:$H$73,MATCH(JE$3,'Standards for Conversions'!$A$47:$A$73,0)))=0,"",JF40/(INDEX('Standards for Conversions'!$H$47:$H$73,MATCH(JE$3,'Standards for Conversions'!$A$47:$A$73,0))))</f>
        <v/>
      </c>
      <c r="JH40" s="31">
        <v>700</v>
      </c>
      <c r="JI40" s="31">
        <v>3500</v>
      </c>
      <c r="JJ40" s="31">
        <f>IF(JI40/(INDEX('Standards for Conversions'!$H$47:$H$73,MATCH(JH$3,'Standards for Conversions'!$A$47:$A$73,0)))=0,"",JI40/(INDEX('Standards for Conversions'!$H$47:$H$73,MATCH(JH$3,'Standards for Conversions'!$A$47:$A$73,0))))</f>
        <v>534.29562349729144</v>
      </c>
      <c r="JK40" s="31">
        <f t="shared" ref="JK40:JL40" si="88">IY40+JB40+JE40+JH40</f>
        <v>700</v>
      </c>
      <c r="JL40" s="31">
        <f t="shared" si="88"/>
        <v>3500</v>
      </c>
      <c r="JM40" s="31">
        <f>IF(JL40/(INDEX('Standards for Conversions'!$H$47:$H$73,MATCH(JK$3,'Standards for Conversions'!$A$47:$A$73,0)))=0,"",JL40/(INDEX('Standards for Conversions'!$H$47:$H$73,MATCH(JK$3,'Standards for Conversions'!$A$47:$A$73,0))))</f>
        <v>534.29562349729144</v>
      </c>
      <c r="JN40" s="31"/>
      <c r="JO40" s="31"/>
      <c r="JP40" s="31" t="str">
        <f>IF(JO40/(INDEX('Standards for Conversions'!$H$47:$H$73,MATCH(JN$3,'Standards for Conversions'!$A$47:$A$73,0)))=0,"",JO40/(INDEX('Standards for Conversions'!$H$47:$H$73,MATCH(JN$3,'Standards for Conversions'!$A$47:$A$73,0))))</f>
        <v/>
      </c>
      <c r="JQ40" s="31"/>
      <c r="JR40" s="31"/>
      <c r="JS40" s="31" t="str">
        <f>IF(JR40/(INDEX('Standards for Conversions'!$H$47:$H$73,MATCH(JQ$3,'Standards for Conversions'!$A$47:$A$73,0)))=0,"",JR40/(INDEX('Standards for Conversions'!$H$47:$H$73,MATCH(JQ$3,'Standards for Conversions'!$A$47:$A$73,0))))</f>
        <v/>
      </c>
      <c r="JT40" s="31"/>
      <c r="JU40" s="31"/>
      <c r="JV40" s="31" t="str">
        <f>IF(JU40/(INDEX('Standards for Conversions'!$H$47:$H$73,MATCH(JT$3,'Standards for Conversions'!$A$47:$A$73,0)))=0,"",JU40/(INDEX('Standards for Conversions'!$H$47:$H$73,MATCH(JT$3,'Standards for Conversions'!$A$47:$A$73,0))))</f>
        <v/>
      </c>
      <c r="JW40" s="31">
        <v>500</v>
      </c>
      <c r="JX40" s="31">
        <v>2800</v>
      </c>
      <c r="JY40" s="31">
        <f>IF(JX40/(INDEX('Standards for Conversions'!$H$47:$H$73,MATCH(JW$3,'Standards for Conversions'!$A$47:$A$73,0)))=0,"",JX40/(INDEX('Standards for Conversions'!$H$47:$H$73,MATCH(JW$3,'Standards for Conversions'!$A$47:$A$73,0))))</f>
        <v>377.04523333623007</v>
      </c>
      <c r="JZ40" s="31">
        <f t="shared" ref="JZ40:KA40" si="89">JN40+JQ40+JT40+JW40</f>
        <v>500</v>
      </c>
      <c r="KA40" s="31">
        <f t="shared" si="89"/>
        <v>2800</v>
      </c>
      <c r="KB40" s="31">
        <f>IF(KA40/(INDEX('Standards for Conversions'!$H$47:$H$73,MATCH(JZ$3,'Standards for Conversions'!$A$47:$A$73,0)))=0,"",KA40/(INDEX('Standards for Conversions'!$H$47:$H$73,MATCH(JZ$3,'Standards for Conversions'!$A$47:$A$73,0))))</f>
        <v>377.04523333623007</v>
      </c>
      <c r="KC40" s="31"/>
      <c r="KD40" s="31"/>
      <c r="KE40" s="31" t="str">
        <f>IF(KD40/(INDEX('Standards for Conversions'!$H$47:$H$73,MATCH(KC$3,'Standards for Conversions'!$A$47:$A$73,0)))=0,"",KD40/(INDEX('Standards for Conversions'!$H$47:$H$73,MATCH(KC$3,'Standards for Conversions'!$A$47:$A$73,0))))</f>
        <v/>
      </c>
      <c r="KF40" s="31"/>
      <c r="KG40" s="31"/>
      <c r="KH40" s="31" t="str">
        <f>IF(KG40/(INDEX('Standards for Conversions'!$H$47:$H$73,MATCH(KF$3,'Standards for Conversions'!$A$47:$A$73,0)))=0,"",KG40/(INDEX('Standards for Conversions'!$H$47:$H$73,MATCH(KF$3,'Standards for Conversions'!$A$47:$A$73,0))))</f>
        <v/>
      </c>
      <c r="KI40" s="31"/>
      <c r="KJ40" s="31"/>
      <c r="KK40" s="31" t="str">
        <f>IF(KJ40/(INDEX('Standards for Conversions'!$H$47:$H$73,MATCH(KI$3,'Standards for Conversions'!$A$47:$A$73,0)))=0,"",KJ40/(INDEX('Standards for Conversions'!$H$47:$H$73,MATCH(KI$3,'Standards for Conversions'!$A$47:$A$73,0))))</f>
        <v/>
      </c>
      <c r="KL40" s="31">
        <v>500</v>
      </c>
      <c r="KM40" s="31">
        <v>3000</v>
      </c>
      <c r="KN40" s="31">
        <f>IF(KM40/(INDEX('Standards for Conversions'!$H$47:$H$73,MATCH(KL$3,'Standards for Conversions'!$A$47:$A$73,0)))=0,"",KM40/(INDEX('Standards for Conversions'!$H$47:$H$73,MATCH(KL$3,'Standards for Conversions'!$A$47:$A$73,0))))</f>
        <v>364.84970018249754</v>
      </c>
      <c r="KO40" s="31">
        <f t="shared" ref="KO40:KP40" si="90">KC40+KF40+KI40+KL40</f>
        <v>500</v>
      </c>
      <c r="KP40" s="31">
        <f t="shared" si="90"/>
        <v>3000</v>
      </c>
      <c r="KQ40" s="31">
        <f>IF(KP40/(INDEX('Standards for Conversions'!$H$47:$H$73,MATCH(KO$3,'Standards for Conversions'!$A$47:$A$73,0)))=0,"",KP40/(INDEX('Standards for Conversions'!$H$47:$H$73,MATCH(KO$3,'Standards for Conversions'!$A$47:$A$73,0))))</f>
        <v>364.84970018249754</v>
      </c>
      <c r="KR40" s="31"/>
      <c r="KS40" s="31"/>
      <c r="KT40" s="31" t="str">
        <f>IF(KS40/(INDEX('Standards for Conversions'!$H$47:$H$73,MATCH(KR$3,'Standards for Conversions'!$A$47:$A$73,0)))=0,"",KS40/(INDEX('Standards for Conversions'!$H$47:$H$73,MATCH(KR$3,'Standards for Conversions'!$A$47:$A$73,0))))</f>
        <v/>
      </c>
      <c r="KU40" s="31"/>
      <c r="KV40" s="31"/>
      <c r="KW40" s="31" t="str">
        <f>IF(KV40/(INDEX('Standards for Conversions'!$H$47:$H$73,MATCH(KU$3,'Standards for Conversions'!$A$47:$A$73,0)))=0,"",KV40/(INDEX('Standards for Conversions'!$H$47:$H$73,MATCH(KU$3,'Standards for Conversions'!$A$47:$A$73,0))))</f>
        <v/>
      </c>
      <c r="KX40" s="31"/>
      <c r="KY40" s="31"/>
      <c r="KZ40" s="31" t="str">
        <f>IF(KY40/(INDEX('Standards for Conversions'!$H$47:$H$73,MATCH(KX$3,'Standards for Conversions'!$A$47:$A$73,0)))=0,"",KY40/(INDEX('Standards for Conversions'!$H$47:$H$73,MATCH(KX$3,'Standards for Conversions'!$A$47:$A$73,0))))</f>
        <v/>
      </c>
      <c r="LA40" s="31"/>
      <c r="LB40" s="31"/>
      <c r="LC40" s="31" t="str">
        <f>IF(LB40/(INDEX('Standards for Conversions'!$H$47:$H$73,MATCH(LA$3,'Standards for Conversions'!$A$47:$A$73,0)))=0,"",LB40/(INDEX('Standards for Conversions'!$H$47:$H$73,MATCH(LA$3,'Standards for Conversions'!$A$47:$A$73,0))))</f>
        <v/>
      </c>
      <c r="LD40" s="31"/>
      <c r="LE40" s="31"/>
      <c r="LF40" s="31" t="str">
        <f>IF(LE40/(INDEX('Standards for Conversions'!$H$47:$H$73,MATCH(LD$3,'Standards for Conversions'!$A$47:$A$73,0)))=0,"",LE40/(INDEX('Standards for Conversions'!$H$47:$H$73,MATCH(LD$3,'Standards for Conversions'!$A$47:$A$73,0))))</f>
        <v/>
      </c>
      <c r="LG40" s="31"/>
      <c r="LH40" s="31"/>
      <c r="LI40" s="31" t="str">
        <f>IF(LH40/(INDEX('Standards for Conversions'!$H$47:$H$73,MATCH(LG$3,'Standards for Conversions'!$A$47:$A$73,0)))=0,"",LH40/(INDEX('Standards for Conversions'!$H$47:$H$73,MATCH(LG$3,'Standards for Conversions'!$A$47:$A$73,0))))</f>
        <v/>
      </c>
      <c r="LJ40" s="31"/>
      <c r="LK40" s="31"/>
      <c r="LL40" s="31" t="str">
        <f>IF(LK40/(INDEX('Standards for Conversions'!$H$47:$H$73,MATCH(LJ$3,'Standards for Conversions'!$A$47:$A$73,0)))=0,"",LK40/(INDEX('Standards for Conversions'!$H$47:$H$73,MATCH(LJ$3,'Standards for Conversions'!$A$47:$A$73,0))))</f>
        <v/>
      </c>
      <c r="LM40" s="31"/>
      <c r="LN40" s="31"/>
      <c r="LO40" s="31" t="str">
        <f>IF(LN40/(INDEX('Standards for Conversions'!$H$47:$H$73,MATCH(LM$3,'Standards for Conversions'!$A$47:$A$73,0)))=0,"",LN40/(INDEX('Standards for Conversions'!$H$47:$H$73,MATCH(LM$3,'Standards for Conversions'!$A$47:$A$73,0))))</f>
        <v/>
      </c>
      <c r="LP40" s="31"/>
      <c r="LQ40" s="31"/>
      <c r="LR40" s="31" t="str">
        <f>IF(LQ40/(INDEX('Standards for Conversions'!$H$47:$H$73,MATCH(LP$3,'Standards for Conversions'!$A$47:$A$73,0)))=0,"",LQ40/(INDEX('Standards for Conversions'!$H$47:$H$73,MATCH(LP$3,'Standards for Conversions'!$A$47:$A$73,0))))</f>
        <v/>
      </c>
      <c r="LS40" s="31"/>
      <c r="LT40" s="31"/>
      <c r="LU40" s="31" t="str">
        <f>IF(LT40/(INDEX('Standards for Conversions'!$H$47:$H$73,MATCH(LS$3,'Standards for Conversions'!$A$47:$A$73,0)))=0,"",LT40/(INDEX('Standards for Conversions'!$H$47:$H$73,MATCH(LS$3,'Standards for Conversions'!$A$47:$A$73,0))))</f>
        <v/>
      </c>
      <c r="LV40" s="31"/>
      <c r="LW40" s="31"/>
      <c r="LX40" s="31" t="str">
        <f>IF(LW40/(INDEX('Standards for Conversions'!$H$47:$H$73,MATCH(LV$3,'Standards for Conversions'!$A$47:$A$73,0)))=0,"",LW40/(INDEX('Standards for Conversions'!$H$47:$H$73,MATCH(LV$3,'Standards for Conversions'!$A$47:$A$73,0))))</f>
        <v/>
      </c>
      <c r="LY40" s="31"/>
      <c r="LZ40" s="31"/>
      <c r="MA40" s="31"/>
      <c r="MB40" s="31"/>
      <c r="MC40" s="31"/>
      <c r="MD40" s="31"/>
      <c r="ME40" s="31"/>
      <c r="MF40" s="31"/>
      <c r="MG40" s="31"/>
      <c r="MH40" s="31"/>
      <c r="MI40" s="31">
        <v>8800</v>
      </c>
      <c r="MJ40" s="31">
        <v>3043</v>
      </c>
      <c r="MK40" s="31">
        <v>7650</v>
      </c>
      <c r="ML40" s="31">
        <v>4245</v>
      </c>
      <c r="MM40" s="31"/>
      <c r="MN40" s="31"/>
    </row>
    <row r="41" spans="1:352" ht="14.4" customHeight="1" x14ac:dyDescent="0.3">
      <c r="A41" s="102" t="s">
        <v>109</v>
      </c>
      <c r="B41" s="10" t="s">
        <v>9</v>
      </c>
      <c r="C41" s="9"/>
      <c r="D41" s="9"/>
      <c r="E41" s="31" t="s">
        <v>128</v>
      </c>
      <c r="F41" s="9"/>
      <c r="G41" s="9"/>
      <c r="H41" s="31" t="s">
        <v>128</v>
      </c>
      <c r="I41" s="7"/>
      <c r="J41" s="7"/>
      <c r="K41" s="31" t="s">
        <v>128</v>
      </c>
      <c r="L41"/>
      <c r="M41"/>
      <c r="N41" s="31" t="s">
        <v>128</v>
      </c>
      <c r="O41" s="31">
        <f t="shared" si="4"/>
        <v>0</v>
      </c>
      <c r="P41" s="31">
        <f t="shared" si="5"/>
        <v>0</v>
      </c>
      <c r="Q41" s="31" t="str">
        <f>IF(P41/(INDEX('Standards for Conversions'!$H$34:$H$73,MATCH(O$3,'Standards for Conversions'!$A$34:$A$73,0)))=0,"",P41/(INDEX('Standards for Conversions'!$H$34:$H$73,MATCH(O$3,'Standards for Conversions'!$A$34:$A$73,0))))</f>
        <v/>
      </c>
      <c r="R41" s="9"/>
      <c r="S41" s="9"/>
      <c r="T41" s="31" t="s">
        <v>128</v>
      </c>
      <c r="U41" s="9"/>
      <c r="V41" s="9"/>
      <c r="W41" s="31" t="s">
        <v>128</v>
      </c>
      <c r="X41" s="7"/>
      <c r="Y41" s="7"/>
      <c r="Z41" s="31" t="s">
        <v>128</v>
      </c>
      <c r="AA41"/>
      <c r="AB41"/>
      <c r="AC41" s="31" t="s">
        <v>128</v>
      </c>
      <c r="AD41" s="31">
        <f t="shared" si="6"/>
        <v>0</v>
      </c>
      <c r="AE41" s="31">
        <f t="shared" si="7"/>
        <v>0</v>
      </c>
      <c r="AF41" s="31" t="str">
        <f>IF(AE41/(INDEX('Standards for Conversions'!$H$34:$H$73,MATCH(AD$3,'Standards for Conversions'!$A$34:$A$73,0)))=0,"",AE41/(INDEX('Standards for Conversions'!$H$34:$H$73,MATCH(AD$3,'Standards for Conversions'!$A$34:$A$73,0))))</f>
        <v/>
      </c>
      <c r="AG41" s="9"/>
      <c r="AH41" s="9"/>
      <c r="AI41" s="31" t="s">
        <v>128</v>
      </c>
      <c r="AJ41" s="9"/>
      <c r="AK41" s="9"/>
      <c r="AL41" s="31" t="s">
        <v>128</v>
      </c>
      <c r="AM41" s="7"/>
      <c r="AN41" s="7"/>
      <c r="AO41" s="31" t="s">
        <v>128</v>
      </c>
      <c r="AP41"/>
      <c r="AQ41"/>
      <c r="AR41" s="31" t="s">
        <v>128</v>
      </c>
      <c r="AS41" s="31">
        <f t="shared" si="8"/>
        <v>0</v>
      </c>
      <c r="AT41" s="31">
        <f t="shared" si="9"/>
        <v>0</v>
      </c>
      <c r="AU41" s="31" t="str">
        <f>IF(AT41/(INDEX('Standards for Conversions'!$H$34:$H$73,MATCH(AS$3,'Standards for Conversions'!$A$34:$A$73,0)))=0,"",AT41/(INDEX('Standards for Conversions'!$H$34:$H$73,MATCH(AS$3,'Standards for Conversions'!$A$34:$A$73,0))))</f>
        <v/>
      </c>
      <c r="AV41" s="9"/>
      <c r="AW41" s="9"/>
      <c r="AX41" s="31" t="s">
        <v>128</v>
      </c>
      <c r="AY41" s="9"/>
      <c r="AZ41" s="9"/>
      <c r="BA41" s="31" t="s">
        <v>128</v>
      </c>
      <c r="BB41" s="7"/>
      <c r="BC41" s="7"/>
      <c r="BD41" s="31" t="s">
        <v>128</v>
      </c>
      <c r="BE41"/>
      <c r="BF41"/>
      <c r="BG41" s="31" t="s">
        <v>128</v>
      </c>
      <c r="BH41" s="31">
        <f t="shared" si="10"/>
        <v>0</v>
      </c>
      <c r="BI41" s="31">
        <f t="shared" si="11"/>
        <v>0</v>
      </c>
      <c r="BJ41" s="31" t="str">
        <f>IF(BI41/(INDEX('Standards for Conversions'!$H$34:$H$73,MATCH(BH$3,'Standards for Conversions'!$A$34:$A$73,0)))=0,"",BI41/(INDEX('Standards for Conversions'!$H$34:$H$73,MATCH(BH$3,'Standards for Conversions'!$A$34:$A$73,0))))</f>
        <v/>
      </c>
      <c r="BK41" s="9"/>
      <c r="BL41" s="9"/>
      <c r="BM41" s="31" t="s">
        <v>128</v>
      </c>
      <c r="BN41" s="9"/>
      <c r="BO41" s="9"/>
      <c r="BP41" s="31" t="s">
        <v>128</v>
      </c>
      <c r="BQ41" s="7"/>
      <c r="BR41" s="7"/>
      <c r="BS41" s="31" t="s">
        <v>128</v>
      </c>
      <c r="BT41"/>
      <c r="BU41"/>
      <c r="BV41" s="31" t="s">
        <v>128</v>
      </c>
      <c r="BW41" s="31">
        <f t="shared" si="12"/>
        <v>0</v>
      </c>
      <c r="BX41" s="31">
        <f t="shared" si="13"/>
        <v>0</v>
      </c>
      <c r="BY41" s="31" t="str">
        <f>IF(BX41/(INDEX('Standards for Conversions'!$H$34:$H$73,MATCH(BW$3,'Standards for Conversions'!$A$34:$A$73,0)))=0,"",BX41/(INDEX('Standards for Conversions'!$H$34:$H$73,MATCH(BW$3,'Standards for Conversions'!$A$34:$A$73,0))))</f>
        <v/>
      </c>
      <c r="BZ41" s="9"/>
      <c r="CA41" s="9"/>
      <c r="CB41" s="31" t="s">
        <v>128</v>
      </c>
      <c r="CC41" s="9"/>
      <c r="CD41" s="9"/>
      <c r="CE41" s="31" t="s">
        <v>128</v>
      </c>
      <c r="CF41" s="7"/>
      <c r="CG41" s="7"/>
      <c r="CH41" s="31" t="s">
        <v>128</v>
      </c>
      <c r="CI41"/>
      <c r="CJ41"/>
      <c r="CK41" s="31" t="s">
        <v>128</v>
      </c>
      <c r="CL41" s="31">
        <f t="shared" si="14"/>
        <v>0</v>
      </c>
      <c r="CM41" s="31">
        <f t="shared" si="15"/>
        <v>0</v>
      </c>
      <c r="CN41" s="31" t="str">
        <f>IF(CM41/(INDEX('Standards for Conversions'!$H$34:$H$73,MATCH(CL$3,'Standards for Conversions'!$A$34:$A$73,0)))=0,"",CM41/(INDEX('Standards for Conversions'!$H$34:$H$73,MATCH(CL$3,'Standards for Conversions'!$A$34:$A$73,0))))</f>
        <v/>
      </c>
      <c r="CO41" s="9"/>
      <c r="CP41" s="9"/>
      <c r="CQ41" s="31" t="s">
        <v>128</v>
      </c>
      <c r="CR41" s="9"/>
      <c r="CS41" s="9"/>
      <c r="CT41" s="31" t="s">
        <v>128</v>
      </c>
      <c r="CU41" s="7"/>
      <c r="CV41" s="7"/>
      <c r="CW41" s="31" t="s">
        <v>128</v>
      </c>
      <c r="CX41"/>
      <c r="CY41"/>
      <c r="CZ41" s="31" t="s">
        <v>128</v>
      </c>
      <c r="DA41" s="31">
        <f t="shared" si="16"/>
        <v>0</v>
      </c>
      <c r="DB41" s="31">
        <f t="shared" si="17"/>
        <v>0</v>
      </c>
      <c r="DC41" s="31" t="str">
        <f>IF(DB41/(INDEX('Standards for Conversions'!$H$34:$H$73,MATCH(DA$3,'Standards for Conversions'!$A$34:$A$73,0)))=0,"",DB41/(INDEX('Standards for Conversions'!$H$34:$H$73,MATCH(DA$3,'Standards for Conversions'!$A$34:$A$73,0))))</f>
        <v/>
      </c>
      <c r="DD41" s="9"/>
      <c r="DE41" s="9"/>
      <c r="DF41" s="31" t="s">
        <v>128</v>
      </c>
      <c r="DG41" s="9"/>
      <c r="DH41" s="9"/>
      <c r="DI41" s="31" t="s">
        <v>128</v>
      </c>
      <c r="DJ41" s="7"/>
      <c r="DK41" s="7"/>
      <c r="DL41" s="31" t="s">
        <v>128</v>
      </c>
      <c r="DM41"/>
      <c r="DN41"/>
      <c r="DO41" s="31" t="s">
        <v>128</v>
      </c>
      <c r="DP41" s="31">
        <f t="shared" si="18"/>
        <v>0</v>
      </c>
      <c r="DQ41" s="31">
        <f t="shared" si="19"/>
        <v>0</v>
      </c>
      <c r="DR41" s="31" t="str">
        <f>IF(DQ41/(INDEX('Standards for Conversions'!$H$34:$H$73,MATCH(DP$3,'Standards for Conversions'!$A$34:$A$73,0)))=0,"",DQ41/(INDEX('Standards for Conversions'!$H$34:$H$73,MATCH(DP$3,'Standards for Conversions'!$A$34:$A$73,0))))</f>
        <v/>
      </c>
      <c r="DS41" s="9"/>
      <c r="DT41" s="9"/>
      <c r="DU41" s="31" t="s">
        <v>128</v>
      </c>
      <c r="DV41" s="9"/>
      <c r="DW41" s="9"/>
      <c r="DX41" s="31" t="s">
        <v>128</v>
      </c>
      <c r="DY41" s="7"/>
      <c r="DZ41" s="7"/>
      <c r="EA41" s="31" t="s">
        <v>128</v>
      </c>
      <c r="EB41"/>
      <c r="EC41"/>
      <c r="ED41" s="31" t="s">
        <v>128</v>
      </c>
      <c r="EE41" s="31">
        <f t="shared" si="20"/>
        <v>0</v>
      </c>
      <c r="EF41" s="31">
        <f t="shared" si="21"/>
        <v>0</v>
      </c>
      <c r="EG41" s="31" t="str">
        <f>IF(EF41/(INDEX('Standards for Conversions'!$H$34:$H$73,MATCH(EE$3,'Standards for Conversions'!$A$34:$A$73,0)))=0,"",EF41/(INDEX('Standards for Conversions'!$H$34:$H$73,MATCH(EE$3,'Standards for Conversions'!$A$34:$A$73,0))))</f>
        <v/>
      </c>
      <c r="EH41" s="9"/>
      <c r="EI41" s="9"/>
      <c r="EJ41" s="31" t="s">
        <v>128</v>
      </c>
      <c r="EK41" s="9"/>
      <c r="EL41" s="9"/>
      <c r="EM41" s="31" t="s">
        <v>128</v>
      </c>
      <c r="EN41" s="9"/>
      <c r="EO41" s="9"/>
      <c r="EP41" s="31" t="s">
        <v>128</v>
      </c>
      <c r="EQ41"/>
      <c r="ER41"/>
      <c r="ES41" s="31" t="s">
        <v>128</v>
      </c>
      <c r="ET41" s="31">
        <f t="shared" si="22"/>
        <v>0</v>
      </c>
      <c r="EU41" s="31">
        <f t="shared" si="23"/>
        <v>0</v>
      </c>
      <c r="EV41" s="31" t="str">
        <f>IF(EU41/(INDEX('Standards for Conversions'!$H$34:$H$73,MATCH(ET$3,'Standards for Conversions'!$A$34:$A$73,0)))=0,"",EU41/(INDEX('Standards for Conversions'!$H$34:$H$73,MATCH(ET$3,'Standards for Conversions'!$A$34:$A$73,0))))</f>
        <v/>
      </c>
      <c r="EW41" s="9"/>
      <c r="EX41" s="9"/>
      <c r="EY41" s="31" t="s">
        <v>128</v>
      </c>
      <c r="EZ41" s="9"/>
      <c r="FA41" s="9"/>
      <c r="FB41" s="31" t="s">
        <v>128</v>
      </c>
      <c r="FC41" s="9"/>
      <c r="FD41" s="9"/>
      <c r="FE41" s="31" t="s">
        <v>128</v>
      </c>
      <c r="FF41"/>
      <c r="FG41"/>
      <c r="FH41" s="31" t="s">
        <v>128</v>
      </c>
      <c r="FI41" s="31">
        <f t="shared" si="24"/>
        <v>0</v>
      </c>
      <c r="FJ41" s="31">
        <f t="shared" si="25"/>
        <v>0</v>
      </c>
      <c r="FK41" s="31" t="str">
        <f>IF(FJ41/(INDEX('Standards for Conversions'!$H$34:$H$73,MATCH(FI$3,'Standards for Conversions'!$A$34:$A$73,0)))=0,"",FJ41/(INDEX('Standards for Conversions'!$H$34:$H$73,MATCH(FI$3,'Standards for Conversions'!$A$34:$A$73,0))))</f>
        <v/>
      </c>
      <c r="FL41" s="9"/>
      <c r="FM41" s="9"/>
      <c r="FN41" s="31" t="s">
        <v>128</v>
      </c>
      <c r="FO41" s="9"/>
      <c r="FP41" s="9"/>
      <c r="FQ41" s="31" t="s">
        <v>128</v>
      </c>
      <c r="FR41" s="9"/>
      <c r="FS41" s="9"/>
      <c r="FT41" s="31" t="s">
        <v>128</v>
      </c>
      <c r="FU41"/>
      <c r="FV41"/>
      <c r="FW41" s="31" t="s">
        <v>128</v>
      </c>
      <c r="FX41" s="31">
        <f t="shared" si="26"/>
        <v>0</v>
      </c>
      <c r="FY41" s="31">
        <f t="shared" si="27"/>
        <v>0</v>
      </c>
      <c r="FZ41" s="31" t="str">
        <f>IF(FY41/(INDEX('Standards for Conversions'!$H$34:$H$73,MATCH(FX$3,'Standards for Conversions'!$A$34:$A$73,0)))=0,"",FY41/(INDEX('Standards for Conversions'!$H$34:$H$73,MATCH(FX$3,'Standards for Conversions'!$A$34:$A$73,0))))</f>
        <v/>
      </c>
      <c r="GA41" s="9"/>
      <c r="GB41" s="9"/>
      <c r="GC41" s="31" t="s">
        <v>128</v>
      </c>
      <c r="GD41" s="9"/>
      <c r="GE41" s="9"/>
      <c r="GF41" s="31" t="s">
        <v>128</v>
      </c>
      <c r="GG41" s="9"/>
      <c r="GH41" s="9"/>
      <c r="GI41" s="31" t="s">
        <v>128</v>
      </c>
      <c r="GJ41"/>
      <c r="GK41"/>
      <c r="GL41" s="31" t="s">
        <v>128</v>
      </c>
      <c r="GM41" s="31">
        <f t="shared" si="28"/>
        <v>0</v>
      </c>
      <c r="GN41" s="31">
        <f t="shared" si="29"/>
        <v>0</v>
      </c>
      <c r="GO41" s="31" t="str">
        <f>IF(GN41/(INDEX('Standards for Conversions'!$H$34:$H$73,MATCH(GM$3,'Standards for Conversions'!$A$34:$A$73,0)))=0,"",GN41/(INDEX('Standards for Conversions'!$H$34:$H$73,MATCH(GM$3,'Standards for Conversions'!$A$34:$A$73,0))))</f>
        <v/>
      </c>
      <c r="GP41" s="9"/>
      <c r="GQ41" s="9"/>
      <c r="GR41" s="31" t="s">
        <v>128</v>
      </c>
      <c r="GS41" s="9"/>
      <c r="GT41" s="9"/>
      <c r="GU41" s="31" t="s">
        <v>128</v>
      </c>
      <c r="GV41" s="9"/>
      <c r="GW41" s="9"/>
      <c r="GX41" s="31" t="s">
        <v>128</v>
      </c>
      <c r="GY41"/>
      <c r="GZ41"/>
      <c r="HA41" s="31" t="s">
        <v>128</v>
      </c>
      <c r="HB41" s="31">
        <f t="shared" si="30"/>
        <v>0</v>
      </c>
      <c r="HC41" s="31">
        <f t="shared" si="31"/>
        <v>0</v>
      </c>
      <c r="HD41" s="31" t="str">
        <f>IF(HC41/(INDEX('Standards for Conversions'!$H$34:$H$73,MATCH(HB$3,'Standards for Conversions'!$A$34:$A$73,0)))=0,"",HC41/(INDEX('Standards for Conversions'!$H$34:$H$73,MATCH(HB$3,'Standards for Conversions'!$A$34:$A$73,0))))</f>
        <v/>
      </c>
      <c r="HE41" s="112" t="s">
        <v>9</v>
      </c>
      <c r="HF41" s="31"/>
      <c r="HG41" s="31"/>
      <c r="HH41" s="31" t="str">
        <f>IF(HG41/(INDEX('Standards for Conversions'!$H$47:$H$73,MATCH(HF$3,'Standards for Conversions'!$A$47:$A$73,0)))=0,"",HG41/(INDEX('Standards for Conversions'!$H$47:$H$73,MATCH(HF$3,'Standards for Conversions'!$A$47:$A$73,0))))</f>
        <v/>
      </c>
      <c r="HI41" s="31"/>
      <c r="HJ41" s="31"/>
      <c r="HK41" s="31" t="str">
        <f>IF(HJ41/(INDEX('Standards for Conversions'!$H$47:$H$73,MATCH(HI$3,'Standards for Conversions'!$A$47:$A$73,0)))=0,"",HJ41/(INDEX('Standards for Conversions'!$H$47:$H$73,MATCH(HI$3,'Standards for Conversions'!$A$47:$A$73,0))))</f>
        <v/>
      </c>
      <c r="HL41" s="31"/>
      <c r="HM41" s="31"/>
      <c r="HN41" s="31" t="str">
        <f>IF(HM41/(INDEX('Standards for Conversions'!$H$47:$H$73,MATCH(HL$3,'Standards for Conversions'!$A$47:$A$73,0)))=0,"",HM41/(INDEX('Standards for Conversions'!$H$47:$H$73,MATCH(HL$3,'Standards for Conversions'!$A$47:$A$73,0))))</f>
        <v/>
      </c>
      <c r="HO41" s="31"/>
      <c r="HP41" s="31"/>
      <c r="HQ41" s="31" t="str">
        <f>IF(HP41/(INDEX('Standards for Conversions'!$H$47:$H$73,MATCH(HO$3,'Standards for Conversions'!$A$47:$A$73,0)))=0,"",HP41/(INDEX('Standards for Conversions'!$H$47:$H$73,MATCH(HO$3,'Standards for Conversions'!$A$47:$A$73,0))))</f>
        <v/>
      </c>
      <c r="HR41" s="31"/>
      <c r="HS41" s="31"/>
      <c r="HT41" s="31" t="str">
        <f>IF(HS41/(INDEX('Standards for Conversions'!$H$47:$H$73,MATCH(HR$3,'Standards for Conversions'!$A$47:$A$73,0)))=0,"",HS41/(INDEX('Standards for Conversions'!$H$47:$H$73,MATCH(HR$3,'Standards for Conversions'!$A$47:$A$73,0))))</f>
        <v/>
      </c>
      <c r="HU41" s="31"/>
      <c r="HV41" s="31"/>
      <c r="HW41" s="31" t="str">
        <f>IF(HV41/(INDEX('Standards for Conversions'!$H$47:$H$73,MATCH(HU$3,'Standards for Conversions'!$A$47:$A$73,0)))=0,"",HV41/(INDEX('Standards for Conversions'!$H$47:$H$73,MATCH(HU$3,'Standards for Conversions'!$A$47:$A$73,0))))</f>
        <v/>
      </c>
      <c r="HX41" s="31"/>
      <c r="HY41" s="31"/>
      <c r="HZ41" s="31" t="str">
        <f>IF(HY41/(INDEX('Standards for Conversions'!$H$47:$H$73,MATCH(HX$3,'Standards for Conversions'!$A$47:$A$73,0)))=0,"",HY41/(INDEX('Standards for Conversions'!$H$47:$H$73,MATCH(HX$3,'Standards for Conversions'!$A$47:$A$73,0))))</f>
        <v/>
      </c>
      <c r="IA41" s="31"/>
      <c r="IB41" s="31"/>
      <c r="IC41" s="31" t="str">
        <f>IF(IB41/(INDEX('Standards for Conversions'!$H$47:$H$73,MATCH(IA$3,'Standards for Conversions'!$A$47:$A$73,0)))=0,"",IB41/(INDEX('Standards for Conversions'!$H$47:$H$73,MATCH(IA$3,'Standards for Conversions'!$A$47:$A$73,0))))</f>
        <v/>
      </c>
      <c r="ID41" s="31"/>
      <c r="IE41" s="31"/>
      <c r="IF41" s="31" t="str">
        <f>IF(IE41/(INDEX('Standards for Conversions'!$H$47:$H$73,MATCH(ID$3,'Standards for Conversions'!$A$47:$A$73,0)))=0,"",IE41/(INDEX('Standards for Conversions'!$H$47:$H$73,MATCH(ID$3,'Standards for Conversions'!$A$47:$A$73,0))))</f>
        <v/>
      </c>
      <c r="IG41" s="31"/>
      <c r="IH41" s="31"/>
      <c r="II41" s="31" t="str">
        <f>IF(IH41/(INDEX('Standards for Conversions'!$H$47:$H$73,MATCH(IG$3,'Standards for Conversions'!$A$47:$A$73,0)))=0,"",IH41/(INDEX('Standards for Conversions'!$H$47:$H$73,MATCH(IG$3,'Standards for Conversions'!$A$47:$A$73,0))))</f>
        <v/>
      </c>
      <c r="IJ41" s="31"/>
      <c r="IK41" s="31"/>
      <c r="IL41" s="31" t="str">
        <f>IF(IK41/(INDEX('Standards for Conversions'!$H$47:$H$73,MATCH(IJ$3,'Standards for Conversions'!$A$47:$A$73,0)))=0,"",IK41/(INDEX('Standards for Conversions'!$H$47:$H$73,MATCH(IJ$3,'Standards for Conversions'!$A$47:$A$73,0))))</f>
        <v/>
      </c>
      <c r="IM41" s="31"/>
      <c r="IN41" s="31"/>
      <c r="IO41" s="31" t="str">
        <f>IF(IN41/(INDEX('Standards for Conversions'!$H$47:$H$73,MATCH(IM$3,'Standards for Conversions'!$A$47:$A$73,0)))=0,"",IN41/(INDEX('Standards for Conversions'!$H$47:$H$73,MATCH(IM$3,'Standards for Conversions'!$A$47:$A$73,0))))</f>
        <v/>
      </c>
      <c r="IP41" s="31"/>
      <c r="IQ41" s="31"/>
      <c r="IR41" s="31" t="str">
        <f>IF(IQ41/(INDEX('Standards for Conversions'!$H$47:$H$73,MATCH(IP$3,'Standards for Conversions'!$A$47:$A$73,0)))=0,"",IQ41/(INDEX('Standards for Conversions'!$H$47:$H$73,MATCH(IP$3,'Standards for Conversions'!$A$47:$A$73,0))))</f>
        <v/>
      </c>
      <c r="IS41" s="31"/>
      <c r="IT41" s="31"/>
      <c r="IU41" s="31" t="str">
        <f>IF(IT41/(INDEX('Standards for Conversions'!$H$47:$H$73,MATCH(IS$3,'Standards for Conversions'!$A$47:$A$73,0)))=0,"",IT41/(INDEX('Standards for Conversions'!$H$47:$H$73,MATCH(IS$3,'Standards for Conversions'!$A$47:$A$73,0))))</f>
        <v/>
      </c>
      <c r="IV41" s="31"/>
      <c r="IW41" s="31"/>
      <c r="IX41" s="31" t="str">
        <f>IF(IW41/(INDEX('Standards for Conversions'!$H$47:$H$73,MATCH(IV$3,'Standards for Conversions'!$A$47:$A$73,0)))=0,"",IW41/(INDEX('Standards for Conversions'!$H$47:$H$73,MATCH(IV$3,'Standards for Conversions'!$A$47:$A$73,0))))</f>
        <v/>
      </c>
      <c r="IY41" s="31"/>
      <c r="IZ41" s="31"/>
      <c r="JA41" s="31" t="str">
        <f>IF(IZ41/(INDEX('Standards for Conversions'!$H$47:$H$73,MATCH(IY$3,'Standards for Conversions'!$A$47:$A$73,0)))=0,"",IZ41/(INDEX('Standards for Conversions'!$H$47:$H$73,MATCH(IY$3,'Standards for Conversions'!$A$47:$A$73,0))))</f>
        <v/>
      </c>
      <c r="JB41" s="31"/>
      <c r="JC41" s="31"/>
      <c r="JD41" s="31" t="str">
        <f>IF(JC41/(INDEX('Standards for Conversions'!$H$47:$H$73,MATCH(JB$3,'Standards for Conversions'!$A$47:$A$73,0)))=0,"",JC41/(INDEX('Standards for Conversions'!$H$47:$H$73,MATCH(JB$3,'Standards for Conversions'!$A$47:$A$73,0))))</f>
        <v/>
      </c>
      <c r="JE41" s="31"/>
      <c r="JF41" s="31"/>
      <c r="JG41" s="31" t="str">
        <f>IF(JF41/(INDEX('Standards for Conversions'!$H$47:$H$73,MATCH(JE$3,'Standards for Conversions'!$A$47:$A$73,0)))=0,"",JF41/(INDEX('Standards for Conversions'!$H$47:$H$73,MATCH(JE$3,'Standards for Conversions'!$A$47:$A$73,0))))</f>
        <v/>
      </c>
      <c r="JH41" s="31"/>
      <c r="JI41" s="31"/>
      <c r="JJ41" s="31" t="str">
        <f>IF(JI41/(INDEX('Standards for Conversions'!$H$47:$H$73,MATCH(JH$3,'Standards for Conversions'!$A$47:$A$73,0)))=0,"",JI41/(INDEX('Standards for Conversions'!$H$47:$H$73,MATCH(JH$3,'Standards for Conversions'!$A$47:$A$73,0))))</f>
        <v/>
      </c>
      <c r="JK41" s="31"/>
      <c r="JL41" s="31"/>
      <c r="JM41" s="31" t="str">
        <f>IF(JL41/(INDEX('Standards for Conversions'!$H$47:$H$73,MATCH(JK$3,'Standards for Conversions'!$A$47:$A$73,0)))=0,"",JL41/(INDEX('Standards for Conversions'!$H$47:$H$73,MATCH(JK$3,'Standards for Conversions'!$A$47:$A$73,0))))</f>
        <v/>
      </c>
      <c r="JN41" s="31"/>
      <c r="JO41" s="31"/>
      <c r="JP41" s="31" t="str">
        <f>IF(JO41/(INDEX('Standards for Conversions'!$H$47:$H$73,MATCH(JN$3,'Standards for Conversions'!$A$47:$A$73,0)))=0,"",JO41/(INDEX('Standards for Conversions'!$H$47:$H$73,MATCH(JN$3,'Standards for Conversions'!$A$47:$A$73,0))))</f>
        <v/>
      </c>
      <c r="JQ41" s="31"/>
      <c r="JR41" s="31"/>
      <c r="JS41" s="31" t="str">
        <f>IF(JR41/(INDEX('Standards for Conversions'!$H$47:$H$73,MATCH(JQ$3,'Standards for Conversions'!$A$47:$A$73,0)))=0,"",JR41/(INDEX('Standards for Conversions'!$H$47:$H$73,MATCH(JQ$3,'Standards for Conversions'!$A$47:$A$73,0))))</f>
        <v/>
      </c>
      <c r="JT41" s="31"/>
      <c r="JU41" s="31"/>
      <c r="JV41" s="31" t="str">
        <f>IF(JU41/(INDEX('Standards for Conversions'!$H$47:$H$73,MATCH(JT$3,'Standards for Conversions'!$A$47:$A$73,0)))=0,"",JU41/(INDEX('Standards for Conversions'!$H$47:$H$73,MATCH(JT$3,'Standards for Conversions'!$A$47:$A$73,0))))</f>
        <v/>
      </c>
      <c r="JW41" s="31"/>
      <c r="JX41" s="31"/>
      <c r="JY41" s="31" t="str">
        <f>IF(JX41/(INDEX('Standards for Conversions'!$H$47:$H$73,MATCH(JW$3,'Standards for Conversions'!$A$47:$A$73,0)))=0,"",JX41/(INDEX('Standards for Conversions'!$H$47:$H$73,MATCH(JW$3,'Standards for Conversions'!$A$47:$A$73,0))))</f>
        <v/>
      </c>
      <c r="JZ41" s="31"/>
      <c r="KA41" s="31"/>
      <c r="KB41" s="31" t="str">
        <f>IF(KA41/(INDEX('Standards for Conversions'!$H$47:$H$73,MATCH(JZ$3,'Standards for Conversions'!$A$47:$A$73,0)))=0,"",KA41/(INDEX('Standards for Conversions'!$H$47:$H$73,MATCH(JZ$3,'Standards for Conversions'!$A$47:$A$73,0))))</f>
        <v/>
      </c>
      <c r="KC41" s="31"/>
      <c r="KD41" s="31"/>
      <c r="KE41" s="31" t="str">
        <f>IF(KD41/(INDEX('Standards for Conversions'!$H$47:$H$73,MATCH(KC$3,'Standards for Conversions'!$A$47:$A$73,0)))=0,"",KD41/(INDEX('Standards for Conversions'!$H$47:$H$73,MATCH(KC$3,'Standards for Conversions'!$A$47:$A$73,0))))</f>
        <v/>
      </c>
      <c r="KF41" s="31"/>
      <c r="KG41" s="31"/>
      <c r="KH41" s="31" t="str">
        <f>IF(KG41/(INDEX('Standards for Conversions'!$H$47:$H$73,MATCH(KF$3,'Standards for Conversions'!$A$47:$A$73,0)))=0,"",KG41/(INDEX('Standards for Conversions'!$H$47:$H$73,MATCH(KF$3,'Standards for Conversions'!$A$47:$A$73,0))))</f>
        <v/>
      </c>
      <c r="KI41" s="31"/>
      <c r="KJ41" s="31"/>
      <c r="KK41" s="31" t="str">
        <f>IF(KJ41/(INDEX('Standards for Conversions'!$H$47:$H$73,MATCH(KI$3,'Standards for Conversions'!$A$47:$A$73,0)))=0,"",KJ41/(INDEX('Standards for Conversions'!$H$47:$H$73,MATCH(KI$3,'Standards for Conversions'!$A$47:$A$73,0))))</f>
        <v/>
      </c>
      <c r="KL41" s="31"/>
      <c r="KM41" s="31"/>
      <c r="KN41" s="31" t="str">
        <f>IF(KM41/(INDEX('Standards for Conversions'!$H$47:$H$73,MATCH(KL$3,'Standards for Conversions'!$A$47:$A$73,0)))=0,"",KM41/(INDEX('Standards for Conversions'!$H$47:$H$73,MATCH(KL$3,'Standards for Conversions'!$A$47:$A$73,0))))</f>
        <v/>
      </c>
      <c r="KO41" s="31"/>
      <c r="KP41" s="31"/>
      <c r="KQ41" s="31" t="str">
        <f>IF(KP41/(INDEX('Standards for Conversions'!$H$47:$H$73,MATCH(KO$3,'Standards for Conversions'!$A$47:$A$73,0)))=0,"",KP41/(INDEX('Standards for Conversions'!$H$47:$H$73,MATCH(KO$3,'Standards for Conversions'!$A$47:$A$73,0))))</f>
        <v/>
      </c>
      <c r="KR41" s="31">
        <f>1458+88</f>
        <v>1546</v>
      </c>
      <c r="KS41" s="31">
        <f>243000+11000</f>
        <v>254000</v>
      </c>
      <c r="KT41" s="31">
        <f>IF(KS41/(INDEX('Standards for Conversions'!$H$47:$H$73,MATCH(KR$3,'Standards for Conversions'!$A$47:$A$73,0)))=0,"",KS41/(INDEX('Standards for Conversions'!$H$47:$H$73,MATCH(KR$3,'Standards for Conversions'!$A$47:$A$73,0))))</f>
        <v>24899.636978216156</v>
      </c>
      <c r="KU41" s="31">
        <f>1542+80</f>
        <v>1622</v>
      </c>
      <c r="KV41" s="31">
        <f>257000+10000</f>
        <v>267000</v>
      </c>
      <c r="KW41" s="31">
        <f>IF(KV41/(INDEX('Standards for Conversions'!$H$47:$H$73,MATCH(KU$3,'Standards for Conversions'!$A$47:$A$73,0)))=0,"",KV41/(INDEX('Standards for Conversions'!$H$47:$H$73,MATCH(KU$3,'Standards for Conversions'!$A$47:$A$73,0))))</f>
        <v>26965.467134135735</v>
      </c>
      <c r="KX41" s="31">
        <f>1620+192</f>
        <v>1812</v>
      </c>
      <c r="KY41" s="31">
        <f>270000+24000</f>
        <v>294000</v>
      </c>
      <c r="KZ41" s="31">
        <f>IF(KY41/(INDEX('Standards for Conversions'!$H$47:$H$73,MATCH(KX$3,'Standards for Conversions'!$A$47:$A$73,0)))=0,"",KY41/(INDEX('Standards for Conversions'!$H$47:$H$73,MATCH(KX$3,'Standards for Conversions'!$A$47:$A$73,0))))</f>
        <v>30688.280666116272</v>
      </c>
      <c r="LA41" s="31">
        <f>1500+225</f>
        <v>1725</v>
      </c>
      <c r="LB41" s="31">
        <f>255000+27000</f>
        <v>282000</v>
      </c>
      <c r="LC41" s="31">
        <f>IF(LB41/(INDEX('Standards for Conversions'!$H$47:$H$73,MATCH(LA$3,'Standards for Conversions'!$A$47:$A$73,0)))=0,"",LB41/(INDEX('Standards for Conversions'!$H$47:$H$73,MATCH(LA$3,'Standards for Conversions'!$A$47:$A$73,0))))</f>
        <v>26330.918299730594</v>
      </c>
      <c r="LD41" s="31">
        <f>1200+450</f>
        <v>1650</v>
      </c>
      <c r="LE41" s="31">
        <f>200000+48000</f>
        <v>248000</v>
      </c>
      <c r="LF41" s="31">
        <f>IF(LE41/(INDEX('Standards for Conversions'!$H$47:$H$73,MATCH(LD$3,'Standards for Conversions'!$A$47:$A$73,0)))=0,"",LE41/(INDEX('Standards for Conversions'!$H$47:$H$73,MATCH(LD$3,'Standards for Conversions'!$A$47:$A$73,0))))</f>
        <v>22631.18312041945</v>
      </c>
      <c r="LG41" s="31">
        <f>(1/100)*(100000+480)</f>
        <v>1004.8000000000001</v>
      </c>
      <c r="LH41" s="31">
        <f>184000+40000</f>
        <v>224000</v>
      </c>
      <c r="LI41" s="31">
        <f>IF(LH41/(INDEX('Standards for Conversions'!$H$47:$H$73,MATCH(LG$3,'Standards for Conversions'!$A$47:$A$73,0)))=0,"",LH41/(INDEX('Standards for Conversions'!$H$47:$H$73,MATCH(LG$3,'Standards for Conversions'!$A$47:$A$73,0))))</f>
        <v>20820.485211899999</v>
      </c>
      <c r="LJ41" s="31">
        <f>(1/100)*(228600+477)</f>
        <v>2290.77</v>
      </c>
      <c r="LK41" s="31">
        <f>372160+593</f>
        <v>372753</v>
      </c>
      <c r="LL41" s="31">
        <f>IF(LK41/(INDEX('Standards for Conversions'!$H$47:$H$73,MATCH(LJ$3,'Standards for Conversions'!$A$47:$A$73,0)))=0,"",LK41/(INDEX('Standards for Conversions'!$H$47:$H$73,MATCH(LJ$3,'Standards for Conversions'!$A$47:$A$73,0))))</f>
        <v>35751.779011335486</v>
      </c>
      <c r="LM41" s="31">
        <f>(1/100)*(149833+37967)</f>
        <v>1878</v>
      </c>
      <c r="LN41" s="31">
        <f>243928+47200</f>
        <v>291128</v>
      </c>
      <c r="LO41" s="31">
        <f>IF(LN41/(INDEX('Standards for Conversions'!$H$47:$H$73,MATCH(LM$3,'Standards for Conversions'!$A$47:$A$73,0)))=0,"",LN41/(INDEX('Standards for Conversions'!$H$47:$H$73,MATCH(LM$3,'Standards for Conversions'!$A$47:$A$73,0))))</f>
        <v>26813.3786727644</v>
      </c>
      <c r="LP41" s="31">
        <f>(1/100)*(132200+43400)</f>
        <v>1756</v>
      </c>
      <c r="LQ41" s="31">
        <f>235800+52400</f>
        <v>288200</v>
      </c>
      <c r="LR41" s="31">
        <f>IF(LQ41/(INDEX('Standards for Conversions'!$H$47:$H$73,MATCH(LP$3,'Standards for Conversions'!$A$47:$A$73,0)))=0,"",LQ41/(INDEX('Standards for Conversions'!$H$47:$H$73,MATCH(LP$3,'Standards for Conversions'!$A$47:$A$73,0))))</f>
        <v>23492.70437740795</v>
      </c>
      <c r="LS41" s="31">
        <f>(1/100)*(140500+56200)</f>
        <v>1967</v>
      </c>
      <c r="LT41" s="31">
        <f>255800+72600</f>
        <v>328400</v>
      </c>
      <c r="LU41" s="31">
        <f>IF(LT41/(INDEX('Standards for Conversions'!$H$47:$H$73,MATCH(LS$3,'Standards for Conversions'!$A$47:$A$73,0)))=0,"",LT41/(INDEX('Standards for Conversions'!$H$47:$H$73,MATCH(LS$3,'Standards for Conversions'!$A$47:$A$73,0))))</f>
        <v>27534.464977839569</v>
      </c>
      <c r="LV41" s="31">
        <v>2625</v>
      </c>
      <c r="LW41" s="31">
        <f>123000+300000</f>
        <v>423000</v>
      </c>
      <c r="LX41" s="31">
        <f>IF(LW41/(INDEX('Standards for Conversions'!$H$47:$H$73,MATCH(LV$3,'Standards for Conversions'!$A$47:$A$73,0)))=0,"",LW41/(INDEX('Standards for Conversions'!$H$47:$H$73,MATCH(LV$3,'Standards for Conversions'!$A$47:$A$73,0))))</f>
        <v>37839.499937538021</v>
      </c>
      <c r="LY41" s="31">
        <v>2700</v>
      </c>
      <c r="LZ41" s="31">
        <v>49000</v>
      </c>
      <c r="MA41" s="31">
        <v>3277</v>
      </c>
      <c r="MB41" s="31">
        <v>54300</v>
      </c>
      <c r="MC41" s="31">
        <v>2447</v>
      </c>
      <c r="MD41" s="31">
        <v>41633</v>
      </c>
      <c r="ME41" s="31">
        <v>3667</v>
      </c>
      <c r="MF41" s="31">
        <v>62965</v>
      </c>
      <c r="MG41" s="31">
        <v>3667</v>
      </c>
      <c r="MH41" s="31">
        <v>62007</v>
      </c>
      <c r="MI41" s="31"/>
      <c r="MJ41" s="31"/>
      <c r="MK41" s="31">
        <v>3301</v>
      </c>
      <c r="ML41" s="31">
        <v>46323</v>
      </c>
      <c r="MM41" s="31"/>
      <c r="MN41" s="31"/>
    </row>
    <row r="42" spans="1:352" ht="14.4" customHeight="1" x14ac:dyDescent="0.3">
      <c r="A42" s="102" t="s">
        <v>320</v>
      </c>
      <c r="B42" s="10" t="s">
        <v>98</v>
      </c>
      <c r="C42" s="9"/>
      <c r="D42" s="9"/>
      <c r="E42" s="31" t="s">
        <v>128</v>
      </c>
      <c r="F42" s="9"/>
      <c r="G42" s="9"/>
      <c r="H42" s="31" t="s">
        <v>128</v>
      </c>
      <c r="I42" s="9"/>
      <c r="J42" s="9"/>
      <c r="K42" s="31" t="s">
        <v>128</v>
      </c>
      <c r="L42" s="9"/>
      <c r="M42" s="9"/>
      <c r="N42" s="31" t="s">
        <v>128</v>
      </c>
      <c r="O42" s="31">
        <f t="shared" si="4"/>
        <v>0</v>
      </c>
      <c r="P42" s="31">
        <f t="shared" si="5"/>
        <v>0</v>
      </c>
      <c r="Q42" s="31" t="str">
        <f>IF(P42/(INDEX('Standards for Conversions'!$H$34:$H$73,MATCH(O$3,'Standards for Conversions'!$A$34:$A$73,0)))=0,"",P42/(INDEX('Standards for Conversions'!$H$34:$H$73,MATCH(O$3,'Standards for Conversions'!$A$34:$A$73,0))))</f>
        <v/>
      </c>
      <c r="R42" s="9"/>
      <c r="S42" s="9"/>
      <c r="T42" s="31" t="s">
        <v>128</v>
      </c>
      <c r="U42" s="9"/>
      <c r="V42" s="9"/>
      <c r="W42" s="31" t="s">
        <v>128</v>
      </c>
      <c r="X42" s="9"/>
      <c r="Y42" s="9"/>
      <c r="Z42" s="31" t="s">
        <v>128</v>
      </c>
      <c r="AA42" s="9"/>
      <c r="AB42" s="9"/>
      <c r="AC42" s="31" t="s">
        <v>128</v>
      </c>
      <c r="AD42" s="31">
        <f t="shared" si="6"/>
        <v>0</v>
      </c>
      <c r="AE42" s="31">
        <f t="shared" si="7"/>
        <v>0</v>
      </c>
      <c r="AF42" s="31" t="str">
        <f>IF(AE42/(INDEX('Standards for Conversions'!$H$34:$H$73,MATCH(AD$3,'Standards for Conversions'!$A$34:$A$73,0)))=0,"",AE42/(INDEX('Standards for Conversions'!$H$34:$H$73,MATCH(AD$3,'Standards for Conversions'!$A$34:$A$73,0))))</f>
        <v/>
      </c>
      <c r="AG42" s="9"/>
      <c r="AH42" s="9"/>
      <c r="AI42" s="31" t="s">
        <v>128</v>
      </c>
      <c r="AJ42" s="9"/>
      <c r="AK42" s="9"/>
      <c r="AL42" s="31" t="s">
        <v>128</v>
      </c>
      <c r="AM42" s="9"/>
      <c r="AN42" s="9"/>
      <c r="AO42" s="31" t="s">
        <v>128</v>
      </c>
      <c r="AP42" s="9"/>
      <c r="AQ42" s="9"/>
      <c r="AR42" s="31" t="s">
        <v>128</v>
      </c>
      <c r="AS42" s="31">
        <f t="shared" si="8"/>
        <v>0</v>
      </c>
      <c r="AT42" s="31">
        <f t="shared" si="9"/>
        <v>0</v>
      </c>
      <c r="AU42" s="31" t="str">
        <f>IF(AT42/(INDEX('Standards for Conversions'!$H$34:$H$73,MATCH(AS$3,'Standards for Conversions'!$A$34:$A$73,0)))=0,"",AT42/(INDEX('Standards for Conversions'!$H$34:$H$73,MATCH(AS$3,'Standards for Conversions'!$A$34:$A$73,0))))</f>
        <v/>
      </c>
      <c r="AV42" s="9"/>
      <c r="AW42" s="9"/>
      <c r="AX42" s="31" t="s">
        <v>128</v>
      </c>
      <c r="AY42" s="9"/>
      <c r="AZ42" s="9"/>
      <c r="BA42" s="31" t="s">
        <v>128</v>
      </c>
      <c r="BB42" s="9"/>
      <c r="BC42" s="9"/>
      <c r="BD42" s="31" t="s">
        <v>128</v>
      </c>
      <c r="BE42" s="9"/>
      <c r="BF42" s="9"/>
      <c r="BG42" s="31" t="s">
        <v>128</v>
      </c>
      <c r="BH42" s="31">
        <f t="shared" si="10"/>
        <v>0</v>
      </c>
      <c r="BI42" s="31">
        <f t="shared" si="11"/>
        <v>0</v>
      </c>
      <c r="BJ42" s="31" t="str">
        <f>IF(BI42/(INDEX('Standards for Conversions'!$H$34:$H$73,MATCH(BH$3,'Standards for Conversions'!$A$34:$A$73,0)))=0,"",BI42/(INDEX('Standards for Conversions'!$H$34:$H$73,MATCH(BH$3,'Standards for Conversions'!$A$34:$A$73,0))))</f>
        <v/>
      </c>
      <c r="BK42" s="9"/>
      <c r="BL42" s="9"/>
      <c r="BM42" s="31" t="s">
        <v>128</v>
      </c>
      <c r="BN42" s="9"/>
      <c r="BO42" s="9"/>
      <c r="BP42" s="31" t="s">
        <v>128</v>
      </c>
      <c r="BQ42" s="9"/>
      <c r="BR42" s="9"/>
      <c r="BS42" s="31" t="s">
        <v>128</v>
      </c>
      <c r="BT42" s="9"/>
      <c r="BU42" s="9"/>
      <c r="BV42" s="31" t="s">
        <v>128</v>
      </c>
      <c r="BW42" s="31">
        <f t="shared" si="12"/>
        <v>0</v>
      </c>
      <c r="BX42" s="31">
        <f t="shared" si="13"/>
        <v>0</v>
      </c>
      <c r="BY42" s="31" t="str">
        <f>IF(BX42/(INDEX('Standards for Conversions'!$H$34:$H$73,MATCH(BW$3,'Standards for Conversions'!$A$34:$A$73,0)))=0,"",BX42/(INDEX('Standards for Conversions'!$H$34:$H$73,MATCH(BW$3,'Standards for Conversions'!$A$34:$A$73,0))))</f>
        <v/>
      </c>
      <c r="BZ42" s="9"/>
      <c r="CA42" s="9"/>
      <c r="CB42" s="31" t="s">
        <v>128</v>
      </c>
      <c r="CC42" s="9"/>
      <c r="CD42" s="9"/>
      <c r="CE42" s="31" t="s">
        <v>128</v>
      </c>
      <c r="CF42" s="9"/>
      <c r="CG42" s="9"/>
      <c r="CH42" s="31" t="s">
        <v>128</v>
      </c>
      <c r="CI42" s="9"/>
      <c r="CJ42" s="9"/>
      <c r="CK42" s="31" t="s">
        <v>128</v>
      </c>
      <c r="CL42" s="31">
        <f t="shared" si="14"/>
        <v>0</v>
      </c>
      <c r="CM42" s="31">
        <f t="shared" si="15"/>
        <v>0</v>
      </c>
      <c r="CN42" s="31" t="str">
        <f>IF(CM42/(INDEX('Standards for Conversions'!$H$34:$H$73,MATCH(CL$3,'Standards for Conversions'!$A$34:$A$73,0)))=0,"",CM42/(INDEX('Standards for Conversions'!$H$34:$H$73,MATCH(CL$3,'Standards for Conversions'!$A$34:$A$73,0))))</f>
        <v/>
      </c>
      <c r="CO42" s="9"/>
      <c r="CP42" s="9"/>
      <c r="CQ42" s="31" t="s">
        <v>128</v>
      </c>
      <c r="CR42" s="9"/>
      <c r="CS42" s="9"/>
      <c r="CT42" s="31" t="s">
        <v>128</v>
      </c>
      <c r="CU42" s="9"/>
      <c r="CV42" s="9"/>
      <c r="CW42" s="31" t="s">
        <v>128</v>
      </c>
      <c r="CX42" s="9"/>
      <c r="CY42" s="9"/>
      <c r="CZ42" s="31" t="s">
        <v>128</v>
      </c>
      <c r="DA42" s="31">
        <f t="shared" si="16"/>
        <v>0</v>
      </c>
      <c r="DB42" s="31">
        <f t="shared" si="17"/>
        <v>0</v>
      </c>
      <c r="DC42" s="31" t="str">
        <f>IF(DB42/(INDEX('Standards for Conversions'!$H$34:$H$73,MATCH(DA$3,'Standards for Conversions'!$A$34:$A$73,0)))=0,"",DB42/(INDEX('Standards for Conversions'!$H$34:$H$73,MATCH(DA$3,'Standards for Conversions'!$A$34:$A$73,0))))</f>
        <v/>
      </c>
      <c r="DD42" s="9"/>
      <c r="DE42" s="9"/>
      <c r="DF42" s="31" t="s">
        <v>128</v>
      </c>
      <c r="DG42" s="9"/>
      <c r="DH42" s="9"/>
      <c r="DI42" s="31" t="s">
        <v>128</v>
      </c>
      <c r="DJ42" s="9"/>
      <c r="DK42" s="9"/>
      <c r="DL42" s="31" t="s">
        <v>128</v>
      </c>
      <c r="DM42" s="9"/>
      <c r="DN42" s="9"/>
      <c r="DO42" s="31" t="s">
        <v>128</v>
      </c>
      <c r="DP42" s="31">
        <f t="shared" si="18"/>
        <v>0</v>
      </c>
      <c r="DQ42" s="31">
        <f t="shared" si="19"/>
        <v>0</v>
      </c>
      <c r="DR42" s="31" t="str">
        <f>IF(DQ42/(INDEX('Standards for Conversions'!$H$34:$H$73,MATCH(DP$3,'Standards for Conversions'!$A$34:$A$73,0)))=0,"",DQ42/(INDEX('Standards for Conversions'!$H$34:$H$73,MATCH(DP$3,'Standards for Conversions'!$A$34:$A$73,0))))</f>
        <v/>
      </c>
      <c r="DS42" s="9"/>
      <c r="DT42" s="9"/>
      <c r="DU42" s="31" t="s">
        <v>128</v>
      </c>
      <c r="DV42" s="9"/>
      <c r="DW42" s="9"/>
      <c r="DX42" s="31" t="s">
        <v>128</v>
      </c>
      <c r="DY42" s="9"/>
      <c r="DZ42" s="9"/>
      <c r="EA42" s="31" t="s">
        <v>128</v>
      </c>
      <c r="EB42" s="9"/>
      <c r="EC42" s="9"/>
      <c r="ED42" s="31" t="s">
        <v>128</v>
      </c>
      <c r="EE42" s="31">
        <f t="shared" si="20"/>
        <v>0</v>
      </c>
      <c r="EF42" s="31">
        <f t="shared" si="21"/>
        <v>0</v>
      </c>
      <c r="EG42" s="31" t="str">
        <f>IF(EF42/(INDEX('Standards for Conversions'!$H$34:$H$73,MATCH(EE$3,'Standards for Conversions'!$A$34:$A$73,0)))=0,"",EF42/(INDEX('Standards for Conversions'!$H$34:$H$73,MATCH(EE$3,'Standards for Conversions'!$A$34:$A$73,0))))</f>
        <v/>
      </c>
      <c r="EH42" s="9"/>
      <c r="EI42" s="9"/>
      <c r="EJ42" s="31" t="s">
        <v>128</v>
      </c>
      <c r="EK42" s="9"/>
      <c r="EL42" s="9"/>
      <c r="EM42" s="31" t="s">
        <v>128</v>
      </c>
      <c r="EN42" s="9"/>
      <c r="EO42" s="9"/>
      <c r="EP42" s="31" t="s">
        <v>128</v>
      </c>
      <c r="EQ42" s="9"/>
      <c r="ER42" s="9"/>
      <c r="ES42" s="31" t="s">
        <v>128</v>
      </c>
      <c r="ET42" s="31">
        <f t="shared" si="22"/>
        <v>0</v>
      </c>
      <c r="EU42" s="31">
        <f t="shared" si="23"/>
        <v>0</v>
      </c>
      <c r="EV42" s="31" t="str">
        <f>IF(EU42/(INDEX('Standards for Conversions'!$H$34:$H$73,MATCH(ET$3,'Standards for Conversions'!$A$34:$A$73,0)))=0,"",EU42/(INDEX('Standards for Conversions'!$H$34:$H$73,MATCH(ET$3,'Standards for Conversions'!$A$34:$A$73,0))))</f>
        <v/>
      </c>
      <c r="EW42" s="9"/>
      <c r="EX42" s="9"/>
      <c r="EY42" s="31" t="s">
        <v>128</v>
      </c>
      <c r="EZ42" s="9"/>
      <c r="FA42" s="9"/>
      <c r="FB42" s="31" t="s">
        <v>128</v>
      </c>
      <c r="FC42" s="9"/>
      <c r="FD42" s="9"/>
      <c r="FE42" s="31" t="s">
        <v>128</v>
      </c>
      <c r="FF42" s="9"/>
      <c r="FG42" s="9"/>
      <c r="FH42" s="31" t="s">
        <v>128</v>
      </c>
      <c r="FI42" s="31">
        <f t="shared" si="24"/>
        <v>0</v>
      </c>
      <c r="FJ42" s="31">
        <f t="shared" si="25"/>
        <v>0</v>
      </c>
      <c r="FK42" s="31" t="str">
        <f>IF(FJ42/(INDEX('Standards for Conversions'!$H$34:$H$73,MATCH(FI$3,'Standards for Conversions'!$A$34:$A$73,0)))=0,"",FJ42/(INDEX('Standards for Conversions'!$H$34:$H$73,MATCH(FI$3,'Standards for Conversions'!$A$34:$A$73,0))))</f>
        <v/>
      </c>
      <c r="FL42" s="9"/>
      <c r="FM42" s="9"/>
      <c r="FN42" s="31" t="s">
        <v>128</v>
      </c>
      <c r="FO42" s="9"/>
      <c r="FP42" s="9"/>
      <c r="FQ42" s="31" t="s">
        <v>128</v>
      </c>
      <c r="FR42" s="9"/>
      <c r="FS42" s="9"/>
      <c r="FT42" s="31" t="s">
        <v>128</v>
      </c>
      <c r="FU42" s="9"/>
      <c r="FV42" s="9"/>
      <c r="FW42" s="31" t="s">
        <v>128</v>
      </c>
      <c r="FX42" s="31">
        <f t="shared" si="26"/>
        <v>0</v>
      </c>
      <c r="FY42" s="31">
        <f t="shared" si="27"/>
        <v>0</v>
      </c>
      <c r="FZ42" s="31" t="str">
        <f>IF(FY42/(INDEX('Standards for Conversions'!$H$34:$H$73,MATCH(FX$3,'Standards for Conversions'!$A$34:$A$73,0)))=0,"",FY42/(INDEX('Standards for Conversions'!$H$34:$H$73,MATCH(FX$3,'Standards for Conversions'!$A$34:$A$73,0))))</f>
        <v/>
      </c>
      <c r="GA42" s="9"/>
      <c r="GB42" s="9"/>
      <c r="GC42" s="31" t="s">
        <v>128</v>
      </c>
      <c r="GD42" s="9"/>
      <c r="GE42" s="9"/>
      <c r="GF42" s="31" t="s">
        <v>128</v>
      </c>
      <c r="GG42" s="9"/>
      <c r="GH42" s="9"/>
      <c r="GI42" s="31" t="s">
        <v>128</v>
      </c>
      <c r="GJ42" s="9"/>
      <c r="GK42" s="9"/>
      <c r="GL42" s="31" t="s">
        <v>128</v>
      </c>
      <c r="GM42" s="31">
        <f t="shared" si="28"/>
        <v>0</v>
      </c>
      <c r="GN42" s="31">
        <f t="shared" si="29"/>
        <v>0</v>
      </c>
      <c r="GO42" s="31" t="str">
        <f>IF(GN42/(INDEX('Standards for Conversions'!$H$34:$H$73,MATCH(GM$3,'Standards for Conversions'!$A$34:$A$73,0)))=0,"",GN42/(INDEX('Standards for Conversions'!$H$34:$H$73,MATCH(GM$3,'Standards for Conversions'!$A$34:$A$73,0))))</f>
        <v/>
      </c>
      <c r="GP42" s="9"/>
      <c r="GQ42" s="9"/>
      <c r="GR42" s="31" t="s">
        <v>128</v>
      </c>
      <c r="GS42" s="9"/>
      <c r="GT42" s="9"/>
      <c r="GU42" s="31" t="s">
        <v>128</v>
      </c>
      <c r="GV42" s="9"/>
      <c r="GW42" s="9"/>
      <c r="GX42" s="31" t="s">
        <v>128</v>
      </c>
      <c r="GY42" s="9"/>
      <c r="GZ42" s="9"/>
      <c r="HA42" s="31" t="s">
        <v>128</v>
      </c>
      <c r="HB42" s="31">
        <f t="shared" ref="HB42:HC45" si="91">GP42+GS42+GV42+GY42</f>
        <v>0</v>
      </c>
      <c r="HC42" s="31">
        <f t="shared" si="91"/>
        <v>0</v>
      </c>
      <c r="HD42" s="31" t="str">
        <f>IF(HC42/(INDEX('Standards for Conversions'!$H$34:$H$73,MATCH(HB$3,'Standards for Conversions'!$A$34:$A$73,0)))=0,"",HC42/(INDEX('Standards for Conversions'!$H$34:$H$73,MATCH(HB$3,'Standards for Conversions'!$A$34:$A$73,0))))</f>
        <v/>
      </c>
      <c r="HE42" s="112"/>
      <c r="HF42" s="31"/>
      <c r="HG42" s="31"/>
      <c r="HH42" s="31"/>
      <c r="HI42" s="31"/>
      <c r="HJ42" s="31"/>
      <c r="HK42" s="31"/>
      <c r="HL42" s="31"/>
      <c r="HM42" s="31"/>
      <c r="HN42" s="31"/>
      <c r="HO42" s="33">
        <f>2.16*60</f>
        <v>129.60000000000002</v>
      </c>
      <c r="HP42" s="33">
        <v>17000</v>
      </c>
      <c r="HQ42" s="31">
        <f>IF(HP42/(INDEX('Standards for Conversions'!$H$47:$H$73,MATCH(HO$3,'Standards for Conversions'!$A$47:$A$73,0)))=0,"",HP42/(INDEX('Standards for Conversions'!$H$47:$H$73,MATCH(HO$3,'Standards for Conversions'!$A$47:$A$73,0))))</f>
        <v>2469.1720076185511</v>
      </c>
      <c r="HR42" s="31">
        <f>HF42+HI42+HL42+HO42</f>
        <v>129.60000000000002</v>
      </c>
      <c r="HS42" s="31">
        <f>HG42+HJ42+HM42+HP42</f>
        <v>17000</v>
      </c>
      <c r="HT42" s="31">
        <f>IF(HS42/(INDEX('Standards for Conversions'!$H$47:$H$73,MATCH(HR$3,'Standards for Conversions'!$A$47:$A$73,0)))=0,"",HS42/(INDEX('Standards for Conversions'!$H$47:$H$73,MATCH(HR$3,'Standards for Conversions'!$A$47:$A$73,0))))</f>
        <v>2469.1720076185511</v>
      </c>
      <c r="HU42" s="31"/>
      <c r="HV42" s="31"/>
      <c r="HW42" s="31"/>
      <c r="HX42" s="31"/>
      <c r="HY42" s="31"/>
      <c r="HZ42" s="31"/>
      <c r="IA42" s="31"/>
      <c r="IB42" s="31"/>
      <c r="IC42" s="31"/>
      <c r="ID42" s="33">
        <f>2.16*77</f>
        <v>166.32000000000002</v>
      </c>
      <c r="IE42" s="33">
        <v>20337</v>
      </c>
      <c r="IF42" s="31">
        <f>IF(IE42/(INDEX('Standards for Conversions'!$H$47:$H$73,MATCH(ID$3,'Standards for Conversions'!$A$47:$A$73,0)))=0,"",IE42/(INDEX('Standards for Conversions'!$H$47:$H$73,MATCH(ID$3,'Standards for Conversions'!$A$47:$A$73,0))))</f>
        <v>2940.9382107901711</v>
      </c>
      <c r="IG42" s="31">
        <f t="shared" ref="IG42:IG45" si="92">HU42+HX42+IA42+ID42</f>
        <v>166.32000000000002</v>
      </c>
      <c r="IH42" s="31">
        <f t="shared" ref="IH42:IH45" si="93">HV42+HY42+IB42+IE42</f>
        <v>20337</v>
      </c>
      <c r="II42" s="31">
        <f>IF(IH42/(INDEX('Standards for Conversions'!$H$47:$H$73,MATCH(IG$3,'Standards for Conversions'!$A$47:$A$73,0)))=0,"",IH42/(INDEX('Standards for Conversions'!$H$47:$H$73,MATCH(IG$3,'Standards for Conversions'!$A$47:$A$73,0))))</f>
        <v>2940.9382107901711</v>
      </c>
      <c r="IJ42" s="31"/>
      <c r="IK42" s="31"/>
      <c r="IL42" s="31"/>
      <c r="IM42" s="31"/>
      <c r="IN42" s="31"/>
      <c r="IO42" s="31"/>
      <c r="IP42" s="31"/>
      <c r="IQ42" s="31"/>
      <c r="IR42" s="31"/>
      <c r="IS42" s="33">
        <f>2.16*70</f>
        <v>151.20000000000002</v>
      </c>
      <c r="IT42" s="33">
        <v>35500</v>
      </c>
      <c r="IU42" s="31">
        <f>IF(IT42/(INDEX('Standards for Conversions'!$H$47:$H$73,MATCH(IS$3,'Standards for Conversions'!$A$47:$A$73,0)))=0,"",IT42/(INDEX('Standards for Conversions'!$H$47:$H$73,MATCH(IS$3,'Standards for Conversions'!$A$47:$A$73,0))))</f>
        <v>5742.4869825613387</v>
      </c>
      <c r="IV42" s="31">
        <f t="shared" ref="IV42:IV45" si="94">IJ42+IM42+IP42+IS42</f>
        <v>151.20000000000002</v>
      </c>
      <c r="IW42" s="31">
        <f t="shared" ref="IW42:IW45" si="95">IK42+IN42+IQ42+IT42</f>
        <v>35500</v>
      </c>
      <c r="IX42" s="31">
        <f>IF(IW42/(INDEX('Standards for Conversions'!$H$47:$H$73,MATCH(IV$3,'Standards for Conversions'!$A$47:$A$73,0)))=0,"",IW42/(INDEX('Standards for Conversions'!$H$47:$H$73,MATCH(IV$3,'Standards for Conversions'!$A$47:$A$73,0))))</f>
        <v>5742.4869825613387</v>
      </c>
      <c r="IY42" s="31"/>
      <c r="IZ42" s="31"/>
      <c r="JA42" s="31"/>
      <c r="JB42" s="31"/>
      <c r="JC42" s="31"/>
      <c r="JD42" s="31"/>
      <c r="JE42" s="31"/>
      <c r="JF42" s="31"/>
      <c r="JG42" s="31"/>
      <c r="JH42" s="33">
        <f>2.16*80</f>
        <v>172.8</v>
      </c>
      <c r="JI42" s="33">
        <f>36000</f>
        <v>36000</v>
      </c>
      <c r="JJ42" s="31">
        <f>IF(JI42/(INDEX('Standards for Conversions'!$H$47:$H$73,MATCH(JH$3,'Standards for Conversions'!$A$47:$A$73,0)))=0,"",JI42/(INDEX('Standards for Conversions'!$H$47:$H$73,MATCH(JH$3,'Standards for Conversions'!$A$47:$A$73,0))))</f>
        <v>5495.6121274007119</v>
      </c>
      <c r="JK42" s="31">
        <f t="shared" ref="JK42:JK45" si="96">IY42+JB42+JE42+JH42</f>
        <v>172.8</v>
      </c>
      <c r="JL42" s="31">
        <f t="shared" ref="JL42:JL45" si="97">IZ42+JC42+JF42+JI42</f>
        <v>36000</v>
      </c>
      <c r="JM42" s="31">
        <f>IF(JL42/(INDEX('Standards for Conversions'!$H$47:$H$73,MATCH(JK$3,'Standards for Conversions'!$A$47:$A$73,0)))=0,"",JL42/(INDEX('Standards for Conversions'!$H$47:$H$73,MATCH(JK$3,'Standards for Conversions'!$A$47:$A$73,0))))</f>
        <v>5495.6121274007119</v>
      </c>
      <c r="JN42" s="31"/>
      <c r="JO42" s="31"/>
      <c r="JP42" s="31"/>
      <c r="JQ42" s="31"/>
      <c r="JR42" s="31"/>
      <c r="JS42" s="31"/>
      <c r="JT42" s="31"/>
      <c r="JU42" s="31"/>
      <c r="JV42" s="31"/>
      <c r="JW42" s="33">
        <f>2.16*85</f>
        <v>183.60000000000002</v>
      </c>
      <c r="JX42" s="33">
        <v>38000</v>
      </c>
      <c r="JY42" s="31">
        <f>IF(JX42/(INDEX('Standards for Conversions'!$H$47:$H$73,MATCH(JW$3,'Standards for Conversions'!$A$47:$A$73,0)))=0,"",JX42/(INDEX('Standards for Conversions'!$H$47:$H$73,MATCH(JW$3,'Standards for Conversions'!$A$47:$A$73,0))))</f>
        <v>5117.0424524202654</v>
      </c>
      <c r="JZ42" s="31">
        <f t="shared" ref="JZ42:JZ45" si="98">JN42+JQ42+JT42+JW42</f>
        <v>183.60000000000002</v>
      </c>
      <c r="KA42" s="31">
        <f t="shared" ref="KA42:KA45" si="99">JO42+JR42+JU42+JX42</f>
        <v>38000</v>
      </c>
      <c r="KB42" s="31">
        <f>IF(KA42/(INDEX('Standards for Conversions'!$H$47:$H$73,MATCH(JZ$3,'Standards for Conversions'!$A$47:$A$73,0)))=0,"",KA42/(INDEX('Standards for Conversions'!$H$47:$H$73,MATCH(JZ$3,'Standards for Conversions'!$A$47:$A$73,0))))</f>
        <v>5117.0424524202654</v>
      </c>
      <c r="KC42" s="31"/>
      <c r="KD42" s="31"/>
      <c r="KE42" s="31"/>
      <c r="KF42" s="31"/>
      <c r="KG42" s="31"/>
      <c r="KH42" s="31"/>
      <c r="KI42" s="31"/>
      <c r="KJ42" s="31"/>
      <c r="KK42" s="31"/>
      <c r="KL42" s="33">
        <f>2.16*79</f>
        <v>170.64000000000001</v>
      </c>
      <c r="KM42" s="33">
        <v>36045</v>
      </c>
      <c r="KN42" s="31">
        <f>IF(KM42/(INDEX('Standards for Conversions'!$H$47:$H$73,MATCH(KL$3,'Standards for Conversions'!$A$47:$A$73,0)))=0,"",KM42/(INDEX('Standards for Conversions'!$H$47:$H$73,MATCH(KL$3,'Standards for Conversions'!$A$47:$A$73,0))))</f>
        <v>4383.6691476927081</v>
      </c>
      <c r="KO42" s="31">
        <f t="shared" ref="KO42:KO45" si="100">KC42+KF42+KI42+KL42</f>
        <v>170.64000000000001</v>
      </c>
      <c r="KP42" s="31">
        <f t="shared" ref="KP42:KP45" si="101">KD42+KG42+KJ42+KM42</f>
        <v>36045</v>
      </c>
      <c r="KQ42" s="31">
        <f>IF(KP42/(INDEX('Standards for Conversions'!$H$47:$H$73,MATCH(KO$3,'Standards for Conversions'!$A$47:$A$73,0)))=0,"",KP42/(INDEX('Standards for Conversions'!$H$47:$H$73,MATCH(KO$3,'Standards for Conversions'!$A$47:$A$73,0))))</f>
        <v>4383.6691476927081</v>
      </c>
      <c r="KR42" s="31"/>
      <c r="KS42" s="31"/>
      <c r="KT42" s="31"/>
      <c r="KU42" s="31"/>
      <c r="KV42" s="31"/>
      <c r="KW42" s="31"/>
      <c r="KX42" s="31"/>
      <c r="KY42" s="31"/>
      <c r="KZ42" s="31"/>
      <c r="LA42" s="31"/>
      <c r="LB42" s="31"/>
      <c r="LC42" s="31"/>
      <c r="LD42" s="31"/>
      <c r="LE42" s="31"/>
      <c r="LF42" s="31"/>
      <c r="LG42" s="31"/>
      <c r="LH42" s="31"/>
      <c r="LI42" s="31"/>
      <c r="LJ42" s="31"/>
      <c r="LK42" s="31"/>
      <c r="LL42" s="31"/>
      <c r="LM42" s="31"/>
      <c r="LN42" s="31"/>
      <c r="LO42" s="31"/>
      <c r="LP42" s="31"/>
      <c r="LQ42" s="31"/>
      <c r="LR42" s="31"/>
      <c r="LS42" s="31"/>
      <c r="LT42" s="31"/>
      <c r="LU42" s="31"/>
      <c r="LV42" s="31"/>
      <c r="LW42" s="31"/>
      <c r="LX42" s="31"/>
      <c r="LY42" s="31"/>
      <c r="LZ42" s="31"/>
      <c r="MA42" s="31"/>
      <c r="MB42" s="31"/>
      <c r="MC42" s="31"/>
      <c r="MD42" s="31"/>
      <c r="ME42" s="31"/>
      <c r="MF42" s="31"/>
      <c r="MG42" s="31"/>
      <c r="MH42" s="31"/>
      <c r="MI42" s="31"/>
      <c r="MJ42" s="31"/>
      <c r="MK42" s="31"/>
      <c r="ML42" s="31"/>
      <c r="MM42" s="31"/>
      <c r="MN42" s="31"/>
    </row>
    <row r="43" spans="1:352" ht="14.4" customHeight="1" x14ac:dyDescent="0.3">
      <c r="A43" s="102" t="s">
        <v>363</v>
      </c>
      <c r="B43" s="10" t="s">
        <v>40</v>
      </c>
      <c r="C43" s="9"/>
      <c r="D43" s="9"/>
      <c r="E43" s="31" t="s">
        <v>128</v>
      </c>
      <c r="F43" s="9"/>
      <c r="G43" s="9"/>
      <c r="H43" s="31" t="s">
        <v>128</v>
      </c>
      <c r="I43" s="9"/>
      <c r="J43" s="9"/>
      <c r="K43" s="31" t="s">
        <v>128</v>
      </c>
      <c r="L43" s="9"/>
      <c r="M43" s="9"/>
      <c r="N43" s="31" t="s">
        <v>128</v>
      </c>
      <c r="O43" s="31">
        <f t="shared" si="4"/>
        <v>0</v>
      </c>
      <c r="P43" s="31">
        <f t="shared" si="5"/>
        <v>0</v>
      </c>
      <c r="Q43" s="31" t="str">
        <f>IF(P43/(INDEX('Standards for Conversions'!$H$34:$H$73,MATCH(O$3,'Standards for Conversions'!$A$34:$A$73,0)))=0,"",P43/(INDEX('Standards for Conversions'!$H$34:$H$73,MATCH(O$3,'Standards for Conversions'!$A$34:$A$73,0))))</f>
        <v/>
      </c>
      <c r="R43" s="9"/>
      <c r="S43" s="9"/>
      <c r="T43" s="31" t="s">
        <v>128</v>
      </c>
      <c r="U43" s="9"/>
      <c r="V43" s="9"/>
      <c r="W43" s="31" t="s">
        <v>128</v>
      </c>
      <c r="X43" s="9"/>
      <c r="Y43" s="9"/>
      <c r="Z43" s="31" t="s">
        <v>128</v>
      </c>
      <c r="AA43" s="9"/>
      <c r="AB43" s="9"/>
      <c r="AC43" s="31" t="s">
        <v>128</v>
      </c>
      <c r="AD43" s="31">
        <f t="shared" si="6"/>
        <v>0</v>
      </c>
      <c r="AE43" s="31">
        <f t="shared" si="7"/>
        <v>0</v>
      </c>
      <c r="AF43" s="31" t="str">
        <f>IF(AE43/(INDEX('Standards for Conversions'!$H$34:$H$73,MATCH(AD$3,'Standards for Conversions'!$A$34:$A$73,0)))=0,"",AE43/(INDEX('Standards for Conversions'!$H$34:$H$73,MATCH(AD$3,'Standards for Conversions'!$A$34:$A$73,0))))</f>
        <v/>
      </c>
      <c r="AG43" s="9"/>
      <c r="AH43" s="9"/>
      <c r="AI43" s="31" t="s">
        <v>128</v>
      </c>
      <c r="AJ43" s="9"/>
      <c r="AK43" s="9"/>
      <c r="AL43" s="31" t="s">
        <v>128</v>
      </c>
      <c r="AM43" s="9"/>
      <c r="AN43" s="9"/>
      <c r="AO43" s="31" t="s">
        <v>128</v>
      </c>
      <c r="AP43" s="9"/>
      <c r="AQ43" s="9"/>
      <c r="AR43" s="31" t="s">
        <v>128</v>
      </c>
      <c r="AS43" s="31">
        <f t="shared" si="8"/>
        <v>0</v>
      </c>
      <c r="AT43" s="31">
        <f t="shared" si="9"/>
        <v>0</v>
      </c>
      <c r="AU43" s="31" t="str">
        <f>IF(AT43/(INDEX('Standards for Conversions'!$H$34:$H$73,MATCH(AS$3,'Standards for Conversions'!$A$34:$A$73,0)))=0,"",AT43/(INDEX('Standards for Conversions'!$H$34:$H$73,MATCH(AS$3,'Standards for Conversions'!$A$34:$A$73,0))))</f>
        <v/>
      </c>
      <c r="AV43" s="9"/>
      <c r="AW43" s="9"/>
      <c r="AX43" s="31" t="s">
        <v>128</v>
      </c>
      <c r="AY43" s="9"/>
      <c r="AZ43" s="9"/>
      <c r="BA43" s="31" t="s">
        <v>128</v>
      </c>
      <c r="BB43" s="9"/>
      <c r="BC43" s="9"/>
      <c r="BD43" s="31" t="s">
        <v>128</v>
      </c>
      <c r="BE43" s="9"/>
      <c r="BF43" s="9"/>
      <c r="BG43" s="31" t="s">
        <v>128</v>
      </c>
      <c r="BH43" s="31">
        <f t="shared" si="10"/>
        <v>0</v>
      </c>
      <c r="BI43" s="31">
        <f t="shared" si="11"/>
        <v>0</v>
      </c>
      <c r="BJ43" s="31" t="str">
        <f>IF(BI43/(INDEX('Standards for Conversions'!$H$34:$H$73,MATCH(BH$3,'Standards for Conversions'!$A$34:$A$73,0)))=0,"",BI43/(INDEX('Standards for Conversions'!$H$34:$H$73,MATCH(BH$3,'Standards for Conversions'!$A$34:$A$73,0))))</f>
        <v/>
      </c>
      <c r="BK43" s="9"/>
      <c r="BL43" s="9"/>
      <c r="BM43" s="31" t="s">
        <v>128</v>
      </c>
      <c r="BN43" s="9"/>
      <c r="BO43" s="9"/>
      <c r="BP43" s="31" t="s">
        <v>128</v>
      </c>
      <c r="BQ43" s="9"/>
      <c r="BR43" s="9"/>
      <c r="BS43" s="31" t="s">
        <v>128</v>
      </c>
      <c r="BT43" s="9"/>
      <c r="BU43" s="9"/>
      <c r="BV43" s="31" t="s">
        <v>128</v>
      </c>
      <c r="BW43" s="31">
        <f t="shared" si="12"/>
        <v>0</v>
      </c>
      <c r="BX43" s="31">
        <f t="shared" si="13"/>
        <v>0</v>
      </c>
      <c r="BY43" s="31" t="str">
        <f>IF(BX43/(INDEX('Standards for Conversions'!$H$34:$H$73,MATCH(BW$3,'Standards for Conversions'!$A$34:$A$73,0)))=0,"",BX43/(INDEX('Standards for Conversions'!$H$34:$H$73,MATCH(BW$3,'Standards for Conversions'!$A$34:$A$73,0))))</f>
        <v/>
      </c>
      <c r="BZ43" s="9"/>
      <c r="CA43" s="9"/>
      <c r="CB43" s="31" t="s">
        <v>128</v>
      </c>
      <c r="CC43" s="9"/>
      <c r="CD43" s="9"/>
      <c r="CE43" s="31" t="s">
        <v>128</v>
      </c>
      <c r="CF43" s="9"/>
      <c r="CG43" s="9"/>
      <c r="CH43" s="31" t="s">
        <v>128</v>
      </c>
      <c r="CI43" s="9"/>
      <c r="CJ43" s="9"/>
      <c r="CK43" s="31" t="s">
        <v>128</v>
      </c>
      <c r="CL43" s="31">
        <f t="shared" si="14"/>
        <v>0</v>
      </c>
      <c r="CM43" s="31">
        <f t="shared" si="15"/>
        <v>0</v>
      </c>
      <c r="CN43" s="31" t="str">
        <f>IF(CM43/(INDEX('Standards for Conversions'!$H$34:$H$73,MATCH(CL$3,'Standards for Conversions'!$A$34:$A$73,0)))=0,"",CM43/(INDEX('Standards for Conversions'!$H$34:$H$73,MATCH(CL$3,'Standards for Conversions'!$A$34:$A$73,0))))</f>
        <v/>
      </c>
      <c r="CO43" s="9"/>
      <c r="CP43" s="9"/>
      <c r="CQ43" s="31" t="s">
        <v>128</v>
      </c>
      <c r="CR43" s="9"/>
      <c r="CS43" s="9"/>
      <c r="CT43" s="31" t="s">
        <v>128</v>
      </c>
      <c r="CU43" s="9"/>
      <c r="CV43" s="9"/>
      <c r="CW43" s="31" t="s">
        <v>128</v>
      </c>
      <c r="CX43" s="9"/>
      <c r="CY43" s="9"/>
      <c r="CZ43" s="31" t="s">
        <v>128</v>
      </c>
      <c r="DA43" s="31">
        <f t="shared" si="16"/>
        <v>0</v>
      </c>
      <c r="DB43" s="31">
        <f t="shared" si="17"/>
        <v>0</v>
      </c>
      <c r="DC43" s="31" t="str">
        <f>IF(DB43/(INDEX('Standards for Conversions'!$H$34:$H$73,MATCH(DA$3,'Standards for Conversions'!$A$34:$A$73,0)))=0,"",DB43/(INDEX('Standards for Conversions'!$H$34:$H$73,MATCH(DA$3,'Standards for Conversions'!$A$34:$A$73,0))))</f>
        <v/>
      </c>
      <c r="DD43" s="9"/>
      <c r="DE43" s="9"/>
      <c r="DF43" s="31" t="s">
        <v>128</v>
      </c>
      <c r="DG43" s="9"/>
      <c r="DH43" s="9"/>
      <c r="DI43" s="31" t="s">
        <v>128</v>
      </c>
      <c r="DJ43" s="9"/>
      <c r="DK43" s="9"/>
      <c r="DL43" s="31" t="s">
        <v>128</v>
      </c>
      <c r="DM43" s="9"/>
      <c r="DN43" s="9"/>
      <c r="DO43" s="31" t="s">
        <v>128</v>
      </c>
      <c r="DP43" s="31">
        <f t="shared" si="18"/>
        <v>0</v>
      </c>
      <c r="DQ43" s="31">
        <f t="shared" si="19"/>
        <v>0</v>
      </c>
      <c r="DR43" s="31" t="str">
        <f>IF(DQ43/(INDEX('Standards for Conversions'!$H$34:$H$73,MATCH(DP$3,'Standards for Conversions'!$A$34:$A$73,0)))=0,"",DQ43/(INDEX('Standards for Conversions'!$H$34:$H$73,MATCH(DP$3,'Standards for Conversions'!$A$34:$A$73,0))))</f>
        <v/>
      </c>
      <c r="DS43" s="9"/>
      <c r="DT43" s="9"/>
      <c r="DU43" s="31" t="s">
        <v>128</v>
      </c>
      <c r="DV43" s="9"/>
      <c r="DW43" s="9"/>
      <c r="DX43" s="31" t="s">
        <v>128</v>
      </c>
      <c r="DY43" s="9"/>
      <c r="DZ43" s="9"/>
      <c r="EA43" s="31" t="s">
        <v>128</v>
      </c>
      <c r="EB43" s="9"/>
      <c r="EC43" s="9"/>
      <c r="ED43" s="31" t="s">
        <v>128</v>
      </c>
      <c r="EE43" s="31">
        <f t="shared" si="20"/>
        <v>0</v>
      </c>
      <c r="EF43" s="31">
        <f t="shared" si="21"/>
        <v>0</v>
      </c>
      <c r="EG43" s="31" t="str">
        <f>IF(EF43/(INDEX('Standards for Conversions'!$H$34:$H$73,MATCH(EE$3,'Standards for Conversions'!$A$34:$A$73,0)))=0,"",EF43/(INDEX('Standards for Conversions'!$H$34:$H$73,MATCH(EE$3,'Standards for Conversions'!$A$34:$A$73,0))))</f>
        <v/>
      </c>
      <c r="EH43" s="9"/>
      <c r="EI43" s="9"/>
      <c r="EJ43" s="31" t="s">
        <v>128</v>
      </c>
      <c r="EK43" s="9"/>
      <c r="EL43" s="9"/>
      <c r="EM43" s="31" t="s">
        <v>128</v>
      </c>
      <c r="EN43" s="9"/>
      <c r="EO43" s="9"/>
      <c r="EP43" s="31" t="s">
        <v>128</v>
      </c>
      <c r="EQ43" s="9"/>
      <c r="ER43" s="9"/>
      <c r="ES43" s="31" t="s">
        <v>128</v>
      </c>
      <c r="ET43" s="31">
        <f t="shared" si="22"/>
        <v>0</v>
      </c>
      <c r="EU43" s="31">
        <f t="shared" si="23"/>
        <v>0</v>
      </c>
      <c r="EV43" s="31" t="str">
        <f>IF(EU43/(INDEX('Standards for Conversions'!$H$34:$H$73,MATCH(ET$3,'Standards for Conversions'!$A$34:$A$73,0)))=0,"",EU43/(INDEX('Standards for Conversions'!$H$34:$H$73,MATCH(ET$3,'Standards for Conversions'!$A$34:$A$73,0))))</f>
        <v/>
      </c>
      <c r="EW43" s="9"/>
      <c r="EX43" s="9"/>
      <c r="EY43" s="31" t="s">
        <v>128</v>
      </c>
      <c r="EZ43" s="9"/>
      <c r="FA43" s="9"/>
      <c r="FB43" s="31" t="s">
        <v>128</v>
      </c>
      <c r="FC43" s="9"/>
      <c r="FD43" s="9"/>
      <c r="FE43" s="31" t="s">
        <v>128</v>
      </c>
      <c r="FF43" s="9"/>
      <c r="FG43" s="9"/>
      <c r="FH43" s="31" t="s">
        <v>128</v>
      </c>
      <c r="FI43" s="31">
        <f t="shared" si="24"/>
        <v>0</v>
      </c>
      <c r="FJ43" s="31">
        <f t="shared" si="25"/>
        <v>0</v>
      </c>
      <c r="FK43" s="31" t="str">
        <f>IF(FJ43/(INDEX('Standards for Conversions'!$H$34:$H$73,MATCH(FI$3,'Standards for Conversions'!$A$34:$A$73,0)))=0,"",FJ43/(INDEX('Standards for Conversions'!$H$34:$H$73,MATCH(FI$3,'Standards for Conversions'!$A$34:$A$73,0))))</f>
        <v/>
      </c>
      <c r="FL43" s="9"/>
      <c r="FM43" s="9"/>
      <c r="FN43" s="31" t="s">
        <v>128</v>
      </c>
      <c r="FO43" s="9"/>
      <c r="FP43" s="9"/>
      <c r="FQ43" s="31" t="s">
        <v>128</v>
      </c>
      <c r="FR43" s="9"/>
      <c r="FS43" s="9"/>
      <c r="FT43" s="31" t="s">
        <v>128</v>
      </c>
      <c r="FU43" s="9"/>
      <c r="FV43" s="9"/>
      <c r="FW43" s="31" t="s">
        <v>128</v>
      </c>
      <c r="FX43" s="31">
        <f t="shared" si="26"/>
        <v>0</v>
      </c>
      <c r="FY43" s="31">
        <f t="shared" si="27"/>
        <v>0</v>
      </c>
      <c r="FZ43" s="31" t="str">
        <f>IF(FY43/(INDEX('Standards for Conversions'!$H$34:$H$73,MATCH(FX$3,'Standards for Conversions'!$A$34:$A$73,0)))=0,"",FY43/(INDEX('Standards for Conversions'!$H$34:$H$73,MATCH(FX$3,'Standards for Conversions'!$A$34:$A$73,0))))</f>
        <v/>
      </c>
      <c r="GA43" s="9"/>
      <c r="GB43" s="9"/>
      <c r="GC43" s="31" t="s">
        <v>128</v>
      </c>
      <c r="GD43" s="9"/>
      <c r="GE43" s="9"/>
      <c r="GF43" s="31" t="s">
        <v>128</v>
      </c>
      <c r="GG43" s="9"/>
      <c r="GH43" s="9"/>
      <c r="GI43" s="31" t="s">
        <v>128</v>
      </c>
      <c r="GJ43" s="9"/>
      <c r="GK43" s="9"/>
      <c r="GL43" s="31" t="s">
        <v>128</v>
      </c>
      <c r="GM43" s="31">
        <f t="shared" si="28"/>
        <v>0</v>
      </c>
      <c r="GN43" s="31">
        <f t="shared" si="29"/>
        <v>0</v>
      </c>
      <c r="GO43" s="31" t="str">
        <f>IF(GN43/(INDEX('Standards for Conversions'!$H$34:$H$73,MATCH(GM$3,'Standards for Conversions'!$A$34:$A$73,0)))=0,"",GN43/(INDEX('Standards for Conversions'!$H$34:$H$73,MATCH(GM$3,'Standards for Conversions'!$A$34:$A$73,0))))</f>
        <v/>
      </c>
      <c r="GP43" s="9"/>
      <c r="GQ43" s="9"/>
      <c r="GR43" s="31" t="s">
        <v>128</v>
      </c>
      <c r="GS43" s="9"/>
      <c r="GT43" s="9"/>
      <c r="GU43" s="31" t="s">
        <v>128</v>
      </c>
      <c r="GV43" s="9"/>
      <c r="GW43" s="9"/>
      <c r="GX43" s="31" t="s">
        <v>128</v>
      </c>
      <c r="GY43" s="9"/>
      <c r="GZ43" s="9"/>
      <c r="HA43" s="31" t="s">
        <v>128</v>
      </c>
      <c r="HB43" s="31">
        <f t="shared" si="91"/>
        <v>0</v>
      </c>
      <c r="HC43" s="31">
        <f t="shared" si="91"/>
        <v>0</v>
      </c>
      <c r="HD43" s="31" t="str">
        <f>IF(HC43/(INDEX('Standards for Conversions'!$H$34:$H$73,MATCH(HB$3,'Standards for Conversions'!$A$34:$A$73,0)))=0,"",HC43/(INDEX('Standards for Conversions'!$H$34:$H$73,MATCH(HB$3,'Standards for Conversions'!$A$34:$A$73,0))))</f>
        <v/>
      </c>
      <c r="HE43" s="112"/>
      <c r="HF43" s="31"/>
      <c r="HG43" s="31"/>
      <c r="HH43" s="31"/>
      <c r="HI43" s="31"/>
      <c r="HJ43" s="31"/>
      <c r="HK43" s="31"/>
      <c r="HL43" s="31"/>
      <c r="HM43" s="31"/>
      <c r="HN43" s="31"/>
      <c r="HO43" s="33">
        <f>2.16*12</f>
        <v>25.92</v>
      </c>
      <c r="HP43" s="33">
        <v>4000</v>
      </c>
      <c r="HQ43" s="31">
        <f>IF(HP43/(INDEX('Standards for Conversions'!$H$47:$H$73,MATCH(HO$3,'Standards for Conversions'!$A$47:$A$73,0)))=0,"",HP43/(INDEX('Standards for Conversions'!$H$47:$H$73,MATCH(HO$3,'Standards for Conversions'!$A$47:$A$73,0))))</f>
        <v>580.98164885142387</v>
      </c>
      <c r="HR43" s="31">
        <f t="shared" ref="HR43:HR44" si="102">HF43+HI43+HL43+HO43</f>
        <v>25.92</v>
      </c>
      <c r="HS43" s="31">
        <f t="shared" ref="HS43:HS44" si="103">HG43+HJ43+HM43+HP43</f>
        <v>4000</v>
      </c>
      <c r="HT43" s="31">
        <f>IF(HS43/(INDEX('Standards for Conversions'!$H$47:$H$73,MATCH(HR$3,'Standards for Conversions'!$A$47:$A$73,0)))=0,"",HS43/(INDEX('Standards for Conversions'!$H$47:$H$73,MATCH(HR$3,'Standards for Conversions'!$A$47:$A$73,0))))</f>
        <v>580.98164885142387</v>
      </c>
      <c r="HU43" s="31"/>
      <c r="HV43" s="31"/>
      <c r="HW43" s="31"/>
      <c r="HX43" s="31"/>
      <c r="HY43" s="31"/>
      <c r="HZ43" s="31"/>
      <c r="IA43" s="31"/>
      <c r="IB43" s="31"/>
      <c r="IC43" s="31"/>
      <c r="ID43" s="33">
        <f>47</f>
        <v>47</v>
      </c>
      <c r="IE43" s="33">
        <v>7899</v>
      </c>
      <c r="IF43" s="31">
        <f>IF(IE43/(INDEX('Standards for Conversions'!$H$47:$H$73,MATCH(ID$3,'Standards for Conversions'!$A$47:$A$73,0)))=0,"",IE43/(INDEX('Standards for Conversions'!$H$47:$H$73,MATCH(ID$3,'Standards for Conversions'!$A$47:$A$73,0))))</f>
        <v>1142.2761925078212</v>
      </c>
      <c r="IG43" s="31">
        <f t="shared" si="92"/>
        <v>47</v>
      </c>
      <c r="IH43" s="31">
        <f t="shared" si="93"/>
        <v>7899</v>
      </c>
      <c r="II43" s="31">
        <f>IF(IH43/(INDEX('Standards for Conversions'!$H$47:$H$73,MATCH(IG$3,'Standards for Conversions'!$A$47:$A$73,0)))=0,"",IH43/(INDEX('Standards for Conversions'!$H$47:$H$73,MATCH(IG$3,'Standards for Conversions'!$A$47:$A$73,0))))</f>
        <v>1142.2761925078212</v>
      </c>
      <c r="IJ43" s="31"/>
      <c r="IK43" s="31"/>
      <c r="IL43" s="31"/>
      <c r="IM43" s="31"/>
      <c r="IN43" s="31"/>
      <c r="IO43" s="31"/>
      <c r="IP43" s="31"/>
      <c r="IQ43" s="31"/>
      <c r="IR43" s="31"/>
      <c r="IS43" s="33">
        <v>50</v>
      </c>
      <c r="IT43" s="33">
        <v>6800</v>
      </c>
      <c r="IU43" s="31">
        <f>IF(IT43/(INDEX('Standards for Conversions'!$H$47:$H$73,MATCH(IS$3,'Standards for Conversions'!$A$47:$A$73,0)))=0,"",IT43/(INDEX('Standards for Conversions'!$H$47:$H$73,MATCH(IS$3,'Standards for Conversions'!$A$47:$A$73,0))))</f>
        <v>1099.969337504707</v>
      </c>
      <c r="IV43" s="31">
        <f t="shared" si="94"/>
        <v>50</v>
      </c>
      <c r="IW43" s="31">
        <f t="shared" si="95"/>
        <v>6800</v>
      </c>
      <c r="IX43" s="31">
        <f>IF(IW43/(INDEX('Standards for Conversions'!$H$47:$H$73,MATCH(IV$3,'Standards for Conversions'!$A$47:$A$73,0)))=0,"",IW43/(INDEX('Standards for Conversions'!$H$47:$H$73,MATCH(IV$3,'Standards for Conversions'!$A$47:$A$73,0))))</f>
        <v>1099.969337504707</v>
      </c>
      <c r="IY43" s="31"/>
      <c r="IZ43" s="31"/>
      <c r="JA43" s="31"/>
      <c r="JB43" s="31"/>
      <c r="JC43" s="31"/>
      <c r="JD43" s="31"/>
      <c r="JE43" s="31"/>
      <c r="JF43" s="31"/>
      <c r="JG43" s="31"/>
      <c r="JH43" s="33">
        <v>40</v>
      </c>
      <c r="JI43" s="33">
        <v>6000</v>
      </c>
      <c r="JJ43" s="31">
        <f>IF(JI43/(INDEX('Standards for Conversions'!$H$47:$H$73,MATCH(JH$3,'Standards for Conversions'!$A$47:$A$73,0)))=0,"",JI43/(INDEX('Standards for Conversions'!$H$47:$H$73,MATCH(JH$3,'Standards for Conversions'!$A$47:$A$73,0))))</f>
        <v>915.93535456678535</v>
      </c>
      <c r="JK43" s="31">
        <f t="shared" si="96"/>
        <v>40</v>
      </c>
      <c r="JL43" s="31">
        <f t="shared" si="97"/>
        <v>6000</v>
      </c>
      <c r="JM43" s="31">
        <f>IF(JL43/(INDEX('Standards for Conversions'!$H$47:$H$73,MATCH(JK$3,'Standards for Conversions'!$A$47:$A$73,0)))=0,"",JL43/(INDEX('Standards for Conversions'!$H$47:$H$73,MATCH(JK$3,'Standards for Conversions'!$A$47:$A$73,0))))</f>
        <v>915.93535456678535</v>
      </c>
      <c r="JN43" s="31"/>
      <c r="JO43" s="31"/>
      <c r="JP43" s="31"/>
      <c r="JQ43" s="31"/>
      <c r="JR43" s="31"/>
      <c r="JS43" s="31"/>
      <c r="JT43" s="31"/>
      <c r="JU43" s="31"/>
      <c r="JV43" s="31"/>
      <c r="JW43" s="33">
        <v>50</v>
      </c>
      <c r="JX43" s="33">
        <v>8000</v>
      </c>
      <c r="JY43" s="31">
        <f>IF(JX43/(INDEX('Standards for Conversions'!$H$47:$H$73,MATCH(JW$3,'Standards for Conversions'!$A$47:$A$73,0)))=0,"",JX43/(INDEX('Standards for Conversions'!$H$47:$H$73,MATCH(JW$3,'Standards for Conversions'!$A$47:$A$73,0))))</f>
        <v>1077.2720952463717</v>
      </c>
      <c r="JZ43" s="31">
        <f t="shared" si="98"/>
        <v>50</v>
      </c>
      <c r="KA43" s="31">
        <f t="shared" si="99"/>
        <v>8000</v>
      </c>
      <c r="KB43" s="31">
        <f>IF(KA43/(INDEX('Standards for Conversions'!$H$47:$H$73,MATCH(JZ$3,'Standards for Conversions'!$A$47:$A$73,0)))=0,"",KA43/(INDEX('Standards for Conversions'!$H$47:$H$73,MATCH(JZ$3,'Standards for Conversions'!$A$47:$A$73,0))))</f>
        <v>1077.2720952463717</v>
      </c>
      <c r="KC43" s="31"/>
      <c r="KD43" s="31"/>
      <c r="KE43" s="31"/>
      <c r="KF43" s="31"/>
      <c r="KG43" s="31"/>
      <c r="KH43" s="31"/>
      <c r="KI43" s="31"/>
      <c r="KJ43" s="31"/>
      <c r="KK43" s="31"/>
      <c r="KL43" s="33">
        <v>37</v>
      </c>
      <c r="KM43" s="33">
        <v>4100</v>
      </c>
      <c r="KN43" s="31">
        <f>IF(KM43/(INDEX('Standards for Conversions'!$H$47:$H$73,MATCH(KL$3,'Standards for Conversions'!$A$47:$A$73,0)))=0,"",KM43/(INDEX('Standards for Conversions'!$H$47:$H$73,MATCH(KL$3,'Standards for Conversions'!$A$47:$A$73,0))))</f>
        <v>498.62792358274663</v>
      </c>
      <c r="KO43" s="31">
        <f t="shared" si="100"/>
        <v>37</v>
      </c>
      <c r="KP43" s="31">
        <f t="shared" si="101"/>
        <v>4100</v>
      </c>
      <c r="KQ43" s="31">
        <f>IF(KP43/(INDEX('Standards for Conversions'!$H$47:$H$73,MATCH(KO$3,'Standards for Conversions'!$A$47:$A$73,0)))=0,"",KP43/(INDEX('Standards for Conversions'!$H$47:$H$73,MATCH(KO$3,'Standards for Conversions'!$A$47:$A$73,0))))</f>
        <v>498.62792358274663</v>
      </c>
      <c r="KR43" s="31"/>
      <c r="KS43" s="31"/>
      <c r="KT43" s="31"/>
      <c r="KU43" s="31"/>
      <c r="KV43" s="31"/>
      <c r="KW43" s="31"/>
      <c r="KX43" s="31"/>
      <c r="KY43" s="31"/>
      <c r="KZ43" s="31"/>
      <c r="LA43" s="31"/>
      <c r="LB43" s="31"/>
      <c r="LC43" s="31"/>
      <c r="LD43" s="31"/>
      <c r="LE43" s="31"/>
      <c r="LF43" s="31"/>
      <c r="LG43" s="31"/>
      <c r="LH43" s="31"/>
      <c r="LI43" s="31"/>
      <c r="LJ43" s="31"/>
      <c r="LK43" s="31"/>
      <c r="LL43" s="31"/>
      <c r="LM43" s="31"/>
      <c r="LN43" s="31"/>
      <c r="LO43" s="31"/>
      <c r="LP43" s="31"/>
      <c r="LQ43" s="31"/>
      <c r="LR43" s="31"/>
      <c r="LS43" s="31"/>
      <c r="LT43" s="31"/>
      <c r="LU43" s="31"/>
      <c r="LV43" s="31"/>
      <c r="LW43" s="31"/>
      <c r="LX43" s="31"/>
      <c r="LY43" s="31"/>
      <c r="LZ43" s="31"/>
      <c r="MA43" s="31"/>
      <c r="MB43" s="31"/>
      <c r="MC43" s="31"/>
      <c r="MD43" s="31"/>
      <c r="ME43" s="31"/>
      <c r="MF43" s="31"/>
      <c r="MG43" s="31"/>
      <c r="MH43" s="31"/>
      <c r="MI43" s="31"/>
      <c r="MJ43" s="31"/>
      <c r="MK43" s="31"/>
      <c r="ML43" s="31"/>
      <c r="MM43" s="31"/>
      <c r="MN43" s="31"/>
    </row>
    <row r="44" spans="1:352" ht="14.4" customHeight="1" x14ac:dyDescent="0.3">
      <c r="A44" s="102" t="s">
        <v>321</v>
      </c>
      <c r="B44" s="10" t="s">
        <v>98</v>
      </c>
      <c r="C44" s="9"/>
      <c r="D44" s="9"/>
      <c r="E44" s="31" t="s">
        <v>128</v>
      </c>
      <c r="F44" s="9"/>
      <c r="G44" s="9"/>
      <c r="H44" s="31" t="s">
        <v>128</v>
      </c>
      <c r="I44" s="9">
        <v>224.64000000000001</v>
      </c>
      <c r="J44" s="9">
        <v>35000</v>
      </c>
      <c r="K44" s="31">
        <v>6913.97804054054</v>
      </c>
      <c r="L44" s="9">
        <v>162</v>
      </c>
      <c r="M44" s="9">
        <v>37500</v>
      </c>
      <c r="N44" s="31">
        <v>7407.8336148648641</v>
      </c>
      <c r="O44" s="31">
        <f t="shared" si="4"/>
        <v>386.64</v>
      </c>
      <c r="P44" s="31">
        <f t="shared" si="5"/>
        <v>72500</v>
      </c>
      <c r="Q44" s="31">
        <f>IF(P44/(INDEX('Standards for Conversions'!$H$34:$H$73,MATCH(O$3,'Standards for Conversions'!$A$34:$A$73,0)))=0,"",P44/(INDEX('Standards for Conversions'!$H$34:$H$73,MATCH(O$3,'Standards for Conversions'!$A$34:$A$73,0))))</f>
        <v>14321.811655405403</v>
      </c>
      <c r="R44" s="9"/>
      <c r="S44" s="9"/>
      <c r="T44" s="31" t="s">
        <v>128</v>
      </c>
      <c r="U44" s="9"/>
      <c r="V44" s="9"/>
      <c r="W44" s="31" t="s">
        <v>128</v>
      </c>
      <c r="X44" s="9">
        <v>86.4</v>
      </c>
      <c r="Y44" s="9">
        <v>8000</v>
      </c>
      <c r="Z44" s="31">
        <v>1541.3798847078588</v>
      </c>
      <c r="AA44" s="9">
        <v>162</v>
      </c>
      <c r="AB44" s="9">
        <v>37500</v>
      </c>
      <c r="AC44" s="31">
        <v>7225.2182095680882</v>
      </c>
      <c r="AD44" s="31">
        <f t="shared" si="6"/>
        <v>248.4</v>
      </c>
      <c r="AE44" s="31">
        <f t="shared" si="7"/>
        <v>45500</v>
      </c>
      <c r="AF44" s="31">
        <f>IF(AE44/(INDEX('Standards for Conversions'!$H$34:$H$73,MATCH(AD$3,'Standards for Conversions'!$A$34:$A$73,0)))=0,"",AE44/(INDEX('Standards for Conversions'!$H$34:$H$73,MATCH(AD$3,'Standards for Conversions'!$A$34:$A$73,0))))</f>
        <v>8766.598094275947</v>
      </c>
      <c r="AG44" s="9"/>
      <c r="AH44" s="9"/>
      <c r="AI44" s="31" t="s">
        <v>128</v>
      </c>
      <c r="AJ44" s="9"/>
      <c r="AK44" s="9"/>
      <c r="AL44" s="31" t="s">
        <v>128</v>
      </c>
      <c r="AM44" s="9">
        <v>129.60000000000002</v>
      </c>
      <c r="AN44" s="9">
        <v>30000</v>
      </c>
      <c r="AO44" s="31">
        <v>5360.9531154949154</v>
      </c>
      <c r="AP44" s="9">
        <v>162</v>
      </c>
      <c r="AQ44" s="9">
        <v>37500</v>
      </c>
      <c r="AR44" s="31">
        <v>6701.1913943686441</v>
      </c>
      <c r="AS44" s="31">
        <f t="shared" si="8"/>
        <v>291.60000000000002</v>
      </c>
      <c r="AT44" s="31">
        <f t="shared" si="9"/>
        <v>67500</v>
      </c>
      <c r="AU44" s="31">
        <f>IF(AT44/(INDEX('Standards for Conversions'!$H$34:$H$73,MATCH(AS$3,'Standards for Conversions'!$A$34:$A$73,0)))=0,"",AT44/(INDEX('Standards for Conversions'!$H$34:$H$73,MATCH(AS$3,'Standards for Conversions'!$A$34:$A$73,0))))</f>
        <v>12062.14450986356</v>
      </c>
      <c r="AV44" s="9"/>
      <c r="AW44" s="9"/>
      <c r="AX44" s="31" t="s">
        <v>128</v>
      </c>
      <c r="AY44" s="9"/>
      <c r="AZ44" s="9"/>
      <c r="BA44" s="31" t="s">
        <v>128</v>
      </c>
      <c r="BB44" s="9">
        <v>151.20000000000002</v>
      </c>
      <c r="BC44" s="9">
        <v>30000</v>
      </c>
      <c r="BD44" s="31">
        <v>5570.5638415746935</v>
      </c>
      <c r="BE44" s="9">
        <v>151.20000000000002</v>
      </c>
      <c r="BF44" s="9">
        <v>30000</v>
      </c>
      <c r="BG44" s="31">
        <v>5570.5638415746935</v>
      </c>
      <c r="BH44" s="31">
        <f t="shared" si="10"/>
        <v>302.40000000000003</v>
      </c>
      <c r="BI44" s="31">
        <f t="shared" si="11"/>
        <v>60000</v>
      </c>
      <c r="BJ44" s="31">
        <f>IF(BI44/(INDEX('Standards for Conversions'!$H$34:$H$73,MATCH(BH$3,'Standards for Conversions'!$A$34:$A$73,0)))=0,"",BI44/(INDEX('Standards for Conversions'!$H$34:$H$73,MATCH(BH$3,'Standards for Conversions'!$A$34:$A$73,0))))</f>
        <v>11141.127683149387</v>
      </c>
      <c r="BK44" s="9"/>
      <c r="BL44" s="9"/>
      <c r="BM44" s="31" t="s">
        <v>128</v>
      </c>
      <c r="BN44" s="9"/>
      <c r="BO44" s="9"/>
      <c r="BP44" s="31" t="s">
        <v>128</v>
      </c>
      <c r="BQ44" s="9">
        <v>129.60000000000002</v>
      </c>
      <c r="BR44" s="9">
        <v>20000</v>
      </c>
      <c r="BS44" s="31">
        <v>3561.2650632948053</v>
      </c>
      <c r="BT44" s="9">
        <v>172.8</v>
      </c>
      <c r="BU44" s="9">
        <v>25000</v>
      </c>
      <c r="BV44" s="31">
        <v>4451.5813291185068</v>
      </c>
      <c r="BW44" s="31">
        <f t="shared" si="12"/>
        <v>302.40000000000003</v>
      </c>
      <c r="BX44" s="31">
        <f t="shared" si="13"/>
        <v>45000</v>
      </c>
      <c r="BY44" s="31">
        <f>IF(BX44/(INDEX('Standards for Conversions'!$H$34:$H$73,MATCH(BW$3,'Standards for Conversions'!$A$34:$A$73,0)))=0,"",BX44/(INDEX('Standards for Conversions'!$H$34:$H$73,MATCH(BW$3,'Standards for Conversions'!$A$34:$A$73,0))))</f>
        <v>8012.8463924133121</v>
      </c>
      <c r="BZ44" s="9"/>
      <c r="CA44" s="9"/>
      <c r="CB44" s="31" t="s">
        <v>128</v>
      </c>
      <c r="CC44" s="9"/>
      <c r="CD44" s="9"/>
      <c r="CE44" s="31" t="s">
        <v>128</v>
      </c>
      <c r="CF44" s="9">
        <v>129.60000000000002</v>
      </c>
      <c r="CG44" s="9">
        <v>22000</v>
      </c>
      <c r="CH44" s="31">
        <v>3819.5732307870571</v>
      </c>
      <c r="CI44" s="9">
        <v>64.800000000000011</v>
      </c>
      <c r="CJ44" s="9">
        <v>12000</v>
      </c>
      <c r="CK44" s="31">
        <v>2083.4035804293039</v>
      </c>
      <c r="CL44" s="31">
        <f t="shared" si="14"/>
        <v>194.40000000000003</v>
      </c>
      <c r="CM44" s="31">
        <f t="shared" si="15"/>
        <v>34000</v>
      </c>
      <c r="CN44" s="31">
        <f>IF(CM44/(INDEX('Standards for Conversions'!$H$34:$H$73,MATCH(CL$3,'Standards for Conversions'!$A$34:$A$73,0)))=0,"",CM44/(INDEX('Standards for Conversions'!$H$34:$H$73,MATCH(CL$3,'Standards for Conversions'!$A$34:$A$73,0))))</f>
        <v>5902.9768112163611</v>
      </c>
      <c r="CO44" s="9"/>
      <c r="CP44" s="9"/>
      <c r="CQ44" s="31" t="s">
        <v>128</v>
      </c>
      <c r="CR44" s="9"/>
      <c r="CS44" s="9"/>
      <c r="CT44" s="31" t="s">
        <v>128</v>
      </c>
      <c r="CU44" s="9">
        <v>54</v>
      </c>
      <c r="CV44" s="9">
        <v>6000</v>
      </c>
      <c r="CW44" s="31">
        <v>1062.0276788042061</v>
      </c>
      <c r="CX44" s="9">
        <v>51.84</v>
      </c>
      <c r="CY44" s="9">
        <v>9600</v>
      </c>
      <c r="CZ44" s="31">
        <v>1699.24428608673</v>
      </c>
      <c r="DA44" s="31">
        <f t="shared" si="16"/>
        <v>105.84</v>
      </c>
      <c r="DB44" s="31">
        <f t="shared" si="17"/>
        <v>15600</v>
      </c>
      <c r="DC44" s="31">
        <f>IF(DB44/(INDEX('Standards for Conversions'!$H$34:$H$73,MATCH(DA$3,'Standards for Conversions'!$A$34:$A$73,0)))=0,"",DB44/(INDEX('Standards for Conversions'!$H$34:$H$73,MATCH(DA$3,'Standards for Conversions'!$A$34:$A$73,0))))</f>
        <v>2761.271964890936</v>
      </c>
      <c r="DD44" s="9"/>
      <c r="DE44" s="9"/>
      <c r="DF44" s="31" t="s">
        <v>128</v>
      </c>
      <c r="DG44" s="9"/>
      <c r="DH44" s="9"/>
      <c r="DI44" s="31" t="s">
        <v>128</v>
      </c>
      <c r="DJ44" s="9">
        <v>129.60000000000002</v>
      </c>
      <c r="DK44" s="9">
        <v>15000</v>
      </c>
      <c r="DL44" s="31">
        <v>2626.4859161814547</v>
      </c>
      <c r="DM44" s="9">
        <v>216</v>
      </c>
      <c r="DN44" s="9">
        <v>25000</v>
      </c>
      <c r="DO44" s="31">
        <v>4377.4765269690915</v>
      </c>
      <c r="DP44" s="31">
        <f t="shared" si="18"/>
        <v>345.6</v>
      </c>
      <c r="DQ44" s="31">
        <f t="shared" si="19"/>
        <v>40000</v>
      </c>
      <c r="DR44" s="31">
        <f>IF(DQ44/(INDEX('Standards for Conversions'!$H$34:$H$73,MATCH(DP$3,'Standards for Conversions'!$A$34:$A$73,0)))=0,"",DQ44/(INDEX('Standards for Conversions'!$H$34:$H$73,MATCH(DP$3,'Standards for Conversions'!$A$34:$A$73,0))))</f>
        <v>7003.9624431505463</v>
      </c>
      <c r="DS44" s="9"/>
      <c r="DT44" s="9"/>
      <c r="DU44" s="31" t="s">
        <v>128</v>
      </c>
      <c r="DV44" s="9"/>
      <c r="DW44" s="9"/>
      <c r="DX44" s="31" t="s">
        <v>128</v>
      </c>
      <c r="DY44" s="9">
        <v>207.36</v>
      </c>
      <c r="DZ44" s="9">
        <v>31900</v>
      </c>
      <c r="EA44" s="31">
        <v>5578.9059250166556</v>
      </c>
      <c r="EB44" s="9">
        <v>200.88000000000002</v>
      </c>
      <c r="EC44" s="9">
        <v>34350</v>
      </c>
      <c r="ED44" s="31">
        <v>6007.3798910445812</v>
      </c>
      <c r="EE44" s="31">
        <f t="shared" si="20"/>
        <v>408.24</v>
      </c>
      <c r="EF44" s="31">
        <f t="shared" si="21"/>
        <v>66250</v>
      </c>
      <c r="EG44" s="31">
        <f>IF(EF44/(INDEX('Standards for Conversions'!$H$34:$H$73,MATCH(EE$3,'Standards for Conversions'!$A$34:$A$73,0)))=0,"",EF44/(INDEX('Standards for Conversions'!$H$34:$H$73,MATCH(EE$3,'Standards for Conversions'!$A$34:$A$73,0))))</f>
        <v>11586.285816061238</v>
      </c>
      <c r="EH44" s="9"/>
      <c r="EI44" s="9"/>
      <c r="EJ44" s="31" t="s">
        <v>128</v>
      </c>
      <c r="EK44" s="9"/>
      <c r="EL44" s="9"/>
      <c r="EM44" s="31" t="s">
        <v>128</v>
      </c>
      <c r="EN44" s="9">
        <v>26.46</v>
      </c>
      <c r="EO44" s="9">
        <v>7975</v>
      </c>
      <c r="EP44" s="31">
        <v>1366.0214568215722</v>
      </c>
      <c r="EQ44" s="10">
        <v>47.52</v>
      </c>
      <c r="ER44" s="10">
        <v>30465</v>
      </c>
      <c r="ES44" s="31">
        <v>5218.28760903689</v>
      </c>
      <c r="ET44" s="31">
        <f t="shared" si="22"/>
        <v>73.98</v>
      </c>
      <c r="EU44" s="31">
        <f t="shared" si="23"/>
        <v>38440</v>
      </c>
      <c r="EV44" s="31">
        <f>IF(EU44/(INDEX('Standards for Conversions'!$H$34:$H$73,MATCH(ET$3,'Standards for Conversions'!$A$34:$A$73,0)))=0,"",EU44/(INDEX('Standards for Conversions'!$H$34:$H$73,MATCH(ET$3,'Standards for Conversions'!$A$34:$A$73,0))))</f>
        <v>6584.3090658584615</v>
      </c>
      <c r="EW44" s="9"/>
      <c r="EX44" s="9"/>
      <c r="EY44" s="31" t="s">
        <v>128</v>
      </c>
      <c r="EZ44" s="9"/>
      <c r="FA44" s="9"/>
      <c r="FB44" s="31" t="s">
        <v>128</v>
      </c>
      <c r="FC44" s="9">
        <v>31.5</v>
      </c>
      <c r="FD44" s="9">
        <v>7000</v>
      </c>
      <c r="FE44" s="31">
        <v>1200.4977948205437</v>
      </c>
      <c r="FF44" s="10">
        <v>43.2</v>
      </c>
      <c r="FG44" s="10">
        <v>28000</v>
      </c>
      <c r="FH44" s="31">
        <v>4801.9911792821749</v>
      </c>
      <c r="FI44" s="31">
        <f t="shared" si="24"/>
        <v>74.7</v>
      </c>
      <c r="FJ44" s="31">
        <f t="shared" si="25"/>
        <v>35000</v>
      </c>
      <c r="FK44" s="31">
        <f>IF(FJ44/(INDEX('Standards for Conversions'!$H$34:$H$73,MATCH(FI$3,'Standards for Conversions'!$A$34:$A$73,0)))=0,"",FJ44/(INDEX('Standards for Conversions'!$H$34:$H$73,MATCH(FI$3,'Standards for Conversions'!$A$34:$A$73,0))))</f>
        <v>6002.4889741027191</v>
      </c>
      <c r="FL44" s="9"/>
      <c r="FM44" s="9"/>
      <c r="FN44" s="31" t="s">
        <v>128</v>
      </c>
      <c r="FO44" s="9"/>
      <c r="FP44" s="9"/>
      <c r="FQ44" s="31" t="s">
        <v>128</v>
      </c>
      <c r="FR44" s="9">
        <v>30.240000000000002</v>
      </c>
      <c r="FS44" s="9">
        <v>5500</v>
      </c>
      <c r="FT44" s="31">
        <v>904.81963424437299</v>
      </c>
      <c r="FU44" s="9">
        <v>43.2</v>
      </c>
      <c r="FV44" s="9">
        <v>10000</v>
      </c>
      <c r="FW44" s="31">
        <v>1645.1266077170417</v>
      </c>
      <c r="FX44" s="31">
        <f t="shared" si="26"/>
        <v>73.44</v>
      </c>
      <c r="FY44" s="31">
        <f t="shared" si="27"/>
        <v>15500</v>
      </c>
      <c r="FZ44" s="31">
        <f>IF(FY44/(INDEX('Standards for Conversions'!$H$34:$H$73,MATCH(FX$3,'Standards for Conversions'!$A$34:$A$73,0)))=0,"",FY44/(INDEX('Standards for Conversions'!$H$34:$H$73,MATCH(FX$3,'Standards for Conversions'!$A$34:$A$73,0))))</f>
        <v>2549.9462419614147</v>
      </c>
      <c r="GA44" s="9"/>
      <c r="GB44" s="9"/>
      <c r="GC44" s="31" t="s">
        <v>128</v>
      </c>
      <c r="GD44" s="9"/>
      <c r="GE44" s="9"/>
      <c r="GF44" s="31" t="s">
        <v>128</v>
      </c>
      <c r="GG44" s="9">
        <v>31.5</v>
      </c>
      <c r="GH44" s="9">
        <v>6000</v>
      </c>
      <c r="GI44" s="31">
        <v>922.28719475102116</v>
      </c>
      <c r="GJ44" s="9">
        <v>86.4</v>
      </c>
      <c r="GK44" s="9">
        <v>12000</v>
      </c>
      <c r="GL44" s="31">
        <v>1844.5743895020423</v>
      </c>
      <c r="GM44" s="31">
        <f t="shared" si="28"/>
        <v>117.9</v>
      </c>
      <c r="GN44" s="31">
        <f t="shared" si="29"/>
        <v>18000</v>
      </c>
      <c r="GO44" s="31">
        <f>IF(GN44/(INDEX('Standards for Conversions'!$H$34:$H$73,MATCH(GM$3,'Standards for Conversions'!$A$34:$A$73,0)))=0,"",GN44/(INDEX('Standards for Conversions'!$H$34:$H$73,MATCH(GM$3,'Standards for Conversions'!$A$34:$A$73,0))))</f>
        <v>2766.8615842530635</v>
      </c>
      <c r="GP44" s="9"/>
      <c r="GQ44" s="9"/>
      <c r="GR44" s="31" t="s">
        <v>128</v>
      </c>
      <c r="GS44" s="9"/>
      <c r="GT44" s="9"/>
      <c r="GU44" s="31" t="s">
        <v>128</v>
      </c>
      <c r="GV44" s="9">
        <v>37.799999999999997</v>
      </c>
      <c r="GW44" s="9">
        <v>7000</v>
      </c>
      <c r="GX44" s="31">
        <v>1059.698670736653</v>
      </c>
      <c r="GY44" s="9">
        <v>108</v>
      </c>
      <c r="GZ44" s="9">
        <v>15000</v>
      </c>
      <c r="HA44" s="31">
        <v>2270.7828658642561</v>
      </c>
      <c r="HB44" s="31">
        <f t="shared" si="91"/>
        <v>145.80000000000001</v>
      </c>
      <c r="HC44" s="31">
        <f t="shared" si="91"/>
        <v>22000</v>
      </c>
      <c r="HD44" s="31">
        <f>IF(HC44/(INDEX('Standards for Conversions'!$H$34:$H$73,MATCH(HB$3,'Standards for Conversions'!$A$34:$A$73,0)))=0,"",HC44/(INDEX('Standards for Conversions'!$H$34:$H$73,MATCH(HB$3,'Standards for Conversions'!$A$34:$A$73,0))))</f>
        <v>3330.4815366009088</v>
      </c>
      <c r="HE44" s="112"/>
      <c r="HF44" s="31"/>
      <c r="HG44" s="31"/>
      <c r="HH44" s="31"/>
      <c r="HI44" s="31"/>
      <c r="HJ44" s="31"/>
      <c r="HK44" s="31"/>
      <c r="HL44" s="33">
        <f>1.26*40</f>
        <v>50.4</v>
      </c>
      <c r="HM44" s="33">
        <v>9000</v>
      </c>
      <c r="HN44" s="31">
        <f>IF(HM44/(INDEX('Standards for Conversions'!$H$47:$H$73,MATCH(HL$3,'Standards for Conversions'!$A$47:$A$73,0)))=0,"",HM44/(INDEX('Standards for Conversions'!$H$47:$H$73,MATCH(HL$3,'Standards for Conversions'!$A$47:$A$73,0))))</f>
        <v>1307.2087099157036</v>
      </c>
      <c r="HO44" s="31"/>
      <c r="HP44" s="31"/>
      <c r="HQ44" s="31"/>
      <c r="HR44" s="31">
        <f t="shared" si="102"/>
        <v>50.4</v>
      </c>
      <c r="HS44" s="31">
        <f t="shared" si="103"/>
        <v>9000</v>
      </c>
      <c r="HT44" s="31">
        <f>IF(HS44/(INDEX('Standards for Conversions'!$H$47:$H$73,MATCH(HR$3,'Standards for Conversions'!$A$47:$A$73,0)))=0,"",HS44/(INDEX('Standards for Conversions'!$H$47:$H$73,MATCH(HR$3,'Standards for Conversions'!$A$47:$A$73,0))))</f>
        <v>1307.2087099157036</v>
      </c>
      <c r="HU44" s="31"/>
      <c r="HV44" s="31"/>
      <c r="HW44" s="31"/>
      <c r="HX44" s="31"/>
      <c r="HY44" s="31"/>
      <c r="HZ44" s="31"/>
      <c r="IA44" s="33">
        <f>1.26*10</f>
        <v>12.6</v>
      </c>
      <c r="IB44" s="33">
        <v>5000</v>
      </c>
      <c r="IC44" s="31">
        <f>IF(IB44/(INDEX('Standards for Conversions'!$H$47:$H$73,MATCH(IA$3,'Standards for Conversions'!$A$47:$A$73,0)))=0,"",IB44/(INDEX('Standards for Conversions'!$H$47:$H$73,MATCH(IA$3,'Standards for Conversions'!$A$47:$A$73,0))))</f>
        <v>723.05114097216176</v>
      </c>
      <c r="ID44" s="31"/>
      <c r="IE44" s="31"/>
      <c r="IF44" s="31"/>
      <c r="IG44" s="31">
        <f t="shared" si="92"/>
        <v>12.6</v>
      </c>
      <c r="IH44" s="31">
        <f t="shared" si="93"/>
        <v>5000</v>
      </c>
      <c r="II44" s="31">
        <f>IF(IH44/(INDEX('Standards for Conversions'!$H$47:$H$73,MATCH(IG$3,'Standards for Conversions'!$A$47:$A$73,0)))=0,"",IH44/(INDEX('Standards for Conversions'!$H$47:$H$73,MATCH(IG$3,'Standards for Conversions'!$A$47:$A$73,0))))</f>
        <v>723.05114097216176</v>
      </c>
      <c r="IJ44" s="31"/>
      <c r="IK44" s="31"/>
      <c r="IL44" s="31"/>
      <c r="IM44" s="31"/>
      <c r="IN44" s="31"/>
      <c r="IO44" s="31"/>
      <c r="IP44" s="33">
        <f>1.26*6</f>
        <v>7.5600000000000005</v>
      </c>
      <c r="IQ44" s="33">
        <v>4000</v>
      </c>
      <c r="IR44" s="31">
        <f>IF(IQ44/(INDEX('Standards for Conversions'!$H$47:$H$73,MATCH(IP$3,'Standards for Conversions'!$A$47:$A$73,0)))=0,"",IQ44/(INDEX('Standards for Conversions'!$H$47:$H$73,MATCH(IP$3,'Standards for Conversions'!$A$47:$A$73,0))))</f>
        <v>647.04078676747474</v>
      </c>
      <c r="IS44" s="31"/>
      <c r="IT44" s="31"/>
      <c r="IU44" s="31"/>
      <c r="IV44" s="31">
        <f t="shared" si="94"/>
        <v>7.5600000000000005</v>
      </c>
      <c r="IW44" s="31">
        <f t="shared" si="95"/>
        <v>4000</v>
      </c>
      <c r="IX44" s="31">
        <f>IF(IW44/(INDEX('Standards for Conversions'!$H$47:$H$73,MATCH(IV$3,'Standards for Conversions'!$A$47:$A$73,0)))=0,"",IW44/(INDEX('Standards for Conversions'!$H$47:$H$73,MATCH(IV$3,'Standards for Conversions'!$A$47:$A$73,0))))</f>
        <v>647.04078676747474</v>
      </c>
      <c r="IY44" s="31"/>
      <c r="IZ44" s="31"/>
      <c r="JA44" s="31"/>
      <c r="JB44" s="31"/>
      <c r="JC44" s="31"/>
      <c r="JD44" s="31"/>
      <c r="JE44" s="33">
        <f>1.26*8</f>
        <v>10.08</v>
      </c>
      <c r="JF44" s="33">
        <v>4000</v>
      </c>
      <c r="JG44" s="31">
        <f>IF(JF44/(INDEX('Standards for Conversions'!$H$47:$H$73,MATCH(JE$3,'Standards for Conversions'!$A$47:$A$73,0)))=0,"",JF44/(INDEX('Standards for Conversions'!$H$47:$H$73,MATCH(JE$3,'Standards for Conversions'!$A$47:$A$73,0))))</f>
        <v>610.62356971119027</v>
      </c>
      <c r="JH44" s="31"/>
      <c r="JI44" s="31"/>
      <c r="JJ44" s="31"/>
      <c r="JK44" s="31">
        <f t="shared" si="96"/>
        <v>10.08</v>
      </c>
      <c r="JL44" s="31">
        <f t="shared" si="97"/>
        <v>4000</v>
      </c>
      <c r="JM44" s="31">
        <f>IF(JL44/(INDEX('Standards for Conversions'!$H$47:$H$73,MATCH(JK$3,'Standards for Conversions'!$A$47:$A$73,0)))=0,"",JL44/(INDEX('Standards for Conversions'!$H$47:$H$73,MATCH(JK$3,'Standards for Conversions'!$A$47:$A$73,0))))</f>
        <v>610.62356971119027</v>
      </c>
      <c r="JN44" s="31"/>
      <c r="JO44" s="31"/>
      <c r="JP44" s="31"/>
      <c r="JQ44" s="31"/>
      <c r="JR44" s="31"/>
      <c r="JS44" s="31"/>
      <c r="JT44" s="33">
        <f>1.26*5</f>
        <v>6.3</v>
      </c>
      <c r="JU44" s="33">
        <v>2500</v>
      </c>
      <c r="JV44" s="31">
        <f>IF(JU44/(INDEX('Standards for Conversions'!$H$47:$H$73,MATCH(JT$3,'Standards for Conversions'!$A$47:$A$73,0)))=0,"",JU44/(INDEX('Standards for Conversions'!$H$47:$H$73,MATCH(JT$3,'Standards for Conversions'!$A$47:$A$73,0))))</f>
        <v>336.64752976449114</v>
      </c>
      <c r="JW44" s="31"/>
      <c r="JX44" s="31"/>
      <c r="JY44" s="31"/>
      <c r="JZ44" s="31">
        <f t="shared" si="98"/>
        <v>6.3</v>
      </c>
      <c r="KA44" s="31">
        <f t="shared" si="99"/>
        <v>2500</v>
      </c>
      <c r="KB44" s="31">
        <f>IF(KA44/(INDEX('Standards for Conversions'!$H$47:$H$73,MATCH(JZ$3,'Standards for Conversions'!$A$47:$A$73,0)))=0,"",KA44/(INDEX('Standards for Conversions'!$H$47:$H$73,MATCH(JZ$3,'Standards for Conversions'!$A$47:$A$73,0))))</f>
        <v>336.64752976449114</v>
      </c>
      <c r="KC44" s="31"/>
      <c r="KD44" s="31"/>
      <c r="KE44" s="31"/>
      <c r="KF44" s="31"/>
      <c r="KG44" s="31"/>
      <c r="KH44" s="31"/>
      <c r="KI44" s="33">
        <f>1.26*1</f>
        <v>1.26</v>
      </c>
      <c r="KJ44" s="33">
        <v>450</v>
      </c>
      <c r="KK44" s="31">
        <f>IF(KJ44/(INDEX('Standards for Conversions'!$H$47:$H$73,MATCH(KI$3,'Standards for Conversions'!$A$47:$A$73,0)))=0,"",KJ44/(INDEX('Standards for Conversions'!$H$47:$H$73,MATCH(KI$3,'Standards for Conversions'!$A$47:$A$73,0))))</f>
        <v>54.727455027374631</v>
      </c>
      <c r="KL44" s="31"/>
      <c r="KM44" s="31"/>
      <c r="KN44" s="31"/>
      <c r="KO44" s="31">
        <f t="shared" si="100"/>
        <v>1.26</v>
      </c>
      <c r="KP44" s="31">
        <f t="shared" si="101"/>
        <v>450</v>
      </c>
      <c r="KQ44" s="31">
        <f>IF(KP44/(INDEX('Standards for Conversions'!$H$47:$H$73,MATCH(KO$3,'Standards for Conversions'!$A$47:$A$73,0)))=0,"",KP44/(INDEX('Standards for Conversions'!$H$47:$H$73,MATCH(KO$3,'Standards for Conversions'!$A$47:$A$73,0))))</f>
        <v>54.727455027374631</v>
      </c>
      <c r="KR44" s="31"/>
      <c r="KS44" s="31"/>
      <c r="KT44" s="31"/>
      <c r="KU44" s="31"/>
      <c r="KV44" s="31"/>
      <c r="KW44" s="31"/>
      <c r="KX44" s="31"/>
      <c r="KY44" s="31"/>
      <c r="KZ44" s="31"/>
      <c r="LA44" s="31"/>
      <c r="LB44" s="31"/>
      <c r="LC44" s="31"/>
      <c r="LD44" s="31"/>
      <c r="LE44" s="31"/>
      <c r="LF44" s="31"/>
      <c r="LG44" s="31"/>
      <c r="LH44" s="31"/>
      <c r="LI44" s="31"/>
      <c r="LJ44" s="31"/>
      <c r="LK44" s="31"/>
      <c r="LL44" s="31"/>
      <c r="LM44" s="31"/>
      <c r="LN44" s="31"/>
      <c r="LO44" s="31"/>
      <c r="LP44" s="31"/>
      <c r="LQ44" s="31"/>
      <c r="LR44" s="31"/>
      <c r="LS44" s="31"/>
      <c r="LT44" s="31"/>
      <c r="LU44" s="31"/>
      <c r="LV44" s="31"/>
      <c r="LW44" s="31"/>
      <c r="LX44" s="31"/>
      <c r="LY44" s="31"/>
      <c r="LZ44" s="31"/>
      <c r="MA44" s="31"/>
      <c r="MB44" s="31"/>
      <c r="MC44" s="31"/>
      <c r="MD44" s="31"/>
      <c r="ME44" s="31"/>
      <c r="MF44" s="31"/>
      <c r="MG44" s="31"/>
      <c r="MH44" s="31"/>
      <c r="MI44" s="31"/>
      <c r="MJ44" s="31"/>
      <c r="MK44" s="31"/>
      <c r="ML44" s="31"/>
      <c r="MM44" s="31"/>
      <c r="MN44" s="31"/>
    </row>
    <row r="45" spans="1:352" ht="14.4" customHeight="1" x14ac:dyDescent="0.3">
      <c r="A45" s="102" t="s">
        <v>363</v>
      </c>
      <c r="B45" s="10" t="s">
        <v>98</v>
      </c>
      <c r="C45" s="9"/>
      <c r="D45" s="9"/>
      <c r="E45" s="31" t="s">
        <v>128</v>
      </c>
      <c r="F45" s="9"/>
      <c r="G45" s="9"/>
      <c r="H45" s="31" t="s">
        <v>128</v>
      </c>
      <c r="I45" s="9">
        <v>79.92</v>
      </c>
      <c r="J45" s="9">
        <v>7000</v>
      </c>
      <c r="K45" s="31">
        <v>1382.7956081081079</v>
      </c>
      <c r="L45" s="9">
        <v>209.52</v>
      </c>
      <c r="M45" s="9">
        <v>20000</v>
      </c>
      <c r="N45" s="31">
        <v>3950.8445945945941</v>
      </c>
      <c r="O45" s="31">
        <f t="shared" si="4"/>
        <v>289.44</v>
      </c>
      <c r="P45" s="31">
        <f t="shared" si="5"/>
        <v>27000</v>
      </c>
      <c r="Q45" s="31">
        <f>IF(P45/(INDEX('Standards for Conversions'!$H$34:$H$73,MATCH(O$3,'Standards for Conversions'!$A$34:$A$73,0)))=0,"",P45/(INDEX('Standards for Conversions'!$H$34:$H$73,MATCH(O$3,'Standards for Conversions'!$A$34:$A$73,0))))</f>
        <v>5333.6402027027016</v>
      </c>
      <c r="R45" s="9"/>
      <c r="S45" s="9"/>
      <c r="T45" s="31" t="s">
        <v>128</v>
      </c>
      <c r="U45" s="9"/>
      <c r="V45" s="9"/>
      <c r="W45" s="31" t="s">
        <v>128</v>
      </c>
      <c r="X45" s="9">
        <v>97.2</v>
      </c>
      <c r="Y45" s="9">
        <v>9000</v>
      </c>
      <c r="Z45" s="31">
        <v>1734.0523702963412</v>
      </c>
      <c r="AA45" s="9">
        <v>216</v>
      </c>
      <c r="AB45" s="9">
        <v>25000</v>
      </c>
      <c r="AC45" s="31">
        <v>4816.8121397120585</v>
      </c>
      <c r="AD45" s="31">
        <f t="shared" si="6"/>
        <v>313.2</v>
      </c>
      <c r="AE45" s="31">
        <f t="shared" si="7"/>
        <v>34000</v>
      </c>
      <c r="AF45" s="31">
        <f>IF(AE45/(INDEX('Standards for Conversions'!$H$34:$H$73,MATCH(AD$3,'Standards for Conversions'!$A$34:$A$73,0)))=0,"",AE45/(INDEX('Standards for Conversions'!$H$34:$H$73,MATCH(AD$3,'Standards for Conversions'!$A$34:$A$73,0))))</f>
        <v>6550.8645100084004</v>
      </c>
      <c r="AG45" s="9"/>
      <c r="AH45" s="9"/>
      <c r="AI45" s="31" t="s">
        <v>128</v>
      </c>
      <c r="AJ45" s="9"/>
      <c r="AK45" s="9"/>
      <c r="AL45" s="31" t="s">
        <v>128</v>
      </c>
      <c r="AM45" s="9">
        <v>97.2</v>
      </c>
      <c r="AN45" s="9">
        <v>9000</v>
      </c>
      <c r="AO45" s="31">
        <v>1608.2859346484747</v>
      </c>
      <c r="AP45" s="9"/>
      <c r="AQ45" s="9"/>
      <c r="AR45" s="31" t="s">
        <v>128</v>
      </c>
      <c r="AS45" s="31">
        <f t="shared" si="8"/>
        <v>97.2</v>
      </c>
      <c r="AT45" s="31">
        <f t="shared" si="9"/>
        <v>9000</v>
      </c>
      <c r="AU45" s="31">
        <f>IF(AT45/(INDEX('Standards for Conversions'!$H$34:$H$73,MATCH(AS$3,'Standards for Conversions'!$A$34:$A$73,0)))=0,"",AT45/(INDEX('Standards for Conversions'!$H$34:$H$73,MATCH(AS$3,'Standards for Conversions'!$A$34:$A$73,0))))</f>
        <v>1608.2859346484747</v>
      </c>
      <c r="AV45" s="9"/>
      <c r="AW45" s="9"/>
      <c r="AX45" s="31" t="s">
        <v>128</v>
      </c>
      <c r="AY45" s="9"/>
      <c r="AZ45" s="9"/>
      <c r="BA45" s="31" t="s">
        <v>128</v>
      </c>
      <c r="BB45" s="9">
        <v>129.60000000000002</v>
      </c>
      <c r="BC45" s="9">
        <v>12000</v>
      </c>
      <c r="BD45" s="31">
        <v>2228.2255366298773</v>
      </c>
      <c r="BE45" s="9">
        <v>54</v>
      </c>
      <c r="BF45" s="9">
        <v>12000</v>
      </c>
      <c r="BG45" s="31">
        <v>2228.2255366298773</v>
      </c>
      <c r="BH45" s="31">
        <f t="shared" si="10"/>
        <v>183.60000000000002</v>
      </c>
      <c r="BI45" s="31">
        <f t="shared" si="11"/>
        <v>24000</v>
      </c>
      <c r="BJ45" s="31">
        <f>IF(BI45/(INDEX('Standards for Conversions'!$H$34:$H$73,MATCH(BH$3,'Standards for Conversions'!$A$34:$A$73,0)))=0,"",BI45/(INDEX('Standards for Conversions'!$H$34:$H$73,MATCH(BH$3,'Standards for Conversions'!$A$34:$A$73,0))))</f>
        <v>4456.4510732597546</v>
      </c>
      <c r="BK45" s="9"/>
      <c r="BL45" s="9"/>
      <c r="BM45" s="31" t="s">
        <v>128</v>
      </c>
      <c r="BN45" s="9"/>
      <c r="BO45" s="9"/>
      <c r="BP45" s="31" t="s">
        <v>128</v>
      </c>
      <c r="BQ45" s="9">
        <v>43.2</v>
      </c>
      <c r="BR45" s="9">
        <v>7000</v>
      </c>
      <c r="BS45" s="31">
        <v>1246.442772153182</v>
      </c>
      <c r="BT45" s="9">
        <v>113.4</v>
      </c>
      <c r="BU45" s="9">
        <v>13000</v>
      </c>
      <c r="BV45" s="31">
        <v>2314.8222911416237</v>
      </c>
      <c r="BW45" s="31">
        <f t="shared" si="12"/>
        <v>156.60000000000002</v>
      </c>
      <c r="BX45" s="31">
        <f t="shared" si="13"/>
        <v>20000</v>
      </c>
      <c r="BY45" s="31">
        <f>IF(BX45/(INDEX('Standards for Conversions'!$H$34:$H$73,MATCH(BW$3,'Standards for Conversions'!$A$34:$A$73,0)))=0,"",BX45/(INDEX('Standards for Conversions'!$H$34:$H$73,MATCH(BW$3,'Standards for Conversions'!$A$34:$A$73,0))))</f>
        <v>3561.2650632948053</v>
      </c>
      <c r="BZ45" s="9"/>
      <c r="CA45" s="9"/>
      <c r="CB45" s="31" t="s">
        <v>128</v>
      </c>
      <c r="CC45" s="9"/>
      <c r="CD45" s="9"/>
      <c r="CE45" s="31" t="s">
        <v>128</v>
      </c>
      <c r="CF45" s="9">
        <v>108</v>
      </c>
      <c r="CG45" s="9">
        <v>15000</v>
      </c>
      <c r="CH45" s="31">
        <v>2604.2544755366298</v>
      </c>
      <c r="CI45" s="9">
        <v>94.5</v>
      </c>
      <c r="CJ45" s="9">
        <v>12000</v>
      </c>
      <c r="CK45" s="31">
        <v>2083.4035804293039</v>
      </c>
      <c r="CL45" s="31">
        <f t="shared" si="14"/>
        <v>202.5</v>
      </c>
      <c r="CM45" s="31">
        <f t="shared" si="15"/>
        <v>27000</v>
      </c>
      <c r="CN45" s="31">
        <f>IF(CM45/(INDEX('Standards for Conversions'!$H$34:$H$73,MATCH(CL$3,'Standards for Conversions'!$A$34:$A$73,0)))=0,"",CM45/(INDEX('Standards for Conversions'!$H$34:$H$73,MATCH(CL$3,'Standards for Conversions'!$A$34:$A$73,0))))</f>
        <v>4687.6580559659333</v>
      </c>
      <c r="CO45" s="9"/>
      <c r="CP45" s="9"/>
      <c r="CQ45" s="31" t="s">
        <v>128</v>
      </c>
      <c r="CR45" s="9"/>
      <c r="CS45" s="9"/>
      <c r="CT45" s="31" t="s">
        <v>128</v>
      </c>
      <c r="CU45" s="9">
        <v>54</v>
      </c>
      <c r="CV45" s="9">
        <v>5000</v>
      </c>
      <c r="CW45" s="31">
        <v>885.02306567017183</v>
      </c>
      <c r="CX45" s="9">
        <v>56.7</v>
      </c>
      <c r="CY45" s="9">
        <v>9500</v>
      </c>
      <c r="CZ45" s="31">
        <v>1681.5438247733264</v>
      </c>
      <c r="DA45" s="31">
        <f t="shared" si="16"/>
        <v>110.7</v>
      </c>
      <c r="DB45" s="31">
        <f t="shared" si="17"/>
        <v>14500</v>
      </c>
      <c r="DC45" s="31">
        <f>IF(DB45/(INDEX('Standards for Conversions'!$H$34:$H$73,MATCH(DA$3,'Standards for Conversions'!$A$34:$A$73,0)))=0,"",DB45/(INDEX('Standards for Conversions'!$H$34:$H$73,MATCH(DA$3,'Standards for Conversions'!$A$34:$A$73,0))))</f>
        <v>2566.5668904434983</v>
      </c>
      <c r="DD45" s="9"/>
      <c r="DE45" s="9"/>
      <c r="DF45" s="31" t="s">
        <v>128</v>
      </c>
      <c r="DG45" s="9"/>
      <c r="DH45" s="9"/>
      <c r="DI45" s="31" t="s">
        <v>128</v>
      </c>
      <c r="DJ45" s="9">
        <v>54</v>
      </c>
      <c r="DK45" s="9">
        <v>10000</v>
      </c>
      <c r="DL45" s="31">
        <v>1750.9906107876366</v>
      </c>
      <c r="DM45" s="9">
        <v>157.5</v>
      </c>
      <c r="DN45" s="9">
        <v>30000</v>
      </c>
      <c r="DO45" s="31">
        <v>5252.9718323629095</v>
      </c>
      <c r="DP45" s="31">
        <f t="shared" si="18"/>
        <v>211.5</v>
      </c>
      <c r="DQ45" s="31">
        <f t="shared" si="19"/>
        <v>40000</v>
      </c>
      <c r="DR45" s="31">
        <f>IF(DQ45/(INDEX('Standards for Conversions'!$H$34:$H$73,MATCH(DP$3,'Standards for Conversions'!$A$34:$A$73,0)))=0,"",DQ45/(INDEX('Standards for Conversions'!$H$34:$H$73,MATCH(DP$3,'Standards for Conversions'!$A$34:$A$73,0))))</f>
        <v>7003.9624431505463</v>
      </c>
      <c r="DS45" s="9"/>
      <c r="DT45" s="9"/>
      <c r="DU45" s="31" t="s">
        <v>128</v>
      </c>
      <c r="DV45" s="9"/>
      <c r="DW45" s="9"/>
      <c r="DX45" s="31" t="s">
        <v>128</v>
      </c>
      <c r="DY45" s="9">
        <v>84.240000000000009</v>
      </c>
      <c r="DZ45" s="9">
        <v>15140</v>
      </c>
      <c r="EA45" s="31">
        <v>2647.794222719504</v>
      </c>
      <c r="EB45" s="9">
        <v>131.04</v>
      </c>
      <c r="EC45" s="9">
        <v>19300</v>
      </c>
      <c r="ED45" s="31">
        <v>3375.3255283016133</v>
      </c>
      <c r="EE45" s="31">
        <f t="shared" si="20"/>
        <v>215.28</v>
      </c>
      <c r="EF45" s="31">
        <f t="shared" si="21"/>
        <v>34440</v>
      </c>
      <c r="EG45" s="31">
        <f>IF(EF45/(INDEX('Standards for Conversions'!$H$34:$H$73,MATCH(EE$3,'Standards for Conversions'!$A$34:$A$73,0)))=0,"",EF45/(INDEX('Standards for Conversions'!$H$34:$H$73,MATCH(EE$3,'Standards for Conversions'!$A$34:$A$73,0))))</f>
        <v>6023.1197510211168</v>
      </c>
      <c r="EH45" s="9"/>
      <c r="EI45" s="9"/>
      <c r="EJ45" s="31" t="s">
        <v>128</v>
      </c>
      <c r="EK45" s="9"/>
      <c r="EL45" s="9"/>
      <c r="EM45" s="31" t="s">
        <v>128</v>
      </c>
      <c r="EN45" s="9">
        <v>90.72</v>
      </c>
      <c r="EO45" s="9">
        <v>15360</v>
      </c>
      <c r="EP45" s="31">
        <v>2630.983019031893</v>
      </c>
      <c r="EQ45" s="10">
        <v>51.660000000000004</v>
      </c>
      <c r="ER45" s="10">
        <v>9880</v>
      </c>
      <c r="ES45" s="31">
        <v>1692.3250148460354</v>
      </c>
      <c r="ET45" s="31">
        <f t="shared" si="22"/>
        <v>142.38</v>
      </c>
      <c r="EU45" s="31">
        <f t="shared" si="23"/>
        <v>25240</v>
      </c>
      <c r="EV45" s="31">
        <f>IF(EU45/(INDEX('Standards for Conversions'!$H$34:$H$73,MATCH(ET$3,'Standards for Conversions'!$A$34:$A$73,0)))=0,"",EU45/(INDEX('Standards for Conversions'!$H$34:$H$73,MATCH(ET$3,'Standards for Conversions'!$A$34:$A$73,0))))</f>
        <v>4323.3080338779291</v>
      </c>
      <c r="EW45" s="9"/>
      <c r="EX45" s="9"/>
      <c r="EY45" s="31" t="s">
        <v>128</v>
      </c>
      <c r="EZ45" s="9"/>
      <c r="FA45" s="9"/>
      <c r="FB45" s="31" t="s">
        <v>128</v>
      </c>
      <c r="FC45" s="9">
        <v>100.8</v>
      </c>
      <c r="FD45" s="9">
        <v>16000</v>
      </c>
      <c r="FE45" s="31">
        <v>2743.9949595898142</v>
      </c>
      <c r="FF45" s="10">
        <v>31.5</v>
      </c>
      <c r="FG45" s="10">
        <v>6000</v>
      </c>
      <c r="FH45" s="31">
        <v>1028.9981098461803</v>
      </c>
      <c r="FI45" s="31">
        <f t="shared" si="24"/>
        <v>132.30000000000001</v>
      </c>
      <c r="FJ45" s="31">
        <f t="shared" si="25"/>
        <v>22000</v>
      </c>
      <c r="FK45" s="31">
        <f>IF(FJ45/(INDEX('Standards for Conversions'!$H$34:$H$73,MATCH(FI$3,'Standards for Conversions'!$A$34:$A$73,0)))=0,"",FJ45/(INDEX('Standards for Conversions'!$H$34:$H$73,MATCH(FI$3,'Standards for Conversions'!$A$34:$A$73,0))))</f>
        <v>3772.993069435995</v>
      </c>
      <c r="FL45" s="9"/>
      <c r="FM45" s="9"/>
      <c r="FN45" s="31" t="s">
        <v>128</v>
      </c>
      <c r="FO45" s="9"/>
      <c r="FP45" s="9"/>
      <c r="FQ45" s="31" t="s">
        <v>128</v>
      </c>
      <c r="FR45" s="9">
        <v>37.799999999999997</v>
      </c>
      <c r="FS45" s="9">
        <v>7000</v>
      </c>
      <c r="FT45" s="31">
        <v>1151.5886254019292</v>
      </c>
      <c r="FU45" s="9">
        <v>31.5</v>
      </c>
      <c r="FV45" s="9">
        <v>5800</v>
      </c>
      <c r="FW45" s="31">
        <v>954.17343247588417</v>
      </c>
      <c r="FX45" s="31">
        <f t="shared" si="26"/>
        <v>69.3</v>
      </c>
      <c r="FY45" s="31">
        <f t="shared" si="27"/>
        <v>12800</v>
      </c>
      <c r="FZ45" s="31">
        <f>IF(FY45/(INDEX('Standards for Conversions'!$H$34:$H$73,MATCH(FX$3,'Standards for Conversions'!$A$34:$A$73,0)))=0,"",FY45/(INDEX('Standards for Conversions'!$H$34:$H$73,MATCH(FX$3,'Standards for Conversions'!$A$34:$A$73,0))))</f>
        <v>2105.7620578778133</v>
      </c>
      <c r="GA45" s="9"/>
      <c r="GB45" s="9"/>
      <c r="GC45" s="31" t="s">
        <v>128</v>
      </c>
      <c r="GD45" s="9"/>
      <c r="GE45" s="9"/>
      <c r="GF45" s="31" t="s">
        <v>128</v>
      </c>
      <c r="GG45" s="9">
        <v>30.240000000000002</v>
      </c>
      <c r="GH45" s="9">
        <v>5500</v>
      </c>
      <c r="GI45" s="31">
        <v>845.4299285217694</v>
      </c>
      <c r="GJ45" s="9">
        <v>21.42</v>
      </c>
      <c r="GK45" s="9">
        <v>4600</v>
      </c>
      <c r="GL45" s="31">
        <v>707.08684930911625</v>
      </c>
      <c r="GM45" s="31">
        <f t="shared" si="28"/>
        <v>51.660000000000004</v>
      </c>
      <c r="GN45" s="31">
        <f t="shared" si="29"/>
        <v>10100</v>
      </c>
      <c r="GO45" s="31">
        <f>IF(GN45/(INDEX('Standards for Conversions'!$H$34:$H$73,MATCH(GM$3,'Standards for Conversions'!$A$34:$A$73,0)))=0,"",GN45/(INDEX('Standards for Conversions'!$H$34:$H$73,MATCH(GM$3,'Standards for Conversions'!$A$34:$A$73,0))))</f>
        <v>1552.5167778308855</v>
      </c>
      <c r="GP45" s="9"/>
      <c r="GQ45" s="9"/>
      <c r="GR45" s="31" t="s">
        <v>128</v>
      </c>
      <c r="GS45" s="9"/>
      <c r="GT45" s="9"/>
      <c r="GU45" s="31" t="s">
        <v>128</v>
      </c>
      <c r="GV45" s="9">
        <v>31.5</v>
      </c>
      <c r="GW45" s="9">
        <v>6000</v>
      </c>
      <c r="GX45" s="31">
        <v>908.31314634570242</v>
      </c>
      <c r="GY45" s="9">
        <v>18.899999999999999</v>
      </c>
      <c r="GZ45" s="9">
        <v>4500</v>
      </c>
      <c r="HA45" s="31">
        <v>681.23485975927679</v>
      </c>
      <c r="HB45" s="31">
        <f t="shared" si="91"/>
        <v>50.4</v>
      </c>
      <c r="HC45" s="31">
        <f t="shared" si="91"/>
        <v>10500</v>
      </c>
      <c r="HD45" s="31">
        <f>IF(HC45/(INDEX('Standards for Conversions'!$H$34:$H$73,MATCH(HB$3,'Standards for Conversions'!$A$34:$A$73,0)))=0,"",HC45/(INDEX('Standards for Conversions'!$H$34:$H$73,MATCH(HB$3,'Standards for Conversions'!$A$34:$A$73,0))))</f>
        <v>1589.5480061049793</v>
      </c>
      <c r="HE45" s="112"/>
      <c r="HF45" s="31"/>
      <c r="HG45" s="31"/>
      <c r="HH45" s="31"/>
      <c r="HI45" s="31"/>
      <c r="HJ45" s="31"/>
      <c r="HK45" s="31"/>
      <c r="HL45" s="33">
        <f>1.26*30</f>
        <v>37.799999999999997</v>
      </c>
      <c r="HM45" s="33">
        <v>7000</v>
      </c>
      <c r="HN45" s="31">
        <f>IF(HM45/(INDEX('Standards for Conversions'!$H$47:$H$73,MATCH(HL$3,'Standards for Conversions'!$A$47:$A$73,0)))=0,"",HM45/(INDEX('Standards for Conversions'!$H$47:$H$73,MATCH(HL$3,'Standards for Conversions'!$A$47:$A$73,0))))</f>
        <v>1016.7178854899917</v>
      </c>
      <c r="HO45" s="31"/>
      <c r="HP45" s="31"/>
      <c r="HQ45" s="31"/>
      <c r="HR45" s="31">
        <f>HF45+HI45+HL45+HO45</f>
        <v>37.799999999999997</v>
      </c>
      <c r="HS45" s="31">
        <f>HG45+HJ45+HM45+HP45</f>
        <v>7000</v>
      </c>
      <c r="HT45" s="31">
        <f>IF(HS45/(INDEX('Standards for Conversions'!$H$47:$H$73,MATCH(HR$3,'Standards for Conversions'!$A$47:$A$73,0)))=0,"",HS45/(INDEX('Standards for Conversions'!$H$47:$H$73,MATCH(HR$3,'Standards for Conversions'!$A$47:$A$73,0))))</f>
        <v>1016.7178854899917</v>
      </c>
      <c r="HU45" s="31"/>
      <c r="HV45" s="31"/>
      <c r="HW45" s="31"/>
      <c r="HX45" s="31"/>
      <c r="HY45" s="31"/>
      <c r="HZ45" s="31"/>
      <c r="IA45" s="33">
        <f>1.26*2</f>
        <v>2.52</v>
      </c>
      <c r="IB45" s="33">
        <v>800</v>
      </c>
      <c r="IC45" s="31">
        <f>IF(IB45/(INDEX('Standards for Conversions'!$H$47:$H$73,MATCH(IA$3,'Standards for Conversions'!$A$47:$A$73,0)))=0,"",IB45/(INDEX('Standards for Conversions'!$H$47:$H$73,MATCH(IA$3,'Standards for Conversions'!$A$47:$A$73,0))))</f>
        <v>115.68818255554589</v>
      </c>
      <c r="ID45" s="31"/>
      <c r="IE45" s="31"/>
      <c r="IF45" s="31"/>
      <c r="IG45" s="31">
        <f t="shared" si="92"/>
        <v>2.52</v>
      </c>
      <c r="IH45" s="31">
        <f t="shared" si="93"/>
        <v>800</v>
      </c>
      <c r="II45" s="31">
        <f>IF(IH45/(INDEX('Standards for Conversions'!$H$47:$H$73,MATCH(IG$3,'Standards for Conversions'!$A$47:$A$73,0)))=0,"",IH45/(INDEX('Standards for Conversions'!$H$47:$H$73,MATCH(IG$3,'Standards for Conversions'!$A$47:$A$73,0))))</f>
        <v>115.68818255554589</v>
      </c>
      <c r="IJ45" s="31"/>
      <c r="IK45" s="31"/>
      <c r="IL45" s="31"/>
      <c r="IM45" s="31"/>
      <c r="IN45" s="31"/>
      <c r="IO45" s="31"/>
      <c r="IP45" s="33">
        <f>1.26*25</f>
        <v>31.5</v>
      </c>
      <c r="IQ45" s="33">
        <v>11300</v>
      </c>
      <c r="IR45" s="31">
        <f>IF(IQ45/(INDEX('Standards for Conversions'!$H$47:$H$73,MATCH(IP$3,'Standards for Conversions'!$A$47:$A$73,0)))=0,"",IQ45/(INDEX('Standards for Conversions'!$H$47:$H$73,MATCH(IP$3,'Standards for Conversions'!$A$47:$A$73,0))))</f>
        <v>1827.8902226181162</v>
      </c>
      <c r="IS45" s="31"/>
      <c r="IT45" s="31"/>
      <c r="IU45" s="31"/>
      <c r="IV45" s="31">
        <f t="shared" si="94"/>
        <v>31.5</v>
      </c>
      <c r="IW45" s="31">
        <f t="shared" si="95"/>
        <v>11300</v>
      </c>
      <c r="IX45" s="31">
        <f>IF(IW45/(INDEX('Standards for Conversions'!$H$47:$H$73,MATCH(IV$3,'Standards for Conversions'!$A$47:$A$73,0)))=0,"",IW45/(INDEX('Standards for Conversions'!$H$47:$H$73,MATCH(IV$3,'Standards for Conversions'!$A$47:$A$73,0))))</f>
        <v>1827.8902226181162</v>
      </c>
      <c r="IY45" s="31"/>
      <c r="IZ45" s="31"/>
      <c r="JA45" s="31"/>
      <c r="JB45" s="31"/>
      <c r="JC45" s="31"/>
      <c r="JD45" s="31"/>
      <c r="JE45" s="33">
        <f>1.26*20</f>
        <v>25.2</v>
      </c>
      <c r="JF45" s="33">
        <v>9000</v>
      </c>
      <c r="JG45" s="31">
        <f>IF(JF45/(INDEX('Standards for Conversions'!$H$47:$H$73,MATCH(JE$3,'Standards for Conversions'!$A$47:$A$73,0)))=0,"",JF45/(INDEX('Standards for Conversions'!$H$47:$H$73,MATCH(JE$3,'Standards for Conversions'!$A$47:$A$73,0))))</f>
        <v>1373.903031850178</v>
      </c>
      <c r="JH45" s="31"/>
      <c r="JI45" s="31"/>
      <c r="JJ45" s="31"/>
      <c r="JK45" s="31">
        <f t="shared" si="96"/>
        <v>25.2</v>
      </c>
      <c r="JL45" s="31">
        <f t="shared" si="97"/>
        <v>9000</v>
      </c>
      <c r="JM45" s="31">
        <f>IF(JL45/(INDEX('Standards for Conversions'!$H$47:$H$73,MATCH(JK$3,'Standards for Conversions'!$A$47:$A$73,0)))=0,"",JL45/(INDEX('Standards for Conversions'!$H$47:$H$73,MATCH(JK$3,'Standards for Conversions'!$A$47:$A$73,0))))</f>
        <v>1373.903031850178</v>
      </c>
      <c r="JN45" s="31"/>
      <c r="JO45" s="31"/>
      <c r="JP45" s="31"/>
      <c r="JQ45" s="31"/>
      <c r="JR45" s="31"/>
      <c r="JS45" s="31"/>
      <c r="JT45" s="33">
        <f>1.26*24</f>
        <v>30.240000000000002</v>
      </c>
      <c r="JU45" s="33">
        <v>11000</v>
      </c>
      <c r="JV45" s="31">
        <f>IF(JU45/(INDEX('Standards for Conversions'!$H$47:$H$73,MATCH(JT$3,'Standards for Conversions'!$A$47:$A$73,0)))=0,"",JU45/(INDEX('Standards for Conversions'!$H$47:$H$73,MATCH(JT$3,'Standards for Conversions'!$A$47:$A$73,0))))</f>
        <v>1481.249130963761</v>
      </c>
      <c r="JW45" s="31"/>
      <c r="JX45" s="31"/>
      <c r="JY45" s="31"/>
      <c r="JZ45" s="31">
        <f t="shared" si="98"/>
        <v>30.240000000000002</v>
      </c>
      <c r="KA45" s="31">
        <f t="shared" si="99"/>
        <v>11000</v>
      </c>
      <c r="KB45" s="31">
        <f>IF(KA45/(INDEX('Standards for Conversions'!$H$47:$H$73,MATCH(JZ$3,'Standards for Conversions'!$A$47:$A$73,0)))=0,"",KA45/(INDEX('Standards for Conversions'!$H$47:$H$73,MATCH(JZ$3,'Standards for Conversions'!$A$47:$A$73,0))))</f>
        <v>1481.249130963761</v>
      </c>
      <c r="KC45" s="31"/>
      <c r="KD45" s="31"/>
      <c r="KE45" s="31"/>
      <c r="KF45" s="31"/>
      <c r="KG45" s="31"/>
      <c r="KH45" s="31"/>
      <c r="KI45" s="33">
        <f>1.26*38</f>
        <v>47.88</v>
      </c>
      <c r="KJ45" s="33">
        <v>13800</v>
      </c>
      <c r="KK45" s="31">
        <f>IF(KJ45/(INDEX('Standards for Conversions'!$H$47:$H$73,MATCH(KI$3,'Standards for Conversions'!$A$47:$A$73,0)))=0,"",KJ45/(INDEX('Standards for Conversions'!$H$47:$H$73,MATCH(KI$3,'Standards for Conversions'!$A$47:$A$73,0))))</f>
        <v>1678.3086208394886</v>
      </c>
      <c r="KL45" s="31"/>
      <c r="KM45" s="31"/>
      <c r="KN45" s="31"/>
      <c r="KO45" s="31">
        <f t="shared" si="100"/>
        <v>47.88</v>
      </c>
      <c r="KP45" s="31">
        <f t="shared" si="101"/>
        <v>13800</v>
      </c>
      <c r="KQ45" s="31">
        <f>IF(KP45/(INDEX('Standards for Conversions'!$H$47:$H$73,MATCH(KO$3,'Standards for Conversions'!$A$47:$A$73,0)))=0,"",KP45/(INDEX('Standards for Conversions'!$H$47:$H$73,MATCH(KO$3,'Standards for Conversions'!$A$47:$A$73,0))))</f>
        <v>1678.3086208394886</v>
      </c>
      <c r="KR45" s="31"/>
      <c r="KS45" s="31"/>
      <c r="KT45" s="31"/>
      <c r="KU45" s="31"/>
      <c r="KV45" s="31"/>
      <c r="KW45" s="31"/>
      <c r="KX45" s="31"/>
      <c r="KY45" s="31"/>
      <c r="KZ45" s="31"/>
      <c r="LA45" s="31"/>
      <c r="LB45" s="31"/>
      <c r="LC45" s="31"/>
      <c r="LD45" s="31"/>
      <c r="LE45" s="31"/>
      <c r="LF45" s="31"/>
      <c r="LG45" s="31"/>
      <c r="LH45" s="31"/>
      <c r="LI45" s="31"/>
      <c r="LJ45" s="31"/>
      <c r="LK45" s="31"/>
      <c r="LL45" s="31"/>
      <c r="LM45" s="31"/>
      <c r="LN45" s="31"/>
      <c r="LO45" s="31"/>
      <c r="LP45" s="31"/>
      <c r="LQ45" s="31"/>
      <c r="LR45" s="31"/>
      <c r="LS45" s="31"/>
      <c r="LT45" s="31"/>
      <c r="LU45" s="31"/>
      <c r="LV45" s="31"/>
      <c r="LW45" s="31"/>
      <c r="LX45" s="31"/>
      <c r="LY45" s="31"/>
      <c r="LZ45" s="31"/>
      <c r="MA45" s="31"/>
      <c r="MB45" s="31"/>
      <c r="MC45" s="31"/>
      <c r="MD45" s="31"/>
      <c r="ME45" s="31"/>
      <c r="MF45" s="31"/>
      <c r="MG45" s="31"/>
      <c r="MH45" s="31"/>
      <c r="MI45" s="31"/>
      <c r="MJ45" s="31"/>
      <c r="MK45" s="31"/>
      <c r="ML45" s="31"/>
      <c r="MM45" s="31"/>
      <c r="MN45" s="31"/>
    </row>
    <row r="46" spans="1:352" ht="14.4" customHeight="1" x14ac:dyDescent="0.3">
      <c r="A46" s="102" t="s">
        <v>362</v>
      </c>
      <c r="B46" s="10" t="s">
        <v>7</v>
      </c>
      <c r="C46" s="9"/>
      <c r="D46" s="9"/>
      <c r="E46" s="31" t="s">
        <v>128</v>
      </c>
      <c r="F46" s="9"/>
      <c r="G46" s="9"/>
      <c r="H46" s="31" t="s">
        <v>128</v>
      </c>
      <c r="I46" s="9"/>
      <c r="J46" s="9"/>
      <c r="K46" s="31" t="s">
        <v>128</v>
      </c>
      <c r="L46" s="9"/>
      <c r="M46" s="9"/>
      <c r="N46" s="31" t="s">
        <v>128</v>
      </c>
      <c r="O46" s="31">
        <f t="shared" si="4"/>
        <v>0</v>
      </c>
      <c r="P46" s="31">
        <f t="shared" si="5"/>
        <v>0</v>
      </c>
      <c r="Q46" s="31" t="str">
        <f>IF(P46/(INDEX('Standards for Conversions'!$H$34:$H$73,MATCH(O$3,'Standards for Conversions'!$A$34:$A$73,0)))=0,"",P46/(INDEX('Standards for Conversions'!$H$34:$H$73,MATCH(O$3,'Standards for Conversions'!$A$34:$A$73,0))))</f>
        <v/>
      </c>
      <c r="R46" s="9"/>
      <c r="S46" s="9"/>
      <c r="T46" s="31" t="s">
        <v>128</v>
      </c>
      <c r="U46" s="9"/>
      <c r="V46" s="9"/>
      <c r="W46" s="31" t="s">
        <v>128</v>
      </c>
      <c r="X46" s="9"/>
      <c r="Y46" s="9"/>
      <c r="Z46" s="31" t="s">
        <v>128</v>
      </c>
      <c r="AA46" s="9"/>
      <c r="AB46" s="9"/>
      <c r="AC46" s="31" t="s">
        <v>128</v>
      </c>
      <c r="AD46" s="31">
        <f t="shared" si="6"/>
        <v>0</v>
      </c>
      <c r="AE46" s="31">
        <f t="shared" si="7"/>
        <v>0</v>
      </c>
      <c r="AF46" s="31" t="str">
        <f>IF(AE46/(INDEX('Standards for Conversions'!$H$34:$H$73,MATCH(AD$3,'Standards for Conversions'!$A$34:$A$73,0)))=0,"",AE46/(INDEX('Standards for Conversions'!$H$34:$H$73,MATCH(AD$3,'Standards for Conversions'!$A$34:$A$73,0))))</f>
        <v/>
      </c>
      <c r="AG46" s="9"/>
      <c r="AH46" s="9"/>
      <c r="AI46" s="31" t="s">
        <v>128</v>
      </c>
      <c r="AJ46" s="9"/>
      <c r="AK46" s="9"/>
      <c r="AL46" s="31" t="s">
        <v>128</v>
      </c>
      <c r="AM46" s="9"/>
      <c r="AN46" s="9"/>
      <c r="AO46" s="31" t="s">
        <v>128</v>
      </c>
      <c r="AP46" s="9"/>
      <c r="AQ46" s="9"/>
      <c r="AR46" s="31" t="s">
        <v>128</v>
      </c>
      <c r="AS46" s="31">
        <f t="shared" si="8"/>
        <v>0</v>
      </c>
      <c r="AT46" s="31">
        <f t="shared" si="9"/>
        <v>0</v>
      </c>
      <c r="AU46" s="31" t="str">
        <f>IF(AT46/(INDEX('Standards for Conversions'!$H$34:$H$73,MATCH(AS$3,'Standards for Conversions'!$A$34:$A$73,0)))=0,"",AT46/(INDEX('Standards for Conversions'!$H$34:$H$73,MATCH(AS$3,'Standards for Conversions'!$A$34:$A$73,0))))</f>
        <v/>
      </c>
      <c r="AV46" s="9"/>
      <c r="AW46" s="9"/>
      <c r="AX46" s="31" t="s">
        <v>128</v>
      </c>
      <c r="AY46" s="9"/>
      <c r="AZ46" s="9"/>
      <c r="BA46" s="31" t="s">
        <v>128</v>
      </c>
      <c r="BB46" s="9"/>
      <c r="BC46" s="9"/>
      <c r="BD46" s="31" t="s">
        <v>128</v>
      </c>
      <c r="BE46" s="9"/>
      <c r="BF46" s="9"/>
      <c r="BG46" s="31" t="s">
        <v>128</v>
      </c>
      <c r="BH46" s="31">
        <f t="shared" si="10"/>
        <v>0</v>
      </c>
      <c r="BI46" s="31">
        <f t="shared" si="11"/>
        <v>0</v>
      </c>
      <c r="BJ46" s="31" t="str">
        <f>IF(BI46/(INDEX('Standards for Conversions'!$H$34:$H$73,MATCH(BH$3,'Standards for Conversions'!$A$34:$A$73,0)))=0,"",BI46/(INDEX('Standards for Conversions'!$H$34:$H$73,MATCH(BH$3,'Standards for Conversions'!$A$34:$A$73,0))))</f>
        <v/>
      </c>
      <c r="BK46" s="9"/>
      <c r="BL46" s="9"/>
      <c r="BM46" s="31" t="s">
        <v>128</v>
      </c>
      <c r="BN46" s="9"/>
      <c r="BO46" s="9"/>
      <c r="BP46" s="31" t="s">
        <v>128</v>
      </c>
      <c r="BQ46" s="9"/>
      <c r="BR46" s="9"/>
      <c r="BS46" s="31" t="s">
        <v>128</v>
      </c>
      <c r="BT46" s="9"/>
      <c r="BU46" s="9"/>
      <c r="BV46" s="31" t="s">
        <v>128</v>
      </c>
      <c r="BW46" s="31">
        <f t="shared" si="12"/>
        <v>0</v>
      </c>
      <c r="BX46" s="31">
        <f t="shared" si="13"/>
        <v>0</v>
      </c>
      <c r="BY46" s="31" t="str">
        <f>IF(BX46/(INDEX('Standards for Conversions'!$H$34:$H$73,MATCH(BW$3,'Standards for Conversions'!$A$34:$A$73,0)))=0,"",BX46/(INDEX('Standards for Conversions'!$H$34:$H$73,MATCH(BW$3,'Standards for Conversions'!$A$34:$A$73,0))))</f>
        <v/>
      </c>
      <c r="BZ46" s="9"/>
      <c r="CA46" s="9"/>
      <c r="CB46" s="31" t="s">
        <v>128</v>
      </c>
      <c r="CC46" s="9"/>
      <c r="CD46" s="9"/>
      <c r="CE46" s="31" t="s">
        <v>128</v>
      </c>
      <c r="CF46" s="9"/>
      <c r="CG46" s="9"/>
      <c r="CH46" s="31" t="s">
        <v>128</v>
      </c>
      <c r="CI46" s="9"/>
      <c r="CJ46" s="9"/>
      <c r="CK46" s="31" t="s">
        <v>128</v>
      </c>
      <c r="CL46" s="31">
        <f t="shared" si="14"/>
        <v>0</v>
      </c>
      <c r="CM46" s="31">
        <f t="shared" si="15"/>
        <v>0</v>
      </c>
      <c r="CN46" s="31" t="str">
        <f>IF(CM46/(INDEX('Standards for Conversions'!$H$34:$H$73,MATCH(CL$3,'Standards for Conversions'!$A$34:$A$73,0)))=0,"",CM46/(INDEX('Standards for Conversions'!$H$34:$H$73,MATCH(CL$3,'Standards for Conversions'!$A$34:$A$73,0))))</f>
        <v/>
      </c>
      <c r="CO46" s="9"/>
      <c r="CP46" s="9"/>
      <c r="CQ46" s="31" t="s">
        <v>128</v>
      </c>
      <c r="CR46" s="9"/>
      <c r="CS46" s="9"/>
      <c r="CT46" s="31" t="s">
        <v>128</v>
      </c>
      <c r="CU46" s="9"/>
      <c r="CV46" s="9"/>
      <c r="CW46" s="31" t="s">
        <v>128</v>
      </c>
      <c r="CX46" s="9"/>
      <c r="CY46" s="9"/>
      <c r="CZ46" s="31" t="s">
        <v>128</v>
      </c>
      <c r="DA46" s="31">
        <f t="shared" si="16"/>
        <v>0</v>
      </c>
      <c r="DB46" s="31">
        <f t="shared" si="17"/>
        <v>0</v>
      </c>
      <c r="DC46" s="31" t="str">
        <f>IF(DB46/(INDEX('Standards for Conversions'!$H$34:$H$73,MATCH(DA$3,'Standards for Conversions'!$A$34:$A$73,0)))=0,"",DB46/(INDEX('Standards for Conversions'!$H$34:$H$73,MATCH(DA$3,'Standards for Conversions'!$A$34:$A$73,0))))</f>
        <v/>
      </c>
      <c r="DD46" s="9"/>
      <c r="DE46" s="9"/>
      <c r="DF46" s="31" t="s">
        <v>128</v>
      </c>
      <c r="DG46" s="9"/>
      <c r="DH46" s="9"/>
      <c r="DI46" s="31" t="s">
        <v>128</v>
      </c>
      <c r="DJ46" s="9"/>
      <c r="DK46" s="9"/>
      <c r="DL46" s="31" t="s">
        <v>128</v>
      </c>
      <c r="DM46" s="9"/>
      <c r="DN46" s="9"/>
      <c r="DO46" s="31" t="s">
        <v>128</v>
      </c>
      <c r="DP46" s="31">
        <f t="shared" si="18"/>
        <v>0</v>
      </c>
      <c r="DQ46" s="31">
        <f t="shared" si="19"/>
        <v>0</v>
      </c>
      <c r="DR46" s="31" t="str">
        <f>IF(DQ46/(INDEX('Standards for Conversions'!$H$34:$H$73,MATCH(DP$3,'Standards for Conversions'!$A$34:$A$73,0)))=0,"",DQ46/(INDEX('Standards for Conversions'!$H$34:$H$73,MATCH(DP$3,'Standards for Conversions'!$A$34:$A$73,0))))</f>
        <v/>
      </c>
      <c r="DS46" s="9"/>
      <c r="DT46" s="9"/>
      <c r="DU46" s="31" t="s">
        <v>128</v>
      </c>
      <c r="DV46" s="9"/>
      <c r="DW46" s="9"/>
      <c r="DX46" s="31" t="s">
        <v>128</v>
      </c>
      <c r="DY46" s="9"/>
      <c r="DZ46" s="9"/>
      <c r="EA46" s="31" t="s">
        <v>128</v>
      </c>
      <c r="EB46" s="9"/>
      <c r="EC46" s="9"/>
      <c r="ED46" s="31" t="s">
        <v>128</v>
      </c>
      <c r="EE46" s="31">
        <f t="shared" si="20"/>
        <v>0</v>
      </c>
      <c r="EF46" s="31">
        <f t="shared" si="21"/>
        <v>0</v>
      </c>
      <c r="EG46" s="31" t="str">
        <f>IF(EF46/(INDEX('Standards for Conversions'!$H$34:$H$73,MATCH(EE$3,'Standards for Conversions'!$A$34:$A$73,0)))=0,"",EF46/(INDEX('Standards for Conversions'!$H$34:$H$73,MATCH(EE$3,'Standards for Conversions'!$A$34:$A$73,0))))</f>
        <v/>
      </c>
      <c r="EH46" s="9"/>
      <c r="EI46" s="9"/>
      <c r="EJ46" s="31" t="s">
        <v>128</v>
      </c>
      <c r="EK46" s="9"/>
      <c r="EL46" s="9"/>
      <c r="EM46" s="31" t="s">
        <v>128</v>
      </c>
      <c r="EN46" s="9"/>
      <c r="EO46" s="9"/>
      <c r="EP46" s="31" t="s">
        <v>128</v>
      </c>
      <c r="EQ46" s="9"/>
      <c r="ER46" s="9"/>
      <c r="ES46" s="31" t="s">
        <v>128</v>
      </c>
      <c r="ET46" s="31">
        <f t="shared" si="22"/>
        <v>0</v>
      </c>
      <c r="EU46" s="31">
        <f t="shared" si="23"/>
        <v>0</v>
      </c>
      <c r="EV46" s="31" t="str">
        <f>IF(EU46/(INDEX('Standards for Conversions'!$H$34:$H$73,MATCH(ET$3,'Standards for Conversions'!$A$34:$A$73,0)))=0,"",EU46/(INDEX('Standards for Conversions'!$H$34:$H$73,MATCH(ET$3,'Standards for Conversions'!$A$34:$A$73,0))))</f>
        <v/>
      </c>
      <c r="EW46" s="9"/>
      <c r="EX46" s="9"/>
      <c r="EY46" s="31" t="s">
        <v>128</v>
      </c>
      <c r="EZ46" s="9"/>
      <c r="FA46" s="9"/>
      <c r="FB46" s="31" t="s">
        <v>128</v>
      </c>
      <c r="FC46" s="9"/>
      <c r="FD46" s="9"/>
      <c r="FE46" s="31" t="s">
        <v>128</v>
      </c>
      <c r="FF46" s="9"/>
      <c r="FG46" s="9"/>
      <c r="FH46" s="31" t="s">
        <v>128</v>
      </c>
      <c r="FI46" s="31">
        <f t="shared" si="24"/>
        <v>0</v>
      </c>
      <c r="FJ46" s="31">
        <f t="shared" si="25"/>
        <v>0</v>
      </c>
      <c r="FK46" s="31" t="str">
        <f>IF(FJ46/(INDEX('Standards for Conversions'!$H$34:$H$73,MATCH(FI$3,'Standards for Conversions'!$A$34:$A$73,0)))=0,"",FJ46/(INDEX('Standards for Conversions'!$H$34:$H$73,MATCH(FI$3,'Standards for Conversions'!$A$34:$A$73,0))))</f>
        <v/>
      </c>
      <c r="FL46" s="9"/>
      <c r="FM46" s="9"/>
      <c r="FN46" s="31" t="s">
        <v>128</v>
      </c>
      <c r="FO46" s="9"/>
      <c r="FP46" s="9"/>
      <c r="FQ46" s="31" t="s">
        <v>128</v>
      </c>
      <c r="FR46" s="9"/>
      <c r="FS46" s="9"/>
      <c r="FT46" s="31" t="s">
        <v>128</v>
      </c>
      <c r="FU46" s="9"/>
      <c r="FV46" s="9"/>
      <c r="FW46" s="31" t="s">
        <v>128</v>
      </c>
      <c r="FX46" s="31">
        <f t="shared" si="26"/>
        <v>0</v>
      </c>
      <c r="FY46" s="31">
        <f t="shared" si="27"/>
        <v>0</v>
      </c>
      <c r="FZ46" s="31" t="str">
        <f>IF(FY46/(INDEX('Standards for Conversions'!$H$34:$H$73,MATCH(FX$3,'Standards for Conversions'!$A$34:$A$73,0)))=0,"",FY46/(INDEX('Standards for Conversions'!$H$34:$H$73,MATCH(FX$3,'Standards for Conversions'!$A$34:$A$73,0))))</f>
        <v/>
      </c>
      <c r="GA46" s="9"/>
      <c r="GB46" s="9"/>
      <c r="GC46" s="31" t="s">
        <v>128</v>
      </c>
      <c r="GD46" s="9"/>
      <c r="GE46" s="9"/>
      <c r="GF46" s="31" t="s">
        <v>128</v>
      </c>
      <c r="GG46" s="9"/>
      <c r="GH46" s="9"/>
      <c r="GI46" s="31" t="s">
        <v>128</v>
      </c>
      <c r="GJ46" s="9"/>
      <c r="GK46" s="9"/>
      <c r="GL46" s="31" t="s">
        <v>128</v>
      </c>
      <c r="GM46" s="31">
        <f t="shared" si="28"/>
        <v>0</v>
      </c>
      <c r="GN46" s="31">
        <f t="shared" si="29"/>
        <v>0</v>
      </c>
      <c r="GO46" s="31" t="str">
        <f>IF(GN46/(INDEX('Standards for Conversions'!$H$34:$H$73,MATCH(GM$3,'Standards for Conversions'!$A$34:$A$73,0)))=0,"",GN46/(INDEX('Standards for Conversions'!$H$34:$H$73,MATCH(GM$3,'Standards for Conversions'!$A$34:$A$73,0))))</f>
        <v/>
      </c>
      <c r="GP46" s="9"/>
      <c r="GQ46" s="9"/>
      <c r="GR46" s="31" t="s">
        <v>128</v>
      </c>
      <c r="GS46" s="9"/>
      <c r="GT46" s="9"/>
      <c r="GU46" s="31" t="s">
        <v>128</v>
      </c>
      <c r="GV46" s="9"/>
      <c r="GW46" s="9"/>
      <c r="GX46" s="31" t="s">
        <v>128</v>
      </c>
      <c r="GY46" s="9"/>
      <c r="GZ46" s="9"/>
      <c r="HA46" s="31" t="s">
        <v>128</v>
      </c>
      <c r="HB46" s="31">
        <f t="shared" si="30"/>
        <v>0</v>
      </c>
      <c r="HC46" s="31">
        <f t="shared" si="31"/>
        <v>0</v>
      </c>
      <c r="HD46" s="31" t="str">
        <f>IF(HC46/(INDEX('Standards for Conversions'!$H$34:$H$73,MATCH(HB$3,'Standards for Conversions'!$A$34:$A$73,0)))=0,"",HC46/(INDEX('Standards for Conversions'!$H$34:$H$73,MATCH(HB$3,'Standards for Conversions'!$A$34:$A$73,0))))</f>
        <v/>
      </c>
      <c r="HE46" s="112" t="s">
        <v>98</v>
      </c>
      <c r="HF46" s="31"/>
      <c r="HG46" s="31"/>
      <c r="HH46" s="31" t="str">
        <f>IF(HG46/(INDEX('Standards for Conversions'!$H$47:$H$73,MATCH(HF$3,'Standards for Conversions'!$A$47:$A$73,0)))=0,"",HG46/(INDEX('Standards for Conversions'!$H$47:$H$73,MATCH(HF$3,'Standards for Conversions'!$A$47:$A$73,0))))</f>
        <v/>
      </c>
      <c r="HI46" s="31"/>
      <c r="HJ46" s="31"/>
      <c r="HK46" s="31" t="str">
        <f>IF(HJ46/(INDEX('Standards for Conversions'!$H$47:$H$73,MATCH(HI$3,'Standards for Conversions'!$A$47:$A$73,0)))=0,"",HJ46/(INDEX('Standards for Conversions'!$H$47:$H$73,MATCH(HI$3,'Standards for Conversions'!$A$47:$A$73,0))))</f>
        <v/>
      </c>
      <c r="HL46" s="31"/>
      <c r="HM46" s="31"/>
      <c r="HN46" s="31" t="str">
        <f>IF(HM46/(INDEX('Standards for Conversions'!$H$47:$H$73,MATCH(HL$3,'Standards for Conversions'!$A$47:$A$73,0)))=0,"",HM46/(INDEX('Standards for Conversions'!$H$47:$H$73,MATCH(HL$3,'Standards for Conversions'!$A$47:$A$73,0))))</f>
        <v/>
      </c>
      <c r="HO46" s="31"/>
      <c r="HP46" s="31"/>
      <c r="HQ46" s="31" t="str">
        <f>IF(HP46/(INDEX('Standards for Conversions'!$H$47:$H$73,MATCH(HO$3,'Standards for Conversions'!$A$47:$A$73,0)))=0,"",HP46/(INDEX('Standards for Conversions'!$H$47:$H$73,MATCH(HO$3,'Standards for Conversions'!$A$47:$A$73,0))))</f>
        <v/>
      </c>
      <c r="HR46" s="31"/>
      <c r="HS46" s="31"/>
      <c r="HT46" s="31" t="str">
        <f>IF(HS46/(INDEX('Standards for Conversions'!$H$47:$H$73,MATCH(HR$3,'Standards for Conversions'!$A$47:$A$73,0)))=0,"",HS46/(INDEX('Standards for Conversions'!$H$47:$H$73,MATCH(HR$3,'Standards for Conversions'!$A$47:$A$73,0))))</f>
        <v/>
      </c>
      <c r="HU46" s="31"/>
      <c r="HV46" s="31"/>
      <c r="HW46" s="31" t="str">
        <f>IF(HV46/(INDEX('Standards for Conversions'!$H$47:$H$73,MATCH(HU$3,'Standards for Conversions'!$A$47:$A$73,0)))=0,"",HV46/(INDEX('Standards for Conversions'!$H$47:$H$73,MATCH(HU$3,'Standards for Conversions'!$A$47:$A$73,0))))</f>
        <v/>
      </c>
      <c r="HX46" s="31"/>
      <c r="HY46" s="31"/>
      <c r="HZ46" s="31" t="str">
        <f>IF(HY46/(INDEX('Standards for Conversions'!$H$47:$H$73,MATCH(HX$3,'Standards for Conversions'!$A$47:$A$73,0)))=0,"",HY46/(INDEX('Standards for Conversions'!$H$47:$H$73,MATCH(HX$3,'Standards for Conversions'!$A$47:$A$73,0))))</f>
        <v/>
      </c>
      <c r="IA46" s="31"/>
      <c r="IB46" s="31"/>
      <c r="IC46" s="31" t="str">
        <f>IF(IB46/(INDEX('Standards for Conversions'!$H$47:$H$73,MATCH(IA$3,'Standards for Conversions'!$A$47:$A$73,0)))=0,"",IB46/(INDEX('Standards for Conversions'!$H$47:$H$73,MATCH(IA$3,'Standards for Conversions'!$A$47:$A$73,0))))</f>
        <v/>
      </c>
      <c r="ID46" s="31"/>
      <c r="IE46" s="31"/>
      <c r="IF46" s="31" t="str">
        <f>IF(IE46/(INDEX('Standards for Conversions'!$H$47:$H$73,MATCH(ID$3,'Standards for Conversions'!$A$47:$A$73,0)))=0,"",IE46/(INDEX('Standards for Conversions'!$H$47:$H$73,MATCH(ID$3,'Standards for Conversions'!$A$47:$A$73,0))))</f>
        <v/>
      </c>
      <c r="IG46" s="31"/>
      <c r="IH46" s="31"/>
      <c r="II46" s="31" t="str">
        <f>IF(IH46/(INDEX('Standards for Conversions'!$H$47:$H$73,MATCH(IG$3,'Standards for Conversions'!$A$47:$A$73,0)))=0,"",IH46/(INDEX('Standards for Conversions'!$H$47:$H$73,MATCH(IG$3,'Standards for Conversions'!$A$47:$A$73,0))))</f>
        <v/>
      </c>
      <c r="IJ46" s="31"/>
      <c r="IK46" s="31"/>
      <c r="IL46" s="31" t="str">
        <f>IF(IK46/(INDEX('Standards for Conversions'!$H$47:$H$73,MATCH(IJ$3,'Standards for Conversions'!$A$47:$A$73,0)))=0,"",IK46/(INDEX('Standards for Conversions'!$H$47:$H$73,MATCH(IJ$3,'Standards for Conversions'!$A$47:$A$73,0))))</f>
        <v/>
      </c>
      <c r="IM46" s="31"/>
      <c r="IN46" s="31"/>
      <c r="IO46" s="31" t="str">
        <f>IF(IN46/(INDEX('Standards for Conversions'!$H$47:$H$73,MATCH(IM$3,'Standards for Conversions'!$A$47:$A$73,0)))=0,"",IN46/(INDEX('Standards for Conversions'!$H$47:$H$73,MATCH(IM$3,'Standards for Conversions'!$A$47:$A$73,0))))</f>
        <v/>
      </c>
      <c r="IP46" s="31"/>
      <c r="IQ46" s="31"/>
      <c r="IR46" s="31" t="str">
        <f>IF(IQ46/(INDEX('Standards for Conversions'!$H$47:$H$73,MATCH(IP$3,'Standards for Conversions'!$A$47:$A$73,0)))=0,"",IQ46/(INDEX('Standards for Conversions'!$H$47:$H$73,MATCH(IP$3,'Standards for Conversions'!$A$47:$A$73,0))))</f>
        <v/>
      </c>
      <c r="IS46" s="31"/>
      <c r="IT46" s="31"/>
      <c r="IU46" s="31" t="str">
        <f>IF(IT46/(INDEX('Standards for Conversions'!$H$47:$H$73,MATCH(IS$3,'Standards for Conversions'!$A$47:$A$73,0)))=0,"",IT46/(INDEX('Standards for Conversions'!$H$47:$H$73,MATCH(IS$3,'Standards for Conversions'!$A$47:$A$73,0))))</f>
        <v/>
      </c>
      <c r="IV46" s="31"/>
      <c r="IW46" s="31"/>
      <c r="IX46" s="31" t="str">
        <f>IF(IW46/(INDEX('Standards for Conversions'!$H$47:$H$73,MATCH(IV$3,'Standards for Conversions'!$A$47:$A$73,0)))=0,"",IW46/(INDEX('Standards for Conversions'!$H$47:$H$73,MATCH(IV$3,'Standards for Conversions'!$A$47:$A$73,0))))</f>
        <v/>
      </c>
      <c r="IY46" s="31"/>
      <c r="IZ46" s="31"/>
      <c r="JA46" s="31" t="str">
        <f>IF(IZ46/(INDEX('Standards for Conversions'!$H$47:$H$73,MATCH(IY$3,'Standards for Conversions'!$A$47:$A$73,0)))=0,"",IZ46/(INDEX('Standards for Conversions'!$H$47:$H$73,MATCH(IY$3,'Standards for Conversions'!$A$47:$A$73,0))))</f>
        <v/>
      </c>
      <c r="JB46" s="31"/>
      <c r="JC46" s="31"/>
      <c r="JD46" s="31" t="str">
        <f>IF(JC46/(INDEX('Standards for Conversions'!$H$47:$H$73,MATCH(JB$3,'Standards for Conversions'!$A$47:$A$73,0)))=0,"",JC46/(INDEX('Standards for Conversions'!$H$47:$H$73,MATCH(JB$3,'Standards for Conversions'!$A$47:$A$73,0))))</f>
        <v/>
      </c>
      <c r="JE46" s="31"/>
      <c r="JF46" s="31"/>
      <c r="JG46" s="31" t="str">
        <f>IF(JF46/(INDEX('Standards for Conversions'!$H$47:$H$73,MATCH(JE$3,'Standards for Conversions'!$A$47:$A$73,0)))=0,"",JF46/(INDEX('Standards for Conversions'!$H$47:$H$73,MATCH(JE$3,'Standards for Conversions'!$A$47:$A$73,0))))</f>
        <v/>
      </c>
      <c r="JH46" s="31"/>
      <c r="JI46" s="31"/>
      <c r="JJ46" s="31" t="str">
        <f>IF(JI46/(INDEX('Standards for Conversions'!$H$47:$H$73,MATCH(JH$3,'Standards for Conversions'!$A$47:$A$73,0)))=0,"",JI46/(INDEX('Standards for Conversions'!$H$47:$H$73,MATCH(JH$3,'Standards for Conversions'!$A$47:$A$73,0))))</f>
        <v/>
      </c>
      <c r="JK46" s="31"/>
      <c r="JL46" s="31"/>
      <c r="JM46" s="31" t="str">
        <f>IF(JL46/(INDEX('Standards for Conversions'!$H$47:$H$73,MATCH(JK$3,'Standards for Conversions'!$A$47:$A$73,0)))=0,"",JL46/(INDEX('Standards for Conversions'!$H$47:$H$73,MATCH(JK$3,'Standards for Conversions'!$A$47:$A$73,0))))</f>
        <v/>
      </c>
      <c r="JN46" s="31"/>
      <c r="JO46" s="31"/>
      <c r="JP46" s="31" t="str">
        <f>IF(JO46/(INDEX('Standards for Conversions'!$H$47:$H$73,MATCH(JN$3,'Standards for Conversions'!$A$47:$A$73,0)))=0,"",JO46/(INDEX('Standards for Conversions'!$H$47:$H$73,MATCH(JN$3,'Standards for Conversions'!$A$47:$A$73,0))))</f>
        <v/>
      </c>
      <c r="JQ46" s="31"/>
      <c r="JR46" s="31"/>
      <c r="JS46" s="31" t="str">
        <f>IF(JR46/(INDEX('Standards for Conversions'!$H$47:$H$73,MATCH(JQ$3,'Standards for Conversions'!$A$47:$A$73,0)))=0,"",JR46/(INDEX('Standards for Conversions'!$H$47:$H$73,MATCH(JQ$3,'Standards for Conversions'!$A$47:$A$73,0))))</f>
        <v/>
      </c>
      <c r="JT46" s="31"/>
      <c r="JU46" s="31"/>
      <c r="JV46" s="31" t="str">
        <f>IF(JU46/(INDEX('Standards for Conversions'!$H$47:$H$73,MATCH(JT$3,'Standards for Conversions'!$A$47:$A$73,0)))=0,"",JU46/(INDEX('Standards for Conversions'!$H$47:$H$73,MATCH(JT$3,'Standards for Conversions'!$A$47:$A$73,0))))</f>
        <v/>
      </c>
      <c r="JW46" s="31"/>
      <c r="JX46" s="31"/>
      <c r="JY46" s="31" t="str">
        <f>IF(JX46/(INDEX('Standards for Conversions'!$H$47:$H$73,MATCH(JW$3,'Standards for Conversions'!$A$47:$A$73,0)))=0,"",JX46/(INDEX('Standards for Conversions'!$H$47:$H$73,MATCH(JW$3,'Standards for Conversions'!$A$47:$A$73,0))))</f>
        <v/>
      </c>
      <c r="JZ46" s="31"/>
      <c r="KA46" s="31"/>
      <c r="KB46" s="31" t="str">
        <f>IF(KA46/(INDEX('Standards for Conversions'!$H$47:$H$73,MATCH(JZ$3,'Standards for Conversions'!$A$47:$A$73,0)))=0,"",KA46/(INDEX('Standards for Conversions'!$H$47:$H$73,MATCH(JZ$3,'Standards for Conversions'!$A$47:$A$73,0))))</f>
        <v/>
      </c>
      <c r="KC46" s="31"/>
      <c r="KD46" s="31"/>
      <c r="KE46" s="31" t="str">
        <f>IF(KD46/(INDEX('Standards for Conversions'!$H$47:$H$73,MATCH(KC$3,'Standards for Conversions'!$A$47:$A$73,0)))=0,"",KD46/(INDEX('Standards for Conversions'!$H$47:$H$73,MATCH(KC$3,'Standards for Conversions'!$A$47:$A$73,0))))</f>
        <v/>
      </c>
      <c r="KF46" s="31"/>
      <c r="KG46" s="31"/>
      <c r="KH46" s="31" t="str">
        <f>IF(KG46/(INDEX('Standards for Conversions'!$H$47:$H$73,MATCH(KF$3,'Standards for Conversions'!$A$47:$A$73,0)))=0,"",KG46/(INDEX('Standards for Conversions'!$H$47:$H$73,MATCH(KF$3,'Standards for Conversions'!$A$47:$A$73,0))))</f>
        <v/>
      </c>
      <c r="KI46" s="31"/>
      <c r="KJ46" s="31"/>
      <c r="KK46" s="31" t="str">
        <f>IF(KJ46/(INDEX('Standards for Conversions'!$H$47:$H$73,MATCH(KI$3,'Standards for Conversions'!$A$47:$A$73,0)))=0,"",KJ46/(INDEX('Standards for Conversions'!$H$47:$H$73,MATCH(KI$3,'Standards for Conversions'!$A$47:$A$73,0))))</f>
        <v/>
      </c>
      <c r="KL46" s="31"/>
      <c r="KM46" s="31"/>
      <c r="KN46" s="31" t="str">
        <f>IF(KM46/(INDEX('Standards for Conversions'!$H$47:$H$73,MATCH(KL$3,'Standards for Conversions'!$A$47:$A$73,0)))=0,"",KM46/(INDEX('Standards for Conversions'!$H$47:$H$73,MATCH(KL$3,'Standards for Conversions'!$A$47:$A$73,0))))</f>
        <v/>
      </c>
      <c r="KO46" s="31"/>
      <c r="KP46" s="31"/>
      <c r="KQ46" s="31" t="str">
        <f>IF(KP46/(INDEX('Standards for Conversions'!$H$47:$H$73,MATCH(KO$3,'Standards for Conversions'!$A$47:$A$73,0)))=0,"",KP46/(INDEX('Standards for Conversions'!$H$47:$H$73,MATCH(KO$3,'Standards for Conversions'!$A$47:$A$73,0))))</f>
        <v/>
      </c>
      <c r="KR46" s="31"/>
      <c r="KS46" s="31">
        <f>38800+15200</f>
        <v>54000</v>
      </c>
      <c r="KT46" s="31">
        <f>IF(KS46/(INDEX('Standards for Conversions'!$H$47:$H$73,MATCH(KR$3,'Standards for Conversions'!$A$47:$A$73,0)))=0,"",KS46/(INDEX('Standards for Conversions'!$H$47:$H$73,MATCH(KR$3,'Standards for Conversions'!$A$47:$A$73,0))))</f>
        <v>5293.6236095420172</v>
      </c>
      <c r="KU46" s="31"/>
      <c r="KV46" s="31">
        <f>42000+16500</f>
        <v>58500</v>
      </c>
      <c r="KW46" s="31">
        <f>IF(KV46/(INDEX('Standards for Conversions'!$H$47:$H$73,MATCH(KU$3,'Standards for Conversions'!$A$47:$A$73,0)))=0,"",KV46/(INDEX('Standards for Conversions'!$H$47:$H$73,MATCH(KU$3,'Standards for Conversions'!$A$47:$A$73,0))))</f>
        <v>5908.1641473668187</v>
      </c>
      <c r="KX46" s="31"/>
      <c r="KY46" s="31">
        <f>50000+17000</f>
        <v>67000</v>
      </c>
      <c r="KZ46" s="31">
        <f>IF(KY46/(INDEX('Standards for Conversions'!$H$47:$H$73,MATCH(KX$3,'Standards for Conversions'!$A$47:$A$73,0)))=0,"",KY46/(INDEX('Standards for Conversions'!$H$47:$H$73,MATCH(KX$3,'Standards for Conversions'!$A$47:$A$73,0))))</f>
        <v>6993.5877708496273</v>
      </c>
      <c r="LA46" s="31"/>
      <c r="LB46" s="31">
        <f>60000+15000</f>
        <v>75000</v>
      </c>
      <c r="LC46" s="31">
        <f>IF(LB46/(INDEX('Standards for Conversions'!$H$47:$H$73,MATCH(LA$3,'Standards for Conversions'!$A$47:$A$73,0)))=0,"",LB46/(INDEX('Standards for Conversions'!$H$47:$H$73,MATCH(LA$3,'Standards for Conversions'!$A$47:$A$73,0))))</f>
        <v>7002.9038031198388</v>
      </c>
      <c r="LD46" s="31"/>
      <c r="LE46" s="31">
        <f>45000+12000</f>
        <v>57000</v>
      </c>
      <c r="LF46" s="31">
        <f>IF(LE46/(INDEX('Standards for Conversions'!$H$47:$H$73,MATCH(LD$3,'Standards for Conversions'!$A$47:$A$73,0)))=0,"",LE46/(INDEX('Standards for Conversions'!$H$47:$H$73,MATCH(LD$3,'Standards for Conversions'!$A$47:$A$73,0))))</f>
        <v>5201.5219268705996</v>
      </c>
      <c r="LG46" s="31"/>
      <c r="LH46" s="31">
        <f>40000+10000</f>
        <v>50000</v>
      </c>
      <c r="LI46" s="31">
        <f>IF(LH46/(INDEX('Standards for Conversions'!$H$47:$H$73,MATCH(LG$3,'Standards for Conversions'!$A$47:$A$73,0)))=0,"",LH46/(INDEX('Standards for Conversions'!$H$47:$H$73,MATCH(LG$3,'Standards for Conversions'!$A$47:$A$73,0))))</f>
        <v>4647.4297347991069</v>
      </c>
      <c r="LJ46" s="31"/>
      <c r="LK46" s="31">
        <f>88172+1600</f>
        <v>89772</v>
      </c>
      <c r="LL46" s="31">
        <f>IF(LK46/(INDEX('Standards for Conversions'!$H$47:$H$73,MATCH(LJ$3,'Standards for Conversions'!$A$47:$A$73,0)))=0,"",LK46/(INDEX('Standards for Conversions'!$H$47:$H$73,MATCH(LJ$3,'Standards for Conversions'!$A$47:$A$73,0))))</f>
        <v>8610.2826949900063</v>
      </c>
      <c r="LM46" s="31">
        <f>130+66</f>
        <v>196</v>
      </c>
      <c r="LN46" s="31">
        <f>28210+17858</f>
        <v>46068</v>
      </c>
      <c r="LO46" s="31">
        <f>IF(LN46/(INDEX('Standards for Conversions'!$H$47:$H$73,MATCH(LM$3,'Standards for Conversions'!$A$47:$A$73,0)))=0,"",LN46/(INDEX('Standards for Conversions'!$H$47:$H$73,MATCH(LM$3,'Standards for Conversions'!$A$47:$A$73,0))))</f>
        <v>4242.9403173068558</v>
      </c>
      <c r="LP46" s="31">
        <f>140+70</f>
        <v>210</v>
      </c>
      <c r="LQ46" s="31">
        <f>30900+19400</f>
        <v>50300</v>
      </c>
      <c r="LR46" s="31">
        <f>IF(LQ46/(INDEX('Standards for Conversions'!$H$47:$H$73,MATCH(LP$3,'Standards for Conversions'!$A$47:$A$73,0)))=0,"",LQ46/(INDEX('Standards for Conversions'!$H$47:$H$73,MATCH(LP$3,'Standards for Conversions'!$A$47:$A$73,0))))</f>
        <v>4100.2187029272027</v>
      </c>
      <c r="LS46" s="31">
        <f>135+80</f>
        <v>215</v>
      </c>
      <c r="LT46" s="31">
        <f>30200+22600</f>
        <v>52800</v>
      </c>
      <c r="LU46" s="31">
        <f>IF(LT46/(INDEX('Standards for Conversions'!$H$47:$H$73,MATCH(LS$3,'Standards for Conversions'!$A$47:$A$73,0)))=0,"",LT46/(INDEX('Standards for Conversions'!$H$47:$H$73,MATCH(LS$3,'Standards for Conversions'!$A$47:$A$73,0))))</f>
        <v>4426.9785348048999</v>
      </c>
      <c r="LV46" s="31">
        <v>162</v>
      </c>
      <c r="LW46" s="31">
        <f>44900+2000</f>
        <v>46900</v>
      </c>
      <c r="LX46" s="31">
        <f>IF(LW46/(INDEX('Standards for Conversions'!$H$47:$H$73,MATCH(LV$3,'Standards for Conversions'!$A$47:$A$73,0)))=0,"",LW46/(INDEX('Standards for Conversions'!$H$47:$H$73,MATCH(LV$3,'Standards for Conversions'!$A$47:$A$73,0))))</f>
        <v>4195.4433736892033</v>
      </c>
      <c r="LY46" s="31">
        <v>270</v>
      </c>
      <c r="LZ46" s="31">
        <v>28500</v>
      </c>
      <c r="MA46" s="31">
        <v>160</v>
      </c>
      <c r="MB46" s="31">
        <v>14333</v>
      </c>
      <c r="MC46" s="31">
        <v>160</v>
      </c>
      <c r="MD46" s="31">
        <v>14267</v>
      </c>
      <c r="ME46" s="31">
        <v>185</v>
      </c>
      <c r="MF46" s="31">
        <v>16886</v>
      </c>
      <c r="MG46" s="31">
        <v>175</v>
      </c>
      <c r="MH46" s="31">
        <v>15963</v>
      </c>
      <c r="MI46" s="31"/>
      <c r="MJ46" s="31"/>
      <c r="MK46" s="31">
        <v>60</v>
      </c>
      <c r="ML46" s="31">
        <v>2603</v>
      </c>
      <c r="MM46" s="31"/>
      <c r="MN46" s="31"/>
    </row>
    <row r="47" spans="1:352" ht="14.4" customHeight="1" x14ac:dyDescent="0.3">
      <c r="A47" s="102" t="s">
        <v>107</v>
      </c>
      <c r="B47" s="10" t="s">
        <v>98</v>
      </c>
      <c r="C47" s="7"/>
      <c r="D47" s="7"/>
      <c r="E47" s="31" t="s">
        <v>128</v>
      </c>
      <c r="F47" s="7"/>
      <c r="G47" s="7"/>
      <c r="H47" s="31" t="s">
        <v>128</v>
      </c>
      <c r="I47" s="7"/>
      <c r="J47" s="7"/>
      <c r="K47" s="31" t="s">
        <v>128</v>
      </c>
      <c r="L47" s="16">
        <v>1893</v>
      </c>
      <c r="M47" s="7">
        <v>50000</v>
      </c>
      <c r="N47" s="31">
        <v>9877.1114864864849</v>
      </c>
      <c r="O47" s="31">
        <f t="shared" si="4"/>
        <v>1893</v>
      </c>
      <c r="P47" s="31">
        <f t="shared" si="5"/>
        <v>50000</v>
      </c>
      <c r="Q47" s="31">
        <f>IF(P47/(INDEX('Standards for Conversions'!$H$34:$H$73,MATCH(O$3,'Standards for Conversions'!$A$34:$A$73,0)))=0,"",P47/(INDEX('Standards for Conversions'!$H$34:$H$73,MATCH(O$3,'Standards for Conversions'!$A$34:$A$73,0))))</f>
        <v>9877.1114864864849</v>
      </c>
      <c r="R47" s="7"/>
      <c r="S47" s="7"/>
      <c r="T47" s="31" t="s">
        <v>128</v>
      </c>
      <c r="U47" s="7"/>
      <c r="V47" s="7"/>
      <c r="W47" s="31" t="s">
        <v>128</v>
      </c>
      <c r="X47" s="7">
        <v>696</v>
      </c>
      <c r="Y47" s="7">
        <v>3000</v>
      </c>
      <c r="Z47" s="31">
        <v>578.01745676544704</v>
      </c>
      <c r="AA47" s="16">
        <v>1800</v>
      </c>
      <c r="AB47" s="7">
        <v>45000</v>
      </c>
      <c r="AC47" s="31">
        <v>8670.2618514817059</v>
      </c>
      <c r="AD47" s="31">
        <f t="shared" si="6"/>
        <v>2496</v>
      </c>
      <c r="AE47" s="31">
        <f t="shared" si="7"/>
        <v>48000</v>
      </c>
      <c r="AF47" s="31">
        <f>IF(AE47/(INDEX('Standards for Conversions'!$H$34:$H$73,MATCH(AD$3,'Standards for Conversions'!$A$34:$A$73,0)))=0,"",AE47/(INDEX('Standards for Conversions'!$H$34:$H$73,MATCH(AD$3,'Standards for Conversions'!$A$34:$A$73,0))))</f>
        <v>9248.2793082471526</v>
      </c>
      <c r="AG47" s="7"/>
      <c r="AH47" s="7"/>
      <c r="AI47" s="31" t="s">
        <v>128</v>
      </c>
      <c r="AJ47" s="7"/>
      <c r="AK47" s="7"/>
      <c r="AL47" s="31" t="s">
        <v>128</v>
      </c>
      <c r="AM47" s="7">
        <v>696</v>
      </c>
      <c r="AN47" s="7">
        <v>3000</v>
      </c>
      <c r="AO47" s="31">
        <v>536.0953115494915</v>
      </c>
      <c r="AP47" s="16">
        <v>2259</v>
      </c>
      <c r="AQ47" s="7">
        <v>56040</v>
      </c>
      <c r="AR47" s="31">
        <v>10014.260419744502</v>
      </c>
      <c r="AS47" s="31">
        <f t="shared" si="8"/>
        <v>2955</v>
      </c>
      <c r="AT47" s="31">
        <f t="shared" si="9"/>
        <v>59040</v>
      </c>
      <c r="AU47" s="31">
        <f>IF(AT47/(INDEX('Standards for Conversions'!$H$34:$H$73,MATCH(AS$3,'Standards for Conversions'!$A$34:$A$73,0)))=0,"",AT47/(INDEX('Standards for Conversions'!$H$34:$H$73,MATCH(AS$3,'Standards for Conversions'!$A$34:$A$73,0))))</f>
        <v>10550.355731293994</v>
      </c>
      <c r="AV47" s="7"/>
      <c r="AW47" s="7"/>
      <c r="AX47" s="31" t="s">
        <v>128</v>
      </c>
      <c r="AY47" s="7">
        <v>102</v>
      </c>
      <c r="AZ47" s="7">
        <v>2000</v>
      </c>
      <c r="BA47" s="31">
        <v>371.37092277164624</v>
      </c>
      <c r="BB47" s="7">
        <v>696</v>
      </c>
      <c r="BC47" s="7">
        <v>3000</v>
      </c>
      <c r="BD47" s="31">
        <v>557.05638415746932</v>
      </c>
      <c r="BE47" s="16">
        <v>2400</v>
      </c>
      <c r="BF47" s="7">
        <v>60000</v>
      </c>
      <c r="BG47" s="31">
        <v>11141.127683149387</v>
      </c>
      <c r="BH47" s="31">
        <f t="shared" si="10"/>
        <v>3198</v>
      </c>
      <c r="BI47" s="31">
        <f t="shared" si="11"/>
        <v>65000</v>
      </c>
      <c r="BJ47" s="31">
        <f>IF(BI47/(INDEX('Standards for Conversions'!$H$34:$H$73,MATCH(BH$3,'Standards for Conversions'!$A$34:$A$73,0)))=0,"",BI47/(INDEX('Standards for Conversions'!$H$34:$H$73,MATCH(BH$3,'Standards for Conversions'!$A$34:$A$73,0))))</f>
        <v>12069.554990078503</v>
      </c>
      <c r="BK47" s="7"/>
      <c r="BL47" s="7"/>
      <c r="BM47" s="31" t="s">
        <v>128</v>
      </c>
      <c r="BN47" s="7"/>
      <c r="BO47" s="7"/>
      <c r="BP47" s="31" t="s">
        <v>128</v>
      </c>
      <c r="BQ47" s="7">
        <v>696</v>
      </c>
      <c r="BR47" s="7">
        <v>3000</v>
      </c>
      <c r="BS47" s="31">
        <v>534.18975949422077</v>
      </c>
      <c r="BT47" s="16">
        <v>2100</v>
      </c>
      <c r="BU47" s="7">
        <v>55000</v>
      </c>
      <c r="BV47" s="31">
        <v>9793.4789240607151</v>
      </c>
      <c r="BW47" s="31">
        <f t="shared" si="12"/>
        <v>2796</v>
      </c>
      <c r="BX47" s="31">
        <f t="shared" si="13"/>
        <v>58000</v>
      </c>
      <c r="BY47" s="31">
        <f>IF(BX47/(INDEX('Standards for Conversions'!$H$34:$H$73,MATCH(BW$3,'Standards for Conversions'!$A$34:$A$73,0)))=0,"",BX47/(INDEX('Standards for Conversions'!$H$34:$H$73,MATCH(BW$3,'Standards for Conversions'!$A$34:$A$73,0))))</f>
        <v>10327.668683554935</v>
      </c>
      <c r="BZ47" s="7"/>
      <c r="CA47" s="7"/>
      <c r="CB47" s="31" t="s">
        <v>128</v>
      </c>
      <c r="CC47" s="7"/>
      <c r="CD47" s="7"/>
      <c r="CE47" s="31" t="s">
        <v>128</v>
      </c>
      <c r="CF47" s="7">
        <v>696</v>
      </c>
      <c r="CG47" s="7">
        <v>3000</v>
      </c>
      <c r="CH47" s="31">
        <v>520.85089510732598</v>
      </c>
      <c r="CI47" s="16">
        <v>2100</v>
      </c>
      <c r="CJ47" s="7">
        <v>56000</v>
      </c>
      <c r="CK47" s="31">
        <v>9722.5500420034186</v>
      </c>
      <c r="CL47" s="31">
        <f t="shared" si="14"/>
        <v>2796</v>
      </c>
      <c r="CM47" s="31">
        <f t="shared" si="15"/>
        <v>59000</v>
      </c>
      <c r="CN47" s="31">
        <f>IF(CM47/(INDEX('Standards for Conversions'!$H$34:$H$73,MATCH(CL$3,'Standards for Conversions'!$A$34:$A$73,0)))=0,"",CM47/(INDEX('Standards for Conversions'!$H$34:$H$73,MATCH(CL$3,'Standards for Conversions'!$A$34:$A$73,0))))</f>
        <v>10243.400937110744</v>
      </c>
      <c r="CO47" s="7"/>
      <c r="CP47" s="7"/>
      <c r="CQ47" s="31" t="s">
        <v>128</v>
      </c>
      <c r="CR47" s="7"/>
      <c r="CS47" s="7"/>
      <c r="CT47" s="31" t="s">
        <v>128</v>
      </c>
      <c r="CU47" s="7">
        <v>696</v>
      </c>
      <c r="CV47" s="7">
        <v>3000</v>
      </c>
      <c r="CW47" s="31">
        <v>531.01383940210303</v>
      </c>
      <c r="CX47" s="16">
        <v>2859</v>
      </c>
      <c r="CY47" s="7">
        <v>76240</v>
      </c>
      <c r="CZ47" s="31">
        <v>13494.83170533878</v>
      </c>
      <c r="DA47" s="31">
        <f t="shared" si="16"/>
        <v>3555</v>
      </c>
      <c r="DB47" s="31">
        <f t="shared" si="17"/>
        <v>79240</v>
      </c>
      <c r="DC47" s="31">
        <f>IF(DB47/(INDEX('Standards for Conversions'!$H$34:$H$73,MATCH(DA$3,'Standards for Conversions'!$A$34:$A$73,0)))=0,"",DB47/(INDEX('Standards for Conversions'!$H$34:$H$73,MATCH(DA$3,'Standards for Conversions'!$A$34:$A$73,0))))</f>
        <v>14025.845544740883</v>
      </c>
      <c r="DD47" s="7"/>
      <c r="DE47" s="7"/>
      <c r="DF47" s="31" t="s">
        <v>128</v>
      </c>
      <c r="DG47" s="7"/>
      <c r="DH47" s="7"/>
      <c r="DI47" s="31" t="s">
        <v>128</v>
      </c>
      <c r="DJ47" s="7">
        <v>600</v>
      </c>
      <c r="DK47" s="7">
        <v>700</v>
      </c>
      <c r="DL47" s="31">
        <v>122.56934275513456</v>
      </c>
      <c r="DM47" s="16">
        <v>3000</v>
      </c>
      <c r="DN47" s="7">
        <v>75000</v>
      </c>
      <c r="DO47" s="31">
        <v>13132.429580907274</v>
      </c>
      <c r="DP47" s="31">
        <f t="shared" si="18"/>
        <v>3600</v>
      </c>
      <c r="DQ47" s="31">
        <f t="shared" si="19"/>
        <v>75700</v>
      </c>
      <c r="DR47" s="31">
        <f>IF(DQ47/(INDEX('Standards for Conversions'!$H$34:$H$73,MATCH(DP$3,'Standards for Conversions'!$A$34:$A$73,0)))=0,"",DQ47/(INDEX('Standards for Conversions'!$H$34:$H$73,MATCH(DP$3,'Standards for Conversions'!$A$34:$A$73,0))))</f>
        <v>13254.998923662408</v>
      </c>
      <c r="DS47" s="7"/>
      <c r="DT47" s="7"/>
      <c r="DU47" s="31" t="s">
        <v>128</v>
      </c>
      <c r="DV47" s="7"/>
      <c r="DW47" s="7"/>
      <c r="DX47" s="31" t="s">
        <v>128</v>
      </c>
      <c r="DY47" s="7">
        <v>306</v>
      </c>
      <c r="DZ47" s="7">
        <v>2000</v>
      </c>
      <c r="EA47" s="31">
        <v>349.77466614524491</v>
      </c>
      <c r="EB47" s="16">
        <v>1296</v>
      </c>
      <c r="EC47" s="7">
        <v>62335</v>
      </c>
      <c r="ED47" s="31">
        <v>10901.60190708192</v>
      </c>
      <c r="EE47" s="31">
        <f t="shared" si="20"/>
        <v>1602</v>
      </c>
      <c r="EF47" s="31">
        <f t="shared" si="21"/>
        <v>64335</v>
      </c>
      <c r="EG47" s="31">
        <f>IF(EF47/(INDEX('Standards for Conversions'!$H$34:$H$73,MATCH(EE$3,'Standards for Conversions'!$A$34:$A$73,0)))=0,"",EF47/(INDEX('Standards for Conversions'!$H$34:$H$73,MATCH(EE$3,'Standards for Conversions'!$A$34:$A$73,0))))</f>
        <v>11251.376573227164</v>
      </c>
      <c r="EH47" s="7"/>
      <c r="EI47" s="7"/>
      <c r="EJ47" s="31" t="s">
        <v>128</v>
      </c>
      <c r="EK47" s="7"/>
      <c r="EL47" s="7"/>
      <c r="EM47" s="31" t="s">
        <v>128</v>
      </c>
      <c r="EN47" s="16">
        <v>186</v>
      </c>
      <c r="EO47" s="9">
        <v>1135</v>
      </c>
      <c r="EP47" s="31">
        <v>194.41183115893222</v>
      </c>
      <c r="EQ47" s="16">
        <v>1296</v>
      </c>
      <c r="ER47" s="7">
        <v>62335</v>
      </c>
      <c r="ES47" s="31">
        <v>10677.234797614132</v>
      </c>
      <c r="ET47" s="31">
        <f t="shared" si="22"/>
        <v>1482</v>
      </c>
      <c r="EU47" s="31">
        <f t="shared" si="23"/>
        <v>63470</v>
      </c>
      <c r="EV47" s="31">
        <f>IF(EU47/(INDEX('Standards for Conversions'!$H$34:$H$73,MATCH(ET$3,'Standards for Conversions'!$A$34:$A$73,0)))=0,"",EU47/(INDEX('Standards for Conversions'!$H$34:$H$73,MATCH(ET$3,'Standards for Conversions'!$A$34:$A$73,0))))</f>
        <v>10871.646628773064</v>
      </c>
      <c r="EW47" s="7"/>
      <c r="EX47" s="7"/>
      <c r="EY47" s="31" t="s">
        <v>128</v>
      </c>
      <c r="EZ47" s="7"/>
      <c r="FA47" s="7"/>
      <c r="FB47" s="31" t="s">
        <v>128</v>
      </c>
      <c r="FC47" s="16">
        <v>225</v>
      </c>
      <c r="FD47" s="9">
        <v>1500</v>
      </c>
      <c r="FE47" s="31">
        <v>257.24952746154509</v>
      </c>
      <c r="FF47" s="16">
        <v>1344</v>
      </c>
      <c r="FG47" s="7">
        <v>94400</v>
      </c>
      <c r="FH47" s="31">
        <v>16189.570261579905</v>
      </c>
      <c r="FI47" s="31">
        <f t="shared" si="24"/>
        <v>1569</v>
      </c>
      <c r="FJ47" s="31">
        <f t="shared" si="25"/>
        <v>95900</v>
      </c>
      <c r="FK47" s="31">
        <f>IF(FJ47/(INDEX('Standards for Conversions'!$H$34:$H$73,MATCH(FI$3,'Standards for Conversions'!$A$34:$A$73,0)))=0,"",FJ47/(INDEX('Standards for Conversions'!$H$34:$H$73,MATCH(FI$3,'Standards for Conversions'!$A$34:$A$73,0))))</f>
        <v>16446.819789041449</v>
      </c>
      <c r="FL47" s="7"/>
      <c r="FM47" s="7"/>
      <c r="FN47" s="31" t="s">
        <v>128</v>
      </c>
      <c r="FO47" s="7"/>
      <c r="FP47" s="7"/>
      <c r="FQ47" s="31" t="s">
        <v>128</v>
      </c>
      <c r="FR47" s="16">
        <v>90</v>
      </c>
      <c r="FS47" s="9">
        <v>500</v>
      </c>
      <c r="FT47" s="31">
        <v>82.256330385852081</v>
      </c>
      <c r="FU47" s="16">
        <v>1284</v>
      </c>
      <c r="FV47" s="7">
        <v>61000</v>
      </c>
      <c r="FW47" s="31">
        <v>10035.272307073954</v>
      </c>
      <c r="FX47" s="31">
        <f t="shared" si="26"/>
        <v>1374</v>
      </c>
      <c r="FY47" s="31">
        <f t="shared" si="27"/>
        <v>61500</v>
      </c>
      <c r="FZ47" s="31">
        <f>IF(FY47/(INDEX('Standards for Conversions'!$H$34:$H$73,MATCH(FX$3,'Standards for Conversions'!$A$34:$A$73,0)))=0,"",FY47/(INDEX('Standards for Conversions'!$H$34:$H$73,MATCH(FX$3,'Standards for Conversions'!$A$34:$A$73,0))))</f>
        <v>10117.528637459807</v>
      </c>
      <c r="GA47" s="7"/>
      <c r="GB47" s="7"/>
      <c r="GC47" s="31" t="s">
        <v>128</v>
      </c>
      <c r="GD47" s="7"/>
      <c r="GE47" s="7"/>
      <c r="GF47" s="31" t="s">
        <v>128</v>
      </c>
      <c r="GG47" s="16">
        <v>90</v>
      </c>
      <c r="GH47" s="9">
        <v>400</v>
      </c>
      <c r="GI47" s="31">
        <v>61.485812983401409</v>
      </c>
      <c r="GJ47" s="16">
        <v>990</v>
      </c>
      <c r="GK47" s="7">
        <v>40000</v>
      </c>
      <c r="GL47" s="31">
        <v>6148.5812983401411</v>
      </c>
      <c r="GM47" s="31">
        <f t="shared" si="28"/>
        <v>1080</v>
      </c>
      <c r="GN47" s="31">
        <f t="shared" si="29"/>
        <v>40400</v>
      </c>
      <c r="GO47" s="31">
        <f>IF(GN47/(INDEX('Standards for Conversions'!$H$34:$H$73,MATCH(GM$3,'Standards for Conversions'!$A$34:$A$73,0)))=0,"",GN47/(INDEX('Standards for Conversions'!$H$34:$H$73,MATCH(GM$3,'Standards for Conversions'!$A$34:$A$73,0))))</f>
        <v>6210.0671113235421</v>
      </c>
      <c r="GP47" s="7"/>
      <c r="GQ47" s="7"/>
      <c r="GR47" s="31" t="s">
        <v>128</v>
      </c>
      <c r="GS47" s="7"/>
      <c r="GT47" s="7"/>
      <c r="GU47" s="31" t="s">
        <v>128</v>
      </c>
      <c r="GV47" s="16">
        <v>150</v>
      </c>
      <c r="GW47" s="9">
        <v>800</v>
      </c>
      <c r="GX47" s="31">
        <v>121.10841951276032</v>
      </c>
      <c r="GY47" s="16">
        <v>1245</v>
      </c>
      <c r="GZ47" s="7">
        <v>38000</v>
      </c>
      <c r="HA47" s="31">
        <v>5752.6499268561156</v>
      </c>
      <c r="HB47" s="31">
        <f t="shared" si="30"/>
        <v>1395</v>
      </c>
      <c r="HC47" s="31">
        <f t="shared" si="31"/>
        <v>38800</v>
      </c>
      <c r="HD47" s="31">
        <f>IF(HC47/(INDEX('Standards for Conversions'!$H$34:$H$73,MATCH(HB$3,'Standards for Conversions'!$A$34:$A$73,0)))=0,"",HC47/(INDEX('Standards for Conversions'!$H$34:$H$73,MATCH(HB$3,'Standards for Conversions'!$A$34:$A$73,0))))</f>
        <v>5873.7583463688761</v>
      </c>
      <c r="HE47" s="112" t="s">
        <v>98</v>
      </c>
      <c r="HF47" s="31"/>
      <c r="HG47" s="31"/>
      <c r="HH47" s="31" t="str">
        <f>IF(HG47/(INDEX('Standards for Conversions'!$H$47:$H$73,MATCH(HF$3,'Standards for Conversions'!$A$47:$A$73,0)))=0,"",HG47/(INDEX('Standards for Conversions'!$H$47:$H$73,MATCH(HF$3,'Standards for Conversions'!$A$47:$A$73,0))))</f>
        <v/>
      </c>
      <c r="HI47" s="31"/>
      <c r="HJ47" s="31"/>
      <c r="HK47" s="31" t="str">
        <f>IF(HJ47/(INDEX('Standards for Conversions'!$H$47:$H$73,MATCH(HI$3,'Standards for Conversions'!$A$47:$A$73,0)))=0,"",HJ47/(INDEX('Standards for Conversions'!$H$47:$H$73,MATCH(HI$3,'Standards for Conversions'!$A$47:$A$73,0))))</f>
        <v/>
      </c>
      <c r="HL47" s="31">
        <v>180</v>
      </c>
      <c r="HM47" s="31">
        <v>900</v>
      </c>
      <c r="HN47" s="31">
        <f>IF(HM47/(INDEX('Standards for Conversions'!$H$47:$H$73,MATCH(HL$3,'Standards for Conversions'!$A$47:$A$73,0)))=0,"",HM47/(INDEX('Standards for Conversions'!$H$47:$H$73,MATCH(HL$3,'Standards for Conversions'!$A$47:$A$73,0))))</f>
        <v>130.72087099157037</v>
      </c>
      <c r="HO47" s="31">
        <f>(450+355)*3</f>
        <v>2415</v>
      </c>
      <c r="HP47" s="31">
        <f>19000+15000</f>
        <v>34000</v>
      </c>
      <c r="HQ47" s="31">
        <f>IF(HP47/(INDEX('Standards for Conversions'!$H$47:$H$73,MATCH(HO$3,'Standards for Conversions'!$A$47:$A$73,0)))=0,"",HP47/(INDEX('Standards for Conversions'!$H$47:$H$73,MATCH(HO$3,'Standards for Conversions'!$A$47:$A$73,0))))</f>
        <v>4938.3440152371022</v>
      </c>
      <c r="HR47" s="31">
        <f>HF47+HI47+HL47+HO47</f>
        <v>2595</v>
      </c>
      <c r="HS47" s="31">
        <f>HG47+HJ47+HM47+HP47</f>
        <v>34900</v>
      </c>
      <c r="HT47" s="31">
        <f>IF(HS47/(INDEX('Standards for Conversions'!$H$47:$H$73,MATCH(HR$3,'Standards for Conversions'!$A$47:$A$73,0)))=0,"",HS47/(INDEX('Standards for Conversions'!$H$47:$H$73,MATCH(HR$3,'Standards for Conversions'!$A$47:$A$73,0))))</f>
        <v>5069.0648862286725</v>
      </c>
      <c r="HU47" s="31"/>
      <c r="HV47" s="31"/>
      <c r="HW47" s="31" t="str">
        <f>IF(HV47/(INDEX('Standards for Conversions'!$H$47:$H$73,MATCH(HU$3,'Standards for Conversions'!$A$47:$A$73,0)))=0,"",HV47/(INDEX('Standards for Conversions'!$H$47:$H$73,MATCH(HU$3,'Standards for Conversions'!$A$47:$A$73,0))))</f>
        <v/>
      </c>
      <c r="HX47" s="31"/>
      <c r="HY47" s="31"/>
      <c r="HZ47" s="31" t="str">
        <f>IF(HY47/(INDEX('Standards for Conversions'!$H$47:$H$73,MATCH(HX$3,'Standards for Conversions'!$A$47:$A$73,0)))=0,"",HY47/(INDEX('Standards for Conversions'!$H$47:$H$73,MATCH(HX$3,'Standards for Conversions'!$A$47:$A$73,0))))</f>
        <v/>
      </c>
      <c r="IA47" s="31">
        <v>300</v>
      </c>
      <c r="IB47" s="31">
        <v>1100</v>
      </c>
      <c r="IC47" s="31">
        <f>IF(IB47/(INDEX('Standards for Conversions'!$H$47:$H$73,MATCH(IA$3,'Standards for Conversions'!$A$47:$A$73,0)))=0,"",IB47/(INDEX('Standards for Conversions'!$H$47:$H$73,MATCH(IA$3,'Standards for Conversions'!$A$47:$A$73,0))))</f>
        <v>159.07125101387561</v>
      </c>
      <c r="ID47" s="31">
        <f>(659+15)*3</f>
        <v>2022</v>
      </c>
      <c r="IE47" s="31">
        <f>66930+1500</f>
        <v>68430</v>
      </c>
      <c r="IF47" s="31">
        <f>IF(IE47/(INDEX('Standards for Conversions'!$H$47:$H$73,MATCH(ID$3,'Standards for Conversions'!$A$47:$A$73,0)))=0,"",IE47/(INDEX('Standards for Conversions'!$H$47:$H$73,MATCH(ID$3,'Standards for Conversions'!$A$47:$A$73,0))))</f>
        <v>9895.6779153450061</v>
      </c>
      <c r="IG47" s="31">
        <f>HU47+HX47+IA47+ID47</f>
        <v>2322</v>
      </c>
      <c r="IH47" s="31">
        <f>HV47+HY47+IB47+IE47</f>
        <v>69530</v>
      </c>
      <c r="II47" s="31">
        <f>IF(IH47/(INDEX('Standards for Conversions'!$H$47:$H$73,MATCH(IG$3,'Standards for Conversions'!$A$47:$A$73,0)))=0,"",IH47/(INDEX('Standards for Conversions'!$H$47:$H$73,MATCH(IG$3,'Standards for Conversions'!$A$47:$A$73,0))))</f>
        <v>10054.749166358883</v>
      </c>
      <c r="IJ47" s="31"/>
      <c r="IK47" s="31"/>
      <c r="IL47" s="31" t="str">
        <f>IF(IK47/(INDEX('Standards for Conversions'!$H$47:$H$73,MATCH(IJ$3,'Standards for Conversions'!$A$47:$A$73,0)))=0,"",IK47/(INDEX('Standards for Conversions'!$H$47:$H$73,MATCH(IJ$3,'Standards for Conversions'!$A$47:$A$73,0))))</f>
        <v/>
      </c>
      <c r="IM47" s="31"/>
      <c r="IN47" s="31"/>
      <c r="IO47" s="31" t="str">
        <f>IF(IN47/(INDEX('Standards for Conversions'!$H$47:$H$73,MATCH(IM$3,'Standards for Conversions'!$A$47:$A$73,0)))=0,"",IN47/(INDEX('Standards for Conversions'!$H$47:$H$73,MATCH(IM$3,'Standards for Conversions'!$A$47:$A$73,0))))</f>
        <v/>
      </c>
      <c r="IP47" s="31">
        <v>234</v>
      </c>
      <c r="IQ47" s="31">
        <v>3100</v>
      </c>
      <c r="IR47" s="31">
        <f>IF(IQ47/(INDEX('Standards for Conversions'!$H$47:$H$73,MATCH(IP$3,'Standards for Conversions'!$A$47:$A$73,0)))=0,"",IQ47/(INDEX('Standards for Conversions'!$H$47:$H$73,MATCH(IP$3,'Standards for Conversions'!$A$47:$A$73,0))))</f>
        <v>501.45660974479296</v>
      </c>
      <c r="IS47" s="31">
        <f>(500+165)*3</f>
        <v>1995</v>
      </c>
      <c r="IT47" s="31">
        <f>50000+1600</f>
        <v>51600</v>
      </c>
      <c r="IU47" s="31">
        <f>IF(IT47/(INDEX('Standards for Conversions'!$H$47:$H$73,MATCH(IS$3,'Standards for Conversions'!$A$47:$A$73,0)))=0,"",IT47/(INDEX('Standards for Conversions'!$H$47:$H$73,MATCH(IS$3,'Standards for Conversions'!$A$47:$A$73,0))))</f>
        <v>8346.8261493004247</v>
      </c>
      <c r="IV47" s="31">
        <f t="shared" ref="IV47:IW49" si="104">IJ47+IM47+IP47+IS47</f>
        <v>2229</v>
      </c>
      <c r="IW47" s="31">
        <f t="shared" si="104"/>
        <v>54700</v>
      </c>
      <c r="IX47" s="31">
        <f>IF(IW47/(INDEX('Standards for Conversions'!$H$47:$H$73,MATCH(IV$3,'Standards for Conversions'!$A$47:$A$73,0)))=0,"",IW47/(INDEX('Standards for Conversions'!$H$47:$H$73,MATCH(IV$3,'Standards for Conversions'!$A$47:$A$73,0))))</f>
        <v>8848.282759045218</v>
      </c>
      <c r="IY47" s="31"/>
      <c r="IZ47" s="31"/>
      <c r="JA47" s="31" t="str">
        <f>IF(IZ47/(INDEX('Standards for Conversions'!$H$47:$H$73,MATCH(IY$3,'Standards for Conversions'!$A$47:$A$73,0)))=0,"",IZ47/(INDEX('Standards for Conversions'!$H$47:$H$73,MATCH(IY$3,'Standards for Conversions'!$A$47:$A$73,0))))</f>
        <v/>
      </c>
      <c r="JB47" s="31"/>
      <c r="JC47" s="31"/>
      <c r="JD47" s="31" t="str">
        <f>IF(JC47/(INDEX('Standards for Conversions'!$H$47:$H$73,MATCH(JB$3,'Standards for Conversions'!$A$47:$A$73,0)))=0,"",JC47/(INDEX('Standards for Conversions'!$H$47:$H$73,MATCH(JB$3,'Standards for Conversions'!$A$47:$A$73,0))))</f>
        <v/>
      </c>
      <c r="JE47" s="31">
        <f>(80)*3</f>
        <v>240</v>
      </c>
      <c r="JF47" s="31">
        <v>3000</v>
      </c>
      <c r="JG47" s="31">
        <f>IF(JF47/(INDEX('Standards for Conversions'!$H$47:$H$73,MATCH(JE$3,'Standards for Conversions'!$A$47:$A$73,0)))=0,"",JF47/(INDEX('Standards for Conversions'!$H$47:$H$73,MATCH(JE$3,'Standards for Conversions'!$A$47:$A$73,0))))</f>
        <v>457.96767728339267</v>
      </c>
      <c r="JH47" s="31">
        <f>(600+15)*3</f>
        <v>1845</v>
      </c>
      <c r="JI47" s="31">
        <f>45000+1400</f>
        <v>46400</v>
      </c>
      <c r="JJ47" s="31">
        <f>IF(JI47/(INDEX('Standards for Conversions'!$H$47:$H$73,MATCH(JH$3,'Standards for Conversions'!$A$47:$A$73,0)))=0,"",JI47/(INDEX('Standards for Conversions'!$H$47:$H$73,MATCH(JH$3,'Standards for Conversions'!$A$47:$A$73,0))))</f>
        <v>7083.2334086498067</v>
      </c>
      <c r="JK47" s="31">
        <f t="shared" ref="JK47:JL49" si="105">IY47+JB47+JE47+JH47</f>
        <v>2085</v>
      </c>
      <c r="JL47" s="31">
        <f t="shared" si="105"/>
        <v>49400</v>
      </c>
      <c r="JM47" s="31">
        <f>IF(JL47/(INDEX('Standards for Conversions'!$H$47:$H$73,MATCH(JK$3,'Standards for Conversions'!$A$47:$A$73,0)))=0,"",JL47/(INDEX('Standards for Conversions'!$H$47:$H$73,MATCH(JK$3,'Standards for Conversions'!$A$47:$A$73,0))))</f>
        <v>7541.2010859331995</v>
      </c>
      <c r="JN47" s="31"/>
      <c r="JO47" s="31"/>
      <c r="JP47" s="31" t="str">
        <f>IF(JO47/(INDEX('Standards for Conversions'!$H$47:$H$73,MATCH(JN$3,'Standards for Conversions'!$A$47:$A$73,0)))=0,"",JO47/(INDEX('Standards for Conversions'!$H$47:$H$73,MATCH(JN$3,'Standards for Conversions'!$A$47:$A$73,0))))</f>
        <v/>
      </c>
      <c r="JQ47" s="31"/>
      <c r="JR47" s="31"/>
      <c r="JS47" s="31" t="str">
        <f>IF(JR47/(INDEX('Standards for Conversions'!$H$47:$H$73,MATCH(JQ$3,'Standards for Conversions'!$A$47:$A$73,0)))=0,"",JR47/(INDEX('Standards for Conversions'!$H$47:$H$73,MATCH(JQ$3,'Standards for Conversions'!$A$47:$A$73,0))))</f>
        <v/>
      </c>
      <c r="JT47" s="31">
        <v>255</v>
      </c>
      <c r="JU47" s="31">
        <v>3100</v>
      </c>
      <c r="JV47" s="31">
        <f>IF(JU47/(INDEX('Standards for Conversions'!$H$47:$H$73,MATCH(JT$3,'Standards for Conversions'!$A$47:$A$73,0)))=0,"",JU47/(INDEX('Standards for Conversions'!$H$47:$H$73,MATCH(JT$3,'Standards for Conversions'!$A$47:$A$73,0))))</f>
        <v>417.44293690796906</v>
      </c>
      <c r="JW47" s="31">
        <f>(550+16)*3</f>
        <v>1698</v>
      </c>
      <c r="JX47" s="31">
        <f>41000+1500</f>
        <v>42500</v>
      </c>
      <c r="JY47" s="31">
        <f>IF(JX47/(INDEX('Standards for Conversions'!$H$47:$H$73,MATCH(JW$3,'Standards for Conversions'!$A$47:$A$73,0)))=0,"",JX47/(INDEX('Standards for Conversions'!$H$47:$H$73,MATCH(JW$3,'Standards for Conversions'!$A$47:$A$73,0))))</f>
        <v>5723.0080059963493</v>
      </c>
      <c r="JZ47" s="31">
        <f t="shared" ref="JZ47:KA49" si="106">JN47+JQ47+JT47+JW47</f>
        <v>1953</v>
      </c>
      <c r="KA47" s="31">
        <f t="shared" si="106"/>
        <v>45600</v>
      </c>
      <c r="KB47" s="31">
        <f>IF(KA47/(INDEX('Standards for Conversions'!$H$47:$H$73,MATCH(JZ$3,'Standards for Conversions'!$A$47:$A$73,0)))=0,"",KA47/(INDEX('Standards for Conversions'!$H$47:$H$73,MATCH(JZ$3,'Standards for Conversions'!$A$47:$A$73,0))))</f>
        <v>6140.4509429043183</v>
      </c>
      <c r="KC47" s="31"/>
      <c r="KD47" s="31"/>
      <c r="KE47" s="31" t="str">
        <f>IF(KD47/(INDEX('Standards for Conversions'!$H$47:$H$73,MATCH(KC$3,'Standards for Conversions'!$A$47:$A$73,0)))=0,"",KD47/(INDEX('Standards for Conversions'!$H$47:$H$73,MATCH(KC$3,'Standards for Conversions'!$A$47:$A$73,0))))</f>
        <v/>
      </c>
      <c r="KF47" s="31"/>
      <c r="KG47" s="31"/>
      <c r="KH47" s="31" t="str">
        <f>IF(KG47/(INDEX('Standards for Conversions'!$H$47:$H$73,MATCH(KF$3,'Standards for Conversions'!$A$47:$A$73,0)))=0,"",KG47/(INDEX('Standards for Conversions'!$H$47:$H$73,MATCH(KF$3,'Standards for Conversions'!$A$47:$A$73,0))))</f>
        <v/>
      </c>
      <c r="KI47" s="31">
        <v>255</v>
      </c>
      <c r="KJ47" s="31">
        <v>1140</v>
      </c>
      <c r="KK47" s="31">
        <f>IF(KJ47/(INDEX('Standards for Conversions'!$H$47:$H$73,MATCH(KI$3,'Standards for Conversions'!$A$47:$A$73,0)))=0,"",KJ47/(INDEX('Standards for Conversions'!$H$47:$H$73,MATCH(KI$3,'Standards for Conversions'!$A$47:$A$73,0))))</f>
        <v>138.64288606934906</v>
      </c>
      <c r="KL47" s="31">
        <f>(1185+15)*3</f>
        <v>3600</v>
      </c>
      <c r="KM47" s="31">
        <f>76160+1000</f>
        <v>77160</v>
      </c>
      <c r="KN47" s="31">
        <f>IF(KM47/(INDEX('Standards for Conversions'!$H$47:$H$73,MATCH(KL$3,'Standards for Conversions'!$A$47:$A$73,0)))=0,"",KM47/(INDEX('Standards for Conversions'!$H$47:$H$73,MATCH(KL$3,'Standards for Conversions'!$A$47:$A$73,0))))</f>
        <v>9383.9342886938375</v>
      </c>
      <c r="KO47" s="31">
        <f t="shared" ref="KO47:KP49" si="107">KC47+KF47+KI47+KL47</f>
        <v>3855</v>
      </c>
      <c r="KP47" s="31">
        <f t="shared" si="107"/>
        <v>78300</v>
      </c>
      <c r="KQ47" s="31">
        <f>IF(KP47/(INDEX('Standards for Conversions'!$H$47:$H$73,MATCH(KO$3,'Standards for Conversions'!$A$47:$A$73,0)))=0,"",KP47/(INDEX('Standards for Conversions'!$H$47:$H$73,MATCH(KO$3,'Standards for Conversions'!$A$47:$A$73,0))))</f>
        <v>9522.5771747631861</v>
      </c>
      <c r="KR47" s="31">
        <f>1/10*(24300+390)</f>
        <v>2469</v>
      </c>
      <c r="KS47" s="31">
        <f>81000+1300</f>
        <v>82300</v>
      </c>
      <c r="KT47" s="31">
        <f>IF(KS47/(INDEX('Standards for Conversions'!$H$47:$H$73,MATCH(KR$3,'Standards for Conversions'!$A$47:$A$73,0)))=0,"",KS47/(INDEX('Standards for Conversions'!$H$47:$H$73,MATCH(KR$3,'Standards for Conversions'!$A$47:$A$73,0))))</f>
        <v>8067.8745012094078</v>
      </c>
      <c r="KU47" s="31">
        <f>1/10*(27300+360)</f>
        <v>2766</v>
      </c>
      <c r="KV47" s="31">
        <f>91000+1200</f>
        <v>92200</v>
      </c>
      <c r="KW47" s="31">
        <f>IF(KV47/(INDEX('Standards for Conversions'!$H$47:$H$73,MATCH(KU$3,'Standards for Conversions'!$A$47:$A$73,0)))=0,"",KV47/(INDEX('Standards for Conversions'!$H$47:$H$73,MATCH(KU$3,'Standards for Conversions'!$A$47:$A$73,0))))</f>
        <v>9311.6706732858238</v>
      </c>
      <c r="KX47" s="31">
        <f>1/10*(48000)</f>
        <v>4800</v>
      </c>
      <c r="KY47" s="31">
        <v>160000</v>
      </c>
      <c r="KZ47" s="31">
        <f>IF(KY47/(INDEX('Standards for Conversions'!$H$47:$H$73,MATCH(KX$3,'Standards for Conversions'!$A$47:$A$73,0)))=0,"",KY47/(INDEX('Standards for Conversions'!$H$47:$H$73,MATCH(KX$3,'Standards for Conversions'!$A$47:$A$73,0))))</f>
        <v>16701.105124417019</v>
      </c>
      <c r="LA47" s="31">
        <f>1/10*50000</f>
        <v>5000</v>
      </c>
      <c r="LB47" s="31">
        <v>165000</v>
      </c>
      <c r="LC47" s="31">
        <f>IF(LB47/(INDEX('Standards for Conversions'!$H$47:$H$73,MATCH(LA$3,'Standards for Conversions'!$A$47:$A$73,0)))=0,"",LB47/(INDEX('Standards for Conversions'!$H$47:$H$73,MATCH(LA$3,'Standards for Conversions'!$A$47:$A$73,0))))</f>
        <v>15406.388366863644</v>
      </c>
      <c r="LD47" s="31">
        <f>1/10*(60000)</f>
        <v>6000</v>
      </c>
      <c r="LE47" s="31">
        <v>175000</v>
      </c>
      <c r="LF47" s="31">
        <f>IF(LE47/(INDEX('Standards for Conversions'!$H$47:$H$73,MATCH(LD$3,'Standards for Conversions'!$A$47:$A$73,0)))=0,"",LE47/(INDEX('Standards for Conversions'!$H$47:$H$73,MATCH(LD$3,'Standards for Conversions'!$A$47:$A$73,0))))</f>
        <v>15969.584863199208</v>
      </c>
      <c r="LG47" s="31">
        <f>1/10*(50000+680)</f>
        <v>5068</v>
      </c>
      <c r="LH47" s="31">
        <f>150000+9000</f>
        <v>159000</v>
      </c>
      <c r="LI47" s="31">
        <f>IF(LH47/(INDEX('Standards for Conversions'!$H$47:$H$73,MATCH(LG$3,'Standards for Conversions'!$A$47:$A$73,0)))=0,"",LH47/(INDEX('Standards for Conversions'!$H$47:$H$73,MATCH(LG$3,'Standards for Conversions'!$A$47:$A$73,0))))</f>
        <v>14778.826556661161</v>
      </c>
      <c r="LJ47" s="31">
        <f>4715</f>
        <v>4715</v>
      </c>
      <c r="LK47" s="31">
        <v>216357</v>
      </c>
      <c r="LL47" s="31">
        <f>IF(LK47/(INDEX('Standards for Conversions'!$H$47:$H$73,MATCH(LJ$3,'Standards for Conversions'!$A$47:$A$73,0)))=0,"",LK47/(INDEX('Standards for Conversions'!$H$47:$H$73,MATCH(LJ$3,'Standards for Conversions'!$A$47:$A$73,0))))</f>
        <v>20751.40280978426</v>
      </c>
      <c r="LM47" s="31">
        <f>3633+6</f>
        <v>3639</v>
      </c>
      <c r="LN47" s="31">
        <f>93598+160</f>
        <v>93758</v>
      </c>
      <c r="LO47" s="31">
        <f>IF(LN47/(INDEX('Standards for Conversions'!$H$47:$H$73,MATCH(LM$3,'Standards for Conversions'!$A$47:$A$73,0)))=0,"",LN47/(INDEX('Standards for Conversions'!$H$47:$H$73,MATCH(LM$3,'Standards for Conversions'!$A$47:$A$73,0))))</f>
        <v>8635.2695639067515</v>
      </c>
      <c r="LP47" s="31">
        <v>3750</v>
      </c>
      <c r="LQ47" s="31">
        <v>97400</v>
      </c>
      <c r="LR47" s="31">
        <f>IF(LQ47/(INDEX('Standards for Conversions'!$H$47:$H$73,MATCH(LP$3,'Standards for Conversions'!$A$47:$A$73,0)))=0,"",LQ47/(INDEX('Standards for Conversions'!$H$47:$H$73,MATCH(LP$3,'Standards for Conversions'!$A$47:$A$73,0))))</f>
        <v>7939.5885022884604</v>
      </c>
      <c r="LS47" s="31">
        <v>3800</v>
      </c>
      <c r="LT47" s="31">
        <v>98500</v>
      </c>
      <c r="LU47" s="31">
        <f>IF(LT47/(INDEX('Standards for Conversions'!$H$47:$H$73,MATCH(LS$3,'Standards for Conversions'!$A$47:$A$73,0)))=0,"",LT47/(INDEX('Standards for Conversions'!$H$47:$H$73,MATCH(LS$3,'Standards for Conversions'!$A$47:$A$73,0))))</f>
        <v>8258.6626075432323</v>
      </c>
      <c r="LV47" s="31">
        <v>2700</v>
      </c>
      <c r="LW47" s="31">
        <v>90000</v>
      </c>
      <c r="LX47" s="31">
        <f>IF(LW47/(INDEX('Standards for Conversions'!$H$47:$H$73,MATCH(LV$3,'Standards for Conversions'!$A$47:$A$73,0)))=0,"",LW47/(INDEX('Standards for Conversions'!$H$47:$H$73,MATCH(LV$3,'Standards for Conversions'!$A$47:$A$73,0))))</f>
        <v>8050.9574335187272</v>
      </c>
      <c r="LY47" s="31">
        <v>3000</v>
      </c>
      <c r="LZ47" s="31">
        <v>15000</v>
      </c>
      <c r="MA47" s="31">
        <v>3325</v>
      </c>
      <c r="MB47" s="31">
        <v>16067</v>
      </c>
      <c r="MC47" s="31">
        <v>4100</v>
      </c>
      <c r="MD47" s="31">
        <v>18314</v>
      </c>
      <c r="ME47" s="31">
        <v>4495</v>
      </c>
      <c r="MF47" s="31">
        <v>20923</v>
      </c>
      <c r="MG47" s="31">
        <v>4412</v>
      </c>
      <c r="MH47" s="31">
        <v>21131</v>
      </c>
      <c r="MI47" s="31">
        <v>2402</v>
      </c>
      <c r="MJ47" s="31">
        <v>11648</v>
      </c>
      <c r="MK47" s="31">
        <v>2334</v>
      </c>
      <c r="ML47" s="31">
        <v>13425</v>
      </c>
      <c r="MM47" s="31"/>
      <c r="MN47" s="31"/>
    </row>
    <row r="48" spans="1:352" ht="14.4" customHeight="1" x14ac:dyDescent="0.3">
      <c r="A48" s="104" t="s">
        <v>325</v>
      </c>
      <c r="B48" s="10" t="s">
        <v>432</v>
      </c>
      <c r="C48" s="7"/>
      <c r="D48" s="7"/>
      <c r="E48" s="31"/>
      <c r="F48" s="7"/>
      <c r="G48" s="7"/>
      <c r="H48" s="31"/>
      <c r="I48" s="7"/>
      <c r="J48" s="7"/>
      <c r="K48" s="31"/>
      <c r="L48" s="16"/>
      <c r="M48" s="7"/>
      <c r="N48" s="31"/>
      <c r="O48" s="31"/>
      <c r="P48" s="31"/>
      <c r="Q48" s="31"/>
      <c r="R48" s="7"/>
      <c r="S48" s="7"/>
      <c r="T48" s="31"/>
      <c r="U48" s="7"/>
      <c r="V48" s="7"/>
      <c r="W48" s="31"/>
      <c r="X48" s="7"/>
      <c r="Y48" s="7"/>
      <c r="Z48" s="31"/>
      <c r="AA48" s="16"/>
      <c r="AB48" s="7"/>
      <c r="AC48" s="31"/>
      <c r="AD48" s="31"/>
      <c r="AE48" s="31"/>
      <c r="AF48" s="31"/>
      <c r="AG48" s="7"/>
      <c r="AH48" s="7"/>
      <c r="AI48" s="31"/>
      <c r="AJ48" s="7"/>
      <c r="AK48" s="7"/>
      <c r="AL48" s="31"/>
      <c r="AM48" s="7"/>
      <c r="AN48" s="7"/>
      <c r="AO48" s="31"/>
      <c r="AP48" s="16"/>
      <c r="AQ48" s="7"/>
      <c r="AR48" s="31"/>
      <c r="AS48" s="31"/>
      <c r="AT48" s="31"/>
      <c r="AU48" s="31"/>
      <c r="AV48" s="7"/>
      <c r="AW48" s="7"/>
      <c r="AX48" s="31"/>
      <c r="AY48" s="7"/>
      <c r="AZ48" s="7"/>
      <c r="BA48" s="31"/>
      <c r="BB48" s="7"/>
      <c r="BC48" s="7"/>
      <c r="BD48" s="31"/>
      <c r="BE48" s="16"/>
      <c r="BF48" s="7"/>
      <c r="BG48" s="31"/>
      <c r="BH48" s="31"/>
      <c r="BI48" s="31"/>
      <c r="BJ48" s="31"/>
      <c r="BK48" s="7"/>
      <c r="BL48" s="7"/>
      <c r="BM48" s="31"/>
      <c r="BN48" s="7"/>
      <c r="BO48" s="7"/>
      <c r="BP48" s="31"/>
      <c r="BQ48" s="7"/>
      <c r="BR48" s="7"/>
      <c r="BS48" s="31"/>
      <c r="BT48" s="16"/>
      <c r="BU48" s="7"/>
      <c r="BV48" s="31"/>
      <c r="BW48" s="31"/>
      <c r="BX48" s="31"/>
      <c r="BY48" s="31"/>
      <c r="BZ48" s="7"/>
      <c r="CA48" s="7"/>
      <c r="CB48" s="31"/>
      <c r="CC48" s="7"/>
      <c r="CD48" s="7"/>
      <c r="CE48" s="31"/>
      <c r="CF48" s="7"/>
      <c r="CG48" s="7"/>
      <c r="CH48" s="31"/>
      <c r="CI48" s="16"/>
      <c r="CJ48" s="7"/>
      <c r="CK48" s="31"/>
      <c r="CL48" s="31">
        <f t="shared" ref="CL48" si="108">BZ48+CC48+CF48+CI48</f>
        <v>0</v>
      </c>
      <c r="CM48" s="31">
        <f t="shared" ref="CM48" si="109">CA48+CD48+CG48+CJ48</f>
        <v>0</v>
      </c>
      <c r="CN48" s="31" t="str">
        <f>IF(CM48/(INDEX('Standards for Conversions'!$H$34:$H$73,MATCH(CL$3,'Standards for Conversions'!$A$34:$A$73,0)))=0,"",CM48/(INDEX('Standards for Conversions'!$H$34:$H$73,MATCH(CL$3,'Standards for Conversions'!$A$34:$A$73,0))))</f>
        <v/>
      </c>
      <c r="CO48" s="7"/>
      <c r="CP48" s="7"/>
      <c r="CQ48" s="31"/>
      <c r="CR48" s="7"/>
      <c r="CS48" s="7"/>
      <c r="CT48" s="31"/>
      <c r="CU48" s="7">
        <v>331</v>
      </c>
      <c r="CV48" s="7">
        <v>4500</v>
      </c>
      <c r="CW48" s="31">
        <v>796.52075910315466</v>
      </c>
      <c r="CX48" s="16"/>
      <c r="CY48" s="7"/>
      <c r="CZ48" s="31"/>
      <c r="DA48" s="31">
        <f t="shared" ref="DA48" si="110">CO48+CR48+CU48+CX48</f>
        <v>331</v>
      </c>
      <c r="DB48" s="31">
        <f t="shared" ref="DB48" si="111">CP48+CS48+CV48+CY48</f>
        <v>4500</v>
      </c>
      <c r="DC48" s="31">
        <f>IF(DB48/(INDEX('Standards for Conversions'!$H$34:$H$73,MATCH(DA$3,'Standards for Conversions'!$A$34:$A$73,0)))=0,"",DB48/(INDEX('Standards for Conversions'!$H$34:$H$73,MATCH(DA$3,'Standards for Conversions'!$A$34:$A$73,0))))</f>
        <v>796.52075910315466</v>
      </c>
      <c r="DD48" s="7"/>
      <c r="DE48" s="7"/>
      <c r="DF48" s="31"/>
      <c r="DG48" s="7"/>
      <c r="DH48" s="7"/>
      <c r="DI48" s="31"/>
      <c r="DJ48" s="7">
        <v>795</v>
      </c>
      <c r="DK48" s="7">
        <v>2220</v>
      </c>
      <c r="DL48" s="31">
        <v>388.71991559485531</v>
      </c>
      <c r="DM48" s="16"/>
      <c r="DN48" s="7"/>
      <c r="DO48" s="31"/>
      <c r="DP48" s="31">
        <f t="shared" ref="DP48" si="112">DD48+DG48+DJ48+DM48</f>
        <v>795</v>
      </c>
      <c r="DQ48" s="31">
        <f t="shared" ref="DQ48" si="113">DE48+DH48+DK48+DN48</f>
        <v>2220</v>
      </c>
      <c r="DR48" s="31">
        <f>IF(DQ48/(INDEX('Standards for Conversions'!$H$34:$H$73,MATCH(DP$3,'Standards for Conversions'!$A$34:$A$73,0)))=0,"",DQ48/(INDEX('Standards for Conversions'!$H$34:$H$73,MATCH(DP$3,'Standards for Conversions'!$A$34:$A$73,0))))</f>
        <v>388.71991559485531</v>
      </c>
      <c r="DS48" s="7"/>
      <c r="DT48" s="7"/>
      <c r="DU48" s="31"/>
      <c r="DV48" s="7"/>
      <c r="DW48" s="7"/>
      <c r="DX48" s="31"/>
      <c r="DY48" s="7">
        <v>795</v>
      </c>
      <c r="DZ48" s="7">
        <v>2220</v>
      </c>
      <c r="EA48" s="31">
        <v>388.24987942122181</v>
      </c>
      <c r="EB48" s="16"/>
      <c r="EC48" s="7"/>
      <c r="ED48" s="31"/>
      <c r="EE48" s="31">
        <f t="shared" ref="EE48" si="114">DS48+DV48+DY48+EB48</f>
        <v>795</v>
      </c>
      <c r="EF48" s="31">
        <f t="shared" ref="EF48" si="115">DT48+DW48+DZ48+EC48</f>
        <v>2220</v>
      </c>
      <c r="EG48" s="31">
        <f>IF(EF48/(INDEX('Standards for Conversions'!$H$34:$H$73,MATCH(EE$3,'Standards for Conversions'!$A$34:$A$73,0)))=0,"",EF48/(INDEX('Standards for Conversions'!$H$34:$H$73,MATCH(EE$3,'Standards for Conversions'!$A$34:$A$73,0))))</f>
        <v>388.24987942122181</v>
      </c>
      <c r="EH48" s="7"/>
      <c r="EI48" s="7"/>
      <c r="EJ48" s="31"/>
      <c r="EK48" s="7"/>
      <c r="EL48" s="7"/>
      <c r="EM48" s="31"/>
      <c r="EN48" s="16">
        <v>657</v>
      </c>
      <c r="EO48" s="9">
        <v>1955</v>
      </c>
      <c r="EP48" s="31">
        <v>334.8679558728744</v>
      </c>
      <c r="EQ48" s="16"/>
      <c r="ER48" s="7"/>
      <c r="ES48" s="31"/>
      <c r="ET48" s="31">
        <f t="shared" ref="ET48" si="116">EH48+EK48+EN48+EQ48</f>
        <v>657</v>
      </c>
      <c r="EU48" s="31">
        <f t="shared" ref="EU48" si="117">EI48+EL48+EO48+ER48</f>
        <v>1955</v>
      </c>
      <c r="EV48" s="31">
        <f>IF(EU48/(INDEX('Standards for Conversions'!$H$34:$H$73,MATCH(ET$3,'Standards for Conversions'!$A$34:$A$73,0)))=0,"",EU48/(INDEX('Standards for Conversions'!$H$34:$H$73,MATCH(ET$3,'Standards for Conversions'!$A$34:$A$73,0))))</f>
        <v>334.8679558728744</v>
      </c>
      <c r="EW48" s="7"/>
      <c r="EX48" s="7"/>
      <c r="EY48" s="31"/>
      <c r="EZ48" s="7"/>
      <c r="FA48" s="7"/>
      <c r="FB48" s="31"/>
      <c r="FC48" s="16">
        <v>750</v>
      </c>
      <c r="FD48" s="9">
        <v>2200</v>
      </c>
      <c r="FE48" s="31">
        <v>377.2993069435995</v>
      </c>
      <c r="FF48" s="16"/>
      <c r="FG48" s="7"/>
      <c r="FH48" s="31"/>
      <c r="FI48" s="31">
        <f t="shared" ref="FI48" si="118">EW48+EZ48+FC48+FF48</f>
        <v>750</v>
      </c>
      <c r="FJ48" s="31">
        <f t="shared" ref="FJ48" si="119">EX48+FA48+FD48+FG48</f>
        <v>2200</v>
      </c>
      <c r="FK48" s="31">
        <f>IF(FJ48/(INDEX('Standards for Conversions'!$H$34:$H$73,MATCH(FI$3,'Standards for Conversions'!$A$34:$A$73,0)))=0,"",FJ48/(INDEX('Standards for Conversions'!$H$34:$H$73,MATCH(FI$3,'Standards for Conversions'!$A$34:$A$73,0))))</f>
        <v>377.2993069435995</v>
      </c>
      <c r="FL48" s="7"/>
      <c r="FM48" s="7"/>
      <c r="FN48" s="31"/>
      <c r="FO48" s="7"/>
      <c r="FP48" s="7"/>
      <c r="FQ48" s="31"/>
      <c r="FR48" s="16">
        <v>450</v>
      </c>
      <c r="FS48" s="9">
        <v>1200</v>
      </c>
      <c r="FT48" s="31">
        <v>197.41519292604502</v>
      </c>
      <c r="FU48" s="16"/>
      <c r="FV48" s="7"/>
      <c r="FW48" s="31"/>
      <c r="FX48" s="31">
        <f t="shared" ref="FX48" si="120">FL48+FO48+FR48+FU48</f>
        <v>450</v>
      </c>
      <c r="FY48" s="31">
        <f t="shared" ref="FY48" si="121">FM48+FP48+FS48+FV48</f>
        <v>1200</v>
      </c>
      <c r="FZ48" s="31">
        <f>IF(FY48/(INDEX('Standards for Conversions'!$H$34:$H$73,MATCH(FX$3,'Standards for Conversions'!$A$34:$A$73,0)))=0,"",FY48/(INDEX('Standards for Conversions'!$H$34:$H$73,MATCH(FX$3,'Standards for Conversions'!$A$34:$A$73,0))))</f>
        <v>197.41519292604502</v>
      </c>
      <c r="GA48" s="7"/>
      <c r="GB48" s="7"/>
      <c r="GC48" s="31"/>
      <c r="GD48" s="7"/>
      <c r="GE48" s="7"/>
      <c r="GF48" s="31"/>
      <c r="GG48" s="16">
        <v>300</v>
      </c>
      <c r="GH48" s="9">
        <v>1000</v>
      </c>
      <c r="GI48" s="31">
        <v>153.71453245850353</v>
      </c>
      <c r="GJ48" s="16"/>
      <c r="GK48" s="7"/>
      <c r="GL48" s="31"/>
      <c r="GM48" s="31">
        <f t="shared" ref="GM48" si="122">GA48+GD48+GG48+GJ48</f>
        <v>300</v>
      </c>
      <c r="GN48" s="31">
        <f t="shared" ref="GN48" si="123">GB48+GE48+GH48+GK48</f>
        <v>1000</v>
      </c>
      <c r="GO48" s="31">
        <f>IF(GN48/(INDEX('Standards for Conversions'!$H$34:$H$73,MATCH(GM$3,'Standards for Conversions'!$A$34:$A$73,0)))=0,"",GN48/(INDEX('Standards for Conversions'!$H$34:$H$73,MATCH(GM$3,'Standards for Conversions'!$A$34:$A$73,0))))</f>
        <v>153.71453245850353</v>
      </c>
      <c r="GP48" s="7"/>
      <c r="GQ48" s="7"/>
      <c r="GR48" s="31"/>
      <c r="GS48" s="7"/>
      <c r="GT48" s="7"/>
      <c r="GU48" s="31"/>
      <c r="GV48" s="16">
        <v>450</v>
      </c>
      <c r="GW48" s="9">
        <v>1500</v>
      </c>
      <c r="GX48" s="31">
        <v>227.07828658642561</v>
      </c>
      <c r="GY48" s="16"/>
      <c r="GZ48" s="7"/>
      <c r="HA48" s="31"/>
      <c r="HB48" s="31">
        <f t="shared" ref="HB48" si="124">GP48+GS48+GV48+GY48</f>
        <v>450</v>
      </c>
      <c r="HC48" s="31">
        <f t="shared" ref="HC48" si="125">GQ48+GT48+GW48+GZ48</f>
        <v>1500</v>
      </c>
      <c r="HD48" s="31">
        <f>IF(HC48/(INDEX('Standards for Conversions'!$H$34:$H$73,MATCH(HB$3,'Standards for Conversions'!$A$34:$A$73,0)))=0,"",HC48/(INDEX('Standards for Conversions'!$H$34:$H$73,MATCH(HB$3,'Standards for Conversions'!$A$34:$A$73,0))))</f>
        <v>227.07828658642561</v>
      </c>
      <c r="HE48" s="112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1"/>
      <c r="IT48" s="31"/>
      <c r="IU48" s="31"/>
      <c r="IV48" s="31"/>
      <c r="IW48" s="31"/>
      <c r="IX48" s="31"/>
      <c r="IY48" s="31"/>
      <c r="IZ48" s="31"/>
      <c r="JA48" s="31"/>
      <c r="JB48" s="31"/>
      <c r="JC48" s="31"/>
      <c r="JD48" s="31"/>
      <c r="JE48" s="31"/>
      <c r="JF48" s="31"/>
      <c r="JG48" s="31"/>
      <c r="JH48" s="31"/>
      <c r="JI48" s="31"/>
      <c r="JJ48" s="31"/>
      <c r="JK48" s="31"/>
      <c r="JL48" s="31"/>
      <c r="JM48" s="31"/>
      <c r="JN48" s="31"/>
      <c r="JO48" s="31"/>
      <c r="JP48" s="31"/>
      <c r="JQ48" s="31"/>
      <c r="JR48" s="31"/>
      <c r="JS48" s="31"/>
      <c r="JT48" s="31"/>
      <c r="JU48" s="31"/>
      <c r="JV48" s="31"/>
      <c r="JW48" s="31"/>
      <c r="JX48" s="31"/>
      <c r="JY48" s="31"/>
      <c r="JZ48" s="31"/>
      <c r="KA48" s="31"/>
      <c r="KB48" s="31"/>
      <c r="KC48" s="31"/>
      <c r="KD48" s="31"/>
      <c r="KE48" s="31"/>
      <c r="KF48" s="31"/>
      <c r="KG48" s="31"/>
      <c r="KH48" s="31"/>
      <c r="KI48" s="31"/>
      <c r="KJ48" s="31"/>
      <c r="KK48" s="31"/>
      <c r="KL48" s="31"/>
      <c r="KM48" s="31"/>
      <c r="KN48" s="31"/>
      <c r="KO48" s="31"/>
      <c r="KP48" s="31"/>
      <c r="KQ48" s="31"/>
      <c r="KR48" s="31"/>
      <c r="KS48" s="31"/>
      <c r="KT48" s="31"/>
      <c r="KU48" s="31"/>
      <c r="KV48" s="31"/>
      <c r="KW48" s="31"/>
      <c r="KX48" s="31"/>
      <c r="KY48" s="31"/>
      <c r="KZ48" s="31"/>
      <c r="LA48" s="31"/>
      <c r="LB48" s="31"/>
      <c r="LC48" s="31"/>
      <c r="LD48" s="31"/>
      <c r="LE48" s="31"/>
      <c r="LF48" s="31"/>
      <c r="LG48" s="31"/>
      <c r="LH48" s="31"/>
      <c r="LI48" s="31"/>
      <c r="LJ48" s="31"/>
      <c r="LK48" s="31"/>
      <c r="LL48" s="31"/>
      <c r="LM48" s="31"/>
      <c r="LN48" s="31"/>
      <c r="LO48" s="31"/>
      <c r="LP48" s="31"/>
      <c r="LQ48" s="31"/>
      <c r="LR48" s="31"/>
      <c r="LS48" s="31"/>
      <c r="LT48" s="31"/>
      <c r="LU48" s="31"/>
      <c r="LV48" s="31"/>
      <c r="LW48" s="31"/>
      <c r="LX48" s="31"/>
      <c r="LY48" s="31"/>
      <c r="LZ48" s="31"/>
      <c r="MA48" s="31"/>
      <c r="MB48" s="31"/>
      <c r="MC48" s="31"/>
      <c r="MD48" s="31"/>
      <c r="ME48" s="31"/>
      <c r="MF48" s="31"/>
      <c r="MG48" s="31"/>
      <c r="MH48" s="31"/>
      <c r="MI48" s="31"/>
      <c r="MJ48" s="31"/>
      <c r="MK48" s="31"/>
      <c r="ML48" s="31"/>
      <c r="MM48" s="31"/>
      <c r="MN48" s="31"/>
    </row>
    <row r="49" spans="1:352" ht="14.4" customHeight="1" x14ac:dyDescent="0.3">
      <c r="A49" s="50" t="s">
        <v>61</v>
      </c>
      <c r="B49" s="10"/>
      <c r="C49" s="7"/>
      <c r="D49" s="7">
        <v>24200</v>
      </c>
      <c r="E49" s="31">
        <v>4780.5219594594591</v>
      </c>
      <c r="F49" s="7"/>
      <c r="G49" s="7">
        <v>48800</v>
      </c>
      <c r="H49" s="31">
        <v>9640.0608108108099</v>
      </c>
      <c r="I49" s="7"/>
      <c r="J49" s="7">
        <v>451320</v>
      </c>
      <c r="K49" s="31">
        <v>89154.75912162161</v>
      </c>
      <c r="L49" s="7"/>
      <c r="M49" s="7">
        <v>936195</v>
      </c>
      <c r="N49" s="31">
        <v>184938.0477618243</v>
      </c>
      <c r="O49" s="31">
        <f>C49+F49+I49+L49</f>
        <v>0</v>
      </c>
      <c r="P49" s="31">
        <f>D49+G49+J49+M49</f>
        <v>1460515</v>
      </c>
      <c r="Q49" s="31">
        <f>IF(P49/(INDEX('Standards for Conversions'!$H$34:$H$73,MATCH(O$3,'Standards for Conversions'!$A$34:$A$73,0)))=0,"",P49/(INDEX('Standards for Conversions'!$H$34:$H$73,MATCH(O$3,'Standards for Conversions'!$A$34:$A$73,0))))</f>
        <v>288513.38965371618</v>
      </c>
      <c r="R49" s="7"/>
      <c r="S49" s="7">
        <v>11440</v>
      </c>
      <c r="T49" s="31">
        <v>2204.173235132238</v>
      </c>
      <c r="U49" s="7"/>
      <c r="V49" s="7">
        <v>61700</v>
      </c>
      <c r="W49" s="31">
        <v>11887.892360809361</v>
      </c>
      <c r="X49" s="7"/>
      <c r="Y49" s="7">
        <v>478750</v>
      </c>
      <c r="Z49" s="31">
        <v>92241.95247548593</v>
      </c>
      <c r="AA49" s="7"/>
      <c r="AB49" s="7">
        <v>1124390</v>
      </c>
      <c r="AC49" s="31">
        <v>216639.01607083366</v>
      </c>
      <c r="AD49" s="31">
        <f>R49+U49+X49+AA49</f>
        <v>0</v>
      </c>
      <c r="AE49" s="31">
        <f>S49+V49+Y49+AB49</f>
        <v>1676280</v>
      </c>
      <c r="AF49" s="31">
        <f>IF(AE49/(INDEX('Standards for Conversions'!$H$34:$H$73,MATCH(AD$3,'Standards for Conversions'!$A$34:$A$73,0)))=0,"",AE49/(INDEX('Standards for Conversions'!$H$34:$H$73,MATCH(AD$3,'Standards for Conversions'!$A$34:$A$73,0))))</f>
        <v>322973.0341422612</v>
      </c>
      <c r="AG49" s="7"/>
      <c r="AH49" s="7">
        <v>15890</v>
      </c>
      <c r="AI49" s="31">
        <v>2839.5181668404734</v>
      </c>
      <c r="AJ49" s="7"/>
      <c r="AK49" s="7">
        <v>107340</v>
      </c>
      <c r="AL49" s="31">
        <v>19181.490247240807</v>
      </c>
      <c r="AM49" s="7"/>
      <c r="AN49" s="7">
        <v>325950</v>
      </c>
      <c r="AO49" s="31">
        <v>58246.755599852258</v>
      </c>
      <c r="AP49" s="7"/>
      <c r="AQ49" s="7">
        <v>864630</v>
      </c>
      <c r="AR49" s="31">
        <v>160549.22047802425</v>
      </c>
      <c r="AS49" s="31">
        <f>AG49+AJ49+AM49+AP49</f>
        <v>0</v>
      </c>
      <c r="AT49" s="31">
        <f>AH49+AK49+AN49+AQ49</f>
        <v>1313810</v>
      </c>
      <c r="AU49" s="31">
        <f>IF(AT49/(INDEX('Standards for Conversions'!$H$34:$H$73,MATCH(AS$3,'Standards for Conversions'!$A$34:$A$73,0)))=0,"",AT49/(INDEX('Standards for Conversions'!$H$34:$H$73,MATCH(AS$3,'Standards for Conversions'!$A$34:$A$73,0))))</f>
        <v>234775.79375561248</v>
      </c>
      <c r="AV49" s="7"/>
      <c r="AW49" s="7"/>
      <c r="AX49" s="31" t="s">
        <v>128</v>
      </c>
      <c r="AY49" s="7"/>
      <c r="AZ49" s="7">
        <v>152050</v>
      </c>
      <c r="BA49" s="31">
        <v>28233.474403714405</v>
      </c>
      <c r="BB49" s="7"/>
      <c r="BC49" s="7">
        <v>505650</v>
      </c>
      <c r="BD49" s="31">
        <v>93891.853549741456</v>
      </c>
      <c r="BE49" s="7"/>
      <c r="BF49" s="7">
        <v>1030800</v>
      </c>
      <c r="BG49" s="31">
        <v>191404.57359650647</v>
      </c>
      <c r="BH49" s="31">
        <f>AV49+AY49+BB49+BE49</f>
        <v>0</v>
      </c>
      <c r="BI49" s="31">
        <f>AW49+AZ49+BC49+BF49</f>
        <v>1688500</v>
      </c>
      <c r="BJ49" s="31">
        <f>IF(BI49/(INDEX('Standards for Conversions'!$H$34:$H$73,MATCH(BH$3,'Standards for Conversions'!$A$34:$A$73,0)))=0,"",BI49/(INDEX('Standards for Conversions'!$H$34:$H$73,MATCH(BH$3,'Standards for Conversions'!$A$34:$A$73,0))))</f>
        <v>313529.90154996235</v>
      </c>
      <c r="BK49" s="7"/>
      <c r="BL49" s="7">
        <v>13450</v>
      </c>
      <c r="BM49" s="31">
        <v>2394.9507550657568</v>
      </c>
      <c r="BN49" s="7"/>
      <c r="BO49" s="7">
        <v>104240</v>
      </c>
      <c r="BP49" s="31">
        <v>18561.313509892527</v>
      </c>
      <c r="BQ49" s="7"/>
      <c r="BR49" s="7">
        <v>189070</v>
      </c>
      <c r="BS49" s="31">
        <v>33666.419275857443</v>
      </c>
      <c r="BT49" s="7"/>
      <c r="BU49" s="7">
        <v>914575</v>
      </c>
      <c r="BV49" s="31">
        <v>162852.19976314233</v>
      </c>
      <c r="BW49" s="31">
        <f>BK49+BN49+BQ49+BT49</f>
        <v>0</v>
      </c>
      <c r="BX49" s="31">
        <f>BL49+BO49+BR49+BU49</f>
        <v>1221335</v>
      </c>
      <c r="BY49" s="31">
        <f>IF(BX49/(INDEX('Standards for Conversions'!$H$34:$H$73,MATCH(BW$3,'Standards for Conversions'!$A$34:$A$73,0)))=0,"",BX49/(INDEX('Standards for Conversions'!$H$34:$H$73,MATCH(BW$3,'Standards for Conversions'!$A$34:$A$73,0))))</f>
        <v>217474.88330395805</v>
      </c>
      <c r="BZ49" s="7"/>
      <c r="CA49" s="7">
        <v>26450</v>
      </c>
      <c r="CB49" s="31">
        <v>4592.1687251962576</v>
      </c>
      <c r="CC49" s="7"/>
      <c r="CD49" s="7">
        <v>148640</v>
      </c>
      <c r="CE49" s="31">
        <v>25806.425682917645</v>
      </c>
      <c r="CF49" s="7"/>
      <c r="CG49" s="7">
        <v>301610</v>
      </c>
      <c r="CH49" s="31">
        <v>52364.612824440192</v>
      </c>
      <c r="CI49" s="7"/>
      <c r="CJ49" s="7">
        <v>1222940</v>
      </c>
      <c r="CK49" s="31">
        <v>212323.13122085106</v>
      </c>
      <c r="CL49" s="31">
        <f>BZ49+CC49+CF49+CI49</f>
        <v>0</v>
      </c>
      <c r="CM49" s="31">
        <f>CA49+CD49+CG49+CJ49</f>
        <v>1699640</v>
      </c>
      <c r="CN49" s="31">
        <f>IF(CM49/(INDEX('Standards for Conversions'!$H$34:$H$73,MATCH(CL$3,'Standards for Conversions'!$A$34:$A$73,0)))=0,"",CM49/(INDEX('Standards for Conversions'!$H$34:$H$73,MATCH(CL$3,'Standards for Conversions'!$A$34:$A$73,0))))</f>
        <v>295086.33845340519</v>
      </c>
      <c r="CO49" s="7"/>
      <c r="CP49" s="7">
        <v>9850</v>
      </c>
      <c r="CQ49" s="31">
        <v>1743.4954393702385</v>
      </c>
      <c r="CR49" s="7"/>
      <c r="CS49" s="7">
        <v>148640</v>
      </c>
      <c r="CT49" s="31">
        <v>26309.965696242867</v>
      </c>
      <c r="CU49" s="7"/>
      <c r="CV49" s="7">
        <v>208645</v>
      </c>
      <c r="CW49" s="31">
        <v>36931.127507350597</v>
      </c>
      <c r="CX49" s="7"/>
      <c r="CY49" s="7">
        <v>1285237</v>
      </c>
      <c r="CZ49" s="31">
        <v>227492.87797054692</v>
      </c>
      <c r="DA49" s="31">
        <f>CO49+CR49+CU49+CX49</f>
        <v>0</v>
      </c>
      <c r="DB49" s="31">
        <f>CP49+CS49+CV49+CY49</f>
        <v>1652372</v>
      </c>
      <c r="DC49" s="31">
        <f>IF(DB49/(INDEX('Standards for Conversions'!$H$34:$H$73,MATCH(DA$3,'Standards for Conversions'!$A$34:$A$73,0)))=0,"",DB49/(INDEX('Standards for Conversions'!$H$34:$H$73,MATCH(DA$3,'Standards for Conversions'!$A$34:$A$73,0))))</f>
        <v>292477.46661351062</v>
      </c>
      <c r="DD49" s="7"/>
      <c r="DE49" s="7">
        <v>13150</v>
      </c>
      <c r="DF49" s="31">
        <v>2302.5526531857417</v>
      </c>
      <c r="DG49" s="7"/>
      <c r="DH49" s="7">
        <v>144920</v>
      </c>
      <c r="DI49" s="31">
        <v>25375.355931534428</v>
      </c>
      <c r="DJ49" s="7"/>
      <c r="DK49" s="7">
        <v>350845</v>
      </c>
      <c r="DL49" s="31">
        <v>61432.630084178832</v>
      </c>
      <c r="DM49" s="7"/>
      <c r="DN49" s="7">
        <v>1175090</v>
      </c>
      <c r="DO49" s="31">
        <v>205757.15568304437</v>
      </c>
      <c r="DP49" s="31">
        <f>DD49+DG49+DJ49+DM49</f>
        <v>0</v>
      </c>
      <c r="DQ49" s="31">
        <f>DE49+DH49+DK49+DN49</f>
        <v>1684005</v>
      </c>
      <c r="DR49" s="31">
        <f>IF(DQ49/(INDEX('Standards for Conversions'!$H$34:$H$73,MATCH(DP$3,'Standards for Conversions'!$A$34:$A$73,0)))=0,"",DQ49/(INDEX('Standards for Conversions'!$H$34:$H$73,MATCH(DP$3,'Standards for Conversions'!$A$34:$A$73,0))))</f>
        <v>294867.69435194338</v>
      </c>
      <c r="DS49" s="7"/>
      <c r="DT49" s="7">
        <v>23215</v>
      </c>
      <c r="DU49" s="31">
        <v>4060.0094372809299</v>
      </c>
      <c r="DV49" s="7"/>
      <c r="DW49" s="7">
        <v>210025</v>
      </c>
      <c r="DX49" s="31">
        <v>36730.712128577528</v>
      </c>
      <c r="DY49" s="7"/>
      <c r="DZ49" s="7">
        <v>401305</v>
      </c>
      <c r="EA49" s="31">
        <v>70183.161198708753</v>
      </c>
      <c r="EB49" s="7"/>
      <c r="EC49" s="7">
        <v>1262728</v>
      </c>
      <c r="ED49" s="31">
        <v>220835.1323161264</v>
      </c>
      <c r="EE49" s="31">
        <f>DS49+DV49+DY49+EB49</f>
        <v>0</v>
      </c>
      <c r="EF49" s="31">
        <f>DT49+DW49+DZ49+EC49</f>
        <v>1897273</v>
      </c>
      <c r="EG49" s="31">
        <f>IF(EF49/(INDEX('Standards for Conversions'!$H$34:$H$73,MATCH(EE$3,'Standards for Conversions'!$A$34:$A$73,0)))=0,"",EF49/(INDEX('Standards for Conversions'!$H$34:$H$73,MATCH(EE$3,'Standards for Conversions'!$A$34:$A$73,0))))</f>
        <v>331809.01508069359</v>
      </c>
      <c r="EH49" s="7"/>
      <c r="EI49" s="7">
        <v>74735</v>
      </c>
      <c r="EJ49" s="31">
        <v>12801.205464020088</v>
      </c>
      <c r="EK49" s="7"/>
      <c r="EL49" s="7">
        <v>153285</v>
      </c>
      <c r="EM49" s="31">
        <v>26255.87448387394</v>
      </c>
      <c r="EN49" s="9"/>
      <c r="EO49" s="9">
        <v>413393</v>
      </c>
      <c r="EP49" s="31">
        <v>70809.242394964283</v>
      </c>
      <c r="EQ49" s="7"/>
      <c r="ER49" s="7">
        <v>1341568</v>
      </c>
      <c r="ES49" s="31">
        <v>229794.44185394395</v>
      </c>
      <c r="ET49" s="31">
        <f>EH49+EK49+EN49+EQ49</f>
        <v>0</v>
      </c>
      <c r="EU49" s="31">
        <f>EI49+EL49+EO49+ER49</f>
        <v>1982981</v>
      </c>
      <c r="EV49" s="31">
        <f>IF(EU49/(INDEX('Standards for Conversions'!$H$34:$H$73,MATCH(ET$3,'Standards for Conversions'!$A$34:$A$73,0)))=0,"",EU49/(INDEX('Standards for Conversions'!$H$34:$H$73,MATCH(ET$3,'Standards for Conversions'!$A$34:$A$73,0))))</f>
        <v>339660.76419680228</v>
      </c>
      <c r="EW49" s="7"/>
      <c r="EX49" s="7">
        <v>77200</v>
      </c>
      <c r="EY49" s="31">
        <v>13239.775680020855</v>
      </c>
      <c r="EZ49" s="7"/>
      <c r="FA49" s="7">
        <v>145990</v>
      </c>
      <c r="FB49" s="31">
        <v>25037.239009407313</v>
      </c>
      <c r="FC49" s="9"/>
      <c r="FD49" s="9">
        <v>433880</v>
      </c>
      <c r="FE49" s="31">
        <v>74410.283316676796</v>
      </c>
      <c r="FF49" s="7"/>
      <c r="FG49" s="7">
        <v>1320955</v>
      </c>
      <c r="FH49" s="31">
        <v>226543.36636531021</v>
      </c>
      <c r="FI49" s="31">
        <f>EW49+EZ49+FC49+FF49</f>
        <v>0</v>
      </c>
      <c r="FJ49" s="31">
        <f>EX49+FA49+FD49+FG49</f>
        <v>1978025</v>
      </c>
      <c r="FK49" s="31">
        <f>IF(FJ49/(INDEX('Standards for Conversions'!$H$34:$H$73,MATCH(FI$3,'Standards for Conversions'!$A$34:$A$73,0)))=0,"",FJ49/(INDEX('Standards for Conversions'!$H$34:$H$73,MATCH(FI$3,'Standards for Conversions'!$A$34:$A$73,0))))</f>
        <v>339230.66437141516</v>
      </c>
      <c r="FL49" s="7"/>
      <c r="FM49" s="7">
        <v>126400</v>
      </c>
      <c r="FN49" s="31">
        <v>20794.40032154341</v>
      </c>
      <c r="FO49" s="7"/>
      <c r="FP49" s="7">
        <v>187350</v>
      </c>
      <c r="FQ49" s="31">
        <v>30821.446995578775</v>
      </c>
      <c r="FR49" s="9"/>
      <c r="FS49" s="9">
        <v>391690</v>
      </c>
      <c r="FT49" s="31">
        <v>64437.96409766881</v>
      </c>
      <c r="FU49" s="7"/>
      <c r="FV49" s="7">
        <v>991857</v>
      </c>
      <c r="FW49" s="31">
        <v>163173.0341750402</v>
      </c>
      <c r="FX49" s="31">
        <f>FL49+FO49+FR49+FU49</f>
        <v>0</v>
      </c>
      <c r="FY49" s="31">
        <f>FM49+FP49+FS49+FV49</f>
        <v>1697297</v>
      </c>
      <c r="FZ49" s="31">
        <f>IF(FY49/(INDEX('Standards for Conversions'!$H$34:$H$73,MATCH(FX$3,'Standards for Conversions'!$A$34:$A$73,0)))=0,"",FY49/(INDEX('Standards for Conversions'!$H$34:$H$73,MATCH(FX$3,'Standards for Conversions'!$A$34:$A$73,0))))</f>
        <v>279226.84558983118</v>
      </c>
      <c r="GA49" s="7"/>
      <c r="GB49" s="7">
        <v>92100</v>
      </c>
      <c r="GC49" s="31">
        <v>14157.108439428175</v>
      </c>
      <c r="GD49" s="7"/>
      <c r="GE49" s="7">
        <v>180885</v>
      </c>
      <c r="GF49" s="31">
        <v>27804.65320375641</v>
      </c>
      <c r="GG49" s="9"/>
      <c r="GH49" s="9">
        <v>367475</v>
      </c>
      <c r="GI49" s="31">
        <v>56486.247815188581</v>
      </c>
      <c r="GJ49" s="7"/>
      <c r="GK49" s="7">
        <v>1137350</v>
      </c>
      <c r="GL49" s="31">
        <v>174827.22349167897</v>
      </c>
      <c r="GM49" s="31">
        <f>GA49+GD49+GG49+GJ49</f>
        <v>0</v>
      </c>
      <c r="GN49" s="31">
        <f>GB49+GE49+GH49+GK49</f>
        <v>1777810</v>
      </c>
      <c r="GO49" s="31">
        <f>IF(GN49/(INDEX('Standards for Conversions'!$H$34:$H$73,MATCH(GM$3,'Standards for Conversions'!$A$34:$A$73,0)))=0,"",GN49/(INDEX('Standards for Conversions'!$H$34:$H$73,MATCH(GM$3,'Standards for Conversions'!$A$34:$A$73,0))))</f>
        <v>273275.23295005213</v>
      </c>
      <c r="GP49" s="7"/>
      <c r="GQ49" s="7">
        <v>61200</v>
      </c>
      <c r="GR49" s="31">
        <v>9264.7940927261643</v>
      </c>
      <c r="GS49" s="7"/>
      <c r="GT49" s="7">
        <v>208525</v>
      </c>
      <c r="GU49" s="31">
        <v>31567.666473622932</v>
      </c>
      <c r="GV49" s="9"/>
      <c r="GW49" s="9">
        <v>416840</v>
      </c>
      <c r="GX49" s="31">
        <v>63103.541987123768</v>
      </c>
      <c r="GY49" s="7"/>
      <c r="GZ49" s="7">
        <v>1175830</v>
      </c>
      <c r="HA49" s="31">
        <v>178003.6411446112</v>
      </c>
      <c r="HB49" s="31">
        <f>GP49+GS49+GV49+GY49</f>
        <v>0</v>
      </c>
      <c r="HC49" s="31">
        <f>GQ49+GT49+GW49+GZ49</f>
        <v>1862395</v>
      </c>
      <c r="HD49" s="31">
        <f>IF(HC49/(INDEX('Standards for Conversions'!$H$34:$H$73,MATCH(HB$3,'Standards for Conversions'!$A$34:$A$73,0)))=0,"",HC49/(INDEX('Standards for Conversions'!$H$34:$H$73,MATCH(HB$3,'Standards for Conversions'!$A$34:$A$73,0))))</f>
        <v>281939.64369808411</v>
      </c>
      <c r="HE49" s="31"/>
      <c r="HF49" s="31"/>
      <c r="HG49" s="31">
        <v>52600</v>
      </c>
      <c r="HH49" s="31">
        <f>IF(HG49/(INDEX('Standards for Conversions'!$H$47:$H$73,MATCH(HF$3,'Standards for Conversions'!$A$47:$A$73,0)))=0,"",HG49/(INDEX('Standards for Conversions'!$H$47:$H$73,MATCH(HF$3,'Standards for Conversions'!$A$47:$A$73,0))))</f>
        <v>7639.9086823962234</v>
      </c>
      <c r="HI49" s="31"/>
      <c r="HJ49" s="31">
        <v>210030</v>
      </c>
      <c r="HK49" s="31">
        <f>IF(HJ49/(INDEX('Standards for Conversions'!$H$47:$H$73,MATCH(HI$3,'Standards for Conversions'!$A$47:$A$73,0)))=0,"",HJ49/(INDEX('Standards for Conversions'!$H$47:$H$73,MATCH(HI$3,'Standards for Conversions'!$A$47:$A$73,0))))</f>
        <v>30505.893927066136</v>
      </c>
      <c r="HL49" s="31"/>
      <c r="HM49" s="31">
        <v>401560</v>
      </c>
      <c r="HN49" s="31">
        <f>IF(HM49/(INDEX('Standards for Conversions'!$H$47:$H$73,MATCH(HL$3,'Standards for Conversions'!$A$47:$A$73,0)))=0,"",HM49/(INDEX('Standards for Conversions'!$H$47:$H$73,MATCH(HL$3,'Standards for Conversions'!$A$47:$A$73,0))))</f>
        <v>58324.747728194438</v>
      </c>
      <c r="HO49" s="31"/>
      <c r="HP49" s="31">
        <v>1193080</v>
      </c>
      <c r="HQ49" s="31">
        <f>IF(HP49/(INDEX('Standards for Conversions'!$H$47:$H$73,MATCH(HO$3,'Standards for Conversions'!$A$47:$A$73,0)))=0,"",HP49/(INDEX('Standards for Conversions'!$H$47:$H$73,MATCH(HO$3,'Standards for Conversions'!$A$47:$A$73,0))))</f>
        <v>173289.39640291419</v>
      </c>
      <c r="HR49" s="31"/>
      <c r="HS49" s="31">
        <f>HG49+HJ49+HM49+HP49</f>
        <v>1857270</v>
      </c>
      <c r="HT49" s="31">
        <f>IF(HS49/(INDEX('Standards for Conversions'!$H$47:$H$73,MATCH(HR$3,'Standards for Conversions'!$A$47:$A$73,0)))=0,"",HS49/(INDEX('Standards for Conversions'!$H$47:$H$73,MATCH(HR$3,'Standards for Conversions'!$A$47:$A$73,0))))</f>
        <v>269759.946740571</v>
      </c>
      <c r="HU49" s="31"/>
      <c r="HV49" s="31">
        <v>41925</v>
      </c>
      <c r="HW49" s="31">
        <f>IF(HV49/(INDEX('Standards for Conversions'!$H$47:$H$73,MATCH(HU$3,'Standards for Conversions'!$A$47:$A$73,0)))=0,"",HV49/(INDEX('Standards for Conversions'!$H$47:$H$73,MATCH(HU$3,'Standards for Conversions'!$A$47:$A$73,0))))</f>
        <v>6062.783817051577</v>
      </c>
      <c r="HX49" s="31"/>
      <c r="HY49" s="31">
        <v>194394</v>
      </c>
      <c r="HZ49" s="31">
        <f>IF(HY49/(INDEX('Standards for Conversions'!$H$47:$H$73,MATCH(HX$3,'Standards for Conversions'!$A$47:$A$73,0)))=0,"",HY49/(INDEX('Standards for Conversions'!$H$47:$H$73,MATCH(HX$3,'Standards for Conversions'!$A$47:$A$73,0))))</f>
        <v>28111.360699628483</v>
      </c>
      <c r="IA49" s="31"/>
      <c r="IB49" s="31">
        <v>373004</v>
      </c>
      <c r="IC49" s="31">
        <f>IF(IB49/(INDEX('Standards for Conversions'!$H$47:$H$73,MATCH(IA$3,'Standards for Conversions'!$A$47:$A$73,0)))=0,"",IB49/(INDEX('Standards for Conversions'!$H$47:$H$73,MATCH(IA$3,'Standards for Conversions'!$A$47:$A$73,0))))</f>
        <v>53940.193557436047</v>
      </c>
      <c r="ID49" s="31"/>
      <c r="IE49" s="31">
        <v>1388403</v>
      </c>
      <c r="IF49" s="31">
        <f>IF(IE49/(INDEX('Standards for Conversions'!$H$47:$H$73,MATCH(ID$3,'Standards for Conversions'!$A$47:$A$73,0)))=0,"",IE49/(INDEX('Standards for Conversions'!$H$47:$H$73,MATCH(ID$3,'Standards for Conversions'!$A$47:$A$73,0))))</f>
        <v>200777.27465583448</v>
      </c>
      <c r="IG49" s="31"/>
      <c r="IH49" s="31">
        <f>HV49+HY49+IB49+IE49</f>
        <v>1997726</v>
      </c>
      <c r="II49" s="31">
        <f>IF(IH49/(INDEX('Standards for Conversions'!$H$47:$H$73,MATCH(IG$3,'Standards for Conversions'!$A$47:$A$73,0)))=0,"",IH49/(INDEX('Standards for Conversions'!$H$47:$H$73,MATCH(IG$3,'Standards for Conversions'!$A$47:$A$73,0))))</f>
        <v>288891.61272995058</v>
      </c>
      <c r="IJ49" s="31"/>
      <c r="IK49" s="31">
        <v>40850</v>
      </c>
      <c r="IL49" s="31">
        <f>IF(IK49/(INDEX('Standards for Conversions'!$H$47:$H$73,MATCH(IJ$3,'Standards for Conversions'!$A$47:$A$73,0)))=0,"",IK49/(INDEX('Standards for Conversions'!$H$47:$H$73,MATCH(IJ$3,'Standards for Conversions'!$A$47:$A$73,0))))</f>
        <v>6607.9040348628359</v>
      </c>
      <c r="IM49" s="31"/>
      <c r="IN49" s="31">
        <v>162340</v>
      </c>
      <c r="IO49" s="31">
        <f>IF(IN49/(INDEX('Standards for Conversions'!$H$47:$H$73,MATCH(IM$3,'Standards for Conversions'!$A$47:$A$73,0)))=0,"",IN49/(INDEX('Standards for Conversions'!$H$47:$H$73,MATCH(IM$3,'Standards for Conversions'!$A$47:$A$73,0))))</f>
        <v>26260.150330957964</v>
      </c>
      <c r="IP49" s="31"/>
      <c r="IQ49" s="31">
        <v>341470</v>
      </c>
      <c r="IR49" s="31">
        <f>IF(IQ49/(INDEX('Standards for Conversions'!$H$47:$H$73,MATCH(IP$3,'Standards for Conversions'!$A$47:$A$73,0)))=0,"",IQ49/(INDEX('Standards for Conversions'!$H$47:$H$73,MATCH(IP$3,'Standards for Conversions'!$A$47:$A$73,0))))</f>
        <v>55236.254364372406</v>
      </c>
      <c r="IS49" s="31"/>
      <c r="IT49" s="31">
        <v>1438610</v>
      </c>
      <c r="IU49" s="31">
        <f>IF(IT49/(INDEX('Standards for Conversions'!$H$47:$H$73,MATCH(IS$3,'Standards for Conversions'!$A$47:$A$73,0)))=0,"",IT49/(INDEX('Standards for Conversions'!$H$47:$H$73,MATCH(IS$3,'Standards for Conversions'!$A$47:$A$73,0))))</f>
        <v>232709.83656288922</v>
      </c>
      <c r="IV49" s="31"/>
      <c r="IW49" s="31">
        <f t="shared" si="104"/>
        <v>1983270</v>
      </c>
      <c r="IX49" s="31">
        <f>IF(IW49/(INDEX('Standards for Conversions'!$H$47:$H$73,MATCH(IV$3,'Standards for Conversions'!$A$47:$A$73,0)))=0,"",IW49/(INDEX('Standards for Conversions'!$H$47:$H$73,MATCH(IV$3,'Standards for Conversions'!$A$47:$A$73,0))))</f>
        <v>320814.1452930824</v>
      </c>
      <c r="IY49" s="31"/>
      <c r="IZ49" s="31">
        <v>31550</v>
      </c>
      <c r="JA49" s="31">
        <f>IF(IZ49/(INDEX('Standards for Conversions'!$H$47:$H$73,MATCH(IY$3,'Standards for Conversions'!$A$47:$A$73,0)))=0,"",IZ49/(INDEX('Standards for Conversions'!$H$47:$H$73,MATCH(IY$3,'Standards for Conversions'!$A$47:$A$73,0))))</f>
        <v>4816.2934060970128</v>
      </c>
      <c r="JB49" s="31"/>
      <c r="JC49" s="31">
        <v>189120</v>
      </c>
      <c r="JD49" s="31">
        <f>IF(JC49/(INDEX('Standards for Conversions'!$H$47:$H$73,MATCH(JB$3,'Standards for Conversions'!$A$47:$A$73,0)))=0,"",JC49/(INDEX('Standards for Conversions'!$H$47:$H$73,MATCH(JB$3,'Standards for Conversions'!$A$47:$A$73,0))))</f>
        <v>28870.282375945077</v>
      </c>
      <c r="JE49" s="31"/>
      <c r="JF49" s="31">
        <v>326980</v>
      </c>
      <c r="JG49" s="31">
        <f>IF(JF49/(INDEX('Standards for Conversions'!$H$47:$H$73,MATCH(JE$3,'Standards for Conversions'!$A$47:$A$73,0)))=0,"",JF49/(INDEX('Standards for Conversions'!$H$47:$H$73,MATCH(JE$3,'Standards for Conversions'!$A$47:$A$73,0))))</f>
        <v>49915.423706041249</v>
      </c>
      <c r="JH49" s="31"/>
      <c r="JI49" s="31">
        <v>1318582</v>
      </c>
      <c r="JJ49" s="31">
        <f>IF(JI49/(INDEX('Standards for Conversions'!$H$47:$H$73,MATCH(JH$3,'Standards for Conversions'!$A$47:$A$73,0)))=0,"",JI49/(INDEX('Standards for Conversions'!$H$47:$H$73,MATCH(JH$3,'Standards for Conversions'!$A$47:$A$73,0))))</f>
        <v>201289.31194923018</v>
      </c>
      <c r="JK49" s="31"/>
      <c r="JL49" s="31">
        <f t="shared" si="105"/>
        <v>1866232</v>
      </c>
      <c r="JM49" s="31">
        <f>IF(JL49/(INDEX('Standards for Conversions'!$H$47:$H$73,MATCH(JK$3,'Standards for Conversions'!$A$47:$A$73,0)))=0,"",JL49/(INDEX('Standards for Conversions'!$H$47:$H$73,MATCH(JK$3,'Standards for Conversions'!$A$47:$A$73,0))))</f>
        <v>284891.3114373135</v>
      </c>
      <c r="JN49" s="31"/>
      <c r="JO49" s="31">
        <v>13150</v>
      </c>
      <c r="JP49" s="31">
        <f>IF(JO49/(INDEX('Standards for Conversions'!$H$47:$H$73,MATCH(JN$3,'Standards for Conversions'!$A$47:$A$73,0)))=0,"",JO49/(INDEX('Standards for Conversions'!$H$47:$H$73,MATCH(JN$3,'Standards for Conversions'!$A$47:$A$73,0))))</f>
        <v>1770.7660065612235</v>
      </c>
      <c r="JQ49" s="31"/>
      <c r="JR49" s="31">
        <v>184710</v>
      </c>
      <c r="JS49" s="31">
        <f>IF(JR49/(INDEX('Standards for Conversions'!$H$47:$H$73,MATCH(JQ$3,'Standards for Conversions'!$A$47:$A$73,0)))=0,"",JR49/(INDEX('Standards for Conversions'!$H$47:$H$73,MATCH(JQ$3,'Standards for Conversions'!$A$47:$A$73,0))))</f>
        <v>24872.866089119663</v>
      </c>
      <c r="JT49" s="31"/>
      <c r="JU49" s="31">
        <v>345640</v>
      </c>
      <c r="JV49" s="31">
        <f>IF(JU49/(INDEX('Standards for Conversions'!$H$47:$H$73,MATCH(JT$3,'Standards for Conversions'!$A$47:$A$73,0)))=0,"",JU49/(INDEX('Standards for Conversions'!$H$47:$H$73,MATCH(JT$3,'Standards for Conversions'!$A$47:$A$73,0))))</f>
        <v>46543.540875119492</v>
      </c>
      <c r="JW49" s="31"/>
      <c r="JX49" s="31">
        <v>1438340</v>
      </c>
      <c r="JY49" s="31">
        <f>IF(JX49/(INDEX('Standards for Conversions'!$H$47:$H$73,MATCH(JW$3,'Standards for Conversions'!$A$47:$A$73,0)))=0,"",JX49/(INDEX('Standards for Conversions'!$H$47:$H$73,MATCH(JW$3,'Standards for Conversions'!$A$47:$A$73,0))))</f>
        <v>193685.44318458327</v>
      </c>
      <c r="JZ49" s="31"/>
      <c r="KA49" s="31">
        <f t="shared" si="106"/>
        <v>1981840</v>
      </c>
      <c r="KB49" s="31">
        <f>IF(KA49/(INDEX('Standards for Conversions'!$H$47:$H$73,MATCH(JZ$3,'Standards for Conversions'!$A$47:$A$73,0)))=0,"",KA49/(INDEX('Standards for Conversions'!$H$47:$H$73,MATCH(JZ$3,'Standards for Conversions'!$A$47:$A$73,0))))</f>
        <v>266872.61615538364</v>
      </c>
      <c r="KC49" s="31"/>
      <c r="KD49" s="31">
        <v>15780</v>
      </c>
      <c r="KE49" s="31">
        <f>IF(KD49/(INDEX('Standards for Conversions'!$H$47:$H$73,MATCH(KC$3,'Standards for Conversions'!$A$47:$A$73,0)))=0,"",KD49/(INDEX('Standards for Conversions'!$H$47:$H$73,MATCH(KC$3,'Standards for Conversions'!$A$47:$A$73,0))))</f>
        <v>1919.1094229599371</v>
      </c>
      <c r="KF49" s="31"/>
      <c r="KG49" s="31">
        <v>227180</v>
      </c>
      <c r="KH49" s="31">
        <f>IF(KG49/(INDEX('Standards for Conversions'!$H$47:$H$73,MATCH(KF$3,'Standards for Conversions'!$A$47:$A$73,0)))=0,"",KG49/(INDEX('Standards for Conversions'!$H$47:$H$73,MATCH(KF$3,'Standards for Conversions'!$A$47:$A$73,0))))</f>
        <v>27628.851629153265</v>
      </c>
      <c r="KI49" s="31"/>
      <c r="KJ49" s="31">
        <v>313141</v>
      </c>
      <c r="KK49" s="31">
        <f>IF(KJ49/(INDEX('Standards for Conversions'!$H$47:$H$73,MATCH(KI$3,'Standards for Conversions'!$A$47:$A$73,0)))=0,"",KJ49/(INDEX('Standards for Conversions'!$H$47:$H$73,MATCH(KI$3,'Standards for Conversions'!$A$47:$A$73,0))))</f>
        <v>38083.133321615824</v>
      </c>
      <c r="KL49" s="31"/>
      <c r="KM49" s="31">
        <v>1498905</v>
      </c>
      <c r="KN49" s="31">
        <f>IF(KM49/(INDEX('Standards for Conversions'!$H$47:$H$73,MATCH(KL$3,'Standards for Conversions'!$A$47:$A$73,0)))=0,"",KM49/(INDEX('Standards for Conversions'!$H$47:$H$73,MATCH(KL$3,'Standards for Conversions'!$A$47:$A$73,0))))</f>
        <v>182291.67995068216</v>
      </c>
      <c r="KO49" s="31"/>
      <c r="KP49" s="31">
        <f t="shared" si="107"/>
        <v>2055006</v>
      </c>
      <c r="KQ49" s="31">
        <f>IF(KP49/(INDEX('Standards for Conversions'!$H$47:$H$73,MATCH(KO$3,'Standards for Conversions'!$A$47:$A$73,0)))=0,"",KP49/(INDEX('Standards for Conversions'!$H$47:$H$73,MATCH(KO$3,'Standards for Conversions'!$A$47:$A$73,0))))</f>
        <v>249922.77432441118</v>
      </c>
      <c r="KR49" s="31"/>
      <c r="KS49" s="31">
        <v>2079600</v>
      </c>
      <c r="KT49" s="31">
        <f>IF(KS49/(INDEX('Standards for Conversions'!$H$47:$H$73,MATCH(KR$3,'Standards for Conversions'!$A$47:$A$73,0)))=0,"",KS49/(INDEX('Standards for Conversions'!$H$47:$H$73,MATCH(KR$3,'Standards for Conversions'!$A$47:$A$73,0))))</f>
        <v>203863.32700747368</v>
      </c>
      <c r="KU49" s="31"/>
      <c r="KV49" s="31">
        <v>2288760</v>
      </c>
      <c r="KW49" s="31">
        <f>IF(KV49/(INDEX('Standards for Conversions'!$H$47:$H$73,MATCH(KU$3,'Standards for Conversions'!$A$47:$A$73,0)))=0,"",KV49/(INDEX('Standards for Conversions'!$H$47:$H$73,MATCH(KU$3,'Standards for Conversions'!$A$47:$A$73,0))))</f>
        <v>231151.62006713299</v>
      </c>
      <c r="KX49" s="31"/>
      <c r="KY49" s="31">
        <v>2879500</v>
      </c>
      <c r="KZ49" s="31">
        <f>IF(KY49/(INDEX('Standards for Conversions'!$H$47:$H$73,MATCH(KX$3,'Standards for Conversions'!$A$47:$A$73,0)))=0,"",KY49/(INDEX('Standards for Conversions'!$H$47:$H$73,MATCH(KX$3,'Standards for Conversions'!$A$47:$A$73,0))))</f>
        <v>300567.70128599257</v>
      </c>
      <c r="LA49" s="31"/>
      <c r="LB49" s="31">
        <v>3537500</v>
      </c>
      <c r="LC49" s="31">
        <f>IF(LB49/(INDEX('Standards for Conversions'!$H$47:$H$73,MATCH(LA$3,'Standards for Conversions'!$A$47:$A$73,0)))=0,"",LB49/(INDEX('Standards for Conversions'!$H$47:$H$73,MATCH(LA$3,'Standards for Conversions'!$A$47:$A$73,0))))</f>
        <v>330303.62938048574</v>
      </c>
      <c r="LD49" s="31"/>
      <c r="LE49" s="31">
        <v>2592200</v>
      </c>
      <c r="LF49" s="31">
        <f>IF(LE49/(INDEX('Standards for Conversions'!$H$47:$H$73,MATCH(LD$3,'Standards for Conversions'!$A$47:$A$73,0)))=0,"",LE49/(INDEX('Standards for Conversions'!$H$47:$H$73,MATCH(LD$3,'Standards for Conversions'!$A$47:$A$73,0))))</f>
        <v>236550.61647077138</v>
      </c>
      <c r="LG49" s="31"/>
      <c r="LH49" s="31">
        <v>2600720</v>
      </c>
      <c r="LI49" s="31">
        <f>IF(LH49/(INDEX('Standards for Conversions'!$H$47:$H$73,MATCH(LG$3,'Standards for Conversions'!$A$47:$A$73,0)))=0,"",LH49/(INDEX('Standards for Conversions'!$H$47:$H$73,MATCH(LG$3,'Standards for Conversions'!$A$47:$A$73,0))))</f>
        <v>241733.26919773465</v>
      </c>
      <c r="LJ49" s="31"/>
      <c r="LK49" s="31">
        <v>3365883</v>
      </c>
      <c r="LL49" s="31">
        <f>IF(LK49/(INDEX('Standards for Conversions'!$H$47:$H$73,MATCH(LJ$3,'Standards for Conversions'!$A$47:$A$73,0)))=0,"",LK49/(INDEX('Standards for Conversions'!$H$47:$H$73,MATCH(LJ$3,'Standards for Conversions'!$A$47:$A$73,0))))</f>
        <v>322831.21851201984</v>
      </c>
      <c r="LM49" s="31"/>
      <c r="LN49" s="31">
        <v>2996688</v>
      </c>
      <c r="LO49" s="31">
        <f>IF(LN49/(INDEX('Standards for Conversions'!$H$47:$H$73,MATCH(LM$3,'Standards for Conversions'!$A$47:$A$73,0)))=0,"",LN49/(INDEX('Standards for Conversions'!$H$47:$H$73,MATCH(LM$3,'Standards for Conversions'!$A$47:$A$73,0))))</f>
        <v>276000.00724124443</v>
      </c>
      <c r="LP49" s="31"/>
      <c r="LQ49" s="31">
        <v>3205435</v>
      </c>
      <c r="LR49" s="31">
        <f>IF(LQ49/(INDEX('Standards for Conversions'!$H$47:$H$73,MATCH(LP$3,'Standards for Conversions'!$A$47:$A$73,0)))=0,"",LQ49/(INDEX('Standards for Conversions'!$H$47:$H$73,MATCH(LP$3,'Standards for Conversions'!$A$47:$A$73,0))))</f>
        <v>261291.93912559559</v>
      </c>
      <c r="LS49" s="31"/>
      <c r="LT49" s="31">
        <v>3880580</v>
      </c>
      <c r="LU49" s="31">
        <f>IF(LT49/(INDEX('Standards for Conversions'!$H$47:$H$73,MATCH(LS$3,'Standards for Conversions'!$A$47:$A$73,0)))=0,"",LT49/(INDEX('Standards for Conversions'!$H$47:$H$73,MATCH(LS$3,'Standards for Conversions'!$A$47:$A$73,0))))</f>
        <v>325364.47656426515</v>
      </c>
      <c r="LV49" s="31"/>
      <c r="LW49" s="31">
        <v>4044549</v>
      </c>
      <c r="LX49" s="31">
        <f>IF(LW49/(INDEX('Standards for Conversions'!$H$47:$H$73,MATCH(LV$3,'Standards for Conversions'!$A$47:$A$73,0)))=0,"",LW49/(INDEX('Standards for Conversions'!$H$47:$H$73,MATCH(LV$3,'Standards for Conversions'!$A$47:$A$73,0))))</f>
        <v>361805.46485311928</v>
      </c>
      <c r="LY49" s="31"/>
      <c r="LZ49" s="31">
        <v>371945</v>
      </c>
      <c r="MA49" s="31"/>
      <c r="MB49" s="31">
        <v>461425</v>
      </c>
      <c r="MC49" s="31"/>
      <c r="MD49" s="31">
        <v>656438</v>
      </c>
      <c r="ME49" s="31"/>
      <c r="MF49" s="31">
        <v>683821</v>
      </c>
      <c r="MG49" s="31"/>
      <c r="MH49" s="31">
        <v>553724</v>
      </c>
      <c r="MI49" s="31"/>
      <c r="MJ49" s="31">
        <v>394483</v>
      </c>
      <c r="MK49" s="31"/>
      <c r="ML49" s="31">
        <v>401320</v>
      </c>
      <c r="MM49" s="31"/>
      <c r="MN49" s="31"/>
    </row>
  </sheetData>
  <mergeCells count="318">
    <mergeCell ref="HB3:HC3"/>
    <mergeCell ref="GM2:GN2"/>
    <mergeCell ref="GM3:GN3"/>
    <mergeCell ref="FX2:FY2"/>
    <mergeCell ref="FX3:FY3"/>
    <mergeCell ref="FI2:FJ2"/>
    <mergeCell ref="FI3:FJ3"/>
    <mergeCell ref="HB2:HC2"/>
    <mergeCell ref="BB2:BC2"/>
    <mergeCell ref="BK2:BL2"/>
    <mergeCell ref="BN2:BO2"/>
    <mergeCell ref="BT2:BU2"/>
    <mergeCell ref="BZ2:CA2"/>
    <mergeCell ref="CF2:CG2"/>
    <mergeCell ref="CI2:CJ2"/>
    <mergeCell ref="CR2:CS2"/>
    <mergeCell ref="CU2:CV2"/>
    <mergeCell ref="DD2:DE2"/>
    <mergeCell ref="DG2:DH2"/>
    <mergeCell ref="DA3:DB3"/>
    <mergeCell ref="EW2:EX2"/>
    <mergeCell ref="EZ2:FA2"/>
    <mergeCell ref="ET2:EU2"/>
    <mergeCell ref="DV3:DW3"/>
    <mergeCell ref="F2:G2"/>
    <mergeCell ref="I2:J2"/>
    <mergeCell ref="R2:S2"/>
    <mergeCell ref="U2:V2"/>
    <mergeCell ref="AA2:AB2"/>
    <mergeCell ref="AG2:AH2"/>
    <mergeCell ref="AM2:AN2"/>
    <mergeCell ref="AP2:AQ2"/>
    <mergeCell ref="AY2:AZ2"/>
    <mergeCell ref="AD2:AE2"/>
    <mergeCell ref="O2:P2"/>
    <mergeCell ref="BE1:BF1"/>
    <mergeCell ref="BQ1:BR1"/>
    <mergeCell ref="F1:G1"/>
    <mergeCell ref="I1:J1"/>
    <mergeCell ref="R1:S1"/>
    <mergeCell ref="U1:V1"/>
    <mergeCell ref="AA1:AB1"/>
    <mergeCell ref="AG1:AH1"/>
    <mergeCell ref="AM1:AN1"/>
    <mergeCell ref="AP1:AQ1"/>
    <mergeCell ref="AY1:AZ1"/>
    <mergeCell ref="AJ1:AK1"/>
    <mergeCell ref="AV1:AW1"/>
    <mergeCell ref="EQ2:ER2"/>
    <mergeCell ref="EQ3:ER3"/>
    <mergeCell ref="EN3:EO3"/>
    <mergeCell ref="EE2:EF2"/>
    <mergeCell ref="DV2:DW2"/>
    <mergeCell ref="EH2:EI2"/>
    <mergeCell ref="DS2:DT2"/>
    <mergeCell ref="DY2:DZ2"/>
    <mergeCell ref="EB2:EC2"/>
    <mergeCell ref="EK2:EL2"/>
    <mergeCell ref="EN2:EO2"/>
    <mergeCell ref="EZ3:FA3"/>
    <mergeCell ref="ET3:EU3"/>
    <mergeCell ref="EH3:EI3"/>
    <mergeCell ref="EB3:EC3"/>
    <mergeCell ref="EK3:EL3"/>
    <mergeCell ref="EE3:EF3"/>
    <mergeCell ref="CX3:CY3"/>
    <mergeCell ref="CR3:CS3"/>
    <mergeCell ref="CU3:CV3"/>
    <mergeCell ref="DM3:DN3"/>
    <mergeCell ref="DS3:DT3"/>
    <mergeCell ref="DY3:DZ3"/>
    <mergeCell ref="DP3:DQ3"/>
    <mergeCell ref="DJ3:DK3"/>
    <mergeCell ref="DD3:DE3"/>
    <mergeCell ref="DG3:DH3"/>
    <mergeCell ref="CL3:CM3"/>
    <mergeCell ref="CO3:CP3"/>
    <mergeCell ref="CF3:CG3"/>
    <mergeCell ref="CI3:CJ3"/>
    <mergeCell ref="BQ3:BR3"/>
    <mergeCell ref="BT3:BU3"/>
    <mergeCell ref="BZ3:CA3"/>
    <mergeCell ref="BW3:BX3"/>
    <mergeCell ref="EW3:EX3"/>
    <mergeCell ref="BB3:BC3"/>
    <mergeCell ref="BK3:BL3"/>
    <mergeCell ref="BN3:BO3"/>
    <mergeCell ref="AV3:AW3"/>
    <mergeCell ref="AS3:AT3"/>
    <mergeCell ref="AJ3:AK3"/>
    <mergeCell ref="B3:B4"/>
    <mergeCell ref="C3:D3"/>
    <mergeCell ref="L3:M3"/>
    <mergeCell ref="X3:Y3"/>
    <mergeCell ref="F3:G3"/>
    <mergeCell ref="I3:J3"/>
    <mergeCell ref="R3:S3"/>
    <mergeCell ref="U3:V3"/>
    <mergeCell ref="AA3:AB3"/>
    <mergeCell ref="AG3:AH3"/>
    <mergeCell ref="AM3:AN3"/>
    <mergeCell ref="AP3:AQ3"/>
    <mergeCell ref="AY3:AZ3"/>
    <mergeCell ref="AD3:AE3"/>
    <mergeCell ref="O3:P3"/>
    <mergeCell ref="GJ2:GK2"/>
    <mergeCell ref="GP2:GQ2"/>
    <mergeCell ref="GS2:GT2"/>
    <mergeCell ref="GV2:GW2"/>
    <mergeCell ref="GY2:GZ2"/>
    <mergeCell ref="GJ3:GK3"/>
    <mergeCell ref="GP3:GQ3"/>
    <mergeCell ref="GS3:GT3"/>
    <mergeCell ref="GV3:GW3"/>
    <mergeCell ref="GY3:GZ3"/>
    <mergeCell ref="BE2:BF2"/>
    <mergeCell ref="BQ2:BR2"/>
    <mergeCell ref="BW2:BX2"/>
    <mergeCell ref="FU2:FV2"/>
    <mergeCell ref="GA2:GB2"/>
    <mergeCell ref="GD2:GE2"/>
    <mergeCell ref="GG2:GH2"/>
    <mergeCell ref="FU3:FV3"/>
    <mergeCell ref="GA3:GB3"/>
    <mergeCell ref="GD3:GE3"/>
    <mergeCell ref="GG3:GH3"/>
    <mergeCell ref="FC2:FD2"/>
    <mergeCell ref="FF2:FG2"/>
    <mergeCell ref="FL2:FM2"/>
    <mergeCell ref="FO2:FP2"/>
    <mergeCell ref="FR2:FS2"/>
    <mergeCell ref="FC3:FD3"/>
    <mergeCell ref="FF3:FG3"/>
    <mergeCell ref="FL3:FM3"/>
    <mergeCell ref="FO3:FP3"/>
    <mergeCell ref="FR3:FS3"/>
    <mergeCell ref="BH3:BI3"/>
    <mergeCell ref="BE3:BF3"/>
    <mergeCell ref="CC3:CD3"/>
    <mergeCell ref="C2:D2"/>
    <mergeCell ref="L2:M2"/>
    <mergeCell ref="X2:Y2"/>
    <mergeCell ref="AJ2:AK2"/>
    <mergeCell ref="AS2:AT2"/>
    <mergeCell ref="FC1:FD1"/>
    <mergeCell ref="FF1:FG1"/>
    <mergeCell ref="FL1:FM1"/>
    <mergeCell ref="FO1:FP1"/>
    <mergeCell ref="EZ1:FA1"/>
    <mergeCell ref="EH1:EI1"/>
    <mergeCell ref="EQ1:ER1"/>
    <mergeCell ref="DY1:DZ1"/>
    <mergeCell ref="EB1:EC1"/>
    <mergeCell ref="CX2:CY2"/>
    <mergeCell ref="DP2:DQ2"/>
    <mergeCell ref="DJ2:DK2"/>
    <mergeCell ref="DA2:DB2"/>
    <mergeCell ref="DM2:DN2"/>
    <mergeCell ref="CC2:CD2"/>
    <mergeCell ref="CL2:CM2"/>
    <mergeCell ref="CO2:CP2"/>
    <mergeCell ref="AV2:AW2"/>
    <mergeCell ref="BH2:BI2"/>
    <mergeCell ref="JQ1:JR1"/>
    <mergeCell ref="KC1:KD1"/>
    <mergeCell ref="JW1:JX1"/>
    <mergeCell ref="CX1:CY1"/>
    <mergeCell ref="DJ1:DK1"/>
    <mergeCell ref="DV1:DW1"/>
    <mergeCell ref="DS1:DT1"/>
    <mergeCell ref="CC1:CD1"/>
    <mergeCell ref="CO1:CP1"/>
    <mergeCell ref="GJ1:GK1"/>
    <mergeCell ref="GP1:GQ1"/>
    <mergeCell ref="GS1:GT1"/>
    <mergeCell ref="DD1:DE1"/>
    <mergeCell ref="DG1:DH1"/>
    <mergeCell ref="DM1:DN1"/>
    <mergeCell ref="GV1:GW1"/>
    <mergeCell ref="GY1:GZ1"/>
    <mergeCell ref="FR1:FS1"/>
    <mergeCell ref="FU1:FV1"/>
    <mergeCell ref="GA1:GB1"/>
    <mergeCell ref="GD1:GE1"/>
    <mergeCell ref="GG1:GH1"/>
    <mergeCell ref="CF1:CG1"/>
    <mergeCell ref="CI1:CJ1"/>
    <mergeCell ref="C1:D1"/>
    <mergeCell ref="L1:M1"/>
    <mergeCell ref="X1:Y1"/>
    <mergeCell ref="IA1:IB1"/>
    <mergeCell ref="ID1:IE1"/>
    <mergeCell ref="IJ1:IK1"/>
    <mergeCell ref="IM1:IN1"/>
    <mergeCell ref="IP1:IQ1"/>
    <mergeCell ref="IS1:IT1"/>
    <mergeCell ref="HF1:HG1"/>
    <mergeCell ref="HI1:HJ1"/>
    <mergeCell ref="HL1:HM1"/>
    <mergeCell ref="HO1:HP1"/>
    <mergeCell ref="HU1:HV1"/>
    <mergeCell ref="EK1:EL1"/>
    <mergeCell ref="EN1:EO1"/>
    <mergeCell ref="EW1:EX1"/>
    <mergeCell ref="BB1:BC1"/>
    <mergeCell ref="BK1:BL1"/>
    <mergeCell ref="BN1:BO1"/>
    <mergeCell ref="BT1:BU1"/>
    <mergeCell ref="BZ1:CA1"/>
    <mergeCell ref="CR1:CS1"/>
    <mergeCell ref="CU1:CV1"/>
    <mergeCell ref="HU2:HV2"/>
    <mergeCell ref="HX2:HY2"/>
    <mergeCell ref="IA2:IB2"/>
    <mergeCell ref="ID2:IE2"/>
    <mergeCell ref="IJ2:IK2"/>
    <mergeCell ref="IS2:IT2"/>
    <mergeCell ref="HE2:HE4"/>
    <mergeCell ref="HI2:HJ2"/>
    <mergeCell ref="HL2:HM2"/>
    <mergeCell ref="HO2:HP2"/>
    <mergeCell ref="HR2:HS2"/>
    <mergeCell ref="HF2:HG2"/>
    <mergeCell ref="IG3:IH3"/>
    <mergeCell ref="IJ3:IK3"/>
    <mergeCell ref="IM3:IN3"/>
    <mergeCell ref="IP3:IQ3"/>
    <mergeCell ref="IS3:IT3"/>
    <mergeCell ref="HX1:HY1"/>
    <mergeCell ref="JE2:JF2"/>
    <mergeCell ref="JQ2:JR2"/>
    <mergeCell ref="JZ2:KA2"/>
    <mergeCell ref="KC2:KD2"/>
    <mergeCell ref="KF2:KG2"/>
    <mergeCell ref="KI2:KJ2"/>
    <mergeCell ref="KL2:KM2"/>
    <mergeCell ref="IM2:IN2"/>
    <mergeCell ref="IP2:IQ2"/>
    <mergeCell ref="JH2:JI2"/>
    <mergeCell ref="JK2:JL2"/>
    <mergeCell ref="IV2:IW2"/>
    <mergeCell ref="IY2:IZ2"/>
    <mergeCell ref="JB2:JC2"/>
    <mergeCell ref="JT1:JU1"/>
    <mergeCell ref="KF1:KG1"/>
    <mergeCell ref="KI1:KJ1"/>
    <mergeCell ref="KL1:KM1"/>
    <mergeCell ref="IY1:IZ1"/>
    <mergeCell ref="JB1:JC1"/>
    <mergeCell ref="JE1:JF1"/>
    <mergeCell ref="JH1:JI1"/>
    <mergeCell ref="JN1:JO1"/>
    <mergeCell ref="LM2:LN2"/>
    <mergeCell ref="LP2:LQ2"/>
    <mergeCell ref="LS2:LT2"/>
    <mergeCell ref="LV2:LW2"/>
    <mergeCell ref="KR2:KS2"/>
    <mergeCell ref="KU2:KV2"/>
    <mergeCell ref="KX2:KY2"/>
    <mergeCell ref="LA2:LB2"/>
    <mergeCell ref="LD2:LE2"/>
    <mergeCell ref="LJ2:LK2"/>
    <mergeCell ref="JE3:JF3"/>
    <mergeCell ref="JH3:JI3"/>
    <mergeCell ref="JK3:JL3"/>
    <mergeCell ref="JN3:JO3"/>
    <mergeCell ref="IG2:IH2"/>
    <mergeCell ref="LA3:LB3"/>
    <mergeCell ref="LD3:LE3"/>
    <mergeCell ref="IY3:IZ3"/>
    <mergeCell ref="KO2:KP2"/>
    <mergeCell ref="JN2:JO2"/>
    <mergeCell ref="JT2:JU2"/>
    <mergeCell ref="JW2:JX2"/>
    <mergeCell ref="MK2:ML2"/>
    <mergeCell ref="HF3:HG3"/>
    <mergeCell ref="HI3:HJ3"/>
    <mergeCell ref="HL3:HM3"/>
    <mergeCell ref="HO3:HP3"/>
    <mergeCell ref="HR3:HS3"/>
    <mergeCell ref="HU3:HV3"/>
    <mergeCell ref="HX3:HY3"/>
    <mergeCell ref="IA3:IB3"/>
    <mergeCell ref="ID3:IE3"/>
    <mergeCell ref="LY2:LZ2"/>
    <mergeCell ref="MA2:MB2"/>
    <mergeCell ref="MC2:MD2"/>
    <mergeCell ref="ME2:MF2"/>
    <mergeCell ref="MG2:MH2"/>
    <mergeCell ref="MI2:MJ2"/>
    <mergeCell ref="LG2:LH2"/>
    <mergeCell ref="JT3:JU3"/>
    <mergeCell ref="JW3:JX3"/>
    <mergeCell ref="JZ3:KA3"/>
    <mergeCell ref="KC3:KD3"/>
    <mergeCell ref="KF3:KG3"/>
    <mergeCell ref="IV3:IW3"/>
    <mergeCell ref="JB3:JC3"/>
    <mergeCell ref="MG3:MH3"/>
    <mergeCell ref="MI3:MJ3"/>
    <mergeCell ref="MK3:ML3"/>
    <mergeCell ref="LS3:LT3"/>
    <mergeCell ref="LV3:LW3"/>
    <mergeCell ref="LY3:LZ3"/>
    <mergeCell ref="MA3:MB3"/>
    <mergeCell ref="MC3:MD3"/>
    <mergeCell ref="ME3:MF3"/>
    <mergeCell ref="LM3:LN3"/>
    <mergeCell ref="LP3:LQ3"/>
    <mergeCell ref="KI3:KJ3"/>
    <mergeCell ref="KL3:KM3"/>
    <mergeCell ref="KO3:KP3"/>
    <mergeCell ref="KR3:KS3"/>
    <mergeCell ref="KU3:KV3"/>
    <mergeCell ref="KX3:KY3"/>
    <mergeCell ref="JQ3:JR3"/>
    <mergeCell ref="LG3:LH3"/>
    <mergeCell ref="LJ3:LK3"/>
  </mergeCells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W52"/>
  <sheetViews>
    <sheetView zoomScale="60" zoomScaleNormal="60" workbookViewId="0">
      <pane xSplit="2" ySplit="4" topLeftCell="EH11" activePane="bottomRight" state="frozen"/>
      <selection pane="topRight" activeCell="C1" sqref="C1"/>
      <selection pane="bottomLeft" activeCell="A6" sqref="A6"/>
      <selection pane="bottomRight" activeCell="FE26" sqref="FE26"/>
    </sheetView>
  </sheetViews>
  <sheetFormatPr defaultRowHeight="14.4" x14ac:dyDescent="0.3"/>
  <cols>
    <col min="1" max="1" width="34.33203125" bestFit="1" customWidth="1"/>
    <col min="2" max="2" width="12.44140625" customWidth="1"/>
    <col min="3" max="3" width="17.44140625" customWidth="1"/>
    <col min="4" max="6" width="12.44140625" customWidth="1"/>
    <col min="7" max="7" width="16.5546875" style="127" customWidth="1"/>
    <col min="8" max="10" width="12.44140625" customWidth="1"/>
    <col min="11" max="11" width="16.5546875" style="127" customWidth="1"/>
    <col min="12" max="14" width="12.44140625" customWidth="1"/>
    <col min="15" max="15" width="16.5546875" style="127" customWidth="1"/>
    <col min="16" max="18" width="12.44140625" customWidth="1"/>
    <col min="19" max="19" width="16.5546875" style="127" customWidth="1"/>
    <col min="20" max="22" width="12.44140625" customWidth="1"/>
    <col min="23" max="23" width="16.5546875" style="127" customWidth="1"/>
    <col min="24" max="26" width="12.44140625" customWidth="1"/>
    <col min="27" max="27" width="16.5546875" style="127" customWidth="1"/>
    <col min="28" max="30" width="12.44140625" customWidth="1"/>
    <col min="31" max="31" width="16.5546875" style="127" customWidth="1"/>
    <col min="32" max="34" width="12.44140625" customWidth="1"/>
    <col min="35" max="35" width="16.5546875" style="127" customWidth="1"/>
    <col min="36" max="38" width="12.44140625" customWidth="1"/>
    <col min="39" max="39" width="16.5546875" style="127" customWidth="1"/>
    <col min="40" max="42" width="12.44140625" customWidth="1"/>
    <col min="43" max="43" width="16.5546875" style="127" customWidth="1"/>
    <col min="44" max="46" width="12.44140625" customWidth="1"/>
    <col min="47" max="47" width="16.5546875" style="127" customWidth="1"/>
    <col min="48" max="50" width="12.44140625" customWidth="1"/>
    <col min="51" max="51" width="16.5546875" style="127" customWidth="1"/>
    <col min="52" max="54" width="12.44140625" customWidth="1"/>
    <col min="55" max="55" width="16.5546875" style="127" customWidth="1"/>
    <col min="56" max="56" width="12.44140625" customWidth="1"/>
    <col min="57" max="57" width="12.44140625" style="10" customWidth="1"/>
    <col min="58" max="58" width="12.44140625" customWidth="1"/>
    <col min="59" max="59" width="16.5546875" style="127" customWidth="1"/>
    <col min="60" max="62" width="12.44140625" customWidth="1"/>
    <col min="63" max="63" width="16.5546875" style="127" customWidth="1"/>
    <col min="64" max="66" width="12.44140625" customWidth="1"/>
    <col min="67" max="67" width="16.5546875" style="127" customWidth="1"/>
    <col min="68" max="70" width="12.44140625" customWidth="1"/>
    <col min="71" max="71" width="16.5546875" style="127" customWidth="1"/>
    <col min="72" max="74" width="12.44140625" customWidth="1"/>
    <col min="75" max="75" width="16.5546875" style="127" customWidth="1"/>
    <col min="76" max="78" width="12.44140625" customWidth="1"/>
    <col min="79" max="79" width="16.5546875" style="127" customWidth="1"/>
    <col min="80" max="80" width="11.44140625" customWidth="1"/>
    <col min="81" max="81" width="16" customWidth="1"/>
    <col min="82" max="82" width="16.5546875" customWidth="1"/>
    <col min="83" max="83" width="16.5546875" style="127" customWidth="1"/>
    <col min="84" max="84" width="12.109375" customWidth="1"/>
    <col min="85" max="85" width="16" customWidth="1"/>
    <col min="86" max="86" width="16.5546875" customWidth="1"/>
    <col min="87" max="87" width="16.5546875" style="127" customWidth="1"/>
    <col min="88" max="88" width="12.109375" customWidth="1"/>
    <col min="89" max="89" width="16" customWidth="1"/>
    <col min="90" max="90" width="16.5546875" customWidth="1"/>
    <col min="91" max="91" width="16.5546875" style="127" customWidth="1"/>
    <col min="92" max="92" width="12.109375" customWidth="1"/>
    <col min="93" max="93" width="16" customWidth="1"/>
    <col min="94" max="94" width="16.5546875" customWidth="1"/>
    <col min="95" max="95" width="16.5546875" style="127" customWidth="1"/>
    <col min="96" max="96" width="12.109375" customWidth="1"/>
    <col min="97" max="97" width="16" customWidth="1"/>
    <col min="98" max="98" width="16.5546875" customWidth="1"/>
    <col min="99" max="99" width="16.5546875" style="127" customWidth="1"/>
    <col min="100" max="100" width="11.88671875" customWidth="1"/>
    <col min="101" max="101" width="16" customWidth="1"/>
    <col min="102" max="102" width="16.5546875" customWidth="1"/>
    <col min="103" max="103" width="16.5546875" style="127" customWidth="1"/>
    <col min="104" max="104" width="13.77734375" customWidth="1"/>
    <col min="105" max="105" width="16" customWidth="1"/>
    <col min="106" max="106" width="16.5546875" customWidth="1"/>
    <col min="107" max="107" width="16.5546875" style="127" customWidth="1"/>
    <col min="108" max="108" width="12.109375" customWidth="1"/>
    <col min="109" max="109" width="16" customWidth="1"/>
    <col min="110" max="110" width="16.5546875" customWidth="1"/>
    <col min="111" max="111" width="16.5546875" style="127" customWidth="1"/>
    <col min="112" max="112" width="11.5546875" customWidth="1"/>
    <col min="113" max="113" width="16" customWidth="1"/>
    <col min="114" max="114" width="16.5546875" customWidth="1"/>
    <col min="115" max="115" width="16.5546875" style="127" customWidth="1"/>
    <col min="116" max="116" width="12.109375" customWidth="1"/>
    <col min="117" max="117" width="16" customWidth="1"/>
    <col min="118" max="118" width="16.5546875" customWidth="1"/>
    <col min="119" max="119" width="16.5546875" style="127" customWidth="1"/>
    <col min="120" max="120" width="12.109375" customWidth="1"/>
    <col min="121" max="121" width="16" customWidth="1"/>
    <col min="122" max="122" width="16.5546875" customWidth="1"/>
    <col min="123" max="123" width="16.5546875" style="127" customWidth="1"/>
    <col min="124" max="124" width="12.109375" customWidth="1"/>
    <col min="125" max="125" width="16" customWidth="1"/>
    <col min="126" max="126" width="16.5546875" customWidth="1"/>
    <col min="127" max="127" width="16.5546875" style="127" customWidth="1"/>
    <col min="128" max="128" width="12.21875" customWidth="1"/>
    <col min="129" max="129" width="16.5546875" customWidth="1"/>
    <col min="130" max="130" width="16.5546875" style="127" customWidth="1"/>
    <col min="131" max="131" width="11.88671875" customWidth="1"/>
    <col min="132" max="132" width="16.5546875" customWidth="1"/>
    <col min="133" max="133" width="16.5546875" style="127" customWidth="1"/>
    <col min="134" max="134" width="12.109375" customWidth="1"/>
    <col min="135" max="135" width="16.5546875" customWidth="1"/>
    <col min="136" max="136" width="16.5546875" style="127" customWidth="1"/>
    <col min="137" max="137" width="12.109375" customWidth="1"/>
    <col min="138" max="138" width="16.5546875" customWidth="1"/>
    <col min="139" max="139" width="16.5546875" style="127" customWidth="1"/>
    <col min="140" max="140" width="12.109375" customWidth="1"/>
    <col min="141" max="141" width="16.5546875" customWidth="1"/>
    <col min="142" max="142" width="16.5546875" style="127" customWidth="1"/>
    <col min="143" max="143" width="12.109375" customWidth="1"/>
    <col min="144" max="144" width="16.5546875" customWidth="1"/>
    <col min="145" max="145" width="16.5546875" style="127" customWidth="1"/>
    <col min="146" max="146" width="16.21875" customWidth="1"/>
    <col min="147" max="147" width="16.5546875" customWidth="1"/>
    <col min="148" max="148" width="16.5546875" style="127" customWidth="1"/>
  </cols>
  <sheetData>
    <row r="2" spans="1:148" s="138" customFormat="1" ht="31.2" customHeight="1" x14ac:dyDescent="0.3">
      <c r="A2" s="137"/>
      <c r="B2" s="158" t="s">
        <v>129</v>
      </c>
      <c r="C2" s="158" t="s">
        <v>130</v>
      </c>
      <c r="D2" s="157" t="s">
        <v>372</v>
      </c>
      <c r="E2" s="157"/>
      <c r="F2" s="157"/>
      <c r="G2" s="157"/>
      <c r="H2" s="157" t="s">
        <v>392</v>
      </c>
      <c r="I2" s="157"/>
      <c r="J2" s="157"/>
      <c r="K2" s="157"/>
      <c r="L2" s="157" t="s">
        <v>390</v>
      </c>
      <c r="M2" s="157"/>
      <c r="N2" s="157"/>
      <c r="O2" s="157"/>
      <c r="P2" s="157" t="s">
        <v>388</v>
      </c>
      <c r="Q2" s="157"/>
      <c r="R2" s="157"/>
      <c r="S2" s="157"/>
      <c r="T2" s="157" t="s">
        <v>386</v>
      </c>
      <c r="U2" s="157"/>
      <c r="V2" s="157"/>
      <c r="W2" s="157"/>
      <c r="X2" s="157" t="s">
        <v>383</v>
      </c>
      <c r="Y2" s="157"/>
      <c r="Z2" s="157"/>
      <c r="AA2" s="157"/>
      <c r="AB2" s="157" t="s">
        <v>382</v>
      </c>
      <c r="AC2" s="157"/>
      <c r="AD2" s="157"/>
      <c r="AE2" s="157"/>
      <c r="AF2" s="157" t="s">
        <v>381</v>
      </c>
      <c r="AG2" s="157"/>
      <c r="AH2" s="157"/>
      <c r="AI2" s="157"/>
      <c r="AJ2" s="157" t="s">
        <v>380</v>
      </c>
      <c r="AK2" s="157"/>
      <c r="AL2" s="157"/>
      <c r="AM2" s="157"/>
      <c r="AN2" s="157" t="s">
        <v>379</v>
      </c>
      <c r="AO2" s="157"/>
      <c r="AP2" s="157"/>
      <c r="AQ2" s="157"/>
      <c r="AR2" s="157" t="s">
        <v>378</v>
      </c>
      <c r="AS2" s="157"/>
      <c r="AT2" s="157"/>
      <c r="AU2" s="157"/>
      <c r="AV2" s="157" t="s">
        <v>377</v>
      </c>
      <c r="AW2" s="157"/>
      <c r="AX2" s="157"/>
      <c r="AY2" s="157"/>
      <c r="AZ2" s="157" t="s">
        <v>376</v>
      </c>
      <c r="BA2" s="157"/>
      <c r="BB2" s="157"/>
      <c r="BC2" s="157"/>
      <c r="BD2" s="157" t="s">
        <v>375</v>
      </c>
      <c r="BE2" s="157"/>
      <c r="BF2" s="157"/>
      <c r="BG2" s="157"/>
      <c r="BH2" s="157" t="s">
        <v>345</v>
      </c>
      <c r="BI2" s="157"/>
      <c r="BJ2" s="157"/>
      <c r="BK2" s="157"/>
      <c r="BL2" s="157" t="s">
        <v>346</v>
      </c>
      <c r="BM2" s="157"/>
      <c r="BN2" s="157"/>
      <c r="BO2" s="157"/>
      <c r="BP2" s="157" t="s">
        <v>35</v>
      </c>
      <c r="BQ2" s="157"/>
      <c r="BR2" s="157"/>
      <c r="BS2" s="157"/>
      <c r="BT2" s="157" t="s">
        <v>90</v>
      </c>
      <c r="BU2" s="157"/>
      <c r="BV2" s="157"/>
      <c r="BW2" s="157"/>
      <c r="BX2" s="157" t="s">
        <v>88</v>
      </c>
      <c r="BY2" s="157"/>
      <c r="BZ2" s="157"/>
      <c r="CA2" s="157"/>
      <c r="CB2" s="157" t="s">
        <v>89</v>
      </c>
      <c r="CC2" s="157"/>
      <c r="CD2" s="157"/>
      <c r="CE2" s="157"/>
      <c r="CF2" s="157" t="s">
        <v>33</v>
      </c>
      <c r="CG2" s="157"/>
      <c r="CH2" s="157"/>
      <c r="CI2" s="157"/>
      <c r="CJ2" s="151" t="s">
        <v>32</v>
      </c>
      <c r="CK2" s="151"/>
      <c r="CL2" s="151"/>
      <c r="CM2" s="151"/>
      <c r="CN2" s="151" t="s">
        <v>31</v>
      </c>
      <c r="CO2" s="151"/>
      <c r="CP2" s="151"/>
      <c r="CQ2" s="151"/>
      <c r="CR2" s="151" t="s">
        <v>87</v>
      </c>
      <c r="CS2" s="151"/>
      <c r="CT2" s="151"/>
      <c r="CU2" s="151"/>
      <c r="CV2" s="151" t="s">
        <v>84</v>
      </c>
      <c r="CW2" s="151"/>
      <c r="CX2" s="151"/>
      <c r="CY2" s="151"/>
      <c r="CZ2" s="151" t="s">
        <v>85</v>
      </c>
      <c r="DA2" s="151"/>
      <c r="DB2" s="151"/>
      <c r="DC2" s="151"/>
      <c r="DD2" s="151" t="s">
        <v>83</v>
      </c>
      <c r="DE2" s="151"/>
      <c r="DF2" s="151"/>
      <c r="DG2" s="151"/>
      <c r="DH2" s="151" t="s">
        <v>30</v>
      </c>
      <c r="DI2" s="151"/>
      <c r="DJ2" s="151"/>
      <c r="DK2" s="151"/>
      <c r="DL2" s="151" t="s">
        <v>29</v>
      </c>
      <c r="DM2" s="151"/>
      <c r="DN2" s="151"/>
      <c r="DO2" s="151"/>
      <c r="DP2" s="151" t="s">
        <v>28</v>
      </c>
      <c r="DQ2" s="151"/>
      <c r="DR2" s="151"/>
      <c r="DS2" s="151"/>
      <c r="DT2" s="151" t="s">
        <v>3</v>
      </c>
      <c r="DU2" s="151"/>
      <c r="DV2" s="151"/>
      <c r="DW2" s="151"/>
      <c r="DX2" s="151" t="s">
        <v>4</v>
      </c>
      <c r="DY2" s="151"/>
      <c r="DZ2" s="151"/>
      <c r="EA2" s="151" t="s">
        <v>5</v>
      </c>
      <c r="EB2" s="151"/>
      <c r="EC2" s="151"/>
      <c r="ED2" s="151" t="s">
        <v>10</v>
      </c>
      <c r="EE2" s="151"/>
      <c r="EF2" s="151"/>
      <c r="EG2" s="151" t="s">
        <v>12</v>
      </c>
      <c r="EH2" s="151"/>
      <c r="EI2" s="151"/>
      <c r="EJ2" s="151" t="s">
        <v>13</v>
      </c>
      <c r="EK2" s="151"/>
      <c r="EL2" s="151"/>
      <c r="EM2" s="151" t="s">
        <v>14</v>
      </c>
      <c r="EN2" s="151"/>
      <c r="EO2" s="151"/>
      <c r="EP2" s="151" t="s">
        <v>15</v>
      </c>
      <c r="EQ2" s="151"/>
      <c r="ER2" s="151"/>
    </row>
    <row r="3" spans="1:148" ht="15.6" hidden="1" customHeight="1" x14ac:dyDescent="0.3">
      <c r="A3" s="56"/>
      <c r="B3" s="158"/>
      <c r="C3" s="158"/>
      <c r="D3" s="121">
        <v>1874</v>
      </c>
      <c r="E3" s="121"/>
      <c r="F3" s="121"/>
      <c r="G3" s="121"/>
      <c r="H3" s="121">
        <v>1875</v>
      </c>
      <c r="I3" s="121"/>
      <c r="J3" s="121"/>
      <c r="K3" s="121"/>
      <c r="L3" s="121">
        <v>1876</v>
      </c>
      <c r="M3" s="121"/>
      <c r="N3" s="121"/>
      <c r="O3" s="121"/>
      <c r="P3" s="121">
        <v>1877</v>
      </c>
      <c r="Q3" s="121"/>
      <c r="R3" s="121"/>
      <c r="S3" s="121"/>
      <c r="T3" s="121">
        <v>1878</v>
      </c>
      <c r="U3" s="121"/>
      <c r="V3" s="121"/>
      <c r="W3" s="121"/>
      <c r="X3" s="121">
        <v>1879</v>
      </c>
      <c r="Y3" s="121"/>
      <c r="Z3" s="121"/>
      <c r="AA3" s="121"/>
      <c r="AB3" s="121">
        <v>1880</v>
      </c>
      <c r="AC3" s="121"/>
      <c r="AD3" s="121"/>
      <c r="AE3" s="121"/>
      <c r="AF3" s="121">
        <v>1881</v>
      </c>
      <c r="AG3" s="121"/>
      <c r="AH3" s="121"/>
      <c r="AI3" s="121"/>
      <c r="AJ3" s="121">
        <v>1882</v>
      </c>
      <c r="AK3" s="121"/>
      <c r="AL3" s="121"/>
      <c r="AM3" s="121"/>
      <c r="AN3" s="121">
        <v>1883</v>
      </c>
      <c r="AO3" s="121"/>
      <c r="AP3" s="121"/>
      <c r="AQ3" s="121"/>
      <c r="AR3" s="121">
        <v>1884</v>
      </c>
      <c r="AS3" s="121"/>
      <c r="AT3" s="121"/>
      <c r="AU3" s="121"/>
      <c r="AV3" s="121">
        <v>1885</v>
      </c>
      <c r="AW3" s="121"/>
      <c r="AX3" s="121"/>
      <c r="AY3" s="121"/>
      <c r="AZ3" s="121">
        <v>1886</v>
      </c>
      <c r="BA3" s="121"/>
      <c r="BB3" s="121"/>
      <c r="BC3" s="121"/>
      <c r="BD3" s="121">
        <v>1887</v>
      </c>
      <c r="BE3" s="121"/>
      <c r="BF3" s="121"/>
      <c r="BG3" s="121"/>
      <c r="BH3" s="121">
        <v>1888</v>
      </c>
      <c r="BI3" s="121"/>
      <c r="BJ3" s="121"/>
      <c r="BK3" s="121"/>
      <c r="BL3" s="121">
        <v>1889</v>
      </c>
      <c r="BM3" s="121"/>
      <c r="BN3" s="121"/>
      <c r="BO3" s="121"/>
      <c r="BP3" s="121">
        <v>1890</v>
      </c>
      <c r="BQ3" s="121"/>
      <c r="BR3" s="121"/>
      <c r="BS3" s="121"/>
      <c r="BT3" s="121">
        <v>1891</v>
      </c>
      <c r="BU3" s="121"/>
      <c r="BV3" s="121"/>
      <c r="BW3" s="121"/>
      <c r="BX3" s="121">
        <v>1892</v>
      </c>
      <c r="BY3" s="121"/>
      <c r="BZ3" s="121"/>
      <c r="CA3" s="121"/>
      <c r="CB3" s="154">
        <v>1893</v>
      </c>
      <c r="CC3" s="154"/>
      <c r="CD3" s="154"/>
      <c r="CE3" s="154"/>
      <c r="CF3" s="154">
        <v>1894</v>
      </c>
      <c r="CG3" s="154"/>
      <c r="CH3" s="154"/>
      <c r="CI3" s="154"/>
      <c r="CJ3" s="154">
        <v>1895</v>
      </c>
      <c r="CK3" s="154"/>
      <c r="CL3" s="154"/>
      <c r="CM3" s="154"/>
      <c r="CN3" s="154">
        <v>1896</v>
      </c>
      <c r="CO3" s="154"/>
      <c r="CP3" s="154"/>
      <c r="CQ3" s="154"/>
      <c r="CR3" s="154">
        <v>1897</v>
      </c>
      <c r="CS3" s="154"/>
      <c r="CT3" s="154"/>
      <c r="CU3" s="154"/>
      <c r="CV3" s="154">
        <v>1898</v>
      </c>
      <c r="CW3" s="154"/>
      <c r="CX3" s="154"/>
      <c r="CY3" s="154"/>
      <c r="CZ3" s="154">
        <v>1899</v>
      </c>
      <c r="DA3" s="154"/>
      <c r="DB3" s="154"/>
      <c r="DC3" s="154"/>
      <c r="DD3" s="154">
        <v>1900</v>
      </c>
      <c r="DE3" s="154"/>
      <c r="DF3" s="154"/>
      <c r="DG3" s="154"/>
      <c r="DH3" s="154">
        <v>1901</v>
      </c>
      <c r="DI3" s="154"/>
      <c r="DJ3" s="154"/>
      <c r="DK3" s="154"/>
      <c r="DL3" s="154">
        <v>1902</v>
      </c>
      <c r="DM3" s="154"/>
      <c r="DN3" s="154"/>
      <c r="DO3" s="154"/>
      <c r="DP3" s="154">
        <v>1903</v>
      </c>
      <c r="DQ3" s="154"/>
      <c r="DR3" s="154"/>
      <c r="DS3" s="154"/>
      <c r="DT3" s="154">
        <v>1904</v>
      </c>
      <c r="DU3" s="154"/>
      <c r="DV3" s="154"/>
      <c r="DW3" s="154"/>
      <c r="DX3" s="154">
        <v>1905</v>
      </c>
      <c r="DY3" s="154"/>
      <c r="DZ3" s="154"/>
      <c r="EA3" s="154">
        <v>1906</v>
      </c>
      <c r="EB3" s="154"/>
      <c r="EC3" s="154"/>
      <c r="ED3" s="154">
        <v>1907</v>
      </c>
      <c r="EE3" s="154"/>
      <c r="EF3" s="154"/>
      <c r="EG3" s="154">
        <v>1908</v>
      </c>
      <c r="EH3" s="154"/>
      <c r="EI3" s="154"/>
      <c r="EJ3" s="154">
        <v>1909</v>
      </c>
      <c r="EK3" s="154"/>
      <c r="EL3" s="154"/>
      <c r="EM3" s="154">
        <v>1910</v>
      </c>
      <c r="EN3" s="154"/>
      <c r="EO3" s="154"/>
      <c r="EP3" s="154">
        <v>1911</v>
      </c>
      <c r="EQ3" s="154"/>
      <c r="ER3" s="154"/>
    </row>
    <row r="4" spans="1:148" ht="31.2" x14ac:dyDescent="0.3">
      <c r="A4" s="38" t="s">
        <v>0</v>
      </c>
      <c r="B4" s="158"/>
      <c r="C4" s="158"/>
      <c r="D4" s="121" t="s">
        <v>2</v>
      </c>
      <c r="E4" s="121" t="s">
        <v>11</v>
      </c>
      <c r="F4" s="121" t="s">
        <v>110</v>
      </c>
      <c r="G4" s="133" t="s">
        <v>127</v>
      </c>
      <c r="H4" s="121" t="s">
        <v>2</v>
      </c>
      <c r="I4" s="121" t="s">
        <v>11</v>
      </c>
      <c r="J4" s="121" t="s">
        <v>110</v>
      </c>
      <c r="K4" s="133" t="s">
        <v>127</v>
      </c>
      <c r="L4" s="121" t="s">
        <v>2</v>
      </c>
      <c r="M4" s="121" t="s">
        <v>11</v>
      </c>
      <c r="N4" s="121" t="s">
        <v>110</v>
      </c>
      <c r="O4" s="133" t="s">
        <v>127</v>
      </c>
      <c r="P4" s="121" t="s">
        <v>2</v>
      </c>
      <c r="Q4" s="121" t="s">
        <v>11</v>
      </c>
      <c r="R4" s="121" t="s">
        <v>110</v>
      </c>
      <c r="S4" s="133" t="s">
        <v>127</v>
      </c>
      <c r="T4" s="121" t="s">
        <v>2</v>
      </c>
      <c r="U4" s="121" t="s">
        <v>11</v>
      </c>
      <c r="V4" s="121" t="s">
        <v>110</v>
      </c>
      <c r="W4" s="133" t="s">
        <v>127</v>
      </c>
      <c r="X4" s="121" t="s">
        <v>2</v>
      </c>
      <c r="Y4" s="121" t="s">
        <v>11</v>
      </c>
      <c r="Z4" s="121" t="s">
        <v>110</v>
      </c>
      <c r="AA4" s="133" t="s">
        <v>127</v>
      </c>
      <c r="AB4" s="121" t="s">
        <v>2</v>
      </c>
      <c r="AC4" s="121" t="s">
        <v>11</v>
      </c>
      <c r="AD4" s="121" t="s">
        <v>110</v>
      </c>
      <c r="AE4" s="133" t="s">
        <v>127</v>
      </c>
      <c r="AF4" s="121" t="s">
        <v>2</v>
      </c>
      <c r="AG4" s="121" t="s">
        <v>11</v>
      </c>
      <c r="AH4" s="121" t="s">
        <v>110</v>
      </c>
      <c r="AI4" s="133" t="s">
        <v>127</v>
      </c>
      <c r="AJ4" s="121" t="s">
        <v>2</v>
      </c>
      <c r="AK4" s="121" t="s">
        <v>11</v>
      </c>
      <c r="AL4" s="121" t="s">
        <v>110</v>
      </c>
      <c r="AM4" s="133" t="s">
        <v>127</v>
      </c>
      <c r="AN4" s="121" t="s">
        <v>2</v>
      </c>
      <c r="AO4" s="121" t="s">
        <v>11</v>
      </c>
      <c r="AP4" s="121" t="s">
        <v>110</v>
      </c>
      <c r="AQ4" s="133" t="s">
        <v>127</v>
      </c>
      <c r="AR4" s="121" t="s">
        <v>2</v>
      </c>
      <c r="AS4" s="121" t="s">
        <v>11</v>
      </c>
      <c r="AT4" s="121" t="s">
        <v>110</v>
      </c>
      <c r="AU4" s="133" t="s">
        <v>127</v>
      </c>
      <c r="AV4" s="121" t="s">
        <v>2</v>
      </c>
      <c r="AW4" s="121" t="s">
        <v>11</v>
      </c>
      <c r="AX4" s="121" t="s">
        <v>110</v>
      </c>
      <c r="AY4" s="133" t="s">
        <v>127</v>
      </c>
      <c r="AZ4" s="121" t="s">
        <v>2</v>
      </c>
      <c r="BA4" s="121" t="s">
        <v>11</v>
      </c>
      <c r="BB4" s="121" t="s">
        <v>110</v>
      </c>
      <c r="BC4" s="133" t="s">
        <v>127</v>
      </c>
      <c r="BD4" s="121" t="s">
        <v>2</v>
      </c>
      <c r="BE4" s="121" t="s">
        <v>11</v>
      </c>
      <c r="BF4" s="121" t="s">
        <v>110</v>
      </c>
      <c r="BG4" s="133" t="s">
        <v>127</v>
      </c>
      <c r="BH4" s="121" t="s">
        <v>2</v>
      </c>
      <c r="BI4" s="121" t="s">
        <v>11</v>
      </c>
      <c r="BJ4" s="121" t="s">
        <v>110</v>
      </c>
      <c r="BK4" s="133" t="s">
        <v>127</v>
      </c>
      <c r="BL4" s="121" t="s">
        <v>2</v>
      </c>
      <c r="BM4" s="121" t="s">
        <v>11</v>
      </c>
      <c r="BN4" s="121" t="s">
        <v>110</v>
      </c>
      <c r="BO4" s="133" t="s">
        <v>127</v>
      </c>
      <c r="BP4" s="121" t="s">
        <v>2</v>
      </c>
      <c r="BQ4" s="121" t="s">
        <v>11</v>
      </c>
      <c r="BR4" s="121" t="s">
        <v>110</v>
      </c>
      <c r="BS4" s="133" t="s">
        <v>127</v>
      </c>
      <c r="BT4" s="121" t="s">
        <v>2</v>
      </c>
      <c r="BU4" s="121" t="s">
        <v>11</v>
      </c>
      <c r="BV4" s="121" t="s">
        <v>110</v>
      </c>
      <c r="BW4" s="133" t="s">
        <v>127</v>
      </c>
      <c r="BX4" s="121" t="s">
        <v>2</v>
      </c>
      <c r="BY4" s="121" t="s">
        <v>11</v>
      </c>
      <c r="BZ4" s="121" t="s">
        <v>110</v>
      </c>
      <c r="CA4" s="133" t="s">
        <v>127</v>
      </c>
      <c r="CB4" s="39" t="s">
        <v>2</v>
      </c>
      <c r="CC4" s="30" t="s">
        <v>11</v>
      </c>
      <c r="CD4" s="30" t="s">
        <v>110</v>
      </c>
      <c r="CE4" s="133" t="s">
        <v>127</v>
      </c>
      <c r="CF4" s="39" t="s">
        <v>2</v>
      </c>
      <c r="CG4" s="30" t="s">
        <v>11</v>
      </c>
      <c r="CH4" s="30" t="s">
        <v>110</v>
      </c>
      <c r="CI4" s="133" t="s">
        <v>127</v>
      </c>
      <c r="CJ4" s="40" t="s">
        <v>2</v>
      </c>
      <c r="CK4" s="30" t="s">
        <v>11</v>
      </c>
      <c r="CL4" s="30" t="s">
        <v>110</v>
      </c>
      <c r="CM4" s="133" t="s">
        <v>127</v>
      </c>
      <c r="CN4" s="40" t="s">
        <v>2</v>
      </c>
      <c r="CO4" s="30" t="s">
        <v>11</v>
      </c>
      <c r="CP4" s="30" t="s">
        <v>110</v>
      </c>
      <c r="CQ4" s="133" t="s">
        <v>127</v>
      </c>
      <c r="CR4" s="40" t="s">
        <v>2</v>
      </c>
      <c r="CS4" s="30" t="s">
        <v>11</v>
      </c>
      <c r="CT4" s="30" t="s">
        <v>110</v>
      </c>
      <c r="CU4" s="133" t="s">
        <v>127</v>
      </c>
      <c r="CV4" s="40" t="s">
        <v>2</v>
      </c>
      <c r="CW4" s="30" t="s">
        <v>11</v>
      </c>
      <c r="CX4" s="30" t="s">
        <v>110</v>
      </c>
      <c r="CY4" s="133" t="s">
        <v>127</v>
      </c>
      <c r="CZ4" s="40" t="s">
        <v>2</v>
      </c>
      <c r="DA4" s="30" t="s">
        <v>11</v>
      </c>
      <c r="DB4" s="30" t="s">
        <v>110</v>
      </c>
      <c r="DC4" s="133" t="s">
        <v>127</v>
      </c>
      <c r="DD4" s="40" t="s">
        <v>2</v>
      </c>
      <c r="DE4" s="30" t="s">
        <v>11</v>
      </c>
      <c r="DF4" s="30" t="s">
        <v>110</v>
      </c>
      <c r="DG4" s="133" t="s">
        <v>127</v>
      </c>
      <c r="DH4" s="40" t="s">
        <v>2</v>
      </c>
      <c r="DI4" s="30" t="s">
        <v>11</v>
      </c>
      <c r="DJ4" s="30" t="s">
        <v>110</v>
      </c>
      <c r="DK4" s="133" t="s">
        <v>127</v>
      </c>
      <c r="DL4" s="40" t="s">
        <v>2</v>
      </c>
      <c r="DM4" s="30" t="s">
        <v>11</v>
      </c>
      <c r="DN4" s="30" t="s">
        <v>110</v>
      </c>
      <c r="DO4" s="133" t="s">
        <v>127</v>
      </c>
      <c r="DP4" s="40" t="s">
        <v>2</v>
      </c>
      <c r="DQ4" s="30" t="s">
        <v>11</v>
      </c>
      <c r="DR4" s="30" t="s">
        <v>110</v>
      </c>
      <c r="DS4" s="133" t="s">
        <v>127</v>
      </c>
      <c r="DT4" s="39" t="s">
        <v>2</v>
      </c>
      <c r="DU4" s="30" t="s">
        <v>11</v>
      </c>
      <c r="DV4" s="30" t="s">
        <v>110</v>
      </c>
      <c r="DW4" s="133" t="s">
        <v>127</v>
      </c>
      <c r="DX4" s="39" t="s">
        <v>2</v>
      </c>
      <c r="DY4" s="30" t="s">
        <v>110</v>
      </c>
      <c r="DZ4" s="133" t="s">
        <v>127</v>
      </c>
      <c r="EA4" s="39" t="s">
        <v>2</v>
      </c>
      <c r="EB4" s="30" t="s">
        <v>110</v>
      </c>
      <c r="EC4" s="133" t="s">
        <v>127</v>
      </c>
      <c r="ED4" s="39" t="s">
        <v>2</v>
      </c>
      <c r="EE4" s="30" t="s">
        <v>110</v>
      </c>
      <c r="EF4" s="133" t="s">
        <v>127</v>
      </c>
      <c r="EG4" s="39" t="s">
        <v>2</v>
      </c>
      <c r="EH4" s="30" t="s">
        <v>110</v>
      </c>
      <c r="EI4" s="133" t="s">
        <v>127</v>
      </c>
      <c r="EJ4" s="39" t="s">
        <v>2</v>
      </c>
      <c r="EK4" s="30" t="s">
        <v>110</v>
      </c>
      <c r="EL4" s="133" t="s">
        <v>127</v>
      </c>
      <c r="EM4" s="39" t="s">
        <v>2</v>
      </c>
      <c r="EN4" s="30" t="s">
        <v>110</v>
      </c>
      <c r="EO4" s="133" t="s">
        <v>127</v>
      </c>
      <c r="EP4" s="39" t="s">
        <v>2</v>
      </c>
      <c r="EQ4" s="30" t="s">
        <v>110</v>
      </c>
      <c r="ER4" s="133" t="s">
        <v>127</v>
      </c>
    </row>
    <row r="5" spans="1:148" x14ac:dyDescent="0.3">
      <c r="A5" s="102" t="s">
        <v>37</v>
      </c>
      <c r="B5" s="103" t="s">
        <v>98</v>
      </c>
      <c r="C5" s="103" t="s">
        <v>131</v>
      </c>
      <c r="D5" s="9">
        <v>116902.5</v>
      </c>
      <c r="E5" s="9">
        <v>344850</v>
      </c>
      <c r="F5" s="9">
        <v>68122.437922297293</v>
      </c>
      <c r="G5" s="134">
        <f>IFERROR(F5/D5,"")</f>
        <v>0.58272866638692322</v>
      </c>
      <c r="H5" s="9">
        <v>195900</v>
      </c>
      <c r="I5" s="9">
        <v>502000</v>
      </c>
      <c r="J5" s="9">
        <v>96721.587765418139</v>
      </c>
      <c r="K5" s="134">
        <f>IFERROR(J5/H5,"")</f>
        <v>0.49372939134976079</v>
      </c>
      <c r="L5" s="9">
        <v>121500</v>
      </c>
      <c r="M5" s="9">
        <v>324000</v>
      </c>
      <c r="N5" s="9">
        <v>57898.293647345083</v>
      </c>
      <c r="O5" s="134">
        <f>IFERROR(N5/L5,"")</f>
        <v>0.47652916582177024</v>
      </c>
      <c r="P5" s="9">
        <v>120000</v>
      </c>
      <c r="Q5" s="9">
        <v>360000</v>
      </c>
      <c r="R5" s="9">
        <v>66846.766098896318</v>
      </c>
      <c r="S5" s="134">
        <f>IFERROR(R5/P5,"")</f>
        <v>0.55705638415746928</v>
      </c>
      <c r="T5" s="9">
        <v>123150</v>
      </c>
      <c r="U5" s="9">
        <v>402000</v>
      </c>
      <c r="V5" s="9">
        <v>71581.427772225594</v>
      </c>
      <c r="W5" s="134">
        <f>IFERROR(V5/T5,"")</f>
        <v>0.58125398109805593</v>
      </c>
      <c r="X5" s="9">
        <v>188250</v>
      </c>
      <c r="Y5" s="9">
        <v>563700</v>
      </c>
      <c r="Z5" s="9">
        <v>97867.883190666544</v>
      </c>
      <c r="AA5" s="134">
        <f>IFERROR(Z5/X5,"")</f>
        <v>0.5198825136290387</v>
      </c>
      <c r="AB5" s="9">
        <v>216205.5</v>
      </c>
      <c r="AC5" s="9">
        <v>504542</v>
      </c>
      <c r="AD5" s="9">
        <v>89306.261519871958</v>
      </c>
      <c r="AE5" s="134">
        <f>IFERROR(AD5/AB5,"")</f>
        <v>0.41306193191140816</v>
      </c>
      <c r="AF5" s="9">
        <v>227362.5</v>
      </c>
      <c r="AG5" s="9">
        <v>403200</v>
      </c>
      <c r="AH5" s="9">
        <v>70599.941426957506</v>
      </c>
      <c r="AI5" s="134">
        <f>IFERROR(AH5/AF5,"")</f>
        <v>0.31051708802884165</v>
      </c>
      <c r="AJ5" s="9">
        <v>261407</v>
      </c>
      <c r="AK5" s="9">
        <v>536108</v>
      </c>
      <c r="AL5" s="9">
        <v>93758.498358897472</v>
      </c>
      <c r="AM5" s="134">
        <f>IFERROR(AL5/AJ5,"")</f>
        <v>0.35866865982509066</v>
      </c>
      <c r="AN5" s="9">
        <v>167160</v>
      </c>
      <c r="AO5" s="9">
        <v>682395</v>
      </c>
      <c r="AP5" s="9">
        <v>116886.04539533</v>
      </c>
      <c r="AQ5" s="134">
        <f>IFERROR(AP5/AN5,"")</f>
        <v>0.6992465027239172</v>
      </c>
      <c r="AR5" s="9">
        <v>196800</v>
      </c>
      <c r="AS5" s="9">
        <v>624125</v>
      </c>
      <c r="AT5" s="9">
        <v>107037.24088462455</v>
      </c>
      <c r="AU5" s="134">
        <f>IFERROR(AT5/AR5,"")</f>
        <v>0.54388841912918984</v>
      </c>
      <c r="AV5" s="9">
        <v>172837.5</v>
      </c>
      <c r="AW5" s="9">
        <v>462500</v>
      </c>
      <c r="AX5" s="9">
        <v>76087.105606913174</v>
      </c>
      <c r="AY5" s="134">
        <f>IFERROR(AX5/AV5,"")</f>
        <v>0.44022336360403946</v>
      </c>
      <c r="AZ5" s="9">
        <v>210637.5</v>
      </c>
      <c r="BA5" s="9">
        <v>521350</v>
      </c>
      <c r="BB5" s="9">
        <v>80139.071497240817</v>
      </c>
      <c r="BC5" s="134">
        <f>IFERROR(BB5/AZ5,"")</f>
        <v>0.38045965935429737</v>
      </c>
      <c r="BD5" s="9">
        <v>225750</v>
      </c>
      <c r="BE5" s="9">
        <v>531650</v>
      </c>
      <c r="BF5" s="9">
        <v>80484.114042448782</v>
      </c>
      <c r="BG5" s="134">
        <f>IFERROR(BF5/BD5,"")</f>
        <v>0.35651877759667233</v>
      </c>
      <c r="BH5" s="9">
        <v>210975</v>
      </c>
      <c r="BI5" s="9">
        <v>502200</v>
      </c>
      <c r="BJ5" s="9">
        <v>72942.246013296259</v>
      </c>
      <c r="BK5" s="134">
        <f>IFERROR(BJ5/BH5,"")</f>
        <v>0.34573881271855084</v>
      </c>
      <c r="BL5" s="9">
        <v>194767.5</v>
      </c>
      <c r="BM5" s="9">
        <v>570319</v>
      </c>
      <c r="BN5" s="9">
        <v>82473.960733620464</v>
      </c>
      <c r="BO5" s="134">
        <f>IFERROR(BN5/BL5,"")</f>
        <v>0.42344826900597105</v>
      </c>
      <c r="BP5" s="9">
        <v>238350</v>
      </c>
      <c r="BQ5" s="9">
        <v>684500</v>
      </c>
      <c r="BR5" s="9">
        <v>110724.85463558412</v>
      </c>
      <c r="BS5" s="134">
        <f>IFERROR(BR5/BP5,"")</f>
        <v>0.46454732383295205</v>
      </c>
      <c r="BT5" s="9">
        <v>213825</v>
      </c>
      <c r="BU5" s="9">
        <v>611550</v>
      </c>
      <c r="BV5" s="9">
        <v>93356.711014219603</v>
      </c>
      <c r="BW5" s="134">
        <f>IFERROR(BV5/BT5,"")</f>
        <v>0.43660334859917971</v>
      </c>
      <c r="BX5" s="9">
        <v>216015</v>
      </c>
      <c r="BY5" s="9">
        <v>688430</v>
      </c>
      <c r="BZ5" s="9">
        <v>92703.303566307455</v>
      </c>
      <c r="CA5" s="134">
        <f>IFERROR(BZ5/BX5,"")</f>
        <v>0.42915215872188256</v>
      </c>
      <c r="CB5" s="9">
        <v>197107.5</v>
      </c>
      <c r="CC5" s="9">
        <v>629955</v>
      </c>
      <c r="CD5" s="9">
        <f>IF(CC5/(INDEX('Standards for Conversions'!$H$47:$H$73,MATCH(CB$3,'Standards for Conversions'!$A$47:$A$73,0)))=0,"",CC5/(INDEX('Standards for Conversions'!$H$47:$H$73,MATCH(CB$3,'Standards for Conversions'!$A$47:$A$73,0))))</f>
        <v>76612.964292821751</v>
      </c>
      <c r="CE5" s="134">
        <f>IFERROR(CD5/CB5,"")</f>
        <v>0.38868619556750378</v>
      </c>
      <c r="CF5" s="9">
        <f>20*11370</f>
        <v>227400</v>
      </c>
      <c r="CG5" s="9">
        <v>707500</v>
      </c>
      <c r="CH5" s="9">
        <f>IF(CG5/(INDEX('Standards for Conversions'!$H$47:$H$73,MATCH(CF$3,'Standards for Conversions'!$A$47:$A$73,0)))=0,"",CG5/(INDEX('Standards for Conversions'!$H$47:$H$73,MATCH(CF$3,'Standards for Conversions'!$A$47:$A$73,0))))</f>
        <v>69356.272291684771</v>
      </c>
      <c r="CI5" s="134">
        <f>IFERROR(CH5/CF5,"")</f>
        <v>0.30499679987548273</v>
      </c>
      <c r="CJ5" s="9">
        <f>20*11370</f>
        <v>227400</v>
      </c>
      <c r="CK5" s="9">
        <v>707500</v>
      </c>
      <c r="CL5" s="9">
        <f>IF(CK5/(INDEX('Standards for Conversions'!$H$47:$H$73,MATCH(CJ$3,'Standards for Conversions'!$A$47:$A$73,0)))=0,"",CK5/(INDEX('Standards for Conversions'!$H$47:$H$73,MATCH(CJ$3,'Standards for Conversions'!$A$47:$A$73,0))))</f>
        <v>71453.438192513233</v>
      </c>
      <c r="CM5" s="134">
        <f>IFERROR(CL5/CJ5,"")</f>
        <v>0.31421916531448213</v>
      </c>
      <c r="CN5" s="9">
        <f>20*11259</f>
        <v>225180</v>
      </c>
      <c r="CO5" s="9">
        <v>700000</v>
      </c>
      <c r="CP5" s="9">
        <f>IF(CO5/(INDEX('Standards for Conversions'!$H$47:$H$73,MATCH(CN$3,'Standards for Conversions'!$A$47:$A$73,0)))=0,"",CO5/(INDEX('Standards for Conversions'!$H$47:$H$73,MATCH(CN$3,'Standards for Conversions'!$A$47:$A$73,0))))</f>
        <v>73067.334919324465</v>
      </c>
      <c r="CQ5" s="134">
        <f>IFERROR(CP5/CN5,"")</f>
        <v>0.32448412345379013</v>
      </c>
      <c r="CR5" s="9">
        <f>20*11000</f>
        <v>220000</v>
      </c>
      <c r="CS5" s="9">
        <v>1000000</v>
      </c>
      <c r="CT5" s="9">
        <f>IF(CS5/(INDEX('Standards for Conversions'!$H$47:$H$73,MATCH(CR$3,'Standards for Conversions'!$A$47:$A$73,0)))=0,"",CS5/(INDEX('Standards for Conversions'!$H$47:$H$73,MATCH(CR$3,'Standards for Conversions'!$A$47:$A$73,0))))</f>
        <v>93372.05070826452</v>
      </c>
      <c r="CU5" s="134">
        <f>IFERROR(CT5/CR5,"")</f>
        <v>0.42441841231029326</v>
      </c>
      <c r="CV5" s="9">
        <f>20*10000</f>
        <v>200000</v>
      </c>
      <c r="CW5" s="9">
        <v>900000</v>
      </c>
      <c r="CX5" s="9">
        <f>IF(CW5/(INDEX('Standards for Conversions'!$H$47:$H$73,MATCH(CV$3,'Standards for Conversions'!$A$47:$A$73,0)))=0,"",CW5/(INDEX('Standards for Conversions'!$H$47:$H$73,MATCH(CV$3,'Standards for Conversions'!$A$47:$A$73,0))))</f>
        <v>82129.29358216736</v>
      </c>
      <c r="CY5" s="134">
        <f>IFERROR(CX5/CV5,"")</f>
        <v>0.41064646791083681</v>
      </c>
      <c r="CZ5" s="9">
        <f>20*9000</f>
        <v>180000</v>
      </c>
      <c r="DA5" s="9">
        <v>810000</v>
      </c>
      <c r="DB5" s="9">
        <f>IF(DA5/(INDEX('Standards for Conversions'!$H$47:$H$73,MATCH(CZ$3,'Standards for Conversions'!$A$47:$A$73,0)))=0,"",DA5/(INDEX('Standards for Conversions'!$H$47:$H$73,MATCH(CZ$3,'Standards for Conversions'!$A$47:$A$73,0))))</f>
        <v>75288.361703745526</v>
      </c>
      <c r="DC5" s="134">
        <f>IFERROR(DB5/CZ5,"")</f>
        <v>0.41826867613191959</v>
      </c>
      <c r="DD5" s="9">
        <f>20*8782</f>
        <v>175640</v>
      </c>
      <c r="DE5" s="9">
        <v>700159</v>
      </c>
      <c r="DF5" s="9">
        <f>IF(DE5/(INDEX('Standards for Conversions'!$H$47:$H$73,MATCH(DD$3,'Standards for Conversions'!$A$47:$A$73,0)))=0,"",DE5/(INDEX('Standards for Conversions'!$H$47:$H$73,MATCH(DD$3,'Standards for Conversions'!$A$47:$A$73,0))))</f>
        <v>67154.200880469492</v>
      </c>
      <c r="DG5" s="134">
        <f>IFERROR(DF5/DD5,"")</f>
        <v>0.38234001867723466</v>
      </c>
      <c r="DH5" s="9">
        <f>20*8961</f>
        <v>179220</v>
      </c>
      <c r="DI5" s="9">
        <v>841619</v>
      </c>
      <c r="DJ5" s="9">
        <f>IF(DI5/(INDEX('Standards for Conversions'!$H$47:$H$73,MATCH(DH$3,'Standards for Conversions'!$A$47:$A$73,0)))=0,"",DI5/(INDEX('Standards for Conversions'!$H$47:$H$73,MATCH(DH$3,'Standards for Conversions'!$A$47:$A$73,0))))</f>
        <v>77514.526068235631</v>
      </c>
      <c r="DK5" s="134">
        <f>IFERROR(DJ5/DH5,"")</f>
        <v>0.43251046796247983</v>
      </c>
      <c r="DL5" s="9">
        <f>20*9500</f>
        <v>190000</v>
      </c>
      <c r="DM5" s="9">
        <v>983000</v>
      </c>
      <c r="DN5" s="9">
        <f>IF(DM5/(INDEX('Standards for Conversions'!$H$47:$H$73,MATCH(DL$3,'Standards for Conversions'!$A$47:$A$73,0)))=0,"",DM5/(INDEX('Standards for Conversions'!$H$47:$H$73,MATCH(DL$3,'Standards for Conversions'!$A$47:$A$73,0))))</f>
        <v>80129.522564163824</v>
      </c>
      <c r="DO5" s="134">
        <f>IFERROR(DN5/DL5,"")</f>
        <v>0.42173432928507276</v>
      </c>
      <c r="DP5" s="9">
        <f>20*9600</f>
        <v>192000</v>
      </c>
      <c r="DQ5" s="9">
        <v>1075200</v>
      </c>
      <c r="DR5" s="9">
        <f>IF(DQ5/(INDEX('Standards for Conversions'!$H$47:$H$73,MATCH(DP$3,'Standards for Conversions'!$A$47:$A$73,0)))=0,"",DQ5/(INDEX('Standards for Conversions'!$H$47:$H$73,MATCH(DP$3,'Standards for Conversions'!$A$47:$A$73,0))))</f>
        <v>90149.381072390694</v>
      </c>
      <c r="DS5" s="134">
        <f>IFERROR(DR5/DP5,"")</f>
        <v>0.46952802641870151</v>
      </c>
      <c r="DT5" s="9">
        <f>20*14000</f>
        <v>280000</v>
      </c>
      <c r="DU5" s="9">
        <v>1120000</v>
      </c>
      <c r="DV5" s="9">
        <f>IF(DU5/(INDEX('Standards for Conversions'!$H$47:$H$73,MATCH(DT$3,'Standards for Conversions'!$A$47:$A$73,0)))=0,"",DU5/(INDEX('Standards for Conversions'!$H$47:$H$73,MATCH(DT$3,'Standards for Conversions'!$A$47:$A$73,0))))</f>
        <v>100189.69250601083</v>
      </c>
      <c r="DW5" s="134">
        <f>IFERROR(DV5/DT5,"")</f>
        <v>0.35782033037861011</v>
      </c>
      <c r="DX5" s="9">
        <f>20*17500</f>
        <v>350000</v>
      </c>
      <c r="DY5" s="9">
        <v>122500</v>
      </c>
      <c r="DZ5" s="134">
        <f>IFERROR(DY5/DX5,"")</f>
        <v>0.35</v>
      </c>
      <c r="EA5" s="9">
        <f>20*20000</f>
        <v>400000</v>
      </c>
      <c r="EB5" s="9">
        <v>160000</v>
      </c>
      <c r="EC5" s="134">
        <f>IFERROR(EB5/EA5,"")</f>
        <v>0.4</v>
      </c>
      <c r="ED5" s="9">
        <f>20*12000</f>
        <v>240000</v>
      </c>
      <c r="EE5" s="9">
        <v>110000</v>
      </c>
      <c r="EF5" s="134">
        <f>IFERROR(EE5/ED5,"")</f>
        <v>0.45833333333333331</v>
      </c>
      <c r="EG5" s="9">
        <f>20*15635</f>
        <v>312700</v>
      </c>
      <c r="EH5" s="9">
        <v>140715</v>
      </c>
      <c r="EI5" s="134">
        <f>IFERROR(EH5/EG5,"")</f>
        <v>0.45</v>
      </c>
      <c r="EJ5" s="9">
        <f>20*15330</f>
        <v>306600</v>
      </c>
      <c r="EK5" s="9">
        <v>139503</v>
      </c>
      <c r="EL5" s="134">
        <f>IFERROR(EK5/EJ5,"")</f>
        <v>0.45500000000000002</v>
      </c>
      <c r="EM5" s="9">
        <f>20*6585</f>
        <v>131700</v>
      </c>
      <c r="EN5" s="9">
        <v>66654</v>
      </c>
      <c r="EO5" s="134">
        <f>IFERROR(EN5/EM5,"")</f>
        <v>0.50610478359908884</v>
      </c>
      <c r="EP5" s="9">
        <f>20*6605</f>
        <v>132100</v>
      </c>
      <c r="EQ5" s="9">
        <v>73366</v>
      </c>
      <c r="ER5" s="134">
        <f>IFERROR(EQ5/EP5,"")</f>
        <v>0.55538228614685847</v>
      </c>
    </row>
    <row r="6" spans="1:148" x14ac:dyDescent="0.3">
      <c r="A6" s="102" t="s">
        <v>37</v>
      </c>
      <c r="B6" s="105" t="s">
        <v>374</v>
      </c>
      <c r="C6" s="105" t="s">
        <v>424</v>
      </c>
      <c r="D6" s="9">
        <v>319</v>
      </c>
      <c r="E6" s="9">
        <v>4500</v>
      </c>
      <c r="F6" s="9">
        <v>888.94003378378363</v>
      </c>
      <c r="G6" s="134">
        <f>IFERROR(F6/D6,"")</f>
        <v>2.7866458739303561</v>
      </c>
      <c r="H6" s="9">
        <v>125</v>
      </c>
      <c r="I6" s="9">
        <v>1500</v>
      </c>
      <c r="J6" s="9">
        <v>289.00872838272352</v>
      </c>
      <c r="K6" s="134">
        <f>IFERROR(J6/H6,"")</f>
        <v>2.3120698270617881</v>
      </c>
      <c r="L6" s="9">
        <v>400</v>
      </c>
      <c r="M6" s="9">
        <v>6000</v>
      </c>
      <c r="N6" s="9">
        <v>1072.190623098983</v>
      </c>
      <c r="O6" s="134">
        <f>IFERROR(N6/L6,"")</f>
        <v>2.6804765577474576</v>
      </c>
      <c r="P6" s="9">
        <v>750</v>
      </c>
      <c r="Q6" s="9">
        <v>15000</v>
      </c>
      <c r="R6" s="9">
        <v>2785.2819207873467</v>
      </c>
      <c r="S6" s="134">
        <f>IFERROR(R6/P6,"")</f>
        <v>3.7137092277164623</v>
      </c>
      <c r="T6" s="9"/>
      <c r="U6" s="9"/>
      <c r="V6" s="9"/>
      <c r="W6" s="134"/>
      <c r="X6" s="9"/>
      <c r="Y6" s="9"/>
      <c r="Z6" s="9"/>
      <c r="AA6" s="134"/>
      <c r="AB6" s="9"/>
      <c r="AC6" s="9"/>
      <c r="AD6" s="9"/>
      <c r="AE6" s="134"/>
      <c r="AF6" s="9"/>
      <c r="AG6" s="9"/>
      <c r="AH6" s="9"/>
      <c r="AI6" s="134"/>
      <c r="AJ6" s="9"/>
      <c r="AK6" s="9"/>
      <c r="AL6" s="9"/>
      <c r="AM6" s="134"/>
      <c r="AN6" s="9"/>
      <c r="AO6" s="9"/>
      <c r="AP6" s="9"/>
      <c r="AQ6" s="134"/>
      <c r="AR6" s="9"/>
      <c r="AS6" s="9"/>
      <c r="AT6" s="9"/>
      <c r="AU6" s="134"/>
      <c r="AV6" s="9"/>
      <c r="AW6" s="9"/>
      <c r="AX6" s="9"/>
      <c r="AY6" s="134"/>
      <c r="AZ6" s="9"/>
      <c r="BA6" s="9"/>
      <c r="BB6" s="9"/>
      <c r="BC6" s="134"/>
      <c r="BD6" s="9"/>
      <c r="BE6" s="9"/>
      <c r="BF6" s="9" t="s">
        <v>128</v>
      </c>
      <c r="BG6" s="134"/>
      <c r="BH6" s="9"/>
      <c r="BI6" s="9"/>
      <c r="BJ6" s="9"/>
      <c r="BK6" s="134"/>
      <c r="BL6" s="9"/>
      <c r="BM6" s="9"/>
      <c r="BN6" s="9"/>
      <c r="BO6" s="134"/>
      <c r="BP6" s="9"/>
      <c r="BQ6" s="9"/>
      <c r="BR6" s="9"/>
      <c r="BS6" s="134"/>
      <c r="BT6" s="9"/>
      <c r="BU6" s="9"/>
      <c r="BV6" s="9"/>
      <c r="BW6" s="134"/>
      <c r="BX6" s="9"/>
      <c r="BY6" s="9"/>
      <c r="BZ6" s="9"/>
      <c r="CA6" s="134"/>
      <c r="CB6" s="9"/>
      <c r="CC6" s="9"/>
      <c r="CD6" s="9"/>
      <c r="CE6" s="134"/>
      <c r="CF6" s="9"/>
      <c r="CG6" s="9"/>
      <c r="CH6" s="9"/>
      <c r="CI6" s="134"/>
      <c r="CJ6" s="9"/>
      <c r="CK6" s="9"/>
      <c r="CL6" s="9"/>
      <c r="CM6" s="134"/>
      <c r="CN6" s="9"/>
      <c r="CO6" s="9"/>
      <c r="CP6" s="9"/>
      <c r="CQ6" s="134"/>
      <c r="CR6" s="9"/>
      <c r="CS6" s="9"/>
      <c r="CT6" s="9"/>
      <c r="CU6" s="134"/>
      <c r="CV6" s="9"/>
      <c r="CW6" s="9"/>
      <c r="CX6" s="9"/>
      <c r="CY6" s="134"/>
      <c r="CZ6" s="9"/>
      <c r="DA6" s="9"/>
      <c r="DB6" s="9"/>
      <c r="DC6" s="134"/>
      <c r="DD6" s="9"/>
      <c r="DE6" s="9"/>
      <c r="DF6" s="9"/>
      <c r="DG6" s="134"/>
      <c r="DH6" s="9"/>
      <c r="DI6" s="9"/>
      <c r="DJ6" s="9"/>
      <c r="DK6" s="134"/>
      <c r="DL6" s="9"/>
      <c r="DM6" s="9"/>
      <c r="DN6" s="9"/>
      <c r="DO6" s="134"/>
      <c r="DP6" s="9"/>
      <c r="DQ6" s="9"/>
      <c r="DR6" s="9"/>
      <c r="DS6" s="134"/>
      <c r="DT6" s="9"/>
      <c r="DU6" s="9"/>
      <c r="DV6" s="9"/>
      <c r="DW6" s="134"/>
      <c r="DX6" s="9"/>
      <c r="DY6" s="9"/>
      <c r="DZ6" s="134"/>
      <c r="EA6" s="9"/>
      <c r="EB6" s="9"/>
      <c r="EC6" s="134"/>
      <c r="ED6" s="9"/>
      <c r="EE6" s="9"/>
      <c r="EF6" s="134"/>
      <c r="EG6" s="9"/>
      <c r="EH6" s="9"/>
      <c r="EI6" s="134"/>
      <c r="EJ6" s="9"/>
      <c r="EK6" s="9"/>
      <c r="EL6" s="134"/>
      <c r="EM6" s="9"/>
      <c r="EN6" s="9"/>
      <c r="EO6" s="134"/>
      <c r="EP6" s="9"/>
      <c r="EQ6" s="9"/>
      <c r="ER6" s="134"/>
    </row>
    <row r="7" spans="1:148" x14ac:dyDescent="0.3">
      <c r="A7" s="102" t="s">
        <v>37</v>
      </c>
      <c r="B7" s="103" t="s">
        <v>39</v>
      </c>
      <c r="C7" s="103" t="s">
        <v>132</v>
      </c>
      <c r="D7" s="9">
        <v>30650</v>
      </c>
      <c r="E7" s="9">
        <v>55500</v>
      </c>
      <c r="F7" s="9">
        <v>10963.593749999998</v>
      </c>
      <c r="G7" s="134">
        <f t="shared" ref="G7:G50" si="0">IFERROR(F7/D7,"")</f>
        <v>0.35770289559543222</v>
      </c>
      <c r="H7" s="9">
        <v>20000</v>
      </c>
      <c r="I7" s="9">
        <v>32000</v>
      </c>
      <c r="J7" s="9">
        <v>6165.5195388314351</v>
      </c>
      <c r="K7" s="134">
        <f t="shared" ref="K7:K50" si="1">IFERROR(J7/H7,"")</f>
        <v>0.30827597694157177</v>
      </c>
      <c r="L7" s="9">
        <v>625</v>
      </c>
      <c r="M7" s="9">
        <v>1000</v>
      </c>
      <c r="N7" s="9">
        <v>178.69843718316383</v>
      </c>
      <c r="O7" s="134">
        <f t="shared" ref="O7:O50" si="2">IFERROR(N7/L7,"")</f>
        <v>0.28591749949306211</v>
      </c>
      <c r="P7" s="9">
        <v>1000</v>
      </c>
      <c r="Q7" s="9">
        <v>2000</v>
      </c>
      <c r="R7" s="9">
        <v>371.37092277164624</v>
      </c>
      <c r="S7" s="134">
        <f t="shared" ref="S7:S50" si="3">IFERROR(R7/P7,"")</f>
        <v>0.37137092277164624</v>
      </c>
      <c r="T7" s="9">
        <v>7000</v>
      </c>
      <c r="U7" s="9">
        <v>15000</v>
      </c>
      <c r="V7" s="9">
        <v>2670.9487974711042</v>
      </c>
      <c r="W7" s="134">
        <f t="shared" ref="W7:W50" si="4">IFERROR(V7/T7,"")</f>
        <v>0.38156411392444345</v>
      </c>
      <c r="X7" s="9">
        <v>1500</v>
      </c>
      <c r="Y7" s="9">
        <v>3700</v>
      </c>
      <c r="Z7" s="9">
        <v>642.38277063236865</v>
      </c>
      <c r="AA7" s="134">
        <f t="shared" ref="AA7:AA50" si="5">IFERROR(Z7/X7,"")</f>
        <v>0.42825518042157912</v>
      </c>
      <c r="AB7" s="9">
        <v>300</v>
      </c>
      <c r="AC7" s="9">
        <v>800</v>
      </c>
      <c r="AD7" s="9">
        <v>141.6036905072275</v>
      </c>
      <c r="AE7" s="134">
        <f t="shared" ref="AE7:AE50" si="6">IFERROR(AD7/AB7,"")</f>
        <v>0.47201230169075831</v>
      </c>
      <c r="AF7" s="9">
        <v>200</v>
      </c>
      <c r="AG7" s="9">
        <v>500</v>
      </c>
      <c r="AH7" s="9">
        <v>87.54953053938182</v>
      </c>
      <c r="AI7" s="134">
        <f t="shared" ref="AI7:AI50" si="7">IFERROR(AH7/AF7,"")</f>
        <v>0.43774765269690907</v>
      </c>
      <c r="AJ7" s="9">
        <v>124</v>
      </c>
      <c r="AK7" s="9">
        <v>340</v>
      </c>
      <c r="AL7" s="9">
        <v>59.461693244691631</v>
      </c>
      <c r="AM7" s="134">
        <f t="shared" ref="AM7:AM50" si="8">IFERROR(AL7/AJ7,"")</f>
        <v>0.47952978423138409</v>
      </c>
      <c r="AN7" s="9">
        <v>2150</v>
      </c>
      <c r="AO7" s="9">
        <v>4318</v>
      </c>
      <c r="AP7" s="9">
        <v>739.62139818878347</v>
      </c>
      <c r="AQ7" s="134">
        <f t="shared" ref="AQ7:AQ50" si="9">IFERROR(AP7/AN7,"")</f>
        <v>0.3440099526459458</v>
      </c>
      <c r="AR7" s="9">
        <v>5000</v>
      </c>
      <c r="AS7" s="9">
        <v>10000</v>
      </c>
      <c r="AT7" s="9">
        <v>1714.9968497436341</v>
      </c>
      <c r="AU7" s="134">
        <f t="shared" ref="AU7:AU50" si="10">IFERROR(AT7/AR7,"")</f>
        <v>0.34299936994872682</v>
      </c>
      <c r="AV7" s="9">
        <v>2500</v>
      </c>
      <c r="AW7" s="9">
        <v>4000</v>
      </c>
      <c r="AX7" s="9">
        <v>658.05064308681665</v>
      </c>
      <c r="AY7" s="134">
        <f t="shared" ref="AY7:AY50" si="11">IFERROR(AX7/AV7,"")</f>
        <v>0.26322025723472664</v>
      </c>
      <c r="AZ7" s="9">
        <v>450</v>
      </c>
      <c r="BA7" s="9">
        <v>1000</v>
      </c>
      <c r="BB7" s="9">
        <v>153.71453245850353</v>
      </c>
      <c r="BC7" s="134">
        <f t="shared" ref="BC7:BC50" si="12">IFERROR(BB7/AZ7,"")</f>
        <v>0.34158784990778562</v>
      </c>
      <c r="BD7" s="9">
        <v>500</v>
      </c>
      <c r="BE7" s="9">
        <v>1200</v>
      </c>
      <c r="BF7" s="9">
        <v>181.6626292691405</v>
      </c>
      <c r="BG7" s="134">
        <f t="shared" ref="BG7:BG50" si="13">IFERROR(BF7/BD7,"")</f>
        <v>0.36332525853828102</v>
      </c>
      <c r="BH7" s="9">
        <v>600</v>
      </c>
      <c r="BI7" s="9">
        <v>1500</v>
      </c>
      <c r="BJ7" s="9">
        <v>217.86811831928395</v>
      </c>
      <c r="BK7" s="134">
        <f t="shared" ref="BK7:BK50" si="14">IFERROR(BJ7/BH7,"")</f>
        <v>0.36311353053213991</v>
      </c>
      <c r="BL7" s="9">
        <v>396</v>
      </c>
      <c r="BM7" s="9">
        <v>1135</v>
      </c>
      <c r="BN7" s="9">
        <v>164.13260900068073</v>
      </c>
      <c r="BO7" s="134">
        <f t="shared" ref="BO7:BO50" si="15">IFERROR(BN7/BL7,"")</f>
        <v>0.41447628535525438</v>
      </c>
      <c r="BP7" s="9">
        <v>400</v>
      </c>
      <c r="BQ7" s="9">
        <v>1200</v>
      </c>
      <c r="BR7" s="9">
        <v>194.11223603024243</v>
      </c>
      <c r="BS7" s="134">
        <f t="shared" ref="BS7:BS50" si="16">IFERROR(BR7/BP7,"")</f>
        <v>0.48528059007560609</v>
      </c>
      <c r="BT7" s="9">
        <v>500</v>
      </c>
      <c r="BU7" s="9">
        <v>1400</v>
      </c>
      <c r="BV7" s="9">
        <v>213.71824939891658</v>
      </c>
      <c r="BW7" s="134">
        <f t="shared" ref="BW7:BW50" si="17">IFERROR(BV7/BT7,"")</f>
        <v>0.42743649879783319</v>
      </c>
      <c r="BX7" s="9">
        <v>300</v>
      </c>
      <c r="BY7" s="9">
        <v>900</v>
      </c>
      <c r="BZ7" s="9">
        <v>121.19311071521682</v>
      </c>
      <c r="CA7" s="134">
        <f t="shared" ref="CA7:CA50" si="18">IFERROR(BZ7/BX7,"")</f>
        <v>0.40397703571738941</v>
      </c>
      <c r="CB7" s="9">
        <v>150</v>
      </c>
      <c r="CC7" s="9">
        <v>450</v>
      </c>
      <c r="CD7" s="9">
        <f>IF(CC7/(INDEX('Standards for Conversions'!$H$47:$H$73,MATCH(CB$3,'Standards for Conversions'!$A$47:$A$73,0)))=0,"",CC7/(INDEX('Standards for Conversions'!$H$47:$H$73,MATCH(CB$3,'Standards for Conversions'!$A$47:$A$73,0))))</f>
        <v>54.727455027374631</v>
      </c>
      <c r="CE7" s="134">
        <f t="shared" ref="CE7:CE50" si="19">IFERROR(CD7/CB7,"")</f>
        <v>0.36484970018249752</v>
      </c>
      <c r="CF7" s="9"/>
      <c r="CG7" s="9"/>
      <c r="CH7" s="9" t="str">
        <f>IF(CG7/(INDEX('Standards for Conversions'!$H$47:$H$73,MATCH(CF$3,'Standards for Conversions'!$A$47:$A$73,0)))=0,"",CG7/(INDEX('Standards for Conversions'!$H$47:$H$73,MATCH(CF$3,'Standards for Conversions'!$A$47:$A$73,0))))</f>
        <v/>
      </c>
      <c r="CI7" s="134" t="str">
        <f t="shared" ref="CI7:CI50" si="20">IFERROR(CH7/CF7,"")</f>
        <v/>
      </c>
      <c r="CJ7" s="9"/>
      <c r="CK7" s="9"/>
      <c r="CL7" s="9" t="str">
        <f>IF(CK7/(INDEX('Standards for Conversions'!$H$47:$H$73,MATCH(CJ$3,'Standards for Conversions'!$A$47:$A$73,0)))=0,"",CK7/(INDEX('Standards for Conversions'!$H$47:$H$73,MATCH(CJ$3,'Standards for Conversions'!$A$47:$A$73,0))))</f>
        <v/>
      </c>
      <c r="CM7" s="134" t="str">
        <f t="shared" ref="CM7:CM50" si="21">IFERROR(CL7/CJ7,"")</f>
        <v/>
      </c>
      <c r="CN7" s="9"/>
      <c r="CO7" s="9"/>
      <c r="CP7" s="9" t="str">
        <f>IF(CO7/(INDEX('Standards for Conversions'!$H$47:$H$73,MATCH(CN$3,'Standards for Conversions'!$A$47:$A$73,0)))=0,"",CO7/(INDEX('Standards for Conversions'!$H$47:$H$73,MATCH(CN$3,'Standards for Conversions'!$A$47:$A$73,0))))</f>
        <v/>
      </c>
      <c r="CQ7" s="134" t="str">
        <f t="shared" ref="CQ7:CQ50" si="22">IFERROR(CP7/CN7,"")</f>
        <v/>
      </c>
      <c r="CR7" s="9"/>
      <c r="CS7" s="9"/>
      <c r="CT7" s="9" t="str">
        <f>IF(CS7/(INDEX('Standards for Conversions'!$H$47:$H$73,MATCH(CR$3,'Standards for Conversions'!$A$47:$A$73,0)))=0,"",CS7/(INDEX('Standards for Conversions'!$H$47:$H$73,MATCH(CR$3,'Standards for Conversions'!$A$47:$A$73,0))))</f>
        <v/>
      </c>
      <c r="CU7" s="134" t="str">
        <f t="shared" ref="CU7:CU50" si="23">IFERROR(CT7/CR7,"")</f>
        <v/>
      </c>
      <c r="CV7" s="9"/>
      <c r="CW7" s="9"/>
      <c r="CX7" s="9" t="str">
        <f>IF(CW7/(INDEX('Standards for Conversions'!$H$47:$H$73,MATCH(CV$3,'Standards for Conversions'!$A$47:$A$73,0)))=0,"",CW7/(INDEX('Standards for Conversions'!$H$47:$H$73,MATCH(CV$3,'Standards for Conversions'!$A$47:$A$73,0))))</f>
        <v/>
      </c>
      <c r="CY7" s="134" t="str">
        <f t="shared" ref="CY7:CY50" si="24">IFERROR(CX7/CV7,"")</f>
        <v/>
      </c>
      <c r="CZ7" s="9"/>
      <c r="DA7" s="9"/>
      <c r="DB7" s="9" t="str">
        <f>IF(DA7/(INDEX('Standards for Conversions'!$H$47:$H$73,MATCH(CZ$3,'Standards for Conversions'!$A$47:$A$73,0)))=0,"",DA7/(INDEX('Standards for Conversions'!$H$47:$H$73,MATCH(CZ$3,'Standards for Conversions'!$A$47:$A$73,0))))</f>
        <v/>
      </c>
      <c r="DC7" s="134" t="str">
        <f t="shared" ref="DC7:DC50" si="25">IFERROR(DB7/CZ7,"")</f>
        <v/>
      </c>
      <c r="DD7" s="9"/>
      <c r="DE7" s="9"/>
      <c r="DF7" s="9" t="str">
        <f>IF(DE7/(INDEX('Standards for Conversions'!$H$47:$H$73,MATCH(DD$3,'Standards for Conversions'!$A$47:$A$73,0)))=0,"",DE7/(INDEX('Standards for Conversions'!$H$47:$H$73,MATCH(DD$3,'Standards for Conversions'!$A$47:$A$73,0))))</f>
        <v/>
      </c>
      <c r="DG7" s="134" t="str">
        <f t="shared" ref="DG7:DG50" si="26">IFERROR(DF7/DD7,"")</f>
        <v/>
      </c>
      <c r="DH7" s="9"/>
      <c r="DI7" s="9"/>
      <c r="DJ7" s="9" t="str">
        <f>IF(DI7/(INDEX('Standards for Conversions'!$H$47:$H$73,MATCH(DH$3,'Standards for Conversions'!$A$47:$A$73,0)))=0,"",DI7/(INDEX('Standards for Conversions'!$H$47:$H$73,MATCH(DH$3,'Standards for Conversions'!$A$47:$A$73,0))))</f>
        <v/>
      </c>
      <c r="DK7" s="134" t="str">
        <f t="shared" ref="DK7:DK50" si="27">IFERROR(DJ7/DH7,"")</f>
        <v/>
      </c>
      <c r="DL7" s="9"/>
      <c r="DM7" s="9"/>
      <c r="DN7" s="9" t="str">
        <f>IF(DM7/(INDEX('Standards for Conversions'!$H$47:$H$73,MATCH(DL$3,'Standards for Conversions'!$A$47:$A$73,0)))=0,"",DM7/(INDEX('Standards for Conversions'!$H$47:$H$73,MATCH(DL$3,'Standards for Conversions'!$A$47:$A$73,0))))</f>
        <v/>
      </c>
      <c r="DO7" s="134" t="str">
        <f t="shared" ref="DO7:DO50" si="28">IFERROR(DN7/DL7,"")</f>
        <v/>
      </c>
      <c r="DP7" s="9"/>
      <c r="DQ7" s="9"/>
      <c r="DR7" s="9" t="str">
        <f>IF(DQ7/(INDEX('Standards for Conversions'!$H$47:$H$73,MATCH(DP$3,'Standards for Conversions'!$A$47:$A$73,0)))=0,"",DQ7/(INDEX('Standards for Conversions'!$H$47:$H$73,MATCH(DP$3,'Standards for Conversions'!$A$47:$A$73,0))))</f>
        <v/>
      </c>
      <c r="DS7" s="134" t="str">
        <f t="shared" ref="DS7:DS50" si="29">IFERROR(DR7/DP7,"")</f>
        <v/>
      </c>
      <c r="DT7" s="9"/>
      <c r="DU7" s="9"/>
      <c r="DV7" s="9" t="str">
        <f>IF(DU7/(INDEX('Standards for Conversions'!$H$47:$H$73,MATCH(DT$3,'Standards for Conversions'!$A$47:$A$73,0)))=0,"",DU7/(INDEX('Standards for Conversions'!$H$47:$H$73,MATCH(DT$3,'Standards for Conversions'!$A$47:$A$73,0))))</f>
        <v/>
      </c>
      <c r="DW7" s="134" t="str">
        <f t="shared" ref="DW7:DW50" si="30">IFERROR(DV7/DT7,"")</f>
        <v/>
      </c>
      <c r="DX7" s="9"/>
      <c r="DY7" s="9"/>
      <c r="DZ7" s="134" t="str">
        <f t="shared" ref="DZ7:DZ49" si="31">IFERROR(DY7/DX7,"")</f>
        <v/>
      </c>
      <c r="EA7" s="9"/>
      <c r="EB7" s="9"/>
      <c r="EC7" s="134" t="str">
        <f t="shared" ref="EC7:EC49" si="32">IFERROR(EB7/EA7,"")</f>
        <v/>
      </c>
      <c r="ED7" s="9"/>
      <c r="EE7" s="9"/>
      <c r="EF7" s="134" t="str">
        <f t="shared" ref="EF7:EF49" si="33">IFERROR(EE7/ED7,"")</f>
        <v/>
      </c>
      <c r="EG7" s="9"/>
      <c r="EH7" s="9"/>
      <c r="EI7" s="134" t="str">
        <f t="shared" ref="EI7:EI49" si="34">IFERROR(EH7/EG7,"")</f>
        <v/>
      </c>
      <c r="EJ7" s="9"/>
      <c r="EK7" s="9"/>
      <c r="EL7" s="134" t="str">
        <f t="shared" ref="EL7:EL49" si="35">IFERROR(EK7/EJ7,"")</f>
        <v/>
      </c>
      <c r="EM7" s="9"/>
      <c r="EN7" s="9"/>
      <c r="EO7" s="134" t="str">
        <f t="shared" ref="EO7:EO49" si="36">IFERROR(EN7/EM7,"")</f>
        <v/>
      </c>
      <c r="EP7" s="9"/>
      <c r="EQ7" s="9"/>
      <c r="ER7" s="134" t="str">
        <f t="shared" ref="ER7:ER49" si="37">IFERROR(EQ7/EP7,"")</f>
        <v/>
      </c>
    </row>
    <row r="8" spans="1:148" x14ac:dyDescent="0.3">
      <c r="A8" s="102" t="s">
        <v>155</v>
      </c>
      <c r="B8" s="103" t="s">
        <v>98</v>
      </c>
      <c r="C8" s="103" t="s">
        <v>131</v>
      </c>
      <c r="D8" s="9"/>
      <c r="E8" s="9"/>
      <c r="F8" s="9"/>
      <c r="G8" s="134" t="str">
        <f t="shared" si="0"/>
        <v/>
      </c>
      <c r="H8" s="9"/>
      <c r="I8" s="9"/>
      <c r="J8" s="9"/>
      <c r="K8" s="134" t="str">
        <f t="shared" si="1"/>
        <v/>
      </c>
      <c r="L8" s="9"/>
      <c r="M8" s="9"/>
      <c r="N8" s="9"/>
      <c r="O8" s="134" t="str">
        <f t="shared" si="2"/>
        <v/>
      </c>
      <c r="P8" s="9"/>
      <c r="Q8" s="9"/>
      <c r="R8" s="9"/>
      <c r="S8" s="134" t="str">
        <f t="shared" si="3"/>
        <v/>
      </c>
      <c r="T8" s="9"/>
      <c r="U8" s="9"/>
      <c r="V8" s="9"/>
      <c r="W8" s="134" t="str">
        <f t="shared" si="4"/>
        <v/>
      </c>
      <c r="X8" s="9"/>
      <c r="Y8" s="9"/>
      <c r="Z8" s="9"/>
      <c r="AA8" s="134" t="str">
        <f t="shared" si="5"/>
        <v/>
      </c>
      <c r="AB8" s="9"/>
      <c r="AC8" s="9"/>
      <c r="AD8" s="9"/>
      <c r="AE8" s="134" t="str">
        <f t="shared" si="6"/>
        <v/>
      </c>
      <c r="AF8" s="9"/>
      <c r="AG8" s="9"/>
      <c r="AH8" s="9"/>
      <c r="AI8" s="134" t="str">
        <f t="shared" si="7"/>
        <v/>
      </c>
      <c r="AJ8" s="9"/>
      <c r="AK8" s="9"/>
      <c r="AL8" s="9"/>
      <c r="AM8" s="134" t="str">
        <f t="shared" si="8"/>
        <v/>
      </c>
      <c r="AN8" s="9"/>
      <c r="AO8" s="9"/>
      <c r="AP8" s="9"/>
      <c r="AQ8" s="134" t="str">
        <f t="shared" si="9"/>
        <v/>
      </c>
      <c r="AR8" s="9"/>
      <c r="AS8" s="9"/>
      <c r="AT8" s="9"/>
      <c r="AU8" s="134" t="str">
        <f t="shared" si="10"/>
        <v/>
      </c>
      <c r="AV8" s="9"/>
      <c r="AW8" s="9"/>
      <c r="AX8" s="9"/>
      <c r="AY8" s="134" t="str">
        <f t="shared" si="11"/>
        <v/>
      </c>
      <c r="AZ8" s="9"/>
      <c r="BA8" s="9"/>
      <c r="BB8" s="9"/>
      <c r="BC8" s="134" t="str">
        <f t="shared" si="12"/>
        <v/>
      </c>
      <c r="BD8" s="9"/>
      <c r="BE8" s="9"/>
      <c r="BF8" s="9" t="s">
        <v>128</v>
      </c>
      <c r="BG8" s="134" t="str">
        <f t="shared" si="13"/>
        <v/>
      </c>
      <c r="BH8" s="9"/>
      <c r="BI8" s="9"/>
      <c r="BJ8" s="9" t="s">
        <v>128</v>
      </c>
      <c r="BK8" s="134" t="str">
        <f t="shared" si="14"/>
        <v/>
      </c>
      <c r="BL8" s="9"/>
      <c r="BM8" s="9"/>
      <c r="BN8" s="9" t="s">
        <v>128</v>
      </c>
      <c r="BO8" s="134" t="str">
        <f t="shared" si="15"/>
        <v/>
      </c>
      <c r="BP8" s="9"/>
      <c r="BQ8" s="9"/>
      <c r="BR8" s="9" t="s">
        <v>128</v>
      </c>
      <c r="BS8" s="134" t="str">
        <f t="shared" si="16"/>
        <v/>
      </c>
      <c r="BT8" s="9"/>
      <c r="BU8" s="9"/>
      <c r="BV8" s="9" t="s">
        <v>128</v>
      </c>
      <c r="BW8" s="134" t="str">
        <f t="shared" si="17"/>
        <v/>
      </c>
      <c r="BX8" s="9"/>
      <c r="BY8" s="9"/>
      <c r="BZ8" s="9" t="s">
        <v>128</v>
      </c>
      <c r="CA8" s="134" t="str">
        <f t="shared" si="18"/>
        <v/>
      </c>
      <c r="CB8" s="9"/>
      <c r="CC8" s="9"/>
      <c r="CD8" s="9" t="str">
        <f>IF(CC8/(INDEX('Standards for Conversions'!$H$47:$H$73,MATCH(CB$3,'Standards for Conversions'!$A$47:$A$73,0)))=0,"",CC8/(INDEX('Standards for Conversions'!$H$47:$H$73,MATCH(CB$3,'Standards for Conversions'!$A$47:$A$73,0))))</f>
        <v/>
      </c>
      <c r="CE8" s="134" t="str">
        <f t="shared" si="19"/>
        <v/>
      </c>
      <c r="CF8" s="9">
        <f>20*3500</f>
        <v>70000</v>
      </c>
      <c r="CG8" s="9">
        <v>140000</v>
      </c>
      <c r="CH8" s="9">
        <f>IF(CG8/(INDEX('Standards for Conversions'!$H$47:$H$73,MATCH(CF$3,'Standards for Conversions'!$A$47:$A$73,0)))=0,"",CG8/(INDEX('Standards for Conversions'!$H$47:$H$73,MATCH(CF$3,'Standards for Conversions'!$A$47:$A$73,0))))</f>
        <v>13724.209358071897</v>
      </c>
      <c r="CI8" s="134">
        <f t="shared" si="20"/>
        <v>0.19606013368674138</v>
      </c>
      <c r="CJ8" s="9">
        <f>20*4250</f>
        <v>85000</v>
      </c>
      <c r="CK8" s="9">
        <v>170000</v>
      </c>
      <c r="CL8" s="9">
        <f>IF(CK8/(INDEX('Standards for Conversions'!$H$47:$H$73,MATCH(CJ$3,'Standards for Conversions'!$A$47:$A$73,0)))=0,"",CK8/(INDEX('Standards for Conversions'!$H$47:$H$73,MATCH(CJ$3,'Standards for Conversions'!$A$47:$A$73,0))))</f>
        <v>17169.024017989046</v>
      </c>
      <c r="CM8" s="134">
        <f t="shared" si="21"/>
        <v>0.20198851785869465</v>
      </c>
      <c r="CN8" s="9">
        <f>20*5250</f>
        <v>105000</v>
      </c>
      <c r="CO8" s="9">
        <v>210000</v>
      </c>
      <c r="CP8" s="9">
        <f>IF(CO8/(INDEX('Standards for Conversions'!$H$47:$H$73,MATCH(CN$3,'Standards for Conversions'!$A$47:$A$73,0)))=0,"",CO8/(INDEX('Standards for Conversions'!$H$47:$H$73,MATCH(CN$3,'Standards for Conversions'!$A$47:$A$73,0))))</f>
        <v>21920.200475797337</v>
      </c>
      <c r="CQ8" s="134">
        <f t="shared" si="22"/>
        <v>0.20876381405521274</v>
      </c>
      <c r="CR8" s="9">
        <f>20*3950</f>
        <v>79000</v>
      </c>
      <c r="CS8" s="9">
        <v>275000</v>
      </c>
      <c r="CT8" s="9">
        <f>IF(CS8/(INDEX('Standards for Conversions'!$H$47:$H$73,MATCH(CR$3,'Standards for Conversions'!$A$47:$A$73,0)))=0,"",CS8/(INDEX('Standards for Conversions'!$H$47:$H$73,MATCH(CR$3,'Standards for Conversions'!$A$47:$A$73,0))))</f>
        <v>25677.313944772741</v>
      </c>
      <c r="CU8" s="134">
        <f t="shared" si="23"/>
        <v>0.32502929044016127</v>
      </c>
      <c r="CV8" s="9">
        <f>20*3600</f>
        <v>72000</v>
      </c>
      <c r="CW8" s="9">
        <v>236000</v>
      </c>
      <c r="CX8" s="9">
        <f>IF(CW8/(INDEX('Standards for Conversions'!$H$47:$H$73,MATCH(CV$3,'Standards for Conversions'!$A$47:$A$73,0)))=0,"",CW8/(INDEX('Standards for Conversions'!$H$47:$H$73,MATCH(CV$3,'Standards for Conversions'!$A$47:$A$73,0))))</f>
        <v>21536.12587265722</v>
      </c>
      <c r="CY8" s="134">
        <f t="shared" si="24"/>
        <v>0.2991128593424614</v>
      </c>
      <c r="CZ8" s="9">
        <f>20*3380</f>
        <v>67600</v>
      </c>
      <c r="DA8" s="9">
        <v>294670</v>
      </c>
      <c r="DB8" s="9">
        <f>IF(DA8/(INDEX('Standards for Conversions'!$H$47:$H$73,MATCH(CZ$3,'Standards for Conversions'!$A$47:$A$73,0)))=0,"",DA8/(INDEX('Standards for Conversions'!$H$47:$H$73,MATCH(CZ$3,'Standards for Conversions'!$A$47:$A$73,0))))</f>
        <v>27389.162399065059</v>
      </c>
      <c r="DC8" s="134">
        <f t="shared" si="25"/>
        <v>0.40516512424652451</v>
      </c>
      <c r="DD8" s="9">
        <f>20*4353</f>
        <v>87060</v>
      </c>
      <c r="DE8" s="9">
        <v>193738</v>
      </c>
      <c r="DF8" s="9">
        <f>IF(DE8/(INDEX('Standards for Conversions'!$H$47:$H$73,MATCH(DD$3,'Standards for Conversions'!$A$47:$A$73,0)))=0,"",DE8/(INDEX('Standards for Conversions'!$H$47:$H$73,MATCH(DD$3,'Standards for Conversions'!$A$47:$A$73,0))))</f>
        <v>18581.951485563135</v>
      </c>
      <c r="DG8" s="134">
        <f t="shared" si="26"/>
        <v>0.21343845032808564</v>
      </c>
      <c r="DH8" s="9">
        <f>20*2012</f>
        <v>40240</v>
      </c>
      <c r="DI8" s="9">
        <v>103408</v>
      </c>
      <c r="DJ8" s="9">
        <f>IF(DI8/(INDEX('Standards for Conversions'!$H$47:$H$73,MATCH(DH$3,'Standards for Conversions'!$A$47:$A$73,0)))=0,"",DI8/(INDEX('Standards for Conversions'!$H$47:$H$73,MATCH(DH$3,'Standards for Conversions'!$A$47:$A$73,0))))</f>
        <v>9524.0508016859294</v>
      </c>
      <c r="DK8" s="134">
        <f t="shared" si="27"/>
        <v>0.23668118294448134</v>
      </c>
      <c r="DL8" s="9">
        <f>20*3371</f>
        <v>67420</v>
      </c>
      <c r="DM8" s="9">
        <v>115300</v>
      </c>
      <c r="DN8" s="9">
        <f>IF(DM8/(INDEX('Standards for Conversions'!$H$47:$H$73,MATCH(DL$3,'Standards for Conversions'!$A$47:$A$73,0)))=0,"",DM8/(INDEX('Standards for Conversions'!$H$47:$H$73,MATCH(DL$3,'Standards for Conversions'!$A$47:$A$73,0))))</f>
        <v>9398.7120566104677</v>
      </c>
      <c r="DO8" s="134">
        <f t="shared" si="28"/>
        <v>0.13940539983106598</v>
      </c>
      <c r="DP8" s="9">
        <f>20*3679</f>
        <v>73580</v>
      </c>
      <c r="DQ8" s="9">
        <v>153590</v>
      </c>
      <c r="DR8" s="9">
        <f>IF(DQ8/(INDEX('Standards for Conversions'!$H$47:$H$73,MATCH(DP$3,'Standards for Conversions'!$A$47:$A$73,0)))=0,"",DQ8/(INDEX('Standards for Conversions'!$H$47:$H$73,MATCH(DP$3,'Standards for Conversions'!$A$47:$A$73,0))))</f>
        <v>12877.64456743721</v>
      </c>
      <c r="DS8" s="134">
        <f t="shared" si="29"/>
        <v>0.17501555541502051</v>
      </c>
      <c r="DT8" s="9">
        <f>20*2108</f>
        <v>42160</v>
      </c>
      <c r="DU8" s="9">
        <v>109400</v>
      </c>
      <c r="DV8" s="9">
        <f>IF(DU8/(INDEX('Standards for Conversions'!$H$47:$H$73,MATCH(DT$3,'Standards for Conversions'!$A$47:$A$73,0)))=0,"",DU8/(INDEX('Standards for Conversions'!$H$47:$H$73,MATCH(DT$3,'Standards for Conversions'!$A$47:$A$73,0))))</f>
        <v>9786.3860358549864</v>
      </c>
      <c r="DW8" s="134">
        <f t="shared" si="30"/>
        <v>0.23212490597379001</v>
      </c>
      <c r="DX8" s="9">
        <f>20*3300</f>
        <v>66000</v>
      </c>
      <c r="DY8" s="9">
        <v>18200</v>
      </c>
      <c r="DZ8" s="134">
        <f t="shared" si="31"/>
        <v>0.27575757575757576</v>
      </c>
      <c r="EA8" s="9">
        <f>20*2500</f>
        <v>50000</v>
      </c>
      <c r="EB8" s="9">
        <v>12800</v>
      </c>
      <c r="EC8" s="134">
        <f t="shared" si="32"/>
        <v>0.25600000000000001</v>
      </c>
      <c r="ED8" s="9">
        <f>20*2400</f>
        <v>48000</v>
      </c>
      <c r="EE8" s="9">
        <v>12600</v>
      </c>
      <c r="EF8" s="134">
        <f t="shared" si="33"/>
        <v>0.26250000000000001</v>
      </c>
      <c r="EG8" s="9">
        <v>65420</v>
      </c>
      <c r="EH8" s="9">
        <v>19654</v>
      </c>
      <c r="EI8" s="134">
        <f t="shared" si="34"/>
        <v>0.30042800366860289</v>
      </c>
      <c r="EJ8" s="9">
        <v>65200</v>
      </c>
      <c r="EK8" s="9">
        <v>20148</v>
      </c>
      <c r="EL8" s="134">
        <f t="shared" si="35"/>
        <v>0.30901840490797544</v>
      </c>
      <c r="EM8" s="9"/>
      <c r="EN8" s="9"/>
      <c r="EO8" s="134" t="str">
        <f t="shared" si="36"/>
        <v/>
      </c>
      <c r="EP8" s="9"/>
      <c r="EQ8" s="9"/>
      <c r="ER8" s="134" t="str">
        <f t="shared" si="37"/>
        <v/>
      </c>
    </row>
    <row r="9" spans="1:148" x14ac:dyDescent="0.3">
      <c r="A9" s="104" t="s">
        <v>358</v>
      </c>
      <c r="B9" s="103" t="s">
        <v>98</v>
      </c>
      <c r="C9" s="103" t="s">
        <v>131</v>
      </c>
      <c r="D9" s="9">
        <v>16.299999999999997</v>
      </c>
      <c r="E9" s="9">
        <v>60</v>
      </c>
      <c r="F9" s="9">
        <v>11.852533783783782</v>
      </c>
      <c r="G9" s="134">
        <f t="shared" si="0"/>
        <v>0.72714931188857568</v>
      </c>
      <c r="H9" s="9">
        <v>32.599999999999994</v>
      </c>
      <c r="I9" s="9">
        <v>80</v>
      </c>
      <c r="J9" s="9">
        <v>15.413798847078588</v>
      </c>
      <c r="K9" s="134">
        <f t="shared" si="1"/>
        <v>0.47281591555455799</v>
      </c>
      <c r="L9" s="9">
        <v>48.9</v>
      </c>
      <c r="M9" s="9">
        <v>100</v>
      </c>
      <c r="N9" s="9">
        <v>17.869843718316385</v>
      </c>
      <c r="O9" s="134">
        <f t="shared" si="2"/>
        <v>0.36543647685718583</v>
      </c>
      <c r="P9" s="9">
        <v>65.199999999999989</v>
      </c>
      <c r="Q9" s="9">
        <v>200</v>
      </c>
      <c r="R9" s="9">
        <v>37.137092277164626</v>
      </c>
      <c r="S9" s="134">
        <f t="shared" si="3"/>
        <v>0.56958730486448828</v>
      </c>
      <c r="T9" s="9">
        <v>32.599999999999994</v>
      </c>
      <c r="U9" s="9">
        <v>100</v>
      </c>
      <c r="V9" s="9">
        <v>17.806325316474027</v>
      </c>
      <c r="W9" s="134">
        <f t="shared" si="4"/>
        <v>0.54620629805135057</v>
      </c>
      <c r="X9" s="9">
        <v>358.59999999999997</v>
      </c>
      <c r="Y9" s="9">
        <v>750</v>
      </c>
      <c r="Z9" s="9">
        <v>130.2127237768315</v>
      </c>
      <c r="AA9" s="134">
        <f t="shared" si="5"/>
        <v>0.36311412096160489</v>
      </c>
      <c r="AB9" s="9">
        <v>1385.5</v>
      </c>
      <c r="AC9" s="9">
        <v>2700</v>
      </c>
      <c r="AD9" s="9">
        <v>477.91245546189276</v>
      </c>
      <c r="AE9" s="134">
        <f t="shared" si="6"/>
        <v>0.34493861816087534</v>
      </c>
      <c r="AF9" s="9">
        <v>2445</v>
      </c>
      <c r="AG9" s="9">
        <v>2100</v>
      </c>
      <c r="AH9" s="9">
        <v>367.70802826540364</v>
      </c>
      <c r="AI9" s="134">
        <f t="shared" si="7"/>
        <v>0.15039183160139208</v>
      </c>
      <c r="AJ9" s="9">
        <v>728.6099999999999</v>
      </c>
      <c r="AK9" s="9">
        <v>1274</v>
      </c>
      <c r="AL9" s="9">
        <v>222.806462334521</v>
      </c>
      <c r="AM9" s="134">
        <f t="shared" si="8"/>
        <v>0.30579660220765709</v>
      </c>
      <c r="AN9" s="9">
        <v>109.21</v>
      </c>
      <c r="AO9" s="9">
        <v>260</v>
      </c>
      <c r="AP9" s="9">
        <v>44.534868811737773</v>
      </c>
      <c r="AQ9" s="134">
        <f t="shared" si="9"/>
        <v>0.40779112546229995</v>
      </c>
      <c r="AR9" s="9">
        <v>163</v>
      </c>
      <c r="AS9" s="9">
        <v>400</v>
      </c>
      <c r="AT9" s="9">
        <v>68.599873989745362</v>
      </c>
      <c r="AU9" s="134">
        <f t="shared" si="10"/>
        <v>0.4208581226364746</v>
      </c>
      <c r="AV9" s="9">
        <v>163</v>
      </c>
      <c r="AW9" s="9">
        <v>400</v>
      </c>
      <c r="AX9" s="9">
        <v>65.805064308681665</v>
      </c>
      <c r="AY9" s="134">
        <f t="shared" si="11"/>
        <v>0.40371205097350715</v>
      </c>
      <c r="AZ9" s="9">
        <v>326</v>
      </c>
      <c r="BA9" s="9">
        <v>800</v>
      </c>
      <c r="BB9" s="9">
        <v>122.97162596680282</v>
      </c>
      <c r="BC9" s="134">
        <f t="shared" si="12"/>
        <v>0.3772135765852847</v>
      </c>
      <c r="BD9" s="9">
        <v>326</v>
      </c>
      <c r="BE9" s="9">
        <v>1000</v>
      </c>
      <c r="BF9" s="9">
        <v>151.38552439095039</v>
      </c>
      <c r="BG9" s="134">
        <f t="shared" si="13"/>
        <v>0.46437277420536932</v>
      </c>
      <c r="BH9" s="9">
        <v>357.5</v>
      </c>
      <c r="BI9" s="9">
        <v>1100</v>
      </c>
      <c r="BJ9" s="9">
        <v>159.76995343414154</v>
      </c>
      <c r="BK9" s="134">
        <f t="shared" si="14"/>
        <v>0.4469089606549414</v>
      </c>
      <c r="BL9" s="9">
        <v>230.75</v>
      </c>
      <c r="BM9" s="9">
        <v>651</v>
      </c>
      <c r="BN9" s="9">
        <v>94.141258554575472</v>
      </c>
      <c r="BO9" s="134">
        <f t="shared" si="15"/>
        <v>0.40797945202416241</v>
      </c>
      <c r="BP9" s="9">
        <v>276.25</v>
      </c>
      <c r="BQ9" s="9">
        <v>1030</v>
      </c>
      <c r="BR9" s="9">
        <v>166.61300259262475</v>
      </c>
      <c r="BS9" s="134">
        <f t="shared" si="16"/>
        <v>0.60312399128551941</v>
      </c>
      <c r="BT9" s="9">
        <v>243.75</v>
      </c>
      <c r="BU9" s="9">
        <v>900</v>
      </c>
      <c r="BV9" s="9">
        <v>137.39030318501781</v>
      </c>
      <c r="BW9" s="134">
        <f t="shared" si="17"/>
        <v>0.56365252588725256</v>
      </c>
      <c r="BX9" s="9">
        <v>552.5</v>
      </c>
      <c r="BY9" s="9">
        <v>700</v>
      </c>
      <c r="BZ9" s="9">
        <v>94.261308334057517</v>
      </c>
      <c r="CA9" s="134">
        <f t="shared" si="18"/>
        <v>0.17060870286707244</v>
      </c>
      <c r="CB9" s="9">
        <v>682.5</v>
      </c>
      <c r="CC9" s="9">
        <v>1530</v>
      </c>
      <c r="CD9" s="9">
        <f>IF(CC9/(INDEX('Standards for Conversions'!$H$47:$H$73,MATCH(CB$3,'Standards for Conversions'!$A$47:$A$73,0)))=0,"",CC9/(INDEX('Standards for Conversions'!$H$47:$H$73,MATCH(CB$3,'Standards for Conversions'!$A$47:$A$73,0))))</f>
        <v>186.07334709307375</v>
      </c>
      <c r="CE9" s="134">
        <f t="shared" si="19"/>
        <v>0.27263494079571243</v>
      </c>
      <c r="CF9" s="9"/>
      <c r="CG9" s="9"/>
      <c r="CH9" s="9" t="str">
        <f>IF(CG9/(INDEX('Standards for Conversions'!$H$47:$H$73,MATCH(CF$3,'Standards for Conversions'!$A$47:$A$73,0)))=0,"",CG9/(INDEX('Standards for Conversions'!$H$47:$H$73,MATCH(CF$3,'Standards for Conversions'!$A$47:$A$73,0))))</f>
        <v/>
      </c>
      <c r="CI9" s="134" t="str">
        <f t="shared" si="20"/>
        <v/>
      </c>
      <c r="CJ9" s="9"/>
      <c r="CK9" s="9"/>
      <c r="CL9" s="9" t="str">
        <f>IF(CK9/(INDEX('Standards for Conversions'!$H$47:$H$73,MATCH(CJ$3,'Standards for Conversions'!$A$47:$A$73,0)))=0,"",CK9/(INDEX('Standards for Conversions'!$H$47:$H$73,MATCH(CJ$3,'Standards for Conversions'!$A$47:$A$73,0))))</f>
        <v/>
      </c>
      <c r="CM9" s="134" t="str">
        <f t="shared" si="21"/>
        <v/>
      </c>
      <c r="CN9" s="9"/>
      <c r="CO9" s="9"/>
      <c r="CP9" s="9" t="str">
        <f>IF(CO9/(INDEX('Standards for Conversions'!$H$47:$H$73,MATCH(CN$3,'Standards for Conversions'!$A$47:$A$73,0)))=0,"",CO9/(INDEX('Standards for Conversions'!$H$47:$H$73,MATCH(CN$3,'Standards for Conversions'!$A$47:$A$73,0))))</f>
        <v/>
      </c>
      <c r="CQ9" s="134" t="str">
        <f t="shared" si="22"/>
        <v/>
      </c>
      <c r="CR9" s="9"/>
      <c r="CS9" s="9"/>
      <c r="CT9" s="9" t="str">
        <f>IF(CS9/(INDEX('Standards for Conversions'!$H$47:$H$73,MATCH(CR$3,'Standards for Conversions'!$A$47:$A$73,0)))=0,"",CS9/(INDEX('Standards for Conversions'!$H$47:$H$73,MATCH(CR$3,'Standards for Conversions'!$A$47:$A$73,0))))</f>
        <v/>
      </c>
      <c r="CU9" s="134" t="str">
        <f t="shared" si="23"/>
        <v/>
      </c>
      <c r="CV9" s="9"/>
      <c r="CW9" s="9"/>
      <c r="CX9" s="9" t="str">
        <f>IF(CW9/(INDEX('Standards for Conversions'!$H$47:$H$73,MATCH(CV$3,'Standards for Conversions'!$A$47:$A$73,0)))=0,"",CW9/(INDEX('Standards for Conversions'!$H$47:$H$73,MATCH(CV$3,'Standards for Conversions'!$A$47:$A$73,0))))</f>
        <v/>
      </c>
      <c r="CY9" s="134" t="str">
        <f t="shared" si="24"/>
        <v/>
      </c>
      <c r="CZ9" s="9"/>
      <c r="DA9" s="9"/>
      <c r="DB9" s="9" t="str">
        <f>IF(DA9/(INDEX('Standards for Conversions'!$H$47:$H$73,MATCH(CZ$3,'Standards for Conversions'!$A$47:$A$73,0)))=0,"",DA9/(INDEX('Standards for Conversions'!$H$47:$H$73,MATCH(CZ$3,'Standards for Conversions'!$A$47:$A$73,0))))</f>
        <v/>
      </c>
      <c r="DC9" s="134" t="str">
        <f t="shared" si="25"/>
        <v/>
      </c>
      <c r="DD9" s="9"/>
      <c r="DE9" s="9"/>
      <c r="DF9" s="9" t="str">
        <f>IF(DE9/(INDEX('Standards for Conversions'!$H$47:$H$73,MATCH(DD$3,'Standards for Conversions'!$A$47:$A$73,0)))=0,"",DE9/(INDEX('Standards for Conversions'!$H$47:$H$73,MATCH(DD$3,'Standards for Conversions'!$A$47:$A$73,0))))</f>
        <v/>
      </c>
      <c r="DG9" s="134" t="str">
        <f t="shared" si="26"/>
        <v/>
      </c>
      <c r="DH9" s="9"/>
      <c r="DI9" s="9"/>
      <c r="DJ9" s="9" t="str">
        <f>IF(DI9/(INDEX('Standards for Conversions'!$H$47:$H$73,MATCH(DH$3,'Standards for Conversions'!$A$47:$A$73,0)))=0,"",DI9/(INDEX('Standards for Conversions'!$H$47:$H$73,MATCH(DH$3,'Standards for Conversions'!$A$47:$A$73,0))))</f>
        <v/>
      </c>
      <c r="DK9" s="134" t="str">
        <f t="shared" si="27"/>
        <v/>
      </c>
      <c r="DL9" s="9"/>
      <c r="DM9" s="9"/>
      <c r="DN9" s="9" t="str">
        <f>IF(DM9/(INDEX('Standards for Conversions'!$H$47:$H$73,MATCH(DL$3,'Standards for Conversions'!$A$47:$A$73,0)))=0,"",DM9/(INDEX('Standards for Conversions'!$H$47:$H$73,MATCH(DL$3,'Standards for Conversions'!$A$47:$A$73,0))))</f>
        <v/>
      </c>
      <c r="DO9" s="134" t="str">
        <f t="shared" si="28"/>
        <v/>
      </c>
      <c r="DP9" s="9"/>
      <c r="DQ9" s="9"/>
      <c r="DR9" s="9" t="str">
        <f>IF(DQ9/(INDEX('Standards for Conversions'!$H$47:$H$73,MATCH(DP$3,'Standards for Conversions'!$A$47:$A$73,0)))=0,"",DQ9/(INDEX('Standards for Conversions'!$H$47:$H$73,MATCH(DP$3,'Standards for Conversions'!$A$47:$A$73,0))))</f>
        <v/>
      </c>
      <c r="DS9" s="134" t="str">
        <f t="shared" si="29"/>
        <v/>
      </c>
      <c r="DT9" s="9"/>
      <c r="DU9" s="9"/>
      <c r="DV9" s="9" t="str">
        <f>IF(DU9/(INDEX('Standards for Conversions'!$H$47:$H$73,MATCH(DT$3,'Standards for Conversions'!$A$47:$A$73,0)))=0,"",DU9/(INDEX('Standards for Conversions'!$H$47:$H$73,MATCH(DT$3,'Standards for Conversions'!$A$47:$A$73,0))))</f>
        <v/>
      </c>
      <c r="DW9" s="134" t="str">
        <f t="shared" si="30"/>
        <v/>
      </c>
      <c r="DX9" s="9"/>
      <c r="DY9" s="9"/>
      <c r="DZ9" s="134" t="str">
        <f t="shared" si="31"/>
        <v/>
      </c>
      <c r="EA9" s="9"/>
      <c r="EB9" s="9"/>
      <c r="EC9" s="134" t="str">
        <f t="shared" si="32"/>
        <v/>
      </c>
      <c r="ED9" s="9"/>
      <c r="EE9" s="9"/>
      <c r="EF9" s="134" t="str">
        <f t="shared" si="33"/>
        <v/>
      </c>
      <c r="EG9" s="9"/>
      <c r="EH9" s="9"/>
      <c r="EI9" s="134" t="str">
        <f t="shared" si="34"/>
        <v/>
      </c>
      <c r="EJ9" s="9"/>
      <c r="EK9" s="9"/>
      <c r="EL9" s="134" t="str">
        <f t="shared" si="35"/>
        <v/>
      </c>
      <c r="EM9" s="9">
        <v>1674</v>
      </c>
      <c r="EN9" s="9">
        <v>883</v>
      </c>
      <c r="EO9" s="134">
        <f t="shared" si="36"/>
        <v>0.52747909199522103</v>
      </c>
      <c r="EP9" s="9">
        <v>758</v>
      </c>
      <c r="EQ9" s="9">
        <v>395</v>
      </c>
      <c r="ER9" s="134">
        <f t="shared" si="37"/>
        <v>0.52110817941952503</v>
      </c>
    </row>
    <row r="10" spans="1:148" x14ac:dyDescent="0.3">
      <c r="A10" s="102" t="s">
        <v>68</v>
      </c>
      <c r="B10" s="103" t="s">
        <v>98</v>
      </c>
      <c r="C10" s="103" t="s">
        <v>131</v>
      </c>
      <c r="D10" s="9"/>
      <c r="E10" s="9"/>
      <c r="F10" s="9"/>
      <c r="G10" s="134" t="str">
        <f t="shared" si="0"/>
        <v/>
      </c>
      <c r="H10" s="9"/>
      <c r="I10" s="9"/>
      <c r="J10" s="9"/>
      <c r="K10" s="134" t="str">
        <f t="shared" si="1"/>
        <v/>
      </c>
      <c r="L10" s="9"/>
      <c r="M10" s="9"/>
      <c r="N10" s="9"/>
      <c r="O10" s="134" t="str">
        <f t="shared" si="2"/>
        <v/>
      </c>
      <c r="P10" s="9">
        <v>8750</v>
      </c>
      <c r="Q10" s="9">
        <v>19000</v>
      </c>
      <c r="R10" s="9">
        <v>3528.0237663306393</v>
      </c>
      <c r="S10" s="134">
        <f t="shared" si="3"/>
        <v>0.40320271615207304</v>
      </c>
      <c r="T10" s="9">
        <v>8750</v>
      </c>
      <c r="U10" s="9">
        <v>19000</v>
      </c>
      <c r="V10" s="9">
        <v>3383.201810130065</v>
      </c>
      <c r="W10" s="134">
        <f t="shared" si="4"/>
        <v>0.386651635443436</v>
      </c>
      <c r="X10" s="9">
        <v>8750</v>
      </c>
      <c r="Y10" s="9">
        <v>19000</v>
      </c>
      <c r="Z10" s="9">
        <v>3298.7223356797313</v>
      </c>
      <c r="AA10" s="134">
        <f t="shared" si="5"/>
        <v>0.37699683836339787</v>
      </c>
      <c r="AB10" s="9">
        <v>26652.5</v>
      </c>
      <c r="AC10" s="9">
        <v>40000</v>
      </c>
      <c r="AD10" s="9">
        <v>7080.1845253613747</v>
      </c>
      <c r="AE10" s="134">
        <f t="shared" si="6"/>
        <v>0.26564804522507734</v>
      </c>
      <c r="AF10" s="9">
        <v>40600</v>
      </c>
      <c r="AG10" s="9">
        <v>70600</v>
      </c>
      <c r="AH10" s="9">
        <v>12361.993712160713</v>
      </c>
      <c r="AI10" s="134">
        <f t="shared" si="7"/>
        <v>0.30448260374780078</v>
      </c>
      <c r="AJ10" s="9">
        <v>40978</v>
      </c>
      <c r="AK10" s="9">
        <v>59290</v>
      </c>
      <c r="AL10" s="9">
        <v>10369.069977875784</v>
      </c>
      <c r="AM10" s="134">
        <f t="shared" si="8"/>
        <v>0.25303992332167957</v>
      </c>
      <c r="AN10" s="9">
        <v>29968.75</v>
      </c>
      <c r="AO10" s="9">
        <v>47990</v>
      </c>
      <c r="AP10" s="9">
        <v>8220.1090549049841</v>
      </c>
      <c r="AQ10" s="134">
        <f t="shared" si="9"/>
        <v>0.27428935323979092</v>
      </c>
      <c r="AR10" s="9">
        <v>28000</v>
      </c>
      <c r="AS10" s="9">
        <v>43000</v>
      </c>
      <c r="AT10" s="9">
        <v>7374.4864538976262</v>
      </c>
      <c r="AU10" s="134">
        <f t="shared" si="10"/>
        <v>0.26337451621062952</v>
      </c>
      <c r="AV10" s="9">
        <v>35584.5</v>
      </c>
      <c r="AW10" s="9">
        <v>50380</v>
      </c>
      <c r="AX10" s="9">
        <v>8288.1478496784566</v>
      </c>
      <c r="AY10" s="134">
        <f t="shared" si="11"/>
        <v>0.2329145512703131</v>
      </c>
      <c r="AZ10" s="9">
        <v>19600</v>
      </c>
      <c r="BA10" s="9">
        <v>36000</v>
      </c>
      <c r="BB10" s="9">
        <v>5533.723168506127</v>
      </c>
      <c r="BC10" s="134">
        <f t="shared" si="12"/>
        <v>0.28233281471970034</v>
      </c>
      <c r="BD10" s="9">
        <v>19250</v>
      </c>
      <c r="BE10" s="9">
        <v>34000</v>
      </c>
      <c r="BF10" s="9">
        <v>5147.1078292923139</v>
      </c>
      <c r="BG10" s="134">
        <f t="shared" si="13"/>
        <v>0.26738222489830205</v>
      </c>
      <c r="BH10" s="9">
        <v>24500</v>
      </c>
      <c r="BI10" s="9">
        <v>40000</v>
      </c>
      <c r="BJ10" s="9">
        <v>5809.8164885142387</v>
      </c>
      <c r="BK10" s="134">
        <f t="shared" si="14"/>
        <v>0.23713536687813219</v>
      </c>
      <c r="BL10" s="9">
        <v>27889.75</v>
      </c>
      <c r="BM10" s="9">
        <v>47881</v>
      </c>
      <c r="BN10" s="9">
        <v>6924.0823361776156</v>
      </c>
      <c r="BO10" s="134">
        <f t="shared" si="15"/>
        <v>0.24826620303794819</v>
      </c>
      <c r="BP10" s="9">
        <v>9905</v>
      </c>
      <c r="BQ10" s="9">
        <v>19530</v>
      </c>
      <c r="BR10" s="9">
        <v>3159.1766413921955</v>
      </c>
      <c r="BS10" s="134">
        <f t="shared" si="16"/>
        <v>0.31894766697548665</v>
      </c>
      <c r="BT10" s="9">
        <v>11900</v>
      </c>
      <c r="BU10" s="9">
        <v>21500</v>
      </c>
      <c r="BV10" s="9">
        <v>3282.1016871976476</v>
      </c>
      <c r="BW10" s="134">
        <f t="shared" si="17"/>
        <v>0.27580686447039054</v>
      </c>
      <c r="BX10" s="9">
        <v>12635</v>
      </c>
      <c r="BY10" s="9">
        <v>27200</v>
      </c>
      <c r="BZ10" s="9">
        <v>3662.7251238376639</v>
      </c>
      <c r="CA10" s="134">
        <f t="shared" si="18"/>
        <v>0.28988722784627335</v>
      </c>
      <c r="CB10" s="9">
        <v>30404.5</v>
      </c>
      <c r="CC10" s="9">
        <v>58900</v>
      </c>
      <c r="CD10" s="9">
        <f>IF(CC10/(INDEX('Standards for Conversions'!$H$47:$H$73,MATCH(CB$3,'Standards for Conversions'!$A$47:$A$73,0)))=0,"",CC10/(INDEX('Standards for Conversions'!$H$47:$H$73,MATCH(CB$3,'Standards for Conversions'!$A$47:$A$73,0))))</f>
        <v>7163.2157802497013</v>
      </c>
      <c r="CE10" s="134">
        <f t="shared" si="19"/>
        <v>0.23559722344553277</v>
      </c>
      <c r="CF10" s="9"/>
      <c r="CG10" s="9"/>
      <c r="CH10" s="9" t="str">
        <f>IF(CG10/(INDEX('Standards for Conversions'!$H$47:$H$73,MATCH(CF$3,'Standards for Conversions'!$A$47:$A$73,0)))=0,"",CG10/(INDEX('Standards for Conversions'!$H$47:$H$73,MATCH(CF$3,'Standards for Conversions'!$A$47:$A$73,0))))</f>
        <v/>
      </c>
      <c r="CI10" s="134" t="str">
        <f t="shared" si="20"/>
        <v/>
      </c>
      <c r="CJ10" s="9"/>
      <c r="CK10" s="9"/>
      <c r="CL10" s="9" t="str">
        <f>IF(CK10/(INDEX('Standards for Conversions'!$H$47:$H$73,MATCH(CJ$3,'Standards for Conversions'!$A$47:$A$73,0)))=0,"",CK10/(INDEX('Standards for Conversions'!$H$47:$H$73,MATCH(CJ$3,'Standards for Conversions'!$A$47:$A$73,0))))</f>
        <v/>
      </c>
      <c r="CM10" s="134" t="str">
        <f t="shared" si="21"/>
        <v/>
      </c>
      <c r="CN10" s="9"/>
      <c r="CO10" s="9"/>
      <c r="CP10" s="9" t="str">
        <f>IF(CO10/(INDEX('Standards for Conversions'!$H$47:$H$73,MATCH(CN$3,'Standards for Conversions'!$A$47:$A$73,0)))=0,"",CO10/(INDEX('Standards for Conversions'!$H$47:$H$73,MATCH(CN$3,'Standards for Conversions'!$A$47:$A$73,0))))</f>
        <v/>
      </c>
      <c r="CQ10" s="134" t="str">
        <f t="shared" si="22"/>
        <v/>
      </c>
      <c r="CR10" s="9"/>
      <c r="CS10" s="9"/>
      <c r="CT10" s="9" t="str">
        <f>IF(CS10/(INDEX('Standards for Conversions'!$H$47:$H$73,MATCH(CR$3,'Standards for Conversions'!$A$47:$A$73,0)))=0,"",CS10/(INDEX('Standards for Conversions'!$H$47:$H$73,MATCH(CR$3,'Standards for Conversions'!$A$47:$A$73,0))))</f>
        <v/>
      </c>
      <c r="CU10" s="134" t="str">
        <f t="shared" si="23"/>
        <v/>
      </c>
      <c r="CV10" s="9"/>
      <c r="CW10" s="9"/>
      <c r="CX10" s="9" t="str">
        <f>IF(CW10/(INDEX('Standards for Conversions'!$H$47:$H$73,MATCH(CV$3,'Standards for Conversions'!$A$47:$A$73,0)))=0,"",CW10/(INDEX('Standards for Conversions'!$H$47:$H$73,MATCH(CV$3,'Standards for Conversions'!$A$47:$A$73,0))))</f>
        <v/>
      </c>
      <c r="CY10" s="134" t="str">
        <f t="shared" si="24"/>
        <v/>
      </c>
      <c r="CZ10" s="9"/>
      <c r="DA10" s="9"/>
      <c r="DB10" s="9" t="str">
        <f>IF(DA10/(INDEX('Standards for Conversions'!$H$47:$H$73,MATCH(CZ$3,'Standards for Conversions'!$A$47:$A$73,0)))=0,"",DA10/(INDEX('Standards for Conversions'!$H$47:$H$73,MATCH(CZ$3,'Standards for Conversions'!$A$47:$A$73,0))))</f>
        <v/>
      </c>
      <c r="DC10" s="134" t="str">
        <f t="shared" si="25"/>
        <v/>
      </c>
      <c r="DD10" s="9"/>
      <c r="DE10" s="9"/>
      <c r="DF10" s="9" t="str">
        <f>IF(DE10/(INDEX('Standards for Conversions'!$H$47:$H$73,MATCH(DD$3,'Standards for Conversions'!$A$47:$A$73,0)))=0,"",DE10/(INDEX('Standards for Conversions'!$H$47:$H$73,MATCH(DD$3,'Standards for Conversions'!$A$47:$A$73,0))))</f>
        <v/>
      </c>
      <c r="DG10" s="134" t="str">
        <f t="shared" si="26"/>
        <v/>
      </c>
      <c r="DH10" s="9"/>
      <c r="DI10" s="9"/>
      <c r="DJ10" s="9" t="str">
        <f>IF(DI10/(INDEX('Standards for Conversions'!$H$47:$H$73,MATCH(DH$3,'Standards for Conversions'!$A$47:$A$73,0)))=0,"",DI10/(INDEX('Standards for Conversions'!$H$47:$H$73,MATCH(DH$3,'Standards for Conversions'!$A$47:$A$73,0))))</f>
        <v/>
      </c>
      <c r="DK10" s="134" t="str">
        <f t="shared" si="27"/>
        <v/>
      </c>
      <c r="DL10" s="9"/>
      <c r="DM10" s="9"/>
      <c r="DN10" s="9" t="str">
        <f>IF(DM10/(INDEX('Standards for Conversions'!$H$47:$H$73,MATCH(DL$3,'Standards for Conversions'!$A$47:$A$73,0)))=0,"",DM10/(INDEX('Standards for Conversions'!$H$47:$H$73,MATCH(DL$3,'Standards for Conversions'!$A$47:$A$73,0))))</f>
        <v/>
      </c>
      <c r="DO10" s="134" t="str">
        <f t="shared" si="28"/>
        <v/>
      </c>
      <c r="DP10" s="9"/>
      <c r="DQ10" s="9"/>
      <c r="DR10" s="9" t="str">
        <f>IF(DQ10/(INDEX('Standards for Conversions'!$H$47:$H$73,MATCH(DP$3,'Standards for Conversions'!$A$47:$A$73,0)))=0,"",DQ10/(INDEX('Standards for Conversions'!$H$47:$H$73,MATCH(DP$3,'Standards for Conversions'!$A$47:$A$73,0))))</f>
        <v/>
      </c>
      <c r="DS10" s="134" t="str">
        <f t="shared" si="29"/>
        <v/>
      </c>
      <c r="DT10" s="9"/>
      <c r="DU10" s="9"/>
      <c r="DV10" s="9" t="str">
        <f>IF(DU10/(INDEX('Standards for Conversions'!$H$47:$H$73,MATCH(DT$3,'Standards for Conversions'!$A$47:$A$73,0)))=0,"",DU10/(INDEX('Standards for Conversions'!$H$47:$H$73,MATCH(DT$3,'Standards for Conversions'!$A$47:$A$73,0))))</f>
        <v/>
      </c>
      <c r="DW10" s="134" t="str">
        <f t="shared" si="30"/>
        <v/>
      </c>
      <c r="DX10" s="9"/>
      <c r="DY10" s="9"/>
      <c r="DZ10" s="134" t="str">
        <f t="shared" si="31"/>
        <v/>
      </c>
      <c r="EA10" s="9"/>
      <c r="EB10" s="9"/>
      <c r="EC10" s="134" t="str">
        <f t="shared" si="32"/>
        <v/>
      </c>
      <c r="ED10" s="9"/>
      <c r="EE10" s="9"/>
      <c r="EF10" s="134" t="str">
        <f t="shared" si="33"/>
        <v/>
      </c>
      <c r="EG10" s="9"/>
      <c r="EH10" s="9"/>
      <c r="EI10" s="134" t="str">
        <f t="shared" si="34"/>
        <v/>
      </c>
      <c r="EJ10" s="9"/>
      <c r="EK10" s="9"/>
      <c r="EL10" s="134" t="str">
        <f t="shared" si="35"/>
        <v/>
      </c>
      <c r="EM10" s="9">
        <v>4755</v>
      </c>
      <c r="EN10" s="9">
        <v>1790</v>
      </c>
      <c r="EO10" s="134">
        <f t="shared" si="36"/>
        <v>0.37644584647739221</v>
      </c>
      <c r="EP10" s="9">
        <v>837</v>
      </c>
      <c r="EQ10" s="9">
        <v>209</v>
      </c>
      <c r="ER10" s="134">
        <f t="shared" si="37"/>
        <v>0.24970131421744324</v>
      </c>
    </row>
    <row r="11" spans="1:148" x14ac:dyDescent="0.3">
      <c r="A11" s="102" t="s">
        <v>68</v>
      </c>
      <c r="B11" s="105" t="s">
        <v>374</v>
      </c>
      <c r="C11" s="105" t="s">
        <v>424</v>
      </c>
      <c r="D11" s="9">
        <v>4931</v>
      </c>
      <c r="E11" s="9">
        <v>90000</v>
      </c>
      <c r="F11" s="9">
        <v>17778.800675675673</v>
      </c>
      <c r="G11" s="134">
        <f t="shared" si="0"/>
        <v>3.6055162595164618</v>
      </c>
      <c r="H11" s="9">
        <v>5000</v>
      </c>
      <c r="I11" s="9">
        <v>75000</v>
      </c>
      <c r="J11" s="9">
        <v>14450.436419136176</v>
      </c>
      <c r="K11" s="134">
        <f t="shared" si="1"/>
        <v>2.8900872838272353</v>
      </c>
      <c r="L11" s="9">
        <v>4200</v>
      </c>
      <c r="M11" s="9">
        <v>56000</v>
      </c>
      <c r="N11" s="9">
        <v>10007.112482257175</v>
      </c>
      <c r="O11" s="134">
        <f t="shared" si="2"/>
        <v>2.382645829108851</v>
      </c>
      <c r="P11" s="9">
        <v>6000</v>
      </c>
      <c r="Q11" s="9">
        <v>140000</v>
      </c>
      <c r="R11" s="9">
        <v>25995.964594015237</v>
      </c>
      <c r="S11" s="134">
        <f t="shared" si="3"/>
        <v>4.332660765669206</v>
      </c>
      <c r="T11" s="9">
        <v>2000</v>
      </c>
      <c r="U11" s="9">
        <v>40000</v>
      </c>
      <c r="V11" s="9">
        <v>7122.5301265896105</v>
      </c>
      <c r="W11" s="134">
        <f t="shared" si="4"/>
        <v>3.5612650632948051</v>
      </c>
      <c r="X11" s="9">
        <v>1300</v>
      </c>
      <c r="Y11" s="9">
        <v>39000</v>
      </c>
      <c r="Z11" s="9">
        <v>6771.0616363952377</v>
      </c>
      <c r="AA11" s="134">
        <f t="shared" si="5"/>
        <v>5.2085089510732594</v>
      </c>
      <c r="AB11" s="9"/>
      <c r="AC11" s="9"/>
      <c r="AD11" s="9"/>
      <c r="AE11" s="134" t="str">
        <f t="shared" si="6"/>
        <v/>
      </c>
      <c r="AF11" s="9"/>
      <c r="AG11" s="9"/>
      <c r="AH11" s="9"/>
      <c r="AI11" s="134" t="str">
        <f t="shared" si="7"/>
        <v/>
      </c>
      <c r="AJ11" s="9"/>
      <c r="AK11" s="9"/>
      <c r="AL11" s="9"/>
      <c r="AM11" s="134" t="str">
        <f t="shared" si="8"/>
        <v/>
      </c>
      <c r="AN11" s="9"/>
      <c r="AO11" s="9"/>
      <c r="AP11" s="9"/>
      <c r="AQ11" s="134" t="str">
        <f t="shared" si="9"/>
        <v/>
      </c>
      <c r="AR11" s="9"/>
      <c r="AS11" s="9"/>
      <c r="AT11" s="9"/>
      <c r="AU11" s="134" t="str">
        <f t="shared" si="10"/>
        <v/>
      </c>
      <c r="AV11" s="9"/>
      <c r="AW11" s="9"/>
      <c r="AX11" s="9"/>
      <c r="AY11" s="134" t="str">
        <f t="shared" si="11"/>
        <v/>
      </c>
      <c r="AZ11" s="9"/>
      <c r="BA11" s="9"/>
      <c r="BB11" s="9"/>
      <c r="BC11" s="134" t="str">
        <f t="shared" si="12"/>
        <v/>
      </c>
      <c r="BD11" s="9"/>
      <c r="BE11" s="9"/>
      <c r="BF11" s="9" t="s">
        <v>128</v>
      </c>
      <c r="BG11" s="134" t="str">
        <f t="shared" si="13"/>
        <v/>
      </c>
      <c r="BH11" s="9"/>
      <c r="BI11" s="9"/>
      <c r="BJ11" s="9"/>
      <c r="BK11" s="134" t="str">
        <f t="shared" si="14"/>
        <v/>
      </c>
      <c r="BL11" s="9"/>
      <c r="BM11" s="9"/>
      <c r="BN11" s="9"/>
      <c r="BO11" s="134" t="str">
        <f t="shared" si="15"/>
        <v/>
      </c>
      <c r="BP11" s="9"/>
      <c r="BQ11" s="9"/>
      <c r="BR11" s="9"/>
      <c r="BS11" s="134" t="str">
        <f t="shared" si="16"/>
        <v/>
      </c>
      <c r="BT11" s="9"/>
      <c r="BU11" s="9"/>
      <c r="BV11" s="9"/>
      <c r="BW11" s="134" t="str">
        <f t="shared" si="17"/>
        <v/>
      </c>
      <c r="BX11" s="9"/>
      <c r="BY11" s="9"/>
      <c r="BZ11" s="9"/>
      <c r="CA11" s="134" t="str">
        <f t="shared" si="18"/>
        <v/>
      </c>
      <c r="CB11" s="9"/>
      <c r="CC11" s="9"/>
      <c r="CD11" s="9"/>
      <c r="CE11" s="134"/>
      <c r="CF11" s="9"/>
      <c r="CG11" s="9"/>
      <c r="CH11" s="9"/>
      <c r="CI11" s="134"/>
      <c r="CJ11" s="9"/>
      <c r="CK11" s="9"/>
      <c r="CL11" s="9"/>
      <c r="CM11" s="134"/>
      <c r="CN11" s="9"/>
      <c r="CO11" s="9"/>
      <c r="CP11" s="9"/>
      <c r="CQ11" s="134"/>
      <c r="CR11" s="9"/>
      <c r="CS11" s="9"/>
      <c r="CT11" s="9"/>
      <c r="CU11" s="134"/>
      <c r="CV11" s="9"/>
      <c r="CW11" s="9"/>
      <c r="CX11" s="9"/>
      <c r="CY11" s="134"/>
      <c r="CZ11" s="9"/>
      <c r="DA11" s="9"/>
      <c r="DB11" s="9"/>
      <c r="DC11" s="134"/>
      <c r="DD11" s="9"/>
      <c r="DE11" s="9"/>
      <c r="DF11" s="9"/>
      <c r="DG11" s="134"/>
      <c r="DH11" s="9"/>
      <c r="DI11" s="9"/>
      <c r="DJ11" s="9"/>
      <c r="DK11" s="134"/>
      <c r="DL11" s="9"/>
      <c r="DM11" s="9"/>
      <c r="DN11" s="9"/>
      <c r="DO11" s="134"/>
      <c r="DP11" s="9"/>
      <c r="DQ11" s="9"/>
      <c r="DR11" s="9"/>
      <c r="DS11" s="134"/>
      <c r="DT11" s="9"/>
      <c r="DU11" s="9"/>
      <c r="DV11" s="9"/>
      <c r="DW11" s="134"/>
      <c r="DX11" s="9"/>
      <c r="DY11" s="9"/>
      <c r="DZ11" s="134"/>
      <c r="EA11" s="9"/>
      <c r="EB11" s="9"/>
      <c r="EC11" s="134"/>
      <c r="ED11" s="9"/>
      <c r="EE11" s="9"/>
      <c r="EF11" s="134"/>
      <c r="EG11" s="9"/>
      <c r="EH11" s="9"/>
      <c r="EI11" s="134"/>
      <c r="EJ11" s="9"/>
      <c r="EK11" s="9"/>
      <c r="EL11" s="134"/>
      <c r="EM11" s="9"/>
      <c r="EN11" s="9"/>
      <c r="EO11" s="134"/>
      <c r="EP11" s="9"/>
      <c r="EQ11" s="9"/>
      <c r="ER11" s="134"/>
    </row>
    <row r="12" spans="1:148" x14ac:dyDescent="0.3">
      <c r="A12" s="102" t="s">
        <v>156</v>
      </c>
      <c r="B12" s="103" t="s">
        <v>98</v>
      </c>
      <c r="C12" s="103" t="s">
        <v>131</v>
      </c>
      <c r="D12" s="9"/>
      <c r="E12" s="9"/>
      <c r="F12" s="9"/>
      <c r="G12" s="134" t="str">
        <f t="shared" si="0"/>
        <v/>
      </c>
      <c r="H12" s="9"/>
      <c r="I12" s="9"/>
      <c r="J12" s="9"/>
      <c r="K12" s="134" t="str">
        <f t="shared" si="1"/>
        <v/>
      </c>
      <c r="L12" s="9"/>
      <c r="M12" s="9"/>
      <c r="N12" s="9"/>
      <c r="O12" s="134" t="str">
        <f t="shared" si="2"/>
        <v/>
      </c>
      <c r="P12" s="9"/>
      <c r="Q12" s="9"/>
      <c r="R12" s="9"/>
      <c r="S12" s="134" t="str">
        <f t="shared" si="3"/>
        <v/>
      </c>
      <c r="T12" s="9"/>
      <c r="U12" s="9"/>
      <c r="V12" s="9"/>
      <c r="W12" s="134" t="str">
        <f t="shared" si="4"/>
        <v/>
      </c>
      <c r="X12" s="9"/>
      <c r="Y12" s="9"/>
      <c r="Z12" s="9"/>
      <c r="AA12" s="134" t="str">
        <f t="shared" si="5"/>
        <v/>
      </c>
      <c r="AB12" s="9"/>
      <c r="AC12" s="9"/>
      <c r="AD12" s="9"/>
      <c r="AE12" s="134" t="str">
        <f t="shared" si="6"/>
        <v/>
      </c>
      <c r="AF12" s="9"/>
      <c r="AG12" s="9"/>
      <c r="AH12" s="9"/>
      <c r="AI12" s="134" t="str">
        <f t="shared" si="7"/>
        <v/>
      </c>
      <c r="AJ12" s="9"/>
      <c r="AK12" s="9"/>
      <c r="AL12" s="9"/>
      <c r="AM12" s="134" t="str">
        <f t="shared" si="8"/>
        <v/>
      </c>
      <c r="AN12" s="9"/>
      <c r="AO12" s="9"/>
      <c r="AP12" s="9" t="s">
        <v>128</v>
      </c>
      <c r="AQ12" s="134" t="str">
        <f t="shared" si="9"/>
        <v/>
      </c>
      <c r="AR12" s="9">
        <f>1.75*110</f>
        <v>192.5</v>
      </c>
      <c r="AS12" s="9">
        <v>1000</v>
      </c>
      <c r="AT12" s="9">
        <v>171.49968497436339</v>
      </c>
      <c r="AU12" s="134">
        <f t="shared" si="10"/>
        <v>0.89090745441227737</v>
      </c>
      <c r="AV12" s="9">
        <f>1.75*120</f>
        <v>210</v>
      </c>
      <c r="AW12" s="9">
        <v>1500</v>
      </c>
      <c r="AX12" s="9">
        <v>246.76899115755626</v>
      </c>
      <c r="AY12" s="134">
        <f t="shared" si="11"/>
        <v>1.1750904340836013</v>
      </c>
      <c r="AZ12" s="9">
        <f>1.75*15</f>
        <v>26.25</v>
      </c>
      <c r="BA12" s="9">
        <v>150</v>
      </c>
      <c r="BB12" s="9">
        <v>23.057179868775528</v>
      </c>
      <c r="BC12" s="134">
        <f t="shared" si="12"/>
        <v>0.87836875690573435</v>
      </c>
      <c r="BD12" s="9">
        <f>1.75*50</f>
        <v>87.5</v>
      </c>
      <c r="BE12" s="9">
        <v>450</v>
      </c>
      <c r="BF12" s="9">
        <v>68.123485975927679</v>
      </c>
      <c r="BG12" s="134">
        <f t="shared" si="13"/>
        <v>0.77855412543917346</v>
      </c>
      <c r="BH12" s="9">
        <f>1.75*60</f>
        <v>105</v>
      </c>
      <c r="BI12" s="9">
        <v>500</v>
      </c>
      <c r="BJ12" s="9">
        <v>72.622706106427984</v>
      </c>
      <c r="BK12" s="134">
        <f t="shared" si="14"/>
        <v>0.69164482006121886</v>
      </c>
      <c r="BL12" s="9">
        <v>495.625</v>
      </c>
      <c r="BM12" s="9">
        <v>1444</v>
      </c>
      <c r="BN12" s="9">
        <v>208.81716951276033</v>
      </c>
      <c r="BO12" s="134">
        <f t="shared" si="15"/>
        <v>0.42132089687316082</v>
      </c>
      <c r="BP12" s="9">
        <v>1950</v>
      </c>
      <c r="BQ12" s="9">
        <v>4900</v>
      </c>
      <c r="BR12" s="9">
        <v>792.62496379015658</v>
      </c>
      <c r="BS12" s="134">
        <f t="shared" si="16"/>
        <v>0.40647434040520852</v>
      </c>
      <c r="BT12" s="9">
        <v>2437.5</v>
      </c>
      <c r="BU12" s="9">
        <v>5500</v>
      </c>
      <c r="BV12" s="9">
        <v>839.60740835288664</v>
      </c>
      <c r="BW12" s="134">
        <f t="shared" si="17"/>
        <v>0.34445432137554322</v>
      </c>
      <c r="BX12" s="9">
        <v>2925</v>
      </c>
      <c r="BY12" s="9">
        <v>7000</v>
      </c>
      <c r="BZ12" s="9">
        <v>942.61308334057526</v>
      </c>
      <c r="CA12" s="134">
        <f t="shared" si="18"/>
        <v>0.32226088319335905</v>
      </c>
      <c r="CB12" s="9">
        <v>1787.5</v>
      </c>
      <c r="CC12" s="9">
        <v>5500</v>
      </c>
      <c r="CD12" s="9">
        <f>IF(CC12/(INDEX('Standards for Conversions'!$H$47:$H$73,MATCH(CB$3,'Standards for Conversions'!$A$47:$A$73,0)))=0,"",CC12/(INDEX('Standards for Conversions'!$H$47:$H$73,MATCH(CB$3,'Standards for Conversions'!$A$47:$A$73,0))))</f>
        <v>668.89111700124545</v>
      </c>
      <c r="CE12" s="134">
        <f t="shared" si="19"/>
        <v>0.37420482069999744</v>
      </c>
      <c r="CF12" s="9"/>
      <c r="CG12" s="9"/>
      <c r="CH12" s="9" t="str">
        <f>IF(CG12/(INDEX('Standards for Conversions'!$H$47:$H$73,MATCH(CF$3,'Standards for Conversions'!$A$47:$A$73,0)))=0,"",CG12/(INDEX('Standards for Conversions'!$H$47:$H$73,MATCH(CF$3,'Standards for Conversions'!$A$47:$A$73,0))))</f>
        <v/>
      </c>
      <c r="CI12" s="134" t="str">
        <f t="shared" si="20"/>
        <v/>
      </c>
      <c r="CJ12" s="9"/>
      <c r="CK12" s="9"/>
      <c r="CL12" s="9" t="str">
        <f>IF(CK12/(INDEX('Standards for Conversions'!$H$47:$H$73,MATCH(CJ$3,'Standards for Conversions'!$A$47:$A$73,0)))=0,"",CK12/(INDEX('Standards for Conversions'!$H$47:$H$73,MATCH(CJ$3,'Standards for Conversions'!$A$47:$A$73,0))))</f>
        <v/>
      </c>
      <c r="CM12" s="134" t="str">
        <f t="shared" si="21"/>
        <v/>
      </c>
      <c r="CN12" s="9"/>
      <c r="CO12" s="9"/>
      <c r="CP12" s="9" t="str">
        <f>IF(CO12/(INDEX('Standards for Conversions'!$H$47:$H$73,MATCH(CN$3,'Standards for Conversions'!$A$47:$A$73,0)))=0,"",CO12/(INDEX('Standards for Conversions'!$H$47:$H$73,MATCH(CN$3,'Standards for Conversions'!$A$47:$A$73,0))))</f>
        <v/>
      </c>
      <c r="CQ12" s="134" t="str">
        <f t="shared" si="22"/>
        <v/>
      </c>
      <c r="CR12" s="9"/>
      <c r="CS12" s="9"/>
      <c r="CT12" s="9" t="str">
        <f>IF(CS12/(INDEX('Standards for Conversions'!$H$47:$H$73,MATCH(CR$3,'Standards for Conversions'!$A$47:$A$73,0)))=0,"",CS12/(INDEX('Standards for Conversions'!$H$47:$H$73,MATCH(CR$3,'Standards for Conversions'!$A$47:$A$73,0))))</f>
        <v/>
      </c>
      <c r="CU12" s="134" t="str">
        <f t="shared" si="23"/>
        <v/>
      </c>
      <c r="CV12" s="9"/>
      <c r="CW12" s="9"/>
      <c r="CX12" s="9" t="str">
        <f>IF(CW12/(INDEX('Standards for Conversions'!$H$47:$H$73,MATCH(CV$3,'Standards for Conversions'!$A$47:$A$73,0)))=0,"",CW12/(INDEX('Standards for Conversions'!$H$47:$H$73,MATCH(CV$3,'Standards for Conversions'!$A$47:$A$73,0))))</f>
        <v/>
      </c>
      <c r="CY12" s="134" t="str">
        <f t="shared" si="24"/>
        <v/>
      </c>
      <c r="CZ12" s="9"/>
      <c r="DA12" s="9"/>
      <c r="DB12" s="9" t="str">
        <f>IF(DA12/(INDEX('Standards for Conversions'!$H$47:$H$73,MATCH(CZ$3,'Standards for Conversions'!$A$47:$A$73,0)))=0,"",DA12/(INDEX('Standards for Conversions'!$H$47:$H$73,MATCH(CZ$3,'Standards for Conversions'!$A$47:$A$73,0))))</f>
        <v/>
      </c>
      <c r="DC12" s="134" t="str">
        <f t="shared" si="25"/>
        <v/>
      </c>
      <c r="DD12" s="9"/>
      <c r="DE12" s="9"/>
      <c r="DF12" s="9" t="str">
        <f>IF(DE12/(INDEX('Standards for Conversions'!$H$47:$H$73,MATCH(DD$3,'Standards for Conversions'!$A$47:$A$73,0)))=0,"",DE12/(INDEX('Standards for Conversions'!$H$47:$H$73,MATCH(DD$3,'Standards for Conversions'!$A$47:$A$73,0))))</f>
        <v/>
      </c>
      <c r="DG12" s="134" t="str">
        <f t="shared" si="26"/>
        <v/>
      </c>
      <c r="DH12" s="9"/>
      <c r="DI12" s="9"/>
      <c r="DJ12" s="9" t="str">
        <f>IF(DI12/(INDEX('Standards for Conversions'!$H$47:$H$73,MATCH(DH$3,'Standards for Conversions'!$A$47:$A$73,0)))=0,"",DI12/(INDEX('Standards for Conversions'!$H$47:$H$73,MATCH(DH$3,'Standards for Conversions'!$A$47:$A$73,0))))</f>
        <v/>
      </c>
      <c r="DK12" s="134" t="str">
        <f t="shared" si="27"/>
        <v/>
      </c>
      <c r="DL12" s="9"/>
      <c r="DM12" s="9"/>
      <c r="DN12" s="9" t="str">
        <f>IF(DM12/(INDEX('Standards for Conversions'!$H$47:$H$73,MATCH(DL$3,'Standards for Conversions'!$A$47:$A$73,0)))=0,"",DM12/(INDEX('Standards for Conversions'!$H$47:$H$73,MATCH(DL$3,'Standards for Conversions'!$A$47:$A$73,0))))</f>
        <v/>
      </c>
      <c r="DO12" s="134" t="str">
        <f t="shared" si="28"/>
        <v/>
      </c>
      <c r="DP12" s="9"/>
      <c r="DQ12" s="9"/>
      <c r="DR12" s="9" t="str">
        <f>IF(DQ12/(INDEX('Standards for Conversions'!$H$47:$H$73,MATCH(DP$3,'Standards for Conversions'!$A$47:$A$73,0)))=0,"",DQ12/(INDEX('Standards for Conversions'!$H$47:$H$73,MATCH(DP$3,'Standards for Conversions'!$A$47:$A$73,0))))</f>
        <v/>
      </c>
      <c r="DS12" s="134" t="str">
        <f t="shared" si="29"/>
        <v/>
      </c>
      <c r="DT12" s="9"/>
      <c r="DU12" s="9"/>
      <c r="DV12" s="9" t="str">
        <f>IF(DU12/(INDEX('Standards for Conversions'!$H$47:$H$73,MATCH(DT$3,'Standards for Conversions'!$A$47:$A$73,0)))=0,"",DU12/(INDEX('Standards for Conversions'!$H$47:$H$73,MATCH(DT$3,'Standards for Conversions'!$A$47:$A$73,0))))</f>
        <v/>
      </c>
      <c r="DW12" s="134" t="str">
        <f t="shared" si="30"/>
        <v/>
      </c>
      <c r="DX12" s="9"/>
      <c r="DY12" s="9"/>
      <c r="DZ12" s="134" t="str">
        <f t="shared" si="31"/>
        <v/>
      </c>
      <c r="EA12" s="9"/>
      <c r="EB12" s="9"/>
      <c r="EC12" s="134" t="str">
        <f t="shared" si="32"/>
        <v/>
      </c>
      <c r="ED12" s="9"/>
      <c r="EE12" s="9"/>
      <c r="EF12" s="134" t="str">
        <f t="shared" si="33"/>
        <v/>
      </c>
      <c r="EG12" s="9"/>
      <c r="EH12" s="9"/>
      <c r="EI12" s="134" t="str">
        <f t="shared" si="34"/>
        <v/>
      </c>
      <c r="EJ12" s="9"/>
      <c r="EK12" s="9"/>
      <c r="EL12" s="134" t="str">
        <f t="shared" si="35"/>
        <v/>
      </c>
      <c r="EM12" s="9">
        <v>6192</v>
      </c>
      <c r="EN12" s="9">
        <v>3127</v>
      </c>
      <c r="EO12" s="134">
        <f t="shared" si="36"/>
        <v>0.50500645994832039</v>
      </c>
      <c r="EP12" s="9">
        <v>5076</v>
      </c>
      <c r="EQ12" s="9">
        <v>2376</v>
      </c>
      <c r="ER12" s="134">
        <f t="shared" si="37"/>
        <v>0.46808510638297873</v>
      </c>
    </row>
    <row r="13" spans="1:148" x14ac:dyDescent="0.3">
      <c r="A13" s="102" t="s">
        <v>198</v>
      </c>
      <c r="B13" s="103" t="s">
        <v>98</v>
      </c>
      <c r="C13" s="103" t="s">
        <v>131</v>
      </c>
      <c r="D13" s="9"/>
      <c r="E13" s="9"/>
      <c r="F13" s="9"/>
      <c r="G13" s="134" t="str">
        <f t="shared" si="0"/>
        <v/>
      </c>
      <c r="H13" s="9"/>
      <c r="I13" s="9"/>
      <c r="J13" s="9"/>
      <c r="K13" s="134" t="str">
        <f t="shared" si="1"/>
        <v/>
      </c>
      <c r="L13" s="9"/>
      <c r="M13" s="9"/>
      <c r="N13" s="9"/>
      <c r="O13" s="134" t="str">
        <f t="shared" si="2"/>
        <v/>
      </c>
      <c r="P13" s="9"/>
      <c r="Q13" s="9"/>
      <c r="R13" s="9"/>
      <c r="S13" s="134" t="str">
        <f t="shared" si="3"/>
        <v/>
      </c>
      <c r="T13" s="9"/>
      <c r="U13" s="9"/>
      <c r="V13" s="9"/>
      <c r="W13" s="134" t="str">
        <f t="shared" si="4"/>
        <v/>
      </c>
      <c r="X13" s="9"/>
      <c r="Y13" s="9"/>
      <c r="Z13" s="9"/>
      <c r="AA13" s="134" t="str">
        <f t="shared" si="5"/>
        <v/>
      </c>
      <c r="AB13" s="9">
        <f>1.75*262</f>
        <v>458.5</v>
      </c>
      <c r="AC13" s="9">
        <v>1500</v>
      </c>
      <c r="AD13" s="9">
        <v>265.50691970105152</v>
      </c>
      <c r="AE13" s="134">
        <f t="shared" si="6"/>
        <v>0.57907725125638276</v>
      </c>
      <c r="AF13" s="9">
        <f>1.75*500</f>
        <v>875</v>
      </c>
      <c r="AG13" s="9">
        <v>3000</v>
      </c>
      <c r="AH13" s="9">
        <v>525.29718323629095</v>
      </c>
      <c r="AI13" s="134">
        <f t="shared" si="7"/>
        <v>0.60033963798433254</v>
      </c>
      <c r="AJ13" s="9">
        <f>1.75*250</f>
        <v>437.5</v>
      </c>
      <c r="AK13" s="9">
        <v>1680</v>
      </c>
      <c r="AL13" s="9">
        <v>293.81071956200572</v>
      </c>
      <c r="AM13" s="134">
        <f t="shared" si="8"/>
        <v>0.67156735899887021</v>
      </c>
      <c r="AN13" s="9">
        <f>1.75*20</f>
        <v>35</v>
      </c>
      <c r="AO13" s="9">
        <v>85</v>
      </c>
      <c r="AP13" s="9">
        <v>14.559476342298888</v>
      </c>
      <c r="AQ13" s="134">
        <f t="shared" si="9"/>
        <v>0.41598503835139677</v>
      </c>
      <c r="AR13" s="9"/>
      <c r="AS13" s="9"/>
      <c r="AT13" s="9" t="s">
        <v>128</v>
      </c>
      <c r="AU13" s="134" t="str">
        <f t="shared" si="10"/>
        <v/>
      </c>
      <c r="AV13" s="9">
        <f>1.75*50</f>
        <v>87.5</v>
      </c>
      <c r="AW13" s="9">
        <v>500</v>
      </c>
      <c r="AX13" s="9">
        <v>82.256330385852081</v>
      </c>
      <c r="AY13" s="134">
        <f t="shared" si="11"/>
        <v>0.94007234726688094</v>
      </c>
      <c r="AZ13" s="9">
        <f>1.75*55</f>
        <v>96.25</v>
      </c>
      <c r="BA13" s="9">
        <v>550</v>
      </c>
      <c r="BB13" s="9">
        <v>84.542992852176937</v>
      </c>
      <c r="BC13" s="134">
        <f t="shared" si="12"/>
        <v>0.87836875690573446</v>
      </c>
      <c r="BD13" s="9"/>
      <c r="BE13" s="9"/>
      <c r="BF13" s="9" t="s">
        <v>128</v>
      </c>
      <c r="BG13" s="134" t="str">
        <f t="shared" si="13"/>
        <v/>
      </c>
      <c r="BH13" s="9"/>
      <c r="BI13" s="9"/>
      <c r="BJ13" s="9" t="s">
        <v>128</v>
      </c>
      <c r="BK13" s="134" t="str">
        <f t="shared" si="14"/>
        <v/>
      </c>
      <c r="BL13" s="9">
        <f>1.75*20</f>
        <v>35</v>
      </c>
      <c r="BM13" s="9">
        <v>180</v>
      </c>
      <c r="BN13" s="9">
        <v>26.029841074997826</v>
      </c>
      <c r="BO13" s="134">
        <f t="shared" si="15"/>
        <v>0.74370974499993792</v>
      </c>
      <c r="BP13" s="9"/>
      <c r="BQ13" s="9"/>
      <c r="BR13" s="9" t="s">
        <v>128</v>
      </c>
      <c r="BS13" s="134" t="str">
        <f t="shared" si="16"/>
        <v/>
      </c>
      <c r="BT13" s="9"/>
      <c r="BU13" s="9"/>
      <c r="BV13" s="9" t="s">
        <v>128</v>
      </c>
      <c r="BW13" s="134" t="str">
        <f t="shared" si="17"/>
        <v/>
      </c>
      <c r="BX13" s="9"/>
      <c r="BY13" s="9"/>
      <c r="BZ13" s="9" t="s">
        <v>128</v>
      </c>
      <c r="CA13" s="134" t="str">
        <f t="shared" si="18"/>
        <v/>
      </c>
      <c r="CB13" s="9"/>
      <c r="CC13" s="9"/>
      <c r="CD13" s="9" t="str">
        <f>IF(CC13/(INDEX('Standards for Conversions'!$H$47:$H$73,MATCH(CB$3,'Standards for Conversions'!$A$47:$A$73,0)))=0,"",CC13/(INDEX('Standards for Conversions'!$H$47:$H$73,MATCH(CB$3,'Standards for Conversions'!$A$47:$A$73,0))))</f>
        <v/>
      </c>
      <c r="CE13" s="134" t="str">
        <f t="shared" si="19"/>
        <v/>
      </c>
      <c r="CF13" s="9"/>
      <c r="CG13" s="9"/>
      <c r="CH13" s="9" t="str">
        <f>IF(CG13/(INDEX('Standards for Conversions'!$H$47:$H$73,MATCH(CF$3,'Standards for Conversions'!$A$47:$A$73,0)))=0,"",CG13/(INDEX('Standards for Conversions'!$H$47:$H$73,MATCH(CF$3,'Standards for Conversions'!$A$47:$A$73,0))))</f>
        <v/>
      </c>
      <c r="CI13" s="134" t="str">
        <f t="shared" si="20"/>
        <v/>
      </c>
      <c r="CJ13" s="9"/>
      <c r="CK13" s="9"/>
      <c r="CL13" s="9" t="str">
        <f>IF(CK13/(INDEX('Standards for Conversions'!$H$47:$H$73,MATCH(CJ$3,'Standards for Conversions'!$A$47:$A$73,0)))=0,"",CK13/(INDEX('Standards for Conversions'!$H$47:$H$73,MATCH(CJ$3,'Standards for Conversions'!$A$47:$A$73,0))))</f>
        <v/>
      </c>
      <c r="CM13" s="134" t="str">
        <f t="shared" si="21"/>
        <v/>
      </c>
      <c r="CN13" s="9"/>
      <c r="CO13" s="9"/>
      <c r="CP13" s="9" t="str">
        <f>IF(CO13/(INDEX('Standards for Conversions'!$H$47:$H$73,MATCH(CN$3,'Standards for Conversions'!$A$47:$A$73,0)))=0,"",CO13/(INDEX('Standards for Conversions'!$H$47:$H$73,MATCH(CN$3,'Standards for Conversions'!$A$47:$A$73,0))))</f>
        <v/>
      </c>
      <c r="CQ13" s="134" t="str">
        <f t="shared" si="22"/>
        <v/>
      </c>
      <c r="CR13" s="9"/>
      <c r="CS13" s="9"/>
      <c r="CT13" s="9" t="str">
        <f>IF(CS13/(INDEX('Standards for Conversions'!$H$47:$H$73,MATCH(CR$3,'Standards for Conversions'!$A$47:$A$73,0)))=0,"",CS13/(INDEX('Standards for Conversions'!$H$47:$H$73,MATCH(CR$3,'Standards for Conversions'!$A$47:$A$73,0))))</f>
        <v/>
      </c>
      <c r="CU13" s="134" t="str">
        <f t="shared" si="23"/>
        <v/>
      </c>
      <c r="CV13" s="9"/>
      <c r="CW13" s="9"/>
      <c r="CX13" s="9" t="str">
        <f>IF(CW13/(INDEX('Standards for Conversions'!$H$47:$H$73,MATCH(CV$3,'Standards for Conversions'!$A$47:$A$73,0)))=0,"",CW13/(INDEX('Standards for Conversions'!$H$47:$H$73,MATCH(CV$3,'Standards for Conversions'!$A$47:$A$73,0))))</f>
        <v/>
      </c>
      <c r="CY13" s="134" t="str">
        <f t="shared" si="24"/>
        <v/>
      </c>
      <c r="CZ13" s="9"/>
      <c r="DA13" s="9"/>
      <c r="DB13" s="9" t="str">
        <f>IF(DA13/(INDEX('Standards for Conversions'!$H$47:$H$73,MATCH(CZ$3,'Standards for Conversions'!$A$47:$A$73,0)))=0,"",DA13/(INDEX('Standards for Conversions'!$H$47:$H$73,MATCH(CZ$3,'Standards for Conversions'!$A$47:$A$73,0))))</f>
        <v/>
      </c>
      <c r="DC13" s="134" t="str">
        <f t="shared" si="25"/>
        <v/>
      </c>
      <c r="DD13" s="9"/>
      <c r="DE13" s="9"/>
      <c r="DF13" s="9" t="str">
        <f>IF(DE13/(INDEX('Standards for Conversions'!$H$47:$H$73,MATCH(DD$3,'Standards for Conversions'!$A$47:$A$73,0)))=0,"",DE13/(INDEX('Standards for Conversions'!$H$47:$H$73,MATCH(DD$3,'Standards for Conversions'!$A$47:$A$73,0))))</f>
        <v/>
      </c>
      <c r="DG13" s="134" t="str">
        <f t="shared" si="26"/>
        <v/>
      </c>
      <c r="DH13" s="9"/>
      <c r="DI13" s="9"/>
      <c r="DJ13" s="9" t="str">
        <f>IF(DI13/(INDEX('Standards for Conversions'!$H$47:$H$73,MATCH(DH$3,'Standards for Conversions'!$A$47:$A$73,0)))=0,"",DI13/(INDEX('Standards for Conversions'!$H$47:$H$73,MATCH(DH$3,'Standards for Conversions'!$A$47:$A$73,0))))</f>
        <v/>
      </c>
      <c r="DK13" s="134" t="str">
        <f t="shared" si="27"/>
        <v/>
      </c>
      <c r="DL13" s="9"/>
      <c r="DM13" s="9"/>
      <c r="DN13" s="9" t="str">
        <f>IF(DM13/(INDEX('Standards for Conversions'!$H$47:$H$73,MATCH(DL$3,'Standards for Conversions'!$A$47:$A$73,0)))=0,"",DM13/(INDEX('Standards for Conversions'!$H$47:$H$73,MATCH(DL$3,'Standards for Conversions'!$A$47:$A$73,0))))</f>
        <v/>
      </c>
      <c r="DO13" s="134" t="str">
        <f t="shared" si="28"/>
        <v/>
      </c>
      <c r="DP13" s="9"/>
      <c r="DQ13" s="9"/>
      <c r="DR13" s="9" t="str">
        <f>IF(DQ13/(INDEX('Standards for Conversions'!$H$47:$H$73,MATCH(DP$3,'Standards for Conversions'!$A$47:$A$73,0)))=0,"",DQ13/(INDEX('Standards for Conversions'!$H$47:$H$73,MATCH(DP$3,'Standards for Conversions'!$A$47:$A$73,0))))</f>
        <v/>
      </c>
      <c r="DS13" s="134" t="str">
        <f t="shared" si="29"/>
        <v/>
      </c>
      <c r="DT13" s="9"/>
      <c r="DU13" s="9"/>
      <c r="DV13" s="9" t="str">
        <f>IF(DU13/(INDEX('Standards for Conversions'!$H$47:$H$73,MATCH(DT$3,'Standards for Conversions'!$A$47:$A$73,0)))=0,"",DU13/(INDEX('Standards for Conversions'!$H$47:$H$73,MATCH(DT$3,'Standards for Conversions'!$A$47:$A$73,0))))</f>
        <v/>
      </c>
      <c r="DW13" s="134" t="str">
        <f t="shared" si="30"/>
        <v/>
      </c>
      <c r="DX13" s="9"/>
      <c r="DY13" s="9"/>
      <c r="DZ13" s="134" t="str">
        <f t="shared" si="31"/>
        <v/>
      </c>
      <c r="EA13" s="9"/>
      <c r="EB13" s="9"/>
      <c r="EC13" s="134" t="str">
        <f t="shared" si="32"/>
        <v/>
      </c>
      <c r="ED13" s="9"/>
      <c r="EE13" s="9"/>
      <c r="EF13" s="134" t="str">
        <f t="shared" si="33"/>
        <v/>
      </c>
      <c r="EG13" s="9"/>
      <c r="EH13" s="9"/>
      <c r="EI13" s="134" t="str">
        <f t="shared" si="34"/>
        <v/>
      </c>
      <c r="EJ13" s="9"/>
      <c r="EK13" s="9"/>
      <c r="EL13" s="134" t="str">
        <f t="shared" si="35"/>
        <v/>
      </c>
      <c r="EM13" s="9"/>
      <c r="EN13" s="9"/>
      <c r="EO13" s="134" t="str">
        <f t="shared" si="36"/>
        <v/>
      </c>
      <c r="EP13" s="9"/>
      <c r="EQ13" s="9"/>
      <c r="ER13" s="134" t="str">
        <f t="shared" si="37"/>
        <v/>
      </c>
    </row>
    <row r="14" spans="1:148" x14ac:dyDescent="0.3">
      <c r="A14" s="102" t="s">
        <v>199</v>
      </c>
      <c r="B14" s="103" t="s">
        <v>98</v>
      </c>
      <c r="C14" s="103" t="s">
        <v>131</v>
      </c>
      <c r="D14" s="9"/>
      <c r="E14" s="9"/>
      <c r="F14" s="9"/>
      <c r="G14" s="134" t="str">
        <f t="shared" si="0"/>
        <v/>
      </c>
      <c r="H14" s="9"/>
      <c r="I14" s="9"/>
      <c r="J14" s="9"/>
      <c r="K14" s="134" t="str">
        <f t="shared" si="1"/>
        <v/>
      </c>
      <c r="L14" s="9"/>
      <c r="M14" s="9"/>
      <c r="N14" s="9"/>
      <c r="O14" s="134" t="str">
        <f t="shared" si="2"/>
        <v/>
      </c>
      <c r="P14" s="9"/>
      <c r="Q14" s="9"/>
      <c r="R14" s="9"/>
      <c r="S14" s="134" t="str">
        <f t="shared" si="3"/>
        <v/>
      </c>
      <c r="T14" s="9"/>
      <c r="U14" s="9"/>
      <c r="V14" s="9"/>
      <c r="W14" s="134" t="str">
        <f t="shared" si="4"/>
        <v/>
      </c>
      <c r="X14" s="9">
        <v>408</v>
      </c>
      <c r="Y14" s="9">
        <v>400</v>
      </c>
      <c r="Z14" s="9">
        <v>69.446786014310135</v>
      </c>
      <c r="AA14" s="134">
        <f t="shared" si="5"/>
        <v>0.17021271081938757</v>
      </c>
      <c r="AB14" s="9">
        <v>640.58999999999992</v>
      </c>
      <c r="AC14" s="9">
        <v>1100</v>
      </c>
      <c r="AD14" s="9">
        <v>194.7050744474378</v>
      </c>
      <c r="AE14" s="134">
        <f t="shared" si="6"/>
        <v>0.30394647816456366</v>
      </c>
      <c r="AF14" s="9">
        <v>1141</v>
      </c>
      <c r="AG14" s="9">
        <v>1500</v>
      </c>
      <c r="AH14" s="9">
        <v>262.64859161814547</v>
      </c>
      <c r="AI14" s="134">
        <f t="shared" si="7"/>
        <v>0.2301915789817226</v>
      </c>
      <c r="AJ14" s="9">
        <v>44.01</v>
      </c>
      <c r="AK14" s="9">
        <v>70</v>
      </c>
      <c r="AL14" s="9">
        <v>12.242113315083571</v>
      </c>
      <c r="AM14" s="134">
        <f t="shared" si="8"/>
        <v>0.27816662838181261</v>
      </c>
      <c r="AN14" s="9">
        <v>26.08</v>
      </c>
      <c r="AO14" s="9">
        <v>45</v>
      </c>
      <c r="AP14" s="9">
        <v>7.7079580635699996</v>
      </c>
      <c r="AQ14" s="134">
        <f t="shared" si="9"/>
        <v>0.29555053924731595</v>
      </c>
      <c r="AR14" s="9">
        <v>163</v>
      </c>
      <c r="AS14" s="9">
        <v>250</v>
      </c>
      <c r="AT14" s="9">
        <v>42.874921243590848</v>
      </c>
      <c r="AU14" s="134">
        <f t="shared" si="10"/>
        <v>0.26303632664779664</v>
      </c>
      <c r="AV14" s="9">
        <v>32.599999999999994</v>
      </c>
      <c r="AW14" s="9">
        <v>65</v>
      </c>
      <c r="AX14" s="9">
        <v>10.693322950160772</v>
      </c>
      <c r="AY14" s="134">
        <f t="shared" si="11"/>
        <v>0.32801604141597462</v>
      </c>
      <c r="AZ14" s="9">
        <v>114.1</v>
      </c>
      <c r="BA14" s="9">
        <v>300</v>
      </c>
      <c r="BB14" s="9">
        <v>46.114359737551055</v>
      </c>
      <c r="BC14" s="134">
        <f t="shared" si="12"/>
        <v>0.40415740348423362</v>
      </c>
      <c r="BD14" s="9">
        <v>81.5</v>
      </c>
      <c r="BE14" s="9">
        <v>250</v>
      </c>
      <c r="BF14" s="9">
        <v>37.846381097737599</v>
      </c>
      <c r="BG14" s="134">
        <f t="shared" si="13"/>
        <v>0.46437277420536932</v>
      </c>
      <c r="BH14" s="9">
        <v>97.5</v>
      </c>
      <c r="BI14" s="9">
        <v>250</v>
      </c>
      <c r="BJ14" s="9">
        <v>36.311353053213992</v>
      </c>
      <c r="BK14" s="134">
        <f t="shared" si="14"/>
        <v>0.37242413387911788</v>
      </c>
      <c r="BL14" s="9">
        <v>13</v>
      </c>
      <c r="BM14" s="9">
        <v>15</v>
      </c>
      <c r="BN14" s="9">
        <v>2.1691534229164855</v>
      </c>
      <c r="BO14" s="134">
        <f t="shared" si="15"/>
        <v>0.16685795560896041</v>
      </c>
      <c r="BP14" s="9">
        <v>29.25</v>
      </c>
      <c r="BQ14" s="9">
        <v>50</v>
      </c>
      <c r="BR14" s="9">
        <v>8.0880098345934339</v>
      </c>
      <c r="BS14" s="134">
        <f t="shared" si="16"/>
        <v>0.27651315673823706</v>
      </c>
      <c r="BT14" s="9">
        <v>40.625</v>
      </c>
      <c r="BU14" s="9">
        <v>70</v>
      </c>
      <c r="BV14" s="9">
        <v>10.68591246994583</v>
      </c>
      <c r="BW14" s="134">
        <f t="shared" si="17"/>
        <v>0.26303784541405117</v>
      </c>
      <c r="BX14" s="9">
        <v>40.625</v>
      </c>
      <c r="BY14" s="9">
        <v>60</v>
      </c>
      <c r="BZ14" s="9">
        <v>8.0795407143477878</v>
      </c>
      <c r="CA14" s="134">
        <f t="shared" si="18"/>
        <v>0.19888100219933016</v>
      </c>
      <c r="CB14" s="9">
        <v>45.5</v>
      </c>
      <c r="CC14" s="9">
        <v>85</v>
      </c>
      <c r="CD14" s="9">
        <f>IF(CC14/(INDEX('Standards for Conversions'!$H$47:$H$73,MATCH(CB$3,'Standards for Conversions'!$A$47:$A$73,0)))=0,"",CC14/(INDEX('Standards for Conversions'!$H$47:$H$73,MATCH(CB$3,'Standards for Conversions'!$A$47:$A$73,0))))</f>
        <v>10.33740817183743</v>
      </c>
      <c r="CE14" s="134">
        <f t="shared" si="19"/>
        <v>0.22719578399642704</v>
      </c>
      <c r="CF14" s="9"/>
      <c r="CG14" s="9"/>
      <c r="CH14" s="9" t="str">
        <f>IF(CG14/(INDEX('Standards for Conversions'!$H$47:$H$73,MATCH(CF$3,'Standards for Conversions'!$A$47:$A$73,0)))=0,"",CG14/(INDEX('Standards for Conversions'!$H$47:$H$73,MATCH(CF$3,'Standards for Conversions'!$A$47:$A$73,0))))</f>
        <v/>
      </c>
      <c r="CI14" s="134" t="str">
        <f t="shared" si="20"/>
        <v/>
      </c>
      <c r="CJ14" s="9"/>
      <c r="CK14" s="9"/>
      <c r="CL14" s="9" t="str">
        <f>IF(CK14/(INDEX('Standards for Conversions'!$H$47:$H$73,MATCH(CJ$3,'Standards for Conversions'!$A$47:$A$73,0)))=0,"",CK14/(INDEX('Standards for Conversions'!$H$47:$H$73,MATCH(CJ$3,'Standards for Conversions'!$A$47:$A$73,0))))</f>
        <v/>
      </c>
      <c r="CM14" s="134" t="str">
        <f t="shared" si="21"/>
        <v/>
      </c>
      <c r="CN14" s="9"/>
      <c r="CO14" s="9"/>
      <c r="CP14" s="9" t="str">
        <f>IF(CO14/(INDEX('Standards for Conversions'!$H$47:$H$73,MATCH(CN$3,'Standards for Conversions'!$A$47:$A$73,0)))=0,"",CO14/(INDEX('Standards for Conversions'!$H$47:$H$73,MATCH(CN$3,'Standards for Conversions'!$A$47:$A$73,0))))</f>
        <v/>
      </c>
      <c r="CQ14" s="134" t="str">
        <f t="shared" si="22"/>
        <v/>
      </c>
      <c r="CR14" s="9"/>
      <c r="CS14" s="9"/>
      <c r="CT14" s="9" t="str">
        <f>IF(CS14/(INDEX('Standards for Conversions'!$H$47:$H$73,MATCH(CR$3,'Standards for Conversions'!$A$47:$A$73,0)))=0,"",CS14/(INDEX('Standards for Conversions'!$H$47:$H$73,MATCH(CR$3,'Standards for Conversions'!$A$47:$A$73,0))))</f>
        <v/>
      </c>
      <c r="CU14" s="134" t="str">
        <f t="shared" si="23"/>
        <v/>
      </c>
      <c r="CV14" s="9"/>
      <c r="CW14" s="9"/>
      <c r="CX14" s="9" t="str">
        <f>IF(CW14/(INDEX('Standards for Conversions'!$H$47:$H$73,MATCH(CV$3,'Standards for Conversions'!$A$47:$A$73,0)))=0,"",CW14/(INDEX('Standards for Conversions'!$H$47:$H$73,MATCH(CV$3,'Standards for Conversions'!$A$47:$A$73,0))))</f>
        <v/>
      </c>
      <c r="CY14" s="134" t="str">
        <f t="shared" si="24"/>
        <v/>
      </c>
      <c r="CZ14" s="9"/>
      <c r="DA14" s="9"/>
      <c r="DB14" s="9" t="str">
        <f>IF(DA14/(INDEX('Standards for Conversions'!$H$47:$H$73,MATCH(CZ$3,'Standards for Conversions'!$A$47:$A$73,0)))=0,"",DA14/(INDEX('Standards for Conversions'!$H$47:$H$73,MATCH(CZ$3,'Standards for Conversions'!$A$47:$A$73,0))))</f>
        <v/>
      </c>
      <c r="DC14" s="134" t="str">
        <f t="shared" si="25"/>
        <v/>
      </c>
      <c r="DD14" s="9"/>
      <c r="DE14" s="9"/>
      <c r="DF14" s="9" t="str">
        <f>IF(DE14/(INDEX('Standards for Conversions'!$H$47:$H$73,MATCH(DD$3,'Standards for Conversions'!$A$47:$A$73,0)))=0,"",DE14/(INDEX('Standards for Conversions'!$H$47:$H$73,MATCH(DD$3,'Standards for Conversions'!$A$47:$A$73,0))))</f>
        <v/>
      </c>
      <c r="DG14" s="134" t="str">
        <f t="shared" si="26"/>
        <v/>
      </c>
      <c r="DH14" s="9"/>
      <c r="DI14" s="9"/>
      <c r="DJ14" s="9" t="str">
        <f>IF(DI14/(INDEX('Standards for Conversions'!$H$47:$H$73,MATCH(DH$3,'Standards for Conversions'!$A$47:$A$73,0)))=0,"",DI14/(INDEX('Standards for Conversions'!$H$47:$H$73,MATCH(DH$3,'Standards for Conversions'!$A$47:$A$73,0))))</f>
        <v/>
      </c>
      <c r="DK14" s="134" t="str">
        <f t="shared" si="27"/>
        <v/>
      </c>
      <c r="DL14" s="9"/>
      <c r="DM14" s="9"/>
      <c r="DN14" s="9" t="str">
        <f>IF(DM14/(INDEX('Standards for Conversions'!$H$47:$H$73,MATCH(DL$3,'Standards for Conversions'!$A$47:$A$73,0)))=0,"",DM14/(INDEX('Standards for Conversions'!$H$47:$H$73,MATCH(DL$3,'Standards for Conversions'!$A$47:$A$73,0))))</f>
        <v/>
      </c>
      <c r="DO14" s="134" t="str">
        <f t="shared" si="28"/>
        <v/>
      </c>
      <c r="DP14" s="9"/>
      <c r="DQ14" s="9"/>
      <c r="DR14" s="9" t="str">
        <f>IF(DQ14/(INDEX('Standards for Conversions'!$H$47:$H$73,MATCH(DP$3,'Standards for Conversions'!$A$47:$A$73,0)))=0,"",DQ14/(INDEX('Standards for Conversions'!$H$47:$H$73,MATCH(DP$3,'Standards for Conversions'!$A$47:$A$73,0))))</f>
        <v/>
      </c>
      <c r="DS14" s="134" t="str">
        <f t="shared" si="29"/>
        <v/>
      </c>
      <c r="DT14" s="9"/>
      <c r="DU14" s="9"/>
      <c r="DV14" s="9" t="str">
        <f>IF(DU14/(INDEX('Standards for Conversions'!$H$47:$H$73,MATCH(DT$3,'Standards for Conversions'!$A$47:$A$73,0)))=0,"",DU14/(INDEX('Standards for Conversions'!$H$47:$H$73,MATCH(DT$3,'Standards for Conversions'!$A$47:$A$73,0))))</f>
        <v/>
      </c>
      <c r="DW14" s="134" t="str">
        <f t="shared" si="30"/>
        <v/>
      </c>
      <c r="DX14" s="9"/>
      <c r="DY14" s="9"/>
      <c r="DZ14" s="134" t="str">
        <f t="shared" si="31"/>
        <v/>
      </c>
      <c r="EA14" s="9"/>
      <c r="EB14" s="9"/>
      <c r="EC14" s="134" t="str">
        <f t="shared" si="32"/>
        <v/>
      </c>
      <c r="ED14" s="9"/>
      <c r="EE14" s="9"/>
      <c r="EF14" s="134" t="str">
        <f t="shared" si="33"/>
        <v/>
      </c>
      <c r="EG14" s="9"/>
      <c r="EH14" s="9"/>
      <c r="EI14" s="134" t="str">
        <f t="shared" si="34"/>
        <v/>
      </c>
      <c r="EJ14" s="9"/>
      <c r="EK14" s="9"/>
      <c r="EL14" s="134" t="str">
        <f t="shared" si="35"/>
        <v/>
      </c>
      <c r="EM14" s="9"/>
      <c r="EN14" s="9"/>
      <c r="EO14" s="134" t="str">
        <f t="shared" si="36"/>
        <v/>
      </c>
      <c r="EP14" s="9"/>
      <c r="EQ14" s="9"/>
      <c r="ER14" s="134" t="str">
        <f t="shared" si="37"/>
        <v/>
      </c>
    </row>
    <row r="15" spans="1:148" x14ac:dyDescent="0.3">
      <c r="A15" s="102" t="s">
        <v>199</v>
      </c>
      <c r="B15" s="105" t="s">
        <v>374</v>
      </c>
      <c r="C15" s="105" t="s">
        <v>424</v>
      </c>
      <c r="D15" s="9">
        <v>27</v>
      </c>
      <c r="E15" s="9">
        <v>350</v>
      </c>
      <c r="F15" s="9">
        <v>69.139780405405389</v>
      </c>
      <c r="G15" s="134">
        <f t="shared" si="0"/>
        <v>2.5607326076076071</v>
      </c>
      <c r="H15" s="9">
        <v>50</v>
      </c>
      <c r="I15" s="9">
        <v>700</v>
      </c>
      <c r="J15" s="9">
        <v>134.87073991193765</v>
      </c>
      <c r="K15" s="134">
        <f t="shared" si="1"/>
        <v>2.6974147982387531</v>
      </c>
      <c r="L15" s="9">
        <v>15</v>
      </c>
      <c r="M15" s="9">
        <v>250</v>
      </c>
      <c r="N15" s="9">
        <v>44.674609295790958</v>
      </c>
      <c r="O15" s="134">
        <f t="shared" si="2"/>
        <v>2.9783072863860638</v>
      </c>
      <c r="P15" s="9">
        <v>5</v>
      </c>
      <c r="Q15" s="9">
        <v>100</v>
      </c>
      <c r="R15" s="9">
        <v>18.568546138582313</v>
      </c>
      <c r="S15" s="134">
        <f t="shared" si="3"/>
        <v>3.7137092277164627</v>
      </c>
      <c r="T15" s="9">
        <v>5</v>
      </c>
      <c r="U15" s="9">
        <v>100</v>
      </c>
      <c r="V15" s="9">
        <v>17.806325316474027</v>
      </c>
      <c r="W15" s="134">
        <f t="shared" si="4"/>
        <v>3.5612650632948055</v>
      </c>
      <c r="X15" s="9"/>
      <c r="Y15" s="9"/>
      <c r="Z15" s="9"/>
      <c r="AA15" s="134" t="str">
        <f t="shared" si="5"/>
        <v/>
      </c>
      <c r="AB15" s="9"/>
      <c r="AC15" s="9"/>
      <c r="AD15" s="9"/>
      <c r="AE15" s="134" t="str">
        <f t="shared" si="6"/>
        <v/>
      </c>
      <c r="AF15" s="9"/>
      <c r="AG15" s="9"/>
      <c r="AH15" s="9"/>
      <c r="AI15" s="134" t="str">
        <f t="shared" si="7"/>
        <v/>
      </c>
      <c r="AJ15" s="9"/>
      <c r="AK15" s="9"/>
      <c r="AL15" s="9"/>
      <c r="AM15" s="134" t="str">
        <f t="shared" si="8"/>
        <v/>
      </c>
      <c r="AN15" s="9"/>
      <c r="AO15" s="9"/>
      <c r="AP15" s="9"/>
      <c r="AQ15" s="134" t="str">
        <f t="shared" si="9"/>
        <v/>
      </c>
      <c r="AR15" s="9"/>
      <c r="AS15" s="9"/>
      <c r="AT15" s="9"/>
      <c r="AU15" s="134" t="str">
        <f t="shared" si="10"/>
        <v/>
      </c>
      <c r="AV15" s="9"/>
      <c r="AW15" s="9"/>
      <c r="AX15" s="9"/>
      <c r="AY15" s="134" t="str">
        <f t="shared" si="11"/>
        <v/>
      </c>
      <c r="AZ15" s="9"/>
      <c r="BA15" s="9"/>
      <c r="BB15" s="9"/>
      <c r="BC15" s="134" t="str">
        <f t="shared" si="12"/>
        <v/>
      </c>
      <c r="BD15" s="9"/>
      <c r="BE15" s="9"/>
      <c r="BF15" s="9" t="s">
        <v>128</v>
      </c>
      <c r="BG15" s="134" t="str">
        <f t="shared" si="13"/>
        <v/>
      </c>
      <c r="BH15" s="9"/>
      <c r="BI15" s="9"/>
      <c r="BJ15" s="9"/>
      <c r="BK15" s="134" t="str">
        <f t="shared" si="14"/>
        <v/>
      </c>
      <c r="BL15" s="9"/>
      <c r="BM15" s="9"/>
      <c r="BN15" s="9"/>
      <c r="BO15" s="134" t="str">
        <f t="shared" si="15"/>
        <v/>
      </c>
      <c r="BP15" s="9"/>
      <c r="BQ15" s="9"/>
      <c r="BR15" s="9"/>
      <c r="BS15" s="134" t="str">
        <f t="shared" si="16"/>
        <v/>
      </c>
      <c r="BT15" s="9"/>
      <c r="BU15" s="9"/>
      <c r="BV15" s="9"/>
      <c r="BW15" s="134" t="str">
        <f t="shared" si="17"/>
        <v/>
      </c>
      <c r="BX15" s="9"/>
      <c r="BY15" s="9"/>
      <c r="BZ15" s="9"/>
      <c r="CA15" s="134" t="str">
        <f t="shared" si="18"/>
        <v/>
      </c>
      <c r="CB15" s="9"/>
      <c r="CC15" s="9"/>
      <c r="CD15" s="9"/>
      <c r="CE15" s="134"/>
      <c r="CF15" s="9"/>
      <c r="CG15" s="9"/>
      <c r="CH15" s="9"/>
      <c r="CI15" s="134"/>
      <c r="CJ15" s="9"/>
      <c r="CK15" s="9"/>
      <c r="CL15" s="9"/>
      <c r="CM15" s="134"/>
      <c r="CN15" s="9"/>
      <c r="CO15" s="9"/>
      <c r="CP15" s="9"/>
      <c r="CQ15" s="134"/>
      <c r="CR15" s="9"/>
      <c r="CS15" s="9"/>
      <c r="CT15" s="9"/>
      <c r="CU15" s="134"/>
      <c r="CV15" s="9"/>
      <c r="CW15" s="9"/>
      <c r="CX15" s="9"/>
      <c r="CY15" s="134"/>
      <c r="CZ15" s="9"/>
      <c r="DA15" s="9"/>
      <c r="DB15" s="9"/>
      <c r="DC15" s="134"/>
      <c r="DD15" s="9"/>
      <c r="DE15" s="9"/>
      <c r="DF15" s="9"/>
      <c r="DG15" s="134"/>
      <c r="DH15" s="9"/>
      <c r="DI15" s="9"/>
      <c r="DJ15" s="9"/>
      <c r="DK15" s="134"/>
      <c r="DL15" s="9"/>
      <c r="DM15" s="9"/>
      <c r="DN15" s="9"/>
      <c r="DO15" s="134"/>
      <c r="DP15" s="9"/>
      <c r="DQ15" s="9"/>
      <c r="DR15" s="9"/>
      <c r="DS15" s="134"/>
      <c r="DT15" s="9"/>
      <c r="DU15" s="9"/>
      <c r="DV15" s="9"/>
      <c r="DW15" s="134"/>
      <c r="DX15" s="9"/>
      <c r="DY15" s="9"/>
      <c r="DZ15" s="134"/>
      <c r="EA15" s="9"/>
      <c r="EB15" s="9"/>
      <c r="EC15" s="134"/>
      <c r="ED15" s="9"/>
      <c r="EE15" s="9"/>
      <c r="EF15" s="134"/>
      <c r="EG15" s="9"/>
      <c r="EH15" s="9"/>
      <c r="EI15" s="134"/>
      <c r="EJ15" s="9"/>
      <c r="EK15" s="9"/>
      <c r="EL15" s="134"/>
      <c r="EM15" s="9"/>
      <c r="EN15" s="9"/>
      <c r="EO15" s="134"/>
      <c r="EP15" s="9"/>
      <c r="EQ15" s="9"/>
      <c r="ER15" s="134"/>
    </row>
    <row r="16" spans="1:148" x14ac:dyDescent="0.3">
      <c r="A16" s="102" t="s">
        <v>200</v>
      </c>
      <c r="B16" s="103" t="s">
        <v>98</v>
      </c>
      <c r="C16" s="103" t="s">
        <v>131</v>
      </c>
      <c r="D16" s="9"/>
      <c r="E16" s="9"/>
      <c r="F16" s="9"/>
      <c r="G16" s="134" t="str">
        <f t="shared" si="0"/>
        <v/>
      </c>
      <c r="H16" s="9"/>
      <c r="I16" s="9"/>
      <c r="J16" s="9"/>
      <c r="K16" s="134" t="str">
        <f t="shared" si="1"/>
        <v/>
      </c>
      <c r="L16" s="9"/>
      <c r="M16" s="9"/>
      <c r="N16" s="9"/>
      <c r="O16" s="134" t="str">
        <f t="shared" si="2"/>
        <v/>
      </c>
      <c r="P16" s="9"/>
      <c r="Q16" s="9"/>
      <c r="R16" s="9"/>
      <c r="S16" s="134" t="str">
        <f t="shared" si="3"/>
        <v/>
      </c>
      <c r="T16" s="9"/>
      <c r="U16" s="9"/>
      <c r="V16" s="9" t="s">
        <v>128</v>
      </c>
      <c r="W16" s="134" t="str">
        <f t="shared" si="4"/>
        <v/>
      </c>
      <c r="X16" s="9">
        <v>8149.9999999999991</v>
      </c>
      <c r="Y16" s="9">
        <v>12000</v>
      </c>
      <c r="Z16" s="9">
        <v>2083.4035804293039</v>
      </c>
      <c r="AA16" s="134">
        <f t="shared" si="5"/>
        <v>0.25563234115696981</v>
      </c>
      <c r="AB16" s="9">
        <v>19560</v>
      </c>
      <c r="AC16" s="9">
        <v>24000</v>
      </c>
      <c r="AD16" s="9">
        <v>4248.1107152168242</v>
      </c>
      <c r="AE16" s="134">
        <f t="shared" si="6"/>
        <v>0.21718357439758815</v>
      </c>
      <c r="AF16" s="9">
        <v>20538</v>
      </c>
      <c r="AG16" s="9">
        <v>18000</v>
      </c>
      <c r="AH16" s="9">
        <v>3151.7830994177457</v>
      </c>
      <c r="AI16" s="134">
        <f t="shared" si="7"/>
        <v>0.15346105265448173</v>
      </c>
      <c r="AJ16" s="9">
        <v>12348.88</v>
      </c>
      <c r="AK16" s="9">
        <v>13980</v>
      </c>
      <c r="AL16" s="9">
        <v>2444.9249163552618</v>
      </c>
      <c r="AM16" s="134">
        <f t="shared" si="8"/>
        <v>0.19798758400399566</v>
      </c>
      <c r="AN16" s="9">
        <v>9687.09</v>
      </c>
      <c r="AO16" s="9">
        <v>11715</v>
      </c>
      <c r="AP16" s="9">
        <v>2006.6384158827232</v>
      </c>
      <c r="AQ16" s="134">
        <f t="shared" si="9"/>
        <v>0.2071456356741522</v>
      </c>
      <c r="AR16" s="9">
        <v>9372.5</v>
      </c>
      <c r="AS16" s="9">
        <v>11900</v>
      </c>
      <c r="AT16" s="9">
        <v>2040.8462511949244</v>
      </c>
      <c r="AU16" s="134">
        <f t="shared" si="10"/>
        <v>0.21774833301626295</v>
      </c>
      <c r="AV16" s="9">
        <v>7057.9</v>
      </c>
      <c r="AW16" s="9">
        <v>8880</v>
      </c>
      <c r="AX16" s="9">
        <v>1460.872427652733</v>
      </c>
      <c r="AY16" s="134">
        <f t="shared" si="11"/>
        <v>0.2069840076584725</v>
      </c>
      <c r="AZ16" s="9">
        <v>6194</v>
      </c>
      <c r="BA16" s="9">
        <v>10250</v>
      </c>
      <c r="BB16" s="9">
        <v>1575.5739576996612</v>
      </c>
      <c r="BC16" s="134">
        <f t="shared" si="12"/>
        <v>0.25437099736836633</v>
      </c>
      <c r="BD16" s="9">
        <v>7579.5</v>
      </c>
      <c r="BE16" s="9">
        <v>11600</v>
      </c>
      <c r="BF16" s="9">
        <v>1756.0720829350248</v>
      </c>
      <c r="BG16" s="134">
        <f t="shared" si="13"/>
        <v>0.23168706153902299</v>
      </c>
      <c r="BH16" s="9">
        <v>6662.5</v>
      </c>
      <c r="BI16" s="9">
        <v>10600</v>
      </c>
      <c r="BJ16" s="9">
        <v>1539.6013694562732</v>
      </c>
      <c r="BK16" s="134">
        <f t="shared" si="14"/>
        <v>0.23108463331426241</v>
      </c>
      <c r="BL16" s="9">
        <v>3997.5</v>
      </c>
      <c r="BM16" s="9">
        <v>5428</v>
      </c>
      <c r="BN16" s="9">
        <v>784.94431863937882</v>
      </c>
      <c r="BO16" s="134">
        <f t="shared" si="15"/>
        <v>0.19635880391228988</v>
      </c>
      <c r="BP16" s="9">
        <v>11618.75</v>
      </c>
      <c r="BQ16" s="9">
        <v>15700</v>
      </c>
      <c r="BR16" s="9">
        <v>2539.6350880623386</v>
      </c>
      <c r="BS16" s="134">
        <f t="shared" si="16"/>
        <v>0.21858074991391832</v>
      </c>
      <c r="BT16" s="9">
        <v>8612.5</v>
      </c>
      <c r="BU16" s="9">
        <v>12000</v>
      </c>
      <c r="BV16" s="9">
        <v>1831.8707091335707</v>
      </c>
      <c r="BW16" s="134">
        <f t="shared" si="17"/>
        <v>0.21269906637254812</v>
      </c>
      <c r="BX16" s="9">
        <v>8937.5</v>
      </c>
      <c r="BY16" s="9">
        <v>12980</v>
      </c>
      <c r="BZ16" s="9">
        <v>1747.8739745372382</v>
      </c>
      <c r="CA16" s="134">
        <f t="shared" si="18"/>
        <v>0.19556631882934133</v>
      </c>
      <c r="CB16" s="9">
        <v>11472.5</v>
      </c>
      <c r="CC16" s="9">
        <v>17170</v>
      </c>
      <c r="CD16" s="9">
        <f>IF(CC16/(INDEX('Standards for Conversions'!$H$47:$H$73,MATCH(CB$3,'Standards for Conversions'!$A$47:$A$73,0)))=0,"",CC16/(INDEX('Standards for Conversions'!$H$47:$H$73,MATCH(CB$3,'Standards for Conversions'!$A$47:$A$73,0))))</f>
        <v>2088.1564507111607</v>
      </c>
      <c r="CE16" s="134">
        <f t="shared" si="19"/>
        <v>0.18201407284472962</v>
      </c>
      <c r="CF16" s="9"/>
      <c r="CG16" s="9"/>
      <c r="CH16" s="9" t="str">
        <f>IF(CG16/(INDEX('Standards for Conversions'!$H$47:$H$73,MATCH(CF$3,'Standards for Conversions'!$A$47:$A$73,0)))=0,"",CG16/(INDEX('Standards for Conversions'!$H$47:$H$73,MATCH(CF$3,'Standards for Conversions'!$A$47:$A$73,0))))</f>
        <v/>
      </c>
      <c r="CI16" s="134" t="str">
        <f t="shared" si="20"/>
        <v/>
      </c>
      <c r="CJ16" s="9"/>
      <c r="CK16" s="9"/>
      <c r="CL16" s="9" t="str">
        <f>IF(CK16/(INDEX('Standards for Conversions'!$H$47:$H$73,MATCH(CJ$3,'Standards for Conversions'!$A$47:$A$73,0)))=0,"",CK16/(INDEX('Standards for Conversions'!$H$47:$H$73,MATCH(CJ$3,'Standards for Conversions'!$A$47:$A$73,0))))</f>
        <v/>
      </c>
      <c r="CM16" s="134" t="str">
        <f t="shared" si="21"/>
        <v/>
      </c>
      <c r="CN16" s="9"/>
      <c r="CO16" s="9"/>
      <c r="CP16" s="9" t="str">
        <f>IF(CO16/(INDEX('Standards for Conversions'!$H$47:$H$73,MATCH(CN$3,'Standards for Conversions'!$A$47:$A$73,0)))=0,"",CO16/(INDEX('Standards for Conversions'!$H$47:$H$73,MATCH(CN$3,'Standards for Conversions'!$A$47:$A$73,0))))</f>
        <v/>
      </c>
      <c r="CQ16" s="134" t="str">
        <f t="shared" si="22"/>
        <v/>
      </c>
      <c r="CR16" s="9"/>
      <c r="CS16" s="9"/>
      <c r="CT16" s="9" t="str">
        <f>IF(CS16/(INDEX('Standards for Conversions'!$H$47:$H$73,MATCH(CR$3,'Standards for Conversions'!$A$47:$A$73,0)))=0,"",CS16/(INDEX('Standards for Conversions'!$H$47:$H$73,MATCH(CR$3,'Standards for Conversions'!$A$47:$A$73,0))))</f>
        <v/>
      </c>
      <c r="CU16" s="134" t="str">
        <f t="shared" si="23"/>
        <v/>
      </c>
      <c r="CV16" s="9"/>
      <c r="CW16" s="9"/>
      <c r="CX16" s="9" t="str">
        <f>IF(CW16/(INDEX('Standards for Conversions'!$H$47:$H$73,MATCH(CV$3,'Standards for Conversions'!$A$47:$A$73,0)))=0,"",CW16/(INDEX('Standards for Conversions'!$H$47:$H$73,MATCH(CV$3,'Standards for Conversions'!$A$47:$A$73,0))))</f>
        <v/>
      </c>
      <c r="CY16" s="134" t="str">
        <f t="shared" si="24"/>
        <v/>
      </c>
      <c r="CZ16" s="9"/>
      <c r="DA16" s="9"/>
      <c r="DB16" s="9" t="str">
        <f>IF(DA16/(INDEX('Standards for Conversions'!$H$47:$H$73,MATCH(CZ$3,'Standards for Conversions'!$A$47:$A$73,0)))=0,"",DA16/(INDEX('Standards for Conversions'!$H$47:$H$73,MATCH(CZ$3,'Standards for Conversions'!$A$47:$A$73,0))))</f>
        <v/>
      </c>
      <c r="DC16" s="134" t="str">
        <f t="shared" si="25"/>
        <v/>
      </c>
      <c r="DD16" s="9"/>
      <c r="DE16" s="9"/>
      <c r="DF16" s="9" t="str">
        <f>IF(DE16/(INDEX('Standards for Conversions'!$H$47:$H$73,MATCH(DD$3,'Standards for Conversions'!$A$47:$A$73,0)))=0,"",DE16/(INDEX('Standards for Conversions'!$H$47:$H$73,MATCH(DD$3,'Standards for Conversions'!$A$47:$A$73,0))))</f>
        <v/>
      </c>
      <c r="DG16" s="134" t="str">
        <f t="shared" si="26"/>
        <v/>
      </c>
      <c r="DH16" s="9"/>
      <c r="DI16" s="9"/>
      <c r="DJ16" s="9" t="str">
        <f>IF(DI16/(INDEX('Standards for Conversions'!$H$47:$H$73,MATCH(DH$3,'Standards for Conversions'!$A$47:$A$73,0)))=0,"",DI16/(INDEX('Standards for Conversions'!$H$47:$H$73,MATCH(DH$3,'Standards for Conversions'!$A$47:$A$73,0))))</f>
        <v/>
      </c>
      <c r="DK16" s="134" t="str">
        <f t="shared" si="27"/>
        <v/>
      </c>
      <c r="DL16" s="9"/>
      <c r="DM16" s="9"/>
      <c r="DN16" s="9" t="str">
        <f>IF(DM16/(INDEX('Standards for Conversions'!$H$47:$H$73,MATCH(DL$3,'Standards for Conversions'!$A$47:$A$73,0)))=0,"",DM16/(INDEX('Standards for Conversions'!$H$47:$H$73,MATCH(DL$3,'Standards for Conversions'!$A$47:$A$73,0))))</f>
        <v/>
      </c>
      <c r="DO16" s="134" t="str">
        <f t="shared" si="28"/>
        <v/>
      </c>
      <c r="DP16" s="9"/>
      <c r="DQ16" s="9"/>
      <c r="DR16" s="9" t="str">
        <f>IF(DQ16/(INDEX('Standards for Conversions'!$H$47:$H$73,MATCH(DP$3,'Standards for Conversions'!$A$47:$A$73,0)))=0,"",DQ16/(INDEX('Standards for Conversions'!$H$47:$H$73,MATCH(DP$3,'Standards for Conversions'!$A$47:$A$73,0))))</f>
        <v/>
      </c>
      <c r="DS16" s="134" t="str">
        <f t="shared" si="29"/>
        <v/>
      </c>
      <c r="DT16" s="9"/>
      <c r="DU16" s="9"/>
      <c r="DV16" s="9" t="str">
        <f>IF(DU16/(INDEX('Standards for Conversions'!$H$47:$H$73,MATCH(DT$3,'Standards for Conversions'!$A$47:$A$73,0)))=0,"",DU16/(INDEX('Standards for Conversions'!$H$47:$H$73,MATCH(DT$3,'Standards for Conversions'!$A$47:$A$73,0))))</f>
        <v/>
      </c>
      <c r="DW16" s="134" t="str">
        <f t="shared" si="30"/>
        <v/>
      </c>
      <c r="DX16" s="9"/>
      <c r="DY16" s="9"/>
      <c r="DZ16" s="134" t="str">
        <f t="shared" si="31"/>
        <v/>
      </c>
      <c r="EA16" s="9"/>
      <c r="EB16" s="9"/>
      <c r="EC16" s="134" t="str">
        <f t="shared" si="32"/>
        <v/>
      </c>
      <c r="ED16" s="9"/>
      <c r="EE16" s="9"/>
      <c r="EF16" s="134" t="str">
        <f t="shared" si="33"/>
        <v/>
      </c>
      <c r="EG16" s="9"/>
      <c r="EH16" s="9"/>
      <c r="EI16" s="134" t="str">
        <f t="shared" si="34"/>
        <v/>
      </c>
      <c r="EJ16" s="9"/>
      <c r="EK16" s="9"/>
      <c r="EL16" s="134" t="str">
        <f t="shared" si="35"/>
        <v/>
      </c>
      <c r="EM16" s="9"/>
      <c r="EN16" s="9"/>
      <c r="EO16" s="134" t="str">
        <f t="shared" si="36"/>
        <v/>
      </c>
      <c r="EP16" s="9"/>
      <c r="EQ16" s="9"/>
      <c r="ER16" s="134" t="str">
        <f t="shared" si="37"/>
        <v/>
      </c>
    </row>
    <row r="17" spans="1:148" x14ac:dyDescent="0.3">
      <c r="A17" s="102" t="s">
        <v>200</v>
      </c>
      <c r="B17" s="105" t="s">
        <v>374</v>
      </c>
      <c r="C17" s="105" t="s">
        <v>424</v>
      </c>
      <c r="D17" s="9">
        <v>2030</v>
      </c>
      <c r="E17" s="9">
        <v>18800</v>
      </c>
      <c r="F17" s="9">
        <v>3713.7939189189183</v>
      </c>
      <c r="G17" s="134">
        <f t="shared" si="0"/>
        <v>1.8294551324723736</v>
      </c>
      <c r="H17" s="9">
        <v>2040</v>
      </c>
      <c r="I17" s="9">
        <v>19000</v>
      </c>
      <c r="J17" s="9">
        <v>3660.7772261811647</v>
      </c>
      <c r="K17" s="134">
        <f t="shared" si="1"/>
        <v>1.7944986402848846</v>
      </c>
      <c r="L17" s="9">
        <v>1040</v>
      </c>
      <c r="M17" s="9">
        <v>9800</v>
      </c>
      <c r="N17" s="9">
        <v>1751.2446843950056</v>
      </c>
      <c r="O17" s="134">
        <f t="shared" si="2"/>
        <v>1.6838891196105823</v>
      </c>
      <c r="P17" s="9">
        <v>370</v>
      </c>
      <c r="Q17" s="9">
        <v>5500</v>
      </c>
      <c r="R17" s="9">
        <v>1021.2700376220272</v>
      </c>
      <c r="S17" s="134">
        <f t="shared" si="3"/>
        <v>2.7601892908703438</v>
      </c>
      <c r="T17" s="9">
        <v>40</v>
      </c>
      <c r="U17" s="9">
        <v>1200</v>
      </c>
      <c r="V17" s="9">
        <v>213.67590379768833</v>
      </c>
      <c r="W17" s="134">
        <f t="shared" si="4"/>
        <v>5.3418975949422087</v>
      </c>
      <c r="X17" s="9">
        <v>15</v>
      </c>
      <c r="Y17" s="9">
        <v>450</v>
      </c>
      <c r="Z17" s="9">
        <v>78.127634266098894</v>
      </c>
      <c r="AA17" s="134">
        <f t="shared" si="5"/>
        <v>5.2085089510732594</v>
      </c>
      <c r="AB17" s="9">
        <v>15</v>
      </c>
      <c r="AC17" s="9">
        <v>300</v>
      </c>
      <c r="AD17" s="9">
        <v>53.101383940210312</v>
      </c>
      <c r="AE17" s="134">
        <f t="shared" si="6"/>
        <v>3.5400922626806874</v>
      </c>
      <c r="AF17" s="9">
        <v>400</v>
      </c>
      <c r="AG17" s="9">
        <v>8000</v>
      </c>
      <c r="AH17" s="9">
        <v>1400.7924886301091</v>
      </c>
      <c r="AI17" s="134">
        <f t="shared" si="7"/>
        <v>3.5019812215752726</v>
      </c>
      <c r="AJ17" s="9"/>
      <c r="AK17" s="9"/>
      <c r="AL17" s="9"/>
      <c r="AM17" s="134" t="str">
        <f t="shared" si="8"/>
        <v/>
      </c>
      <c r="AN17" s="9"/>
      <c r="AO17" s="9"/>
      <c r="AP17" s="9"/>
      <c r="AQ17" s="134" t="str">
        <f t="shared" si="9"/>
        <v/>
      </c>
      <c r="AR17" s="9"/>
      <c r="AS17" s="9"/>
      <c r="AT17" s="9"/>
      <c r="AU17" s="134" t="str">
        <f t="shared" si="10"/>
        <v/>
      </c>
      <c r="AV17" s="9"/>
      <c r="AW17" s="9"/>
      <c r="AX17" s="9"/>
      <c r="AY17" s="134" t="str">
        <f t="shared" si="11"/>
        <v/>
      </c>
      <c r="AZ17" s="9"/>
      <c r="BA17" s="9"/>
      <c r="BB17" s="9"/>
      <c r="BC17" s="134" t="str">
        <f t="shared" si="12"/>
        <v/>
      </c>
      <c r="BD17" s="9"/>
      <c r="BE17" s="9"/>
      <c r="BF17" s="9" t="s">
        <v>128</v>
      </c>
      <c r="BG17" s="134" t="str">
        <f t="shared" si="13"/>
        <v/>
      </c>
      <c r="BH17" s="9"/>
      <c r="BI17" s="9"/>
      <c r="BJ17" s="9"/>
      <c r="BK17" s="134" t="str">
        <f t="shared" si="14"/>
        <v/>
      </c>
      <c r="BL17" s="9"/>
      <c r="BM17" s="9"/>
      <c r="BN17" s="9"/>
      <c r="BO17" s="134" t="str">
        <f t="shared" si="15"/>
        <v/>
      </c>
      <c r="BP17" s="9"/>
      <c r="BQ17" s="9"/>
      <c r="BR17" s="9"/>
      <c r="BS17" s="134" t="str">
        <f t="shared" si="16"/>
        <v/>
      </c>
      <c r="BT17" s="9"/>
      <c r="BU17" s="9"/>
      <c r="BV17" s="9"/>
      <c r="BW17" s="134" t="str">
        <f t="shared" si="17"/>
        <v/>
      </c>
      <c r="BX17" s="9"/>
      <c r="BY17" s="9"/>
      <c r="BZ17" s="9"/>
      <c r="CA17" s="134" t="str">
        <f t="shared" si="18"/>
        <v/>
      </c>
      <c r="CB17" s="9"/>
      <c r="CC17" s="9"/>
      <c r="CD17" s="9"/>
      <c r="CE17" s="134"/>
      <c r="CF17" s="9"/>
      <c r="CG17" s="9"/>
      <c r="CH17" s="9"/>
      <c r="CI17" s="134"/>
      <c r="CJ17" s="9"/>
      <c r="CK17" s="9"/>
      <c r="CL17" s="9"/>
      <c r="CM17" s="134"/>
      <c r="CN17" s="9"/>
      <c r="CO17" s="9"/>
      <c r="CP17" s="9"/>
      <c r="CQ17" s="134"/>
      <c r="CR17" s="9"/>
      <c r="CS17" s="9"/>
      <c r="CT17" s="9"/>
      <c r="CU17" s="134"/>
      <c r="CV17" s="9"/>
      <c r="CW17" s="9"/>
      <c r="CX17" s="9"/>
      <c r="CY17" s="134"/>
      <c r="CZ17" s="9"/>
      <c r="DA17" s="9"/>
      <c r="DB17" s="9"/>
      <c r="DC17" s="134"/>
      <c r="DD17" s="9"/>
      <c r="DE17" s="9"/>
      <c r="DF17" s="9"/>
      <c r="DG17" s="134"/>
      <c r="DH17" s="9"/>
      <c r="DI17" s="9"/>
      <c r="DJ17" s="9"/>
      <c r="DK17" s="134"/>
      <c r="DL17" s="9"/>
      <c r="DM17" s="9"/>
      <c r="DN17" s="9"/>
      <c r="DO17" s="134"/>
      <c r="DP17" s="9"/>
      <c r="DQ17" s="9"/>
      <c r="DR17" s="9"/>
      <c r="DS17" s="134"/>
      <c r="DT17" s="9"/>
      <c r="DU17" s="9"/>
      <c r="DV17" s="9"/>
      <c r="DW17" s="134"/>
      <c r="DX17" s="9"/>
      <c r="DY17" s="9"/>
      <c r="DZ17" s="134"/>
      <c r="EA17" s="9"/>
      <c r="EB17" s="9"/>
      <c r="EC17" s="134"/>
      <c r="ED17" s="9"/>
      <c r="EE17" s="9"/>
      <c r="EF17" s="134"/>
      <c r="EG17" s="9"/>
      <c r="EH17" s="9"/>
      <c r="EI17" s="134"/>
      <c r="EJ17" s="9"/>
      <c r="EK17" s="9"/>
      <c r="EL17" s="134"/>
      <c r="EM17" s="9"/>
      <c r="EN17" s="9"/>
      <c r="EO17" s="134"/>
      <c r="EP17" s="9"/>
      <c r="EQ17" s="9"/>
      <c r="ER17" s="134"/>
    </row>
    <row r="18" spans="1:148" ht="12.6" customHeight="1" x14ac:dyDescent="0.3">
      <c r="A18" s="102" t="s">
        <v>179</v>
      </c>
      <c r="B18" s="103" t="s">
        <v>98</v>
      </c>
      <c r="C18" s="103" t="s">
        <v>131</v>
      </c>
      <c r="D18" s="9"/>
      <c r="E18" s="9"/>
      <c r="F18" s="9"/>
      <c r="G18" s="134" t="str">
        <f t="shared" si="0"/>
        <v/>
      </c>
      <c r="H18" s="9"/>
      <c r="I18" s="9"/>
      <c r="J18" s="9"/>
      <c r="K18" s="134" t="str">
        <f t="shared" si="1"/>
        <v/>
      </c>
      <c r="L18" s="9"/>
      <c r="M18" s="9"/>
      <c r="N18" s="9"/>
      <c r="O18" s="134" t="str">
        <f t="shared" si="2"/>
        <v/>
      </c>
      <c r="P18" s="9"/>
      <c r="Q18" s="9"/>
      <c r="R18" s="9"/>
      <c r="S18" s="134" t="str">
        <f t="shared" si="3"/>
        <v/>
      </c>
      <c r="T18" s="9"/>
      <c r="U18" s="9"/>
      <c r="V18" s="9"/>
      <c r="W18" s="134" t="str">
        <f t="shared" si="4"/>
        <v/>
      </c>
      <c r="X18" s="9">
        <v>673.18999999999994</v>
      </c>
      <c r="Y18" s="9">
        <v>850</v>
      </c>
      <c r="Z18" s="9">
        <v>147.57442028040902</v>
      </c>
      <c r="AA18" s="134">
        <f t="shared" si="5"/>
        <v>0.2192165960284749</v>
      </c>
      <c r="AB18" s="9">
        <v>1243.69</v>
      </c>
      <c r="AC18" s="9">
        <v>2450</v>
      </c>
      <c r="AD18" s="9">
        <v>433.66130217838418</v>
      </c>
      <c r="AE18" s="134">
        <f t="shared" si="6"/>
        <v>0.34868922495025623</v>
      </c>
      <c r="AF18" s="9">
        <v>1956</v>
      </c>
      <c r="AG18" s="9">
        <v>4000</v>
      </c>
      <c r="AH18" s="9">
        <v>700.39624431505456</v>
      </c>
      <c r="AI18" s="134">
        <f t="shared" si="7"/>
        <v>0.35807578952712399</v>
      </c>
      <c r="AJ18" s="9">
        <v>1108.3999999999999</v>
      </c>
      <c r="AK18" s="9">
        <v>2340</v>
      </c>
      <c r="AL18" s="9">
        <v>409.23635938993652</v>
      </c>
      <c r="AM18" s="134">
        <f t="shared" si="8"/>
        <v>0.36921360464627984</v>
      </c>
      <c r="AN18" s="9">
        <v>922.57999999999993</v>
      </c>
      <c r="AO18" s="9">
        <v>1790</v>
      </c>
      <c r="AP18" s="9">
        <v>306.60544297311776</v>
      </c>
      <c r="AQ18" s="134">
        <f t="shared" si="9"/>
        <v>0.33233480345673849</v>
      </c>
      <c r="AR18" s="9">
        <v>1059.5</v>
      </c>
      <c r="AS18" s="9">
        <v>2125</v>
      </c>
      <c r="AT18" s="9">
        <v>364.4368305705222</v>
      </c>
      <c r="AU18" s="134">
        <f t="shared" si="10"/>
        <v>0.34397058100096478</v>
      </c>
      <c r="AV18" s="9">
        <v>399.35</v>
      </c>
      <c r="AW18" s="9">
        <v>1000</v>
      </c>
      <c r="AX18" s="9">
        <v>164.51266077170416</v>
      </c>
      <c r="AY18" s="134">
        <f t="shared" si="11"/>
        <v>0.41195107242194606</v>
      </c>
      <c r="AZ18" s="9">
        <v>489</v>
      </c>
      <c r="BA18" s="9">
        <v>1350</v>
      </c>
      <c r="BB18" s="9">
        <v>207.51461881897976</v>
      </c>
      <c r="BC18" s="134">
        <f t="shared" si="12"/>
        <v>0.42436527365844529</v>
      </c>
      <c r="BD18" s="9">
        <v>570.5</v>
      </c>
      <c r="BE18" s="9">
        <v>1950</v>
      </c>
      <c r="BF18" s="9">
        <v>295.20177256235331</v>
      </c>
      <c r="BG18" s="134">
        <f t="shared" si="13"/>
        <v>0.51744394840026875</v>
      </c>
      <c r="BH18" s="9">
        <v>666.25</v>
      </c>
      <c r="BI18" s="9">
        <v>2175</v>
      </c>
      <c r="BJ18" s="9">
        <v>315.9087715629617</v>
      </c>
      <c r="BK18" s="134">
        <f t="shared" si="14"/>
        <v>0.47415950703634024</v>
      </c>
      <c r="BL18" s="9">
        <v>1274</v>
      </c>
      <c r="BM18" s="9">
        <v>3636</v>
      </c>
      <c r="BN18" s="9">
        <v>525.80278971495602</v>
      </c>
      <c r="BO18" s="134">
        <f t="shared" si="15"/>
        <v>0.41271804530216327</v>
      </c>
      <c r="BP18" s="9">
        <v>1231.75</v>
      </c>
      <c r="BQ18" s="9">
        <v>3600</v>
      </c>
      <c r="BR18" s="9">
        <v>582.33670809072726</v>
      </c>
      <c r="BS18" s="134">
        <f t="shared" si="16"/>
        <v>0.47277183526748712</v>
      </c>
      <c r="BT18" s="9">
        <v>1300</v>
      </c>
      <c r="BU18" s="9">
        <v>3300</v>
      </c>
      <c r="BV18" s="9">
        <v>503.76444501173194</v>
      </c>
      <c r="BW18" s="134">
        <f t="shared" si="17"/>
        <v>0.38751111154748613</v>
      </c>
      <c r="BX18" s="9">
        <v>1105</v>
      </c>
      <c r="BY18" s="9">
        <v>3100</v>
      </c>
      <c r="BZ18" s="9">
        <v>417.44293690796906</v>
      </c>
      <c r="CA18" s="134">
        <f t="shared" si="18"/>
        <v>0.3777764134913747</v>
      </c>
      <c r="CB18" s="9">
        <v>368.875</v>
      </c>
      <c r="CC18" s="9">
        <v>930</v>
      </c>
      <c r="CD18" s="9">
        <f>IF(CC18/(INDEX('Standards for Conversions'!$H$47:$H$73,MATCH(CB$3,'Standards for Conversions'!$A$47:$A$73,0)))=0,"",CC18/(INDEX('Standards for Conversions'!$H$47:$H$73,MATCH(CB$3,'Standards for Conversions'!$A$47:$A$73,0))))</f>
        <v>113.10340705657424</v>
      </c>
      <c r="CE18" s="134">
        <f t="shared" si="19"/>
        <v>0.30661716585990983</v>
      </c>
      <c r="CF18" s="9"/>
      <c r="CG18" s="9"/>
      <c r="CH18" s="9" t="str">
        <f>IF(CG18/(INDEX('Standards for Conversions'!$H$47:$H$73,MATCH(CF$3,'Standards for Conversions'!$A$47:$A$73,0)))=0,"",CG18/(INDEX('Standards for Conversions'!$H$47:$H$73,MATCH(CF$3,'Standards for Conversions'!$A$47:$A$73,0))))</f>
        <v/>
      </c>
      <c r="CI18" s="134" t="str">
        <f t="shared" si="20"/>
        <v/>
      </c>
      <c r="CJ18" s="9"/>
      <c r="CK18" s="9"/>
      <c r="CL18" s="9" t="str">
        <f>IF(CK18/(INDEX('Standards for Conversions'!$H$47:$H$73,MATCH(CJ$3,'Standards for Conversions'!$A$47:$A$73,0)))=0,"",CK18/(INDEX('Standards for Conversions'!$H$47:$H$73,MATCH(CJ$3,'Standards for Conversions'!$A$47:$A$73,0))))</f>
        <v/>
      </c>
      <c r="CM18" s="134" t="str">
        <f t="shared" si="21"/>
        <v/>
      </c>
      <c r="CN18" s="9"/>
      <c r="CO18" s="9"/>
      <c r="CP18" s="9" t="str">
        <f>IF(CO18/(INDEX('Standards for Conversions'!$H$47:$H$73,MATCH(CN$3,'Standards for Conversions'!$A$47:$A$73,0)))=0,"",CO18/(INDEX('Standards for Conversions'!$H$47:$H$73,MATCH(CN$3,'Standards for Conversions'!$A$47:$A$73,0))))</f>
        <v/>
      </c>
      <c r="CQ18" s="134" t="str">
        <f t="shared" si="22"/>
        <v/>
      </c>
      <c r="CR18" s="9"/>
      <c r="CS18" s="9"/>
      <c r="CT18" s="9" t="str">
        <f>IF(CS18/(INDEX('Standards for Conversions'!$H$47:$H$73,MATCH(CR$3,'Standards for Conversions'!$A$47:$A$73,0)))=0,"",CS18/(INDEX('Standards for Conversions'!$H$47:$H$73,MATCH(CR$3,'Standards for Conversions'!$A$47:$A$73,0))))</f>
        <v/>
      </c>
      <c r="CU18" s="134" t="str">
        <f t="shared" si="23"/>
        <v/>
      </c>
      <c r="CV18" s="9"/>
      <c r="CW18" s="9"/>
      <c r="CX18" s="9" t="str">
        <f>IF(CW18/(INDEX('Standards for Conversions'!$H$47:$H$73,MATCH(CV$3,'Standards for Conversions'!$A$47:$A$73,0)))=0,"",CW18/(INDEX('Standards for Conversions'!$H$47:$H$73,MATCH(CV$3,'Standards for Conversions'!$A$47:$A$73,0))))</f>
        <v/>
      </c>
      <c r="CY18" s="134" t="str">
        <f t="shared" si="24"/>
        <v/>
      </c>
      <c r="CZ18" s="9"/>
      <c r="DA18" s="9"/>
      <c r="DB18" s="9" t="str">
        <f>IF(DA18/(INDEX('Standards for Conversions'!$H$47:$H$73,MATCH(CZ$3,'Standards for Conversions'!$A$47:$A$73,0)))=0,"",DA18/(INDEX('Standards for Conversions'!$H$47:$H$73,MATCH(CZ$3,'Standards for Conversions'!$A$47:$A$73,0))))</f>
        <v/>
      </c>
      <c r="DC18" s="134" t="str">
        <f t="shared" si="25"/>
        <v/>
      </c>
      <c r="DD18" s="9"/>
      <c r="DE18" s="9"/>
      <c r="DF18" s="9" t="str">
        <f>IF(DE18/(INDEX('Standards for Conversions'!$H$47:$H$73,MATCH(DD$3,'Standards for Conversions'!$A$47:$A$73,0)))=0,"",DE18/(INDEX('Standards for Conversions'!$H$47:$H$73,MATCH(DD$3,'Standards for Conversions'!$A$47:$A$73,0))))</f>
        <v/>
      </c>
      <c r="DG18" s="134" t="str">
        <f t="shared" si="26"/>
        <v/>
      </c>
      <c r="DH18" s="9"/>
      <c r="DI18" s="9"/>
      <c r="DJ18" s="9" t="str">
        <f>IF(DI18/(INDEX('Standards for Conversions'!$H$47:$H$73,MATCH(DH$3,'Standards for Conversions'!$A$47:$A$73,0)))=0,"",DI18/(INDEX('Standards for Conversions'!$H$47:$H$73,MATCH(DH$3,'Standards for Conversions'!$A$47:$A$73,0))))</f>
        <v/>
      </c>
      <c r="DK18" s="134" t="str">
        <f t="shared" si="27"/>
        <v/>
      </c>
      <c r="DL18" s="9"/>
      <c r="DM18" s="9"/>
      <c r="DN18" s="9" t="str">
        <f>IF(DM18/(INDEX('Standards for Conversions'!$H$47:$H$73,MATCH(DL$3,'Standards for Conversions'!$A$47:$A$73,0)))=0,"",DM18/(INDEX('Standards for Conversions'!$H$47:$H$73,MATCH(DL$3,'Standards for Conversions'!$A$47:$A$73,0))))</f>
        <v/>
      </c>
      <c r="DO18" s="134" t="str">
        <f t="shared" si="28"/>
        <v/>
      </c>
      <c r="DP18" s="9"/>
      <c r="DQ18" s="9"/>
      <c r="DR18" s="9" t="str">
        <f>IF(DQ18/(INDEX('Standards for Conversions'!$H$47:$H$73,MATCH(DP$3,'Standards for Conversions'!$A$47:$A$73,0)))=0,"",DQ18/(INDEX('Standards for Conversions'!$H$47:$H$73,MATCH(DP$3,'Standards for Conversions'!$A$47:$A$73,0))))</f>
        <v/>
      </c>
      <c r="DS18" s="134" t="str">
        <f t="shared" si="29"/>
        <v/>
      </c>
      <c r="DT18" s="9"/>
      <c r="DU18" s="9"/>
      <c r="DV18" s="9" t="str">
        <f>IF(DU18/(INDEX('Standards for Conversions'!$H$47:$H$73,MATCH(DT$3,'Standards for Conversions'!$A$47:$A$73,0)))=0,"",DU18/(INDEX('Standards for Conversions'!$H$47:$H$73,MATCH(DT$3,'Standards for Conversions'!$A$47:$A$73,0))))</f>
        <v/>
      </c>
      <c r="DW18" s="134" t="str">
        <f t="shared" si="30"/>
        <v/>
      </c>
      <c r="DX18" s="9"/>
      <c r="DY18" s="9"/>
      <c r="DZ18" s="134" t="str">
        <f t="shared" si="31"/>
        <v/>
      </c>
      <c r="EA18" s="9"/>
      <c r="EB18" s="9"/>
      <c r="EC18" s="134" t="str">
        <f t="shared" si="32"/>
        <v/>
      </c>
      <c r="ED18" s="9"/>
      <c r="EE18" s="9"/>
      <c r="EF18" s="134" t="str">
        <f t="shared" si="33"/>
        <v/>
      </c>
      <c r="EG18" s="9"/>
      <c r="EH18" s="9"/>
      <c r="EI18" s="134" t="str">
        <f t="shared" si="34"/>
        <v/>
      </c>
      <c r="EJ18" s="9"/>
      <c r="EK18" s="9"/>
      <c r="EL18" s="134" t="str">
        <f t="shared" si="35"/>
        <v/>
      </c>
      <c r="EM18" s="9"/>
      <c r="EN18" s="9"/>
      <c r="EO18" s="134" t="str">
        <f t="shared" si="36"/>
        <v/>
      </c>
      <c r="EP18" s="9"/>
      <c r="EQ18" s="9"/>
      <c r="ER18" s="134" t="str">
        <f t="shared" si="37"/>
        <v/>
      </c>
    </row>
    <row r="19" spans="1:148" x14ac:dyDescent="0.3">
      <c r="A19" s="102" t="s">
        <v>69</v>
      </c>
      <c r="B19" s="103" t="s">
        <v>98</v>
      </c>
      <c r="C19" s="103" t="s">
        <v>131</v>
      </c>
      <c r="D19" s="9"/>
      <c r="E19" s="9"/>
      <c r="F19" s="9"/>
      <c r="G19" s="134" t="str">
        <f t="shared" si="0"/>
        <v/>
      </c>
      <c r="H19" s="9"/>
      <c r="I19" s="9"/>
      <c r="J19" s="9"/>
      <c r="K19" s="134" t="str">
        <f t="shared" si="1"/>
        <v/>
      </c>
      <c r="L19" s="9"/>
      <c r="M19" s="9"/>
      <c r="N19" s="9"/>
      <c r="O19" s="134" t="str">
        <f t="shared" si="2"/>
        <v/>
      </c>
      <c r="P19" s="9"/>
      <c r="Q19" s="9"/>
      <c r="R19" s="9"/>
      <c r="S19" s="134" t="str">
        <f t="shared" si="3"/>
        <v/>
      </c>
      <c r="T19" s="9"/>
      <c r="U19" s="9"/>
      <c r="V19" s="9"/>
      <c r="W19" s="134" t="str">
        <f t="shared" si="4"/>
        <v/>
      </c>
      <c r="X19" s="9">
        <v>300</v>
      </c>
      <c r="Y19" s="9">
        <v>600</v>
      </c>
      <c r="Z19" s="9">
        <v>104.17017902146519</v>
      </c>
      <c r="AA19" s="134">
        <f t="shared" si="5"/>
        <v>0.34723393007155062</v>
      </c>
      <c r="AB19" s="9">
        <v>6721.5</v>
      </c>
      <c r="AC19" s="9">
        <v>7000</v>
      </c>
      <c r="AD19" s="9">
        <v>1239.0322919382406</v>
      </c>
      <c r="AE19" s="134">
        <f t="shared" si="6"/>
        <v>0.18433865832600471</v>
      </c>
      <c r="AF19" s="9">
        <v>3750</v>
      </c>
      <c r="AG19" s="9">
        <v>3800</v>
      </c>
      <c r="AH19" s="9">
        <v>665.37643209930184</v>
      </c>
      <c r="AI19" s="134">
        <f t="shared" si="7"/>
        <v>0.17743371522648049</v>
      </c>
      <c r="AJ19" s="9">
        <v>2572.5</v>
      </c>
      <c r="AK19" s="9">
        <v>1750</v>
      </c>
      <c r="AL19" s="9">
        <v>306.05283287708926</v>
      </c>
      <c r="AM19" s="134">
        <f t="shared" si="8"/>
        <v>0.11897097487933499</v>
      </c>
      <c r="AN19" s="9">
        <v>1170</v>
      </c>
      <c r="AO19" s="9">
        <v>1120</v>
      </c>
      <c r="AP19" s="9">
        <v>191.84251180440887</v>
      </c>
      <c r="AQ19" s="134">
        <f t="shared" si="9"/>
        <v>0.16396795880718706</v>
      </c>
      <c r="AR19" s="9">
        <v>1200</v>
      </c>
      <c r="AS19" s="9">
        <v>1200</v>
      </c>
      <c r="AT19" s="9">
        <v>205.79962196923609</v>
      </c>
      <c r="AU19" s="134">
        <f t="shared" si="10"/>
        <v>0.17149968497436341</v>
      </c>
      <c r="AV19" s="9">
        <v>750</v>
      </c>
      <c r="AW19" s="9">
        <v>1100</v>
      </c>
      <c r="AX19" s="9">
        <v>180.96392684887459</v>
      </c>
      <c r="AY19" s="134">
        <f t="shared" si="11"/>
        <v>0.24128523579849945</v>
      </c>
      <c r="AZ19" s="9">
        <v>750</v>
      </c>
      <c r="BA19" s="9">
        <v>1000</v>
      </c>
      <c r="BB19" s="9">
        <v>153.71453245850353</v>
      </c>
      <c r="BC19" s="134">
        <f t="shared" si="12"/>
        <v>0.20495270994467138</v>
      </c>
      <c r="BD19" s="9">
        <v>900</v>
      </c>
      <c r="BE19" s="9">
        <v>1200</v>
      </c>
      <c r="BF19" s="9">
        <v>181.6626292691405</v>
      </c>
      <c r="BG19" s="134">
        <f t="shared" si="13"/>
        <v>0.20184736585460056</v>
      </c>
      <c r="BH19" s="9">
        <v>1500</v>
      </c>
      <c r="BI19" s="9">
        <v>1800</v>
      </c>
      <c r="BJ19" s="9">
        <v>261.44174198314073</v>
      </c>
      <c r="BK19" s="134">
        <f t="shared" si="14"/>
        <v>0.17429449465542715</v>
      </c>
      <c r="BL19" s="9">
        <v>379.5</v>
      </c>
      <c r="BM19" s="9">
        <v>413</v>
      </c>
      <c r="BN19" s="9">
        <v>59.724024244300566</v>
      </c>
      <c r="BO19" s="134">
        <f t="shared" si="15"/>
        <v>0.15737555795599623</v>
      </c>
      <c r="BP19" s="9">
        <v>2100</v>
      </c>
      <c r="BQ19" s="9">
        <v>3100</v>
      </c>
      <c r="BR19" s="9">
        <v>501.45660974479296</v>
      </c>
      <c r="BS19" s="134">
        <f t="shared" si="16"/>
        <v>0.23878886178323475</v>
      </c>
      <c r="BT19" s="9">
        <v>2250</v>
      </c>
      <c r="BU19" s="9">
        <v>3000</v>
      </c>
      <c r="BV19" s="9">
        <v>457.96767728339267</v>
      </c>
      <c r="BW19" s="134">
        <f t="shared" si="17"/>
        <v>0.20354118990373007</v>
      </c>
      <c r="BX19" s="9">
        <v>2100</v>
      </c>
      <c r="BY19" s="9">
        <v>4000</v>
      </c>
      <c r="BZ19" s="9">
        <v>538.63604762318585</v>
      </c>
      <c r="CA19" s="134">
        <f t="shared" si="18"/>
        <v>0.2564933560110409</v>
      </c>
      <c r="CB19" s="9">
        <v>2389.5</v>
      </c>
      <c r="CC19" s="9">
        <v>3430</v>
      </c>
      <c r="CD19" s="9">
        <f>IF(CC19/(INDEX('Standards for Conversions'!$H$47:$H$73,MATCH(CB$3,'Standards for Conversions'!$A$47:$A$73,0)))=0,"",CC19/(INDEX('Standards for Conversions'!$H$47:$H$73,MATCH(CB$3,'Standards for Conversions'!$A$47:$A$73,0))))</f>
        <v>417.14482387532217</v>
      </c>
      <c r="CE19" s="134">
        <f t="shared" si="19"/>
        <v>0.17457410499071863</v>
      </c>
      <c r="CF19" s="9"/>
      <c r="CG19" s="9"/>
      <c r="CH19" s="9" t="str">
        <f>IF(CG19/(INDEX('Standards for Conversions'!$H$47:$H$73,MATCH(CF$3,'Standards for Conversions'!$A$47:$A$73,0)))=0,"",CG19/(INDEX('Standards for Conversions'!$H$47:$H$73,MATCH(CF$3,'Standards for Conversions'!$A$47:$A$73,0))))</f>
        <v/>
      </c>
      <c r="CI19" s="134" t="str">
        <f t="shared" si="20"/>
        <v/>
      </c>
      <c r="CJ19" s="9"/>
      <c r="CK19" s="9"/>
      <c r="CL19" s="9" t="str">
        <f>IF(CK19/(INDEX('Standards for Conversions'!$H$47:$H$73,MATCH(CJ$3,'Standards for Conversions'!$A$47:$A$73,0)))=0,"",CK19/(INDEX('Standards for Conversions'!$H$47:$H$73,MATCH(CJ$3,'Standards for Conversions'!$A$47:$A$73,0))))</f>
        <v/>
      </c>
      <c r="CM19" s="134" t="str">
        <f t="shared" si="21"/>
        <v/>
      </c>
      <c r="CN19" s="9"/>
      <c r="CO19" s="9"/>
      <c r="CP19" s="9" t="str">
        <f>IF(CO19/(INDEX('Standards for Conversions'!$H$47:$H$73,MATCH(CN$3,'Standards for Conversions'!$A$47:$A$73,0)))=0,"",CO19/(INDEX('Standards for Conversions'!$H$47:$H$73,MATCH(CN$3,'Standards for Conversions'!$A$47:$A$73,0))))</f>
        <v/>
      </c>
      <c r="CQ19" s="134" t="str">
        <f t="shared" si="22"/>
        <v/>
      </c>
      <c r="CR19" s="9"/>
      <c r="CS19" s="9"/>
      <c r="CT19" s="9" t="str">
        <f>IF(CS19/(INDEX('Standards for Conversions'!$H$47:$H$73,MATCH(CR$3,'Standards for Conversions'!$A$47:$A$73,0)))=0,"",CS19/(INDEX('Standards for Conversions'!$H$47:$H$73,MATCH(CR$3,'Standards for Conversions'!$A$47:$A$73,0))))</f>
        <v/>
      </c>
      <c r="CU19" s="134" t="str">
        <f t="shared" si="23"/>
        <v/>
      </c>
      <c r="CV19" s="9"/>
      <c r="CW19" s="9"/>
      <c r="CX19" s="9" t="str">
        <f>IF(CW19/(INDEX('Standards for Conversions'!$H$47:$H$73,MATCH(CV$3,'Standards for Conversions'!$A$47:$A$73,0)))=0,"",CW19/(INDEX('Standards for Conversions'!$H$47:$H$73,MATCH(CV$3,'Standards for Conversions'!$A$47:$A$73,0))))</f>
        <v/>
      </c>
      <c r="CY19" s="134" t="str">
        <f t="shared" si="24"/>
        <v/>
      </c>
      <c r="CZ19" s="9"/>
      <c r="DA19" s="9"/>
      <c r="DB19" s="9" t="str">
        <f>IF(DA19/(INDEX('Standards for Conversions'!$H$47:$H$73,MATCH(CZ$3,'Standards for Conversions'!$A$47:$A$73,0)))=0,"",DA19/(INDEX('Standards for Conversions'!$H$47:$H$73,MATCH(CZ$3,'Standards for Conversions'!$A$47:$A$73,0))))</f>
        <v/>
      </c>
      <c r="DC19" s="134" t="str">
        <f t="shared" si="25"/>
        <v/>
      </c>
      <c r="DD19" s="9"/>
      <c r="DE19" s="9"/>
      <c r="DF19" s="9" t="str">
        <f>IF(DE19/(INDEX('Standards for Conversions'!$H$47:$H$73,MATCH(DD$3,'Standards for Conversions'!$A$47:$A$73,0)))=0,"",DE19/(INDEX('Standards for Conversions'!$H$47:$H$73,MATCH(DD$3,'Standards for Conversions'!$A$47:$A$73,0))))</f>
        <v/>
      </c>
      <c r="DG19" s="134" t="str">
        <f t="shared" si="26"/>
        <v/>
      </c>
      <c r="DH19" s="9"/>
      <c r="DI19" s="9"/>
      <c r="DJ19" s="9" t="str">
        <f>IF(DI19/(INDEX('Standards for Conversions'!$H$47:$H$73,MATCH(DH$3,'Standards for Conversions'!$A$47:$A$73,0)))=0,"",DI19/(INDEX('Standards for Conversions'!$H$47:$H$73,MATCH(DH$3,'Standards for Conversions'!$A$47:$A$73,0))))</f>
        <v/>
      </c>
      <c r="DK19" s="134" t="str">
        <f t="shared" si="27"/>
        <v/>
      </c>
      <c r="DL19" s="9"/>
      <c r="DM19" s="9"/>
      <c r="DN19" s="9" t="str">
        <f>IF(DM19/(INDEX('Standards for Conversions'!$H$47:$H$73,MATCH(DL$3,'Standards for Conversions'!$A$47:$A$73,0)))=0,"",DM19/(INDEX('Standards for Conversions'!$H$47:$H$73,MATCH(DL$3,'Standards for Conversions'!$A$47:$A$73,0))))</f>
        <v/>
      </c>
      <c r="DO19" s="134" t="str">
        <f t="shared" si="28"/>
        <v/>
      </c>
      <c r="DP19" s="9"/>
      <c r="DQ19" s="9"/>
      <c r="DR19" s="9" t="str">
        <f>IF(DQ19/(INDEX('Standards for Conversions'!$H$47:$H$73,MATCH(DP$3,'Standards for Conversions'!$A$47:$A$73,0)))=0,"",DQ19/(INDEX('Standards for Conversions'!$H$47:$H$73,MATCH(DP$3,'Standards for Conversions'!$A$47:$A$73,0))))</f>
        <v/>
      </c>
      <c r="DS19" s="134" t="str">
        <f t="shared" si="29"/>
        <v/>
      </c>
      <c r="DT19" s="9"/>
      <c r="DU19" s="9"/>
      <c r="DV19" s="9" t="str">
        <f>IF(DU19/(INDEX('Standards for Conversions'!$H$47:$H$73,MATCH(DT$3,'Standards for Conversions'!$A$47:$A$73,0)))=0,"",DU19/(INDEX('Standards for Conversions'!$H$47:$H$73,MATCH(DT$3,'Standards for Conversions'!$A$47:$A$73,0))))</f>
        <v/>
      </c>
      <c r="DW19" s="134" t="str">
        <f t="shared" si="30"/>
        <v/>
      </c>
      <c r="DX19" s="9"/>
      <c r="DY19" s="9"/>
      <c r="DZ19" s="134" t="str">
        <f t="shared" si="31"/>
        <v/>
      </c>
      <c r="EA19" s="9"/>
      <c r="EB19" s="9"/>
      <c r="EC19" s="134" t="str">
        <f t="shared" si="32"/>
        <v/>
      </c>
      <c r="ED19" s="9"/>
      <c r="EE19" s="9"/>
      <c r="EF19" s="134" t="str">
        <f t="shared" si="33"/>
        <v/>
      </c>
      <c r="EG19" s="9"/>
      <c r="EH19" s="9"/>
      <c r="EI19" s="134" t="str">
        <f t="shared" si="34"/>
        <v/>
      </c>
      <c r="EJ19" s="9"/>
      <c r="EK19" s="9"/>
      <c r="EL19" s="134" t="str">
        <f t="shared" si="35"/>
        <v/>
      </c>
      <c r="EM19" s="9"/>
      <c r="EN19" s="9"/>
      <c r="EO19" s="134" t="str">
        <f t="shared" si="36"/>
        <v/>
      </c>
      <c r="EP19" s="9"/>
      <c r="EQ19" s="9"/>
      <c r="ER19" s="134" t="str">
        <f t="shared" si="37"/>
        <v/>
      </c>
    </row>
    <row r="20" spans="1:148" x14ac:dyDescent="0.3">
      <c r="A20" s="102" t="s">
        <v>69</v>
      </c>
      <c r="B20" s="105" t="s">
        <v>374</v>
      </c>
      <c r="C20" s="105" t="s">
        <v>424</v>
      </c>
      <c r="D20" s="9">
        <v>660</v>
      </c>
      <c r="E20" s="9">
        <v>4500</v>
      </c>
      <c r="F20" s="9">
        <v>888.94003378378363</v>
      </c>
      <c r="G20" s="134">
        <f t="shared" si="0"/>
        <v>1.3468788390663389</v>
      </c>
      <c r="H20" s="9">
        <v>500</v>
      </c>
      <c r="I20" s="9">
        <v>3000</v>
      </c>
      <c r="J20" s="9">
        <v>578.01745676544704</v>
      </c>
      <c r="K20" s="134">
        <f t="shared" si="1"/>
        <v>1.156034913530894</v>
      </c>
      <c r="L20" s="9">
        <v>200</v>
      </c>
      <c r="M20" s="9">
        <v>1400</v>
      </c>
      <c r="N20" s="9">
        <v>250.17781205642939</v>
      </c>
      <c r="O20" s="134">
        <f t="shared" si="2"/>
        <v>1.250889060282147</v>
      </c>
      <c r="P20" s="9">
        <v>200</v>
      </c>
      <c r="Q20" s="9">
        <v>2000</v>
      </c>
      <c r="R20" s="9">
        <v>371.37092277164624</v>
      </c>
      <c r="S20" s="134">
        <f t="shared" si="3"/>
        <v>1.8568546138582311</v>
      </c>
      <c r="T20" s="9">
        <v>200</v>
      </c>
      <c r="U20" s="9">
        <v>1400</v>
      </c>
      <c r="V20" s="9">
        <v>249.28855443063637</v>
      </c>
      <c r="W20" s="134">
        <f t="shared" si="4"/>
        <v>1.2464427721531819</v>
      </c>
      <c r="X20" s="9"/>
      <c r="Y20" s="9"/>
      <c r="Z20" s="9"/>
      <c r="AA20" s="134" t="str">
        <f t="shared" si="5"/>
        <v/>
      </c>
      <c r="AB20" s="9"/>
      <c r="AC20" s="9"/>
      <c r="AD20" s="9"/>
      <c r="AE20" s="134" t="str">
        <f t="shared" si="6"/>
        <v/>
      </c>
      <c r="AF20" s="9"/>
      <c r="AG20" s="9"/>
      <c r="AH20" s="9"/>
      <c r="AI20" s="134" t="str">
        <f t="shared" si="7"/>
        <v/>
      </c>
      <c r="AJ20" s="9"/>
      <c r="AK20" s="9"/>
      <c r="AL20" s="9"/>
      <c r="AM20" s="134" t="str">
        <f t="shared" si="8"/>
        <v/>
      </c>
      <c r="AN20" s="9"/>
      <c r="AO20" s="9"/>
      <c r="AP20" s="9"/>
      <c r="AQ20" s="134" t="str">
        <f t="shared" si="9"/>
        <v/>
      </c>
      <c r="AR20" s="9"/>
      <c r="AS20" s="9"/>
      <c r="AT20" s="9"/>
      <c r="AU20" s="134" t="str">
        <f t="shared" si="10"/>
        <v/>
      </c>
      <c r="AV20" s="9"/>
      <c r="AW20" s="9"/>
      <c r="AX20" s="9"/>
      <c r="AY20" s="134" t="str">
        <f t="shared" si="11"/>
        <v/>
      </c>
      <c r="AZ20" s="9"/>
      <c r="BA20" s="9"/>
      <c r="BB20" s="9"/>
      <c r="BC20" s="134" t="str">
        <f t="shared" si="12"/>
        <v/>
      </c>
      <c r="BD20" s="9"/>
      <c r="BE20" s="9"/>
      <c r="BF20" s="9" t="s">
        <v>128</v>
      </c>
      <c r="BG20" s="134" t="str">
        <f t="shared" si="13"/>
        <v/>
      </c>
      <c r="BH20" s="9"/>
      <c r="BI20" s="9"/>
      <c r="BJ20" s="9"/>
      <c r="BK20" s="134" t="str">
        <f t="shared" si="14"/>
        <v/>
      </c>
      <c r="BL20" s="9"/>
      <c r="BM20" s="9"/>
      <c r="BN20" s="9"/>
      <c r="BO20" s="134" t="str">
        <f t="shared" si="15"/>
        <v/>
      </c>
      <c r="BP20" s="9"/>
      <c r="BQ20" s="9"/>
      <c r="BR20" s="9"/>
      <c r="BS20" s="134" t="str">
        <f t="shared" si="16"/>
        <v/>
      </c>
      <c r="BT20" s="9"/>
      <c r="BU20" s="9"/>
      <c r="BV20" s="9"/>
      <c r="BW20" s="134" t="str">
        <f t="shared" si="17"/>
        <v/>
      </c>
      <c r="BX20" s="9"/>
      <c r="BY20" s="9"/>
      <c r="BZ20" s="9"/>
      <c r="CA20" s="134" t="str">
        <f t="shared" si="18"/>
        <v/>
      </c>
      <c r="CB20" s="9"/>
      <c r="CC20" s="9"/>
      <c r="CD20" s="9"/>
      <c r="CE20" s="134"/>
      <c r="CF20" s="9"/>
      <c r="CG20" s="9"/>
      <c r="CH20" s="9"/>
      <c r="CI20" s="134"/>
      <c r="CJ20" s="9"/>
      <c r="CK20" s="9"/>
      <c r="CL20" s="9"/>
      <c r="CM20" s="134"/>
      <c r="CN20" s="9"/>
      <c r="CO20" s="9"/>
      <c r="CP20" s="9"/>
      <c r="CQ20" s="134"/>
      <c r="CR20" s="9"/>
      <c r="CS20" s="9"/>
      <c r="CT20" s="9"/>
      <c r="CU20" s="134"/>
      <c r="CV20" s="9"/>
      <c r="CW20" s="9"/>
      <c r="CX20" s="9"/>
      <c r="CY20" s="134"/>
      <c r="CZ20" s="9"/>
      <c r="DA20" s="9"/>
      <c r="DB20" s="9"/>
      <c r="DC20" s="134"/>
      <c r="DD20" s="9"/>
      <c r="DE20" s="9"/>
      <c r="DF20" s="9"/>
      <c r="DG20" s="134"/>
      <c r="DH20" s="9"/>
      <c r="DI20" s="9"/>
      <c r="DJ20" s="9"/>
      <c r="DK20" s="134"/>
      <c r="DL20" s="9"/>
      <c r="DM20" s="9"/>
      <c r="DN20" s="9"/>
      <c r="DO20" s="134"/>
      <c r="DP20" s="9"/>
      <c r="DQ20" s="9"/>
      <c r="DR20" s="9"/>
      <c r="DS20" s="134"/>
      <c r="DT20" s="9"/>
      <c r="DU20" s="9"/>
      <c r="DV20" s="9"/>
      <c r="DW20" s="134"/>
      <c r="DX20" s="9"/>
      <c r="DY20" s="9"/>
      <c r="DZ20" s="134"/>
      <c r="EA20" s="9"/>
      <c r="EB20" s="9"/>
      <c r="EC20" s="134"/>
      <c r="ED20" s="9"/>
      <c r="EE20" s="9"/>
      <c r="EF20" s="134"/>
      <c r="EG20" s="9"/>
      <c r="EH20" s="9"/>
      <c r="EI20" s="134"/>
      <c r="EJ20" s="9"/>
      <c r="EK20" s="9"/>
      <c r="EL20" s="134"/>
      <c r="EM20" s="9"/>
      <c r="EN20" s="9"/>
      <c r="EO20" s="134"/>
      <c r="EP20" s="9"/>
      <c r="EQ20" s="9"/>
      <c r="ER20" s="134"/>
    </row>
    <row r="21" spans="1:148" x14ac:dyDescent="0.3">
      <c r="A21" s="102" t="s">
        <v>157</v>
      </c>
      <c r="B21" s="103" t="s">
        <v>98</v>
      </c>
      <c r="C21" s="103" t="s">
        <v>131</v>
      </c>
      <c r="D21" s="9"/>
      <c r="E21" s="9"/>
      <c r="F21" s="9"/>
      <c r="G21" s="134" t="str">
        <f t="shared" si="0"/>
        <v/>
      </c>
      <c r="H21" s="9"/>
      <c r="I21" s="9"/>
      <c r="J21" s="9"/>
      <c r="K21" s="134" t="str">
        <f t="shared" si="1"/>
        <v/>
      </c>
      <c r="L21" s="9"/>
      <c r="M21" s="9"/>
      <c r="N21" s="9"/>
      <c r="O21" s="134" t="str">
        <f t="shared" si="2"/>
        <v/>
      </c>
      <c r="P21" s="9"/>
      <c r="Q21" s="9"/>
      <c r="R21" s="9"/>
      <c r="S21" s="134" t="str">
        <f t="shared" si="3"/>
        <v/>
      </c>
      <c r="T21" s="9"/>
      <c r="U21" s="9"/>
      <c r="V21" s="9"/>
      <c r="W21" s="134" t="str">
        <f t="shared" si="4"/>
        <v/>
      </c>
      <c r="X21" s="9"/>
      <c r="Y21" s="9"/>
      <c r="Z21" s="9" t="s">
        <v>128</v>
      </c>
      <c r="AA21" s="134" t="str">
        <f t="shared" si="5"/>
        <v/>
      </c>
      <c r="AB21" s="9"/>
      <c r="AC21" s="9"/>
      <c r="AD21" s="9" t="s">
        <v>128</v>
      </c>
      <c r="AE21" s="134" t="str">
        <f t="shared" si="6"/>
        <v/>
      </c>
      <c r="AF21" s="9">
        <v>1141</v>
      </c>
      <c r="AG21" s="9">
        <v>1400</v>
      </c>
      <c r="AH21" s="9">
        <v>245.13868551026911</v>
      </c>
      <c r="AI21" s="134">
        <f t="shared" si="7"/>
        <v>0.21484547371627441</v>
      </c>
      <c r="AJ21" s="9">
        <v>506.92999999999995</v>
      </c>
      <c r="AK21" s="9">
        <v>830</v>
      </c>
      <c r="AL21" s="9">
        <v>145.15648645027662</v>
      </c>
      <c r="AM21" s="134">
        <f t="shared" si="8"/>
        <v>0.28634424171044648</v>
      </c>
      <c r="AN21" s="9">
        <v>1377.35</v>
      </c>
      <c r="AO21" s="9">
        <v>2515</v>
      </c>
      <c r="AP21" s="9">
        <v>430.78921177507885</v>
      </c>
      <c r="AQ21" s="134">
        <f t="shared" si="9"/>
        <v>0.31276669820675856</v>
      </c>
      <c r="AR21" s="9">
        <v>1467</v>
      </c>
      <c r="AS21" s="9">
        <v>2700</v>
      </c>
      <c r="AT21" s="9">
        <v>463.0491494307812</v>
      </c>
      <c r="AU21" s="134">
        <f t="shared" si="10"/>
        <v>0.31564359197735598</v>
      </c>
      <c r="AV21" s="9">
        <v>407.5</v>
      </c>
      <c r="AW21" s="9">
        <v>750</v>
      </c>
      <c r="AX21" s="9">
        <v>123.38449557877813</v>
      </c>
      <c r="AY21" s="134">
        <f t="shared" si="11"/>
        <v>0.30278403823013039</v>
      </c>
      <c r="AZ21" s="9">
        <v>203.75</v>
      </c>
      <c r="BA21" s="9">
        <v>500</v>
      </c>
      <c r="BB21" s="9">
        <v>76.857266229251763</v>
      </c>
      <c r="BC21" s="134">
        <f t="shared" si="12"/>
        <v>0.3772135765852847</v>
      </c>
      <c r="BD21" s="9">
        <v>488.99999999999994</v>
      </c>
      <c r="BE21" s="9">
        <v>600</v>
      </c>
      <c r="BF21" s="9">
        <v>90.831314634570248</v>
      </c>
      <c r="BG21" s="134">
        <f t="shared" si="13"/>
        <v>0.18574910968214778</v>
      </c>
      <c r="BH21" s="9">
        <v>650</v>
      </c>
      <c r="BI21" s="9">
        <v>800</v>
      </c>
      <c r="BJ21" s="9">
        <v>116.19632977028476</v>
      </c>
      <c r="BK21" s="134">
        <f t="shared" si="14"/>
        <v>0.17876358426197655</v>
      </c>
      <c r="BL21" s="9">
        <v>719.875</v>
      </c>
      <c r="BM21" s="9">
        <v>2161</v>
      </c>
      <c r="BN21" s="9">
        <v>312.50270312816832</v>
      </c>
      <c r="BO21" s="134">
        <f t="shared" si="15"/>
        <v>0.434106897903342</v>
      </c>
      <c r="BP21" s="9">
        <v>812.5</v>
      </c>
      <c r="BQ21" s="9">
        <v>1700</v>
      </c>
      <c r="BR21" s="9">
        <v>274.99233437617676</v>
      </c>
      <c r="BS21" s="134">
        <f t="shared" si="16"/>
        <v>0.33845210384760216</v>
      </c>
      <c r="BT21" s="9">
        <v>650</v>
      </c>
      <c r="BU21" s="9">
        <v>1500</v>
      </c>
      <c r="BV21" s="9">
        <v>228.98383864169634</v>
      </c>
      <c r="BW21" s="134">
        <f t="shared" si="17"/>
        <v>0.35228282867953281</v>
      </c>
      <c r="BX21" s="9">
        <v>682.5</v>
      </c>
      <c r="BY21" s="9">
        <v>1600</v>
      </c>
      <c r="BZ21" s="9">
        <v>215.45441904927435</v>
      </c>
      <c r="CA21" s="134">
        <f t="shared" si="18"/>
        <v>0.31568413047512728</v>
      </c>
      <c r="CB21" s="9">
        <v>684.125</v>
      </c>
      <c r="CC21" s="9">
        <v>1250</v>
      </c>
      <c r="CD21" s="9">
        <f>IF(CC21/(INDEX('Standards for Conversions'!$H$47:$H$73,MATCH(CB$3,'Standards for Conversions'!$A$47:$A$73,0)))=0,"",CC21/(INDEX('Standards for Conversions'!$H$47:$H$73,MATCH(CB$3,'Standards for Conversions'!$A$47:$A$73,0))))</f>
        <v>152.02070840937398</v>
      </c>
      <c r="CE21" s="134">
        <f t="shared" si="19"/>
        <v>0.2222118887767206</v>
      </c>
      <c r="CF21" s="9"/>
      <c r="CG21" s="9"/>
      <c r="CH21" s="9" t="str">
        <f>IF(CG21/(INDEX('Standards for Conversions'!$H$47:$H$73,MATCH(CF$3,'Standards for Conversions'!$A$47:$A$73,0)))=0,"",CG21/(INDEX('Standards for Conversions'!$H$47:$H$73,MATCH(CF$3,'Standards for Conversions'!$A$47:$A$73,0))))</f>
        <v/>
      </c>
      <c r="CI21" s="134" t="str">
        <f t="shared" si="20"/>
        <v/>
      </c>
      <c r="CJ21" s="9"/>
      <c r="CK21" s="9"/>
      <c r="CL21" s="9" t="str">
        <f>IF(CK21/(INDEX('Standards for Conversions'!$H$47:$H$73,MATCH(CJ$3,'Standards for Conversions'!$A$47:$A$73,0)))=0,"",CK21/(INDEX('Standards for Conversions'!$H$47:$H$73,MATCH(CJ$3,'Standards for Conversions'!$A$47:$A$73,0))))</f>
        <v/>
      </c>
      <c r="CM21" s="134" t="str">
        <f t="shared" si="21"/>
        <v/>
      </c>
      <c r="CN21" s="9"/>
      <c r="CO21" s="9"/>
      <c r="CP21" s="9" t="str">
        <f>IF(CO21/(INDEX('Standards for Conversions'!$H$47:$H$73,MATCH(CN$3,'Standards for Conversions'!$A$47:$A$73,0)))=0,"",CO21/(INDEX('Standards for Conversions'!$H$47:$H$73,MATCH(CN$3,'Standards for Conversions'!$A$47:$A$73,0))))</f>
        <v/>
      </c>
      <c r="CQ21" s="134" t="str">
        <f t="shared" si="22"/>
        <v/>
      </c>
      <c r="CR21" s="9"/>
      <c r="CS21" s="9"/>
      <c r="CT21" s="9" t="str">
        <f>IF(CS21/(INDEX('Standards for Conversions'!$H$47:$H$73,MATCH(CR$3,'Standards for Conversions'!$A$47:$A$73,0)))=0,"",CS21/(INDEX('Standards for Conversions'!$H$47:$H$73,MATCH(CR$3,'Standards for Conversions'!$A$47:$A$73,0))))</f>
        <v/>
      </c>
      <c r="CU21" s="134" t="str">
        <f t="shared" si="23"/>
        <v/>
      </c>
      <c r="CV21" s="9"/>
      <c r="CW21" s="9"/>
      <c r="CX21" s="9" t="str">
        <f>IF(CW21/(INDEX('Standards for Conversions'!$H$47:$H$73,MATCH(CV$3,'Standards for Conversions'!$A$47:$A$73,0)))=0,"",CW21/(INDEX('Standards for Conversions'!$H$47:$H$73,MATCH(CV$3,'Standards for Conversions'!$A$47:$A$73,0))))</f>
        <v/>
      </c>
      <c r="CY21" s="134" t="str">
        <f t="shared" si="24"/>
        <v/>
      </c>
      <c r="CZ21" s="9"/>
      <c r="DA21" s="9"/>
      <c r="DB21" s="9" t="str">
        <f>IF(DA21/(INDEX('Standards for Conversions'!$H$47:$H$73,MATCH(CZ$3,'Standards for Conversions'!$A$47:$A$73,0)))=0,"",DA21/(INDEX('Standards for Conversions'!$H$47:$H$73,MATCH(CZ$3,'Standards for Conversions'!$A$47:$A$73,0))))</f>
        <v/>
      </c>
      <c r="DC21" s="134" t="str">
        <f t="shared" si="25"/>
        <v/>
      </c>
      <c r="DD21" s="9"/>
      <c r="DE21" s="9"/>
      <c r="DF21" s="9" t="str">
        <f>IF(DE21/(INDEX('Standards for Conversions'!$H$47:$H$73,MATCH(DD$3,'Standards for Conversions'!$A$47:$A$73,0)))=0,"",DE21/(INDEX('Standards for Conversions'!$H$47:$H$73,MATCH(DD$3,'Standards for Conversions'!$A$47:$A$73,0))))</f>
        <v/>
      </c>
      <c r="DG21" s="134" t="str">
        <f t="shared" si="26"/>
        <v/>
      </c>
      <c r="DH21" s="9"/>
      <c r="DI21" s="9"/>
      <c r="DJ21" s="9" t="str">
        <f>IF(DI21/(INDEX('Standards for Conversions'!$H$47:$H$73,MATCH(DH$3,'Standards for Conversions'!$A$47:$A$73,0)))=0,"",DI21/(INDEX('Standards for Conversions'!$H$47:$H$73,MATCH(DH$3,'Standards for Conversions'!$A$47:$A$73,0))))</f>
        <v/>
      </c>
      <c r="DK21" s="134" t="str">
        <f t="shared" si="27"/>
        <v/>
      </c>
      <c r="DL21" s="9"/>
      <c r="DM21" s="9"/>
      <c r="DN21" s="9" t="str">
        <f>IF(DM21/(INDEX('Standards for Conversions'!$H$47:$H$73,MATCH(DL$3,'Standards for Conversions'!$A$47:$A$73,0)))=0,"",DM21/(INDEX('Standards for Conversions'!$H$47:$H$73,MATCH(DL$3,'Standards for Conversions'!$A$47:$A$73,0))))</f>
        <v/>
      </c>
      <c r="DO21" s="134" t="str">
        <f t="shared" si="28"/>
        <v/>
      </c>
      <c r="DP21" s="9"/>
      <c r="DQ21" s="9"/>
      <c r="DR21" s="9" t="str">
        <f>IF(DQ21/(INDEX('Standards for Conversions'!$H$47:$H$73,MATCH(DP$3,'Standards for Conversions'!$A$47:$A$73,0)))=0,"",DQ21/(INDEX('Standards for Conversions'!$H$47:$H$73,MATCH(DP$3,'Standards for Conversions'!$A$47:$A$73,0))))</f>
        <v/>
      </c>
      <c r="DS21" s="134" t="str">
        <f t="shared" si="29"/>
        <v/>
      </c>
      <c r="DT21" s="9"/>
      <c r="DU21" s="9"/>
      <c r="DV21" s="9" t="str">
        <f>IF(DU21/(INDEX('Standards for Conversions'!$H$47:$H$73,MATCH(DT$3,'Standards for Conversions'!$A$47:$A$73,0)))=0,"",DU21/(INDEX('Standards for Conversions'!$H$47:$H$73,MATCH(DT$3,'Standards for Conversions'!$A$47:$A$73,0))))</f>
        <v/>
      </c>
      <c r="DW21" s="134" t="str">
        <f t="shared" si="30"/>
        <v/>
      </c>
      <c r="DX21" s="9"/>
      <c r="DY21" s="9"/>
      <c r="DZ21" s="134" t="str">
        <f t="shared" si="31"/>
        <v/>
      </c>
      <c r="EA21" s="9"/>
      <c r="EB21" s="9"/>
      <c r="EC21" s="134" t="str">
        <f t="shared" si="32"/>
        <v/>
      </c>
      <c r="ED21" s="9"/>
      <c r="EE21" s="9"/>
      <c r="EF21" s="134" t="str">
        <f t="shared" si="33"/>
        <v/>
      </c>
      <c r="EG21" s="9"/>
      <c r="EH21" s="9"/>
      <c r="EI21" s="134" t="str">
        <f t="shared" si="34"/>
        <v/>
      </c>
      <c r="EJ21" s="9"/>
      <c r="EK21" s="9"/>
      <c r="EL21" s="134" t="str">
        <f t="shared" si="35"/>
        <v/>
      </c>
      <c r="EM21" s="9"/>
      <c r="EN21" s="9"/>
      <c r="EO21" s="134" t="str">
        <f t="shared" si="36"/>
        <v/>
      </c>
      <c r="EP21" s="9"/>
      <c r="EQ21" s="9"/>
      <c r="ER21" s="134" t="str">
        <f t="shared" si="37"/>
        <v/>
      </c>
    </row>
    <row r="22" spans="1:148" x14ac:dyDescent="0.3">
      <c r="A22" s="102" t="s">
        <v>157</v>
      </c>
      <c r="B22" s="105" t="s">
        <v>374</v>
      </c>
      <c r="C22" s="105" t="s">
        <v>424</v>
      </c>
      <c r="D22" s="9">
        <v>324</v>
      </c>
      <c r="E22" s="9">
        <v>4000</v>
      </c>
      <c r="F22" s="9">
        <v>790.16891891891885</v>
      </c>
      <c r="G22" s="134">
        <f t="shared" si="0"/>
        <v>2.4387929596262929</v>
      </c>
      <c r="H22" s="9">
        <v>350</v>
      </c>
      <c r="I22" s="9">
        <v>5500</v>
      </c>
      <c r="J22" s="9">
        <v>1059.698670736653</v>
      </c>
      <c r="K22" s="134">
        <f t="shared" si="1"/>
        <v>3.0277104878190086</v>
      </c>
      <c r="L22" s="9">
        <v>100</v>
      </c>
      <c r="M22" s="9">
        <v>2000</v>
      </c>
      <c r="N22" s="9">
        <v>357.39687436632767</v>
      </c>
      <c r="O22" s="134">
        <f t="shared" si="2"/>
        <v>3.5739687436632765</v>
      </c>
      <c r="P22" s="9">
        <v>100</v>
      </c>
      <c r="Q22" s="9">
        <v>3000</v>
      </c>
      <c r="R22" s="9">
        <v>557.05638415746932</v>
      </c>
      <c r="S22" s="134">
        <f t="shared" si="3"/>
        <v>5.5705638415746934</v>
      </c>
      <c r="T22" s="9">
        <v>40</v>
      </c>
      <c r="U22" s="9">
        <v>1200</v>
      </c>
      <c r="V22" s="9">
        <v>213.67590379768833</v>
      </c>
      <c r="W22" s="134">
        <f t="shared" si="4"/>
        <v>5.3418975949422087</v>
      </c>
      <c r="X22" s="9">
        <v>50</v>
      </c>
      <c r="Y22" s="9">
        <v>1500</v>
      </c>
      <c r="Z22" s="9">
        <v>260.42544755366299</v>
      </c>
      <c r="AA22" s="134">
        <f t="shared" si="5"/>
        <v>5.2085089510732594</v>
      </c>
      <c r="AB22" s="9"/>
      <c r="AC22" s="9"/>
      <c r="AD22" s="9"/>
      <c r="AE22" s="134" t="str">
        <f t="shared" si="6"/>
        <v/>
      </c>
      <c r="AF22" s="9"/>
      <c r="AG22" s="9"/>
      <c r="AH22" s="9"/>
      <c r="AI22" s="134" t="str">
        <f t="shared" si="7"/>
        <v/>
      </c>
      <c r="AJ22" s="9"/>
      <c r="AK22" s="9"/>
      <c r="AL22" s="9"/>
      <c r="AM22" s="134" t="str">
        <f t="shared" si="8"/>
        <v/>
      </c>
      <c r="AN22" s="9"/>
      <c r="AO22" s="9"/>
      <c r="AP22" s="9"/>
      <c r="AQ22" s="134" t="str">
        <f t="shared" si="9"/>
        <v/>
      </c>
      <c r="AR22" s="9"/>
      <c r="AS22" s="9"/>
      <c r="AT22" s="9"/>
      <c r="AU22" s="134" t="str">
        <f t="shared" si="10"/>
        <v/>
      </c>
      <c r="AV22" s="9"/>
      <c r="AW22" s="9"/>
      <c r="AX22" s="9"/>
      <c r="AY22" s="134" t="str">
        <f t="shared" si="11"/>
        <v/>
      </c>
      <c r="AZ22" s="9"/>
      <c r="BA22" s="9"/>
      <c r="BB22" s="9"/>
      <c r="BC22" s="134" t="str">
        <f t="shared" si="12"/>
        <v/>
      </c>
      <c r="BD22" s="9"/>
      <c r="BE22" s="9"/>
      <c r="BF22" s="9" t="s">
        <v>128</v>
      </c>
      <c r="BG22" s="134" t="str">
        <f t="shared" si="13"/>
        <v/>
      </c>
      <c r="BH22" s="9"/>
      <c r="BI22" s="9"/>
      <c r="BJ22" s="9"/>
      <c r="BK22" s="134" t="str">
        <f t="shared" si="14"/>
        <v/>
      </c>
      <c r="BL22" s="9"/>
      <c r="BM22" s="9"/>
      <c r="BN22" s="9"/>
      <c r="BO22" s="134" t="str">
        <f t="shared" si="15"/>
        <v/>
      </c>
      <c r="BP22" s="9"/>
      <c r="BQ22" s="9"/>
      <c r="BR22" s="9"/>
      <c r="BS22" s="134" t="str">
        <f t="shared" si="16"/>
        <v/>
      </c>
      <c r="BT22" s="9"/>
      <c r="BU22" s="9"/>
      <c r="BV22" s="9"/>
      <c r="BW22" s="134" t="str">
        <f t="shared" si="17"/>
        <v/>
      </c>
      <c r="BX22" s="9"/>
      <c r="BY22" s="9"/>
      <c r="BZ22" s="9"/>
      <c r="CA22" s="134" t="str">
        <f t="shared" si="18"/>
        <v/>
      </c>
      <c r="CB22" s="9"/>
      <c r="CC22" s="9"/>
      <c r="CD22" s="9"/>
      <c r="CE22" s="134"/>
      <c r="CF22" s="9"/>
      <c r="CG22" s="9"/>
      <c r="CH22" s="9"/>
      <c r="CI22" s="134"/>
      <c r="CJ22" s="9"/>
      <c r="CK22" s="9"/>
      <c r="CL22" s="9"/>
      <c r="CM22" s="134"/>
      <c r="CN22" s="9"/>
      <c r="CO22" s="9"/>
      <c r="CP22" s="9"/>
      <c r="CQ22" s="134"/>
      <c r="CR22" s="9"/>
      <c r="CS22" s="9"/>
      <c r="CT22" s="9"/>
      <c r="CU22" s="134"/>
      <c r="CV22" s="9"/>
      <c r="CW22" s="9"/>
      <c r="CX22" s="9"/>
      <c r="CY22" s="134"/>
      <c r="CZ22" s="9"/>
      <c r="DA22" s="9"/>
      <c r="DB22" s="9"/>
      <c r="DC22" s="134"/>
      <c r="DD22" s="9"/>
      <c r="DE22" s="9"/>
      <c r="DF22" s="9"/>
      <c r="DG22" s="134"/>
      <c r="DH22" s="9"/>
      <c r="DI22" s="9"/>
      <c r="DJ22" s="9"/>
      <c r="DK22" s="134"/>
      <c r="DL22" s="9"/>
      <c r="DM22" s="9"/>
      <c r="DN22" s="9"/>
      <c r="DO22" s="134"/>
      <c r="DP22" s="9"/>
      <c r="DQ22" s="9"/>
      <c r="DR22" s="9"/>
      <c r="DS22" s="134"/>
      <c r="DT22" s="9"/>
      <c r="DU22" s="9"/>
      <c r="DV22" s="9"/>
      <c r="DW22" s="134"/>
      <c r="DX22" s="9"/>
      <c r="DY22" s="9"/>
      <c r="DZ22" s="134"/>
      <c r="EA22" s="9"/>
      <c r="EB22" s="9"/>
      <c r="EC22" s="134"/>
      <c r="ED22" s="9"/>
      <c r="EE22" s="9"/>
      <c r="EF22" s="134"/>
      <c r="EG22" s="9"/>
      <c r="EH22" s="9"/>
      <c r="EI22" s="134"/>
      <c r="EJ22" s="9"/>
      <c r="EK22" s="9"/>
      <c r="EL22" s="134"/>
      <c r="EM22" s="9"/>
      <c r="EN22" s="9"/>
      <c r="EO22" s="134"/>
      <c r="EP22" s="9"/>
      <c r="EQ22" s="9"/>
      <c r="ER22" s="134"/>
    </row>
    <row r="23" spans="1:148" x14ac:dyDescent="0.3">
      <c r="A23" s="102" t="s">
        <v>360</v>
      </c>
      <c r="B23" s="103" t="s">
        <v>98</v>
      </c>
      <c r="C23" s="103" t="s">
        <v>131</v>
      </c>
      <c r="D23" s="9"/>
      <c r="E23" s="9"/>
      <c r="F23" s="9"/>
      <c r="G23" s="134" t="str">
        <f t="shared" si="0"/>
        <v/>
      </c>
      <c r="H23" s="9"/>
      <c r="I23" s="9"/>
      <c r="J23" s="9"/>
      <c r="K23" s="134" t="str">
        <f t="shared" si="1"/>
        <v/>
      </c>
      <c r="L23" s="9"/>
      <c r="M23" s="9"/>
      <c r="N23" s="9"/>
      <c r="O23" s="134" t="str">
        <f t="shared" si="2"/>
        <v/>
      </c>
      <c r="P23" s="9"/>
      <c r="Q23" s="9"/>
      <c r="R23" s="9"/>
      <c r="S23" s="134" t="str">
        <f t="shared" si="3"/>
        <v/>
      </c>
      <c r="T23" s="9"/>
      <c r="U23" s="9"/>
      <c r="V23" s="9"/>
      <c r="W23" s="134" t="str">
        <f t="shared" si="4"/>
        <v/>
      </c>
      <c r="X23" s="9"/>
      <c r="Y23" s="9"/>
      <c r="Z23" s="9"/>
      <c r="AA23" s="134" t="str">
        <f t="shared" si="5"/>
        <v/>
      </c>
      <c r="AB23" s="9">
        <v>709.05</v>
      </c>
      <c r="AC23" s="9">
        <v>1600</v>
      </c>
      <c r="AD23" s="9">
        <v>283.207381014455</v>
      </c>
      <c r="AE23" s="134">
        <f t="shared" si="6"/>
        <v>0.39941806785763345</v>
      </c>
      <c r="AF23" s="9">
        <v>815</v>
      </c>
      <c r="AG23" s="9">
        <v>1800</v>
      </c>
      <c r="AH23" s="9">
        <v>315.17830994177456</v>
      </c>
      <c r="AI23" s="134">
        <f t="shared" si="7"/>
        <v>0.38672185268929393</v>
      </c>
      <c r="AJ23" s="9">
        <v>622.66</v>
      </c>
      <c r="AK23" s="9">
        <v>1060</v>
      </c>
      <c r="AL23" s="9">
        <v>185.38057305697978</v>
      </c>
      <c r="AM23" s="134">
        <f t="shared" si="8"/>
        <v>0.29772359402720555</v>
      </c>
      <c r="AN23" s="9">
        <v>392.83</v>
      </c>
      <c r="AO23" s="9">
        <v>820</v>
      </c>
      <c r="AP23" s="9">
        <v>140.45612471394222</v>
      </c>
      <c r="AQ23" s="134">
        <f t="shared" si="9"/>
        <v>0.35754938450205487</v>
      </c>
      <c r="AR23" s="9">
        <v>407.5</v>
      </c>
      <c r="AS23" s="9">
        <v>750</v>
      </c>
      <c r="AT23" s="9">
        <v>128.62476373077254</v>
      </c>
      <c r="AU23" s="134">
        <f t="shared" si="10"/>
        <v>0.31564359197735592</v>
      </c>
      <c r="AV23" s="9">
        <v>163</v>
      </c>
      <c r="AW23" s="9">
        <v>350</v>
      </c>
      <c r="AX23" s="9">
        <v>57.579431270096464</v>
      </c>
      <c r="AY23" s="134">
        <f t="shared" si="11"/>
        <v>0.3532480446018188</v>
      </c>
      <c r="AZ23" s="9">
        <v>163</v>
      </c>
      <c r="BA23" s="9">
        <v>350</v>
      </c>
      <c r="BB23" s="9">
        <v>53.800086360476236</v>
      </c>
      <c r="BC23" s="134">
        <f t="shared" si="12"/>
        <v>0.33006187951212412</v>
      </c>
      <c r="BD23" s="9">
        <v>244.49999999999997</v>
      </c>
      <c r="BE23" s="9">
        <v>550</v>
      </c>
      <c r="BF23" s="9">
        <v>83.26203841502273</v>
      </c>
      <c r="BG23" s="134">
        <f t="shared" si="13"/>
        <v>0.34054003441727093</v>
      </c>
      <c r="BH23" s="9">
        <v>325</v>
      </c>
      <c r="BI23" s="9">
        <v>600</v>
      </c>
      <c r="BJ23" s="9">
        <v>87.147247327713572</v>
      </c>
      <c r="BK23" s="134">
        <f t="shared" si="14"/>
        <v>0.26814537639296482</v>
      </c>
      <c r="BL23" s="9">
        <v>406.25</v>
      </c>
      <c r="BM23" s="9">
        <v>700</v>
      </c>
      <c r="BN23" s="9">
        <v>101.22715973610265</v>
      </c>
      <c r="BO23" s="134">
        <f t="shared" si="15"/>
        <v>0.24917454704271422</v>
      </c>
      <c r="BP23" s="9">
        <v>325</v>
      </c>
      <c r="BQ23" s="9">
        <v>600</v>
      </c>
      <c r="BR23" s="9">
        <v>97.056118015121214</v>
      </c>
      <c r="BS23" s="134">
        <f t="shared" si="16"/>
        <v>0.29863420927729606</v>
      </c>
      <c r="BT23" s="9">
        <v>243.75</v>
      </c>
      <c r="BU23" s="9">
        <v>500</v>
      </c>
      <c r="BV23" s="9">
        <v>76.327946213898784</v>
      </c>
      <c r="BW23" s="134">
        <f t="shared" si="17"/>
        <v>0.31314029215958478</v>
      </c>
      <c r="BX23" s="9">
        <v>260</v>
      </c>
      <c r="BY23" s="9">
        <v>600</v>
      </c>
      <c r="BZ23" s="9">
        <v>80.795407143477874</v>
      </c>
      <c r="CA23" s="134">
        <f t="shared" si="18"/>
        <v>0.31075156593645337</v>
      </c>
      <c r="CB23" s="9">
        <v>263.25</v>
      </c>
      <c r="CC23" s="9">
        <v>735</v>
      </c>
      <c r="CD23" s="9">
        <f>IF(CC23/(INDEX('Standards for Conversions'!$H$47:$H$73,MATCH(CB$3,'Standards for Conversions'!$A$47:$A$73,0)))=0,"",CC23/(INDEX('Standards for Conversions'!$H$47:$H$73,MATCH(CB$3,'Standards for Conversions'!$A$47:$A$73,0))))</f>
        <v>89.388176544711897</v>
      </c>
      <c r="CE23" s="134">
        <f t="shared" si="19"/>
        <v>0.33955622619073844</v>
      </c>
      <c r="CF23" s="9"/>
      <c r="CG23" s="9"/>
      <c r="CH23" s="9" t="str">
        <f>IF(CG23/(INDEX('Standards for Conversions'!$H$47:$H$73,MATCH(CF$3,'Standards for Conversions'!$A$47:$A$73,0)))=0,"",CG23/(INDEX('Standards for Conversions'!$H$47:$H$73,MATCH(CF$3,'Standards for Conversions'!$A$47:$A$73,0))))</f>
        <v/>
      </c>
      <c r="CI23" s="134" t="str">
        <f t="shared" si="20"/>
        <v/>
      </c>
      <c r="CJ23" s="9"/>
      <c r="CK23" s="9"/>
      <c r="CL23" s="9" t="str">
        <f>IF(CK23/(INDEX('Standards for Conversions'!$H$47:$H$73,MATCH(CJ$3,'Standards for Conversions'!$A$47:$A$73,0)))=0,"",CK23/(INDEX('Standards for Conversions'!$H$47:$H$73,MATCH(CJ$3,'Standards for Conversions'!$A$47:$A$73,0))))</f>
        <v/>
      </c>
      <c r="CM23" s="134" t="str">
        <f t="shared" si="21"/>
        <v/>
      </c>
      <c r="CN23" s="9"/>
      <c r="CO23" s="9"/>
      <c r="CP23" s="9" t="str">
        <f>IF(CO23/(INDEX('Standards for Conversions'!$H$47:$H$73,MATCH(CN$3,'Standards for Conversions'!$A$47:$A$73,0)))=0,"",CO23/(INDEX('Standards for Conversions'!$H$47:$H$73,MATCH(CN$3,'Standards for Conversions'!$A$47:$A$73,0))))</f>
        <v/>
      </c>
      <c r="CQ23" s="134" t="str">
        <f t="shared" si="22"/>
        <v/>
      </c>
      <c r="CR23" s="9"/>
      <c r="CS23" s="9"/>
      <c r="CT23" s="9" t="str">
        <f>IF(CS23/(INDEX('Standards for Conversions'!$H$47:$H$73,MATCH(CR$3,'Standards for Conversions'!$A$47:$A$73,0)))=0,"",CS23/(INDEX('Standards for Conversions'!$H$47:$H$73,MATCH(CR$3,'Standards for Conversions'!$A$47:$A$73,0))))</f>
        <v/>
      </c>
      <c r="CU23" s="134" t="str">
        <f t="shared" si="23"/>
        <v/>
      </c>
      <c r="CV23" s="9"/>
      <c r="CW23" s="9"/>
      <c r="CX23" s="9" t="str">
        <f>IF(CW23/(INDEX('Standards for Conversions'!$H$47:$H$73,MATCH(CV$3,'Standards for Conversions'!$A$47:$A$73,0)))=0,"",CW23/(INDEX('Standards for Conversions'!$H$47:$H$73,MATCH(CV$3,'Standards for Conversions'!$A$47:$A$73,0))))</f>
        <v/>
      </c>
      <c r="CY23" s="134" t="str">
        <f t="shared" si="24"/>
        <v/>
      </c>
      <c r="CZ23" s="9"/>
      <c r="DA23" s="9"/>
      <c r="DB23" s="9" t="str">
        <f>IF(DA23/(INDEX('Standards for Conversions'!$H$47:$H$73,MATCH(CZ$3,'Standards for Conversions'!$A$47:$A$73,0)))=0,"",DA23/(INDEX('Standards for Conversions'!$H$47:$H$73,MATCH(CZ$3,'Standards for Conversions'!$A$47:$A$73,0))))</f>
        <v/>
      </c>
      <c r="DC23" s="134" t="str">
        <f t="shared" si="25"/>
        <v/>
      </c>
      <c r="DD23" s="9"/>
      <c r="DE23" s="9"/>
      <c r="DF23" s="9" t="str">
        <f>IF(DE23/(INDEX('Standards for Conversions'!$H$47:$H$73,MATCH(DD$3,'Standards for Conversions'!$A$47:$A$73,0)))=0,"",DE23/(INDEX('Standards for Conversions'!$H$47:$H$73,MATCH(DD$3,'Standards for Conversions'!$A$47:$A$73,0))))</f>
        <v/>
      </c>
      <c r="DG23" s="134" t="str">
        <f t="shared" si="26"/>
        <v/>
      </c>
      <c r="DH23" s="9"/>
      <c r="DI23" s="9"/>
      <c r="DJ23" s="9" t="str">
        <f>IF(DI23/(INDEX('Standards for Conversions'!$H$47:$H$73,MATCH(DH$3,'Standards for Conversions'!$A$47:$A$73,0)))=0,"",DI23/(INDEX('Standards for Conversions'!$H$47:$H$73,MATCH(DH$3,'Standards for Conversions'!$A$47:$A$73,0))))</f>
        <v/>
      </c>
      <c r="DK23" s="134" t="str">
        <f t="shared" si="27"/>
        <v/>
      </c>
      <c r="DL23" s="9"/>
      <c r="DM23" s="9"/>
      <c r="DN23" s="9" t="str">
        <f>IF(DM23/(INDEX('Standards for Conversions'!$H$47:$H$73,MATCH(DL$3,'Standards for Conversions'!$A$47:$A$73,0)))=0,"",DM23/(INDEX('Standards for Conversions'!$H$47:$H$73,MATCH(DL$3,'Standards for Conversions'!$A$47:$A$73,0))))</f>
        <v/>
      </c>
      <c r="DO23" s="134" t="str">
        <f t="shared" si="28"/>
        <v/>
      </c>
      <c r="DP23" s="9"/>
      <c r="DQ23" s="9"/>
      <c r="DR23" s="9" t="str">
        <f>IF(DQ23/(INDEX('Standards for Conversions'!$H$47:$H$73,MATCH(DP$3,'Standards for Conversions'!$A$47:$A$73,0)))=0,"",DQ23/(INDEX('Standards for Conversions'!$H$47:$H$73,MATCH(DP$3,'Standards for Conversions'!$A$47:$A$73,0))))</f>
        <v/>
      </c>
      <c r="DS23" s="134" t="str">
        <f t="shared" si="29"/>
        <v/>
      </c>
      <c r="DT23" s="9"/>
      <c r="DU23" s="9"/>
      <c r="DV23" s="9" t="str">
        <f>IF(DU23/(INDEX('Standards for Conversions'!$H$47:$H$73,MATCH(DT$3,'Standards for Conversions'!$A$47:$A$73,0)))=0,"",DU23/(INDEX('Standards for Conversions'!$H$47:$H$73,MATCH(DT$3,'Standards for Conversions'!$A$47:$A$73,0))))</f>
        <v/>
      </c>
      <c r="DW23" s="134" t="str">
        <f t="shared" si="30"/>
        <v/>
      </c>
      <c r="DX23" s="9"/>
      <c r="DY23" s="9"/>
      <c r="DZ23" s="134" t="str">
        <f t="shared" si="31"/>
        <v/>
      </c>
      <c r="EA23" s="9"/>
      <c r="EB23" s="9"/>
      <c r="EC23" s="134" t="str">
        <f t="shared" si="32"/>
        <v/>
      </c>
      <c r="ED23" s="9"/>
      <c r="EE23" s="9"/>
      <c r="EF23" s="134" t="str">
        <f t="shared" si="33"/>
        <v/>
      </c>
      <c r="EG23" s="9"/>
      <c r="EH23" s="9"/>
      <c r="EI23" s="134" t="str">
        <f t="shared" si="34"/>
        <v/>
      </c>
      <c r="EJ23" s="9"/>
      <c r="EK23" s="9"/>
      <c r="EL23" s="134" t="str">
        <f t="shared" si="35"/>
        <v/>
      </c>
      <c r="EM23" s="9"/>
      <c r="EN23" s="9"/>
      <c r="EO23" s="134" t="str">
        <f t="shared" si="36"/>
        <v/>
      </c>
      <c r="EP23" s="9"/>
      <c r="EQ23" s="9"/>
      <c r="ER23" s="134" t="str">
        <f t="shared" si="37"/>
        <v/>
      </c>
    </row>
    <row r="24" spans="1:148" x14ac:dyDescent="0.3">
      <c r="A24" s="102" t="s">
        <v>360</v>
      </c>
      <c r="B24" s="105" t="s">
        <v>374</v>
      </c>
      <c r="C24" s="105" t="s">
        <v>424</v>
      </c>
      <c r="D24" s="9">
        <v>10</v>
      </c>
      <c r="E24" s="9">
        <v>250</v>
      </c>
      <c r="F24" s="9">
        <v>49.385557432432428</v>
      </c>
      <c r="G24" s="134">
        <f t="shared" si="0"/>
        <v>4.938555743243243</v>
      </c>
      <c r="H24" s="9">
        <v>15</v>
      </c>
      <c r="I24" s="9">
        <v>400</v>
      </c>
      <c r="J24" s="9">
        <v>77.068994235392935</v>
      </c>
      <c r="K24" s="134">
        <f t="shared" si="1"/>
        <v>5.1379329490261956</v>
      </c>
      <c r="L24" s="9">
        <v>20</v>
      </c>
      <c r="M24" s="9">
        <v>200</v>
      </c>
      <c r="N24" s="9">
        <v>35.739687436632771</v>
      </c>
      <c r="O24" s="134">
        <f t="shared" si="2"/>
        <v>1.7869843718316385</v>
      </c>
      <c r="P24" s="9">
        <v>15</v>
      </c>
      <c r="Q24" s="9">
        <v>300</v>
      </c>
      <c r="R24" s="9">
        <v>55.70563841574694</v>
      </c>
      <c r="S24" s="134">
        <f t="shared" si="3"/>
        <v>3.7137092277164627</v>
      </c>
      <c r="T24" s="9">
        <v>20</v>
      </c>
      <c r="U24" s="9">
        <v>400</v>
      </c>
      <c r="V24" s="9">
        <v>71.225301265896107</v>
      </c>
      <c r="W24" s="134">
        <f t="shared" si="4"/>
        <v>3.5612650632948055</v>
      </c>
      <c r="X24" s="9">
        <v>40</v>
      </c>
      <c r="Y24" s="9">
        <v>1600</v>
      </c>
      <c r="Z24" s="9">
        <v>277.78714405724054</v>
      </c>
      <c r="AA24" s="134">
        <f t="shared" si="5"/>
        <v>6.9446786014310131</v>
      </c>
      <c r="AB24" s="9"/>
      <c r="AC24" s="9"/>
      <c r="AD24" s="9"/>
      <c r="AE24" s="134" t="str">
        <f t="shared" si="6"/>
        <v/>
      </c>
      <c r="AF24" s="9"/>
      <c r="AG24" s="9"/>
      <c r="AH24" s="9"/>
      <c r="AI24" s="134" t="str">
        <f t="shared" si="7"/>
        <v/>
      </c>
      <c r="AJ24" s="9"/>
      <c r="AK24" s="9"/>
      <c r="AL24" s="9"/>
      <c r="AM24" s="134" t="str">
        <f t="shared" si="8"/>
        <v/>
      </c>
      <c r="AN24" s="9"/>
      <c r="AO24" s="9"/>
      <c r="AP24" s="9"/>
      <c r="AQ24" s="134" t="str">
        <f t="shared" si="9"/>
        <v/>
      </c>
      <c r="AR24" s="9"/>
      <c r="AS24" s="9"/>
      <c r="AT24" s="9"/>
      <c r="AU24" s="134" t="str">
        <f t="shared" si="10"/>
        <v/>
      </c>
      <c r="AV24" s="9"/>
      <c r="AW24" s="9"/>
      <c r="AX24" s="9"/>
      <c r="AY24" s="134" t="str">
        <f t="shared" si="11"/>
        <v/>
      </c>
      <c r="AZ24" s="9"/>
      <c r="BA24" s="9"/>
      <c r="BB24" s="9"/>
      <c r="BC24" s="134" t="str">
        <f t="shared" si="12"/>
        <v/>
      </c>
      <c r="BD24" s="9"/>
      <c r="BE24" s="9"/>
      <c r="BF24" s="9" t="s">
        <v>128</v>
      </c>
      <c r="BG24" s="134" t="str">
        <f t="shared" si="13"/>
        <v/>
      </c>
      <c r="BH24" s="9"/>
      <c r="BI24" s="9"/>
      <c r="BJ24" s="9"/>
      <c r="BK24" s="134" t="str">
        <f t="shared" si="14"/>
        <v/>
      </c>
      <c r="BL24" s="9"/>
      <c r="BM24" s="9"/>
      <c r="BN24" s="9"/>
      <c r="BO24" s="134" t="str">
        <f t="shared" si="15"/>
        <v/>
      </c>
      <c r="BP24" s="9"/>
      <c r="BQ24" s="9"/>
      <c r="BR24" s="9"/>
      <c r="BS24" s="134" t="str">
        <f t="shared" si="16"/>
        <v/>
      </c>
      <c r="BT24" s="9"/>
      <c r="BU24" s="9"/>
      <c r="BV24" s="9"/>
      <c r="BW24" s="134" t="str">
        <f t="shared" si="17"/>
        <v/>
      </c>
      <c r="BX24" s="9"/>
      <c r="BY24" s="9"/>
      <c r="BZ24" s="9"/>
      <c r="CA24" s="134" t="str">
        <f t="shared" si="18"/>
        <v/>
      </c>
      <c r="CB24" s="9"/>
      <c r="CC24" s="9"/>
      <c r="CD24" s="9"/>
      <c r="CE24" s="134"/>
      <c r="CF24" s="9"/>
      <c r="CG24" s="9"/>
      <c r="CH24" s="9"/>
      <c r="CI24" s="134"/>
      <c r="CJ24" s="9"/>
      <c r="CK24" s="9"/>
      <c r="CL24" s="9"/>
      <c r="CM24" s="134"/>
      <c r="CN24" s="9"/>
      <c r="CO24" s="9"/>
      <c r="CP24" s="9"/>
      <c r="CQ24" s="134"/>
      <c r="CR24" s="9"/>
      <c r="CS24" s="9"/>
      <c r="CT24" s="9"/>
      <c r="CU24" s="134"/>
      <c r="CV24" s="9"/>
      <c r="CW24" s="9"/>
      <c r="CX24" s="9"/>
      <c r="CY24" s="134"/>
      <c r="CZ24" s="9"/>
      <c r="DA24" s="9"/>
      <c r="DB24" s="9"/>
      <c r="DC24" s="134"/>
      <c r="DD24" s="9"/>
      <c r="DE24" s="9"/>
      <c r="DF24" s="9"/>
      <c r="DG24" s="134"/>
      <c r="DH24" s="9"/>
      <c r="DI24" s="9"/>
      <c r="DJ24" s="9"/>
      <c r="DK24" s="134"/>
      <c r="DL24" s="9"/>
      <c r="DM24" s="9"/>
      <c r="DN24" s="9"/>
      <c r="DO24" s="134"/>
      <c r="DP24" s="9"/>
      <c r="DQ24" s="9"/>
      <c r="DR24" s="9"/>
      <c r="DS24" s="134"/>
      <c r="DT24" s="9"/>
      <c r="DU24" s="9"/>
      <c r="DV24" s="9"/>
      <c r="DW24" s="134"/>
      <c r="DX24" s="9"/>
      <c r="DY24" s="9"/>
      <c r="DZ24" s="134"/>
      <c r="EA24" s="9"/>
      <c r="EB24" s="9"/>
      <c r="EC24" s="134"/>
      <c r="ED24" s="9"/>
      <c r="EE24" s="9"/>
      <c r="EF24" s="134"/>
      <c r="EG24" s="9"/>
      <c r="EH24" s="9"/>
      <c r="EI24" s="134"/>
      <c r="EJ24" s="9"/>
      <c r="EK24" s="9"/>
      <c r="EL24" s="134"/>
      <c r="EM24" s="9"/>
      <c r="EN24" s="9"/>
      <c r="EO24" s="134"/>
      <c r="EP24" s="9"/>
      <c r="EQ24" s="9"/>
      <c r="ER24" s="134"/>
    </row>
    <row r="25" spans="1:148" x14ac:dyDescent="0.3">
      <c r="A25" s="102" t="s">
        <v>67</v>
      </c>
      <c r="B25" s="103" t="s">
        <v>98</v>
      </c>
      <c r="C25" s="103" t="s">
        <v>131</v>
      </c>
      <c r="D25" s="9">
        <v>2001</v>
      </c>
      <c r="E25" s="9">
        <v>37000</v>
      </c>
      <c r="F25" s="9">
        <v>7309.0624999999991</v>
      </c>
      <c r="G25" s="134">
        <f t="shared" si="0"/>
        <v>3.652704897551224</v>
      </c>
      <c r="H25" s="9">
        <v>1950</v>
      </c>
      <c r="I25" s="9">
        <v>37500</v>
      </c>
      <c r="J25" s="9">
        <v>7225.2182095680882</v>
      </c>
      <c r="K25" s="134">
        <f t="shared" si="1"/>
        <v>3.7052401074708143</v>
      </c>
      <c r="L25" s="9">
        <v>2640</v>
      </c>
      <c r="M25" s="9">
        <v>28340</v>
      </c>
      <c r="N25" s="9">
        <v>5064.3137097708632</v>
      </c>
      <c r="O25" s="134">
        <f t="shared" si="2"/>
        <v>1.9183006476404785</v>
      </c>
      <c r="P25" s="9">
        <v>3075</v>
      </c>
      <c r="Q25" s="9">
        <v>31000</v>
      </c>
      <c r="R25" s="9">
        <v>5756.2493029605166</v>
      </c>
      <c r="S25" s="134">
        <f t="shared" si="3"/>
        <v>1.8719509928326883</v>
      </c>
      <c r="T25" s="9">
        <v>2700</v>
      </c>
      <c r="U25" s="9">
        <v>30000</v>
      </c>
      <c r="V25" s="9">
        <v>5341.8975949422083</v>
      </c>
      <c r="W25" s="134">
        <f t="shared" si="4"/>
        <v>1.9784805907193364</v>
      </c>
      <c r="X25" s="9">
        <v>2550</v>
      </c>
      <c r="Y25" s="9">
        <v>27200</v>
      </c>
      <c r="Z25" s="9">
        <v>4722.3814489730885</v>
      </c>
      <c r="AA25" s="134">
        <f t="shared" si="5"/>
        <v>1.8519142937149367</v>
      </c>
      <c r="AB25" s="9">
        <v>2730</v>
      </c>
      <c r="AC25" s="9">
        <v>21500</v>
      </c>
      <c r="AD25" s="9">
        <v>3805.599182381739</v>
      </c>
      <c r="AE25" s="134">
        <f t="shared" si="6"/>
        <v>1.3939923744988054</v>
      </c>
      <c r="AF25" s="9">
        <v>2475</v>
      </c>
      <c r="AG25" s="9">
        <v>17200</v>
      </c>
      <c r="AH25" s="9">
        <v>3011.7038505547348</v>
      </c>
      <c r="AI25" s="134">
        <f t="shared" si="7"/>
        <v>1.2168500406281757</v>
      </c>
      <c r="AJ25" s="9">
        <v>6927</v>
      </c>
      <c r="AK25" s="9">
        <v>53530</v>
      </c>
      <c r="AL25" s="9">
        <v>9361.7189393774788</v>
      </c>
      <c r="AM25" s="134">
        <f t="shared" si="8"/>
        <v>1.3514824511877406</v>
      </c>
      <c r="AN25" s="9">
        <v>4317</v>
      </c>
      <c r="AO25" s="9">
        <v>43475</v>
      </c>
      <c r="AP25" s="9">
        <v>7446.7439291934606</v>
      </c>
      <c r="AQ25" s="134">
        <f t="shared" si="9"/>
        <v>1.7249812205683255</v>
      </c>
      <c r="AR25" s="9">
        <v>4950</v>
      </c>
      <c r="AS25" s="9">
        <v>48000</v>
      </c>
      <c r="AT25" s="9">
        <v>8231.9848787694427</v>
      </c>
      <c r="AU25" s="134">
        <f t="shared" si="10"/>
        <v>1.6630272482362511</v>
      </c>
      <c r="AV25" s="9">
        <v>4125</v>
      </c>
      <c r="AW25" s="9">
        <v>34000</v>
      </c>
      <c r="AX25" s="9">
        <v>5593.4304662379418</v>
      </c>
      <c r="AY25" s="134">
        <f t="shared" si="11"/>
        <v>1.3559831433304101</v>
      </c>
      <c r="AZ25" s="9">
        <v>3375</v>
      </c>
      <c r="BA25" s="9">
        <v>38000</v>
      </c>
      <c r="BB25" s="9">
        <v>5841.152233423134</v>
      </c>
      <c r="BC25" s="134">
        <f t="shared" si="12"/>
        <v>1.7307117728661139</v>
      </c>
      <c r="BD25" s="9">
        <v>3750</v>
      </c>
      <c r="BE25" s="9">
        <v>44500</v>
      </c>
      <c r="BF25" s="9">
        <v>6736.6558353972932</v>
      </c>
      <c r="BG25" s="134">
        <f t="shared" si="13"/>
        <v>1.7964415561059448</v>
      </c>
      <c r="BH25" s="9">
        <v>4125</v>
      </c>
      <c r="BI25" s="9">
        <v>55500</v>
      </c>
      <c r="BJ25" s="9">
        <v>8061.1203778135059</v>
      </c>
      <c r="BK25" s="134">
        <f t="shared" si="14"/>
        <v>1.9542110006820621</v>
      </c>
      <c r="BL25" s="9">
        <v>3303</v>
      </c>
      <c r="BM25" s="9">
        <v>81984</v>
      </c>
      <c r="BN25" s="9">
        <v>11855.724948292343</v>
      </c>
      <c r="BO25" s="134">
        <f t="shared" si="15"/>
        <v>3.5893808502247482</v>
      </c>
      <c r="BP25" s="9">
        <v>2430</v>
      </c>
      <c r="BQ25" s="9">
        <v>66200</v>
      </c>
      <c r="BR25" s="9">
        <v>10708.525021001708</v>
      </c>
      <c r="BS25" s="134">
        <f t="shared" si="16"/>
        <v>4.4068004201653119</v>
      </c>
      <c r="BT25" s="9">
        <v>2775</v>
      </c>
      <c r="BU25" s="9">
        <v>67000</v>
      </c>
      <c r="BV25" s="9">
        <v>10227.944792662436</v>
      </c>
      <c r="BW25" s="134">
        <f t="shared" si="17"/>
        <v>3.6857458712297069</v>
      </c>
      <c r="BX25" s="9">
        <v>2250</v>
      </c>
      <c r="BY25" s="9">
        <v>66000</v>
      </c>
      <c r="BZ25" s="9">
        <v>8887.4947857825664</v>
      </c>
      <c r="CA25" s="134">
        <f t="shared" si="18"/>
        <v>3.9499976825700296</v>
      </c>
      <c r="CB25" s="9">
        <v>2130</v>
      </c>
      <c r="CC25" s="9">
        <v>60560</v>
      </c>
      <c r="CD25" s="9">
        <f>IF(CC25/(INDEX('Standards for Conversions'!$H$47:$H$73,MATCH(CB$3,'Standards for Conversions'!$A$47:$A$73,0)))=0,"",CC25/(INDEX('Standards for Conversions'!$H$47:$H$73,MATCH(CB$3,'Standards for Conversions'!$A$47:$A$73,0))))</f>
        <v>7365.0992810173502</v>
      </c>
      <c r="CE25" s="134">
        <f t="shared" si="19"/>
        <v>3.457793089679507</v>
      </c>
      <c r="CF25" s="9">
        <v>11000</v>
      </c>
      <c r="CG25" s="9">
        <v>65000</v>
      </c>
      <c r="CH25" s="9">
        <f>IF(CG25/(INDEX('Standards for Conversions'!$H$47:$H$73,MATCH(CF$3,'Standards for Conversions'!$A$47:$A$73,0)))=0,"",CG25/(INDEX('Standards for Conversions'!$H$47:$H$73,MATCH(CF$3,'Standards for Conversions'!$A$47:$A$73,0))))</f>
        <v>6371.9543448190952</v>
      </c>
      <c r="CI25" s="134">
        <f t="shared" si="20"/>
        <v>0.57926857680173593</v>
      </c>
      <c r="CJ25" s="9">
        <v>14080</v>
      </c>
      <c r="CK25" s="9">
        <v>72000</v>
      </c>
      <c r="CL25" s="9">
        <f>IF(CK25/(INDEX('Standards for Conversions'!$H$47:$H$73,MATCH(CJ$3,'Standards for Conversions'!$A$47:$A$73,0)))=0,"",CK25/(INDEX('Standards for Conversions'!$H$47:$H$73,MATCH(CJ$3,'Standards for Conversions'!$A$47:$A$73,0))))</f>
        <v>7271.5866429130074</v>
      </c>
      <c r="CM25" s="134">
        <f t="shared" si="21"/>
        <v>0.51644791497961695</v>
      </c>
      <c r="CN25" s="9">
        <v>3500</v>
      </c>
      <c r="CO25" s="9">
        <v>52500</v>
      </c>
      <c r="CP25" s="9">
        <f>IF(CO25/(INDEX('Standards for Conversions'!$H$47:$H$73,MATCH(CN$3,'Standards for Conversions'!$A$47:$A$73,0)))=0,"",CO25/(INDEX('Standards for Conversions'!$H$47:$H$73,MATCH(CN$3,'Standards for Conversions'!$A$47:$A$73,0))))</f>
        <v>5480.0501189493343</v>
      </c>
      <c r="CQ25" s="134">
        <f t="shared" si="22"/>
        <v>1.5657286054140955</v>
      </c>
      <c r="CR25" s="9">
        <v>4500</v>
      </c>
      <c r="CS25" s="9">
        <v>80000</v>
      </c>
      <c r="CT25" s="9">
        <f>IF(CS25/(INDEX('Standards for Conversions'!$H$47:$H$73,MATCH(CR$3,'Standards for Conversions'!$A$47:$A$73,0)))=0,"",CS25/(INDEX('Standards for Conversions'!$H$47:$H$73,MATCH(CR$3,'Standards for Conversions'!$A$47:$A$73,0))))</f>
        <v>7469.7640566611608</v>
      </c>
      <c r="CU25" s="134">
        <f t="shared" si="23"/>
        <v>1.6599475681469247</v>
      </c>
      <c r="CV25" s="9">
        <v>3500</v>
      </c>
      <c r="CW25" s="9">
        <v>46000</v>
      </c>
      <c r="CX25" s="9">
        <f>IF(CW25/(INDEX('Standards for Conversions'!$H$47:$H$73,MATCH(CV$3,'Standards for Conversions'!$A$47:$A$73,0)))=0,"",CW25/(INDEX('Standards for Conversions'!$H$47:$H$73,MATCH(CV$3,'Standards for Conversions'!$A$47:$A$73,0))))</f>
        <v>4197.7194497552209</v>
      </c>
      <c r="CY25" s="134">
        <f t="shared" si="24"/>
        <v>1.1993484142157773</v>
      </c>
      <c r="CZ25" s="9">
        <v>3000</v>
      </c>
      <c r="DA25" s="9">
        <v>48000</v>
      </c>
      <c r="DB25" s="9">
        <f>IF(DA25/(INDEX('Standards for Conversions'!$H$47:$H$73,MATCH(CZ$3,'Standards for Conversions'!$A$47:$A$73,0)))=0,"",DA25/(INDEX('Standards for Conversions'!$H$47:$H$73,MATCH(CZ$3,'Standards for Conversions'!$A$47:$A$73,0))))</f>
        <v>4461.5325454071426</v>
      </c>
      <c r="DC25" s="134">
        <f t="shared" si="25"/>
        <v>1.4871775151357143</v>
      </c>
      <c r="DD25" s="9">
        <v>8136</v>
      </c>
      <c r="DE25" s="9">
        <v>98188</v>
      </c>
      <c r="DF25" s="9">
        <f>IF(DE25/(INDEX('Standards for Conversions'!$H$47:$H$73,MATCH(DD$3,'Standards for Conversions'!$A$47:$A$73,0)))=0,"",DE25/(INDEX('Standards for Conversions'!$H$47:$H$73,MATCH(DD$3,'Standards for Conversions'!$A$47:$A$73,0))))</f>
        <v>9417.4847085469701</v>
      </c>
      <c r="DG25" s="134">
        <f t="shared" si="26"/>
        <v>1.1575079533612302</v>
      </c>
      <c r="DH25" s="9">
        <v>5324</v>
      </c>
      <c r="DI25" s="9">
        <v>82509</v>
      </c>
      <c r="DJ25" s="9">
        <f>IF(DI25/(INDEX('Standards for Conversions'!$H$47:$H$73,MATCH(DH$3,'Standards for Conversions'!$A$47:$A$73,0)))=0,"",DI25/(INDEX('Standards for Conversions'!$H$47:$H$73,MATCH(DH$3,'Standards for Conversions'!$A$47:$A$73,0))))</f>
        <v>7599.2177355359772</v>
      </c>
      <c r="DK25" s="134">
        <f t="shared" si="27"/>
        <v>1.4273511899954878</v>
      </c>
      <c r="DL25" s="9">
        <v>6800</v>
      </c>
      <c r="DM25" s="9">
        <v>96700</v>
      </c>
      <c r="DN25" s="9">
        <f>IF(DM25/(INDEX('Standards for Conversions'!$H$47:$H$73,MATCH(DL$3,'Standards for Conversions'!$A$47:$A$73,0)))=0,"",DM25/(INDEX('Standards for Conversions'!$H$47:$H$73,MATCH(DL$3,'Standards for Conversions'!$A$47:$A$73,0))))</f>
        <v>7882.5278046334097</v>
      </c>
      <c r="DO25" s="134">
        <f t="shared" si="28"/>
        <v>1.1591952653872661</v>
      </c>
      <c r="DP25" s="9">
        <v>6000</v>
      </c>
      <c r="DQ25" s="9">
        <v>86700</v>
      </c>
      <c r="DR25" s="9">
        <f>IF(DQ25/(INDEX('Standards for Conversions'!$H$47:$H$73,MATCH(DP$3,'Standards for Conversions'!$A$47:$A$73,0)))=0,"",DQ25/(INDEX('Standards for Conversions'!$H$47:$H$73,MATCH(DP$3,'Standards for Conversions'!$A$47:$A$73,0))))</f>
        <v>7269.2999804466826</v>
      </c>
      <c r="DS25" s="134">
        <f t="shared" si="29"/>
        <v>1.2115499967411139</v>
      </c>
      <c r="DT25" s="9">
        <v>6150</v>
      </c>
      <c r="DU25" s="9">
        <v>152000</v>
      </c>
      <c r="DV25" s="9">
        <f>IF(DU25/(INDEX('Standards for Conversions'!$H$47:$H$73,MATCH(DT$3,'Standards for Conversions'!$A$47:$A$73,0)))=0,"",DU25/(INDEX('Standards for Conversions'!$H$47:$H$73,MATCH(DT$3,'Standards for Conversions'!$A$47:$A$73,0))))</f>
        <v>13597.172554387183</v>
      </c>
      <c r="DW25" s="134">
        <f t="shared" si="30"/>
        <v>2.2109223665670217</v>
      </c>
      <c r="DX25" s="9">
        <v>4900</v>
      </c>
      <c r="DY25" s="9">
        <v>10620</v>
      </c>
      <c r="DZ25" s="134">
        <f t="shared" si="31"/>
        <v>2.16734693877551</v>
      </c>
      <c r="EA25" s="9">
        <v>5300</v>
      </c>
      <c r="EB25" s="9">
        <v>13734</v>
      </c>
      <c r="EC25" s="134">
        <f t="shared" si="32"/>
        <v>2.591320754716981</v>
      </c>
      <c r="ED25" s="9">
        <v>4760</v>
      </c>
      <c r="EE25" s="9">
        <v>12693</v>
      </c>
      <c r="EF25" s="134">
        <f t="shared" si="33"/>
        <v>2.666596638655462</v>
      </c>
      <c r="EG25" s="9">
        <v>5072</v>
      </c>
      <c r="EH25" s="9">
        <v>13526</v>
      </c>
      <c r="EI25" s="134">
        <f t="shared" si="34"/>
        <v>2.6667981072555205</v>
      </c>
      <c r="EJ25" s="9">
        <v>4824</v>
      </c>
      <c r="EK25" s="9">
        <v>13829</v>
      </c>
      <c r="EL25" s="134">
        <f t="shared" si="35"/>
        <v>2.8667081260364844</v>
      </c>
      <c r="EM25" s="9">
        <v>5186</v>
      </c>
      <c r="EN25" s="9">
        <v>15963</v>
      </c>
      <c r="EO25" s="134">
        <f t="shared" si="36"/>
        <v>3.0780948708060163</v>
      </c>
      <c r="EP25" s="9">
        <v>5204</v>
      </c>
      <c r="EQ25" s="9">
        <v>16966</v>
      </c>
      <c r="ER25" s="134">
        <f t="shared" si="37"/>
        <v>3.260184473481937</v>
      </c>
    </row>
    <row r="26" spans="1:148" x14ac:dyDescent="0.3">
      <c r="A26" s="104" t="s">
        <v>237</v>
      </c>
      <c r="B26" s="105" t="s">
        <v>437</v>
      </c>
      <c r="C26" s="105" t="s">
        <v>438</v>
      </c>
      <c r="D26" s="9"/>
      <c r="E26" s="9"/>
      <c r="F26" s="9"/>
      <c r="G26" s="134" t="str">
        <f t="shared" si="0"/>
        <v/>
      </c>
      <c r="H26" s="9">
        <f>'Standards for Conversions'!$F$27*5</f>
        <v>4.42</v>
      </c>
      <c r="I26" s="9">
        <v>50</v>
      </c>
      <c r="J26" s="9">
        <v>9.6336242794241169</v>
      </c>
      <c r="K26" s="134">
        <f t="shared" si="1"/>
        <v>2.1795530043945965</v>
      </c>
      <c r="L26" s="33">
        <f>'Standards for Conversions'!$F$27*5</f>
        <v>4.42</v>
      </c>
      <c r="M26" s="9">
        <v>50</v>
      </c>
      <c r="N26" s="9">
        <v>8.9349218591581927</v>
      </c>
      <c r="O26" s="134">
        <f t="shared" si="2"/>
        <v>2.0214755337461976</v>
      </c>
      <c r="P26" s="9">
        <f>'Standards for Conversions'!$F$27*5</f>
        <v>4.42</v>
      </c>
      <c r="Q26" s="33">
        <v>50</v>
      </c>
      <c r="R26" s="9">
        <v>9.2842730692911566</v>
      </c>
      <c r="S26" s="134">
        <f t="shared" si="3"/>
        <v>2.1005142690703975</v>
      </c>
      <c r="T26" s="9">
        <f>'Standards for Conversions'!$F$27*5</f>
        <v>4.42</v>
      </c>
      <c r="U26" s="9">
        <v>50</v>
      </c>
      <c r="V26" s="33">
        <v>8.9031626582370134</v>
      </c>
      <c r="W26" s="134">
        <f t="shared" si="4"/>
        <v>2.0142901941712701</v>
      </c>
      <c r="X26" s="9">
        <f>'Standards for Conversions'!$F$27*10</f>
        <v>8.84</v>
      </c>
      <c r="Y26" s="9">
        <v>100</v>
      </c>
      <c r="Z26" s="9">
        <v>17.361696503577534</v>
      </c>
      <c r="AA26" s="134">
        <f t="shared" si="5"/>
        <v>1.9639928171467798</v>
      </c>
      <c r="AM26" s="134" t="str">
        <f t="shared" si="8"/>
        <v/>
      </c>
      <c r="AN26" s="7">
        <v>75</v>
      </c>
      <c r="AO26" s="9">
        <v>100</v>
      </c>
      <c r="AP26" s="9">
        <v>17.12879569682222</v>
      </c>
      <c r="AQ26" s="134">
        <f t="shared" si="9"/>
        <v>0.22838394262429626</v>
      </c>
      <c r="AR26" s="7">
        <f>'Standards for Conversions'!$F$27*200</f>
        <v>176.8</v>
      </c>
      <c r="AS26" s="9">
        <v>450</v>
      </c>
      <c r="AT26" s="9">
        <v>77.174858238463528</v>
      </c>
      <c r="AU26" s="134">
        <f t="shared" si="10"/>
        <v>0.43650937917682986</v>
      </c>
      <c r="AV26" s="9">
        <f>'Standards for Conversions'!$F$27*50</f>
        <v>44.2</v>
      </c>
      <c r="AW26" s="9">
        <v>200</v>
      </c>
      <c r="AX26" s="9">
        <v>32.902532154340832</v>
      </c>
      <c r="AY26" s="134">
        <f t="shared" si="11"/>
        <v>0.74440117996246224</v>
      </c>
      <c r="AZ26" s="9">
        <f>'Standards for Conversions'!$F$27*40</f>
        <v>35.36</v>
      </c>
      <c r="BA26" s="9">
        <v>150</v>
      </c>
      <c r="BB26" s="9">
        <v>23.057179868775528</v>
      </c>
      <c r="BC26" s="134">
        <f t="shared" si="12"/>
        <v>0.65206956642464731</v>
      </c>
      <c r="BD26" s="9">
        <f>'Standards for Conversions'!$F$27*45</f>
        <v>39.78</v>
      </c>
      <c r="BE26" s="9">
        <v>250</v>
      </c>
      <c r="BF26" s="9">
        <v>37.846381097737599</v>
      </c>
      <c r="BG26" s="134">
        <f t="shared" si="13"/>
        <v>0.9513921844579587</v>
      </c>
      <c r="BH26" s="9">
        <f>'Standards for Conversions'!$F$27*40</f>
        <v>35.36</v>
      </c>
      <c r="BI26" s="9">
        <v>200</v>
      </c>
      <c r="BJ26" s="9">
        <v>29.049082442571191</v>
      </c>
      <c r="BK26" s="134">
        <f t="shared" si="14"/>
        <v>0.82152382473334817</v>
      </c>
      <c r="BL26" s="9">
        <f>'Standards for Conversions'!$F$27*27</f>
        <v>23.867999999999999</v>
      </c>
      <c r="BM26" s="9">
        <v>104</v>
      </c>
      <c r="BN26" s="9">
        <v>15.039463732220966</v>
      </c>
      <c r="BO26" s="134">
        <f t="shared" si="15"/>
        <v>0.63010992677312583</v>
      </c>
      <c r="BP26" s="9">
        <f>'Standards for Conversions'!$F$27*30</f>
        <v>26.52</v>
      </c>
      <c r="BQ26" s="9">
        <v>60</v>
      </c>
      <c r="BR26" s="9">
        <v>9.7056118015121218</v>
      </c>
      <c r="BS26" s="134">
        <f t="shared" si="16"/>
        <v>0.36597329568296083</v>
      </c>
      <c r="BT26" s="9">
        <f>'Standards for Conversions'!$F$27*20</f>
        <v>17.68</v>
      </c>
      <c r="BU26" s="9">
        <f>'Standards for Conversions'!$F$27*70</f>
        <v>61.88</v>
      </c>
      <c r="BV26" s="9">
        <v>10.68591246994583</v>
      </c>
      <c r="BW26" s="134">
        <f t="shared" si="17"/>
        <v>0.60440681391096329</v>
      </c>
      <c r="BX26" s="9">
        <f>'Standards for Conversions'!$F$27*22</f>
        <v>19.448</v>
      </c>
      <c r="BY26" s="9">
        <v>80</v>
      </c>
      <c r="BZ26" s="9">
        <v>10.772720952463716</v>
      </c>
      <c r="CA26" s="134">
        <f t="shared" si="18"/>
        <v>0.55392435995802736</v>
      </c>
      <c r="CB26" s="9">
        <f>'Standards for Conversions'!$F$27*20</f>
        <v>17.68</v>
      </c>
      <c r="CC26" s="9">
        <v>180</v>
      </c>
      <c r="CD26" s="9">
        <v>21.890982010949852</v>
      </c>
      <c r="CE26" s="134">
        <f t="shared" si="19"/>
        <v>1.2381777155514622</v>
      </c>
      <c r="CF26" s="9">
        <f>'Standards for Conversions'!$F$27*25</f>
        <v>22.1</v>
      </c>
      <c r="CG26" s="9">
        <v>250</v>
      </c>
      <c r="CH26" s="9">
        <v>24.507516710842673</v>
      </c>
      <c r="CI26" s="134">
        <f t="shared" si="20"/>
        <v>1.1089374077304377</v>
      </c>
      <c r="CL26" s="9"/>
      <c r="CM26" s="134"/>
      <c r="CN26" s="9"/>
      <c r="CO26" s="9"/>
      <c r="CP26" s="9"/>
      <c r="CQ26" s="134"/>
      <c r="CR26" s="9"/>
      <c r="CS26" s="9"/>
      <c r="CT26" s="9"/>
      <c r="CU26" s="134"/>
      <c r="CV26" s="9"/>
      <c r="CW26" s="9"/>
      <c r="CX26" s="9"/>
      <c r="CY26" s="134"/>
      <c r="CZ26" s="9"/>
      <c r="DA26" s="9"/>
      <c r="DB26" s="9"/>
      <c r="DC26" s="134"/>
      <c r="DD26" s="9"/>
      <c r="DE26" s="9"/>
      <c r="DF26" s="9"/>
      <c r="DG26" s="134"/>
      <c r="DH26" s="9"/>
      <c r="DI26" s="9"/>
      <c r="DJ26" s="9"/>
      <c r="DK26" s="134"/>
      <c r="DL26" s="9"/>
      <c r="DM26" s="9"/>
      <c r="DN26" s="9"/>
      <c r="DO26" s="134"/>
      <c r="DP26" s="9"/>
      <c r="DQ26" s="9"/>
      <c r="DR26" s="9"/>
      <c r="DS26" s="134"/>
      <c r="DT26" s="9"/>
      <c r="DU26" s="9"/>
      <c r="DV26" s="9"/>
      <c r="DW26" s="134"/>
      <c r="DX26" s="9"/>
      <c r="DY26" s="9"/>
      <c r="DZ26" s="134"/>
      <c r="EA26" s="9"/>
      <c r="EB26" s="9"/>
      <c r="EC26" s="134"/>
      <c r="ED26" s="9"/>
      <c r="EE26" s="9"/>
      <c r="EF26" s="134"/>
      <c r="EG26" s="9"/>
      <c r="EH26" s="9"/>
      <c r="EI26" s="134"/>
      <c r="EJ26" s="9"/>
      <c r="EK26" s="9"/>
      <c r="EL26" s="134"/>
      <c r="EM26" s="9"/>
      <c r="EN26" s="9"/>
      <c r="EO26" s="134"/>
      <c r="EP26" s="31">
        <v>36</v>
      </c>
      <c r="EQ26" s="9">
        <v>88</v>
      </c>
      <c r="ER26" s="134">
        <f t="shared" si="37"/>
        <v>2.4444444444444446</v>
      </c>
    </row>
    <row r="27" spans="1:148" x14ac:dyDescent="0.3">
      <c r="A27" s="102" t="s">
        <v>93</v>
      </c>
      <c r="B27" s="103" t="s">
        <v>97</v>
      </c>
      <c r="C27" s="103" t="s">
        <v>134</v>
      </c>
      <c r="D27" s="9">
        <v>15300</v>
      </c>
      <c r="E27" s="9">
        <v>40500</v>
      </c>
      <c r="F27" s="9">
        <v>8000.4603040540533</v>
      </c>
      <c r="G27" s="134">
        <f t="shared" si="0"/>
        <v>0.52290590222575517</v>
      </c>
      <c r="H27" s="9">
        <v>13500</v>
      </c>
      <c r="I27" s="9">
        <v>30000</v>
      </c>
      <c r="J27" s="9">
        <v>5780.1745676544706</v>
      </c>
      <c r="K27" s="134">
        <f t="shared" si="1"/>
        <v>0.42816107908551632</v>
      </c>
      <c r="L27" s="9">
        <v>18000</v>
      </c>
      <c r="M27" s="9">
        <v>32000</v>
      </c>
      <c r="N27" s="9">
        <v>5718.3499898612426</v>
      </c>
      <c r="O27" s="134">
        <f t="shared" si="2"/>
        <v>0.31768611054784679</v>
      </c>
      <c r="P27" s="9">
        <v>0</v>
      </c>
      <c r="Q27" s="9">
        <v>0</v>
      </c>
      <c r="R27" s="9" t="s">
        <v>128</v>
      </c>
      <c r="S27" s="134" t="str">
        <f t="shared" si="3"/>
        <v/>
      </c>
      <c r="T27" s="9">
        <v>12582</v>
      </c>
      <c r="U27" s="9">
        <v>23000</v>
      </c>
      <c r="V27" s="9">
        <v>4095.4548227890264</v>
      </c>
      <c r="W27" s="134">
        <f t="shared" si="4"/>
        <v>0.32550109861619986</v>
      </c>
      <c r="X27" s="9">
        <v>11682</v>
      </c>
      <c r="Y27" s="9">
        <v>26000</v>
      </c>
      <c r="Z27" s="9">
        <v>4514.0410909301581</v>
      </c>
      <c r="AA27" s="134">
        <f t="shared" si="5"/>
        <v>0.38640995471067952</v>
      </c>
      <c r="AB27" s="9">
        <v>8757</v>
      </c>
      <c r="AC27" s="9">
        <v>19500</v>
      </c>
      <c r="AD27" s="9">
        <v>3451.5899561136703</v>
      </c>
      <c r="AE27" s="134">
        <f t="shared" si="6"/>
        <v>0.39415210187434857</v>
      </c>
      <c r="AF27" s="9">
        <v>19800</v>
      </c>
      <c r="AG27" s="9">
        <v>27000</v>
      </c>
      <c r="AH27" s="9">
        <v>4727.6746491266185</v>
      </c>
      <c r="AI27" s="134">
        <f t="shared" si="7"/>
        <v>0.2387714469255868</v>
      </c>
      <c r="AJ27" s="9">
        <v>26226</v>
      </c>
      <c r="AK27" s="9">
        <v>33240</v>
      </c>
      <c r="AL27" s="9">
        <v>5813.25495133397</v>
      </c>
      <c r="AM27" s="134">
        <f t="shared" si="8"/>
        <v>0.22165999204354342</v>
      </c>
      <c r="AN27" s="9">
        <v>21033</v>
      </c>
      <c r="AO27" s="9">
        <v>35600</v>
      </c>
      <c r="AP27" s="9">
        <v>6097.8512680687109</v>
      </c>
      <c r="AQ27" s="134">
        <f t="shared" si="9"/>
        <v>0.28991828403312464</v>
      </c>
      <c r="AR27" s="9">
        <v>18000</v>
      </c>
      <c r="AS27" s="9">
        <v>35000</v>
      </c>
      <c r="AT27" s="9">
        <v>6002.4889741027191</v>
      </c>
      <c r="AU27" s="134">
        <f t="shared" si="10"/>
        <v>0.33347160967237327</v>
      </c>
      <c r="AV27" s="9">
        <v>10800</v>
      </c>
      <c r="AW27" s="9">
        <v>16000</v>
      </c>
      <c r="AX27" s="9">
        <v>2632.2025723472666</v>
      </c>
      <c r="AY27" s="134">
        <f t="shared" si="11"/>
        <v>0.24372246040252468</v>
      </c>
      <c r="AZ27" s="9">
        <v>7200</v>
      </c>
      <c r="BA27" s="9">
        <v>10000</v>
      </c>
      <c r="BB27" s="9">
        <v>1537.1453245850353</v>
      </c>
      <c r="BC27" s="134">
        <f t="shared" si="12"/>
        <v>0.21349240619236601</v>
      </c>
      <c r="BD27" s="9">
        <v>9450</v>
      </c>
      <c r="BE27" s="9">
        <v>13300</v>
      </c>
      <c r="BF27" s="9">
        <v>2013.4274743996405</v>
      </c>
      <c r="BG27" s="134">
        <f t="shared" si="13"/>
        <v>0.21306110840207834</v>
      </c>
      <c r="BH27" s="9">
        <v>11160</v>
      </c>
      <c r="BI27" s="9">
        <v>16150</v>
      </c>
      <c r="BJ27" s="9">
        <v>2345.7134072376239</v>
      </c>
      <c r="BK27" s="134">
        <f t="shared" si="14"/>
        <v>0.21018937340838922</v>
      </c>
      <c r="BL27" s="9">
        <v>31716</v>
      </c>
      <c r="BM27" s="9">
        <v>33503</v>
      </c>
      <c r="BN27" s="9">
        <v>4844.8764751980671</v>
      </c>
      <c r="BO27" s="134">
        <f t="shared" si="15"/>
        <v>0.15275811814850759</v>
      </c>
      <c r="BP27" s="9">
        <v>36000</v>
      </c>
      <c r="BQ27" s="9">
        <v>40000</v>
      </c>
      <c r="BR27" s="9">
        <v>6470.4078676747476</v>
      </c>
      <c r="BS27" s="134">
        <f t="shared" si="16"/>
        <v>0.1797335518798541</v>
      </c>
      <c r="BT27" s="9">
        <v>33300</v>
      </c>
      <c r="BU27" s="9">
        <v>36700</v>
      </c>
      <c r="BV27" s="9">
        <v>5602.4712521001702</v>
      </c>
      <c r="BW27" s="134">
        <f t="shared" si="17"/>
        <v>0.16824237994294805</v>
      </c>
      <c r="BX27" s="9">
        <v>28350</v>
      </c>
      <c r="BY27" s="9">
        <v>46000</v>
      </c>
      <c r="BZ27" s="9">
        <v>6194.3145476666377</v>
      </c>
      <c r="CA27" s="134">
        <f t="shared" si="18"/>
        <v>0.2184943403057015</v>
      </c>
      <c r="CB27" s="9">
        <v>34992</v>
      </c>
      <c r="CC27" s="9">
        <v>41000</v>
      </c>
      <c r="CD27" s="9">
        <f>IF(CC27/(INDEX('Standards for Conversions'!$H$47:$H$73,MATCH(CB$3,'Standards for Conversions'!$A$47:$A$73,0)))=0,"",CC27/(INDEX('Standards for Conversions'!$H$47:$H$73,MATCH(CB$3,'Standards for Conversions'!$A$47:$A$73,0))))</f>
        <v>4986.2792358274664</v>
      </c>
      <c r="CE27" s="134">
        <f t="shared" si="19"/>
        <v>0.14249769192465325</v>
      </c>
      <c r="CF27" s="9">
        <v>23300</v>
      </c>
      <c r="CG27" s="9">
        <v>45600</v>
      </c>
      <c r="CH27" s="9">
        <f>IF(CG27/(INDEX('Standards for Conversions'!$H$47:$H$73,MATCH(CF$3,'Standards for Conversions'!$A$47:$A$73,0)))=0,"",CG27/(INDEX('Standards for Conversions'!$H$47:$H$73,MATCH(CF$3,'Standards for Conversions'!$A$47:$A$73,0))))</f>
        <v>4470.171048057704</v>
      </c>
      <c r="CI27" s="134">
        <f t="shared" si="20"/>
        <v>0.19185283468058814</v>
      </c>
      <c r="CJ27" s="9">
        <v>20500</v>
      </c>
      <c r="CK27" s="9">
        <v>41000</v>
      </c>
      <c r="CL27" s="9">
        <f>IF(CK27/(INDEX('Standards for Conversions'!$H$47:$H$73,MATCH(CJ$3,'Standards for Conversions'!$A$47:$A$73,0)))=0,"",CK27/(INDEX('Standards for Conversions'!$H$47:$H$73,MATCH(CJ$3,'Standards for Conversions'!$A$47:$A$73,0))))</f>
        <v>4140.7646161032408</v>
      </c>
      <c r="CM27" s="134">
        <f t="shared" si="21"/>
        <v>0.20198851785869468</v>
      </c>
      <c r="CN27" s="9">
        <v>30000</v>
      </c>
      <c r="CO27" s="9">
        <v>60000</v>
      </c>
      <c r="CP27" s="9">
        <f>IF(CO27/(INDEX('Standards for Conversions'!$H$47:$H$73,MATCH(CN$3,'Standards for Conversions'!$A$47:$A$73,0)))=0,"",CO27/(INDEX('Standards for Conversions'!$H$47:$H$73,MATCH(CN$3,'Standards for Conversions'!$A$47:$A$73,0))))</f>
        <v>6262.9144216563818</v>
      </c>
      <c r="CQ27" s="134">
        <f t="shared" si="22"/>
        <v>0.20876381405521272</v>
      </c>
      <c r="CR27" s="9">
        <v>30500</v>
      </c>
      <c r="CS27" s="9">
        <v>81500</v>
      </c>
      <c r="CT27" s="9">
        <f>IF(CS27/(INDEX('Standards for Conversions'!$H$47:$H$73,MATCH(CR$3,'Standards for Conversions'!$A$47:$A$73,0)))=0,"",CS27/(INDEX('Standards for Conversions'!$H$47:$H$73,MATCH(CR$3,'Standards for Conversions'!$A$47:$A$73,0))))</f>
        <v>7609.8221327235578</v>
      </c>
      <c r="CU27" s="134">
        <f t="shared" si="23"/>
        <v>0.24950236500732975</v>
      </c>
      <c r="CV27" s="9">
        <v>40400</v>
      </c>
      <c r="CW27" s="9">
        <v>91200</v>
      </c>
      <c r="CX27" s="9">
        <f>IF(CW27/(INDEX('Standards for Conversions'!$H$47:$H$73,MATCH(CV$3,'Standards for Conversions'!$A$47:$A$73,0)))=0,"",CW27/(INDEX('Standards for Conversions'!$H$47:$H$73,MATCH(CV$3,'Standards for Conversions'!$A$47:$A$73,0))))</f>
        <v>8322.435082992959</v>
      </c>
      <c r="CY27" s="134">
        <f t="shared" si="24"/>
        <v>0.20600086839091483</v>
      </c>
      <c r="CZ27" s="9">
        <v>50300</v>
      </c>
      <c r="DA27" s="9">
        <v>110900</v>
      </c>
      <c r="DB27" s="9">
        <f>IF(DA27/(INDEX('Standards for Conversions'!$H$47:$H$73,MATCH(CZ$3,'Standards for Conversions'!$A$47:$A$73,0)))=0,"",DA27/(INDEX('Standards for Conversions'!$H$47:$H$73,MATCH(CZ$3,'Standards for Conversions'!$A$47:$A$73,0))))</f>
        <v>10307.999151784419</v>
      </c>
      <c r="DC27" s="134">
        <f t="shared" si="25"/>
        <v>0.20493040063189699</v>
      </c>
      <c r="DD27" s="9">
        <v>34749</v>
      </c>
      <c r="DE27" s="9">
        <v>80684</v>
      </c>
      <c r="DF27" s="9">
        <f>IF(DE27/(INDEX('Standards for Conversions'!$H$47:$H$73,MATCH(DD$3,'Standards for Conversions'!$A$47:$A$73,0)))=0,"",DE27/(INDEX('Standards for Conversions'!$H$47:$H$73,MATCH(DD$3,'Standards for Conversions'!$A$47:$A$73,0))))</f>
        <v>7738.6272887155637</v>
      </c>
      <c r="DG27" s="134">
        <f t="shared" si="26"/>
        <v>0.22270071912042255</v>
      </c>
      <c r="DH27" s="9">
        <v>16375</v>
      </c>
      <c r="DI27" s="9">
        <v>43919</v>
      </c>
      <c r="DJ27" s="9">
        <f>IF(DI27/(INDEX('Standards for Conversions'!$H$47:$H$73,MATCH(DH$3,'Standards for Conversions'!$A$47:$A$73,0)))=0,"",DI27/(INDEX('Standards for Conversions'!$H$47:$H$73,MATCH(DH$3,'Standards for Conversions'!$A$47:$A$73,0))))</f>
        <v>4045.0138012459802</v>
      </c>
      <c r="DK27" s="134">
        <f t="shared" si="27"/>
        <v>0.24702374358754078</v>
      </c>
      <c r="DL27" s="9">
        <v>15900</v>
      </c>
      <c r="DM27" s="9">
        <v>57400</v>
      </c>
      <c r="DN27" s="9">
        <f>IF(DM27/(INDEX('Standards for Conversions'!$H$47:$H$73,MATCH(DL$3,'Standards for Conversions'!$A$47:$A$73,0)))=0,"",DM27/(INDEX('Standards for Conversions'!$H$47:$H$73,MATCH(DL$3,'Standards for Conversions'!$A$47:$A$73,0))))</f>
        <v>4678.9772077141442</v>
      </c>
      <c r="DO27" s="134">
        <f t="shared" si="28"/>
        <v>0.29427529608265057</v>
      </c>
      <c r="DP27" s="9">
        <v>18600</v>
      </c>
      <c r="DQ27" s="9">
        <v>61700</v>
      </c>
      <c r="DR27" s="9">
        <f>IF(DQ27/(INDEX('Standards for Conversions'!$H$47:$H$73,MATCH(DP$3,'Standards for Conversions'!$A$47:$A$73,0)))=0,"",DQ27/(INDEX('Standards for Conversions'!$H$47:$H$73,MATCH(DP$3,'Standards for Conversions'!$A$47:$A$73,0))))</f>
        <v>5173.1927196489078</v>
      </c>
      <c r="DS27" s="134">
        <f t="shared" si="29"/>
        <v>0.27812864084133915</v>
      </c>
      <c r="DT27" s="9">
        <v>26000</v>
      </c>
      <c r="DU27" s="9">
        <v>78000</v>
      </c>
      <c r="DV27" s="9">
        <f>IF(DU27/(INDEX('Standards for Conversions'!$H$47:$H$73,MATCH(DT$3,'Standards for Conversions'!$A$47:$A$73,0)))=0,"",DU27/(INDEX('Standards for Conversions'!$H$47:$H$73,MATCH(DT$3,'Standards for Conversions'!$A$47:$A$73,0))))</f>
        <v>6977.4964423828969</v>
      </c>
      <c r="DW27" s="134">
        <f t="shared" si="30"/>
        <v>0.26836524778395759</v>
      </c>
      <c r="DX27" s="9">
        <v>28000</v>
      </c>
      <c r="DY27" s="9">
        <v>10500</v>
      </c>
      <c r="DZ27" s="134">
        <f t="shared" si="31"/>
        <v>0.375</v>
      </c>
      <c r="EA27" s="9">
        <v>8000</v>
      </c>
      <c r="EB27" s="9">
        <v>2667</v>
      </c>
      <c r="EC27" s="134">
        <f t="shared" si="32"/>
        <v>0.33337499999999998</v>
      </c>
      <c r="ED27" s="9">
        <v>18000</v>
      </c>
      <c r="EE27" s="9">
        <v>6200</v>
      </c>
      <c r="EF27" s="134">
        <f t="shared" si="33"/>
        <v>0.34444444444444444</v>
      </c>
      <c r="EG27" s="9">
        <v>19475</v>
      </c>
      <c r="EH27" s="9">
        <v>7285</v>
      </c>
      <c r="EI27" s="134">
        <f t="shared" si="34"/>
        <v>0.37406931964056483</v>
      </c>
      <c r="EJ27" s="9">
        <v>19258</v>
      </c>
      <c r="EK27" s="9">
        <v>7543</v>
      </c>
      <c r="EL27" s="134">
        <f t="shared" si="35"/>
        <v>0.39168137916709939</v>
      </c>
      <c r="EM27" s="9">
        <v>1984</v>
      </c>
      <c r="EN27" s="9">
        <v>535</v>
      </c>
      <c r="EO27" s="134">
        <f t="shared" si="36"/>
        <v>0.26965725806451613</v>
      </c>
      <c r="EP27" s="9">
        <v>3488</v>
      </c>
      <c r="EQ27" s="9">
        <v>1105</v>
      </c>
      <c r="ER27" s="134">
        <f t="shared" si="37"/>
        <v>0.31680045871559631</v>
      </c>
    </row>
    <row r="28" spans="1:148" x14ac:dyDescent="0.3">
      <c r="A28" s="102" t="s">
        <v>196</v>
      </c>
      <c r="B28" s="10" t="s">
        <v>97</v>
      </c>
      <c r="C28" s="103" t="s">
        <v>134</v>
      </c>
      <c r="D28" s="9"/>
      <c r="E28" s="9"/>
      <c r="F28" s="9"/>
      <c r="G28" s="134" t="str">
        <f t="shared" si="0"/>
        <v/>
      </c>
      <c r="H28" s="9"/>
      <c r="I28" s="9"/>
      <c r="J28" s="9"/>
      <c r="K28" s="134" t="str">
        <f t="shared" si="1"/>
        <v/>
      </c>
      <c r="L28" s="9"/>
      <c r="M28" s="9"/>
      <c r="N28" s="9"/>
      <c r="O28" s="134" t="str">
        <f t="shared" si="2"/>
        <v/>
      </c>
      <c r="P28" s="9"/>
      <c r="Q28" s="9"/>
      <c r="R28" s="9"/>
      <c r="S28" s="134" t="str">
        <f t="shared" si="3"/>
        <v/>
      </c>
      <c r="T28" s="9"/>
      <c r="U28" s="9"/>
      <c r="V28" s="9"/>
      <c r="W28" s="134" t="str">
        <f t="shared" si="4"/>
        <v/>
      </c>
      <c r="X28" s="9"/>
      <c r="Y28" s="9"/>
      <c r="Z28" s="9" t="s">
        <v>128</v>
      </c>
      <c r="AA28" s="134" t="str">
        <f t="shared" si="5"/>
        <v/>
      </c>
      <c r="AB28" s="9"/>
      <c r="AC28" s="9"/>
      <c r="AD28" s="9"/>
      <c r="AE28" s="134" t="str">
        <f t="shared" si="6"/>
        <v/>
      </c>
      <c r="AF28" s="9"/>
      <c r="AG28" s="9"/>
      <c r="AH28" s="9"/>
      <c r="AI28" s="134" t="str">
        <f t="shared" si="7"/>
        <v/>
      </c>
      <c r="AJ28" s="9"/>
      <c r="AK28" s="9"/>
      <c r="AL28" s="9"/>
      <c r="AM28" s="134" t="str">
        <f t="shared" si="8"/>
        <v/>
      </c>
      <c r="AN28" s="9"/>
      <c r="AO28" s="9"/>
      <c r="AP28" s="9"/>
      <c r="AQ28" s="134" t="str">
        <f t="shared" si="9"/>
        <v/>
      </c>
      <c r="AR28" s="9"/>
      <c r="AS28" s="9"/>
      <c r="AT28" s="9"/>
      <c r="AU28" s="134" t="str">
        <f t="shared" si="10"/>
        <v/>
      </c>
      <c r="AV28" s="9"/>
      <c r="AW28" s="9"/>
      <c r="AX28" s="9"/>
      <c r="AY28" s="134" t="str">
        <f t="shared" si="11"/>
        <v/>
      </c>
      <c r="AZ28" s="9"/>
      <c r="BA28" s="9"/>
      <c r="BB28" s="9"/>
      <c r="BC28" s="134" t="str">
        <f t="shared" si="12"/>
        <v/>
      </c>
      <c r="BD28" s="9"/>
      <c r="BE28" s="9"/>
      <c r="BF28" s="9" t="s">
        <v>128</v>
      </c>
      <c r="BG28" s="134" t="str">
        <f t="shared" si="13"/>
        <v/>
      </c>
      <c r="BH28" s="9"/>
      <c r="BI28" s="9"/>
      <c r="BJ28" s="9" t="s">
        <v>128</v>
      </c>
      <c r="BK28" s="134" t="str">
        <f t="shared" si="14"/>
        <v/>
      </c>
      <c r="BL28" s="9"/>
      <c r="BM28" s="9"/>
      <c r="BN28" s="9" t="s">
        <v>128</v>
      </c>
      <c r="BO28" s="134" t="str">
        <f t="shared" si="15"/>
        <v/>
      </c>
      <c r="BP28" s="9"/>
      <c r="BQ28" s="9"/>
      <c r="BR28" s="9" t="s">
        <v>128</v>
      </c>
      <c r="BS28" s="134" t="str">
        <f t="shared" si="16"/>
        <v/>
      </c>
      <c r="BT28" s="9"/>
      <c r="BU28" s="9"/>
      <c r="BV28" s="9" t="s">
        <v>128</v>
      </c>
      <c r="BW28" s="134" t="str">
        <f t="shared" si="17"/>
        <v/>
      </c>
      <c r="BX28" s="9"/>
      <c r="BY28" s="9"/>
      <c r="BZ28" s="9" t="s">
        <v>128</v>
      </c>
      <c r="CA28" s="134" t="str">
        <f t="shared" si="18"/>
        <v/>
      </c>
      <c r="CB28" s="9"/>
      <c r="CC28" s="9"/>
      <c r="CD28" s="9" t="str">
        <f>IF(CC28/(INDEX('Standards for Conversions'!$H$47:$H$73,MATCH(CB$3,'Standards for Conversions'!$A$47:$A$73,0)))=0,"",CC28/(INDEX('Standards for Conversions'!$H$47:$H$73,MATCH(CB$3,'Standards for Conversions'!$A$47:$A$73,0))))</f>
        <v/>
      </c>
      <c r="CE28" s="134" t="str">
        <f t="shared" si="19"/>
        <v/>
      </c>
      <c r="CF28" s="9">
        <v>90000</v>
      </c>
      <c r="CG28" s="9">
        <v>60000</v>
      </c>
      <c r="CH28" s="9">
        <f>IF(CG28/(INDEX('Standards for Conversions'!$H$47:$H$73,MATCH(CF$3,'Standards for Conversions'!$A$47:$A$73,0)))=0,"",CG28/(INDEX('Standards for Conversions'!$H$47:$H$73,MATCH(CF$3,'Standards for Conversions'!$A$47:$A$73,0))))</f>
        <v>5881.8040106022418</v>
      </c>
      <c r="CI28" s="134">
        <f t="shared" si="20"/>
        <v>6.5353377895580461E-2</v>
      </c>
      <c r="CJ28" s="9">
        <v>105000</v>
      </c>
      <c r="CK28" s="9">
        <v>70000</v>
      </c>
      <c r="CL28" s="9">
        <f>IF(CK28/(INDEX('Standards for Conversions'!$H$47:$H$73,MATCH(CJ$3,'Standards for Conversions'!$A$47:$A$73,0)))=0,"",CK28/(INDEX('Standards for Conversions'!$H$47:$H$73,MATCH(CJ$3,'Standards for Conversions'!$A$47:$A$73,0))))</f>
        <v>7069.5981250543127</v>
      </c>
      <c r="CM28" s="134">
        <f t="shared" si="21"/>
        <v>6.7329505952898216E-2</v>
      </c>
      <c r="CN28" s="9">
        <v>120000</v>
      </c>
      <c r="CO28" s="9">
        <v>80000</v>
      </c>
      <c r="CP28" s="9">
        <f>IF(CO28/(INDEX('Standards for Conversions'!$H$47:$H$73,MATCH(CN$3,'Standards for Conversions'!$A$47:$A$73,0)))=0,"",CO28/(INDEX('Standards for Conversions'!$H$47:$H$73,MATCH(CN$3,'Standards for Conversions'!$A$47:$A$73,0))))</f>
        <v>8350.5525622085097</v>
      </c>
      <c r="CQ28" s="134">
        <f t="shared" si="22"/>
        <v>6.9587938018404252E-2</v>
      </c>
      <c r="CR28" s="9">
        <v>125000</v>
      </c>
      <c r="CS28" s="9">
        <v>100000</v>
      </c>
      <c r="CT28" s="9">
        <f>IF(CS28/(INDEX('Standards for Conversions'!$H$47:$H$73,MATCH(CR$3,'Standards for Conversions'!$A$47:$A$73,0)))=0,"",CS28/(INDEX('Standards for Conversions'!$H$47:$H$73,MATCH(CR$3,'Standards for Conversions'!$A$47:$A$73,0))))</f>
        <v>9337.2050708264505</v>
      </c>
      <c r="CU28" s="134">
        <f t="shared" si="23"/>
        <v>7.4697640566611601E-2</v>
      </c>
      <c r="CV28" s="9">
        <v>150000</v>
      </c>
      <c r="CW28" s="9">
        <v>125000</v>
      </c>
      <c r="CX28" s="9">
        <f>IF(CW28/(INDEX('Standards for Conversions'!$H$47:$H$73,MATCH(CV$3,'Standards for Conversions'!$A$47:$A$73,0)))=0,"",CW28/(INDEX('Standards for Conversions'!$H$47:$H$73,MATCH(CV$3,'Standards for Conversions'!$A$47:$A$73,0))))</f>
        <v>11406.846330856577</v>
      </c>
      <c r="CY28" s="134">
        <f t="shared" si="24"/>
        <v>7.6045642205710515E-2</v>
      </c>
      <c r="CZ28" s="9">
        <v>138000</v>
      </c>
      <c r="DA28" s="9">
        <v>87000</v>
      </c>
      <c r="DB28" s="9">
        <f>IF(DA28/(INDEX('Standards for Conversions'!$H$47:$H$73,MATCH(CZ$3,'Standards for Conversions'!$A$47:$A$73,0)))=0,"",DA28/(INDEX('Standards for Conversions'!$H$47:$H$73,MATCH(CZ$3,'Standards for Conversions'!$A$47:$A$73,0))))</f>
        <v>8086.527738550446</v>
      </c>
      <c r="DC28" s="134">
        <f t="shared" si="25"/>
        <v>5.8598027090945262E-2</v>
      </c>
      <c r="DD28" s="9">
        <v>101222</v>
      </c>
      <c r="DE28" s="9">
        <v>50611</v>
      </c>
      <c r="DF28" s="9">
        <f>IF(DE28/(INDEX('Standards for Conversions'!$H$47:$H$73,MATCH(DD$3,'Standards for Conversions'!$A$47:$A$73,0)))=0,"",DE28/(INDEX('Standards for Conversions'!$H$47:$H$73,MATCH(DD$3,'Standards for Conversions'!$A$47:$A$73,0))))</f>
        <v>4854.2420518217168</v>
      </c>
      <c r="DG28" s="134">
        <f t="shared" si="26"/>
        <v>4.7956393390979402E-2</v>
      </c>
      <c r="DH28" s="9">
        <v>34914</v>
      </c>
      <c r="DI28" s="9">
        <v>35517</v>
      </c>
      <c r="DJ28" s="9">
        <f>IF(DI28/(INDEX('Standards for Conversions'!$H$47:$H$73,MATCH(DH$3,'Standards for Conversions'!$A$47:$A$73,0)))=0,"",DI28/(INDEX('Standards for Conversions'!$H$47:$H$73,MATCH(DH$3,'Standards for Conversions'!$A$47:$A$73,0))))</f>
        <v>3271.1754634407312</v>
      </c>
      <c r="DK28" s="134">
        <f t="shared" si="27"/>
        <v>9.3692371640050731E-2</v>
      </c>
      <c r="DL28" s="9">
        <v>43700</v>
      </c>
      <c r="DM28" s="9">
        <v>54600</v>
      </c>
      <c r="DN28" s="9">
        <f>IF(DM28/(INDEX('Standards for Conversions'!$H$47:$H$73,MATCH(DL$3,'Standards for Conversions'!$A$47:$A$73,0)))=0,"",DM28/(INDEX('Standards for Conversions'!$H$47:$H$73,MATCH(DL$3,'Standards for Conversions'!$A$47:$A$73,0))))</f>
        <v>4450.7344170939423</v>
      </c>
      <c r="DO28" s="134">
        <f t="shared" si="28"/>
        <v>0.10184746949871722</v>
      </c>
      <c r="DP28" s="9">
        <v>60400</v>
      </c>
      <c r="DQ28" s="9">
        <v>62900</v>
      </c>
      <c r="DR28" s="9">
        <f>IF(DQ28/(INDEX('Standards for Conversions'!$H$47:$H$73,MATCH(DP$3,'Standards for Conversions'!$A$47:$A$73,0)))=0,"",DQ28/(INDEX('Standards for Conversions'!$H$47:$H$73,MATCH(DP$3,'Standards for Conversions'!$A$47:$A$73,0))))</f>
        <v>5273.805868167201</v>
      </c>
      <c r="DS28" s="134">
        <f t="shared" si="29"/>
        <v>8.7314666691509946E-2</v>
      </c>
      <c r="DT28" s="9">
        <v>80000</v>
      </c>
      <c r="DU28" s="9">
        <v>80000</v>
      </c>
      <c r="DV28" s="9">
        <f>IF(DU28/(INDEX('Standards for Conversions'!$H$47:$H$73,MATCH(DT$3,'Standards for Conversions'!$A$47:$A$73,0)))=0,"",DU28/(INDEX('Standards for Conversions'!$H$47:$H$73,MATCH(DT$3,'Standards for Conversions'!$A$47:$A$73,0))))</f>
        <v>7156.4066075722021</v>
      </c>
      <c r="DW28" s="134">
        <f t="shared" si="30"/>
        <v>8.9455082594652527E-2</v>
      </c>
      <c r="DX28" s="9">
        <v>112000</v>
      </c>
      <c r="DY28" s="9">
        <v>6500</v>
      </c>
      <c r="DZ28" s="134">
        <f t="shared" si="31"/>
        <v>5.8035714285714288E-2</v>
      </c>
      <c r="EA28" s="9">
        <v>216000</v>
      </c>
      <c r="EB28" s="9">
        <v>9867</v>
      </c>
      <c r="EC28" s="134">
        <f t="shared" si="32"/>
        <v>4.5680555555555558E-2</v>
      </c>
      <c r="ED28" s="9">
        <v>237000</v>
      </c>
      <c r="EE28" s="9">
        <v>10933</v>
      </c>
      <c r="EF28" s="134">
        <f t="shared" si="33"/>
        <v>4.6130801687763713E-2</v>
      </c>
      <c r="EG28" s="9">
        <v>84100</v>
      </c>
      <c r="EH28" s="9">
        <v>6762</v>
      </c>
      <c r="EI28" s="134">
        <f t="shared" si="34"/>
        <v>8.0404280618311536E-2</v>
      </c>
      <c r="EJ28" s="9">
        <v>110870</v>
      </c>
      <c r="EK28" s="9">
        <v>9156</v>
      </c>
      <c r="EL28" s="134">
        <f t="shared" si="35"/>
        <v>8.2583205556056638E-2</v>
      </c>
      <c r="EM28" s="9"/>
      <c r="EN28" s="9"/>
      <c r="EO28" s="134" t="str">
        <f t="shared" si="36"/>
        <v/>
      </c>
      <c r="EP28" s="9"/>
      <c r="EQ28" s="9"/>
      <c r="ER28" s="134" t="str">
        <f t="shared" si="37"/>
        <v/>
      </c>
    </row>
    <row r="29" spans="1:148" x14ac:dyDescent="0.3">
      <c r="A29" s="102" t="s">
        <v>158</v>
      </c>
      <c r="B29" s="103" t="s">
        <v>97</v>
      </c>
      <c r="C29" s="103" t="s">
        <v>134</v>
      </c>
      <c r="D29" s="9">
        <v>450</v>
      </c>
      <c r="E29" s="9">
        <v>150</v>
      </c>
      <c r="F29" s="9">
        <v>29.631334459459456</v>
      </c>
      <c r="G29" s="134">
        <f t="shared" si="0"/>
        <v>6.5847409909909907E-2</v>
      </c>
      <c r="H29" s="9">
        <v>9000</v>
      </c>
      <c r="I29" s="9">
        <v>3000</v>
      </c>
      <c r="J29" s="9">
        <v>578.01745676544704</v>
      </c>
      <c r="K29" s="134">
        <f t="shared" si="1"/>
        <v>6.422416186282745E-2</v>
      </c>
      <c r="L29" s="9">
        <v>450</v>
      </c>
      <c r="M29" s="9">
        <v>200</v>
      </c>
      <c r="N29" s="9">
        <v>35.739687436632771</v>
      </c>
      <c r="O29" s="134">
        <f t="shared" si="2"/>
        <v>7.9421527636961711E-2</v>
      </c>
      <c r="P29" s="9">
        <v>450</v>
      </c>
      <c r="Q29" s="9">
        <v>200</v>
      </c>
      <c r="R29" s="9">
        <v>37.137092277164626</v>
      </c>
      <c r="S29" s="134">
        <f t="shared" si="3"/>
        <v>8.2526871727032505E-2</v>
      </c>
      <c r="T29" s="9">
        <v>9900</v>
      </c>
      <c r="U29" s="9">
        <v>3000</v>
      </c>
      <c r="V29" s="9">
        <v>534.18975949422077</v>
      </c>
      <c r="W29" s="134">
        <f t="shared" si="4"/>
        <v>5.3958561565072803E-2</v>
      </c>
      <c r="X29" s="9">
        <v>23400</v>
      </c>
      <c r="Y29" s="9">
        <v>5250</v>
      </c>
      <c r="Z29" s="9">
        <v>911.48906643782038</v>
      </c>
      <c r="AA29" s="134">
        <f t="shared" si="5"/>
        <v>3.8952524206744464E-2</v>
      </c>
      <c r="AB29" s="9">
        <v>40950</v>
      </c>
      <c r="AC29" s="9">
        <v>9200</v>
      </c>
      <c r="AD29" s="9">
        <v>1628.4424408331161</v>
      </c>
      <c r="AE29" s="134">
        <f t="shared" si="6"/>
        <v>3.9766604171748869E-2</v>
      </c>
      <c r="AF29" s="9">
        <v>45000</v>
      </c>
      <c r="AG29" s="9">
        <v>11700</v>
      </c>
      <c r="AH29" s="9">
        <v>2048.6590146215349</v>
      </c>
      <c r="AI29" s="134">
        <f t="shared" si="7"/>
        <v>4.5525755880478552E-2</v>
      </c>
      <c r="AJ29" s="9">
        <v>103338</v>
      </c>
      <c r="AK29" s="9">
        <v>21210</v>
      </c>
      <c r="AL29" s="9">
        <v>3709.360334470322</v>
      </c>
      <c r="AM29" s="134">
        <f t="shared" si="8"/>
        <v>3.5895414411642589E-2</v>
      </c>
      <c r="AN29" s="9">
        <v>271467</v>
      </c>
      <c r="AO29" s="9">
        <v>43517</v>
      </c>
      <c r="AP29" s="9">
        <v>7453.9380233861257</v>
      </c>
      <c r="AQ29" s="134">
        <f t="shared" si="9"/>
        <v>2.745798945502078E-2</v>
      </c>
      <c r="AR29" s="9">
        <v>153000</v>
      </c>
      <c r="AS29" s="9">
        <v>20700</v>
      </c>
      <c r="AT29" s="9">
        <v>3550.0434789693222</v>
      </c>
      <c r="AU29" s="134">
        <f t="shared" si="10"/>
        <v>2.3202898555355046E-2</v>
      </c>
      <c r="AV29" s="9">
        <v>234000</v>
      </c>
      <c r="AW29" s="9">
        <v>67000</v>
      </c>
      <c r="AX29" s="9">
        <v>11022.348271704179</v>
      </c>
      <c r="AY29" s="134">
        <f t="shared" si="11"/>
        <v>4.710405244318025E-2</v>
      </c>
      <c r="AZ29" s="9">
        <v>144000</v>
      </c>
      <c r="BA29" s="9">
        <v>45000</v>
      </c>
      <c r="BB29" s="9">
        <v>6917.1539606326587</v>
      </c>
      <c r="BC29" s="134">
        <f t="shared" si="12"/>
        <v>4.8035791393282352E-2</v>
      </c>
      <c r="BD29" s="9">
        <v>108000</v>
      </c>
      <c r="BE29" s="9">
        <v>21600</v>
      </c>
      <c r="BF29" s="9">
        <v>3269.9273268445286</v>
      </c>
      <c r="BG29" s="134">
        <f t="shared" si="13"/>
        <v>3.0277104878190079E-2</v>
      </c>
      <c r="BH29" s="9">
        <v>81000</v>
      </c>
      <c r="BI29" s="9">
        <v>18000</v>
      </c>
      <c r="BJ29" s="9">
        <v>2614.4174198314072</v>
      </c>
      <c r="BK29" s="134">
        <f t="shared" si="14"/>
        <v>3.2276758269523545E-2</v>
      </c>
      <c r="BL29" s="9">
        <v>39492</v>
      </c>
      <c r="BM29" s="9">
        <v>8803</v>
      </c>
      <c r="BN29" s="9">
        <v>1273.0038387955881</v>
      </c>
      <c r="BO29" s="134">
        <f t="shared" si="15"/>
        <v>3.2234473786984401E-2</v>
      </c>
      <c r="BP29" s="9">
        <v>81000</v>
      </c>
      <c r="BQ29" s="9">
        <v>16500</v>
      </c>
      <c r="BR29" s="9">
        <v>2669.0432454158336</v>
      </c>
      <c r="BS29" s="134">
        <f t="shared" si="16"/>
        <v>3.2951151177973252E-2</v>
      </c>
      <c r="BT29" s="9">
        <v>72000</v>
      </c>
      <c r="BU29" s="9">
        <v>14000</v>
      </c>
      <c r="BV29" s="9">
        <v>2137.1824939891658</v>
      </c>
      <c r="BW29" s="134">
        <f t="shared" si="17"/>
        <v>2.9683090194293969E-2</v>
      </c>
      <c r="BX29" s="9">
        <v>67500</v>
      </c>
      <c r="BY29" s="9">
        <v>13000</v>
      </c>
      <c r="BZ29" s="9">
        <v>1750.5671547753541</v>
      </c>
      <c r="CA29" s="134">
        <f t="shared" si="18"/>
        <v>2.5934328218894135E-2</v>
      </c>
      <c r="CB29" s="9">
        <v>58275</v>
      </c>
      <c r="CC29" s="9">
        <v>10760</v>
      </c>
      <c r="CD29" s="9">
        <f>IF(CC29/(INDEX('Standards for Conversions'!$H$47:$H$73,MATCH(CB$3,'Standards for Conversions'!$A$47:$A$73,0)))=0,"",CC29/(INDEX('Standards for Conversions'!$H$47:$H$73,MATCH(CB$3,'Standards for Conversions'!$A$47:$A$73,0))))</f>
        <v>1308.5942579878911</v>
      </c>
      <c r="CE29" s="134">
        <f t="shared" si="19"/>
        <v>2.2455499922572134E-2</v>
      </c>
      <c r="CF29" s="9"/>
      <c r="CG29" s="9"/>
      <c r="CH29" s="9" t="str">
        <f>IF(CG29/(INDEX('Standards for Conversions'!$H$47:$H$73,MATCH(CF$3,'Standards for Conversions'!$A$47:$A$73,0)))=0,"",CG29/(INDEX('Standards for Conversions'!$H$47:$H$73,MATCH(CF$3,'Standards for Conversions'!$A$47:$A$73,0))))</f>
        <v/>
      </c>
      <c r="CI29" s="134" t="str">
        <f t="shared" si="20"/>
        <v/>
      </c>
      <c r="CJ29" s="9"/>
      <c r="CK29" s="9"/>
      <c r="CL29" s="9" t="str">
        <f>IF(CK29/(INDEX('Standards for Conversions'!$H$47:$H$73,MATCH(CJ$3,'Standards for Conversions'!$A$47:$A$73,0)))=0,"",CK29/(INDEX('Standards for Conversions'!$H$47:$H$73,MATCH(CJ$3,'Standards for Conversions'!$A$47:$A$73,0))))</f>
        <v/>
      </c>
      <c r="CM29" s="134" t="str">
        <f t="shared" si="21"/>
        <v/>
      </c>
      <c r="CN29" s="9"/>
      <c r="CO29" s="9"/>
      <c r="CP29" s="9" t="str">
        <f>IF(CO29/(INDEX('Standards for Conversions'!$H$47:$H$73,MATCH(CN$3,'Standards for Conversions'!$A$47:$A$73,0)))=0,"",CO29/(INDEX('Standards for Conversions'!$H$47:$H$73,MATCH(CN$3,'Standards for Conversions'!$A$47:$A$73,0))))</f>
        <v/>
      </c>
      <c r="CQ29" s="134" t="str">
        <f t="shared" si="22"/>
        <v/>
      </c>
      <c r="CR29" s="9"/>
      <c r="CS29" s="9"/>
      <c r="CT29" s="9" t="str">
        <f>IF(CS29/(INDEX('Standards for Conversions'!$H$47:$H$73,MATCH(CR$3,'Standards for Conversions'!$A$47:$A$73,0)))=0,"",CS29/(INDEX('Standards for Conversions'!$H$47:$H$73,MATCH(CR$3,'Standards for Conversions'!$A$47:$A$73,0))))</f>
        <v/>
      </c>
      <c r="CU29" s="134" t="str">
        <f t="shared" si="23"/>
        <v/>
      </c>
      <c r="CV29" s="9"/>
      <c r="CW29" s="9"/>
      <c r="CX29" s="9" t="str">
        <f>IF(CW29/(INDEX('Standards for Conversions'!$H$47:$H$73,MATCH(CV$3,'Standards for Conversions'!$A$47:$A$73,0)))=0,"",CW29/(INDEX('Standards for Conversions'!$H$47:$H$73,MATCH(CV$3,'Standards for Conversions'!$A$47:$A$73,0))))</f>
        <v/>
      </c>
      <c r="CY29" s="134" t="str">
        <f t="shared" si="24"/>
        <v/>
      </c>
      <c r="CZ29" s="9"/>
      <c r="DA29" s="9"/>
      <c r="DB29" s="9" t="str">
        <f>IF(DA29/(INDEX('Standards for Conversions'!$H$47:$H$73,MATCH(CZ$3,'Standards for Conversions'!$A$47:$A$73,0)))=0,"",DA29/(INDEX('Standards for Conversions'!$H$47:$H$73,MATCH(CZ$3,'Standards for Conversions'!$A$47:$A$73,0))))</f>
        <v/>
      </c>
      <c r="DC29" s="134" t="str">
        <f t="shared" si="25"/>
        <v/>
      </c>
      <c r="DD29" s="9"/>
      <c r="DE29" s="9"/>
      <c r="DF29" s="9" t="str">
        <f>IF(DE29/(INDEX('Standards for Conversions'!$H$47:$H$73,MATCH(DD$3,'Standards for Conversions'!$A$47:$A$73,0)))=0,"",DE29/(INDEX('Standards for Conversions'!$H$47:$H$73,MATCH(DD$3,'Standards for Conversions'!$A$47:$A$73,0))))</f>
        <v/>
      </c>
      <c r="DG29" s="134" t="str">
        <f t="shared" si="26"/>
        <v/>
      </c>
      <c r="DH29" s="9"/>
      <c r="DI29" s="9"/>
      <c r="DJ29" s="9" t="str">
        <f>IF(DI29/(INDEX('Standards for Conversions'!$H$47:$H$73,MATCH(DH$3,'Standards for Conversions'!$A$47:$A$73,0)))=0,"",DI29/(INDEX('Standards for Conversions'!$H$47:$H$73,MATCH(DH$3,'Standards for Conversions'!$A$47:$A$73,0))))</f>
        <v/>
      </c>
      <c r="DK29" s="134" t="str">
        <f t="shared" si="27"/>
        <v/>
      </c>
      <c r="DL29" s="9"/>
      <c r="DM29" s="9"/>
      <c r="DN29" s="9" t="str">
        <f>IF(DM29/(INDEX('Standards for Conversions'!$H$47:$H$73,MATCH(DL$3,'Standards for Conversions'!$A$47:$A$73,0)))=0,"",DM29/(INDEX('Standards for Conversions'!$H$47:$H$73,MATCH(DL$3,'Standards for Conversions'!$A$47:$A$73,0))))</f>
        <v/>
      </c>
      <c r="DO29" s="134" t="str">
        <f t="shared" si="28"/>
        <v/>
      </c>
      <c r="DP29" s="9"/>
      <c r="DQ29" s="9"/>
      <c r="DR29" s="9" t="str">
        <f>IF(DQ29/(INDEX('Standards for Conversions'!$H$47:$H$73,MATCH(DP$3,'Standards for Conversions'!$A$47:$A$73,0)))=0,"",DQ29/(INDEX('Standards for Conversions'!$H$47:$H$73,MATCH(DP$3,'Standards for Conversions'!$A$47:$A$73,0))))</f>
        <v/>
      </c>
      <c r="DS29" s="134" t="str">
        <f t="shared" si="29"/>
        <v/>
      </c>
      <c r="DT29" s="9"/>
      <c r="DU29" s="9"/>
      <c r="DV29" s="9" t="str">
        <f>IF(DU29/(INDEX('Standards for Conversions'!$H$47:$H$73,MATCH(DT$3,'Standards for Conversions'!$A$47:$A$73,0)))=0,"",DU29/(INDEX('Standards for Conversions'!$H$47:$H$73,MATCH(DT$3,'Standards for Conversions'!$A$47:$A$73,0))))</f>
        <v/>
      </c>
      <c r="DW29" s="134" t="str">
        <f t="shared" si="30"/>
        <v/>
      </c>
      <c r="DX29" s="9"/>
      <c r="DY29" s="9"/>
      <c r="DZ29" s="134" t="str">
        <f t="shared" si="31"/>
        <v/>
      </c>
      <c r="EA29" s="9"/>
      <c r="EB29" s="9"/>
      <c r="EC29" s="134" t="str">
        <f t="shared" si="32"/>
        <v/>
      </c>
      <c r="ED29" s="9"/>
      <c r="EE29" s="9"/>
      <c r="EF29" s="134" t="str">
        <f t="shared" si="33"/>
        <v/>
      </c>
      <c r="EG29" s="9"/>
      <c r="EH29" s="9"/>
      <c r="EI29" s="134" t="str">
        <f t="shared" si="34"/>
        <v/>
      </c>
      <c r="EJ29" s="9"/>
      <c r="EK29" s="9"/>
      <c r="EL29" s="134" t="str">
        <f t="shared" si="35"/>
        <v/>
      </c>
      <c r="EM29" s="9">
        <v>97000</v>
      </c>
      <c r="EN29" s="9">
        <v>3334</v>
      </c>
      <c r="EO29" s="134">
        <f t="shared" si="36"/>
        <v>3.437113402061856E-2</v>
      </c>
      <c r="EP29" s="9">
        <v>97624</v>
      </c>
      <c r="EQ29" s="9">
        <v>2746</v>
      </c>
      <c r="ER29" s="134">
        <f t="shared" si="37"/>
        <v>2.8128329099401786E-2</v>
      </c>
    </row>
    <row r="30" spans="1:148" x14ac:dyDescent="0.3">
      <c r="A30" s="102" t="s">
        <v>159</v>
      </c>
      <c r="B30" s="103" t="s">
        <v>97</v>
      </c>
      <c r="C30" s="103" t="s">
        <v>134</v>
      </c>
      <c r="D30" s="9"/>
      <c r="E30" s="9"/>
      <c r="F30" s="9"/>
      <c r="G30" s="134" t="str">
        <f t="shared" si="0"/>
        <v/>
      </c>
      <c r="H30" s="9"/>
      <c r="I30" s="9"/>
      <c r="J30" s="9"/>
      <c r="K30" s="134" t="str">
        <f t="shared" si="1"/>
        <v/>
      </c>
      <c r="L30" s="9"/>
      <c r="M30" s="9"/>
      <c r="N30" s="9"/>
      <c r="O30" s="134" t="str">
        <f t="shared" si="2"/>
        <v/>
      </c>
      <c r="P30" s="9"/>
      <c r="Q30" s="9"/>
      <c r="R30" s="9"/>
      <c r="S30" s="134" t="str">
        <f t="shared" si="3"/>
        <v/>
      </c>
      <c r="T30" s="9"/>
      <c r="U30" s="9"/>
      <c r="V30" s="9"/>
      <c r="W30" s="134" t="str">
        <f t="shared" si="4"/>
        <v/>
      </c>
      <c r="X30" s="9"/>
      <c r="Y30" s="9"/>
      <c r="Z30" s="9" t="s">
        <v>128</v>
      </c>
      <c r="AA30" s="134" t="str">
        <f t="shared" si="5"/>
        <v/>
      </c>
      <c r="AB30" s="9"/>
      <c r="AC30" s="9"/>
      <c r="AD30" s="9"/>
      <c r="AE30" s="134" t="str">
        <f t="shared" si="6"/>
        <v/>
      </c>
      <c r="AF30" s="9"/>
      <c r="AG30" s="9"/>
      <c r="AH30" s="9"/>
      <c r="AI30" s="134" t="str">
        <f t="shared" si="7"/>
        <v/>
      </c>
      <c r="AJ30" s="9"/>
      <c r="AK30" s="9"/>
      <c r="AL30" s="9"/>
      <c r="AM30" s="134" t="str">
        <f t="shared" si="8"/>
        <v/>
      </c>
      <c r="AN30" s="9"/>
      <c r="AO30" s="9"/>
      <c r="AP30" s="9" t="s">
        <v>128</v>
      </c>
      <c r="AQ30" s="134" t="str">
        <f t="shared" si="9"/>
        <v/>
      </c>
      <c r="AR30" s="9">
        <v>31500</v>
      </c>
      <c r="AS30" s="9">
        <v>20000</v>
      </c>
      <c r="AT30" s="9">
        <v>3429.9936994872683</v>
      </c>
      <c r="AU30" s="134">
        <f t="shared" si="10"/>
        <v>0.10888868887261169</v>
      </c>
      <c r="AV30" s="9">
        <v>36900</v>
      </c>
      <c r="AW30" s="9">
        <v>17000</v>
      </c>
      <c r="AX30" s="9">
        <v>2796.7152331189709</v>
      </c>
      <c r="AY30" s="134">
        <f t="shared" si="11"/>
        <v>7.5791740734931459E-2</v>
      </c>
      <c r="AZ30" s="9">
        <v>31500</v>
      </c>
      <c r="BA30" s="9">
        <v>12000</v>
      </c>
      <c r="BB30" s="9">
        <v>1844.5743895020423</v>
      </c>
      <c r="BC30" s="134">
        <f t="shared" si="12"/>
        <v>5.8557917127048963E-2</v>
      </c>
      <c r="BD30" s="9">
        <v>28800</v>
      </c>
      <c r="BE30" s="9">
        <v>11000</v>
      </c>
      <c r="BF30" s="9">
        <v>1665.2407683004544</v>
      </c>
      <c r="BG30" s="134">
        <f t="shared" si="13"/>
        <v>5.7820860010432448E-2</v>
      </c>
      <c r="BH30" s="9">
        <v>31500</v>
      </c>
      <c r="BI30" s="9">
        <v>13000</v>
      </c>
      <c r="BJ30" s="9">
        <v>1888.1903587671275</v>
      </c>
      <c r="BK30" s="134">
        <f t="shared" si="14"/>
        <v>5.99425510719723E-2</v>
      </c>
      <c r="BL30" s="9">
        <v>42075</v>
      </c>
      <c r="BM30" s="9">
        <v>30918</v>
      </c>
      <c r="BN30" s="9">
        <v>4471.0590353154594</v>
      </c>
      <c r="BO30" s="134">
        <f t="shared" si="15"/>
        <v>0.10626402935984455</v>
      </c>
      <c r="BP30" s="9">
        <v>30150</v>
      </c>
      <c r="BQ30" s="9">
        <v>39200</v>
      </c>
      <c r="BR30" s="9">
        <v>6340.9997103212527</v>
      </c>
      <c r="BS30" s="134">
        <f t="shared" si="16"/>
        <v>0.21031508160269494</v>
      </c>
      <c r="BT30" s="9">
        <v>27000</v>
      </c>
      <c r="BU30" s="9">
        <v>32000</v>
      </c>
      <c r="BV30" s="9">
        <v>4884.9885576895222</v>
      </c>
      <c r="BW30" s="134">
        <f t="shared" si="17"/>
        <v>0.18092550213664896</v>
      </c>
      <c r="BX30" s="9">
        <v>32400</v>
      </c>
      <c r="BY30" s="9">
        <v>45000</v>
      </c>
      <c r="BZ30" s="9">
        <v>6059.6555357608404</v>
      </c>
      <c r="CA30" s="134">
        <f t="shared" si="18"/>
        <v>0.1870264054247173</v>
      </c>
      <c r="CB30" s="9">
        <v>4500</v>
      </c>
      <c r="CC30" s="9">
        <v>27100</v>
      </c>
      <c r="CD30" s="9">
        <f>IF(CC30/(INDEX('Standards for Conversions'!$H$47:$H$73,MATCH(CB$3,'Standards for Conversions'!$A$47:$A$73,0)))=0,"",CC30/(INDEX('Standards for Conversions'!$H$47:$H$73,MATCH(CB$3,'Standards for Conversions'!$A$47:$A$73,0))))</f>
        <v>3295.8089583152278</v>
      </c>
      <c r="CE30" s="134">
        <f t="shared" si="19"/>
        <v>0.7324019907367173</v>
      </c>
      <c r="CF30" s="9"/>
      <c r="CG30" s="9"/>
      <c r="CH30" s="9" t="str">
        <f>IF(CG30/(INDEX('Standards for Conversions'!$H$47:$H$73,MATCH(CF$3,'Standards for Conversions'!$A$47:$A$73,0)))=0,"",CG30/(INDEX('Standards for Conversions'!$H$47:$H$73,MATCH(CF$3,'Standards for Conversions'!$A$47:$A$73,0))))</f>
        <v/>
      </c>
      <c r="CI30" s="134" t="str">
        <f t="shared" si="20"/>
        <v/>
      </c>
      <c r="CJ30" s="9"/>
      <c r="CK30" s="9"/>
      <c r="CL30" s="9" t="str">
        <f>IF(CK30/(INDEX('Standards for Conversions'!$H$47:$H$73,MATCH(CJ$3,'Standards for Conversions'!$A$47:$A$73,0)))=0,"",CK30/(INDEX('Standards for Conversions'!$H$47:$H$73,MATCH(CJ$3,'Standards for Conversions'!$A$47:$A$73,0))))</f>
        <v/>
      </c>
      <c r="CM30" s="134" t="str">
        <f t="shared" si="21"/>
        <v/>
      </c>
      <c r="CN30" s="9"/>
      <c r="CO30" s="9"/>
      <c r="CP30" s="9" t="str">
        <f>IF(CO30/(INDEX('Standards for Conversions'!$H$47:$H$73,MATCH(CN$3,'Standards for Conversions'!$A$47:$A$73,0)))=0,"",CO30/(INDEX('Standards for Conversions'!$H$47:$H$73,MATCH(CN$3,'Standards for Conversions'!$A$47:$A$73,0))))</f>
        <v/>
      </c>
      <c r="CQ30" s="134" t="str">
        <f t="shared" si="22"/>
        <v/>
      </c>
      <c r="CR30" s="9"/>
      <c r="CS30" s="9"/>
      <c r="CT30" s="9" t="str">
        <f>IF(CS30/(INDEX('Standards for Conversions'!$H$47:$H$73,MATCH(CR$3,'Standards for Conversions'!$A$47:$A$73,0)))=0,"",CS30/(INDEX('Standards for Conversions'!$H$47:$H$73,MATCH(CR$3,'Standards for Conversions'!$A$47:$A$73,0))))</f>
        <v/>
      </c>
      <c r="CU30" s="134" t="str">
        <f t="shared" si="23"/>
        <v/>
      </c>
      <c r="CV30" s="9"/>
      <c r="CW30" s="9"/>
      <c r="CX30" s="9" t="str">
        <f>IF(CW30/(INDEX('Standards for Conversions'!$H$47:$H$73,MATCH(CV$3,'Standards for Conversions'!$A$47:$A$73,0)))=0,"",CW30/(INDEX('Standards for Conversions'!$H$47:$H$73,MATCH(CV$3,'Standards for Conversions'!$A$47:$A$73,0))))</f>
        <v/>
      </c>
      <c r="CY30" s="134" t="str">
        <f t="shared" si="24"/>
        <v/>
      </c>
      <c r="CZ30" s="9"/>
      <c r="DA30" s="9"/>
      <c r="DB30" s="9" t="str">
        <f>IF(DA30/(INDEX('Standards for Conversions'!$H$47:$H$73,MATCH(CZ$3,'Standards for Conversions'!$A$47:$A$73,0)))=0,"",DA30/(INDEX('Standards for Conversions'!$H$47:$H$73,MATCH(CZ$3,'Standards for Conversions'!$A$47:$A$73,0))))</f>
        <v/>
      </c>
      <c r="DC30" s="134" t="str">
        <f t="shared" si="25"/>
        <v/>
      </c>
      <c r="DD30" s="9"/>
      <c r="DE30" s="9"/>
      <c r="DF30" s="9" t="str">
        <f>IF(DE30/(INDEX('Standards for Conversions'!$H$47:$H$73,MATCH(DD$3,'Standards for Conversions'!$A$47:$A$73,0)))=0,"",DE30/(INDEX('Standards for Conversions'!$H$47:$H$73,MATCH(DD$3,'Standards for Conversions'!$A$47:$A$73,0))))</f>
        <v/>
      </c>
      <c r="DG30" s="134" t="str">
        <f t="shared" si="26"/>
        <v/>
      </c>
      <c r="DH30" s="9"/>
      <c r="DI30" s="9"/>
      <c r="DJ30" s="9" t="str">
        <f>IF(DI30/(INDEX('Standards for Conversions'!$H$47:$H$73,MATCH(DH$3,'Standards for Conversions'!$A$47:$A$73,0)))=0,"",DI30/(INDEX('Standards for Conversions'!$H$47:$H$73,MATCH(DH$3,'Standards for Conversions'!$A$47:$A$73,0))))</f>
        <v/>
      </c>
      <c r="DK30" s="134" t="str">
        <f t="shared" si="27"/>
        <v/>
      </c>
      <c r="DL30" s="9"/>
      <c r="DM30" s="9"/>
      <c r="DN30" s="9" t="str">
        <f>IF(DM30/(INDEX('Standards for Conversions'!$H$47:$H$73,MATCH(DL$3,'Standards for Conversions'!$A$47:$A$73,0)))=0,"",DM30/(INDEX('Standards for Conversions'!$H$47:$H$73,MATCH(DL$3,'Standards for Conversions'!$A$47:$A$73,0))))</f>
        <v/>
      </c>
      <c r="DO30" s="134" t="str">
        <f t="shared" si="28"/>
        <v/>
      </c>
      <c r="DP30" s="9"/>
      <c r="DQ30" s="9"/>
      <c r="DR30" s="9" t="str">
        <f>IF(DQ30/(INDEX('Standards for Conversions'!$H$47:$H$73,MATCH(DP$3,'Standards for Conversions'!$A$47:$A$73,0)))=0,"",DQ30/(INDEX('Standards for Conversions'!$H$47:$H$73,MATCH(DP$3,'Standards for Conversions'!$A$47:$A$73,0))))</f>
        <v/>
      </c>
      <c r="DS30" s="134" t="str">
        <f t="shared" si="29"/>
        <v/>
      </c>
      <c r="DT30" s="9"/>
      <c r="DU30" s="9"/>
      <c r="DV30" s="9" t="str">
        <f>IF(DU30/(INDEX('Standards for Conversions'!$H$47:$H$73,MATCH(DT$3,'Standards for Conversions'!$A$47:$A$73,0)))=0,"",DU30/(INDEX('Standards for Conversions'!$H$47:$H$73,MATCH(DT$3,'Standards for Conversions'!$A$47:$A$73,0))))</f>
        <v/>
      </c>
      <c r="DW30" s="134" t="str">
        <f t="shared" si="30"/>
        <v/>
      </c>
      <c r="DX30" s="9"/>
      <c r="DY30" s="9"/>
      <c r="DZ30" s="134" t="str">
        <f t="shared" si="31"/>
        <v/>
      </c>
      <c r="EA30" s="9"/>
      <c r="EB30" s="9"/>
      <c r="EC30" s="134" t="str">
        <f t="shared" si="32"/>
        <v/>
      </c>
      <c r="ED30" s="9"/>
      <c r="EE30" s="9"/>
      <c r="EF30" s="134" t="str">
        <f t="shared" si="33"/>
        <v/>
      </c>
      <c r="EG30" s="9"/>
      <c r="EH30" s="9"/>
      <c r="EI30" s="134" t="str">
        <f t="shared" si="34"/>
        <v/>
      </c>
      <c r="EJ30" s="9"/>
      <c r="EK30" s="9"/>
      <c r="EL30" s="134" t="str">
        <f t="shared" si="35"/>
        <v/>
      </c>
      <c r="EM30" s="9"/>
      <c r="EN30" s="9"/>
      <c r="EO30" s="134" t="str">
        <f t="shared" si="36"/>
        <v/>
      </c>
      <c r="EP30" s="9"/>
      <c r="EQ30" s="9"/>
      <c r="ER30" s="134" t="str">
        <f t="shared" si="37"/>
        <v/>
      </c>
    </row>
    <row r="31" spans="1:148" x14ac:dyDescent="0.3">
      <c r="A31" s="102" t="s">
        <v>159</v>
      </c>
      <c r="B31" s="105" t="s">
        <v>42</v>
      </c>
      <c r="C31" s="105" t="s">
        <v>133</v>
      </c>
      <c r="D31" s="9">
        <v>7000</v>
      </c>
      <c r="E31" s="9">
        <v>55000</v>
      </c>
      <c r="F31" s="9">
        <v>10864.822635135133</v>
      </c>
      <c r="G31" s="134">
        <f t="shared" si="0"/>
        <v>1.552117519305019</v>
      </c>
      <c r="H31" s="9">
        <v>7000</v>
      </c>
      <c r="I31" s="9">
        <v>55000</v>
      </c>
      <c r="J31" s="9">
        <v>10596.98670736653</v>
      </c>
      <c r="K31" s="134">
        <f t="shared" si="1"/>
        <v>1.5138552439095043</v>
      </c>
      <c r="L31" s="9">
        <v>5000</v>
      </c>
      <c r="M31" s="9">
        <v>42000</v>
      </c>
      <c r="N31" s="9">
        <v>7505.3343616928814</v>
      </c>
      <c r="O31" s="134">
        <f t="shared" si="2"/>
        <v>1.5010668723385763</v>
      </c>
      <c r="P31" s="9">
        <v>5000</v>
      </c>
      <c r="Q31" s="9">
        <v>60000</v>
      </c>
      <c r="R31" s="9">
        <v>11141.127683149387</v>
      </c>
      <c r="S31" s="134">
        <f t="shared" si="3"/>
        <v>2.2282255366298775</v>
      </c>
      <c r="T31" s="9">
        <v>4600</v>
      </c>
      <c r="U31" s="9">
        <v>32000</v>
      </c>
      <c r="V31" s="9">
        <v>5698.0241012716888</v>
      </c>
      <c r="W31" s="134">
        <f t="shared" si="4"/>
        <v>1.238700891580802</v>
      </c>
      <c r="X31" s="9">
        <v>4500</v>
      </c>
      <c r="Y31" s="9">
        <v>50000</v>
      </c>
      <c r="Z31" s="9">
        <v>8680.848251788766</v>
      </c>
      <c r="AA31" s="134">
        <f t="shared" si="5"/>
        <v>1.9290773892863924</v>
      </c>
      <c r="AB31" s="9">
        <v>5300</v>
      </c>
      <c r="AC31" s="9">
        <v>70000</v>
      </c>
      <c r="AD31" s="9">
        <v>12390.322919382405</v>
      </c>
      <c r="AE31" s="134">
        <f t="shared" si="6"/>
        <v>2.3377967772419632</v>
      </c>
      <c r="AF31" s="9">
        <v>6000</v>
      </c>
      <c r="AG31" s="9">
        <v>75000</v>
      </c>
      <c r="AH31" s="9">
        <v>13132.429580907274</v>
      </c>
      <c r="AI31" s="134">
        <f t="shared" si="7"/>
        <v>2.1887382634845456</v>
      </c>
      <c r="AJ31" s="9">
        <v>6268</v>
      </c>
      <c r="AK31" s="9">
        <v>34630</v>
      </c>
      <c r="AL31" s="9">
        <v>6056.3483443049154</v>
      </c>
      <c r="AM31" s="134">
        <f t="shared" si="8"/>
        <v>0.96623298409459402</v>
      </c>
      <c r="AN31" s="9">
        <v>4037</v>
      </c>
      <c r="AO31" s="9">
        <v>20625</v>
      </c>
      <c r="AP31" s="9">
        <v>3532.8141124695831</v>
      </c>
      <c r="AQ31" s="134">
        <f t="shared" si="9"/>
        <v>0.87510877197661208</v>
      </c>
      <c r="AR31" s="9"/>
      <c r="AS31" s="9"/>
      <c r="AT31" s="9"/>
      <c r="AU31" s="134" t="str">
        <f t="shared" si="10"/>
        <v/>
      </c>
      <c r="AV31" s="9"/>
      <c r="AW31" s="9"/>
      <c r="AX31" s="9"/>
      <c r="AY31" s="134" t="str">
        <f t="shared" si="11"/>
        <v/>
      </c>
      <c r="AZ31" s="9"/>
      <c r="BA31" s="9"/>
      <c r="BB31" s="9"/>
      <c r="BC31" s="134" t="str">
        <f t="shared" si="12"/>
        <v/>
      </c>
      <c r="BD31" s="9"/>
      <c r="BE31" s="9"/>
      <c r="BF31" s="9" t="s">
        <v>128</v>
      </c>
      <c r="BG31" s="134" t="str">
        <f t="shared" si="13"/>
        <v/>
      </c>
      <c r="BH31" s="9"/>
      <c r="BI31" s="9"/>
      <c r="BJ31" s="9"/>
      <c r="BK31" s="134" t="str">
        <f t="shared" si="14"/>
        <v/>
      </c>
      <c r="BL31" s="9"/>
      <c r="BM31" s="9"/>
      <c r="BN31" s="9"/>
      <c r="BO31" s="134" t="str">
        <f t="shared" si="15"/>
        <v/>
      </c>
      <c r="BP31" s="9"/>
      <c r="BQ31" s="9"/>
      <c r="BR31" s="9"/>
      <c r="BS31" s="134" t="str">
        <f t="shared" si="16"/>
        <v/>
      </c>
      <c r="BT31" s="9"/>
      <c r="BU31" s="9"/>
      <c r="BV31" s="9"/>
      <c r="BW31" s="134" t="str">
        <f t="shared" si="17"/>
        <v/>
      </c>
      <c r="BX31" s="9"/>
      <c r="BY31" s="9"/>
      <c r="BZ31" s="9"/>
      <c r="CA31" s="134" t="str">
        <f t="shared" si="18"/>
        <v/>
      </c>
      <c r="CB31" s="9"/>
      <c r="CC31" s="9"/>
      <c r="CD31" s="9"/>
      <c r="CE31" s="134"/>
      <c r="CF31" s="9"/>
      <c r="CG31" s="9"/>
      <c r="CH31" s="9"/>
      <c r="CI31" s="134"/>
      <c r="CJ31" s="9"/>
      <c r="CK31" s="9"/>
      <c r="CL31" s="9"/>
      <c r="CM31" s="134"/>
      <c r="CN31" s="9"/>
      <c r="CO31" s="9"/>
      <c r="CP31" s="9"/>
      <c r="CQ31" s="134"/>
      <c r="CR31" s="9"/>
      <c r="CS31" s="9"/>
      <c r="CT31" s="9"/>
      <c r="CU31" s="134"/>
      <c r="CV31" s="9"/>
      <c r="CW31" s="9"/>
      <c r="CX31" s="9"/>
      <c r="CY31" s="134"/>
      <c r="CZ31" s="9"/>
      <c r="DA31" s="9"/>
      <c r="DB31" s="9"/>
      <c r="DC31" s="134"/>
      <c r="DD31" s="9"/>
      <c r="DE31" s="9"/>
      <c r="DF31" s="9"/>
      <c r="DG31" s="134"/>
      <c r="DH31" s="9"/>
      <c r="DI31" s="9"/>
      <c r="DJ31" s="9"/>
      <c r="DK31" s="134"/>
      <c r="DL31" s="9"/>
      <c r="DM31" s="9"/>
      <c r="DN31" s="9"/>
      <c r="DO31" s="134"/>
      <c r="DP31" s="9"/>
      <c r="DQ31" s="9"/>
      <c r="DR31" s="9"/>
      <c r="DS31" s="134"/>
      <c r="DT31" s="9"/>
      <c r="DU31" s="9"/>
      <c r="DV31" s="9"/>
      <c r="DW31" s="134"/>
      <c r="DX31" s="9"/>
      <c r="DY31" s="9"/>
      <c r="DZ31" s="134"/>
      <c r="EA31" s="9"/>
      <c r="EB31" s="9"/>
      <c r="EC31" s="134"/>
      <c r="ED31" s="9"/>
      <c r="EE31" s="9"/>
      <c r="EF31" s="134"/>
      <c r="EG31" s="9"/>
      <c r="EH31" s="9"/>
      <c r="EI31" s="134"/>
      <c r="EJ31" s="9"/>
      <c r="EK31" s="9"/>
      <c r="EL31" s="134"/>
      <c r="EM31" s="9"/>
      <c r="EN31" s="9"/>
      <c r="EO31" s="134"/>
      <c r="EP31" s="9"/>
      <c r="EQ31" s="9"/>
      <c r="ER31" s="134"/>
    </row>
    <row r="32" spans="1:148" x14ac:dyDescent="0.3">
      <c r="A32" s="102" t="s">
        <v>103</v>
      </c>
      <c r="B32" s="105" t="s">
        <v>374</v>
      </c>
      <c r="C32" s="105" t="s">
        <v>424</v>
      </c>
      <c r="D32" s="9"/>
      <c r="E32" s="9"/>
      <c r="F32" s="9" t="s">
        <v>128</v>
      </c>
      <c r="G32" s="134" t="str">
        <f t="shared" si="0"/>
        <v/>
      </c>
      <c r="H32" s="9">
        <v>15</v>
      </c>
      <c r="I32" s="9">
        <v>400</v>
      </c>
      <c r="J32" s="9">
        <v>77.068994235392935</v>
      </c>
      <c r="K32" s="134">
        <f t="shared" si="1"/>
        <v>5.1379329490261956</v>
      </c>
      <c r="L32" s="9">
        <v>4</v>
      </c>
      <c r="M32" s="9">
        <v>125</v>
      </c>
      <c r="N32" s="9">
        <v>22.337304647895479</v>
      </c>
      <c r="O32" s="134">
        <f t="shared" si="2"/>
        <v>5.5843261619738698</v>
      </c>
      <c r="P32" s="9">
        <v>6</v>
      </c>
      <c r="Q32" s="9">
        <v>200</v>
      </c>
      <c r="R32" s="9">
        <v>37.137092277164626</v>
      </c>
      <c r="S32" s="134">
        <f t="shared" si="3"/>
        <v>6.189515379527438</v>
      </c>
      <c r="T32" s="9">
        <v>5</v>
      </c>
      <c r="U32" s="9">
        <v>200</v>
      </c>
      <c r="V32" s="9">
        <v>35.612650632948053</v>
      </c>
      <c r="W32" s="134">
        <f t="shared" si="4"/>
        <v>7.122530126589611</v>
      </c>
      <c r="X32" s="9">
        <v>5</v>
      </c>
      <c r="Y32" s="9">
        <v>200</v>
      </c>
      <c r="Z32" s="9">
        <v>34.723393007155067</v>
      </c>
      <c r="AA32" s="134">
        <f t="shared" si="5"/>
        <v>6.9446786014310131</v>
      </c>
      <c r="AB32" s="9">
        <v>6</v>
      </c>
      <c r="AC32" s="9">
        <v>200</v>
      </c>
      <c r="AD32" s="9">
        <v>35.400922626806874</v>
      </c>
      <c r="AE32" s="134">
        <f t="shared" si="6"/>
        <v>5.9001537711344794</v>
      </c>
      <c r="AF32" s="9">
        <v>30</v>
      </c>
      <c r="AG32" s="9">
        <v>900</v>
      </c>
      <c r="AH32" s="9">
        <v>157.58915497088728</v>
      </c>
      <c r="AI32" s="134">
        <f t="shared" si="7"/>
        <v>5.2529718323629089</v>
      </c>
      <c r="AJ32" s="9"/>
      <c r="AK32" s="9"/>
      <c r="AL32" s="9"/>
      <c r="AM32" s="134" t="str">
        <f t="shared" si="8"/>
        <v/>
      </c>
      <c r="AN32" s="9"/>
      <c r="AO32" s="9"/>
      <c r="AP32" s="9" t="s">
        <v>128</v>
      </c>
      <c r="AQ32" s="134" t="str">
        <f t="shared" si="9"/>
        <v/>
      </c>
      <c r="AR32" s="9"/>
      <c r="AS32" s="9"/>
      <c r="AT32" s="9"/>
      <c r="AU32" s="134" t="str">
        <f t="shared" si="10"/>
        <v/>
      </c>
      <c r="AV32" s="9"/>
      <c r="AW32" s="9"/>
      <c r="AX32" s="9"/>
      <c r="AY32" s="134" t="str">
        <f t="shared" si="11"/>
        <v/>
      </c>
      <c r="AZ32" s="9"/>
      <c r="BA32" s="9"/>
      <c r="BB32" s="9"/>
      <c r="BC32" s="134" t="str">
        <f t="shared" si="12"/>
        <v/>
      </c>
      <c r="BD32" s="9"/>
      <c r="BE32" s="9"/>
      <c r="BF32" s="9" t="s">
        <v>128</v>
      </c>
      <c r="BG32" s="134" t="str">
        <f t="shared" si="13"/>
        <v/>
      </c>
      <c r="BH32" s="9"/>
      <c r="BI32" s="9"/>
      <c r="BJ32" s="9"/>
      <c r="BK32" s="134" t="str">
        <f t="shared" si="14"/>
        <v/>
      </c>
      <c r="BL32" s="9"/>
      <c r="BM32" s="9"/>
      <c r="BN32" s="9"/>
      <c r="BO32" s="134" t="str">
        <f t="shared" si="15"/>
        <v/>
      </c>
      <c r="BP32" s="9"/>
      <c r="BQ32" s="9"/>
      <c r="BR32" s="9"/>
      <c r="BS32" s="134" t="str">
        <f t="shared" si="16"/>
        <v/>
      </c>
      <c r="BT32" s="9"/>
      <c r="BU32" s="9"/>
      <c r="BV32" s="9"/>
      <c r="BW32" s="134" t="str">
        <f t="shared" si="17"/>
        <v/>
      </c>
      <c r="BX32" s="9"/>
      <c r="BY32" s="9"/>
      <c r="BZ32" s="9"/>
      <c r="CA32" s="134" t="str">
        <f t="shared" si="18"/>
        <v/>
      </c>
      <c r="CB32" s="9"/>
      <c r="CC32" s="9"/>
      <c r="CD32" s="9"/>
      <c r="CE32" s="134"/>
      <c r="CF32" s="9"/>
      <c r="CG32" s="9"/>
      <c r="CH32" s="9"/>
      <c r="CI32" s="134"/>
      <c r="CJ32" s="9"/>
      <c r="CK32" s="9"/>
      <c r="CL32" s="9"/>
      <c r="CM32" s="134"/>
      <c r="CN32" s="9"/>
      <c r="CO32" s="9"/>
      <c r="CP32" s="9"/>
      <c r="CQ32" s="134"/>
      <c r="CR32" s="9"/>
      <c r="CS32" s="9"/>
      <c r="CT32" s="9"/>
      <c r="CU32" s="134"/>
      <c r="CV32" s="9"/>
      <c r="CW32" s="9"/>
      <c r="CX32" s="9"/>
      <c r="CY32" s="134"/>
      <c r="CZ32" s="9"/>
      <c r="DA32" s="9"/>
      <c r="DB32" s="9"/>
      <c r="DC32" s="134"/>
      <c r="DD32" s="9"/>
      <c r="DE32" s="9"/>
      <c r="DF32" s="9"/>
      <c r="DG32" s="134"/>
      <c r="DH32" s="9"/>
      <c r="DI32" s="9"/>
      <c r="DJ32" s="9"/>
      <c r="DK32" s="134"/>
      <c r="DL32" s="9"/>
      <c r="DM32" s="9"/>
      <c r="DN32" s="9"/>
      <c r="DO32" s="134"/>
      <c r="DP32" s="9"/>
      <c r="DQ32" s="9"/>
      <c r="DR32" s="9"/>
      <c r="DS32" s="134"/>
      <c r="DT32" s="9"/>
      <c r="DU32" s="9"/>
      <c r="DV32" s="9"/>
      <c r="DW32" s="134"/>
      <c r="DX32" s="9"/>
      <c r="DY32" s="9"/>
      <c r="DZ32" s="134"/>
      <c r="EA32" s="9"/>
      <c r="EB32" s="9"/>
      <c r="EC32" s="134"/>
      <c r="ED32" s="9"/>
      <c r="EE32" s="9"/>
      <c r="EF32" s="134"/>
      <c r="EG32" s="9"/>
      <c r="EH32" s="9"/>
      <c r="EI32" s="134"/>
      <c r="EJ32" s="9"/>
      <c r="EK32" s="9"/>
      <c r="EL32" s="134"/>
      <c r="EM32" s="9"/>
      <c r="EN32" s="9"/>
      <c r="EO32" s="134"/>
      <c r="EP32" s="9"/>
      <c r="EQ32" s="9"/>
      <c r="ER32" s="134"/>
    </row>
    <row r="33" spans="1:148" x14ac:dyDescent="0.3">
      <c r="A33" s="102" t="s">
        <v>103</v>
      </c>
      <c r="B33" s="103" t="s">
        <v>98</v>
      </c>
      <c r="C33" s="103" t="s">
        <v>131</v>
      </c>
      <c r="D33" s="9">
        <v>171</v>
      </c>
      <c r="E33" s="9">
        <v>300</v>
      </c>
      <c r="F33" s="9">
        <v>59.262668918918912</v>
      </c>
      <c r="G33" s="134">
        <f t="shared" si="0"/>
        <v>0.34656531531531526</v>
      </c>
      <c r="H33" s="9"/>
      <c r="I33" s="9"/>
      <c r="J33" s="9"/>
      <c r="K33" s="134" t="str">
        <f t="shared" si="1"/>
        <v/>
      </c>
      <c r="L33" s="9"/>
      <c r="M33" s="9"/>
      <c r="N33" s="9"/>
      <c r="O33" s="134" t="str">
        <f t="shared" si="2"/>
        <v/>
      </c>
      <c r="P33" s="9"/>
      <c r="Q33" s="9"/>
      <c r="R33" s="9"/>
      <c r="S33" s="134" t="str">
        <f t="shared" si="3"/>
        <v/>
      </c>
      <c r="T33" s="9"/>
      <c r="U33" s="9"/>
      <c r="V33" s="9"/>
      <c r="W33" s="134" t="str">
        <f t="shared" si="4"/>
        <v/>
      </c>
      <c r="X33" s="9"/>
      <c r="Y33" s="9"/>
      <c r="Z33" s="9"/>
      <c r="AA33" s="134" t="str">
        <f t="shared" si="5"/>
        <v/>
      </c>
      <c r="AB33" s="9"/>
      <c r="AC33" s="9"/>
      <c r="AD33" s="9"/>
      <c r="AE33" s="134" t="str">
        <f t="shared" si="6"/>
        <v/>
      </c>
      <c r="AF33" s="9"/>
      <c r="AG33" s="9"/>
      <c r="AH33" s="9"/>
      <c r="AI33" s="134" t="str">
        <f t="shared" si="7"/>
        <v/>
      </c>
      <c r="AJ33" s="9">
        <v>69</v>
      </c>
      <c r="AK33" s="9">
        <v>200</v>
      </c>
      <c r="AL33" s="9">
        <v>34.977466614524488</v>
      </c>
      <c r="AM33" s="134">
        <f t="shared" si="8"/>
        <v>0.50691980600760123</v>
      </c>
      <c r="AN33" s="9">
        <v>63</v>
      </c>
      <c r="AO33" s="9">
        <v>190</v>
      </c>
      <c r="AP33" s="9">
        <v>32.544711823962224</v>
      </c>
      <c r="AQ33" s="134">
        <f t="shared" si="9"/>
        <v>0.51658272736447974</v>
      </c>
      <c r="AR33" s="9">
        <v>75</v>
      </c>
      <c r="AS33" s="9">
        <v>250</v>
      </c>
      <c r="AT33" s="9">
        <v>42.874921243590848</v>
      </c>
      <c r="AU33" s="134">
        <f t="shared" si="10"/>
        <v>0.57166561658121129</v>
      </c>
      <c r="AV33" s="9">
        <v>37.5</v>
      </c>
      <c r="AW33" s="9">
        <v>75</v>
      </c>
      <c r="AX33" s="9">
        <v>12.338449557877814</v>
      </c>
      <c r="AY33" s="134">
        <f t="shared" si="11"/>
        <v>0.32902532154340836</v>
      </c>
      <c r="AZ33" s="9">
        <v>30</v>
      </c>
      <c r="BA33" s="9">
        <v>100</v>
      </c>
      <c r="BB33" s="9">
        <v>15.371453245850352</v>
      </c>
      <c r="BC33" s="134">
        <f t="shared" si="12"/>
        <v>0.51238177486167846</v>
      </c>
      <c r="BD33" s="9">
        <v>37.5</v>
      </c>
      <c r="BE33" s="9">
        <v>150</v>
      </c>
      <c r="BF33" s="9">
        <v>22.707828658642562</v>
      </c>
      <c r="BG33" s="134">
        <f t="shared" si="13"/>
        <v>0.60554209756380162</v>
      </c>
      <c r="BH33" s="9">
        <v>45</v>
      </c>
      <c r="BI33" s="9">
        <v>180</v>
      </c>
      <c r="BJ33" s="9">
        <v>26.144174198314072</v>
      </c>
      <c r="BK33" s="134">
        <f t="shared" si="14"/>
        <v>0.58098164885142378</v>
      </c>
      <c r="BL33" s="9">
        <v>15</v>
      </c>
      <c r="BM33" s="9">
        <v>94</v>
      </c>
      <c r="BN33" s="9">
        <v>13.593361450276642</v>
      </c>
      <c r="BO33" s="134">
        <f t="shared" si="15"/>
        <v>0.9062240966851095</v>
      </c>
      <c r="BP33" s="9"/>
      <c r="BQ33" s="9"/>
      <c r="BR33" s="9" t="s">
        <v>128</v>
      </c>
      <c r="BS33" s="134" t="str">
        <f t="shared" si="16"/>
        <v/>
      </c>
      <c r="BT33" s="9">
        <v>15</v>
      </c>
      <c r="BU33" s="9">
        <v>100</v>
      </c>
      <c r="BV33" s="9">
        <v>15.265589242779756</v>
      </c>
      <c r="BW33" s="134">
        <f t="shared" si="17"/>
        <v>1.0177059495186505</v>
      </c>
      <c r="BX33" s="9">
        <v>18</v>
      </c>
      <c r="BY33" s="9">
        <v>120</v>
      </c>
      <c r="BZ33" s="9">
        <v>16.159081428695576</v>
      </c>
      <c r="CA33" s="134">
        <f t="shared" si="18"/>
        <v>0.89772674603864311</v>
      </c>
      <c r="CB33" s="9"/>
      <c r="CC33" s="9"/>
      <c r="CD33" s="9" t="str">
        <f>IF(CC33/(INDEX('Standards for Conversions'!$H$47:$H$73,MATCH(CB$3,'Standards for Conversions'!$A$47:$A$73,0)))=0,"",CC33/(INDEX('Standards for Conversions'!$H$47:$H$73,MATCH(CB$3,'Standards for Conversions'!$A$47:$A$73,0))))</f>
        <v/>
      </c>
      <c r="CE33" s="134" t="str">
        <f t="shared" si="19"/>
        <v/>
      </c>
      <c r="CF33" s="9"/>
      <c r="CG33" s="9"/>
      <c r="CH33" s="9" t="str">
        <f>IF(CG33/(INDEX('Standards for Conversions'!$H$47:$H$73,MATCH(CF$3,'Standards for Conversions'!$A$47:$A$73,0)))=0,"",CG33/(INDEX('Standards for Conversions'!$H$47:$H$73,MATCH(CF$3,'Standards for Conversions'!$A$47:$A$73,0))))</f>
        <v/>
      </c>
      <c r="CI33" s="134" t="str">
        <f t="shared" si="20"/>
        <v/>
      </c>
      <c r="CJ33" s="9"/>
      <c r="CK33" s="9"/>
      <c r="CL33" s="9" t="str">
        <f>IF(CK33/(INDEX('Standards for Conversions'!$H$47:$H$73,MATCH(CJ$3,'Standards for Conversions'!$A$47:$A$73,0)))=0,"",CK33/(INDEX('Standards for Conversions'!$H$47:$H$73,MATCH(CJ$3,'Standards for Conversions'!$A$47:$A$73,0))))</f>
        <v/>
      </c>
      <c r="CM33" s="134" t="str">
        <f t="shared" si="21"/>
        <v/>
      </c>
      <c r="CN33" s="9"/>
      <c r="CO33" s="9"/>
      <c r="CP33" s="9" t="str">
        <f>IF(CO33/(INDEX('Standards for Conversions'!$H$47:$H$73,MATCH(CN$3,'Standards for Conversions'!$A$47:$A$73,0)))=0,"",CO33/(INDEX('Standards for Conversions'!$H$47:$H$73,MATCH(CN$3,'Standards for Conversions'!$A$47:$A$73,0))))</f>
        <v/>
      </c>
      <c r="CQ33" s="134" t="str">
        <f t="shared" si="22"/>
        <v/>
      </c>
      <c r="CR33" s="9"/>
      <c r="CS33" s="9"/>
      <c r="CT33" s="9" t="str">
        <f>IF(CS33/(INDEX('Standards for Conversions'!$H$47:$H$73,MATCH(CR$3,'Standards for Conversions'!$A$47:$A$73,0)))=0,"",CS33/(INDEX('Standards for Conversions'!$H$47:$H$73,MATCH(CR$3,'Standards for Conversions'!$A$47:$A$73,0))))</f>
        <v/>
      </c>
      <c r="CU33" s="134" t="str">
        <f t="shared" si="23"/>
        <v/>
      </c>
      <c r="CV33" s="9"/>
      <c r="CW33" s="9"/>
      <c r="CX33" s="9" t="str">
        <f>IF(CW33/(INDEX('Standards for Conversions'!$H$47:$H$73,MATCH(CV$3,'Standards for Conversions'!$A$47:$A$73,0)))=0,"",CW33/(INDEX('Standards for Conversions'!$H$47:$H$73,MATCH(CV$3,'Standards for Conversions'!$A$47:$A$73,0))))</f>
        <v/>
      </c>
      <c r="CY33" s="134" t="str">
        <f t="shared" si="24"/>
        <v/>
      </c>
      <c r="CZ33" s="9"/>
      <c r="DA33" s="9"/>
      <c r="DB33" s="9" t="str">
        <f>IF(DA33/(INDEX('Standards for Conversions'!$H$47:$H$73,MATCH(CZ$3,'Standards for Conversions'!$A$47:$A$73,0)))=0,"",DA33/(INDEX('Standards for Conversions'!$H$47:$H$73,MATCH(CZ$3,'Standards for Conversions'!$A$47:$A$73,0))))</f>
        <v/>
      </c>
      <c r="DC33" s="134" t="str">
        <f t="shared" si="25"/>
        <v/>
      </c>
      <c r="DD33" s="9"/>
      <c r="DE33" s="9"/>
      <c r="DF33" s="9" t="str">
        <f>IF(DE33/(INDEX('Standards for Conversions'!$H$47:$H$73,MATCH(DD$3,'Standards for Conversions'!$A$47:$A$73,0)))=0,"",DE33/(INDEX('Standards for Conversions'!$H$47:$H$73,MATCH(DD$3,'Standards for Conversions'!$A$47:$A$73,0))))</f>
        <v/>
      </c>
      <c r="DG33" s="134" t="str">
        <f t="shared" si="26"/>
        <v/>
      </c>
      <c r="DH33" s="9"/>
      <c r="DI33" s="9"/>
      <c r="DJ33" s="9" t="str">
        <f>IF(DI33/(INDEX('Standards for Conversions'!$H$47:$H$73,MATCH(DH$3,'Standards for Conversions'!$A$47:$A$73,0)))=0,"",DI33/(INDEX('Standards for Conversions'!$H$47:$H$73,MATCH(DH$3,'Standards for Conversions'!$A$47:$A$73,0))))</f>
        <v/>
      </c>
      <c r="DK33" s="134" t="str">
        <f t="shared" si="27"/>
        <v/>
      </c>
      <c r="DL33" s="9"/>
      <c r="DM33" s="9"/>
      <c r="DN33" s="9" t="str">
        <f>IF(DM33/(INDEX('Standards for Conversions'!$H$47:$H$73,MATCH(DL$3,'Standards for Conversions'!$A$47:$A$73,0)))=0,"",DM33/(INDEX('Standards for Conversions'!$H$47:$H$73,MATCH(DL$3,'Standards for Conversions'!$A$47:$A$73,0))))</f>
        <v/>
      </c>
      <c r="DO33" s="134" t="str">
        <f t="shared" si="28"/>
        <v/>
      </c>
      <c r="DP33" s="9"/>
      <c r="DQ33" s="9"/>
      <c r="DR33" s="9" t="str">
        <f>IF(DQ33/(INDEX('Standards for Conversions'!$H$47:$H$73,MATCH(DP$3,'Standards for Conversions'!$A$47:$A$73,0)))=0,"",DQ33/(INDEX('Standards for Conversions'!$H$47:$H$73,MATCH(DP$3,'Standards for Conversions'!$A$47:$A$73,0))))</f>
        <v/>
      </c>
      <c r="DS33" s="134" t="str">
        <f t="shared" si="29"/>
        <v/>
      </c>
      <c r="DT33" s="9"/>
      <c r="DU33" s="9"/>
      <c r="DV33" s="9" t="str">
        <f>IF(DU33/(INDEX('Standards for Conversions'!$H$47:$H$73,MATCH(DT$3,'Standards for Conversions'!$A$47:$A$73,0)))=0,"",DU33/(INDEX('Standards for Conversions'!$H$47:$H$73,MATCH(DT$3,'Standards for Conversions'!$A$47:$A$73,0))))</f>
        <v/>
      </c>
      <c r="DW33" s="134" t="str">
        <f t="shared" si="30"/>
        <v/>
      </c>
      <c r="DX33" s="9"/>
      <c r="DY33" s="9"/>
      <c r="DZ33" s="134" t="str">
        <f t="shared" si="31"/>
        <v/>
      </c>
      <c r="EA33" s="9"/>
      <c r="EB33" s="9"/>
      <c r="EC33" s="134" t="str">
        <f t="shared" si="32"/>
        <v/>
      </c>
      <c r="ED33" s="9"/>
      <c r="EE33" s="9"/>
      <c r="EF33" s="134" t="str">
        <f t="shared" si="33"/>
        <v/>
      </c>
      <c r="EG33" s="9"/>
      <c r="EH33" s="9"/>
      <c r="EI33" s="134" t="str">
        <f t="shared" si="34"/>
        <v/>
      </c>
      <c r="EJ33" s="9"/>
      <c r="EK33" s="9"/>
      <c r="EL33" s="134" t="str">
        <f t="shared" si="35"/>
        <v/>
      </c>
      <c r="EM33" s="9"/>
      <c r="EN33" s="9"/>
      <c r="EO33" s="134" t="str">
        <f t="shared" si="36"/>
        <v/>
      </c>
      <c r="EP33" s="9"/>
      <c r="EQ33" s="9"/>
      <c r="ER33" s="134" t="str">
        <f t="shared" si="37"/>
        <v/>
      </c>
    </row>
    <row r="34" spans="1:148" x14ac:dyDescent="0.3">
      <c r="A34" s="102" t="s">
        <v>196</v>
      </c>
      <c r="B34" s="103" t="s">
        <v>97</v>
      </c>
      <c r="C34" s="103" t="s">
        <v>134</v>
      </c>
      <c r="D34" s="9"/>
      <c r="E34" s="9"/>
      <c r="F34" s="9"/>
      <c r="G34" s="134" t="str">
        <f t="shared" si="0"/>
        <v/>
      </c>
      <c r="H34" s="9"/>
      <c r="I34" s="9"/>
      <c r="J34" s="9"/>
      <c r="K34" s="134" t="str">
        <f t="shared" si="1"/>
        <v/>
      </c>
      <c r="L34" s="9"/>
      <c r="M34" s="9"/>
      <c r="N34" s="9"/>
      <c r="O34" s="134" t="str">
        <f t="shared" si="2"/>
        <v/>
      </c>
      <c r="P34" s="9"/>
      <c r="Q34" s="9"/>
      <c r="R34" s="9"/>
      <c r="S34" s="134" t="str">
        <f t="shared" si="3"/>
        <v/>
      </c>
      <c r="T34" s="9"/>
      <c r="U34" s="9"/>
      <c r="V34" s="9"/>
      <c r="W34" s="134" t="str">
        <f t="shared" si="4"/>
        <v/>
      </c>
      <c r="X34" s="9"/>
      <c r="Y34" s="9"/>
      <c r="Z34" s="9"/>
      <c r="AA34" s="134" t="str">
        <f t="shared" si="5"/>
        <v/>
      </c>
      <c r="AB34" s="9"/>
      <c r="AC34" s="9"/>
      <c r="AD34" s="9"/>
      <c r="AE34" s="134" t="str">
        <f t="shared" si="6"/>
        <v/>
      </c>
      <c r="AF34" s="9"/>
      <c r="AG34" s="9"/>
      <c r="AH34" s="9"/>
      <c r="AI34" s="134" t="str">
        <f t="shared" si="7"/>
        <v/>
      </c>
      <c r="AJ34" s="9"/>
      <c r="AK34" s="9"/>
      <c r="AL34" s="9"/>
      <c r="AM34" s="134" t="str">
        <f t="shared" si="8"/>
        <v/>
      </c>
      <c r="AN34" s="9"/>
      <c r="AO34" s="9"/>
      <c r="AP34" s="9"/>
      <c r="AQ34" s="134" t="str">
        <f t="shared" si="9"/>
        <v/>
      </c>
      <c r="AR34" s="9"/>
      <c r="AS34" s="9"/>
      <c r="AT34" s="9"/>
      <c r="AU34" s="134" t="str">
        <f t="shared" si="10"/>
        <v/>
      </c>
      <c r="AV34" s="9"/>
      <c r="AW34" s="9"/>
      <c r="AX34" s="9"/>
      <c r="AY34" s="134" t="str">
        <f t="shared" si="11"/>
        <v/>
      </c>
      <c r="AZ34" s="9"/>
      <c r="BA34" s="9"/>
      <c r="BB34" s="9"/>
      <c r="BC34" s="134" t="str">
        <f t="shared" si="12"/>
        <v/>
      </c>
      <c r="BD34" s="9"/>
      <c r="BE34" s="9"/>
      <c r="BF34" s="9" t="s">
        <v>128</v>
      </c>
      <c r="BG34" s="134" t="str">
        <f t="shared" si="13"/>
        <v/>
      </c>
      <c r="BH34" s="9"/>
      <c r="BI34" s="9"/>
      <c r="BJ34" s="9" t="s">
        <v>128</v>
      </c>
      <c r="BK34" s="134" t="str">
        <f t="shared" si="14"/>
        <v/>
      </c>
      <c r="BL34" s="9"/>
      <c r="BM34" s="9"/>
      <c r="BN34" s="9" t="s">
        <v>128</v>
      </c>
      <c r="BO34" s="134" t="str">
        <f t="shared" si="15"/>
        <v/>
      </c>
      <c r="BP34" s="9"/>
      <c r="BQ34" s="9"/>
      <c r="BR34" s="9" t="s">
        <v>128</v>
      </c>
      <c r="BS34" s="134" t="str">
        <f t="shared" si="16"/>
        <v/>
      </c>
      <c r="BT34" s="9"/>
      <c r="BU34" s="9"/>
      <c r="BV34" s="9" t="s">
        <v>128</v>
      </c>
      <c r="BW34" s="134" t="str">
        <f t="shared" si="17"/>
        <v/>
      </c>
      <c r="BX34" s="9"/>
      <c r="BY34" s="9"/>
      <c r="BZ34" s="9" t="s">
        <v>128</v>
      </c>
      <c r="CA34" s="134" t="str">
        <f t="shared" si="18"/>
        <v/>
      </c>
      <c r="CB34" s="9"/>
      <c r="CC34" s="9"/>
      <c r="CD34" s="9" t="str">
        <f>IF(CC34/(INDEX('Standards for Conversions'!$H$47:$H$73,MATCH(CB$3,'Standards for Conversions'!$A$47:$A$73,0)))=0,"",CC34/(INDEX('Standards for Conversions'!$H$47:$H$73,MATCH(CB$3,'Standards for Conversions'!$A$47:$A$73,0))))</f>
        <v/>
      </c>
      <c r="CE34" s="134" t="str">
        <f t="shared" si="19"/>
        <v/>
      </c>
      <c r="CF34" s="9"/>
      <c r="CG34" s="9"/>
      <c r="CH34" s="9" t="str">
        <f>IF(CG34/(INDEX('Standards for Conversions'!$H$47:$H$73,MATCH(CF$3,'Standards for Conversions'!$A$47:$A$73,0)))=0,"",CG34/(INDEX('Standards for Conversions'!$H$47:$H$73,MATCH(CF$3,'Standards for Conversions'!$A$47:$A$73,0))))</f>
        <v/>
      </c>
      <c r="CI34" s="134" t="str">
        <f t="shared" si="20"/>
        <v/>
      </c>
      <c r="CJ34" s="9"/>
      <c r="CK34" s="9"/>
      <c r="CL34" s="9" t="str">
        <f>IF(CK34/(INDEX('Standards for Conversions'!$H$47:$H$73,MATCH(CJ$3,'Standards for Conversions'!$A$47:$A$73,0)))=0,"",CK34/(INDEX('Standards for Conversions'!$H$47:$H$73,MATCH(CJ$3,'Standards for Conversions'!$A$47:$A$73,0))))</f>
        <v/>
      </c>
      <c r="CM34" s="134" t="str">
        <f t="shared" si="21"/>
        <v/>
      </c>
      <c r="CN34" s="9"/>
      <c r="CO34" s="9"/>
      <c r="CP34" s="9" t="str">
        <f>IF(CO34/(INDEX('Standards for Conversions'!$H$47:$H$73,MATCH(CN$3,'Standards for Conversions'!$A$47:$A$73,0)))=0,"",CO34/(INDEX('Standards for Conversions'!$H$47:$H$73,MATCH(CN$3,'Standards for Conversions'!$A$47:$A$73,0))))</f>
        <v/>
      </c>
      <c r="CQ34" s="134" t="str">
        <f t="shared" si="22"/>
        <v/>
      </c>
      <c r="CR34" s="9"/>
      <c r="CS34" s="9"/>
      <c r="CT34" s="9" t="str">
        <f>IF(CS34/(INDEX('Standards for Conversions'!$H$47:$H$73,MATCH(CR$3,'Standards for Conversions'!$A$47:$A$73,0)))=0,"",CS34/(INDEX('Standards for Conversions'!$H$47:$H$73,MATCH(CR$3,'Standards for Conversions'!$A$47:$A$73,0))))</f>
        <v/>
      </c>
      <c r="CU34" s="134" t="str">
        <f t="shared" si="23"/>
        <v/>
      </c>
      <c r="CV34" s="9"/>
      <c r="CW34" s="9"/>
      <c r="CX34" s="9" t="str">
        <f>IF(CW34/(INDEX('Standards for Conversions'!$H$47:$H$73,MATCH(CV$3,'Standards for Conversions'!$A$47:$A$73,0)))=0,"",CW34/(INDEX('Standards for Conversions'!$H$47:$H$73,MATCH(CV$3,'Standards for Conversions'!$A$47:$A$73,0))))</f>
        <v/>
      </c>
      <c r="CY34" s="134" t="str">
        <f t="shared" si="24"/>
        <v/>
      </c>
      <c r="CZ34" s="9"/>
      <c r="DA34" s="9"/>
      <c r="DB34" s="9" t="str">
        <f>IF(DA34/(INDEX('Standards for Conversions'!$H$47:$H$73,MATCH(CZ$3,'Standards for Conversions'!$A$47:$A$73,0)))=0,"",DA34/(INDEX('Standards for Conversions'!$H$47:$H$73,MATCH(CZ$3,'Standards for Conversions'!$A$47:$A$73,0))))</f>
        <v/>
      </c>
      <c r="DC34" s="134" t="str">
        <f t="shared" si="25"/>
        <v/>
      </c>
      <c r="DD34" s="9"/>
      <c r="DE34" s="9"/>
      <c r="DF34" s="9" t="str">
        <f>IF(DE34/(INDEX('Standards for Conversions'!$H$47:$H$73,MATCH(DD$3,'Standards for Conversions'!$A$47:$A$73,0)))=0,"",DE34/(INDEX('Standards for Conversions'!$H$47:$H$73,MATCH(DD$3,'Standards for Conversions'!$A$47:$A$73,0))))</f>
        <v/>
      </c>
      <c r="DG34" s="134" t="str">
        <f t="shared" si="26"/>
        <v/>
      </c>
      <c r="DH34" s="9"/>
      <c r="DI34" s="9"/>
      <c r="DJ34" s="9" t="str">
        <f>IF(DI34/(INDEX('Standards for Conversions'!$H$47:$H$73,MATCH(DH$3,'Standards for Conversions'!$A$47:$A$73,0)))=0,"",DI34/(INDEX('Standards for Conversions'!$H$47:$H$73,MATCH(DH$3,'Standards for Conversions'!$A$47:$A$73,0))))</f>
        <v/>
      </c>
      <c r="DK34" s="134" t="str">
        <f t="shared" si="27"/>
        <v/>
      </c>
      <c r="DL34" s="9"/>
      <c r="DM34" s="9"/>
      <c r="DN34" s="9" t="str">
        <f>IF(DM34/(INDEX('Standards for Conversions'!$H$47:$H$73,MATCH(DL$3,'Standards for Conversions'!$A$47:$A$73,0)))=0,"",DM34/(INDEX('Standards for Conversions'!$H$47:$H$73,MATCH(DL$3,'Standards for Conversions'!$A$47:$A$73,0))))</f>
        <v/>
      </c>
      <c r="DO34" s="134" t="str">
        <f t="shared" si="28"/>
        <v/>
      </c>
      <c r="DP34" s="9"/>
      <c r="DQ34" s="9"/>
      <c r="DR34" s="9" t="str">
        <f>IF(DQ34/(INDEX('Standards for Conversions'!$H$47:$H$73,MATCH(DP$3,'Standards for Conversions'!$A$47:$A$73,0)))=0,"",DQ34/(INDEX('Standards for Conversions'!$H$47:$H$73,MATCH(DP$3,'Standards for Conversions'!$A$47:$A$73,0))))</f>
        <v/>
      </c>
      <c r="DS34" s="134" t="str">
        <f t="shared" si="29"/>
        <v/>
      </c>
      <c r="DT34" s="9"/>
      <c r="DU34" s="9"/>
      <c r="DV34" s="9" t="str">
        <f>IF(DU34/(INDEX('Standards for Conversions'!$H$47:$H$73,MATCH(DT$3,'Standards for Conversions'!$A$47:$A$73,0)))=0,"",DU34/(INDEX('Standards for Conversions'!$H$47:$H$73,MATCH(DT$3,'Standards for Conversions'!$A$47:$A$73,0))))</f>
        <v/>
      </c>
      <c r="DW34" s="134" t="str">
        <f t="shared" si="30"/>
        <v/>
      </c>
      <c r="DX34" s="9"/>
      <c r="DY34" s="9"/>
      <c r="DZ34" s="134" t="str">
        <f t="shared" si="31"/>
        <v/>
      </c>
      <c r="EA34" s="9"/>
      <c r="EB34" s="9"/>
      <c r="EC34" s="134" t="str">
        <f t="shared" si="32"/>
        <v/>
      </c>
      <c r="ED34" s="9"/>
      <c r="EE34" s="9"/>
      <c r="EF34" s="134" t="str">
        <f t="shared" si="33"/>
        <v/>
      </c>
      <c r="EG34" s="9"/>
      <c r="EH34" s="9"/>
      <c r="EI34" s="134" t="str">
        <f t="shared" si="34"/>
        <v/>
      </c>
      <c r="EJ34" s="9"/>
      <c r="EK34" s="9"/>
      <c r="EL34" s="134" t="str">
        <f t="shared" si="35"/>
        <v/>
      </c>
      <c r="EM34" s="9">
        <v>13830</v>
      </c>
      <c r="EN34" s="9">
        <v>2329</v>
      </c>
      <c r="EO34" s="134">
        <f t="shared" si="36"/>
        <v>0.16840202458423717</v>
      </c>
      <c r="EP34" s="9">
        <v>9811</v>
      </c>
      <c r="EQ34" s="9">
        <v>1537</v>
      </c>
      <c r="ER34" s="134">
        <f t="shared" si="37"/>
        <v>0.15666089083681581</v>
      </c>
    </row>
    <row r="35" spans="1:148" x14ac:dyDescent="0.3">
      <c r="A35" s="102" t="s">
        <v>70</v>
      </c>
      <c r="B35" s="103" t="s">
        <v>98</v>
      </c>
      <c r="C35" s="103" t="s">
        <v>131</v>
      </c>
      <c r="D35" s="9">
        <v>9625</v>
      </c>
      <c r="E35" s="9">
        <v>56000</v>
      </c>
      <c r="F35" s="9">
        <v>11062.364864864863</v>
      </c>
      <c r="G35" s="134">
        <f t="shared" si="0"/>
        <v>1.1493366093366091</v>
      </c>
      <c r="H35" s="9">
        <v>13475</v>
      </c>
      <c r="I35" s="9">
        <v>77000</v>
      </c>
      <c r="J35" s="9">
        <v>14835.781390313141</v>
      </c>
      <c r="K35" s="134">
        <f t="shared" si="1"/>
        <v>1.1009856319341849</v>
      </c>
      <c r="L35" s="9">
        <v>8137.5</v>
      </c>
      <c r="M35" s="9">
        <v>52200</v>
      </c>
      <c r="N35" s="9">
        <v>9328.0584209611534</v>
      </c>
      <c r="O35" s="134">
        <f t="shared" si="2"/>
        <v>1.1463051822993737</v>
      </c>
      <c r="P35" s="9">
        <v>5250</v>
      </c>
      <c r="Q35" s="9">
        <v>33000</v>
      </c>
      <c r="R35" s="9">
        <v>6127.6202257321629</v>
      </c>
      <c r="S35" s="134">
        <f t="shared" si="3"/>
        <v>1.1671657572823166</v>
      </c>
      <c r="T35" s="9">
        <v>8050</v>
      </c>
      <c r="U35" s="9">
        <v>46000</v>
      </c>
      <c r="V35" s="9">
        <v>8190.9096455780527</v>
      </c>
      <c r="W35" s="134">
        <f t="shared" si="4"/>
        <v>1.0175043037985159</v>
      </c>
      <c r="X35" s="9">
        <v>8050</v>
      </c>
      <c r="Y35" s="9">
        <v>55500</v>
      </c>
      <c r="Z35" s="9">
        <v>9635.7415594855302</v>
      </c>
      <c r="AA35" s="134">
        <f t="shared" si="5"/>
        <v>1.1969865291286372</v>
      </c>
      <c r="AB35" s="9">
        <v>9537.5</v>
      </c>
      <c r="AC35" s="9">
        <v>64500</v>
      </c>
      <c r="AD35" s="9">
        <v>11416.797547145216</v>
      </c>
      <c r="AE35" s="134">
        <f t="shared" si="6"/>
        <v>1.1970429931475979</v>
      </c>
      <c r="AF35" s="9">
        <v>9450</v>
      </c>
      <c r="AG35" s="9">
        <v>66000</v>
      </c>
      <c r="AH35" s="9">
        <v>11556.538031198401</v>
      </c>
      <c r="AI35" s="134">
        <f t="shared" si="7"/>
        <v>1.2229140773754921</v>
      </c>
      <c r="AJ35" s="9">
        <v>240.75</v>
      </c>
      <c r="AK35" s="9">
        <v>1600</v>
      </c>
      <c r="AL35" s="9">
        <v>279.8197329161959</v>
      </c>
      <c r="AM35" s="134">
        <f t="shared" si="8"/>
        <v>1.1622834181358086</v>
      </c>
      <c r="AN35" s="9">
        <v>10002.5</v>
      </c>
      <c r="AO35" s="9">
        <v>66770</v>
      </c>
      <c r="AP35" s="9">
        <v>11436.896886768198</v>
      </c>
      <c r="AQ35" s="134">
        <f t="shared" si="9"/>
        <v>1.1434038377173905</v>
      </c>
      <c r="AR35" s="9">
        <v>10500</v>
      </c>
      <c r="AS35" s="9">
        <v>70000</v>
      </c>
      <c r="AT35" s="9">
        <v>12004.977948205438</v>
      </c>
      <c r="AU35" s="134">
        <f t="shared" si="10"/>
        <v>1.1433312331624226</v>
      </c>
      <c r="AV35" s="9">
        <v>9800</v>
      </c>
      <c r="AW35" s="9">
        <v>45900</v>
      </c>
      <c r="AX35" s="9">
        <v>7551.1311294212219</v>
      </c>
      <c r="AY35" s="134">
        <f t="shared" si="11"/>
        <v>0.77052358463481851</v>
      </c>
      <c r="AZ35" s="9">
        <v>9275</v>
      </c>
      <c r="BA35" s="9">
        <v>45300</v>
      </c>
      <c r="BB35" s="9">
        <v>6963.2683203702099</v>
      </c>
      <c r="BC35" s="134">
        <f t="shared" si="12"/>
        <v>0.75075669222320318</v>
      </c>
      <c r="BD35" s="9">
        <v>11025</v>
      </c>
      <c r="BE35" s="9">
        <v>53000</v>
      </c>
      <c r="BF35" s="9">
        <v>8023.4327927203713</v>
      </c>
      <c r="BG35" s="134">
        <f t="shared" si="13"/>
        <v>0.72774900614243732</v>
      </c>
      <c r="BH35" s="9">
        <v>11375</v>
      </c>
      <c r="BI35" s="9">
        <v>55000</v>
      </c>
      <c r="BJ35" s="9">
        <v>7988.4976717070776</v>
      </c>
      <c r="BK35" s="134">
        <f t="shared" si="14"/>
        <v>0.70228550960062219</v>
      </c>
      <c r="BL35" s="9">
        <v>13683.25</v>
      </c>
      <c r="BM35" s="9">
        <v>67630</v>
      </c>
      <c r="BN35" s="9">
        <v>9779.9897327894614</v>
      </c>
      <c r="BO35" s="134">
        <f t="shared" si="15"/>
        <v>0.7147417267673587</v>
      </c>
      <c r="BP35" s="9">
        <v>9572.5</v>
      </c>
      <c r="BQ35" s="9">
        <v>59050</v>
      </c>
      <c r="BR35" s="9">
        <v>9551.9396146548461</v>
      </c>
      <c r="BS35" s="134">
        <f t="shared" si="16"/>
        <v>0.99785214047060289</v>
      </c>
      <c r="BT35" s="9">
        <v>11375</v>
      </c>
      <c r="BU35" s="9">
        <v>59000</v>
      </c>
      <c r="BV35" s="9">
        <v>9006.6976532400568</v>
      </c>
      <c r="BW35" s="134">
        <f t="shared" si="17"/>
        <v>0.79179759588923571</v>
      </c>
      <c r="BX35" s="9">
        <v>9905</v>
      </c>
      <c r="BY35" s="9">
        <v>63050</v>
      </c>
      <c r="BZ35" s="9">
        <v>8490.2507006604665</v>
      </c>
      <c r="CA35" s="134">
        <f t="shared" si="18"/>
        <v>0.85716816765880532</v>
      </c>
      <c r="CB35" s="9">
        <v>13492.5</v>
      </c>
      <c r="CC35" s="9">
        <v>72760</v>
      </c>
      <c r="CD35" s="9">
        <f>IF(CC35/(INDEX('Standards for Conversions'!$H$47:$H$73,MATCH(CB$3,'Standards for Conversions'!$A$47:$A$73,0)))=0,"",CC35/(INDEX('Standards for Conversions'!$H$47:$H$73,MATCH(CB$3,'Standards for Conversions'!$A$47:$A$73,0))))</f>
        <v>8848.8213950928402</v>
      </c>
      <c r="CE35" s="134">
        <f t="shared" si="19"/>
        <v>0.65583260293443324</v>
      </c>
      <c r="CF35" s="9">
        <v>9870</v>
      </c>
      <c r="CG35" s="9">
        <v>65000</v>
      </c>
      <c r="CH35" s="9">
        <f>IF(CG35/(INDEX('Standards for Conversions'!$H$47:$H$73,MATCH(CF$3,'Standards for Conversions'!$A$47:$A$73,0)))=0,"",CG35/(INDEX('Standards for Conversions'!$H$47:$H$73,MATCH(CF$3,'Standards for Conversions'!$A$47:$A$73,0))))</f>
        <v>6371.9543448190952</v>
      </c>
      <c r="CI35" s="134">
        <f t="shared" si="20"/>
        <v>0.64558807951561248</v>
      </c>
      <c r="CJ35" s="9">
        <v>9135</v>
      </c>
      <c r="CK35" s="9">
        <v>60900</v>
      </c>
      <c r="CL35" s="9">
        <f>IF(CK35/(INDEX('Standards for Conversions'!$H$47:$H$73,MATCH(CJ$3,'Standards for Conversions'!$A$47:$A$73,0)))=0,"",CK35/(INDEX('Standards for Conversions'!$H$47:$H$73,MATCH(CJ$3,'Standards for Conversions'!$A$47:$A$73,0))))</f>
        <v>6150.5503687972523</v>
      </c>
      <c r="CM35" s="134">
        <f t="shared" si="21"/>
        <v>0.67329505952898216</v>
      </c>
      <c r="CN35" s="9">
        <v>9000</v>
      </c>
      <c r="CO35" s="9">
        <v>60000</v>
      </c>
      <c r="CP35" s="9">
        <f>IF(CO35/(INDEX('Standards for Conversions'!$H$47:$H$73,MATCH(CN$3,'Standards for Conversions'!$A$47:$A$73,0)))=0,"",CO35/(INDEX('Standards for Conversions'!$H$47:$H$73,MATCH(CN$3,'Standards for Conversions'!$A$47:$A$73,0))))</f>
        <v>6262.9144216563818</v>
      </c>
      <c r="CQ35" s="134">
        <f t="shared" si="22"/>
        <v>0.69587938018404238</v>
      </c>
      <c r="CR35" s="9">
        <v>10000</v>
      </c>
      <c r="CS35" s="9">
        <v>70000</v>
      </c>
      <c r="CT35" s="9">
        <f>IF(CS35/(INDEX('Standards for Conversions'!$H$47:$H$73,MATCH(CR$3,'Standards for Conversions'!$A$47:$A$73,0)))=0,"",CS35/(INDEX('Standards for Conversions'!$H$47:$H$73,MATCH(CR$3,'Standards for Conversions'!$A$47:$A$73,0))))</f>
        <v>6536.0435495785159</v>
      </c>
      <c r="CU35" s="134">
        <f t="shared" si="23"/>
        <v>0.65360435495785163</v>
      </c>
      <c r="CV35" s="9">
        <v>9000</v>
      </c>
      <c r="CW35" s="9">
        <v>60000</v>
      </c>
      <c r="CX35" s="9">
        <f>IF(CW35/(INDEX('Standards for Conversions'!$H$47:$H$73,MATCH(CV$3,'Standards for Conversions'!$A$47:$A$73,0)))=0,"",CW35/(INDEX('Standards for Conversions'!$H$47:$H$73,MATCH(CV$3,'Standards for Conversions'!$A$47:$A$73,0))))</f>
        <v>5475.2862388111571</v>
      </c>
      <c r="CY35" s="134">
        <f t="shared" si="24"/>
        <v>0.60836513764568412</v>
      </c>
      <c r="CZ35" s="9">
        <v>8000</v>
      </c>
      <c r="DA35" s="9">
        <v>53000</v>
      </c>
      <c r="DB35" s="9">
        <f>IF(DA35/(INDEX('Standards for Conversions'!$H$47:$H$73,MATCH(CZ$3,'Standards for Conversions'!$A$47:$A$73,0)))=0,"",DA35/(INDEX('Standards for Conversions'!$H$47:$H$73,MATCH(CZ$3,'Standards for Conversions'!$A$47:$A$73,0))))</f>
        <v>4926.2755188870533</v>
      </c>
      <c r="DC35" s="134">
        <f t="shared" si="25"/>
        <v>0.61578443986088172</v>
      </c>
      <c r="DD35" s="9">
        <v>10043</v>
      </c>
      <c r="DE35" s="9">
        <v>59423</v>
      </c>
      <c r="DF35" s="9">
        <f>IF(DE35/(INDEX('Standards for Conversions'!$H$47:$H$73,MATCH(DD$3,'Standards for Conversions'!$A$47:$A$73,0)))=0,"",DE35/(INDEX('Standards for Conversions'!$H$47:$H$73,MATCH(DD$3,'Standards for Conversions'!$A$47:$A$73,0))))</f>
        <v>5699.4255289443381</v>
      </c>
      <c r="DG35" s="134">
        <f t="shared" si="26"/>
        <v>0.56750229303438593</v>
      </c>
      <c r="DH35" s="9">
        <v>12326</v>
      </c>
      <c r="DI35" s="9">
        <v>68771</v>
      </c>
      <c r="DJ35" s="9">
        <f>IF(DI35/(INDEX('Standards for Conversions'!$H$47:$H$73,MATCH(DH$3,'Standards for Conversions'!$A$47:$A$73,0)))=0,"",DI35/(INDEX('Standards for Conversions'!$H$47:$H$73,MATCH(DH$3,'Standards for Conversions'!$A$47:$A$73,0))))</f>
        <v>6333.9248189960445</v>
      </c>
      <c r="DK35" s="134">
        <f t="shared" si="27"/>
        <v>0.51386701435956872</v>
      </c>
      <c r="DL35" s="9">
        <v>24100</v>
      </c>
      <c r="DM35" s="9">
        <v>136400</v>
      </c>
      <c r="DN35" s="9">
        <f>IF(DM35/(INDEX('Standards for Conversions'!$H$47:$H$73,MATCH(DL$3,'Standards for Conversions'!$A$47:$A$73,0)))=0,"",DM35/(INDEX('Standards for Conversions'!$H$47:$H$73,MATCH(DL$3,'Standards for Conversions'!$A$47:$A$73,0))))</f>
        <v>11118.684514498418</v>
      </c>
      <c r="DO35" s="134">
        <f t="shared" si="28"/>
        <v>0.46135620392109616</v>
      </c>
      <c r="DP35" s="9">
        <v>32800</v>
      </c>
      <c r="DQ35" s="9">
        <v>198500</v>
      </c>
      <c r="DR35" s="9">
        <f>IF(DQ35/(INDEX('Standards for Conversions'!$H$47:$H$73,MATCH(DP$3,'Standards for Conversions'!$A$47:$A$73,0)))=0,"",DQ35/(INDEX('Standards for Conversions'!$H$47:$H$73,MATCH(DP$3,'Standards for Conversions'!$A$47:$A$73,0))))</f>
        <v>16643.091650734332</v>
      </c>
      <c r="DS35" s="134">
        <f t="shared" si="29"/>
        <v>0.50741133081507106</v>
      </c>
      <c r="DT35" s="9">
        <v>15200</v>
      </c>
      <c r="DU35" s="9">
        <v>144400</v>
      </c>
      <c r="DV35" s="9">
        <f>IF(DU35/(INDEX('Standards for Conversions'!$H$47:$H$73,MATCH(DT$3,'Standards for Conversions'!$A$47:$A$73,0)))=0,"",DU35/(INDEX('Standards for Conversions'!$H$47:$H$73,MATCH(DT$3,'Standards for Conversions'!$A$47:$A$73,0))))</f>
        <v>12917.313926667824</v>
      </c>
      <c r="DW35" s="134">
        <f t="shared" si="30"/>
        <v>0.84982328464919898</v>
      </c>
      <c r="DX35" s="9">
        <v>10000</v>
      </c>
      <c r="DY35" s="9">
        <v>9000</v>
      </c>
      <c r="DZ35" s="134">
        <f t="shared" si="31"/>
        <v>0.9</v>
      </c>
      <c r="EA35" s="9">
        <v>21500</v>
      </c>
      <c r="EB35" s="9">
        <v>14333</v>
      </c>
      <c r="EC35" s="134">
        <f t="shared" si="32"/>
        <v>0.66665116279069769</v>
      </c>
      <c r="ED35" s="9">
        <v>20400</v>
      </c>
      <c r="EE35" s="9">
        <v>11147</v>
      </c>
      <c r="EF35" s="134">
        <f t="shared" si="33"/>
        <v>0.54642156862745095</v>
      </c>
      <c r="EG35" s="9">
        <v>21080</v>
      </c>
      <c r="EH35" s="9">
        <v>12274</v>
      </c>
      <c r="EI35" s="134">
        <f t="shared" si="34"/>
        <v>0.58225806451612905</v>
      </c>
      <c r="EJ35" s="9">
        <v>22287</v>
      </c>
      <c r="EK35" s="9">
        <v>14783</v>
      </c>
      <c r="EL35" s="134">
        <f t="shared" si="35"/>
        <v>0.66330147619688606</v>
      </c>
      <c r="EM35" s="9"/>
      <c r="EN35" s="9"/>
      <c r="EO35" s="134" t="str">
        <f t="shared" si="36"/>
        <v/>
      </c>
      <c r="EP35" s="9"/>
      <c r="EQ35" s="9"/>
      <c r="ER35" s="134" t="str">
        <f t="shared" si="37"/>
        <v/>
      </c>
    </row>
    <row r="36" spans="1:148" x14ac:dyDescent="0.3">
      <c r="A36" s="102" t="s">
        <v>160</v>
      </c>
      <c r="B36" s="103" t="s">
        <v>98</v>
      </c>
      <c r="C36" s="103" t="s">
        <v>131</v>
      </c>
      <c r="D36" s="9">
        <v>773.5</v>
      </c>
      <c r="E36" s="9">
        <v>2300</v>
      </c>
      <c r="F36" s="9">
        <v>454.34712837837833</v>
      </c>
      <c r="G36" s="134">
        <f t="shared" si="0"/>
        <v>0.58739124547948074</v>
      </c>
      <c r="H36" s="9">
        <v>437.5</v>
      </c>
      <c r="I36" s="9">
        <v>1700</v>
      </c>
      <c r="J36" s="9">
        <v>327.54322550042002</v>
      </c>
      <c r="K36" s="134">
        <f t="shared" si="1"/>
        <v>0.74867022971524577</v>
      </c>
      <c r="L36" s="9">
        <v>54.25</v>
      </c>
      <c r="M36" s="9">
        <v>550</v>
      </c>
      <c r="N36" s="9">
        <v>98.284140450740111</v>
      </c>
      <c r="O36" s="134">
        <f t="shared" si="2"/>
        <v>1.8116892248984353</v>
      </c>
      <c r="P36" s="9">
        <v>70</v>
      </c>
      <c r="Q36" s="9">
        <v>600</v>
      </c>
      <c r="R36" s="9">
        <v>111.41127683149388</v>
      </c>
      <c r="S36" s="134">
        <f t="shared" si="3"/>
        <v>1.5915896690213411</v>
      </c>
      <c r="T36" s="9">
        <v>105</v>
      </c>
      <c r="U36" s="9">
        <v>800</v>
      </c>
      <c r="V36" s="9">
        <v>142.45060253179221</v>
      </c>
      <c r="W36" s="134">
        <f t="shared" si="4"/>
        <v>1.3566724050646877</v>
      </c>
      <c r="X36" s="9">
        <v>175</v>
      </c>
      <c r="Y36" s="9">
        <v>800</v>
      </c>
      <c r="Z36" s="9">
        <v>138.89357202862027</v>
      </c>
      <c r="AA36" s="134">
        <f t="shared" si="5"/>
        <v>0.79367755444925869</v>
      </c>
      <c r="AB36" s="9">
        <v>201.25</v>
      </c>
      <c r="AC36" s="9">
        <v>1300</v>
      </c>
      <c r="AD36" s="9">
        <v>230.10599707424467</v>
      </c>
      <c r="AE36" s="134">
        <f t="shared" si="6"/>
        <v>1.1433838363937623</v>
      </c>
      <c r="AF36" s="9">
        <v>218.75</v>
      </c>
      <c r="AG36" s="9">
        <v>1500</v>
      </c>
      <c r="AH36" s="9">
        <v>262.64859161814547</v>
      </c>
      <c r="AI36" s="134">
        <f t="shared" si="7"/>
        <v>1.2006792759686651</v>
      </c>
      <c r="AJ36" s="9">
        <v>10164</v>
      </c>
      <c r="AK36" s="9">
        <v>58385</v>
      </c>
      <c r="AL36" s="9">
        <v>10210.796941445062</v>
      </c>
      <c r="AM36" s="134">
        <f t="shared" si="8"/>
        <v>1.0046041855022689</v>
      </c>
      <c r="AN36" s="9">
        <v>178.5</v>
      </c>
      <c r="AO36" s="9">
        <v>950</v>
      </c>
      <c r="AP36" s="9">
        <v>162.72355911981111</v>
      </c>
      <c r="AQ36" s="134">
        <f t="shared" si="9"/>
        <v>0.91161657770202309</v>
      </c>
      <c r="AR36" s="9">
        <v>262.5</v>
      </c>
      <c r="AS36" s="9">
        <v>1200</v>
      </c>
      <c r="AT36" s="9">
        <v>205.79962196923609</v>
      </c>
      <c r="AU36" s="134">
        <f t="shared" si="10"/>
        <v>0.78399855988280409</v>
      </c>
      <c r="AV36" s="9">
        <v>175</v>
      </c>
      <c r="AW36" s="9">
        <v>850</v>
      </c>
      <c r="AX36" s="9">
        <v>139.83576165594855</v>
      </c>
      <c r="AY36" s="134">
        <f t="shared" si="11"/>
        <v>0.79906149517684888</v>
      </c>
      <c r="AZ36" s="9">
        <v>262.5</v>
      </c>
      <c r="BA36" s="9">
        <v>1350</v>
      </c>
      <c r="BB36" s="9">
        <v>207.51461881897976</v>
      </c>
      <c r="BC36" s="134">
        <f t="shared" si="12"/>
        <v>0.79053188121516094</v>
      </c>
      <c r="BD36" s="9">
        <v>245</v>
      </c>
      <c r="BE36" s="9">
        <v>1300</v>
      </c>
      <c r="BF36" s="9">
        <v>196.80118170823553</v>
      </c>
      <c r="BG36" s="134">
        <f t="shared" si="13"/>
        <v>0.80327012942136955</v>
      </c>
      <c r="BH36" s="9">
        <v>175</v>
      </c>
      <c r="BI36" s="9">
        <v>1000</v>
      </c>
      <c r="BJ36" s="9">
        <v>145.24541221285597</v>
      </c>
      <c r="BK36" s="134">
        <f t="shared" si="14"/>
        <v>0.82997378407346267</v>
      </c>
      <c r="BL36" s="9">
        <v>250.25</v>
      </c>
      <c r="BM36" s="9">
        <v>1235</v>
      </c>
      <c r="BN36" s="9">
        <v>178.59363182012396</v>
      </c>
      <c r="BO36" s="134">
        <f t="shared" si="15"/>
        <v>0.71366086641408177</v>
      </c>
      <c r="BP36" s="9">
        <v>3106.25</v>
      </c>
      <c r="BQ36" s="9">
        <v>14900</v>
      </c>
      <c r="BR36" s="9">
        <v>2410.2269307088436</v>
      </c>
      <c r="BS36" s="134">
        <f t="shared" si="16"/>
        <v>0.77592818694852106</v>
      </c>
      <c r="BT36" s="9">
        <v>262.5</v>
      </c>
      <c r="BU36" s="9">
        <v>1000</v>
      </c>
      <c r="BV36" s="9">
        <v>152.65589242779757</v>
      </c>
      <c r="BW36" s="134">
        <f t="shared" si="17"/>
        <v>0.58154625686780026</v>
      </c>
      <c r="BX36" s="9">
        <v>245</v>
      </c>
      <c r="BY36" s="9">
        <v>900</v>
      </c>
      <c r="BZ36" s="9">
        <v>121.19311071521682</v>
      </c>
      <c r="CA36" s="134">
        <f t="shared" si="18"/>
        <v>0.49466575802129314</v>
      </c>
      <c r="CB36" s="9">
        <v>147</v>
      </c>
      <c r="CC36" s="9">
        <v>725</v>
      </c>
      <c r="CD36" s="9">
        <f>IF(CC36/(INDEX('Standards for Conversions'!$H$47:$H$73,MATCH(CB$3,'Standards for Conversions'!$A$47:$A$73,0)))=0,"",CC36/(INDEX('Standards for Conversions'!$H$47:$H$73,MATCH(CB$3,'Standards for Conversions'!$A$47:$A$73,0))))</f>
        <v>88.172010877436904</v>
      </c>
      <c r="CE36" s="134">
        <f t="shared" si="19"/>
        <v>0.59980959780569321</v>
      </c>
      <c r="CF36" s="9"/>
      <c r="CG36" s="9"/>
      <c r="CH36" s="9" t="str">
        <f>IF(CG36/(INDEX('Standards for Conversions'!$H$47:$H$73,MATCH(CF$3,'Standards for Conversions'!$A$47:$A$73,0)))=0,"",CG36/(INDEX('Standards for Conversions'!$H$47:$H$73,MATCH(CF$3,'Standards for Conversions'!$A$47:$A$73,0))))</f>
        <v/>
      </c>
      <c r="CI36" s="134" t="str">
        <f t="shared" si="20"/>
        <v/>
      </c>
      <c r="CJ36" s="9"/>
      <c r="CK36" s="9"/>
      <c r="CL36" s="9" t="str">
        <f>IF(CK36/(INDEX('Standards for Conversions'!$H$47:$H$73,MATCH(CJ$3,'Standards for Conversions'!$A$47:$A$73,0)))=0,"",CK36/(INDEX('Standards for Conversions'!$H$47:$H$73,MATCH(CJ$3,'Standards for Conversions'!$A$47:$A$73,0))))</f>
        <v/>
      </c>
      <c r="CM36" s="134" t="str">
        <f t="shared" si="21"/>
        <v/>
      </c>
      <c r="CN36" s="9"/>
      <c r="CO36" s="9"/>
      <c r="CP36" s="9" t="str">
        <f>IF(CO36/(INDEX('Standards for Conversions'!$H$47:$H$73,MATCH(CN$3,'Standards for Conversions'!$A$47:$A$73,0)))=0,"",CO36/(INDEX('Standards for Conversions'!$H$47:$H$73,MATCH(CN$3,'Standards for Conversions'!$A$47:$A$73,0))))</f>
        <v/>
      </c>
      <c r="CQ36" s="134" t="str">
        <f t="shared" si="22"/>
        <v/>
      </c>
      <c r="CR36" s="9"/>
      <c r="CS36" s="9"/>
      <c r="CT36" s="9" t="str">
        <f>IF(CS36/(INDEX('Standards for Conversions'!$H$47:$H$73,MATCH(CR$3,'Standards for Conversions'!$A$47:$A$73,0)))=0,"",CS36/(INDEX('Standards for Conversions'!$H$47:$H$73,MATCH(CR$3,'Standards for Conversions'!$A$47:$A$73,0))))</f>
        <v/>
      </c>
      <c r="CU36" s="134" t="str">
        <f t="shared" si="23"/>
        <v/>
      </c>
      <c r="CV36" s="9"/>
      <c r="CW36" s="9"/>
      <c r="CX36" s="9" t="str">
        <f>IF(CW36/(INDEX('Standards for Conversions'!$H$47:$H$73,MATCH(CV$3,'Standards for Conversions'!$A$47:$A$73,0)))=0,"",CW36/(INDEX('Standards for Conversions'!$H$47:$H$73,MATCH(CV$3,'Standards for Conversions'!$A$47:$A$73,0))))</f>
        <v/>
      </c>
      <c r="CY36" s="134" t="str">
        <f t="shared" si="24"/>
        <v/>
      </c>
      <c r="CZ36" s="9"/>
      <c r="DA36" s="9"/>
      <c r="DB36" s="9" t="str">
        <f>IF(DA36/(INDEX('Standards for Conversions'!$H$47:$H$73,MATCH(CZ$3,'Standards for Conversions'!$A$47:$A$73,0)))=0,"",DA36/(INDEX('Standards for Conversions'!$H$47:$H$73,MATCH(CZ$3,'Standards for Conversions'!$A$47:$A$73,0))))</f>
        <v/>
      </c>
      <c r="DC36" s="134" t="str">
        <f t="shared" si="25"/>
        <v/>
      </c>
      <c r="DD36" s="9"/>
      <c r="DE36" s="9"/>
      <c r="DF36" s="9" t="str">
        <f>IF(DE36/(INDEX('Standards for Conversions'!$H$47:$H$73,MATCH(DD$3,'Standards for Conversions'!$A$47:$A$73,0)))=0,"",DE36/(INDEX('Standards for Conversions'!$H$47:$H$73,MATCH(DD$3,'Standards for Conversions'!$A$47:$A$73,0))))</f>
        <v/>
      </c>
      <c r="DG36" s="134" t="str">
        <f t="shared" si="26"/>
        <v/>
      </c>
      <c r="DH36" s="9"/>
      <c r="DI36" s="9"/>
      <c r="DJ36" s="9" t="str">
        <f>IF(DI36/(INDEX('Standards for Conversions'!$H$47:$H$73,MATCH(DH$3,'Standards for Conversions'!$A$47:$A$73,0)))=0,"",DI36/(INDEX('Standards for Conversions'!$H$47:$H$73,MATCH(DH$3,'Standards for Conversions'!$A$47:$A$73,0))))</f>
        <v/>
      </c>
      <c r="DK36" s="134" t="str">
        <f t="shared" si="27"/>
        <v/>
      </c>
      <c r="DL36" s="9"/>
      <c r="DM36" s="9"/>
      <c r="DN36" s="9" t="str">
        <f>IF(DM36/(INDEX('Standards for Conversions'!$H$47:$H$73,MATCH(DL$3,'Standards for Conversions'!$A$47:$A$73,0)))=0,"",DM36/(INDEX('Standards for Conversions'!$H$47:$H$73,MATCH(DL$3,'Standards for Conversions'!$A$47:$A$73,0))))</f>
        <v/>
      </c>
      <c r="DO36" s="134" t="str">
        <f t="shared" si="28"/>
        <v/>
      </c>
      <c r="DP36" s="9"/>
      <c r="DQ36" s="9"/>
      <c r="DR36" s="9" t="str">
        <f>IF(DQ36/(INDEX('Standards for Conversions'!$H$47:$H$73,MATCH(DP$3,'Standards for Conversions'!$A$47:$A$73,0)))=0,"",DQ36/(INDEX('Standards for Conversions'!$H$47:$H$73,MATCH(DP$3,'Standards for Conversions'!$A$47:$A$73,0))))</f>
        <v/>
      </c>
      <c r="DS36" s="134" t="str">
        <f t="shared" si="29"/>
        <v/>
      </c>
      <c r="DT36" s="9"/>
      <c r="DU36" s="9"/>
      <c r="DV36" s="9" t="str">
        <f>IF(DU36/(INDEX('Standards for Conversions'!$H$47:$H$73,MATCH(DT$3,'Standards for Conversions'!$A$47:$A$73,0)))=0,"",DU36/(INDEX('Standards for Conversions'!$H$47:$H$73,MATCH(DT$3,'Standards for Conversions'!$A$47:$A$73,0))))</f>
        <v/>
      </c>
      <c r="DW36" s="134" t="str">
        <f t="shared" si="30"/>
        <v/>
      </c>
      <c r="DX36" s="9"/>
      <c r="DY36" s="9"/>
      <c r="DZ36" s="134" t="str">
        <f t="shared" si="31"/>
        <v/>
      </c>
      <c r="EA36" s="9"/>
      <c r="EB36" s="9"/>
      <c r="EC36" s="134" t="str">
        <f t="shared" si="32"/>
        <v/>
      </c>
      <c r="ED36" s="9"/>
      <c r="EE36" s="9"/>
      <c r="EF36" s="134" t="str">
        <f t="shared" si="33"/>
        <v/>
      </c>
      <c r="EG36" s="9"/>
      <c r="EH36" s="9"/>
      <c r="EI36" s="134" t="str">
        <f t="shared" si="34"/>
        <v/>
      </c>
      <c r="EJ36" s="9"/>
      <c r="EK36" s="9"/>
      <c r="EL36" s="134" t="str">
        <f t="shared" si="35"/>
        <v/>
      </c>
      <c r="EM36" s="9">
        <v>80</v>
      </c>
      <c r="EN36" s="9">
        <v>70</v>
      </c>
      <c r="EO36" s="134">
        <f t="shared" si="36"/>
        <v>0.875</v>
      </c>
      <c r="EP36" s="9">
        <v>38</v>
      </c>
      <c r="EQ36" s="9">
        <v>39</v>
      </c>
      <c r="ER36" s="134">
        <f t="shared" si="37"/>
        <v>1.0263157894736843</v>
      </c>
    </row>
    <row r="37" spans="1:148" x14ac:dyDescent="0.3">
      <c r="A37" s="102" t="s">
        <v>143</v>
      </c>
      <c r="B37" s="103" t="s">
        <v>98</v>
      </c>
      <c r="C37" s="103" t="s">
        <v>131</v>
      </c>
      <c r="D37" s="9">
        <v>3.5</v>
      </c>
      <c r="E37" s="9">
        <v>50</v>
      </c>
      <c r="F37" s="9">
        <v>9.877111486486486</v>
      </c>
      <c r="G37" s="134">
        <f t="shared" si="0"/>
        <v>2.8220318532818531</v>
      </c>
      <c r="H37" s="9">
        <v>17.5</v>
      </c>
      <c r="I37" s="9">
        <v>250</v>
      </c>
      <c r="J37" s="9">
        <v>48.168121397120586</v>
      </c>
      <c r="K37" s="134">
        <f t="shared" si="1"/>
        <v>2.752464079835462</v>
      </c>
      <c r="L37" s="9">
        <v>35</v>
      </c>
      <c r="M37" s="9">
        <v>500</v>
      </c>
      <c r="N37" s="9">
        <v>89.349218591581916</v>
      </c>
      <c r="O37" s="134">
        <f t="shared" si="2"/>
        <v>2.5528348169023403</v>
      </c>
      <c r="P37" s="9">
        <v>52.5</v>
      </c>
      <c r="Q37" s="9">
        <v>600</v>
      </c>
      <c r="R37" s="9">
        <v>111.41127683149388</v>
      </c>
      <c r="S37" s="134">
        <f t="shared" si="3"/>
        <v>2.1221195586951214</v>
      </c>
      <c r="T37" s="9">
        <v>87.5</v>
      </c>
      <c r="U37" s="9">
        <v>1200</v>
      </c>
      <c r="V37" s="9">
        <v>213.67590379768833</v>
      </c>
      <c r="W37" s="134">
        <f t="shared" si="4"/>
        <v>2.4420103291164379</v>
      </c>
      <c r="X37" s="9">
        <v>87.5</v>
      </c>
      <c r="Y37" s="9">
        <v>1000</v>
      </c>
      <c r="Z37" s="9">
        <v>173.61696503577531</v>
      </c>
      <c r="AA37" s="134">
        <f t="shared" si="5"/>
        <v>1.9841938861231463</v>
      </c>
      <c r="AB37" s="9">
        <v>43.75</v>
      </c>
      <c r="AC37" s="9">
        <v>500</v>
      </c>
      <c r="AD37" s="9">
        <v>88.502306567017186</v>
      </c>
      <c r="AE37" s="134">
        <f t="shared" si="6"/>
        <v>2.0229098643889643</v>
      </c>
      <c r="AF37" s="9">
        <v>35</v>
      </c>
      <c r="AG37" s="9">
        <v>500</v>
      </c>
      <c r="AH37" s="9">
        <v>87.54953053938182</v>
      </c>
      <c r="AI37" s="134">
        <f t="shared" si="7"/>
        <v>2.5014151582680522</v>
      </c>
      <c r="AJ37" s="9">
        <v>8.75</v>
      </c>
      <c r="AK37" s="9">
        <v>100</v>
      </c>
      <c r="AL37" s="9">
        <v>17.488733307262244</v>
      </c>
      <c r="AM37" s="134">
        <f t="shared" si="8"/>
        <v>1.998712377972828</v>
      </c>
      <c r="AN37" s="9">
        <v>87.5</v>
      </c>
      <c r="AO37" s="9">
        <v>800</v>
      </c>
      <c r="AP37" s="9">
        <v>137.03036557457776</v>
      </c>
      <c r="AQ37" s="134">
        <f t="shared" si="9"/>
        <v>1.5660613208523173</v>
      </c>
      <c r="AR37" s="9">
        <v>87.5</v>
      </c>
      <c r="AS37" s="9">
        <v>800</v>
      </c>
      <c r="AT37" s="9">
        <v>137.19974797949072</v>
      </c>
      <c r="AU37" s="134">
        <f t="shared" si="10"/>
        <v>1.5679971197656082</v>
      </c>
      <c r="AV37" s="9">
        <v>87.5</v>
      </c>
      <c r="AW37" s="9">
        <v>800</v>
      </c>
      <c r="AX37" s="9">
        <v>131.61012861736333</v>
      </c>
      <c r="AY37" s="134">
        <f t="shared" si="11"/>
        <v>1.5041157556270095</v>
      </c>
      <c r="AZ37" s="9">
        <v>131.25</v>
      </c>
      <c r="BA37" s="9">
        <v>850</v>
      </c>
      <c r="BB37" s="9">
        <v>130.65735258972799</v>
      </c>
      <c r="BC37" s="134">
        <f t="shared" si="12"/>
        <v>0.99548459115983234</v>
      </c>
      <c r="BD37" s="9">
        <v>131.25</v>
      </c>
      <c r="BE37" s="9">
        <v>850</v>
      </c>
      <c r="BF37" s="9">
        <v>128.67769573230785</v>
      </c>
      <c r="BG37" s="134">
        <f t="shared" si="13"/>
        <v>0.98040149129377407</v>
      </c>
      <c r="BH37" s="9">
        <v>43.75</v>
      </c>
      <c r="BI37" s="9">
        <v>400</v>
      </c>
      <c r="BJ37" s="9">
        <v>58.098164885142381</v>
      </c>
      <c r="BK37" s="134">
        <f t="shared" si="14"/>
        <v>1.3279580545175402</v>
      </c>
      <c r="BL37" s="9">
        <v>136.5</v>
      </c>
      <c r="BM37" s="9">
        <v>1020</v>
      </c>
      <c r="BN37" s="9">
        <v>147.50243275832102</v>
      </c>
      <c r="BO37" s="134">
        <f t="shared" si="15"/>
        <v>1.0806039029913628</v>
      </c>
      <c r="BP37" s="9">
        <v>218.75</v>
      </c>
      <c r="BQ37" s="9">
        <v>1600</v>
      </c>
      <c r="BR37" s="9">
        <v>258.81631470698989</v>
      </c>
      <c r="BS37" s="134">
        <f t="shared" si="16"/>
        <v>1.1831602958033824</v>
      </c>
      <c r="BT37" s="9">
        <v>175</v>
      </c>
      <c r="BU37" s="9">
        <v>1200</v>
      </c>
      <c r="BV37" s="9">
        <v>183.18707091335708</v>
      </c>
      <c r="BW37" s="134">
        <f t="shared" si="17"/>
        <v>1.0467832623620403</v>
      </c>
      <c r="BX37" s="9">
        <v>227.5</v>
      </c>
      <c r="BY37" s="9">
        <v>1600</v>
      </c>
      <c r="BZ37" s="9">
        <v>215.45441904927435</v>
      </c>
      <c r="CA37" s="134">
        <f t="shared" si="18"/>
        <v>0.94705239142538178</v>
      </c>
      <c r="CB37" s="9">
        <v>122.5</v>
      </c>
      <c r="CC37" s="9">
        <v>1400</v>
      </c>
      <c r="CD37" s="9">
        <f>IF(CC37/(INDEX('Standards for Conversions'!$H$47:$H$73,MATCH(CB$3,'Standards for Conversions'!$A$47:$A$73,0)))=0,"",CC37/(INDEX('Standards for Conversions'!$H$47:$H$73,MATCH(CB$3,'Standards for Conversions'!$A$47:$A$73,0))))</f>
        <v>170.26319341849884</v>
      </c>
      <c r="CE37" s="134">
        <f t="shared" si="19"/>
        <v>1.3899036197428476</v>
      </c>
      <c r="CF37" s="9"/>
      <c r="CG37" s="9"/>
      <c r="CH37" s="9" t="str">
        <f>IF(CG37/(INDEX('Standards for Conversions'!$H$47:$H$73,MATCH(CF$3,'Standards for Conversions'!$A$47:$A$73,0)))=0,"",CG37/(INDEX('Standards for Conversions'!$H$47:$H$73,MATCH(CF$3,'Standards for Conversions'!$A$47:$A$73,0))))</f>
        <v/>
      </c>
      <c r="CI37" s="134" t="str">
        <f t="shared" si="20"/>
        <v/>
      </c>
      <c r="CJ37" s="9"/>
      <c r="CK37" s="9"/>
      <c r="CL37" s="9" t="str">
        <f>IF(CK37/(INDEX('Standards for Conversions'!$H$47:$H$73,MATCH(CJ$3,'Standards for Conversions'!$A$47:$A$73,0)))=0,"",CK37/(INDEX('Standards for Conversions'!$H$47:$H$73,MATCH(CJ$3,'Standards for Conversions'!$A$47:$A$73,0))))</f>
        <v/>
      </c>
      <c r="CM37" s="134" t="str">
        <f t="shared" si="21"/>
        <v/>
      </c>
      <c r="CN37" s="9"/>
      <c r="CO37" s="9"/>
      <c r="CP37" s="9" t="str">
        <f>IF(CO37/(INDEX('Standards for Conversions'!$H$47:$H$73,MATCH(CN$3,'Standards for Conversions'!$A$47:$A$73,0)))=0,"",CO37/(INDEX('Standards for Conversions'!$H$47:$H$73,MATCH(CN$3,'Standards for Conversions'!$A$47:$A$73,0))))</f>
        <v/>
      </c>
      <c r="CQ37" s="134" t="str">
        <f t="shared" si="22"/>
        <v/>
      </c>
      <c r="CR37" s="9"/>
      <c r="CS37" s="9"/>
      <c r="CT37" s="9" t="str">
        <f>IF(CS37/(INDEX('Standards for Conversions'!$H$47:$H$73,MATCH(CR$3,'Standards for Conversions'!$A$47:$A$73,0)))=0,"",CS37/(INDEX('Standards for Conversions'!$H$47:$H$73,MATCH(CR$3,'Standards for Conversions'!$A$47:$A$73,0))))</f>
        <v/>
      </c>
      <c r="CU37" s="134" t="str">
        <f t="shared" si="23"/>
        <v/>
      </c>
      <c r="CV37" s="9"/>
      <c r="CW37" s="9"/>
      <c r="CX37" s="9" t="str">
        <f>IF(CW37/(INDEX('Standards for Conversions'!$H$47:$H$73,MATCH(CV$3,'Standards for Conversions'!$A$47:$A$73,0)))=0,"",CW37/(INDEX('Standards for Conversions'!$H$47:$H$73,MATCH(CV$3,'Standards for Conversions'!$A$47:$A$73,0))))</f>
        <v/>
      </c>
      <c r="CY37" s="134" t="str">
        <f t="shared" si="24"/>
        <v/>
      </c>
      <c r="CZ37" s="9"/>
      <c r="DA37" s="9"/>
      <c r="DB37" s="9" t="str">
        <f>IF(DA37/(INDEX('Standards for Conversions'!$H$47:$H$73,MATCH(CZ$3,'Standards for Conversions'!$A$47:$A$73,0)))=0,"",DA37/(INDEX('Standards for Conversions'!$H$47:$H$73,MATCH(CZ$3,'Standards for Conversions'!$A$47:$A$73,0))))</f>
        <v/>
      </c>
      <c r="DC37" s="134" t="str">
        <f t="shared" si="25"/>
        <v/>
      </c>
      <c r="DD37" s="9"/>
      <c r="DE37" s="9"/>
      <c r="DF37" s="9" t="str">
        <f>IF(DE37/(INDEX('Standards for Conversions'!$H$47:$H$73,MATCH(DD$3,'Standards for Conversions'!$A$47:$A$73,0)))=0,"",DE37/(INDEX('Standards for Conversions'!$H$47:$H$73,MATCH(DD$3,'Standards for Conversions'!$A$47:$A$73,0))))</f>
        <v/>
      </c>
      <c r="DG37" s="134" t="str">
        <f t="shared" si="26"/>
        <v/>
      </c>
      <c r="DH37" s="9"/>
      <c r="DI37" s="9"/>
      <c r="DJ37" s="9" t="str">
        <f>IF(DI37/(INDEX('Standards for Conversions'!$H$47:$H$73,MATCH(DH$3,'Standards for Conversions'!$A$47:$A$73,0)))=0,"",DI37/(INDEX('Standards for Conversions'!$H$47:$H$73,MATCH(DH$3,'Standards for Conversions'!$A$47:$A$73,0))))</f>
        <v/>
      </c>
      <c r="DK37" s="134" t="str">
        <f t="shared" si="27"/>
        <v/>
      </c>
      <c r="DL37" s="9"/>
      <c r="DM37" s="9"/>
      <c r="DN37" s="9" t="str">
        <f>IF(DM37/(INDEX('Standards for Conversions'!$H$47:$H$73,MATCH(DL$3,'Standards for Conversions'!$A$47:$A$73,0)))=0,"",DM37/(INDEX('Standards for Conversions'!$H$47:$H$73,MATCH(DL$3,'Standards for Conversions'!$A$47:$A$73,0))))</f>
        <v/>
      </c>
      <c r="DO37" s="134" t="str">
        <f t="shared" si="28"/>
        <v/>
      </c>
      <c r="DP37" s="9"/>
      <c r="DQ37" s="9"/>
      <c r="DR37" s="9" t="str">
        <f>IF(DQ37/(INDEX('Standards for Conversions'!$H$47:$H$73,MATCH(DP$3,'Standards for Conversions'!$A$47:$A$73,0)))=0,"",DQ37/(INDEX('Standards for Conversions'!$H$47:$H$73,MATCH(DP$3,'Standards for Conversions'!$A$47:$A$73,0))))</f>
        <v/>
      </c>
      <c r="DS37" s="134" t="str">
        <f t="shared" si="29"/>
        <v/>
      </c>
      <c r="DT37" s="9"/>
      <c r="DU37" s="9"/>
      <c r="DV37" s="9" t="str">
        <f>IF(DU37/(INDEX('Standards for Conversions'!$H$47:$H$73,MATCH(DT$3,'Standards for Conversions'!$A$47:$A$73,0)))=0,"",DU37/(INDEX('Standards for Conversions'!$H$47:$H$73,MATCH(DT$3,'Standards for Conversions'!$A$47:$A$73,0))))</f>
        <v/>
      </c>
      <c r="DW37" s="134" t="str">
        <f t="shared" si="30"/>
        <v/>
      </c>
      <c r="DX37" s="9"/>
      <c r="DY37" s="9"/>
      <c r="DZ37" s="134" t="str">
        <f t="shared" si="31"/>
        <v/>
      </c>
      <c r="EA37" s="9"/>
      <c r="EB37" s="9"/>
      <c r="EC37" s="134" t="str">
        <f t="shared" si="32"/>
        <v/>
      </c>
      <c r="ED37" s="9"/>
      <c r="EE37" s="9"/>
      <c r="EF37" s="134" t="str">
        <f t="shared" si="33"/>
        <v/>
      </c>
      <c r="EG37" s="9"/>
      <c r="EH37" s="9"/>
      <c r="EI37" s="134" t="str">
        <f t="shared" si="34"/>
        <v/>
      </c>
      <c r="EJ37" s="9"/>
      <c r="EK37" s="9"/>
      <c r="EL37" s="134" t="str">
        <f t="shared" si="35"/>
        <v/>
      </c>
      <c r="EM37" s="9">
        <v>736</v>
      </c>
      <c r="EN37" s="9">
        <v>474</v>
      </c>
      <c r="EO37" s="134">
        <f t="shared" si="36"/>
        <v>0.64402173913043481</v>
      </c>
      <c r="EP37" s="9">
        <v>732</v>
      </c>
      <c r="EQ37" s="9">
        <v>832</v>
      </c>
      <c r="ER37" s="134">
        <f t="shared" si="37"/>
        <v>1.1366120218579234</v>
      </c>
    </row>
    <row r="38" spans="1:148" x14ac:dyDescent="0.3">
      <c r="A38" s="102" t="s">
        <v>161</v>
      </c>
      <c r="B38" s="103" t="s">
        <v>98</v>
      </c>
      <c r="C38" s="103" t="s">
        <v>131</v>
      </c>
      <c r="D38" s="9"/>
      <c r="E38" s="9"/>
      <c r="F38" s="9"/>
      <c r="G38" s="134" t="str">
        <f t="shared" si="0"/>
        <v/>
      </c>
      <c r="H38" s="9"/>
      <c r="I38" s="9"/>
      <c r="J38" s="9"/>
      <c r="K38" s="134" t="str">
        <f t="shared" si="1"/>
        <v/>
      </c>
      <c r="L38" s="9"/>
      <c r="M38" s="9"/>
      <c r="N38" s="9"/>
      <c r="O38" s="134" t="str">
        <f t="shared" si="2"/>
        <v/>
      </c>
      <c r="P38" s="9"/>
      <c r="Q38" s="9"/>
      <c r="R38" s="9"/>
      <c r="S38" s="134" t="str">
        <f t="shared" si="3"/>
        <v/>
      </c>
      <c r="T38" s="9"/>
      <c r="U38" s="9"/>
      <c r="V38" s="9"/>
      <c r="W38" s="134" t="str">
        <f t="shared" si="4"/>
        <v/>
      </c>
      <c r="X38" s="9"/>
      <c r="Y38" s="9"/>
      <c r="Z38" s="9"/>
      <c r="AA38" s="134" t="str">
        <f t="shared" si="5"/>
        <v/>
      </c>
      <c r="AB38" s="9"/>
      <c r="AC38" s="9"/>
      <c r="AD38" s="9"/>
      <c r="AE38" s="134" t="str">
        <f t="shared" si="6"/>
        <v/>
      </c>
      <c r="AF38" s="9"/>
      <c r="AG38" s="9"/>
      <c r="AH38" s="9"/>
      <c r="AI38" s="134" t="str">
        <f t="shared" si="7"/>
        <v/>
      </c>
      <c r="AJ38" s="9"/>
      <c r="AK38" s="9"/>
      <c r="AL38" s="9"/>
      <c r="AM38" s="134" t="str">
        <f t="shared" si="8"/>
        <v/>
      </c>
      <c r="AN38" s="9"/>
      <c r="AO38" s="9"/>
      <c r="AP38" s="9"/>
      <c r="AQ38" s="134" t="str">
        <f t="shared" si="9"/>
        <v/>
      </c>
      <c r="AR38" s="9"/>
      <c r="AS38" s="9"/>
      <c r="AT38" s="9"/>
      <c r="AU38" s="134" t="str">
        <f t="shared" si="10"/>
        <v/>
      </c>
      <c r="AV38" s="9"/>
      <c r="AW38" s="9"/>
      <c r="AX38" s="9"/>
      <c r="AY38" s="134" t="str">
        <f t="shared" si="11"/>
        <v/>
      </c>
      <c r="AZ38" s="9"/>
      <c r="BA38" s="9"/>
      <c r="BB38" s="9"/>
      <c r="BC38" s="134" t="str">
        <f t="shared" si="12"/>
        <v/>
      </c>
      <c r="BD38" s="9"/>
      <c r="BE38" s="9"/>
      <c r="BF38" s="9" t="s">
        <v>128</v>
      </c>
      <c r="BG38" s="134" t="str">
        <f t="shared" si="13"/>
        <v/>
      </c>
      <c r="BH38" s="9"/>
      <c r="BI38" s="9"/>
      <c r="BJ38" s="9" t="s">
        <v>128</v>
      </c>
      <c r="BK38" s="134" t="str">
        <f t="shared" si="14"/>
        <v/>
      </c>
      <c r="BL38" s="9"/>
      <c r="BM38" s="9"/>
      <c r="BN38" s="9" t="s">
        <v>128</v>
      </c>
      <c r="BO38" s="134" t="str">
        <f t="shared" si="15"/>
        <v/>
      </c>
      <c r="BP38" s="9"/>
      <c r="BQ38" s="9"/>
      <c r="BR38" s="9" t="s">
        <v>128</v>
      </c>
      <c r="BS38" s="134" t="str">
        <f t="shared" si="16"/>
        <v/>
      </c>
      <c r="BT38" s="9"/>
      <c r="BU38" s="9"/>
      <c r="BV38" s="9" t="s">
        <v>128</v>
      </c>
      <c r="BW38" s="134" t="str">
        <f t="shared" si="17"/>
        <v/>
      </c>
      <c r="BX38" s="9"/>
      <c r="BY38" s="9"/>
      <c r="BZ38" s="9" t="s">
        <v>128</v>
      </c>
      <c r="CA38" s="134" t="str">
        <f t="shared" si="18"/>
        <v/>
      </c>
      <c r="CB38" s="9"/>
      <c r="CC38" s="9"/>
      <c r="CD38" s="9" t="str">
        <f>IF(CC38/(INDEX('Standards for Conversions'!$H$47:$H$73,MATCH(CB$3,'Standards for Conversions'!$A$47:$A$73,0)))=0,"",CC38/(INDEX('Standards for Conversions'!$H$47:$H$73,MATCH(CB$3,'Standards for Conversions'!$A$47:$A$73,0))))</f>
        <v/>
      </c>
      <c r="CE38" s="134" t="str">
        <f t="shared" si="19"/>
        <v/>
      </c>
      <c r="CF38" s="9"/>
      <c r="CG38" s="9"/>
      <c r="CH38" s="9" t="str">
        <f>IF(CG38/(INDEX('Standards for Conversions'!$H$47:$H$73,MATCH(CF$3,'Standards for Conversions'!$A$47:$A$73,0)))=0,"",CG38/(INDEX('Standards for Conversions'!$H$47:$H$73,MATCH(CF$3,'Standards for Conversions'!$A$47:$A$73,0))))</f>
        <v/>
      </c>
      <c r="CI38" s="134" t="str">
        <f t="shared" si="20"/>
        <v/>
      </c>
      <c r="CJ38" s="9"/>
      <c r="CK38" s="9"/>
      <c r="CL38" s="9" t="str">
        <f>IF(CK38/(INDEX('Standards for Conversions'!$H$47:$H$73,MATCH(CJ$3,'Standards for Conversions'!$A$47:$A$73,0)))=0,"",CK38/(INDEX('Standards for Conversions'!$H$47:$H$73,MATCH(CJ$3,'Standards for Conversions'!$A$47:$A$73,0))))</f>
        <v/>
      </c>
      <c r="CM38" s="134" t="str">
        <f t="shared" si="21"/>
        <v/>
      </c>
      <c r="CN38" s="9"/>
      <c r="CO38" s="9"/>
      <c r="CP38" s="9" t="str">
        <f>IF(CO38/(INDEX('Standards for Conversions'!$H$47:$H$73,MATCH(CN$3,'Standards for Conversions'!$A$47:$A$73,0)))=0,"",CO38/(INDEX('Standards for Conversions'!$H$47:$H$73,MATCH(CN$3,'Standards for Conversions'!$A$47:$A$73,0))))</f>
        <v/>
      </c>
      <c r="CQ38" s="134" t="str">
        <f t="shared" si="22"/>
        <v/>
      </c>
      <c r="CR38" s="9"/>
      <c r="CS38" s="9"/>
      <c r="CT38" s="9" t="str">
        <f>IF(CS38/(INDEX('Standards for Conversions'!$H$47:$H$73,MATCH(CR$3,'Standards for Conversions'!$A$47:$A$73,0)))=0,"",CS38/(INDEX('Standards for Conversions'!$H$47:$H$73,MATCH(CR$3,'Standards for Conversions'!$A$47:$A$73,0))))</f>
        <v/>
      </c>
      <c r="CU38" s="134" t="str">
        <f t="shared" si="23"/>
        <v/>
      </c>
      <c r="CV38" s="9"/>
      <c r="CW38" s="9"/>
      <c r="CX38" s="9" t="str">
        <f>IF(CW38/(INDEX('Standards for Conversions'!$H$47:$H$73,MATCH(CV$3,'Standards for Conversions'!$A$47:$A$73,0)))=0,"",CW38/(INDEX('Standards for Conversions'!$H$47:$H$73,MATCH(CV$3,'Standards for Conversions'!$A$47:$A$73,0))))</f>
        <v/>
      </c>
      <c r="CY38" s="134" t="str">
        <f t="shared" si="24"/>
        <v/>
      </c>
      <c r="CZ38" s="9"/>
      <c r="DA38" s="9"/>
      <c r="DB38" s="9" t="str">
        <f>IF(DA38/(INDEX('Standards for Conversions'!$H$47:$H$73,MATCH(CZ$3,'Standards for Conversions'!$A$47:$A$73,0)))=0,"",DA38/(INDEX('Standards for Conversions'!$H$47:$H$73,MATCH(CZ$3,'Standards for Conversions'!$A$47:$A$73,0))))</f>
        <v/>
      </c>
      <c r="DC38" s="134" t="str">
        <f t="shared" si="25"/>
        <v/>
      </c>
      <c r="DD38" s="9"/>
      <c r="DE38" s="9"/>
      <c r="DF38" s="9" t="str">
        <f>IF(DE38/(INDEX('Standards for Conversions'!$H$47:$H$73,MATCH(DD$3,'Standards for Conversions'!$A$47:$A$73,0)))=0,"",DE38/(INDEX('Standards for Conversions'!$H$47:$H$73,MATCH(DD$3,'Standards for Conversions'!$A$47:$A$73,0))))</f>
        <v/>
      </c>
      <c r="DG38" s="134" t="str">
        <f t="shared" si="26"/>
        <v/>
      </c>
      <c r="DH38" s="9"/>
      <c r="DI38" s="9"/>
      <c r="DJ38" s="9" t="str">
        <f>IF(DI38/(INDEX('Standards for Conversions'!$H$47:$H$73,MATCH(DH$3,'Standards for Conversions'!$A$47:$A$73,0)))=0,"",DI38/(INDEX('Standards for Conversions'!$H$47:$H$73,MATCH(DH$3,'Standards for Conversions'!$A$47:$A$73,0))))</f>
        <v/>
      </c>
      <c r="DK38" s="134" t="str">
        <f t="shared" si="27"/>
        <v/>
      </c>
      <c r="DL38" s="9"/>
      <c r="DM38" s="9"/>
      <c r="DN38" s="9" t="str">
        <f>IF(DM38/(INDEX('Standards for Conversions'!$H$47:$H$73,MATCH(DL$3,'Standards for Conversions'!$A$47:$A$73,0)))=0,"",DM38/(INDEX('Standards for Conversions'!$H$47:$H$73,MATCH(DL$3,'Standards for Conversions'!$A$47:$A$73,0))))</f>
        <v/>
      </c>
      <c r="DO38" s="134" t="str">
        <f t="shared" si="28"/>
        <v/>
      </c>
      <c r="DP38" s="9"/>
      <c r="DQ38" s="9"/>
      <c r="DR38" s="9" t="str">
        <f>IF(DQ38/(INDEX('Standards for Conversions'!$H$47:$H$73,MATCH(DP$3,'Standards for Conversions'!$A$47:$A$73,0)))=0,"",DQ38/(INDEX('Standards for Conversions'!$H$47:$H$73,MATCH(DP$3,'Standards for Conversions'!$A$47:$A$73,0))))</f>
        <v/>
      </c>
      <c r="DS38" s="134" t="str">
        <f t="shared" si="29"/>
        <v/>
      </c>
      <c r="DT38" s="9"/>
      <c r="DU38" s="9"/>
      <c r="DV38" s="9" t="str">
        <f>IF(DU38/(INDEX('Standards for Conversions'!$H$47:$H$73,MATCH(DT$3,'Standards for Conversions'!$A$47:$A$73,0)))=0,"",DU38/(INDEX('Standards for Conversions'!$H$47:$H$73,MATCH(DT$3,'Standards for Conversions'!$A$47:$A$73,0))))</f>
        <v/>
      </c>
      <c r="DW38" s="134" t="str">
        <f t="shared" si="30"/>
        <v/>
      </c>
      <c r="DX38" s="9"/>
      <c r="DY38" s="9"/>
      <c r="DZ38" s="134" t="str">
        <f t="shared" si="31"/>
        <v/>
      </c>
      <c r="EA38" s="9"/>
      <c r="EB38" s="9"/>
      <c r="EC38" s="134" t="str">
        <f t="shared" si="32"/>
        <v/>
      </c>
      <c r="ED38" s="9"/>
      <c r="EE38" s="9"/>
      <c r="EF38" s="134" t="str">
        <f t="shared" si="33"/>
        <v/>
      </c>
      <c r="EG38" s="9"/>
      <c r="EH38" s="9"/>
      <c r="EI38" s="134" t="str">
        <f t="shared" si="34"/>
        <v/>
      </c>
      <c r="EJ38" s="9"/>
      <c r="EK38" s="9"/>
      <c r="EL38" s="134" t="str">
        <f t="shared" si="35"/>
        <v/>
      </c>
      <c r="EM38" s="9">
        <v>12978</v>
      </c>
      <c r="EN38" s="9">
        <v>9577</v>
      </c>
      <c r="EO38" s="134">
        <f t="shared" si="36"/>
        <v>0.73794113114501469</v>
      </c>
      <c r="EP38" s="9">
        <v>11258</v>
      </c>
      <c r="EQ38" s="9">
        <v>9565</v>
      </c>
      <c r="ER38" s="134">
        <f t="shared" si="37"/>
        <v>0.8496180493871025</v>
      </c>
    </row>
    <row r="39" spans="1:148" x14ac:dyDescent="0.3">
      <c r="A39" s="102" t="s">
        <v>108</v>
      </c>
      <c r="B39" s="10" t="s">
        <v>427</v>
      </c>
      <c r="C39" s="105" t="s">
        <v>416</v>
      </c>
      <c r="D39" s="9"/>
      <c r="E39" s="9"/>
      <c r="F39" s="9"/>
      <c r="G39" s="134" t="str">
        <f t="shared" si="0"/>
        <v/>
      </c>
      <c r="H39" s="9"/>
      <c r="I39" s="9"/>
      <c r="J39" s="9"/>
      <c r="K39" s="134" t="str">
        <f t="shared" si="1"/>
        <v/>
      </c>
      <c r="L39" s="9"/>
      <c r="M39" s="9"/>
      <c r="N39" s="9"/>
      <c r="O39" s="134" t="str">
        <f t="shared" si="2"/>
        <v/>
      </c>
      <c r="P39" s="9"/>
      <c r="Q39" s="9"/>
      <c r="R39" s="9"/>
      <c r="S39" s="134" t="str">
        <f t="shared" si="3"/>
        <v/>
      </c>
      <c r="T39" s="9"/>
      <c r="U39" s="9"/>
      <c r="V39" s="9"/>
      <c r="W39" s="134" t="str">
        <f t="shared" si="4"/>
        <v/>
      </c>
      <c r="X39" s="9"/>
      <c r="Y39" s="9"/>
      <c r="Z39" s="9"/>
      <c r="AA39" s="134" t="str">
        <f t="shared" si="5"/>
        <v/>
      </c>
      <c r="AB39" s="9"/>
      <c r="AC39" s="9"/>
      <c r="AD39" s="9"/>
      <c r="AE39" s="134" t="str">
        <f t="shared" si="6"/>
        <v/>
      </c>
      <c r="AF39" s="9"/>
      <c r="AG39" s="9"/>
      <c r="AH39" s="9"/>
      <c r="AI39" s="134" t="str">
        <f t="shared" si="7"/>
        <v/>
      </c>
      <c r="AJ39" s="9">
        <v>696</v>
      </c>
      <c r="AK39" s="9">
        <v>5730</v>
      </c>
      <c r="AL39" s="9">
        <v>1002.1044185061266</v>
      </c>
      <c r="AM39" s="134">
        <f t="shared" si="8"/>
        <v>1.4398051990030556</v>
      </c>
      <c r="AN39" s="9">
        <v>405</v>
      </c>
      <c r="AO39" s="9">
        <v>4560</v>
      </c>
      <c r="AP39" s="9">
        <v>781.07308377509332</v>
      </c>
      <c r="AQ39" s="134">
        <f t="shared" si="9"/>
        <v>1.9285755154940576</v>
      </c>
      <c r="AR39" s="9">
        <v>500</v>
      </c>
      <c r="AS39" s="9">
        <v>5000</v>
      </c>
      <c r="AT39" s="9">
        <v>857.49842487181706</v>
      </c>
      <c r="AU39" s="134">
        <f t="shared" si="10"/>
        <v>1.7149968497436341</v>
      </c>
      <c r="AV39" s="9">
        <v>520</v>
      </c>
      <c r="AW39" s="9">
        <v>5000</v>
      </c>
      <c r="AX39" s="9">
        <v>822.56330385852084</v>
      </c>
      <c r="AY39" s="134">
        <f t="shared" si="11"/>
        <v>1.5818525074202323</v>
      </c>
      <c r="AZ39" s="9">
        <v>400</v>
      </c>
      <c r="BA39" s="9">
        <v>4000</v>
      </c>
      <c r="BB39" s="9">
        <v>614.85812983401411</v>
      </c>
      <c r="BC39" s="134">
        <f t="shared" si="12"/>
        <v>1.5371453245850353</v>
      </c>
      <c r="BD39" s="9">
        <v>450</v>
      </c>
      <c r="BE39" s="9">
        <v>4500</v>
      </c>
      <c r="BF39" s="9">
        <v>681.23485975927679</v>
      </c>
      <c r="BG39" s="134">
        <f t="shared" si="13"/>
        <v>1.5138552439095039</v>
      </c>
      <c r="BH39" s="9">
        <v>500</v>
      </c>
      <c r="BI39" s="9">
        <v>5000</v>
      </c>
      <c r="BJ39" s="9">
        <v>726.22706106427984</v>
      </c>
      <c r="BK39" s="134">
        <f t="shared" si="14"/>
        <v>1.4524541221285596</v>
      </c>
      <c r="BL39" s="9">
        <v>120</v>
      </c>
      <c r="BM39" s="9">
        <v>886</v>
      </c>
      <c r="BN39" s="9">
        <v>128.12466218026708</v>
      </c>
      <c r="BO39" s="134">
        <f t="shared" si="15"/>
        <v>1.0677055181688924</v>
      </c>
      <c r="BP39" s="9">
        <v>630</v>
      </c>
      <c r="BQ39" s="9">
        <v>2800</v>
      </c>
      <c r="BR39" s="9">
        <v>452.92855073723234</v>
      </c>
      <c r="BS39" s="134">
        <f t="shared" si="16"/>
        <v>0.71893420751941639</v>
      </c>
      <c r="BT39" s="9">
        <v>700</v>
      </c>
      <c r="BU39" s="9">
        <v>3500</v>
      </c>
      <c r="BV39" s="9">
        <v>534.29562349729144</v>
      </c>
      <c r="BW39" s="134">
        <f t="shared" si="17"/>
        <v>0.76327946213898779</v>
      </c>
      <c r="BX39" s="9">
        <v>500</v>
      </c>
      <c r="BY39" s="9">
        <v>2800</v>
      </c>
      <c r="BZ39" s="9">
        <v>377.04523333623007</v>
      </c>
      <c r="CA39" s="134">
        <f t="shared" si="18"/>
        <v>0.75409046667246016</v>
      </c>
      <c r="CB39" s="9">
        <v>500</v>
      </c>
      <c r="CC39" s="9">
        <v>3000</v>
      </c>
      <c r="CD39" s="9">
        <f>IF(CC39/(INDEX('Standards for Conversions'!$H$47:$H$73,MATCH(CB$3,'Standards for Conversions'!$A$47:$A$73,0)))=0,"",CC39/(INDEX('Standards for Conversions'!$H$47:$H$73,MATCH(CB$3,'Standards for Conversions'!$A$47:$A$73,0))))</f>
        <v>364.84970018249754</v>
      </c>
      <c r="CE39" s="134">
        <f t="shared" si="19"/>
        <v>0.72969940036499503</v>
      </c>
      <c r="CF39" s="9"/>
      <c r="CG39" s="9"/>
      <c r="CH39" s="9" t="str">
        <f>IF(CG39/(INDEX('Standards for Conversions'!$H$47:$H$73,MATCH(CF$3,'Standards for Conversions'!$A$47:$A$73,0)))=0,"",CG39/(INDEX('Standards for Conversions'!$H$47:$H$73,MATCH(CF$3,'Standards for Conversions'!$A$47:$A$73,0))))</f>
        <v/>
      </c>
      <c r="CI39" s="134" t="str">
        <f t="shared" si="20"/>
        <v/>
      </c>
      <c r="CJ39" s="9"/>
      <c r="CK39" s="9"/>
      <c r="CL39" s="9" t="str">
        <f>IF(CK39/(INDEX('Standards for Conversions'!$H$47:$H$73,MATCH(CJ$3,'Standards for Conversions'!$A$47:$A$73,0)))=0,"",CK39/(INDEX('Standards for Conversions'!$H$47:$H$73,MATCH(CJ$3,'Standards for Conversions'!$A$47:$A$73,0))))</f>
        <v/>
      </c>
      <c r="CM39" s="134" t="str">
        <f t="shared" si="21"/>
        <v/>
      </c>
      <c r="CN39" s="9"/>
      <c r="CO39" s="9"/>
      <c r="CP39" s="9" t="str">
        <f>IF(CO39/(INDEX('Standards for Conversions'!$H$47:$H$73,MATCH(CN$3,'Standards for Conversions'!$A$47:$A$73,0)))=0,"",CO39/(INDEX('Standards for Conversions'!$H$47:$H$73,MATCH(CN$3,'Standards for Conversions'!$A$47:$A$73,0))))</f>
        <v/>
      </c>
      <c r="CQ39" s="134" t="str">
        <f t="shared" si="22"/>
        <v/>
      </c>
      <c r="CR39" s="9"/>
      <c r="CS39" s="9"/>
      <c r="CT39" s="9" t="str">
        <f>IF(CS39/(INDEX('Standards for Conversions'!$H$47:$H$73,MATCH(CR$3,'Standards for Conversions'!$A$47:$A$73,0)))=0,"",CS39/(INDEX('Standards for Conversions'!$H$47:$H$73,MATCH(CR$3,'Standards for Conversions'!$A$47:$A$73,0))))</f>
        <v/>
      </c>
      <c r="CU39" s="134" t="str">
        <f t="shared" si="23"/>
        <v/>
      </c>
      <c r="CV39" s="9"/>
      <c r="CW39" s="9"/>
      <c r="CX39" s="9" t="str">
        <f>IF(CW39/(INDEX('Standards for Conversions'!$H$47:$H$73,MATCH(CV$3,'Standards for Conversions'!$A$47:$A$73,0)))=0,"",CW39/(INDEX('Standards for Conversions'!$H$47:$H$73,MATCH(CV$3,'Standards for Conversions'!$A$47:$A$73,0))))</f>
        <v/>
      </c>
      <c r="CY39" s="134" t="str">
        <f t="shared" si="24"/>
        <v/>
      </c>
      <c r="CZ39" s="9"/>
      <c r="DA39" s="9"/>
      <c r="DB39" s="9" t="str">
        <f>IF(DA39/(INDEX('Standards for Conversions'!$H$47:$H$73,MATCH(CZ$3,'Standards for Conversions'!$A$47:$A$73,0)))=0,"",DA39/(INDEX('Standards for Conversions'!$H$47:$H$73,MATCH(CZ$3,'Standards for Conversions'!$A$47:$A$73,0))))</f>
        <v/>
      </c>
      <c r="DC39" s="134" t="str">
        <f t="shared" si="25"/>
        <v/>
      </c>
      <c r="DD39" s="9"/>
      <c r="DE39" s="9"/>
      <c r="DF39" s="9" t="str">
        <f>IF(DE39/(INDEX('Standards for Conversions'!$H$47:$H$73,MATCH(DD$3,'Standards for Conversions'!$A$47:$A$73,0)))=0,"",DE39/(INDEX('Standards for Conversions'!$H$47:$H$73,MATCH(DD$3,'Standards for Conversions'!$A$47:$A$73,0))))</f>
        <v/>
      </c>
      <c r="DG39" s="134" t="str">
        <f t="shared" si="26"/>
        <v/>
      </c>
      <c r="DH39" s="9"/>
      <c r="DI39" s="9"/>
      <c r="DJ39" s="9" t="str">
        <f>IF(DI39/(INDEX('Standards for Conversions'!$H$47:$H$73,MATCH(DH$3,'Standards for Conversions'!$A$47:$A$73,0)))=0,"",DI39/(INDEX('Standards for Conversions'!$H$47:$H$73,MATCH(DH$3,'Standards for Conversions'!$A$47:$A$73,0))))</f>
        <v/>
      </c>
      <c r="DK39" s="134" t="str">
        <f t="shared" si="27"/>
        <v/>
      </c>
      <c r="DL39" s="9"/>
      <c r="DM39" s="9"/>
      <c r="DN39" s="9" t="str">
        <f>IF(DM39/(INDEX('Standards for Conversions'!$H$47:$H$73,MATCH(DL$3,'Standards for Conversions'!$A$47:$A$73,0)))=0,"",DM39/(INDEX('Standards for Conversions'!$H$47:$H$73,MATCH(DL$3,'Standards for Conversions'!$A$47:$A$73,0))))</f>
        <v/>
      </c>
      <c r="DO39" s="134" t="str">
        <f t="shared" si="28"/>
        <v/>
      </c>
      <c r="DP39" s="9"/>
      <c r="DQ39" s="9"/>
      <c r="DR39" s="9" t="str">
        <f>IF(DQ39/(INDEX('Standards for Conversions'!$H$47:$H$73,MATCH(DP$3,'Standards for Conversions'!$A$47:$A$73,0)))=0,"",DQ39/(INDEX('Standards for Conversions'!$H$47:$H$73,MATCH(DP$3,'Standards for Conversions'!$A$47:$A$73,0))))</f>
        <v/>
      </c>
      <c r="DS39" s="134" t="str">
        <f t="shared" si="29"/>
        <v/>
      </c>
      <c r="DT39" s="9"/>
      <c r="DU39" s="9"/>
      <c r="DV39" s="9" t="str">
        <f>IF(DU39/(INDEX('Standards for Conversions'!$H$47:$H$73,MATCH(DT$3,'Standards for Conversions'!$A$47:$A$73,0)))=0,"",DU39/(INDEX('Standards for Conversions'!$H$47:$H$73,MATCH(DT$3,'Standards for Conversions'!$A$47:$A$73,0))))</f>
        <v/>
      </c>
      <c r="DW39" s="134" t="str">
        <f t="shared" si="30"/>
        <v/>
      </c>
      <c r="DX39" s="9"/>
      <c r="DY39" s="9"/>
      <c r="DZ39" s="134" t="str">
        <f t="shared" si="31"/>
        <v/>
      </c>
      <c r="EA39" s="9"/>
      <c r="EB39" s="9"/>
      <c r="EC39" s="134" t="str">
        <f t="shared" si="32"/>
        <v/>
      </c>
      <c r="ED39" s="9"/>
      <c r="EE39" s="9"/>
      <c r="EF39" s="134" t="str">
        <f t="shared" si="33"/>
        <v/>
      </c>
      <c r="EG39" s="9"/>
      <c r="EH39" s="9"/>
      <c r="EI39" s="134" t="str">
        <f t="shared" si="34"/>
        <v/>
      </c>
      <c r="EJ39" s="9"/>
      <c r="EK39" s="9"/>
      <c r="EL39" s="134" t="str">
        <f t="shared" si="35"/>
        <v/>
      </c>
      <c r="EM39" s="9">
        <v>8800</v>
      </c>
      <c r="EN39" s="9">
        <v>3043</v>
      </c>
      <c r="EO39" s="134">
        <f t="shared" si="36"/>
        <v>0.34579545454545457</v>
      </c>
      <c r="EP39" s="9">
        <v>7650</v>
      </c>
      <c r="EQ39" s="9">
        <v>4245</v>
      </c>
      <c r="ER39" s="134">
        <f t="shared" si="37"/>
        <v>0.55490196078431375</v>
      </c>
    </row>
    <row r="40" spans="1:148" x14ac:dyDescent="0.3">
      <c r="A40" s="102" t="s">
        <v>109</v>
      </c>
      <c r="B40" s="103" t="s">
        <v>9</v>
      </c>
      <c r="C40" s="103" t="s">
        <v>135</v>
      </c>
      <c r="D40" s="9"/>
      <c r="E40" s="9"/>
      <c r="F40" s="9"/>
      <c r="G40" s="134" t="str">
        <f t="shared" si="0"/>
        <v/>
      </c>
      <c r="H40" s="9"/>
      <c r="I40" s="9"/>
      <c r="J40" s="9"/>
      <c r="K40" s="134" t="str">
        <f t="shared" si="1"/>
        <v/>
      </c>
      <c r="L40" s="9"/>
      <c r="M40" s="9"/>
      <c r="N40" s="9"/>
      <c r="O40" s="134" t="str">
        <f t="shared" si="2"/>
        <v/>
      </c>
      <c r="P40" s="9"/>
      <c r="Q40" s="9"/>
      <c r="R40" s="9"/>
      <c r="S40" s="134" t="str">
        <f t="shared" si="3"/>
        <v/>
      </c>
      <c r="T40" s="9"/>
      <c r="U40" s="9"/>
      <c r="V40" s="9"/>
      <c r="W40" s="134" t="str">
        <f t="shared" si="4"/>
        <v/>
      </c>
      <c r="X40" s="9"/>
      <c r="Y40" s="9"/>
      <c r="Z40" s="9"/>
      <c r="AA40" s="134" t="str">
        <f t="shared" si="5"/>
        <v/>
      </c>
      <c r="AB40" s="9"/>
      <c r="AC40" s="9"/>
      <c r="AD40" s="9"/>
      <c r="AE40" s="134" t="str">
        <f t="shared" si="6"/>
        <v/>
      </c>
      <c r="AF40" s="9"/>
      <c r="AG40" s="9"/>
      <c r="AH40" s="9"/>
      <c r="AI40" s="134" t="str">
        <f t="shared" si="7"/>
        <v/>
      </c>
      <c r="AJ40" s="9"/>
      <c r="AK40" s="9"/>
      <c r="AL40" s="9"/>
      <c r="AM40" s="134" t="str">
        <f t="shared" si="8"/>
        <v/>
      </c>
      <c r="AN40" s="9"/>
      <c r="AO40" s="9"/>
      <c r="AP40" s="9"/>
      <c r="AQ40" s="134" t="str">
        <f t="shared" si="9"/>
        <v/>
      </c>
      <c r="AR40" s="9"/>
      <c r="AS40" s="9"/>
      <c r="AT40" s="9"/>
      <c r="AU40" s="134" t="str">
        <f t="shared" si="10"/>
        <v/>
      </c>
      <c r="AV40" s="9"/>
      <c r="AW40" s="9"/>
      <c r="AX40" s="9"/>
      <c r="AY40" s="134" t="str">
        <f t="shared" si="11"/>
        <v/>
      </c>
      <c r="AZ40" s="9"/>
      <c r="BA40" s="9"/>
      <c r="BB40" s="9"/>
      <c r="BC40" s="134" t="str">
        <f t="shared" si="12"/>
        <v/>
      </c>
      <c r="BD40" s="9"/>
      <c r="BE40" s="9"/>
      <c r="BF40" s="9" t="s">
        <v>128</v>
      </c>
      <c r="BG40" s="134" t="str">
        <f t="shared" si="13"/>
        <v/>
      </c>
      <c r="BH40" s="9"/>
      <c r="BI40" s="9"/>
      <c r="BJ40" s="9" t="s">
        <v>128</v>
      </c>
      <c r="BK40" s="134" t="str">
        <f t="shared" si="14"/>
        <v/>
      </c>
      <c r="BL40" s="9"/>
      <c r="BM40" s="9"/>
      <c r="BN40" s="9" t="s">
        <v>128</v>
      </c>
      <c r="BO40" s="134" t="str">
        <f t="shared" si="15"/>
        <v/>
      </c>
      <c r="BP40" s="9"/>
      <c r="BQ40" s="9"/>
      <c r="BR40" s="9" t="s">
        <v>128</v>
      </c>
      <c r="BS40" s="134" t="str">
        <f t="shared" si="16"/>
        <v/>
      </c>
      <c r="BT40" s="9"/>
      <c r="BU40" s="9"/>
      <c r="BV40" s="9" t="s">
        <v>128</v>
      </c>
      <c r="BW40" s="134" t="str">
        <f t="shared" si="17"/>
        <v/>
      </c>
      <c r="BX40" s="9"/>
      <c r="BY40" s="9"/>
      <c r="BZ40" s="9" t="s">
        <v>128</v>
      </c>
      <c r="CA40" s="134" t="str">
        <f t="shared" si="18"/>
        <v/>
      </c>
      <c r="CB40" s="9"/>
      <c r="CC40" s="9"/>
      <c r="CD40" s="9" t="str">
        <f>IF(CC40/(INDEX('Standards for Conversions'!$H$47:$H$73,MATCH(CB$3,'Standards for Conversions'!$A$47:$A$73,0)))=0,"",CC40/(INDEX('Standards for Conversions'!$H$47:$H$73,MATCH(CB$3,'Standards for Conversions'!$A$47:$A$73,0))))</f>
        <v/>
      </c>
      <c r="CE40" s="134" t="str">
        <f t="shared" si="19"/>
        <v/>
      </c>
      <c r="CF40" s="9">
        <v>1546</v>
      </c>
      <c r="CG40" s="9">
        <v>254000</v>
      </c>
      <c r="CH40" s="9">
        <f>IF(CG40/(INDEX('Standards for Conversions'!$H$47:$H$73,MATCH(CF$3,'Standards for Conversions'!$A$47:$A$73,0)))=0,"",CG40/(INDEX('Standards for Conversions'!$H$47:$H$73,MATCH(CF$3,'Standards for Conversions'!$A$47:$A$73,0))))</f>
        <v>24899.636978216156</v>
      </c>
      <c r="CI40" s="134">
        <f t="shared" si="20"/>
        <v>16.105845393412778</v>
      </c>
      <c r="CJ40" s="9">
        <v>1622</v>
      </c>
      <c r="CK40" s="9">
        <v>267000</v>
      </c>
      <c r="CL40" s="9">
        <f>IF(CK40/(INDEX('Standards for Conversions'!$H$47:$H$73,MATCH(CJ$3,'Standards for Conversions'!$A$47:$A$73,0)))=0,"",CK40/(INDEX('Standards for Conversions'!$H$47:$H$73,MATCH(CJ$3,'Standards for Conversions'!$A$47:$A$73,0))))</f>
        <v>26965.467134135735</v>
      </c>
      <c r="CM40" s="134">
        <f t="shared" si="21"/>
        <v>16.624825606742132</v>
      </c>
      <c r="CN40" s="9">
        <v>1812</v>
      </c>
      <c r="CO40" s="9">
        <v>294000</v>
      </c>
      <c r="CP40" s="9">
        <f>IF(CO40/(INDEX('Standards for Conversions'!$H$47:$H$73,MATCH(CN$3,'Standards for Conversions'!$A$47:$A$73,0)))=0,"",CO40/(INDEX('Standards for Conversions'!$H$47:$H$73,MATCH(CN$3,'Standards for Conversions'!$A$47:$A$73,0))))</f>
        <v>30688.280666116272</v>
      </c>
      <c r="CQ40" s="134">
        <f t="shared" si="22"/>
        <v>16.936137232956</v>
      </c>
      <c r="CR40" s="9">
        <v>1725</v>
      </c>
      <c r="CS40" s="9">
        <v>282000</v>
      </c>
      <c r="CT40" s="9">
        <f>IF(CS40/(INDEX('Standards for Conversions'!$H$47:$H$73,MATCH(CR$3,'Standards for Conversions'!$A$47:$A$73,0)))=0,"",CS40/(INDEX('Standards for Conversions'!$H$47:$H$73,MATCH(CR$3,'Standards for Conversions'!$A$47:$A$73,0))))</f>
        <v>26330.918299730594</v>
      </c>
      <c r="CU40" s="134">
        <f t="shared" si="23"/>
        <v>15.264300463611939</v>
      </c>
      <c r="CV40" s="9">
        <v>1650</v>
      </c>
      <c r="CW40" s="9">
        <v>248000</v>
      </c>
      <c r="CX40" s="9">
        <f>IF(CW40/(INDEX('Standards for Conversions'!$H$47:$H$73,MATCH(CV$3,'Standards for Conversions'!$A$47:$A$73,0)))=0,"",CW40/(INDEX('Standards for Conversions'!$H$47:$H$73,MATCH(CV$3,'Standards for Conversions'!$A$47:$A$73,0))))</f>
        <v>22631.18312041945</v>
      </c>
      <c r="CY40" s="134">
        <f t="shared" si="24"/>
        <v>13.715868557829969</v>
      </c>
      <c r="CZ40" s="31">
        <f>(1/100)*(100000+480)</f>
        <v>1004.8000000000001</v>
      </c>
      <c r="DA40" s="9">
        <v>224000</v>
      </c>
      <c r="DB40" s="9">
        <f>IF(DA40/(INDEX('Standards for Conversions'!$H$47:$H$73,MATCH(CZ$3,'Standards for Conversions'!$A$47:$A$73,0)))=0,"",DA40/(INDEX('Standards for Conversions'!$H$47:$H$73,MATCH(CZ$3,'Standards for Conversions'!$A$47:$A$73,0))))</f>
        <v>20820.485211899999</v>
      </c>
      <c r="DC40" s="134">
        <f t="shared" si="25"/>
        <v>20.721024295282639</v>
      </c>
      <c r="DD40" s="31">
        <f>(1/100)*(228600+477)</f>
        <v>2290.77</v>
      </c>
      <c r="DE40" s="9">
        <v>372753</v>
      </c>
      <c r="DF40" s="9">
        <f>IF(DE40/(INDEX('Standards for Conversions'!$H$47:$H$73,MATCH(DD$3,'Standards for Conversions'!$A$47:$A$73,0)))=0,"",DE40/(INDEX('Standards for Conversions'!$H$47:$H$73,MATCH(DD$3,'Standards for Conversions'!$A$47:$A$73,0))))</f>
        <v>35751.779011335486</v>
      </c>
      <c r="DG40" s="134">
        <f t="shared" si="26"/>
        <v>15.606882843469876</v>
      </c>
      <c r="DH40" s="31">
        <f>(1/100)*(149833+37967)</f>
        <v>1878</v>
      </c>
      <c r="DI40" s="9">
        <v>291128</v>
      </c>
      <c r="DJ40" s="9">
        <f>IF(DI40/(INDEX('Standards for Conversions'!$H$47:$H$73,MATCH(DH$3,'Standards for Conversions'!$A$47:$A$73,0)))=0,"",DI40/(INDEX('Standards for Conversions'!$H$47:$H$73,MATCH(DH$3,'Standards for Conversions'!$A$47:$A$73,0))))</f>
        <v>26813.3786727644</v>
      </c>
      <c r="DK40" s="134">
        <f t="shared" si="27"/>
        <v>14.277624426392119</v>
      </c>
      <c r="DL40" s="31">
        <f>(1/100)*(132200+43400)</f>
        <v>1756</v>
      </c>
      <c r="DM40" s="9">
        <v>288200</v>
      </c>
      <c r="DN40" s="9">
        <f>IF(DM40/(INDEX('Standards for Conversions'!$H$47:$H$73,MATCH(DL$3,'Standards for Conversions'!$A$47:$A$73,0)))=0,"",DM40/(INDEX('Standards for Conversions'!$H$47:$H$73,MATCH(DL$3,'Standards for Conversions'!$A$47:$A$73,0))))</f>
        <v>23492.70437740795</v>
      </c>
      <c r="DO40" s="134">
        <f t="shared" si="28"/>
        <v>13.378533244537557</v>
      </c>
      <c r="DP40" s="31">
        <f>(1/100)*(140500+56200)</f>
        <v>1967</v>
      </c>
      <c r="DQ40" s="9">
        <v>328400</v>
      </c>
      <c r="DR40" s="9">
        <f>IF(DQ40/(INDEX('Standards for Conversions'!$H$47:$H$73,MATCH(DP$3,'Standards for Conversions'!$A$47:$A$73,0)))=0,"",DQ40/(INDEX('Standards for Conversions'!$H$47:$H$73,MATCH(DP$3,'Standards for Conversions'!$A$47:$A$73,0))))</f>
        <v>27534.464977839569</v>
      </c>
      <c r="DS40" s="134">
        <f t="shared" si="29"/>
        <v>13.998202835708982</v>
      </c>
      <c r="DT40" s="9">
        <v>2625</v>
      </c>
      <c r="DU40" s="9">
        <v>423000</v>
      </c>
      <c r="DV40" s="9">
        <f>IF(DU40/(INDEX('Standards for Conversions'!$H$47:$H$73,MATCH(DT$3,'Standards for Conversions'!$A$47:$A$73,0)))=0,"",DU40/(INDEX('Standards for Conversions'!$H$47:$H$73,MATCH(DT$3,'Standards for Conversions'!$A$47:$A$73,0))))</f>
        <v>37839.499937538021</v>
      </c>
      <c r="DW40" s="134">
        <f t="shared" si="30"/>
        <v>14.415047595252579</v>
      </c>
      <c r="DX40" s="9">
        <v>2700</v>
      </c>
      <c r="DY40" s="9">
        <v>49000</v>
      </c>
      <c r="DZ40" s="134">
        <f t="shared" si="31"/>
        <v>18.148148148148149</v>
      </c>
      <c r="EA40" s="9">
        <v>3277</v>
      </c>
      <c r="EB40" s="9">
        <v>54300</v>
      </c>
      <c r="EC40" s="134">
        <f t="shared" si="32"/>
        <v>16.570033567287155</v>
      </c>
      <c r="ED40" s="9">
        <v>2447</v>
      </c>
      <c r="EE40" s="9">
        <v>41633</v>
      </c>
      <c r="EF40" s="134">
        <f t="shared" si="33"/>
        <v>17.013894564773192</v>
      </c>
      <c r="EG40" s="9">
        <v>3667</v>
      </c>
      <c r="EH40" s="9">
        <v>62965</v>
      </c>
      <c r="EI40" s="134">
        <f t="shared" si="34"/>
        <v>17.170711753476958</v>
      </c>
      <c r="EJ40" s="9">
        <v>3667</v>
      </c>
      <c r="EK40" s="9">
        <v>62007</v>
      </c>
      <c r="EL40" s="134">
        <f t="shared" si="35"/>
        <v>16.909462776111262</v>
      </c>
      <c r="EM40" s="9"/>
      <c r="EN40" s="9"/>
      <c r="EO40" s="134" t="str">
        <f t="shared" si="36"/>
        <v/>
      </c>
      <c r="EP40" s="9">
        <v>3301</v>
      </c>
      <c r="EQ40" s="9">
        <v>46323</v>
      </c>
      <c r="ER40" s="134">
        <f t="shared" si="37"/>
        <v>14.033020296879734</v>
      </c>
    </row>
    <row r="41" spans="1:148" x14ac:dyDescent="0.3">
      <c r="A41" s="102" t="s">
        <v>320</v>
      </c>
      <c r="B41" s="10" t="s">
        <v>399</v>
      </c>
      <c r="C41" s="105" t="s">
        <v>131</v>
      </c>
      <c r="D41" s="9"/>
      <c r="E41" s="9"/>
      <c r="F41" s="9"/>
      <c r="G41" s="134" t="str">
        <f t="shared" si="0"/>
        <v/>
      </c>
      <c r="H41" s="9"/>
      <c r="I41" s="9"/>
      <c r="J41" s="9"/>
      <c r="K41" s="134" t="str">
        <f t="shared" si="1"/>
        <v/>
      </c>
      <c r="L41" s="9"/>
      <c r="M41" s="9"/>
      <c r="N41" s="9"/>
      <c r="O41" s="134" t="str">
        <f t="shared" si="2"/>
        <v/>
      </c>
      <c r="P41" s="9"/>
      <c r="Q41" s="9"/>
      <c r="R41" s="9"/>
      <c r="S41" s="134" t="str">
        <f t="shared" si="3"/>
        <v/>
      </c>
      <c r="T41" s="9"/>
      <c r="U41" s="9"/>
      <c r="V41" s="9"/>
      <c r="W41" s="134" t="str">
        <f t="shared" si="4"/>
        <v/>
      </c>
      <c r="X41" s="9"/>
      <c r="Y41" s="9"/>
      <c r="Z41" s="9"/>
      <c r="AA41" s="134" t="str">
        <f t="shared" si="5"/>
        <v/>
      </c>
      <c r="AB41" s="9"/>
      <c r="AC41" s="9"/>
      <c r="AD41" s="9"/>
      <c r="AE41" s="134" t="str">
        <f t="shared" si="6"/>
        <v/>
      </c>
      <c r="AF41" s="9"/>
      <c r="AG41" s="9"/>
      <c r="AH41" s="9"/>
      <c r="AI41" s="134" t="str">
        <f t="shared" si="7"/>
        <v/>
      </c>
      <c r="AJ41" s="9"/>
      <c r="AK41" s="9"/>
      <c r="AL41" s="9"/>
      <c r="AM41" s="134" t="str">
        <f t="shared" si="8"/>
        <v/>
      </c>
      <c r="AN41" s="9"/>
      <c r="AO41" s="9"/>
      <c r="AP41" s="9"/>
      <c r="AQ41" s="134" t="str">
        <f t="shared" si="9"/>
        <v/>
      </c>
      <c r="AR41" s="9"/>
      <c r="AS41" s="9"/>
      <c r="AT41" s="9"/>
      <c r="AU41" s="134" t="str">
        <f t="shared" si="10"/>
        <v/>
      </c>
      <c r="AV41" s="9"/>
      <c r="AW41" s="9"/>
      <c r="AX41" s="9"/>
      <c r="AY41" s="134" t="str">
        <f t="shared" si="11"/>
        <v/>
      </c>
      <c r="AZ41" s="9"/>
      <c r="BA41" s="9"/>
      <c r="BB41" s="9"/>
      <c r="BC41" s="134" t="str">
        <f t="shared" si="12"/>
        <v/>
      </c>
      <c r="BD41" s="9"/>
      <c r="BE41" s="9"/>
      <c r="BF41" s="9" t="s">
        <v>128</v>
      </c>
      <c r="BG41" s="134" t="str">
        <f t="shared" si="13"/>
        <v/>
      </c>
      <c r="BH41" s="9">
        <v>129.60000000000002</v>
      </c>
      <c r="BI41" s="9">
        <v>17000</v>
      </c>
      <c r="BJ41" s="9">
        <v>2469.1720076185511</v>
      </c>
      <c r="BK41" s="134">
        <f t="shared" si="14"/>
        <v>19.052253145204865</v>
      </c>
      <c r="BL41" s="9">
        <v>166.32000000000002</v>
      </c>
      <c r="BM41" s="9">
        <v>20337</v>
      </c>
      <c r="BN41" s="9">
        <v>2940.9382107901711</v>
      </c>
      <c r="BO41" s="134">
        <f t="shared" si="15"/>
        <v>17.682408674784575</v>
      </c>
      <c r="BP41" s="9">
        <v>151.20000000000002</v>
      </c>
      <c r="BQ41" s="9">
        <v>35500</v>
      </c>
      <c r="BR41" s="9">
        <v>5742.4869825613387</v>
      </c>
      <c r="BS41" s="134">
        <f t="shared" si="16"/>
        <v>37.979411260326309</v>
      </c>
      <c r="BT41" s="33">
        <f>2.16*80</f>
        <v>172.8</v>
      </c>
      <c r="BU41" s="9">
        <v>36000</v>
      </c>
      <c r="BV41" s="9">
        <v>5495.6121274007119</v>
      </c>
      <c r="BW41" s="134">
        <f t="shared" si="17"/>
        <v>31.803310922457822</v>
      </c>
      <c r="BX41" s="9">
        <v>183.60000000000002</v>
      </c>
      <c r="BY41" s="9">
        <v>38000</v>
      </c>
      <c r="BZ41" s="9">
        <v>5117.0424524202654</v>
      </c>
      <c r="CA41" s="134">
        <f t="shared" si="18"/>
        <v>27.870601592702968</v>
      </c>
      <c r="CB41" s="9">
        <v>170.64000000000001</v>
      </c>
      <c r="CC41" s="9">
        <v>36045</v>
      </c>
      <c r="CD41" s="9">
        <v>4383.6691476927081</v>
      </c>
      <c r="CE41" s="134">
        <f t="shared" si="19"/>
        <v>25.689575408419525</v>
      </c>
      <c r="CF41" s="9"/>
      <c r="CG41" s="9"/>
      <c r="CH41" s="9"/>
      <c r="CI41" s="134"/>
      <c r="CJ41" s="9"/>
      <c r="CK41" s="9"/>
      <c r="CL41" s="9"/>
      <c r="CM41" s="134"/>
      <c r="CN41" s="9"/>
      <c r="CO41" s="9"/>
      <c r="CP41" s="9"/>
      <c r="CQ41" s="134"/>
      <c r="CR41" s="9"/>
      <c r="CS41" s="9"/>
      <c r="CT41" s="9"/>
      <c r="CU41" s="134"/>
      <c r="CV41" s="9"/>
      <c r="CW41" s="9"/>
      <c r="CX41" s="9"/>
      <c r="CY41" s="134"/>
      <c r="CZ41" s="9"/>
      <c r="DA41" s="9"/>
      <c r="DB41" s="9"/>
      <c r="DC41" s="134"/>
      <c r="DD41" s="9"/>
      <c r="DE41" s="9"/>
      <c r="DF41" s="9"/>
      <c r="DG41" s="134"/>
      <c r="DH41" s="9"/>
      <c r="DI41" s="9"/>
      <c r="DJ41" s="9"/>
      <c r="DK41" s="134"/>
      <c r="DL41" s="9"/>
      <c r="DM41" s="9"/>
      <c r="DN41" s="9"/>
      <c r="DO41" s="134"/>
      <c r="DP41" s="9"/>
      <c r="DQ41" s="9"/>
      <c r="DR41" s="9"/>
      <c r="DS41" s="134"/>
      <c r="DT41" s="9"/>
      <c r="DU41" s="9"/>
      <c r="DV41" s="9"/>
      <c r="DW41" s="134"/>
      <c r="DX41" s="9"/>
      <c r="DY41" s="9"/>
      <c r="DZ41" s="134"/>
      <c r="EA41" s="9"/>
      <c r="EB41" s="9"/>
      <c r="EC41" s="134"/>
      <c r="ED41" s="9"/>
      <c r="EE41" s="9"/>
      <c r="EF41" s="134"/>
      <c r="EG41" s="9"/>
      <c r="EH41" s="9"/>
      <c r="EI41" s="134"/>
      <c r="EJ41" s="9"/>
      <c r="EK41" s="9"/>
      <c r="EL41" s="134"/>
      <c r="EM41" s="9"/>
      <c r="EN41" s="9"/>
      <c r="EO41" s="134"/>
      <c r="EP41" s="9"/>
      <c r="EQ41" s="9"/>
      <c r="ER41" s="134"/>
    </row>
    <row r="42" spans="1:148" x14ac:dyDescent="0.3">
      <c r="A42" s="104" t="s">
        <v>420</v>
      </c>
      <c r="B42" s="105" t="s">
        <v>40</v>
      </c>
      <c r="C42" s="105" t="s">
        <v>423</v>
      </c>
      <c r="D42" s="9"/>
      <c r="E42" s="9"/>
      <c r="F42" s="9"/>
      <c r="G42" s="134" t="str">
        <f t="shared" si="0"/>
        <v/>
      </c>
      <c r="H42" s="9"/>
      <c r="I42" s="9"/>
      <c r="J42" s="9"/>
      <c r="K42" s="134" t="str">
        <f t="shared" si="1"/>
        <v/>
      </c>
      <c r="L42" s="9"/>
      <c r="M42" s="9"/>
      <c r="N42" s="9"/>
      <c r="O42" s="134" t="str">
        <f t="shared" si="2"/>
        <v/>
      </c>
      <c r="P42" s="9"/>
      <c r="Q42" s="9"/>
      <c r="R42" s="9"/>
      <c r="S42" s="134" t="str">
        <f t="shared" si="3"/>
        <v/>
      </c>
      <c r="T42" s="9"/>
      <c r="U42" s="9"/>
      <c r="V42" s="9"/>
      <c r="W42" s="134" t="str">
        <f t="shared" si="4"/>
        <v/>
      </c>
      <c r="X42" s="9"/>
      <c r="Y42" s="9"/>
      <c r="Z42" s="9"/>
      <c r="AA42" s="134" t="str">
        <f t="shared" si="5"/>
        <v/>
      </c>
      <c r="AB42" s="9"/>
      <c r="AC42" s="9"/>
      <c r="AD42" s="9"/>
      <c r="AE42" s="134" t="str">
        <f t="shared" si="6"/>
        <v/>
      </c>
      <c r="AF42" s="9"/>
      <c r="AG42" s="9"/>
      <c r="AH42" s="9"/>
      <c r="AI42" s="134" t="str">
        <f t="shared" si="7"/>
        <v/>
      </c>
      <c r="AJ42" s="9"/>
      <c r="AK42" s="9"/>
      <c r="AL42" s="9"/>
      <c r="AM42" s="134" t="str">
        <f t="shared" si="8"/>
        <v/>
      </c>
      <c r="AN42" s="9"/>
      <c r="AO42" s="9"/>
      <c r="AP42" s="9"/>
      <c r="AQ42" s="134" t="str">
        <f t="shared" si="9"/>
        <v/>
      </c>
      <c r="AR42" s="9"/>
      <c r="AS42" s="9"/>
      <c r="AT42" s="9"/>
      <c r="AU42" s="134" t="str">
        <f t="shared" si="10"/>
        <v/>
      </c>
      <c r="AV42" s="9"/>
      <c r="AW42" s="9"/>
      <c r="AX42" s="9"/>
      <c r="AY42" s="134" t="str">
        <f t="shared" si="11"/>
        <v/>
      </c>
      <c r="AZ42" s="9"/>
      <c r="BA42" s="9"/>
      <c r="BB42" s="9"/>
      <c r="BC42" s="134" t="str">
        <f t="shared" si="12"/>
        <v/>
      </c>
      <c r="BD42" s="9"/>
      <c r="BE42" s="9"/>
      <c r="BF42" s="9" t="s">
        <v>128</v>
      </c>
      <c r="BG42" s="134" t="str">
        <f t="shared" si="13"/>
        <v/>
      </c>
      <c r="BH42" s="9">
        <v>25.92</v>
      </c>
      <c r="BI42" s="9">
        <v>4000</v>
      </c>
      <c r="BJ42" s="9">
        <v>580.98164885142387</v>
      </c>
      <c r="BK42" s="134">
        <f t="shared" si="14"/>
        <v>22.414415464946906</v>
      </c>
      <c r="BL42" s="9">
        <v>47</v>
      </c>
      <c r="BM42" s="9">
        <v>7899</v>
      </c>
      <c r="BN42" s="9">
        <v>1142.2761925078212</v>
      </c>
      <c r="BO42" s="134">
        <f t="shared" si="15"/>
        <v>24.303748776762152</v>
      </c>
      <c r="BP42" s="9">
        <v>50</v>
      </c>
      <c r="BQ42" s="9">
        <v>6800</v>
      </c>
      <c r="BR42" s="9">
        <v>1099.969337504707</v>
      </c>
      <c r="BS42" s="134">
        <f t="shared" si="16"/>
        <v>21.999386750094139</v>
      </c>
      <c r="BT42" s="9">
        <v>40</v>
      </c>
      <c r="BU42" s="9">
        <v>6000</v>
      </c>
      <c r="BV42" s="9">
        <v>915.93535456678535</v>
      </c>
      <c r="BW42" s="134">
        <f t="shared" si="17"/>
        <v>22.898383864169634</v>
      </c>
      <c r="BX42" s="9">
        <v>50</v>
      </c>
      <c r="BY42" s="9">
        <v>8000</v>
      </c>
      <c r="BZ42" s="9">
        <v>1077.2720952463717</v>
      </c>
      <c r="CA42" s="134">
        <f t="shared" si="18"/>
        <v>21.545441904927433</v>
      </c>
      <c r="CB42" s="9">
        <v>37</v>
      </c>
      <c r="CC42" s="9">
        <v>4100</v>
      </c>
      <c r="CD42" s="9">
        <v>498.62792358274663</v>
      </c>
      <c r="CE42" s="134">
        <f t="shared" si="19"/>
        <v>13.47643036710126</v>
      </c>
      <c r="CF42" s="9"/>
      <c r="CG42" s="9"/>
      <c r="CH42" s="9"/>
      <c r="CI42" s="134"/>
      <c r="CJ42" s="9"/>
      <c r="CK42" s="9"/>
      <c r="CL42" s="9"/>
      <c r="CM42" s="134"/>
      <c r="CN42" s="9"/>
      <c r="CO42" s="9"/>
      <c r="CP42" s="9"/>
      <c r="CQ42" s="134"/>
      <c r="CR42" s="9"/>
      <c r="CS42" s="9"/>
      <c r="CT42" s="9"/>
      <c r="CU42" s="134"/>
      <c r="CV42" s="9"/>
      <c r="CW42" s="9"/>
      <c r="CX42" s="9"/>
      <c r="CY42" s="134"/>
      <c r="CZ42" s="9"/>
      <c r="DA42" s="9"/>
      <c r="DB42" s="9"/>
      <c r="DC42" s="134"/>
      <c r="DD42" s="9"/>
      <c r="DE42" s="9"/>
      <c r="DF42" s="9"/>
      <c r="DG42" s="134"/>
      <c r="DH42" s="9"/>
      <c r="DI42" s="9"/>
      <c r="DJ42" s="9"/>
      <c r="DK42" s="134"/>
      <c r="DL42" s="9"/>
      <c r="DM42" s="9"/>
      <c r="DN42" s="9"/>
      <c r="DO42" s="134"/>
      <c r="DP42" s="9"/>
      <c r="DQ42" s="9"/>
      <c r="DR42" s="9"/>
      <c r="DS42" s="134"/>
      <c r="DT42" s="9"/>
      <c r="DU42" s="9"/>
      <c r="DV42" s="9"/>
      <c r="DW42" s="134"/>
      <c r="DX42" s="9"/>
      <c r="DY42" s="9"/>
      <c r="DZ42" s="134"/>
      <c r="EA42" s="9"/>
      <c r="EB42" s="9"/>
      <c r="EC42" s="134"/>
      <c r="ED42" s="9"/>
      <c r="EE42" s="9"/>
      <c r="EF42" s="134"/>
      <c r="EG42" s="9"/>
      <c r="EH42" s="9"/>
      <c r="EI42" s="134"/>
      <c r="EJ42" s="9"/>
      <c r="EK42" s="9"/>
      <c r="EL42" s="134"/>
      <c r="EM42" s="9"/>
      <c r="EN42" s="9"/>
      <c r="EO42" s="134"/>
      <c r="EP42" s="9"/>
      <c r="EQ42" s="9"/>
      <c r="ER42" s="134"/>
    </row>
    <row r="43" spans="1:148" x14ac:dyDescent="0.3">
      <c r="A43" s="102" t="s">
        <v>321</v>
      </c>
      <c r="B43" s="10" t="s">
        <v>98</v>
      </c>
      <c r="C43" s="105" t="s">
        <v>131</v>
      </c>
      <c r="D43" s="9">
        <v>386.64</v>
      </c>
      <c r="E43" s="9">
        <v>72500</v>
      </c>
      <c r="F43" s="9">
        <v>14321.811655405403</v>
      </c>
      <c r="G43" s="134">
        <f t="shared" si="0"/>
        <v>37.041722675888174</v>
      </c>
      <c r="H43" s="9">
        <v>248.4</v>
      </c>
      <c r="I43" s="9">
        <v>45500</v>
      </c>
      <c r="J43" s="9">
        <v>8766.598094275947</v>
      </c>
      <c r="K43" s="134">
        <f t="shared" si="1"/>
        <v>35.292262859403969</v>
      </c>
      <c r="L43" s="9">
        <v>291.60000000000002</v>
      </c>
      <c r="M43" s="9">
        <v>67500</v>
      </c>
      <c r="N43" s="9">
        <v>12062.14450986356</v>
      </c>
      <c r="O43" s="134">
        <f t="shared" si="2"/>
        <v>41.365378977584221</v>
      </c>
      <c r="P43" s="9">
        <v>302.40000000000003</v>
      </c>
      <c r="Q43" s="9">
        <v>60000</v>
      </c>
      <c r="R43" s="9">
        <v>11141.127683149387</v>
      </c>
      <c r="S43" s="134">
        <f t="shared" si="3"/>
        <v>36.842353449568073</v>
      </c>
      <c r="T43" s="9">
        <v>302.40000000000003</v>
      </c>
      <c r="U43" s="9">
        <v>45000</v>
      </c>
      <c r="V43" s="9">
        <v>8012.8463924133121</v>
      </c>
      <c r="W43" s="134">
        <f t="shared" si="4"/>
        <v>26.497507911419678</v>
      </c>
      <c r="X43" s="9">
        <v>194.40000000000003</v>
      </c>
      <c r="Y43" s="9">
        <v>34000</v>
      </c>
      <c r="Z43" s="9">
        <v>5902.9768112163611</v>
      </c>
      <c r="AA43" s="134">
        <f t="shared" si="5"/>
        <v>30.365107053582101</v>
      </c>
      <c r="AB43" s="9">
        <v>105.84</v>
      </c>
      <c r="AC43" s="9">
        <v>15600</v>
      </c>
      <c r="AD43" s="9">
        <v>2761.271964890936</v>
      </c>
      <c r="AE43" s="134">
        <f t="shared" si="6"/>
        <v>26.089115314540212</v>
      </c>
      <c r="AF43" s="9">
        <v>345.6</v>
      </c>
      <c r="AG43" s="9">
        <v>40000</v>
      </c>
      <c r="AH43" s="9">
        <v>7003.9624431505463</v>
      </c>
      <c r="AI43" s="134">
        <f t="shared" si="7"/>
        <v>20.26609503226431</v>
      </c>
      <c r="AJ43" s="9">
        <v>408.24</v>
      </c>
      <c r="AK43" s="9">
        <v>66250</v>
      </c>
      <c r="AL43" s="9">
        <v>11586.285816061238</v>
      </c>
      <c r="AM43" s="134">
        <f t="shared" si="8"/>
        <v>28.381064609203502</v>
      </c>
      <c r="AN43" s="9">
        <v>73.98</v>
      </c>
      <c r="AO43" s="9">
        <v>38440</v>
      </c>
      <c r="AP43" s="9">
        <v>6584.3090658584615</v>
      </c>
      <c r="AQ43" s="134">
        <f t="shared" si="9"/>
        <v>89.001203918065173</v>
      </c>
      <c r="AR43" s="9">
        <v>74.7</v>
      </c>
      <c r="AS43" s="9">
        <v>35000</v>
      </c>
      <c r="AT43" s="9">
        <v>6002.4889741027191</v>
      </c>
      <c r="AU43" s="134">
        <f t="shared" si="10"/>
        <v>80.354604740330913</v>
      </c>
      <c r="AV43" s="9">
        <v>73.44</v>
      </c>
      <c r="AW43" s="9">
        <v>15500</v>
      </c>
      <c r="AX43" s="9">
        <v>2549.9462419614147</v>
      </c>
      <c r="AY43" s="134">
        <f t="shared" si="11"/>
        <v>34.721490222786151</v>
      </c>
      <c r="AZ43" s="9">
        <v>117.9</v>
      </c>
      <c r="BA43" s="9">
        <v>18000</v>
      </c>
      <c r="BB43" s="9">
        <v>2766.8615842530635</v>
      </c>
      <c r="BC43" s="134">
        <f t="shared" si="12"/>
        <v>23.467867550916569</v>
      </c>
      <c r="BD43" s="9">
        <v>145.80000000000001</v>
      </c>
      <c r="BE43" s="9">
        <v>22000</v>
      </c>
      <c r="BF43" s="9">
        <v>3330.4815366009088</v>
      </c>
      <c r="BG43" s="134">
        <f t="shared" si="13"/>
        <v>22.842808893010346</v>
      </c>
      <c r="BH43" s="9">
        <v>50.4</v>
      </c>
      <c r="BI43" s="9">
        <v>9000</v>
      </c>
      <c r="BJ43" s="9">
        <v>1307.2087099157036</v>
      </c>
      <c r="BK43" s="134">
        <f t="shared" si="14"/>
        <v>25.936680752295707</v>
      </c>
      <c r="BL43" s="9">
        <v>12.6</v>
      </c>
      <c r="BM43" s="9">
        <v>5000</v>
      </c>
      <c r="BN43" s="9">
        <v>723.05114097216176</v>
      </c>
      <c r="BO43" s="134">
        <f t="shared" si="15"/>
        <v>57.385011188266809</v>
      </c>
      <c r="BP43" s="9">
        <v>7.5600000000000005</v>
      </c>
      <c r="BQ43" s="9">
        <v>4000</v>
      </c>
      <c r="BR43" s="9">
        <v>647.04078676747474</v>
      </c>
      <c r="BS43" s="134">
        <f t="shared" si="16"/>
        <v>85.587405657073376</v>
      </c>
      <c r="BT43" s="9">
        <v>10.08</v>
      </c>
      <c r="BU43" s="9">
        <v>4000</v>
      </c>
      <c r="BV43" s="9">
        <v>610.62356971119027</v>
      </c>
      <c r="BW43" s="134">
        <f t="shared" si="17"/>
        <v>60.577735090395862</v>
      </c>
      <c r="BX43" s="9">
        <v>6.3</v>
      </c>
      <c r="BY43" s="9">
        <v>2500</v>
      </c>
      <c r="BZ43" s="9">
        <v>336.64752976449114</v>
      </c>
      <c r="CA43" s="134">
        <f t="shared" si="18"/>
        <v>53.436115835633515</v>
      </c>
      <c r="CB43" s="9">
        <v>1.26</v>
      </c>
      <c r="CC43" s="9">
        <v>450</v>
      </c>
      <c r="CD43" s="9">
        <v>54.727455027374631</v>
      </c>
      <c r="CE43" s="134">
        <f t="shared" si="19"/>
        <v>43.43448811696399</v>
      </c>
      <c r="CF43" s="9"/>
      <c r="CG43" s="9"/>
      <c r="CH43" s="9"/>
      <c r="CI43" s="134"/>
      <c r="CJ43" s="9"/>
      <c r="CK43" s="9"/>
      <c r="CL43" s="9"/>
      <c r="CM43" s="134"/>
      <c r="CN43" s="9"/>
      <c r="CO43" s="9"/>
      <c r="CP43" s="9"/>
      <c r="CQ43" s="134"/>
      <c r="CR43" s="9"/>
      <c r="CS43" s="9"/>
      <c r="CT43" s="9"/>
      <c r="CU43" s="134"/>
      <c r="CV43" s="9"/>
      <c r="CW43" s="9"/>
      <c r="CX43" s="9"/>
      <c r="CY43" s="134"/>
      <c r="CZ43" s="9"/>
      <c r="DA43" s="9"/>
      <c r="DB43" s="9"/>
      <c r="DC43" s="134"/>
      <c r="DD43" s="9"/>
      <c r="DE43" s="9"/>
      <c r="DF43" s="9"/>
      <c r="DG43" s="134"/>
      <c r="DH43" s="9"/>
      <c r="DI43" s="9"/>
      <c r="DJ43" s="9"/>
      <c r="DK43" s="134"/>
      <c r="DL43" s="9"/>
      <c r="DM43" s="9"/>
      <c r="DN43" s="9"/>
      <c r="DO43" s="134"/>
      <c r="DP43" s="9"/>
      <c r="DQ43" s="9"/>
      <c r="DR43" s="9"/>
      <c r="DS43" s="134"/>
      <c r="DT43" s="9"/>
      <c r="DU43" s="9"/>
      <c r="DV43" s="9"/>
      <c r="DW43" s="134"/>
      <c r="DX43" s="9"/>
      <c r="DY43" s="9"/>
      <c r="DZ43" s="134"/>
      <c r="EA43" s="9"/>
      <c r="EB43" s="9"/>
      <c r="EC43" s="134"/>
      <c r="ED43" s="9"/>
      <c r="EE43" s="9"/>
      <c r="EF43" s="134"/>
      <c r="EG43" s="9"/>
      <c r="EH43" s="9"/>
      <c r="EI43" s="134"/>
      <c r="EJ43" s="9"/>
      <c r="EK43" s="9"/>
      <c r="EL43" s="134"/>
      <c r="EM43" s="9"/>
      <c r="EN43" s="9"/>
      <c r="EO43" s="134"/>
      <c r="EP43" s="9"/>
      <c r="EQ43" s="9"/>
      <c r="ER43" s="134"/>
    </row>
    <row r="44" spans="1:148" x14ac:dyDescent="0.3">
      <c r="A44" s="104" t="s">
        <v>363</v>
      </c>
      <c r="B44" s="10" t="s">
        <v>98</v>
      </c>
      <c r="C44" s="105" t="s">
        <v>131</v>
      </c>
      <c r="D44" s="9">
        <v>289.44</v>
      </c>
      <c r="E44" s="9">
        <v>27000</v>
      </c>
      <c r="F44" s="9">
        <v>5333.6402027027016</v>
      </c>
      <c r="G44" s="134">
        <f t="shared" si="0"/>
        <v>18.427446803146427</v>
      </c>
      <c r="H44" s="9">
        <v>313.2</v>
      </c>
      <c r="I44" s="9">
        <v>34000</v>
      </c>
      <c r="J44" s="9">
        <v>6550.8645100084004</v>
      </c>
      <c r="K44" s="134">
        <f t="shared" si="1"/>
        <v>20.915914782913156</v>
      </c>
      <c r="L44" s="9">
        <v>97.2</v>
      </c>
      <c r="M44" s="9">
        <v>9000</v>
      </c>
      <c r="N44" s="9">
        <v>1608.2859346484747</v>
      </c>
      <c r="O44" s="134">
        <f t="shared" si="2"/>
        <v>16.546151591033691</v>
      </c>
      <c r="P44" s="9">
        <v>183.60000000000002</v>
      </c>
      <c r="Q44" s="9">
        <v>24000</v>
      </c>
      <c r="R44" s="9">
        <v>4456.4510732597546</v>
      </c>
      <c r="S44" s="134">
        <f t="shared" si="3"/>
        <v>24.27260933148014</v>
      </c>
      <c r="T44" s="9">
        <v>156.60000000000002</v>
      </c>
      <c r="U44" s="9">
        <v>20000</v>
      </c>
      <c r="V44" s="9">
        <v>3561.2650632948053</v>
      </c>
      <c r="W44" s="134">
        <f t="shared" si="4"/>
        <v>22.741156215164782</v>
      </c>
      <c r="X44" s="9">
        <v>202.5</v>
      </c>
      <c r="Y44" s="9">
        <v>27000</v>
      </c>
      <c r="Z44" s="9">
        <v>4687.6580559659333</v>
      </c>
      <c r="AA44" s="134">
        <f t="shared" si="5"/>
        <v>23.148928671436707</v>
      </c>
      <c r="AB44" s="9">
        <v>110.7</v>
      </c>
      <c r="AC44" s="9">
        <v>14500</v>
      </c>
      <c r="AD44" s="9">
        <v>2566.5668904434983</v>
      </c>
      <c r="AE44" s="134">
        <f t="shared" si="6"/>
        <v>23.184886092533858</v>
      </c>
      <c r="AF44" s="9">
        <v>211.5</v>
      </c>
      <c r="AG44" s="9">
        <v>40000</v>
      </c>
      <c r="AH44" s="9">
        <v>7003.9624431505463</v>
      </c>
      <c r="AI44" s="134">
        <f t="shared" si="7"/>
        <v>33.115661669742536</v>
      </c>
      <c r="AJ44" s="9">
        <v>215.28</v>
      </c>
      <c r="AK44" s="9">
        <v>34440</v>
      </c>
      <c r="AL44" s="9">
        <v>6023.1197510211168</v>
      </c>
      <c r="AM44" s="134">
        <f t="shared" si="8"/>
        <v>27.978073908496455</v>
      </c>
      <c r="AN44" s="9">
        <v>142.38</v>
      </c>
      <c r="AO44" s="9">
        <v>25240</v>
      </c>
      <c r="AP44" s="9">
        <v>4323.3080338779291</v>
      </c>
      <c r="AQ44" s="134">
        <f t="shared" si="9"/>
        <v>30.364573914018326</v>
      </c>
      <c r="AR44" s="9">
        <v>132.30000000000001</v>
      </c>
      <c r="AS44" s="9">
        <v>22000</v>
      </c>
      <c r="AT44" s="9">
        <v>3772.993069435995</v>
      </c>
      <c r="AU44" s="134">
        <f t="shared" si="10"/>
        <v>28.518466133303058</v>
      </c>
      <c r="AV44" s="9">
        <v>69.3</v>
      </c>
      <c r="AW44" s="9">
        <v>12800</v>
      </c>
      <c r="AX44" s="9">
        <v>2105.7620578778133</v>
      </c>
      <c r="AY44" s="134">
        <f t="shared" si="11"/>
        <v>30.386176881353727</v>
      </c>
      <c r="AZ44" s="9">
        <v>51.660000000000004</v>
      </c>
      <c r="BA44" s="9">
        <v>10100</v>
      </c>
      <c r="BB44" s="9">
        <v>1552.5167778308855</v>
      </c>
      <c r="BC44" s="134">
        <f t="shared" si="12"/>
        <v>30.052589582479392</v>
      </c>
      <c r="BD44" s="9">
        <v>50.4</v>
      </c>
      <c r="BE44" s="9">
        <v>10500</v>
      </c>
      <c r="BF44" s="9">
        <v>1589.5480061049793</v>
      </c>
      <c r="BG44" s="134">
        <f t="shared" si="13"/>
        <v>31.538650914781336</v>
      </c>
      <c r="BH44" s="9">
        <v>37.799999999999997</v>
      </c>
      <c r="BI44" s="9">
        <v>7000</v>
      </c>
      <c r="BJ44" s="9">
        <v>1016.7178854899917</v>
      </c>
      <c r="BK44" s="134">
        <f t="shared" si="14"/>
        <v>26.897298557936288</v>
      </c>
      <c r="BL44" s="9">
        <v>2.52</v>
      </c>
      <c r="BM44" s="9">
        <v>800</v>
      </c>
      <c r="BN44" s="9">
        <v>115.68818255554589</v>
      </c>
      <c r="BO44" s="134">
        <f t="shared" si="15"/>
        <v>45.90800895061345</v>
      </c>
      <c r="BP44" s="9">
        <v>31.5</v>
      </c>
      <c r="BQ44" s="9">
        <v>11300</v>
      </c>
      <c r="BR44" s="9">
        <v>1827.8902226181162</v>
      </c>
      <c r="BS44" s="134">
        <f t="shared" si="16"/>
        <v>58.028261035495753</v>
      </c>
      <c r="BT44" s="9">
        <v>25.2</v>
      </c>
      <c r="BU44" s="9">
        <v>9000</v>
      </c>
      <c r="BV44" s="9">
        <v>1373.903031850178</v>
      </c>
      <c r="BW44" s="134">
        <f t="shared" si="17"/>
        <v>54.51996158135627</v>
      </c>
      <c r="BX44" s="9">
        <v>30.240000000000002</v>
      </c>
      <c r="BY44" s="9">
        <v>11000</v>
      </c>
      <c r="BZ44" s="9">
        <v>1481.249130963761</v>
      </c>
      <c r="CA44" s="134">
        <f t="shared" si="18"/>
        <v>48.983106182664052</v>
      </c>
      <c r="CB44" s="9">
        <v>47.88</v>
      </c>
      <c r="CC44" s="9">
        <v>13800</v>
      </c>
      <c r="CD44" s="9">
        <v>1678.3086208394886</v>
      </c>
      <c r="CE44" s="134">
        <f t="shared" si="19"/>
        <v>35.052393918953392</v>
      </c>
      <c r="CF44" s="9"/>
      <c r="CG44" s="9"/>
      <c r="CH44" s="9"/>
      <c r="CI44" s="134"/>
      <c r="CJ44" s="9"/>
      <c r="CK44" s="9"/>
      <c r="CL44" s="9"/>
      <c r="CM44" s="134"/>
      <c r="CN44" s="9"/>
      <c r="CO44" s="9"/>
      <c r="CP44" s="9"/>
      <c r="CQ44" s="134"/>
      <c r="CR44" s="9"/>
      <c r="CS44" s="9"/>
      <c r="CT44" s="9"/>
      <c r="CU44" s="134"/>
      <c r="CV44" s="9"/>
      <c r="CW44" s="9"/>
      <c r="CX44" s="9"/>
      <c r="CY44" s="134"/>
      <c r="CZ44" s="9"/>
      <c r="DA44" s="9"/>
      <c r="DB44" s="9"/>
      <c r="DC44" s="134"/>
      <c r="DD44" s="9"/>
      <c r="DE44" s="9"/>
      <c r="DF44" s="9"/>
      <c r="DG44" s="134"/>
      <c r="DH44" s="9"/>
      <c r="DI44" s="9"/>
      <c r="DJ44" s="9"/>
      <c r="DK44" s="134"/>
      <c r="DL44" s="9"/>
      <c r="DM44" s="9"/>
      <c r="DN44" s="9"/>
      <c r="DO44" s="134"/>
      <c r="DP44" s="9"/>
      <c r="DQ44" s="9"/>
      <c r="DR44" s="9"/>
      <c r="DS44" s="134"/>
      <c r="DT44" s="9"/>
      <c r="DU44" s="9"/>
      <c r="DV44" s="9"/>
      <c r="DW44" s="134"/>
      <c r="DX44" s="9"/>
      <c r="DY44" s="9"/>
      <c r="DZ44" s="134"/>
      <c r="EA44" s="9"/>
      <c r="EB44" s="9"/>
      <c r="EC44" s="134"/>
      <c r="ED44" s="9"/>
      <c r="EE44" s="9"/>
      <c r="EF44" s="134"/>
      <c r="EG44" s="9"/>
      <c r="EH44" s="9"/>
      <c r="EI44" s="134"/>
      <c r="EJ44" s="9"/>
      <c r="EK44" s="9"/>
      <c r="EL44" s="134"/>
      <c r="EM44" s="9"/>
      <c r="EN44" s="9"/>
      <c r="EO44" s="134"/>
      <c r="EP44" s="9"/>
      <c r="EQ44" s="9"/>
      <c r="ER44" s="134"/>
    </row>
    <row r="45" spans="1:148" x14ac:dyDescent="0.3">
      <c r="A45" s="104" t="s">
        <v>425</v>
      </c>
      <c r="B45" s="10" t="s">
        <v>98</v>
      </c>
      <c r="C45" s="105" t="s">
        <v>131</v>
      </c>
      <c r="D45" s="9"/>
      <c r="E45" s="9"/>
      <c r="F45" s="9"/>
      <c r="G45" s="134" t="str">
        <f t="shared" si="0"/>
        <v/>
      </c>
      <c r="H45" s="9"/>
      <c r="I45" s="9"/>
      <c r="J45" s="9"/>
      <c r="K45" s="134" t="str">
        <f t="shared" si="1"/>
        <v/>
      </c>
      <c r="L45" s="9"/>
      <c r="M45" s="9"/>
      <c r="N45" s="9"/>
      <c r="O45" s="134" t="str">
        <f t="shared" si="2"/>
        <v/>
      </c>
      <c r="P45" s="9"/>
      <c r="Q45" s="9"/>
      <c r="R45" s="9"/>
      <c r="S45" s="134" t="str">
        <f t="shared" si="3"/>
        <v/>
      </c>
      <c r="T45" s="9"/>
      <c r="U45" s="9"/>
      <c r="V45" s="9"/>
      <c r="W45" s="134" t="str">
        <f t="shared" si="4"/>
        <v/>
      </c>
      <c r="X45" s="9"/>
      <c r="Y45" s="9"/>
      <c r="Z45" s="9"/>
      <c r="AA45" s="134" t="str">
        <f t="shared" si="5"/>
        <v/>
      </c>
      <c r="AB45" s="9"/>
      <c r="AC45" s="9"/>
      <c r="AD45" s="9"/>
      <c r="AE45" s="134" t="str">
        <f t="shared" si="6"/>
        <v/>
      </c>
      <c r="AF45" s="9"/>
      <c r="AG45" s="9"/>
      <c r="AH45" s="9"/>
      <c r="AI45" s="134" t="str">
        <f t="shared" si="7"/>
        <v/>
      </c>
      <c r="AJ45" s="9"/>
      <c r="AK45" s="9"/>
      <c r="AL45" s="9"/>
      <c r="AM45" s="134" t="str">
        <f t="shared" si="8"/>
        <v/>
      </c>
      <c r="AN45" s="9"/>
      <c r="AO45" s="9"/>
      <c r="AP45" s="9"/>
      <c r="AQ45" s="134" t="str">
        <f t="shared" si="9"/>
        <v/>
      </c>
      <c r="AR45" s="9"/>
      <c r="AS45" s="9"/>
      <c r="AT45" s="9"/>
      <c r="AU45" s="134" t="str">
        <f t="shared" si="10"/>
        <v/>
      </c>
      <c r="AV45" s="9"/>
      <c r="AW45" s="9"/>
      <c r="AX45" s="9"/>
      <c r="AY45" s="134" t="str">
        <f t="shared" si="11"/>
        <v/>
      </c>
      <c r="AZ45" s="9"/>
      <c r="BA45" s="9"/>
      <c r="BB45" s="9"/>
      <c r="BC45" s="134" t="str">
        <f t="shared" si="12"/>
        <v/>
      </c>
      <c r="BD45" s="9"/>
      <c r="BE45" s="9"/>
      <c r="BF45" s="9"/>
      <c r="BG45" s="134" t="str">
        <f t="shared" si="13"/>
        <v/>
      </c>
      <c r="BH45" s="9">
        <f>BH43+BH41</f>
        <v>180.00000000000003</v>
      </c>
      <c r="BI45" s="9">
        <f>BI43+BI41</f>
        <v>26000</v>
      </c>
      <c r="BJ45" s="9">
        <f>BJ43+BJ41</f>
        <v>3776.3807175342545</v>
      </c>
      <c r="BK45" s="134">
        <f t="shared" si="14"/>
        <v>20.979892875190298</v>
      </c>
      <c r="BL45" s="9">
        <f>BL43+BL41</f>
        <v>178.92000000000002</v>
      </c>
      <c r="BM45" s="9">
        <f>BM43+BM41</f>
        <v>25337</v>
      </c>
      <c r="BN45" s="9">
        <f>BN43+BN41</f>
        <v>3663.9893517623327</v>
      </c>
      <c r="BO45" s="134">
        <f t="shared" si="15"/>
        <v>20.47836659826924</v>
      </c>
      <c r="BP45" s="9">
        <f>BP43+BP41</f>
        <v>158.76000000000002</v>
      </c>
      <c r="BQ45" s="9">
        <f>BQ43+BQ41</f>
        <v>39500</v>
      </c>
      <c r="BR45" s="9">
        <f>BR43+BR41</f>
        <v>6389.5277693288135</v>
      </c>
      <c r="BS45" s="134">
        <f t="shared" si="16"/>
        <v>40.24645861255236</v>
      </c>
      <c r="BT45" s="9">
        <f>BT43+BT41</f>
        <v>182.88000000000002</v>
      </c>
      <c r="BU45" s="9">
        <f>BU43+BU41</f>
        <v>40000</v>
      </c>
      <c r="BV45" s="9">
        <f>BV43+BV41</f>
        <v>6106.2356971119025</v>
      </c>
      <c r="BW45" s="134">
        <f t="shared" si="17"/>
        <v>33.389302805729997</v>
      </c>
      <c r="BX45" s="9">
        <f>BX43+BX41</f>
        <v>189.90000000000003</v>
      </c>
      <c r="BY45" s="9">
        <f>BY43+BY41</f>
        <v>40500</v>
      </c>
      <c r="BZ45" s="9">
        <f>BZ43+BZ41</f>
        <v>5453.6899821847564</v>
      </c>
      <c r="CA45" s="134">
        <f t="shared" si="18"/>
        <v>28.718746614980283</v>
      </c>
      <c r="CB45" s="9">
        <f>CB43+CB41</f>
        <v>171.9</v>
      </c>
      <c r="CC45" s="9">
        <f>CC43+CC41</f>
        <v>36495</v>
      </c>
      <c r="CD45" s="9">
        <f>CD43+CD41</f>
        <v>4438.3966027200831</v>
      </c>
      <c r="CE45" s="134">
        <f t="shared" si="19"/>
        <v>25.819642831414097</v>
      </c>
      <c r="CF45" s="9"/>
      <c r="CG45" s="9"/>
      <c r="CH45" s="9"/>
      <c r="CI45" s="134" t="str">
        <f t="shared" ref="CI45" si="38">IFERROR(CH45/CF45,"")</f>
        <v/>
      </c>
      <c r="CJ45" s="9"/>
      <c r="CK45" s="9"/>
      <c r="CL45" s="9"/>
      <c r="CM45" s="134"/>
      <c r="CN45" s="9"/>
      <c r="CO45" s="9"/>
      <c r="CP45" s="9"/>
      <c r="CQ45" s="134"/>
      <c r="CR45" s="9"/>
      <c r="CS45" s="9"/>
      <c r="CT45" s="9"/>
      <c r="CU45" s="134"/>
      <c r="CV45" s="9"/>
      <c r="CW45" s="9"/>
      <c r="CX45" s="9"/>
      <c r="CY45" s="134"/>
      <c r="CZ45" s="9"/>
      <c r="DA45" s="9"/>
      <c r="DB45" s="9"/>
      <c r="DC45" s="134"/>
      <c r="DD45" s="9"/>
      <c r="DE45" s="9"/>
      <c r="DF45" s="9"/>
      <c r="DG45" s="134"/>
      <c r="DH45" s="9"/>
      <c r="DI45" s="9"/>
      <c r="DJ45" s="9"/>
      <c r="DK45" s="134"/>
      <c r="DL45" s="9"/>
      <c r="DM45" s="9"/>
      <c r="DN45" s="9"/>
      <c r="DO45" s="134"/>
      <c r="DP45" s="9"/>
      <c r="DQ45" s="9"/>
      <c r="DR45" s="9"/>
      <c r="DS45" s="134"/>
      <c r="DT45" s="9"/>
      <c r="DU45" s="9"/>
      <c r="DV45" s="9"/>
      <c r="DW45" s="134"/>
      <c r="DX45" s="9"/>
      <c r="DY45" s="9"/>
      <c r="DZ45" s="134"/>
      <c r="EA45" s="9"/>
      <c r="EB45" s="9"/>
      <c r="EC45" s="134"/>
      <c r="ED45" s="9"/>
      <c r="EE45" s="9"/>
      <c r="EF45" s="134"/>
      <c r="EG45" s="9"/>
      <c r="EH45" s="9"/>
      <c r="EI45" s="134"/>
      <c r="EJ45" s="9"/>
      <c r="EK45" s="9"/>
      <c r="EL45" s="134"/>
      <c r="EM45" s="9"/>
      <c r="EN45" s="9"/>
      <c r="EO45" s="134"/>
      <c r="EP45" s="9"/>
      <c r="EQ45" s="9"/>
      <c r="ER45" s="134"/>
    </row>
    <row r="46" spans="1:148" x14ac:dyDescent="0.3">
      <c r="A46" s="102" t="s">
        <v>362</v>
      </c>
      <c r="B46" s="103" t="s">
        <v>98</v>
      </c>
      <c r="C46" s="103" t="s">
        <v>131</v>
      </c>
      <c r="D46" s="9"/>
      <c r="E46" s="9"/>
      <c r="F46" s="9"/>
      <c r="G46" s="134" t="str">
        <f t="shared" si="0"/>
        <v/>
      </c>
      <c r="H46" s="9"/>
      <c r="I46" s="9"/>
      <c r="J46" s="9"/>
      <c r="K46" s="134" t="str">
        <f t="shared" si="1"/>
        <v/>
      </c>
      <c r="L46" s="9"/>
      <c r="M46" s="9"/>
      <c r="N46" s="9"/>
      <c r="O46" s="134" t="str">
        <f t="shared" si="2"/>
        <v/>
      </c>
      <c r="P46" s="9"/>
      <c r="Q46" s="9"/>
      <c r="R46" s="9"/>
      <c r="S46" s="134" t="str">
        <f t="shared" si="3"/>
        <v/>
      </c>
      <c r="T46" s="9"/>
      <c r="U46" s="9"/>
      <c r="V46" s="9"/>
      <c r="W46" s="134" t="str">
        <f t="shared" si="4"/>
        <v/>
      </c>
      <c r="X46" s="9"/>
      <c r="Y46" s="9"/>
      <c r="Z46" s="9"/>
      <c r="AA46" s="134" t="str">
        <f t="shared" si="5"/>
        <v/>
      </c>
      <c r="AB46" s="9"/>
      <c r="AC46" s="9"/>
      <c r="AD46" s="9"/>
      <c r="AE46" s="134" t="str">
        <f t="shared" si="6"/>
        <v/>
      </c>
      <c r="AF46" s="9"/>
      <c r="AG46" s="9"/>
      <c r="AH46" s="9" t="s">
        <v>128</v>
      </c>
      <c r="AI46" s="134" t="str">
        <f t="shared" si="7"/>
        <v/>
      </c>
      <c r="AJ46" s="9"/>
      <c r="AK46" s="9"/>
      <c r="AL46" s="9"/>
      <c r="AM46" s="134" t="str">
        <f t="shared" si="8"/>
        <v/>
      </c>
      <c r="AN46" s="9"/>
      <c r="AO46" s="9"/>
      <c r="AP46" s="9"/>
      <c r="AQ46" s="134" t="str">
        <f t="shared" si="9"/>
        <v/>
      </c>
      <c r="AR46" s="9"/>
      <c r="AS46" s="9"/>
      <c r="AT46" s="9"/>
      <c r="AU46" s="134" t="str">
        <f t="shared" si="10"/>
        <v/>
      </c>
      <c r="AV46" s="9"/>
      <c r="AW46" s="9"/>
      <c r="AX46" s="9"/>
      <c r="AY46" s="134" t="str">
        <f t="shared" si="11"/>
        <v/>
      </c>
      <c r="AZ46" s="9"/>
      <c r="BA46" s="9"/>
      <c r="BB46" s="9"/>
      <c r="BC46" s="134" t="str">
        <f t="shared" si="12"/>
        <v/>
      </c>
      <c r="BD46" s="9"/>
      <c r="BE46" s="9"/>
      <c r="BF46" s="9" t="s">
        <v>128</v>
      </c>
      <c r="BG46" s="134" t="str">
        <f t="shared" si="13"/>
        <v/>
      </c>
      <c r="BH46" s="9"/>
      <c r="BI46" s="9"/>
      <c r="BJ46" s="9" t="s">
        <v>128</v>
      </c>
      <c r="BK46" s="134" t="str">
        <f t="shared" si="14"/>
        <v/>
      </c>
      <c r="BL46" s="9"/>
      <c r="BM46" s="9"/>
      <c r="BN46" s="9" t="s">
        <v>128</v>
      </c>
      <c r="BO46" s="134" t="str">
        <f t="shared" si="15"/>
        <v/>
      </c>
      <c r="BP46" s="9"/>
      <c r="BQ46" s="9"/>
      <c r="BR46" s="9" t="s">
        <v>128</v>
      </c>
      <c r="BS46" s="134" t="str">
        <f t="shared" si="16"/>
        <v/>
      </c>
      <c r="BT46" s="9"/>
      <c r="BU46" s="9"/>
      <c r="BV46" s="9" t="s">
        <v>128</v>
      </c>
      <c r="BW46" s="134" t="str">
        <f t="shared" si="17"/>
        <v/>
      </c>
      <c r="BX46" s="9"/>
      <c r="BY46" s="9"/>
      <c r="BZ46" s="9" t="s">
        <v>128</v>
      </c>
      <c r="CA46" s="134" t="str">
        <f t="shared" si="18"/>
        <v/>
      </c>
      <c r="CB46" s="9"/>
      <c r="CC46" s="9"/>
      <c r="CD46" s="9" t="str">
        <f>IF(CC46/(INDEX('Standards for Conversions'!$H$47:$H$73,MATCH(CB$3,'Standards for Conversions'!$A$47:$A$73,0)))=0,"",CC46/(INDEX('Standards for Conversions'!$H$47:$H$73,MATCH(CB$3,'Standards for Conversions'!$A$47:$A$73,0))))</f>
        <v/>
      </c>
      <c r="CE46" s="134" t="str">
        <f t="shared" si="19"/>
        <v/>
      </c>
      <c r="CF46" s="9"/>
      <c r="CG46" s="9">
        <v>54000</v>
      </c>
      <c r="CH46" s="9">
        <f>IF(CG46/(INDEX('Standards for Conversions'!$H$47:$H$73,MATCH(CF$3,'Standards for Conversions'!$A$47:$A$73,0)))=0,"",CG46/(INDEX('Standards for Conversions'!$H$47:$H$73,MATCH(CF$3,'Standards for Conversions'!$A$47:$A$73,0))))</f>
        <v>5293.6236095420172</v>
      </c>
      <c r="CI46" s="134" t="str">
        <f t="shared" si="20"/>
        <v/>
      </c>
      <c r="CJ46" s="9"/>
      <c r="CK46" s="9">
        <v>58500</v>
      </c>
      <c r="CL46" s="9">
        <f>IF(CK46/(INDEX('Standards for Conversions'!$H$47:$H$73,MATCH(CJ$3,'Standards for Conversions'!$A$47:$A$73,0)))=0,"",CK46/(INDEX('Standards for Conversions'!$H$47:$H$73,MATCH(CJ$3,'Standards for Conversions'!$A$47:$A$73,0))))</f>
        <v>5908.1641473668187</v>
      </c>
      <c r="CM46" s="134" t="str">
        <f t="shared" si="21"/>
        <v/>
      </c>
      <c r="CN46" s="9"/>
      <c r="CO46" s="9">
        <v>67000</v>
      </c>
      <c r="CP46" s="9">
        <f>IF(CO46/(INDEX('Standards for Conversions'!$H$47:$H$73,MATCH(CN$3,'Standards for Conversions'!$A$47:$A$73,0)))=0,"",CO46/(INDEX('Standards for Conversions'!$H$47:$H$73,MATCH(CN$3,'Standards for Conversions'!$A$47:$A$73,0))))</f>
        <v>6993.5877708496273</v>
      </c>
      <c r="CQ46" s="134" t="str">
        <f t="shared" si="22"/>
        <v/>
      </c>
      <c r="CR46" s="9"/>
      <c r="CS46" s="9">
        <v>75000</v>
      </c>
      <c r="CT46" s="9">
        <f>IF(CS46/(INDEX('Standards for Conversions'!$H$47:$H$73,MATCH(CR$3,'Standards for Conversions'!$A$47:$A$73,0)))=0,"",CS46/(INDEX('Standards for Conversions'!$H$47:$H$73,MATCH(CR$3,'Standards for Conversions'!$A$47:$A$73,0))))</f>
        <v>7002.9038031198388</v>
      </c>
      <c r="CU46" s="134" t="str">
        <f t="shared" si="23"/>
        <v/>
      </c>
      <c r="CV46" s="9"/>
      <c r="CW46" s="9">
        <v>57000</v>
      </c>
      <c r="CX46" s="9">
        <f>IF(CW46/(INDEX('Standards for Conversions'!$H$47:$H$73,MATCH(CV$3,'Standards for Conversions'!$A$47:$A$73,0)))=0,"",CW46/(INDEX('Standards for Conversions'!$H$47:$H$73,MATCH(CV$3,'Standards for Conversions'!$A$47:$A$73,0))))</f>
        <v>5201.5219268705996</v>
      </c>
      <c r="CY46" s="134" t="str">
        <f t="shared" si="24"/>
        <v/>
      </c>
      <c r="CZ46" s="9"/>
      <c r="DA46" s="9">
        <v>50000</v>
      </c>
      <c r="DB46" s="9">
        <f>IF(DA46/(INDEX('Standards for Conversions'!$H$47:$H$73,MATCH(CZ$3,'Standards for Conversions'!$A$47:$A$73,0)))=0,"",DA46/(INDEX('Standards for Conversions'!$H$47:$H$73,MATCH(CZ$3,'Standards for Conversions'!$A$47:$A$73,0))))</f>
        <v>4647.4297347991069</v>
      </c>
      <c r="DC46" s="134" t="str">
        <f t="shared" si="25"/>
        <v/>
      </c>
      <c r="DD46" s="9"/>
      <c r="DE46" s="9">
        <v>89772</v>
      </c>
      <c r="DF46" s="9">
        <f>IF(DE46/(INDEX('Standards for Conversions'!$H$47:$H$73,MATCH(DD$3,'Standards for Conversions'!$A$47:$A$73,0)))=0,"",DE46/(INDEX('Standards for Conversions'!$H$47:$H$73,MATCH(DD$3,'Standards for Conversions'!$A$47:$A$73,0))))</f>
        <v>8610.2826949900063</v>
      </c>
      <c r="DG46" s="134" t="str">
        <f t="shared" si="26"/>
        <v/>
      </c>
      <c r="DH46" s="9">
        <v>196</v>
      </c>
      <c r="DI46" s="9">
        <v>46068</v>
      </c>
      <c r="DJ46" s="9">
        <f>IF(DI46/(INDEX('Standards for Conversions'!$H$47:$H$73,MATCH(DH$3,'Standards for Conversions'!$A$47:$A$73,0)))=0,"",DI46/(INDEX('Standards for Conversions'!$H$47:$H$73,MATCH(DH$3,'Standards for Conversions'!$A$47:$A$73,0))))</f>
        <v>4242.9403173068558</v>
      </c>
      <c r="DK46" s="134">
        <f t="shared" si="27"/>
        <v>21.64765468013702</v>
      </c>
      <c r="DL46" s="9">
        <v>210</v>
      </c>
      <c r="DM46" s="9">
        <v>50300</v>
      </c>
      <c r="DN46" s="9">
        <f>IF(DM46/(INDEX('Standards for Conversions'!$H$47:$H$73,MATCH(DL$3,'Standards for Conversions'!$A$47:$A$73,0)))=0,"",DM46/(INDEX('Standards for Conversions'!$H$47:$H$73,MATCH(DL$3,'Standards for Conversions'!$A$47:$A$73,0))))</f>
        <v>4100.2187029272027</v>
      </c>
      <c r="DO46" s="134">
        <f t="shared" si="28"/>
        <v>19.524850966320013</v>
      </c>
      <c r="DP46" s="9">
        <v>215</v>
      </c>
      <c r="DQ46" s="9">
        <v>52800</v>
      </c>
      <c r="DR46" s="9">
        <f>IF(DQ46/(INDEX('Standards for Conversions'!$H$47:$H$73,MATCH(DP$3,'Standards for Conversions'!$A$47:$A$73,0)))=0,"",DQ46/(INDEX('Standards for Conversions'!$H$47:$H$73,MATCH(DP$3,'Standards for Conversions'!$A$47:$A$73,0))))</f>
        <v>4426.9785348048999</v>
      </c>
      <c r="DS46" s="134">
        <f t="shared" si="29"/>
        <v>20.59059783630186</v>
      </c>
      <c r="DT46" s="9">
        <v>162</v>
      </c>
      <c r="DU46" s="9">
        <v>46900</v>
      </c>
      <c r="DV46" s="9">
        <f>IF(DU46/(INDEX('Standards for Conversions'!$H$47:$H$73,MATCH(DT$3,'Standards for Conversions'!$A$47:$A$73,0)))=0,"",DU46/(INDEX('Standards for Conversions'!$H$47:$H$73,MATCH(DT$3,'Standards for Conversions'!$A$47:$A$73,0))))</f>
        <v>4195.4433736892033</v>
      </c>
      <c r="DW46" s="134">
        <f t="shared" si="30"/>
        <v>25.897798603019773</v>
      </c>
      <c r="DX46" s="9">
        <v>270</v>
      </c>
      <c r="DY46" s="9">
        <v>28500</v>
      </c>
      <c r="DZ46" s="134">
        <f t="shared" si="31"/>
        <v>105.55555555555556</v>
      </c>
      <c r="EA46" s="9">
        <v>160</v>
      </c>
      <c r="EB46" s="9">
        <v>14333</v>
      </c>
      <c r="EC46" s="134">
        <f t="shared" si="32"/>
        <v>89.581249999999997</v>
      </c>
      <c r="ED46" s="9">
        <v>160</v>
      </c>
      <c r="EE46" s="9">
        <v>14267</v>
      </c>
      <c r="EF46" s="134">
        <f t="shared" si="33"/>
        <v>89.168750000000003</v>
      </c>
      <c r="EG46" s="9">
        <v>185</v>
      </c>
      <c r="EH46" s="9">
        <v>16886</v>
      </c>
      <c r="EI46" s="134">
        <f t="shared" si="34"/>
        <v>91.275675675675672</v>
      </c>
      <c r="EJ46" s="9">
        <v>175</v>
      </c>
      <c r="EK46" s="9">
        <v>15963</v>
      </c>
      <c r="EL46" s="134">
        <f t="shared" si="35"/>
        <v>91.217142857142861</v>
      </c>
      <c r="EM46" s="9"/>
      <c r="EN46" s="9"/>
      <c r="EO46" s="134" t="str">
        <f t="shared" si="36"/>
        <v/>
      </c>
      <c r="EP46" s="9">
        <v>60</v>
      </c>
      <c r="EQ46" s="9">
        <v>2603</v>
      </c>
      <c r="ER46" s="134">
        <f t="shared" si="37"/>
        <v>43.383333333333333</v>
      </c>
    </row>
    <row r="47" spans="1:148" x14ac:dyDescent="0.3">
      <c r="A47" s="102" t="s">
        <v>107</v>
      </c>
      <c r="B47" s="103" t="s">
        <v>98</v>
      </c>
      <c r="C47" s="103" t="s">
        <v>131</v>
      </c>
      <c r="D47" s="9">
        <v>1893</v>
      </c>
      <c r="E47" s="9">
        <v>50000</v>
      </c>
      <c r="F47" s="9">
        <v>9877.1114864864849</v>
      </c>
      <c r="G47" s="134">
        <f t="shared" si="0"/>
        <v>5.2177028454762207</v>
      </c>
      <c r="H47" s="9">
        <v>2496</v>
      </c>
      <c r="I47" s="9">
        <v>48000</v>
      </c>
      <c r="J47" s="9">
        <v>9248.2793082471526</v>
      </c>
      <c r="K47" s="134">
        <f t="shared" si="1"/>
        <v>3.7052401074708143</v>
      </c>
      <c r="L47" s="9">
        <v>2955</v>
      </c>
      <c r="M47" s="9">
        <v>59040</v>
      </c>
      <c r="N47" s="9">
        <v>10550.355731293994</v>
      </c>
      <c r="O47" s="134">
        <f t="shared" si="2"/>
        <v>3.5703403489996597</v>
      </c>
      <c r="P47" s="9">
        <v>3198</v>
      </c>
      <c r="Q47" s="9">
        <v>65000</v>
      </c>
      <c r="R47" s="9">
        <v>12069.554990078503</v>
      </c>
      <c r="S47" s="134">
        <f t="shared" si="3"/>
        <v>3.7740947436142909</v>
      </c>
      <c r="T47" s="9">
        <v>2796</v>
      </c>
      <c r="U47" s="9">
        <v>58000</v>
      </c>
      <c r="V47" s="9">
        <v>10327.668683554935</v>
      </c>
      <c r="W47" s="134">
        <f t="shared" si="4"/>
        <v>3.6937298582099198</v>
      </c>
      <c r="X47" s="9">
        <v>2796</v>
      </c>
      <c r="Y47" s="9">
        <v>59000</v>
      </c>
      <c r="Z47" s="9">
        <v>10243.400937110744</v>
      </c>
      <c r="AA47" s="134">
        <f t="shared" si="5"/>
        <v>3.6635911792241576</v>
      </c>
      <c r="AB47" s="9">
        <v>3555</v>
      </c>
      <c r="AC47" s="9">
        <v>79240</v>
      </c>
      <c r="AD47" s="9">
        <v>14025.845544740883</v>
      </c>
      <c r="AE47" s="134">
        <f t="shared" si="6"/>
        <v>3.9453855259468025</v>
      </c>
      <c r="AF47" s="9">
        <v>3600</v>
      </c>
      <c r="AG47" s="9">
        <v>75700</v>
      </c>
      <c r="AH47" s="9">
        <v>13254.998923662408</v>
      </c>
      <c r="AI47" s="134">
        <f t="shared" si="7"/>
        <v>3.6819441454617801</v>
      </c>
      <c r="AJ47" s="9">
        <v>1602</v>
      </c>
      <c r="AK47" s="9">
        <v>64335</v>
      </c>
      <c r="AL47" s="9">
        <v>11251.376573227164</v>
      </c>
      <c r="AM47" s="134">
        <f t="shared" si="8"/>
        <v>7.0233311942741352</v>
      </c>
      <c r="AN47" s="9">
        <v>1482</v>
      </c>
      <c r="AO47" s="9">
        <v>63470</v>
      </c>
      <c r="AP47" s="9">
        <v>10871.646628773064</v>
      </c>
      <c r="AQ47" s="134">
        <f t="shared" si="9"/>
        <v>7.3357939465405284</v>
      </c>
      <c r="AR47" s="9">
        <v>1569</v>
      </c>
      <c r="AS47" s="9">
        <v>95900</v>
      </c>
      <c r="AT47" s="9">
        <v>16446.819789041449</v>
      </c>
      <c r="AU47" s="134">
        <f t="shared" si="10"/>
        <v>10.482358055475748</v>
      </c>
      <c r="AV47" s="9">
        <v>1374</v>
      </c>
      <c r="AW47" s="9">
        <v>61500</v>
      </c>
      <c r="AX47" s="9">
        <v>10117.528637459807</v>
      </c>
      <c r="AY47" s="134">
        <f t="shared" si="11"/>
        <v>7.3635579603055366</v>
      </c>
      <c r="AZ47" s="9">
        <v>1080</v>
      </c>
      <c r="BA47" s="9">
        <v>40400</v>
      </c>
      <c r="BB47" s="9">
        <v>6210.0671113235421</v>
      </c>
      <c r="BC47" s="134">
        <f t="shared" si="12"/>
        <v>5.750062140114391</v>
      </c>
      <c r="BD47" s="9">
        <v>1395</v>
      </c>
      <c r="BE47" s="9">
        <v>38800</v>
      </c>
      <c r="BF47" s="9">
        <v>5873.7583463688761</v>
      </c>
      <c r="BG47" s="134">
        <f t="shared" si="13"/>
        <v>4.2105794597626351</v>
      </c>
      <c r="BH47" s="9">
        <v>2595</v>
      </c>
      <c r="BI47" s="9">
        <v>34900</v>
      </c>
      <c r="BJ47" s="9">
        <v>5069.0648862286725</v>
      </c>
      <c r="BK47" s="134">
        <f t="shared" si="14"/>
        <v>1.9533968733058469</v>
      </c>
      <c r="BL47" s="9">
        <v>2322</v>
      </c>
      <c r="BM47" s="9">
        <v>69530</v>
      </c>
      <c r="BN47" s="9">
        <v>10054.749166358883</v>
      </c>
      <c r="BO47" s="134">
        <f t="shared" si="15"/>
        <v>4.330210665959898</v>
      </c>
      <c r="BP47" s="9">
        <v>2229</v>
      </c>
      <c r="BQ47" s="9">
        <v>54700</v>
      </c>
      <c r="BR47" s="9">
        <v>8848.282759045218</v>
      </c>
      <c r="BS47" s="134">
        <f t="shared" si="16"/>
        <v>3.9696199008726865</v>
      </c>
      <c r="BT47" s="9">
        <v>2085</v>
      </c>
      <c r="BU47" s="9">
        <v>49400</v>
      </c>
      <c r="BV47" s="9">
        <v>7541.2010859331995</v>
      </c>
      <c r="BW47" s="134">
        <f t="shared" si="17"/>
        <v>3.6168830148360671</v>
      </c>
      <c r="BX47" s="9">
        <v>1953</v>
      </c>
      <c r="BY47" s="9">
        <v>45600</v>
      </c>
      <c r="BZ47" s="9">
        <v>6140.4509429043183</v>
      </c>
      <c r="CA47" s="134">
        <f t="shared" si="18"/>
        <v>3.1441121059417911</v>
      </c>
      <c r="CB47" s="9">
        <v>3855</v>
      </c>
      <c r="CC47" s="9">
        <v>78300</v>
      </c>
      <c r="CD47" s="9">
        <f>IF(CC47/(INDEX('Standards for Conversions'!$H$47:$H$73,MATCH(CB$3,'Standards for Conversions'!$A$47:$A$73,0)))=0,"",CC47/(INDEX('Standards for Conversions'!$H$47:$H$73,MATCH(CB$3,'Standards for Conversions'!$A$47:$A$73,0))))</f>
        <v>9522.5771747631861</v>
      </c>
      <c r="CE47" s="134">
        <f t="shared" si="19"/>
        <v>2.4701886315857813</v>
      </c>
      <c r="CF47" s="31">
        <f>1/10*(24300+390)</f>
        <v>2469</v>
      </c>
      <c r="CG47" s="9">
        <v>82300</v>
      </c>
      <c r="CH47" s="9">
        <f>IF(CG47/(INDEX('Standards for Conversions'!$H$47:$H$73,MATCH(CF$3,'Standards for Conversions'!$A$47:$A$73,0)))=0,"",CG47/(INDEX('Standards for Conversions'!$H$47:$H$73,MATCH(CF$3,'Standards for Conversions'!$A$47:$A$73,0))))</f>
        <v>8067.8745012094078</v>
      </c>
      <c r="CI47" s="134">
        <f t="shared" si="20"/>
        <v>3.2676688947790229</v>
      </c>
      <c r="CJ47" s="31">
        <f>1/10*(27300+360)</f>
        <v>2766</v>
      </c>
      <c r="CK47" s="9">
        <v>92200</v>
      </c>
      <c r="CL47" s="9">
        <f>IF(CK47/(INDEX('Standards for Conversions'!$H$47:$H$73,MATCH(CJ$3,'Standards for Conversions'!$A$47:$A$73,0)))=0,"",CK47/(INDEX('Standards for Conversions'!$H$47:$H$73,MATCH(CJ$3,'Standards for Conversions'!$A$47:$A$73,0))))</f>
        <v>9311.6706732858238</v>
      </c>
      <c r="CM47" s="134">
        <f t="shared" si="21"/>
        <v>3.3664752976449108</v>
      </c>
      <c r="CN47" s="31">
        <f>1/10*(48000)</f>
        <v>4800</v>
      </c>
      <c r="CO47" s="9">
        <v>160000</v>
      </c>
      <c r="CP47" s="9">
        <f>IF(CO47/(INDEX('Standards for Conversions'!$H$47:$H$73,MATCH(CN$3,'Standards for Conversions'!$A$47:$A$73,0)))=0,"",CO47/(INDEX('Standards for Conversions'!$H$47:$H$73,MATCH(CN$3,'Standards for Conversions'!$A$47:$A$73,0))))</f>
        <v>16701.105124417019</v>
      </c>
      <c r="CQ47" s="134">
        <f t="shared" si="22"/>
        <v>3.4793969009202126</v>
      </c>
      <c r="CR47" s="31">
        <f>1/10*50000</f>
        <v>5000</v>
      </c>
      <c r="CS47" s="9">
        <v>165000</v>
      </c>
      <c r="CT47" s="9">
        <f>IF(CS47/(INDEX('Standards for Conversions'!$H$47:$H$73,MATCH(CR$3,'Standards for Conversions'!$A$47:$A$73,0)))=0,"",CS47/(INDEX('Standards for Conversions'!$H$47:$H$73,MATCH(CR$3,'Standards for Conversions'!$A$47:$A$73,0))))</f>
        <v>15406.388366863644</v>
      </c>
      <c r="CU47" s="134">
        <f t="shared" si="23"/>
        <v>3.0812776733727287</v>
      </c>
      <c r="CV47" s="31">
        <f>1/10*(60000)</f>
        <v>6000</v>
      </c>
      <c r="CW47" s="9">
        <v>175000</v>
      </c>
      <c r="CX47" s="9">
        <f>IF(CW47/(INDEX('Standards for Conversions'!$H$47:$H$73,MATCH(CV$3,'Standards for Conversions'!$A$47:$A$73,0)))=0,"",CW47/(INDEX('Standards for Conversions'!$H$47:$H$73,MATCH(CV$3,'Standards for Conversions'!$A$47:$A$73,0))))</f>
        <v>15969.584863199208</v>
      </c>
      <c r="CY47" s="134">
        <f t="shared" si="24"/>
        <v>2.6615974771998681</v>
      </c>
      <c r="CZ47" s="31">
        <f>1/10*(50000+680)</f>
        <v>5068</v>
      </c>
      <c r="DA47" s="9">
        <v>159000</v>
      </c>
      <c r="DB47" s="9">
        <f>IF(DA47/(INDEX('Standards for Conversions'!$H$47:$H$73,MATCH(CZ$3,'Standards for Conversions'!$A$47:$A$73,0)))=0,"",DA47/(INDEX('Standards for Conversions'!$H$47:$H$73,MATCH(CZ$3,'Standards for Conversions'!$A$47:$A$73,0))))</f>
        <v>14778.826556661161</v>
      </c>
      <c r="DC47" s="134">
        <f>IFERROR(DB47/CZ47,"")</f>
        <v>2.9161062661130939</v>
      </c>
      <c r="DD47" s="9">
        <v>4715</v>
      </c>
      <c r="DE47" s="9">
        <v>216357</v>
      </c>
      <c r="DF47" s="9">
        <f>IF(DE47/(INDEX('Standards for Conversions'!$H$47:$H$73,MATCH(DD$3,'Standards for Conversions'!$A$47:$A$73,0)))=0,"",DE47/(INDEX('Standards for Conversions'!$H$47:$H$73,MATCH(DD$3,'Standards for Conversions'!$A$47:$A$73,0))))</f>
        <v>20751.40280978426</v>
      </c>
      <c r="DG47" s="134">
        <f t="shared" si="26"/>
        <v>4.4011458769425786</v>
      </c>
      <c r="DH47" s="9">
        <v>3639</v>
      </c>
      <c r="DI47" s="9">
        <v>93758</v>
      </c>
      <c r="DJ47" s="9">
        <f>IF(DI47/(INDEX('Standards for Conversions'!$H$47:$H$73,MATCH(DH$3,'Standards for Conversions'!$A$47:$A$73,0)))=0,"",DI47/(INDEX('Standards for Conversions'!$H$47:$H$73,MATCH(DH$3,'Standards for Conversions'!$A$47:$A$73,0))))</f>
        <v>8635.2695639067515</v>
      </c>
      <c r="DK47" s="134">
        <f t="shared" si="27"/>
        <v>2.3729787205019925</v>
      </c>
      <c r="DL47" s="9">
        <v>3750</v>
      </c>
      <c r="DM47" s="9">
        <v>97400</v>
      </c>
      <c r="DN47" s="9">
        <f>IF(DM47/(INDEX('Standards for Conversions'!$H$47:$H$73,MATCH(DL$3,'Standards for Conversions'!$A$47:$A$73,0)))=0,"",DM47/(INDEX('Standards for Conversions'!$H$47:$H$73,MATCH(DL$3,'Standards for Conversions'!$A$47:$A$73,0))))</f>
        <v>7939.5885022884604</v>
      </c>
      <c r="DO47" s="134">
        <f t="shared" si="28"/>
        <v>2.1172236006102563</v>
      </c>
      <c r="DP47" s="9">
        <v>3800</v>
      </c>
      <c r="DQ47" s="9">
        <v>98500</v>
      </c>
      <c r="DR47" s="9">
        <f>IF(DQ47/(INDEX('Standards for Conversions'!$H$47:$H$73,MATCH(DP$3,'Standards for Conversions'!$A$47:$A$73,0)))=0,"",DQ47/(INDEX('Standards for Conversions'!$H$47:$H$73,MATCH(DP$3,'Standards for Conversions'!$A$47:$A$73,0))))</f>
        <v>8258.6626075432323</v>
      </c>
      <c r="DS47" s="134">
        <f t="shared" si="29"/>
        <v>2.1733322651429559</v>
      </c>
      <c r="DT47" s="9">
        <v>2700</v>
      </c>
      <c r="DU47" s="9">
        <v>90000</v>
      </c>
      <c r="DV47" s="9">
        <f>IF(DU47/(INDEX('Standards for Conversions'!$H$47:$H$73,MATCH(DT$3,'Standards for Conversions'!$A$47:$A$73,0)))=0,"",DU47/(INDEX('Standards for Conversions'!$H$47:$H$73,MATCH(DT$3,'Standards for Conversions'!$A$47:$A$73,0))))</f>
        <v>8050.9574335187272</v>
      </c>
      <c r="DW47" s="134">
        <f t="shared" si="30"/>
        <v>2.9818360864884172</v>
      </c>
      <c r="DX47" s="9">
        <v>3000</v>
      </c>
      <c r="DY47" s="9">
        <v>15000</v>
      </c>
      <c r="DZ47" s="134">
        <f t="shared" si="31"/>
        <v>5</v>
      </c>
      <c r="EA47" s="9">
        <v>3325</v>
      </c>
      <c r="EB47" s="9">
        <v>16067</v>
      </c>
      <c r="EC47" s="134">
        <f t="shared" si="32"/>
        <v>4.8321804511278197</v>
      </c>
      <c r="ED47" s="9">
        <v>4100</v>
      </c>
      <c r="EE47" s="9">
        <v>18314</v>
      </c>
      <c r="EF47" s="134">
        <f t="shared" si="33"/>
        <v>4.4668292682926829</v>
      </c>
      <c r="EG47" s="9">
        <v>4495</v>
      </c>
      <c r="EH47" s="9">
        <v>20923</v>
      </c>
      <c r="EI47" s="134">
        <f t="shared" si="34"/>
        <v>4.6547274749721916</v>
      </c>
      <c r="EJ47" s="9">
        <v>4412</v>
      </c>
      <c r="EK47" s="9">
        <v>21131</v>
      </c>
      <c r="EL47" s="134">
        <f t="shared" si="35"/>
        <v>4.789437896645512</v>
      </c>
      <c r="EM47" s="9">
        <v>2402</v>
      </c>
      <c r="EN47" s="9">
        <v>11648</v>
      </c>
      <c r="EO47" s="134">
        <f t="shared" si="36"/>
        <v>4.8492922564529559</v>
      </c>
      <c r="EP47" s="9">
        <v>2334</v>
      </c>
      <c r="EQ47" s="9">
        <v>13425</v>
      </c>
      <c r="ER47" s="134">
        <f t="shared" si="37"/>
        <v>5.7519280205655523</v>
      </c>
    </row>
    <row r="48" spans="1:148" x14ac:dyDescent="0.3">
      <c r="A48" s="104" t="s">
        <v>325</v>
      </c>
      <c r="B48" s="105" t="s">
        <v>432</v>
      </c>
      <c r="C48" s="103" t="s">
        <v>131</v>
      </c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9">
        <v>331</v>
      </c>
      <c r="AC48" s="9">
        <v>4500</v>
      </c>
      <c r="AD48" s="9">
        <v>796.52075910315466</v>
      </c>
      <c r="AE48" s="134">
        <f t="shared" si="6"/>
        <v>2.4064071271998628</v>
      </c>
      <c r="AF48" s="9">
        <v>795</v>
      </c>
      <c r="AG48" s="9">
        <v>2220</v>
      </c>
      <c r="AH48" s="9">
        <v>388.71991559485531</v>
      </c>
      <c r="AI48" s="134">
        <f t="shared" si="7"/>
        <v>0.48895586867277396</v>
      </c>
      <c r="AJ48" s="9">
        <v>795</v>
      </c>
      <c r="AK48" s="9">
        <v>2220</v>
      </c>
      <c r="AL48" s="9">
        <v>388.24987942122181</v>
      </c>
      <c r="AM48" s="134">
        <f t="shared" si="8"/>
        <v>0.48836462820279475</v>
      </c>
      <c r="AN48" s="9">
        <v>657</v>
      </c>
      <c r="AO48" s="9">
        <v>1955</v>
      </c>
      <c r="AP48" s="9">
        <v>334.8679558728744</v>
      </c>
      <c r="AQ48" s="134">
        <f t="shared" si="9"/>
        <v>0.50969247469235068</v>
      </c>
      <c r="AR48" s="9">
        <v>750</v>
      </c>
      <c r="AS48" s="9">
        <v>2200</v>
      </c>
      <c r="AT48" s="9">
        <v>377.2993069435995</v>
      </c>
      <c r="AU48" s="134">
        <f t="shared" si="10"/>
        <v>0.50306574259146597</v>
      </c>
      <c r="AV48" s="9">
        <v>450</v>
      </c>
      <c r="AW48" s="9">
        <v>1200</v>
      </c>
      <c r="AX48" s="9">
        <v>197.41519292604502</v>
      </c>
      <c r="AY48" s="134">
        <f t="shared" si="11"/>
        <v>0.43870042872454451</v>
      </c>
      <c r="AZ48" s="9">
        <v>300</v>
      </c>
      <c r="BA48" s="9">
        <v>1000</v>
      </c>
      <c r="BB48" s="9">
        <v>153.71453245850353</v>
      </c>
      <c r="BC48" s="134">
        <f t="shared" si="12"/>
        <v>0.51238177486167846</v>
      </c>
      <c r="BD48" s="9">
        <v>450</v>
      </c>
      <c r="BE48" s="9">
        <v>1500</v>
      </c>
      <c r="BF48" s="9">
        <v>227.07828658642561</v>
      </c>
      <c r="BG48" s="134">
        <f t="shared" si="13"/>
        <v>0.50461841463650137</v>
      </c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134"/>
      <c r="BW48" s="134"/>
      <c r="BX48" s="9"/>
      <c r="BY48" s="9"/>
      <c r="BZ48" s="9"/>
      <c r="CA48" s="134"/>
      <c r="CB48" s="9"/>
      <c r="CC48" s="9"/>
      <c r="CD48" s="9"/>
      <c r="CE48" s="134"/>
      <c r="CF48" s="31"/>
      <c r="CG48" s="9"/>
      <c r="CH48" s="9"/>
      <c r="CI48" s="134"/>
      <c r="CJ48" s="31"/>
      <c r="CK48" s="9"/>
      <c r="CL48" s="9"/>
      <c r="CM48" s="134"/>
      <c r="CN48" s="31"/>
      <c r="CO48" s="9"/>
      <c r="CP48" s="9"/>
      <c r="CQ48" s="134"/>
      <c r="CR48" s="31"/>
      <c r="CS48" s="9"/>
      <c r="CT48" s="9"/>
      <c r="CU48" s="134"/>
      <c r="CV48" s="31"/>
      <c r="CW48" s="9"/>
      <c r="CX48" s="9"/>
      <c r="CY48" s="134"/>
      <c r="CZ48" s="31"/>
      <c r="DA48" s="9"/>
      <c r="DB48" s="9"/>
      <c r="DC48" s="134"/>
      <c r="DD48" s="9"/>
      <c r="DE48" s="9"/>
      <c r="DF48" s="9"/>
      <c r="DG48" s="134"/>
      <c r="DH48" s="9"/>
      <c r="DI48" s="9"/>
      <c r="DJ48" s="9"/>
      <c r="DK48" s="134"/>
      <c r="DL48" s="9"/>
      <c r="DM48" s="9"/>
      <c r="DN48" s="9"/>
      <c r="DO48" s="134"/>
      <c r="DP48" s="9"/>
      <c r="DQ48" s="9"/>
      <c r="DR48" s="9"/>
      <c r="DS48" s="134"/>
      <c r="DT48" s="9"/>
      <c r="DU48" s="9"/>
      <c r="DV48" s="9"/>
      <c r="DW48" s="134"/>
      <c r="DX48" s="9"/>
      <c r="DY48" s="9"/>
      <c r="DZ48" s="134"/>
      <c r="EA48" s="9"/>
      <c r="EB48" s="9"/>
      <c r="EC48" s="134"/>
      <c r="ED48" s="9"/>
      <c r="EE48" s="9"/>
      <c r="EF48" s="134"/>
      <c r="EG48" s="9"/>
      <c r="EH48" s="9"/>
      <c r="EI48" s="134"/>
      <c r="EJ48" s="9"/>
      <c r="EK48" s="9"/>
      <c r="EL48" s="134"/>
      <c r="EM48" s="9"/>
      <c r="EN48" s="9"/>
      <c r="EO48" s="134"/>
      <c r="EP48" s="9"/>
      <c r="EQ48" s="9"/>
      <c r="ER48" s="134"/>
    </row>
    <row r="49" spans="1:153" x14ac:dyDescent="0.3">
      <c r="A49" s="50" t="s">
        <v>61</v>
      </c>
      <c r="B49" s="52"/>
      <c r="C49" s="52"/>
      <c r="D49" s="9"/>
      <c r="E49" s="9">
        <v>1460515</v>
      </c>
      <c r="F49" s="9">
        <v>288513.38965371618</v>
      </c>
      <c r="G49" s="134" t="str">
        <f t="shared" si="0"/>
        <v/>
      </c>
      <c r="H49" s="9"/>
      <c r="I49" s="9">
        <v>1676280</v>
      </c>
      <c r="J49" s="9">
        <v>322973.0341422612</v>
      </c>
      <c r="K49" s="134" t="str">
        <f t="shared" si="1"/>
        <v/>
      </c>
      <c r="L49" s="9"/>
      <c r="M49" s="9">
        <v>1313810</v>
      </c>
      <c r="N49" s="9">
        <v>234775.79375561248</v>
      </c>
      <c r="O49" s="134" t="str">
        <f t="shared" si="2"/>
        <v/>
      </c>
      <c r="P49" s="9"/>
      <c r="Q49" s="9">
        <v>1688500</v>
      </c>
      <c r="R49" s="9">
        <v>313529.90154996235</v>
      </c>
      <c r="S49" s="134" t="str">
        <f t="shared" si="3"/>
        <v/>
      </c>
      <c r="T49" s="9"/>
      <c r="U49" s="9">
        <v>1221335</v>
      </c>
      <c r="V49" s="9">
        <v>217474.88330395805</v>
      </c>
      <c r="W49" s="134" t="str">
        <f t="shared" si="4"/>
        <v/>
      </c>
      <c r="X49" s="9"/>
      <c r="Y49" s="9">
        <v>1699640</v>
      </c>
      <c r="Z49" s="9">
        <v>295086.33845340519</v>
      </c>
      <c r="AA49" s="134" t="str">
        <f t="shared" si="5"/>
        <v/>
      </c>
      <c r="AB49" s="9"/>
      <c r="AC49" s="9">
        <v>1652372</v>
      </c>
      <c r="AD49" s="9">
        <v>292477.46661351062</v>
      </c>
      <c r="AE49" s="134" t="str">
        <f t="shared" si="6"/>
        <v/>
      </c>
      <c r="AF49" s="9"/>
      <c r="AG49" s="9">
        <v>1684005</v>
      </c>
      <c r="AH49" s="9">
        <v>294867.69435194338</v>
      </c>
      <c r="AI49" s="134" t="str">
        <f t="shared" si="7"/>
        <v/>
      </c>
      <c r="AJ49" s="9"/>
      <c r="AK49" s="9">
        <v>1897273</v>
      </c>
      <c r="AL49" s="9">
        <v>331809.01508069359</v>
      </c>
      <c r="AM49" s="134" t="str">
        <f t="shared" si="8"/>
        <v/>
      </c>
      <c r="AN49" s="9"/>
      <c r="AO49" s="9">
        <v>1982981</v>
      </c>
      <c r="AP49" s="9">
        <v>339660.76419680228</v>
      </c>
      <c r="AQ49" s="134" t="str">
        <f t="shared" si="9"/>
        <v/>
      </c>
      <c r="AR49" s="9"/>
      <c r="AS49" s="9">
        <v>1978025</v>
      </c>
      <c r="AT49" s="9">
        <v>339230.66437141516</v>
      </c>
      <c r="AU49" s="134" t="str">
        <f t="shared" si="10"/>
        <v/>
      </c>
      <c r="AV49" s="9"/>
      <c r="AW49" s="9">
        <v>1697297</v>
      </c>
      <c r="AX49" s="9">
        <v>279226.84558983118</v>
      </c>
      <c r="AY49" s="134" t="str">
        <f t="shared" si="11"/>
        <v/>
      </c>
      <c r="AZ49" s="9"/>
      <c r="BA49" s="9">
        <v>1777810</v>
      </c>
      <c r="BB49" s="9">
        <v>273275.23295005213</v>
      </c>
      <c r="BC49" s="134" t="str">
        <f t="shared" si="12"/>
        <v/>
      </c>
      <c r="BD49" s="9"/>
      <c r="BE49" s="9">
        <v>1862395</v>
      </c>
      <c r="BF49" s="9">
        <v>281939.64369808411</v>
      </c>
      <c r="BG49" s="134" t="str">
        <f t="shared" si="13"/>
        <v/>
      </c>
      <c r="BH49" s="9"/>
      <c r="BI49" s="9">
        <v>1857270</v>
      </c>
      <c r="BJ49" s="9">
        <v>269759.946740571</v>
      </c>
      <c r="BK49" s="134" t="str">
        <f t="shared" si="14"/>
        <v/>
      </c>
      <c r="BL49" s="9"/>
      <c r="BM49" s="9">
        <v>1997726</v>
      </c>
      <c r="BN49" s="9">
        <v>288891.61272995058</v>
      </c>
      <c r="BO49" s="134" t="str">
        <f t="shared" si="15"/>
        <v/>
      </c>
      <c r="BP49" s="9"/>
      <c r="BQ49" s="9">
        <v>1983270</v>
      </c>
      <c r="BR49" s="9">
        <v>320814.1452930824</v>
      </c>
      <c r="BS49" s="134" t="str">
        <f t="shared" si="16"/>
        <v/>
      </c>
      <c r="BT49" s="9"/>
      <c r="BU49" s="9">
        <v>1866232</v>
      </c>
      <c r="BV49" s="9">
        <v>284891.3114373135</v>
      </c>
      <c r="BW49" s="134" t="str">
        <f t="shared" si="17"/>
        <v/>
      </c>
      <c r="BX49" s="9"/>
      <c r="BY49" s="9">
        <v>1981840</v>
      </c>
      <c r="BZ49" s="9">
        <v>266872.61615538364</v>
      </c>
      <c r="CA49" s="134" t="str">
        <f t="shared" si="18"/>
        <v/>
      </c>
      <c r="CB49" s="9"/>
      <c r="CC49" s="9">
        <v>2055006</v>
      </c>
      <c r="CD49" s="9">
        <f>IF(CC49/(INDEX('Standards for Conversions'!$H$47:$H$73,MATCH(CB$3,'Standards for Conversions'!$A$47:$A$73,0)))=0,"",CC49/(INDEX('Standards for Conversions'!$H$47:$H$73,MATCH(CB$3,'Standards for Conversions'!$A$47:$A$73,0))))</f>
        <v>249922.77432441118</v>
      </c>
      <c r="CE49" s="134" t="str">
        <f t="shared" si="19"/>
        <v/>
      </c>
      <c r="CF49" s="9"/>
      <c r="CG49" s="9">
        <v>2079600</v>
      </c>
      <c r="CH49" s="9">
        <f>IF(CG49/(INDEX('Standards for Conversions'!$H$47:$H$73,MATCH(CF$3,'Standards for Conversions'!$A$47:$A$73,0)))=0,"",CG49/(INDEX('Standards for Conversions'!$H$47:$H$73,MATCH(CF$3,'Standards for Conversions'!$A$47:$A$73,0))))</f>
        <v>203863.32700747368</v>
      </c>
      <c r="CI49" s="134" t="str">
        <f t="shared" si="20"/>
        <v/>
      </c>
      <c r="CJ49" s="9"/>
      <c r="CK49" s="9">
        <v>2288760</v>
      </c>
      <c r="CL49" s="9">
        <f>IF(CK49/(INDEX('Standards for Conversions'!$H$47:$H$73,MATCH(CJ$3,'Standards for Conversions'!$A$47:$A$73,0)))=0,"",CK49/(INDEX('Standards for Conversions'!$H$47:$H$73,MATCH(CJ$3,'Standards for Conversions'!$A$47:$A$73,0))))</f>
        <v>231151.62006713299</v>
      </c>
      <c r="CM49" s="134" t="str">
        <f t="shared" si="21"/>
        <v/>
      </c>
      <c r="CN49" s="9"/>
      <c r="CO49" s="9">
        <v>2879500</v>
      </c>
      <c r="CP49" s="9">
        <f>IF(CO49/(INDEX('Standards for Conversions'!$H$47:$H$73,MATCH(CN$3,'Standards for Conversions'!$A$47:$A$73,0)))=0,"",CO49/(INDEX('Standards for Conversions'!$H$47:$H$73,MATCH(CN$3,'Standards for Conversions'!$A$47:$A$73,0))))</f>
        <v>300567.70128599257</v>
      </c>
      <c r="CQ49" s="134" t="str">
        <f t="shared" si="22"/>
        <v/>
      </c>
      <c r="CR49" s="9"/>
      <c r="CS49" s="9">
        <v>3537500</v>
      </c>
      <c r="CT49" s="9">
        <f>IF(CS49/(INDEX('Standards for Conversions'!$H$47:$H$73,MATCH(CR$3,'Standards for Conversions'!$A$47:$A$73,0)))=0,"",CS49/(INDEX('Standards for Conversions'!$H$47:$H$73,MATCH(CR$3,'Standards for Conversions'!$A$47:$A$73,0))))</f>
        <v>330303.62938048574</v>
      </c>
      <c r="CU49" s="134" t="str">
        <f t="shared" si="23"/>
        <v/>
      </c>
      <c r="CV49" s="9"/>
      <c r="CW49" s="9">
        <v>2592200</v>
      </c>
      <c r="CX49" s="9">
        <f>IF(CW49/(INDEX('Standards for Conversions'!$H$47:$H$73,MATCH(CV$3,'Standards for Conversions'!$A$47:$A$73,0)))=0,"",CW49/(INDEX('Standards for Conversions'!$H$47:$H$73,MATCH(CV$3,'Standards for Conversions'!$A$47:$A$73,0))))</f>
        <v>236550.61647077138</v>
      </c>
      <c r="CY49" s="134" t="str">
        <f t="shared" si="24"/>
        <v/>
      </c>
      <c r="CZ49" s="9"/>
      <c r="DA49" s="9">
        <v>2600720</v>
      </c>
      <c r="DB49" s="9">
        <f>IF(DA49/(INDEX('Standards for Conversions'!$H$47:$H$73,MATCH(CZ$3,'Standards for Conversions'!$A$47:$A$73,0)))=0,"",DA49/(INDEX('Standards for Conversions'!$H$47:$H$73,MATCH(CZ$3,'Standards for Conversions'!$A$47:$A$73,0))))</f>
        <v>241733.26919773465</v>
      </c>
      <c r="DC49" s="134" t="str">
        <f t="shared" si="25"/>
        <v/>
      </c>
      <c r="DD49" s="9"/>
      <c r="DE49" s="9">
        <v>3365883</v>
      </c>
      <c r="DF49" s="9">
        <f>IF(DE49/(INDEX('Standards for Conversions'!$H$47:$H$73,MATCH(DD$3,'Standards for Conversions'!$A$47:$A$73,0)))=0,"",DE49/(INDEX('Standards for Conversions'!$H$47:$H$73,MATCH(DD$3,'Standards for Conversions'!$A$47:$A$73,0))))</f>
        <v>322831.21851201984</v>
      </c>
      <c r="DG49" s="134" t="str">
        <f t="shared" si="26"/>
        <v/>
      </c>
      <c r="DH49" s="9"/>
      <c r="DI49" s="9">
        <v>2996688</v>
      </c>
      <c r="DJ49" s="9">
        <f>IF(DI49/(INDEX('Standards for Conversions'!$H$47:$H$73,MATCH(DH$3,'Standards for Conversions'!$A$47:$A$73,0)))=0,"",DI49/(INDEX('Standards for Conversions'!$H$47:$H$73,MATCH(DH$3,'Standards for Conversions'!$A$47:$A$73,0))))</f>
        <v>276000.00724124443</v>
      </c>
      <c r="DK49" s="134" t="str">
        <f t="shared" si="27"/>
        <v/>
      </c>
      <c r="DL49" s="9"/>
      <c r="DM49" s="9">
        <v>3205435</v>
      </c>
      <c r="DN49" s="9">
        <f>IF(DM49/(INDEX('Standards for Conversions'!$H$47:$H$73,MATCH(DL$3,'Standards for Conversions'!$A$47:$A$73,0)))=0,"",DM49/(INDEX('Standards for Conversions'!$H$47:$H$73,MATCH(DL$3,'Standards for Conversions'!$A$47:$A$73,0))))</f>
        <v>261291.93912559559</v>
      </c>
      <c r="DO49" s="134" t="str">
        <f t="shared" si="28"/>
        <v/>
      </c>
      <c r="DP49" s="9"/>
      <c r="DQ49" s="9">
        <v>3880580</v>
      </c>
      <c r="DR49" s="9">
        <f>IF(DQ49/(INDEX('Standards for Conversions'!$H$47:$H$73,MATCH(DP$3,'Standards for Conversions'!$A$47:$A$73,0)))=0,"",DQ49/(INDEX('Standards for Conversions'!$H$47:$H$73,MATCH(DP$3,'Standards for Conversions'!$A$47:$A$73,0))))</f>
        <v>325364.47656426515</v>
      </c>
      <c r="DS49" s="134" t="str">
        <f t="shared" si="29"/>
        <v/>
      </c>
      <c r="DT49" s="9"/>
      <c r="DU49" s="9">
        <v>4044549</v>
      </c>
      <c r="DV49" s="9">
        <f>IF(DU49/(INDEX('Standards for Conversions'!$H$47:$H$73,MATCH(DT$3,'Standards for Conversions'!$A$47:$A$73,0)))=0,"",DU49/(INDEX('Standards for Conversions'!$H$47:$H$73,MATCH(DT$3,'Standards for Conversions'!$A$47:$A$73,0))))</f>
        <v>361805.46485311928</v>
      </c>
      <c r="DW49" s="134" t="str">
        <f t="shared" si="30"/>
        <v/>
      </c>
      <c r="DX49" s="9"/>
      <c r="DY49" s="9">
        <v>371945</v>
      </c>
      <c r="DZ49" s="134" t="str">
        <f t="shared" si="31"/>
        <v/>
      </c>
      <c r="EA49" s="9"/>
      <c r="EB49" s="9">
        <v>461425</v>
      </c>
      <c r="EC49" s="134" t="str">
        <f t="shared" si="32"/>
        <v/>
      </c>
      <c r="ED49" s="9"/>
      <c r="EE49" s="9">
        <v>656438</v>
      </c>
      <c r="EF49" s="134" t="str">
        <f t="shared" si="33"/>
        <v/>
      </c>
      <c r="EG49" s="9"/>
      <c r="EH49" s="9">
        <v>683821</v>
      </c>
      <c r="EI49" s="134" t="str">
        <f t="shared" si="34"/>
        <v/>
      </c>
      <c r="EJ49" s="9"/>
      <c r="EK49" s="9">
        <v>553724</v>
      </c>
      <c r="EL49" s="134" t="str">
        <f t="shared" si="35"/>
        <v/>
      </c>
      <c r="EM49" s="9"/>
      <c r="EN49" s="9">
        <v>394483</v>
      </c>
      <c r="EO49" s="134" t="str">
        <f t="shared" si="36"/>
        <v/>
      </c>
      <c r="EP49" s="9"/>
      <c r="EQ49" s="9">
        <v>401320</v>
      </c>
      <c r="ER49" s="134" t="str">
        <f t="shared" si="37"/>
        <v/>
      </c>
      <c r="ES49" s="66"/>
      <c r="ET49" s="66"/>
      <c r="EU49" s="66"/>
      <c r="EV49" s="66"/>
      <c r="EW49" s="66"/>
    </row>
    <row r="50" spans="1:153" x14ac:dyDescent="0.3">
      <c r="B50" s="20"/>
      <c r="C50" s="20"/>
      <c r="D50" s="20"/>
      <c r="E50" s="20"/>
      <c r="F50" s="20"/>
      <c r="G50" s="65" t="str">
        <f t="shared" si="0"/>
        <v/>
      </c>
      <c r="H50" s="20"/>
      <c r="I50" s="20"/>
      <c r="J50" s="20"/>
      <c r="K50" s="65" t="str">
        <f t="shared" si="1"/>
        <v/>
      </c>
      <c r="L50" s="20"/>
      <c r="M50" s="20"/>
      <c r="N50" s="20"/>
      <c r="O50" s="65" t="str">
        <f t="shared" si="2"/>
        <v/>
      </c>
      <c r="P50" s="20"/>
      <c r="Q50" s="20"/>
      <c r="R50" s="20"/>
      <c r="S50" s="65" t="str">
        <f t="shared" si="3"/>
        <v/>
      </c>
      <c r="T50" s="20"/>
      <c r="U50" s="20"/>
      <c r="V50" s="20"/>
      <c r="W50" s="65" t="str">
        <f t="shared" si="4"/>
        <v/>
      </c>
      <c r="X50" s="20"/>
      <c r="Y50" s="20"/>
      <c r="Z50" s="20"/>
      <c r="AA50" s="65" t="str">
        <f t="shared" si="5"/>
        <v/>
      </c>
      <c r="AB50" s="20"/>
      <c r="AC50" s="20"/>
      <c r="AD50" s="20"/>
      <c r="AE50" s="65" t="str">
        <f t="shared" si="6"/>
        <v/>
      </c>
      <c r="AF50" s="20"/>
      <c r="AG50" s="20"/>
      <c r="AH50" s="20"/>
      <c r="AI50" s="65" t="str">
        <f t="shared" si="7"/>
        <v/>
      </c>
      <c r="AJ50" s="20"/>
      <c r="AK50" s="20"/>
      <c r="AL50" s="20"/>
      <c r="AM50" s="65" t="str">
        <f t="shared" si="8"/>
        <v/>
      </c>
      <c r="AN50" s="20"/>
      <c r="AO50" s="20"/>
      <c r="AP50" s="20"/>
      <c r="AQ50" s="65" t="str">
        <f t="shared" si="9"/>
        <v/>
      </c>
      <c r="AR50" s="20"/>
      <c r="AS50" s="20"/>
      <c r="AT50" s="20"/>
      <c r="AU50" s="65" t="str">
        <f t="shared" si="10"/>
        <v/>
      </c>
      <c r="AV50" s="20"/>
      <c r="AW50" s="20"/>
      <c r="AX50" s="20"/>
      <c r="AY50" s="65" t="str">
        <f t="shared" si="11"/>
        <v/>
      </c>
      <c r="AZ50" s="20"/>
      <c r="BA50" s="20"/>
      <c r="BB50" s="20"/>
      <c r="BC50" s="65" t="str">
        <f t="shared" si="12"/>
        <v/>
      </c>
      <c r="BD50" s="20"/>
      <c r="BE50" s="136"/>
      <c r="BF50" s="20"/>
      <c r="BG50" s="65" t="str">
        <f t="shared" si="13"/>
        <v/>
      </c>
      <c r="BH50" s="20"/>
      <c r="BI50" s="20"/>
      <c r="BJ50" s="20"/>
      <c r="BK50" s="65" t="str">
        <f t="shared" si="14"/>
        <v/>
      </c>
      <c r="BL50" s="20"/>
      <c r="BM50" s="20"/>
      <c r="BN50" s="20"/>
      <c r="BO50" s="65" t="str">
        <f t="shared" si="15"/>
        <v/>
      </c>
      <c r="BP50" s="20"/>
      <c r="BQ50" s="20"/>
      <c r="BR50" s="20"/>
      <c r="BS50" s="65" t="str">
        <f t="shared" si="16"/>
        <v/>
      </c>
      <c r="BT50" s="20"/>
      <c r="BU50" s="20"/>
      <c r="BV50" s="20"/>
      <c r="BW50" s="65" t="str">
        <f t="shared" si="17"/>
        <v/>
      </c>
      <c r="BX50" s="20"/>
      <c r="BY50" s="20"/>
      <c r="BZ50" s="20"/>
      <c r="CA50" s="65" t="str">
        <f t="shared" si="18"/>
        <v/>
      </c>
      <c r="CB50" s="20"/>
      <c r="CC50" s="20"/>
      <c r="CD50" s="63" t="str">
        <f>IF(CC50/(INDEX('Standards for Conversions'!$H$47:$H$73,MATCH(CB$3,'Standards for Conversions'!$A$47:$A$73,0)))=0,"",CC50/(INDEX('Standards for Conversions'!$H$47:$H$73,MATCH(CB$3,'Standards for Conversions'!$A$47:$A$73,0))))</f>
        <v/>
      </c>
      <c r="CE50" s="65" t="str">
        <f t="shared" si="19"/>
        <v/>
      </c>
      <c r="CF50" s="20"/>
      <c r="CG50" s="20"/>
      <c r="CH50" s="63" t="str">
        <f>IF(CG50/(INDEX('Standards for Conversions'!$H$47:$H$73,MATCH(CF$3,'Standards for Conversions'!$A$47:$A$73,0)))=0,"",CG50/(INDEX('Standards for Conversions'!$H$47:$H$73,MATCH(CF$3,'Standards for Conversions'!$A$47:$A$73,0))))</f>
        <v/>
      </c>
      <c r="CI50" s="65" t="str">
        <f t="shared" si="20"/>
        <v/>
      </c>
      <c r="CJ50" s="20"/>
      <c r="CK50" s="20"/>
      <c r="CL50" s="63" t="str">
        <f>IF(CK50/(INDEX('Standards for Conversions'!$H$47:$H$73,MATCH(CJ$3,'Standards for Conversions'!$A$47:$A$73,0)))=0,"",CK50/(INDEX('Standards for Conversions'!$H$47:$H$73,MATCH(CJ$3,'Standards for Conversions'!$A$47:$A$73,0))))</f>
        <v/>
      </c>
      <c r="CM50" s="65" t="str">
        <f t="shared" si="21"/>
        <v/>
      </c>
      <c r="CN50" s="20"/>
      <c r="CO50" s="20"/>
      <c r="CP50" s="63" t="str">
        <f>IF(CO50/(INDEX('Standards for Conversions'!$H$47:$H$73,MATCH(CN$3,'Standards for Conversions'!$A$47:$A$73,0)))=0,"",CO50/(INDEX('Standards for Conversions'!$H$47:$H$73,MATCH(CN$3,'Standards for Conversions'!$A$47:$A$73,0))))</f>
        <v/>
      </c>
      <c r="CQ50" s="65" t="str">
        <f t="shared" si="22"/>
        <v/>
      </c>
      <c r="CR50" s="20"/>
      <c r="CS50" s="20"/>
      <c r="CT50" s="63" t="str">
        <f>IF(CS50/(INDEX('Standards for Conversions'!$H$47:$H$73,MATCH(CR$3,'Standards for Conversions'!$A$47:$A$73,0)))=0,"",CS50/(INDEX('Standards for Conversions'!$H$47:$H$73,MATCH(CR$3,'Standards for Conversions'!$A$47:$A$73,0))))</f>
        <v/>
      </c>
      <c r="CU50" s="65" t="str">
        <f t="shared" si="23"/>
        <v/>
      </c>
      <c r="CV50" s="20"/>
      <c r="CW50" s="20"/>
      <c r="CX50" s="63" t="str">
        <f>IF(CW50/(INDEX('Standards for Conversions'!$H$47:$H$73,MATCH(CV$3,'Standards for Conversions'!$A$47:$A$73,0)))=0,"",CW50/(INDEX('Standards for Conversions'!$H$47:$H$73,MATCH(CV$3,'Standards for Conversions'!$A$47:$A$73,0))))</f>
        <v/>
      </c>
      <c r="CY50" s="65" t="str">
        <f t="shared" si="24"/>
        <v/>
      </c>
      <c r="CZ50" s="20"/>
      <c r="DA50" s="20"/>
      <c r="DB50" s="63" t="str">
        <f>IF(DA50/(INDEX('Standards for Conversions'!$H$47:$H$73,MATCH(CZ$3,'Standards for Conversions'!$A$47:$A$73,0)))=0,"",DA50/(INDEX('Standards for Conversions'!$H$47:$H$73,MATCH(CZ$3,'Standards for Conversions'!$A$47:$A$73,0))))</f>
        <v/>
      </c>
      <c r="DC50" s="65" t="str">
        <f t="shared" si="25"/>
        <v/>
      </c>
      <c r="DD50" s="20"/>
      <c r="DE50" s="20"/>
      <c r="DF50" s="63" t="str">
        <f>IF(DE50/(INDEX('Standards for Conversions'!$H$47:$H$73,MATCH(DD$3,'Standards for Conversions'!$A$47:$A$73,0)))=0,"",DE50/(INDEX('Standards for Conversions'!$H$47:$H$73,MATCH(DD$3,'Standards for Conversions'!$A$47:$A$73,0))))</f>
        <v/>
      </c>
      <c r="DG50" s="65" t="str">
        <f t="shared" si="26"/>
        <v/>
      </c>
      <c r="DH50" s="20"/>
      <c r="DI50" s="20"/>
      <c r="DJ50" s="63" t="str">
        <f>IF(DI50/(INDEX('Standards for Conversions'!$H$47:$H$73,MATCH(DH$3,'Standards for Conversions'!$A$47:$A$73,0)))=0,"",DI50/(INDEX('Standards for Conversions'!$H$47:$H$73,MATCH(DH$3,'Standards for Conversions'!$A$47:$A$73,0))))</f>
        <v/>
      </c>
      <c r="DK50" s="65" t="str">
        <f t="shared" si="27"/>
        <v/>
      </c>
      <c r="DL50" s="20"/>
      <c r="DM50" s="20"/>
      <c r="DN50" s="63" t="str">
        <f>IF(DM50/(INDEX('Standards for Conversions'!$H$47:$H$73,MATCH(DL$3,'Standards for Conversions'!$A$47:$A$73,0)))=0,"",DM50/(INDEX('Standards for Conversions'!$H$47:$H$73,MATCH(DL$3,'Standards for Conversions'!$A$47:$A$73,0))))</f>
        <v/>
      </c>
      <c r="DO50" s="65" t="str">
        <f t="shared" si="28"/>
        <v/>
      </c>
      <c r="DP50" s="20"/>
      <c r="DQ50" s="20"/>
      <c r="DR50" s="63" t="str">
        <f>IF(DQ50/(INDEX('Standards for Conversions'!$H$47:$H$73,MATCH(DP$3,'Standards for Conversions'!$A$47:$A$73,0)))=0,"",DQ50/(INDEX('Standards for Conversions'!$H$47:$H$73,MATCH(DP$3,'Standards for Conversions'!$A$47:$A$73,0))))</f>
        <v/>
      </c>
      <c r="DS50" s="65" t="str">
        <f t="shared" si="29"/>
        <v/>
      </c>
      <c r="DT50" s="20"/>
      <c r="DU50" s="20"/>
      <c r="DV50" s="63" t="str">
        <f>IF(DU50/(INDEX('Standards for Conversions'!$H$47:$H$73,MATCH(DT$3,'Standards for Conversions'!$A$47:$A$73,0)))=0,"",DU50/(INDEX('Standards for Conversions'!$H$47:$H$73,MATCH(DT$3,'Standards for Conversions'!$A$47:$A$73,0))))</f>
        <v/>
      </c>
      <c r="DW50" s="65" t="str">
        <f t="shared" si="30"/>
        <v/>
      </c>
      <c r="DX50" s="20"/>
      <c r="DY50" s="20"/>
      <c r="DZ50" s="65" t="str">
        <f t="shared" ref="DZ50" si="39">IFERROR(DY50/DW50,"")</f>
        <v/>
      </c>
      <c r="EA50" s="20"/>
      <c r="EB50" s="20"/>
      <c r="EC50" s="65" t="str">
        <f t="shared" ref="EC50" si="40">IFERROR(EB50/DZ50,"")</f>
        <v/>
      </c>
      <c r="ED50" s="20"/>
      <c r="EE50" s="20"/>
      <c r="EF50" s="65" t="str">
        <f t="shared" ref="EF50" si="41">IFERROR(EE50/EC50,"")</f>
        <v/>
      </c>
      <c r="EG50" s="20"/>
      <c r="EH50" s="20"/>
      <c r="EI50" s="65" t="str">
        <f t="shared" ref="EI50" si="42">IFERROR(EH50/EF50,"")</f>
        <v/>
      </c>
      <c r="EJ50" s="20"/>
      <c r="EK50" s="20"/>
      <c r="EL50" s="65" t="str">
        <f t="shared" ref="EL50" si="43">IFERROR(EK50/EI50,"")</f>
        <v/>
      </c>
      <c r="EM50" s="20"/>
      <c r="EN50" s="20"/>
      <c r="EO50" s="65" t="str">
        <f t="shared" ref="EO50" si="44">IFERROR(EN50/EL50,"")</f>
        <v/>
      </c>
      <c r="EP50" s="20"/>
      <c r="EQ50" s="20"/>
      <c r="ER50" s="65" t="str">
        <f t="shared" ref="ER50" si="45">IFERROR(EQ50/EO50,"")</f>
        <v/>
      </c>
    </row>
    <row r="51" spans="1:153" x14ac:dyDescent="0.3">
      <c r="C51" s="20"/>
      <c r="D51" s="20"/>
      <c r="E51" s="20"/>
      <c r="F51" s="20"/>
      <c r="G51" s="135"/>
      <c r="H51" s="20"/>
      <c r="I51" s="20"/>
      <c r="J51" s="20"/>
      <c r="K51" s="135"/>
      <c r="L51" s="20"/>
      <c r="M51" s="20"/>
      <c r="N51" s="20"/>
      <c r="O51" s="135"/>
      <c r="P51" s="20"/>
      <c r="Q51" s="20"/>
      <c r="R51" s="20"/>
      <c r="S51" s="135"/>
      <c r="T51" s="20"/>
      <c r="U51" s="20"/>
      <c r="V51" s="20"/>
      <c r="W51" s="135"/>
      <c r="X51" s="20"/>
      <c r="Y51" s="20"/>
      <c r="Z51" s="20"/>
      <c r="AA51" s="135"/>
      <c r="AB51" s="20"/>
      <c r="AC51" s="20"/>
      <c r="AD51" s="20"/>
      <c r="AE51" s="135"/>
      <c r="AF51" s="20"/>
      <c r="AG51" s="20"/>
      <c r="AH51" s="20"/>
      <c r="AI51" s="135"/>
      <c r="AJ51" s="20"/>
      <c r="AK51" s="20"/>
      <c r="AL51" s="20"/>
      <c r="AM51" s="135"/>
      <c r="AN51" s="20"/>
      <c r="AO51" s="20"/>
      <c r="AP51" s="20"/>
      <c r="AQ51" s="135"/>
      <c r="AR51" s="20"/>
      <c r="AS51" s="20"/>
      <c r="AT51" s="20"/>
      <c r="AU51" s="135"/>
      <c r="AV51" s="20"/>
      <c r="AW51" s="20"/>
      <c r="AX51" s="20"/>
      <c r="AY51" s="135"/>
      <c r="AZ51" s="20"/>
      <c r="BA51" s="20"/>
      <c r="BB51" s="20"/>
      <c r="BC51" s="135"/>
      <c r="BD51" s="20"/>
      <c r="BE51" s="136"/>
      <c r="BF51" s="20"/>
      <c r="BG51" s="135"/>
      <c r="BH51" s="20"/>
      <c r="BI51" s="20"/>
      <c r="BJ51" s="20"/>
      <c r="BK51" s="135"/>
      <c r="BL51" s="20"/>
      <c r="BM51" s="20"/>
      <c r="BN51" s="20"/>
      <c r="BO51" s="135"/>
      <c r="BP51" s="20"/>
      <c r="BQ51" s="20"/>
      <c r="BR51" s="20"/>
      <c r="BS51" s="135"/>
      <c r="BT51" s="20"/>
      <c r="BU51" s="20"/>
      <c r="BV51" s="20"/>
      <c r="BW51" s="135"/>
      <c r="BX51" s="20"/>
      <c r="BY51" s="20"/>
      <c r="BZ51" s="20"/>
      <c r="CA51" s="135"/>
      <c r="CB51" s="20"/>
      <c r="CC51" s="20"/>
      <c r="CD51" s="20"/>
      <c r="CE51" s="135"/>
      <c r="CF51" s="20"/>
      <c r="CG51" s="20"/>
      <c r="CH51" s="20"/>
      <c r="CI51" s="135"/>
      <c r="CJ51" s="20"/>
      <c r="CK51" s="20"/>
      <c r="CL51" s="20"/>
      <c r="CM51" s="135"/>
      <c r="CN51" s="20"/>
      <c r="CO51" s="20"/>
      <c r="CP51" s="20"/>
      <c r="CQ51" s="135"/>
      <c r="CR51" s="20"/>
      <c r="CS51" s="20"/>
      <c r="CT51" s="20"/>
      <c r="CU51" s="135"/>
      <c r="CV51" s="20"/>
      <c r="CW51" s="20"/>
      <c r="CX51" s="20"/>
      <c r="CY51" s="135"/>
      <c r="CZ51" s="20"/>
      <c r="DA51" s="20"/>
      <c r="DB51" s="20"/>
      <c r="DC51" s="135"/>
      <c r="DD51" s="20"/>
      <c r="DE51" s="20"/>
      <c r="DF51" s="20"/>
      <c r="DG51" s="135"/>
      <c r="DH51" s="20"/>
      <c r="DI51" s="20"/>
      <c r="DJ51" s="20"/>
      <c r="DK51" s="135"/>
      <c r="DL51" s="20"/>
      <c r="DM51" s="20"/>
      <c r="DN51" s="20"/>
      <c r="DO51" s="135"/>
      <c r="DP51" s="20"/>
      <c r="DQ51" s="20"/>
      <c r="DR51" s="20"/>
      <c r="DS51" s="135"/>
      <c r="DT51" s="20"/>
      <c r="DU51" s="20"/>
      <c r="DV51" s="20"/>
      <c r="DW51" s="135"/>
      <c r="DX51" s="20"/>
      <c r="DY51" s="20"/>
      <c r="DZ51" s="135"/>
      <c r="EA51" s="20"/>
      <c r="EB51" s="20"/>
      <c r="EC51" s="135"/>
      <c r="ED51" s="20"/>
      <c r="EE51" s="20"/>
      <c r="EF51" s="135"/>
      <c r="EG51" s="20"/>
      <c r="EH51" s="20"/>
      <c r="EI51" s="135"/>
      <c r="EJ51" s="20"/>
      <c r="EK51" s="20"/>
      <c r="EL51" s="135"/>
      <c r="EM51" s="20"/>
      <c r="EN51" s="20"/>
      <c r="EO51" s="135"/>
      <c r="EP51" s="20"/>
      <c r="EQ51" s="20"/>
      <c r="ER51" s="135"/>
    </row>
    <row r="52" spans="1:153" x14ac:dyDescent="0.3">
      <c r="C52" s="20"/>
      <c r="D52" s="20"/>
      <c r="E52" s="20"/>
      <c r="F52" s="20"/>
      <c r="G52" s="135"/>
      <c r="H52" s="20"/>
      <c r="I52" s="20"/>
      <c r="J52" s="20"/>
      <c r="K52" s="135"/>
      <c r="L52" s="20"/>
      <c r="M52" s="20"/>
      <c r="N52" s="20"/>
      <c r="O52" s="135"/>
      <c r="P52" s="20"/>
      <c r="Q52" s="20"/>
      <c r="R52" s="20"/>
      <c r="S52" s="135"/>
      <c r="T52" s="20"/>
      <c r="U52" s="20"/>
      <c r="V52" s="20"/>
      <c r="W52" s="135"/>
      <c r="X52" s="20"/>
      <c r="Y52" s="20"/>
      <c r="Z52" s="20"/>
      <c r="AA52" s="135"/>
      <c r="AB52" s="20"/>
      <c r="AC52" s="20"/>
      <c r="AD52" s="20"/>
      <c r="AE52" s="135"/>
      <c r="AF52" s="20"/>
      <c r="AG52" s="20"/>
      <c r="AH52" s="20"/>
      <c r="AI52" s="135"/>
      <c r="AJ52" s="20"/>
      <c r="AK52" s="20"/>
      <c r="AL52" s="20"/>
      <c r="AM52" s="135"/>
      <c r="AN52" s="20"/>
      <c r="AO52" s="20"/>
      <c r="AP52" s="20"/>
      <c r="AQ52" s="135"/>
      <c r="AR52" s="20"/>
      <c r="AS52" s="20"/>
      <c r="AT52" s="20"/>
      <c r="AU52" s="135"/>
      <c r="AV52" s="20"/>
      <c r="AW52" s="20"/>
      <c r="AX52" s="20"/>
      <c r="AY52" s="135"/>
      <c r="AZ52" s="20"/>
      <c r="BA52" s="20"/>
      <c r="BB52" s="20"/>
      <c r="BC52" s="135"/>
      <c r="BD52" s="20"/>
      <c r="BE52" s="136"/>
      <c r="BF52" s="20"/>
      <c r="BG52" s="135"/>
      <c r="BH52" s="20"/>
      <c r="BI52" s="20"/>
      <c r="BJ52" s="20"/>
      <c r="BK52" s="135"/>
      <c r="BL52" s="20"/>
      <c r="BM52" s="20"/>
      <c r="BN52" s="20"/>
      <c r="BO52" s="135"/>
      <c r="BP52" s="20"/>
      <c r="BQ52" s="20"/>
      <c r="BR52" s="20"/>
      <c r="BS52" s="135"/>
      <c r="BT52" s="20"/>
      <c r="BU52" s="20"/>
      <c r="BV52" s="20"/>
      <c r="BW52" s="135"/>
      <c r="BX52" s="20"/>
      <c r="BY52" s="20"/>
      <c r="BZ52" s="20"/>
      <c r="CA52" s="135"/>
      <c r="CB52" s="20"/>
      <c r="CC52" s="20"/>
      <c r="CD52" s="20"/>
      <c r="CE52" s="135"/>
      <c r="CF52" s="20"/>
      <c r="CG52" s="20"/>
      <c r="CH52" s="20"/>
      <c r="CI52" s="135"/>
      <c r="CJ52" s="20"/>
      <c r="CK52" s="20"/>
      <c r="CL52" s="20"/>
      <c r="CM52" s="135"/>
      <c r="CN52" s="20"/>
      <c r="CO52" s="20"/>
      <c r="CP52" s="20"/>
      <c r="CQ52" s="135"/>
      <c r="CR52" s="20"/>
      <c r="CS52" s="20"/>
      <c r="CT52" s="20"/>
      <c r="CU52" s="135"/>
      <c r="CV52" s="20"/>
      <c r="CW52" s="20"/>
      <c r="CX52" s="20"/>
      <c r="CY52" s="135"/>
      <c r="CZ52" s="20"/>
      <c r="DA52" s="20"/>
      <c r="DB52" s="20"/>
      <c r="DC52" s="135"/>
      <c r="DD52" s="20"/>
      <c r="DE52" s="20"/>
      <c r="DF52" s="20"/>
      <c r="DG52" s="135"/>
      <c r="DH52" s="20"/>
      <c r="DI52" s="20"/>
      <c r="DJ52" s="20"/>
      <c r="DK52" s="135"/>
      <c r="DL52" s="20"/>
      <c r="DM52" s="20"/>
      <c r="DN52" s="20"/>
      <c r="DO52" s="135"/>
      <c r="DP52" s="20"/>
      <c r="DQ52" s="20"/>
      <c r="DR52" s="20"/>
      <c r="DS52" s="135"/>
      <c r="DT52" s="20"/>
      <c r="DU52" s="20"/>
      <c r="DV52" s="20"/>
      <c r="DW52" s="135"/>
      <c r="DX52" s="20"/>
      <c r="DY52" s="20"/>
      <c r="DZ52" s="135"/>
      <c r="EA52" s="20"/>
      <c r="EB52" s="20"/>
      <c r="EC52" s="135"/>
      <c r="ED52" s="20"/>
      <c r="EE52" s="20"/>
      <c r="EF52" s="135"/>
      <c r="EG52" s="20"/>
      <c r="EH52" s="20"/>
      <c r="EI52" s="135"/>
      <c r="EJ52" s="20"/>
      <c r="EK52" s="20"/>
      <c r="EL52" s="135"/>
      <c r="EM52" s="20"/>
      <c r="EN52" s="20"/>
      <c r="EO52" s="135"/>
      <c r="EP52" s="20"/>
      <c r="EQ52" s="20"/>
      <c r="ER52" s="135"/>
    </row>
  </sheetData>
  <mergeCells count="59">
    <mergeCell ref="AN2:AQ2"/>
    <mergeCell ref="AR2:AU2"/>
    <mergeCell ref="AV2:AY2"/>
    <mergeCell ref="BT2:BW2"/>
    <mergeCell ref="BX2:CA2"/>
    <mergeCell ref="AZ2:BC2"/>
    <mergeCell ref="BD2:BG2"/>
    <mergeCell ref="BH2:BK2"/>
    <mergeCell ref="BL2:BO2"/>
    <mergeCell ref="BP2:BS2"/>
    <mergeCell ref="T2:W2"/>
    <mergeCell ref="X2:AA2"/>
    <mergeCell ref="AB2:AE2"/>
    <mergeCell ref="AF2:AI2"/>
    <mergeCell ref="AJ2:AM2"/>
    <mergeCell ref="D2:G2"/>
    <mergeCell ref="H2:K2"/>
    <mergeCell ref="B2:B4"/>
    <mergeCell ref="CR3:CU3"/>
    <mergeCell ref="CV2:CY2"/>
    <mergeCell ref="CB2:CE2"/>
    <mergeCell ref="CN2:CQ2"/>
    <mergeCell ref="CN3:CQ3"/>
    <mergeCell ref="CF2:CI2"/>
    <mergeCell ref="C2:C4"/>
    <mergeCell ref="CJ2:CM2"/>
    <mergeCell ref="CB3:CE3"/>
    <mergeCell ref="CF3:CI3"/>
    <mergeCell ref="CJ3:CM3"/>
    <mergeCell ref="L2:O2"/>
    <mergeCell ref="P2:S2"/>
    <mergeCell ref="DL2:DO2"/>
    <mergeCell ref="DP2:DS2"/>
    <mergeCell ref="DT2:DW2"/>
    <mergeCell ref="DX2:DZ2"/>
    <mergeCell ref="CR2:CU2"/>
    <mergeCell ref="CZ2:DC2"/>
    <mergeCell ref="DD2:DG2"/>
    <mergeCell ref="DH2:DK2"/>
    <mergeCell ref="DT3:DW3"/>
    <mergeCell ref="DX3:DZ3"/>
    <mergeCell ref="CV3:CY3"/>
    <mergeCell ref="DL3:DO3"/>
    <mergeCell ref="DP3:DS3"/>
    <mergeCell ref="CZ3:DC3"/>
    <mergeCell ref="DD3:DG3"/>
    <mergeCell ref="DH3:DK3"/>
    <mergeCell ref="EA2:EC2"/>
    <mergeCell ref="EA3:EC3"/>
    <mergeCell ref="ED2:EF2"/>
    <mergeCell ref="ED3:EF3"/>
    <mergeCell ref="EG2:EI2"/>
    <mergeCell ref="EG3:EI3"/>
    <mergeCell ref="EJ2:EL2"/>
    <mergeCell ref="EJ3:EL3"/>
    <mergeCell ref="EM2:EO2"/>
    <mergeCell ref="EM3:EO3"/>
    <mergeCell ref="EP2:ER2"/>
    <mergeCell ref="EP3:ER3"/>
  </mergeCells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3"/>
  <sheetViews>
    <sheetView topLeftCell="A10" workbookViewId="0">
      <selection activeCell="D28" sqref="D28"/>
    </sheetView>
  </sheetViews>
  <sheetFormatPr defaultRowHeight="14.4" x14ac:dyDescent="0.3"/>
  <cols>
    <col min="1" max="1" width="17.44140625" style="21" customWidth="1"/>
    <col min="2" max="2" width="14" style="21" customWidth="1"/>
    <col min="3" max="3" width="13.33203125" style="21" customWidth="1"/>
    <col min="4" max="4" width="12.6640625" customWidth="1"/>
    <col min="5" max="5" width="10.5546875" style="17" customWidth="1"/>
    <col min="6" max="6" width="10.6640625" customWidth="1"/>
    <col min="7" max="7" width="13.77734375" style="17" customWidth="1"/>
  </cols>
  <sheetData>
    <row r="1" spans="1:21" x14ac:dyDescent="0.3">
      <c r="A1" s="108" t="s">
        <v>72</v>
      </c>
      <c r="B1" s="167" t="s">
        <v>71</v>
      </c>
      <c r="C1" s="168"/>
      <c r="D1" s="168"/>
      <c r="E1" s="168"/>
      <c r="F1" s="168"/>
      <c r="G1" s="169"/>
      <c r="H1" s="108" t="s">
        <v>77</v>
      </c>
    </row>
    <row r="2" spans="1:21" x14ac:dyDescent="0.3">
      <c r="A2"/>
      <c r="B2">
        <v>1</v>
      </c>
      <c r="C2" s="17" t="s">
        <v>371</v>
      </c>
      <c r="D2" s="22">
        <v>20</v>
      </c>
      <c r="E2" s="17" t="s">
        <v>398</v>
      </c>
    </row>
    <row r="3" spans="1:21" x14ac:dyDescent="0.3">
      <c r="A3"/>
      <c r="B3">
        <v>1</v>
      </c>
      <c r="C3" s="17" t="s">
        <v>99</v>
      </c>
      <c r="D3" s="22">
        <v>8.9285714285714281E-3</v>
      </c>
      <c r="E3" s="17" t="s">
        <v>398</v>
      </c>
    </row>
    <row r="4" spans="1:21" x14ac:dyDescent="0.3">
      <c r="A4" t="s">
        <v>117</v>
      </c>
      <c r="B4">
        <v>1</v>
      </c>
      <c r="C4" s="17" t="s">
        <v>118</v>
      </c>
      <c r="D4" s="22">
        <v>31.1</v>
      </c>
      <c r="E4" s="17" t="s">
        <v>119</v>
      </c>
    </row>
    <row r="5" spans="1:21" x14ac:dyDescent="0.3">
      <c r="A5" t="s">
        <v>112</v>
      </c>
      <c r="B5">
        <v>1</v>
      </c>
      <c r="C5" s="17" t="s">
        <v>124</v>
      </c>
      <c r="D5" s="22">
        <v>23.388999999999999</v>
      </c>
      <c r="E5" s="17" t="s">
        <v>119</v>
      </c>
      <c r="F5" s="17" t="s">
        <v>125</v>
      </c>
    </row>
    <row r="6" spans="1:21" x14ac:dyDescent="0.3">
      <c r="A6" t="s">
        <v>112</v>
      </c>
      <c r="B6">
        <v>1</v>
      </c>
      <c r="C6" s="17" t="s">
        <v>120</v>
      </c>
      <c r="D6" s="22">
        <v>240</v>
      </c>
      <c r="E6" s="17" t="s">
        <v>121</v>
      </c>
    </row>
    <row r="7" spans="1:21" x14ac:dyDescent="0.3">
      <c r="A7" t="s">
        <v>37</v>
      </c>
      <c r="B7">
        <v>1</v>
      </c>
      <c r="C7" s="17" t="s">
        <v>73</v>
      </c>
      <c r="D7" s="22">
        <v>1.5</v>
      </c>
      <c r="E7" s="17" t="s">
        <v>398</v>
      </c>
      <c r="U7" t="e">
        <f>INDEX('Standards for Conversions'!H47:H73,MATCH(K4,'Imports - Data (Adjusted) - 1'!A23:A47,0))</f>
        <v>#N/A</v>
      </c>
    </row>
    <row r="8" spans="1:21" x14ac:dyDescent="0.3">
      <c r="A8" t="s">
        <v>68</v>
      </c>
      <c r="B8">
        <v>1</v>
      </c>
      <c r="C8" s="17" t="s">
        <v>73</v>
      </c>
      <c r="D8" s="22">
        <v>1.75</v>
      </c>
      <c r="E8" s="17" t="s">
        <v>398</v>
      </c>
    </row>
    <row r="9" spans="1:21" x14ac:dyDescent="0.3">
      <c r="A9" t="s">
        <v>74</v>
      </c>
      <c r="B9">
        <v>1</v>
      </c>
      <c r="C9" s="17" t="s">
        <v>73</v>
      </c>
      <c r="D9" s="22">
        <v>1.5</v>
      </c>
      <c r="E9" s="17" t="s">
        <v>398</v>
      </c>
    </row>
    <row r="10" spans="1:21" x14ac:dyDescent="0.3">
      <c r="A10" t="s">
        <v>76</v>
      </c>
      <c r="B10">
        <v>1</v>
      </c>
      <c r="C10" s="17" t="s">
        <v>75</v>
      </c>
      <c r="D10" s="22">
        <v>1.26</v>
      </c>
      <c r="E10" s="17" t="s">
        <v>398</v>
      </c>
    </row>
    <row r="11" spans="1:21" x14ac:dyDescent="0.3">
      <c r="A11" t="s">
        <v>79</v>
      </c>
      <c r="B11">
        <v>1</v>
      </c>
      <c r="C11" s="17" t="s">
        <v>80</v>
      </c>
      <c r="D11" s="22">
        <v>15.9</v>
      </c>
      <c r="E11" s="17" t="s">
        <v>398</v>
      </c>
      <c r="H11" s="18" t="s">
        <v>78</v>
      </c>
    </row>
    <row r="12" spans="1:21" x14ac:dyDescent="0.3">
      <c r="A12" t="s">
        <v>43</v>
      </c>
      <c r="B12">
        <v>1</v>
      </c>
      <c r="C12" s="17" t="s">
        <v>81</v>
      </c>
      <c r="D12" s="22">
        <v>3</v>
      </c>
      <c r="E12" s="17" t="s">
        <v>398</v>
      </c>
    </row>
    <row r="13" spans="1:21" x14ac:dyDescent="0.3">
      <c r="A13" t="s">
        <v>82</v>
      </c>
      <c r="B13">
        <v>1</v>
      </c>
      <c r="C13" s="17" t="s">
        <v>81</v>
      </c>
      <c r="D13" s="22">
        <v>2.98</v>
      </c>
      <c r="E13" s="17" t="s">
        <v>398</v>
      </c>
    </row>
    <row r="14" spans="1:21" x14ac:dyDescent="0.3">
      <c r="A14" t="s">
        <v>320</v>
      </c>
      <c r="B14">
        <v>1</v>
      </c>
      <c r="C14" s="17" t="s">
        <v>81</v>
      </c>
      <c r="D14" s="22">
        <f>242/112</f>
        <v>2.1607142857142856</v>
      </c>
      <c r="E14" s="17" t="s">
        <v>398</v>
      </c>
    </row>
    <row r="15" spans="1:21" x14ac:dyDescent="0.3">
      <c r="A15" t="s">
        <v>320</v>
      </c>
      <c r="B15">
        <v>1</v>
      </c>
      <c r="C15" s="17" t="s">
        <v>75</v>
      </c>
      <c r="D15" s="22">
        <v>4.4000000000000004</v>
      </c>
      <c r="E15" s="17" t="s">
        <v>398</v>
      </c>
    </row>
    <row r="16" spans="1:21" x14ac:dyDescent="0.3">
      <c r="A16" t="s">
        <v>320</v>
      </c>
      <c r="B16">
        <v>1</v>
      </c>
      <c r="C16" s="17" t="s">
        <v>417</v>
      </c>
      <c r="D16" s="22">
        <v>0.28571000000000002</v>
      </c>
      <c r="E16" s="17" t="s">
        <v>418</v>
      </c>
      <c r="F16" s="22">
        <f>D16*D15</f>
        <v>1.2571240000000001</v>
      </c>
      <c r="G16" s="17" t="s">
        <v>398</v>
      </c>
    </row>
    <row r="17" spans="1:9" x14ac:dyDescent="0.3">
      <c r="A17" t="s">
        <v>325</v>
      </c>
      <c r="B17">
        <v>1</v>
      </c>
      <c r="C17" s="17" t="s">
        <v>81</v>
      </c>
      <c r="D17" s="22">
        <v>336</v>
      </c>
      <c r="E17" s="17" t="s">
        <v>397</v>
      </c>
      <c r="F17" s="22">
        <f>D17/112</f>
        <v>3</v>
      </c>
      <c r="G17" s="17" t="s">
        <v>398</v>
      </c>
    </row>
    <row r="18" spans="1:9" x14ac:dyDescent="0.3">
      <c r="A18" t="s">
        <v>93</v>
      </c>
      <c r="B18">
        <v>1</v>
      </c>
      <c r="C18" s="17" t="s">
        <v>104</v>
      </c>
      <c r="D18" s="22">
        <v>9</v>
      </c>
      <c r="E18" s="17" t="s">
        <v>96</v>
      </c>
      <c r="F18" s="22"/>
    </row>
    <row r="19" spans="1:9" x14ac:dyDescent="0.3">
      <c r="A19" t="s">
        <v>94</v>
      </c>
      <c r="B19">
        <v>1</v>
      </c>
      <c r="C19" s="17" t="s">
        <v>95</v>
      </c>
      <c r="D19" s="22">
        <v>9</v>
      </c>
      <c r="E19" s="17" t="s">
        <v>96</v>
      </c>
      <c r="F19" s="22"/>
    </row>
    <row r="20" spans="1:9" x14ac:dyDescent="0.3">
      <c r="A20" t="s">
        <v>70</v>
      </c>
      <c r="B20">
        <v>1</v>
      </c>
      <c r="C20" s="17" t="s">
        <v>38</v>
      </c>
      <c r="D20" s="22">
        <v>1.75</v>
      </c>
      <c r="E20" s="17" t="s">
        <v>398</v>
      </c>
      <c r="F20" s="22"/>
    </row>
    <row r="21" spans="1:9" x14ac:dyDescent="0.3">
      <c r="A21" t="s">
        <v>70</v>
      </c>
      <c r="B21">
        <v>1</v>
      </c>
      <c r="C21" s="17" t="s">
        <v>40</v>
      </c>
      <c r="D21" s="22">
        <v>448</v>
      </c>
      <c r="E21" s="17" t="s">
        <v>397</v>
      </c>
      <c r="F21" s="22">
        <f>448/112</f>
        <v>4</v>
      </c>
      <c r="G21" s="17" t="s">
        <v>398</v>
      </c>
    </row>
    <row r="22" spans="1:9" x14ac:dyDescent="0.3">
      <c r="A22" t="s">
        <v>101</v>
      </c>
      <c r="B22">
        <v>1</v>
      </c>
      <c r="C22" s="17" t="s">
        <v>63</v>
      </c>
      <c r="D22" s="22">
        <v>0.15175</v>
      </c>
      <c r="E22" s="17" t="s">
        <v>398</v>
      </c>
      <c r="F22" s="22">
        <v>16.997</v>
      </c>
      <c r="G22" s="17" t="s">
        <v>99</v>
      </c>
    </row>
    <row r="23" spans="1:9" x14ac:dyDescent="0.3">
      <c r="A23" t="s">
        <v>69</v>
      </c>
      <c r="B23">
        <v>1</v>
      </c>
      <c r="C23" s="17" t="s">
        <v>38</v>
      </c>
      <c r="D23" s="22">
        <v>1.5</v>
      </c>
      <c r="E23" s="17" t="s">
        <v>398</v>
      </c>
    </row>
    <row r="24" spans="1:9" x14ac:dyDescent="0.3">
      <c r="A24" t="s">
        <v>102</v>
      </c>
      <c r="B24">
        <v>1</v>
      </c>
      <c r="C24" s="17" t="s">
        <v>38</v>
      </c>
      <c r="D24" s="22">
        <v>1.625</v>
      </c>
      <c r="E24" s="17" t="s">
        <v>398</v>
      </c>
    </row>
    <row r="25" spans="1:9" x14ac:dyDescent="0.3">
      <c r="A25" t="s">
        <v>431</v>
      </c>
      <c r="B25">
        <v>1</v>
      </c>
      <c r="C25" s="17" t="s">
        <v>42</v>
      </c>
      <c r="D25" s="22">
        <v>196</v>
      </c>
      <c r="E25" s="17" t="s">
        <v>397</v>
      </c>
      <c r="F25">
        <f>D25*D3</f>
        <v>1.75</v>
      </c>
      <c r="G25" s="17" t="s">
        <v>398</v>
      </c>
    </row>
    <row r="26" spans="1:9" x14ac:dyDescent="0.3">
      <c r="A26" t="s">
        <v>67</v>
      </c>
      <c r="B26">
        <v>1</v>
      </c>
      <c r="C26" s="17" t="s">
        <v>38</v>
      </c>
      <c r="D26" s="22">
        <v>1.5</v>
      </c>
      <c r="E26" s="17" t="s">
        <v>398</v>
      </c>
    </row>
    <row r="27" spans="1:9" x14ac:dyDescent="0.3">
      <c r="A27" t="s">
        <v>237</v>
      </c>
      <c r="B27">
        <v>1</v>
      </c>
      <c r="C27" s="17" t="s">
        <v>436</v>
      </c>
      <c r="D27" s="22">
        <v>99.007999999999996</v>
      </c>
      <c r="E27" s="17" t="s">
        <v>397</v>
      </c>
      <c r="F27" s="22">
        <f>D27/112</f>
        <v>0.88400000000000001</v>
      </c>
      <c r="G27" s="17" t="s">
        <v>398</v>
      </c>
    </row>
    <row r="28" spans="1:9" x14ac:dyDescent="0.3">
      <c r="A28" t="s">
        <v>103</v>
      </c>
      <c r="B28">
        <v>1</v>
      </c>
      <c r="C28" s="17" t="s">
        <v>38</v>
      </c>
      <c r="D28" s="22">
        <v>1.5</v>
      </c>
      <c r="E28" s="17" t="s">
        <v>398</v>
      </c>
    </row>
    <row r="29" spans="1:9" x14ac:dyDescent="0.3">
      <c r="A29" t="s">
        <v>105</v>
      </c>
      <c r="B29">
        <v>1</v>
      </c>
      <c r="C29" s="17" t="s">
        <v>106</v>
      </c>
      <c r="D29" s="22">
        <v>18.559999999999999</v>
      </c>
      <c r="E29" s="17" t="s">
        <v>97</v>
      </c>
    </row>
    <row r="30" spans="1:9" x14ac:dyDescent="0.3">
      <c r="A30" t="s">
        <v>107</v>
      </c>
      <c r="B30">
        <v>1</v>
      </c>
      <c r="C30" s="17" t="s">
        <v>44</v>
      </c>
      <c r="D30" s="22">
        <v>3</v>
      </c>
      <c r="E30" s="17" t="s">
        <v>398</v>
      </c>
      <c r="F30">
        <v>336</v>
      </c>
      <c r="G30" s="17" t="s">
        <v>99</v>
      </c>
    </row>
    <row r="31" spans="1:9" x14ac:dyDescent="0.3">
      <c r="A31"/>
      <c r="B31">
        <v>1</v>
      </c>
      <c r="C31" s="17" t="s">
        <v>385</v>
      </c>
      <c r="D31" s="22">
        <v>250</v>
      </c>
      <c r="E31" s="17" t="s">
        <v>397</v>
      </c>
      <c r="F31" s="22">
        <f>D31/112</f>
        <v>2.2321428571428572</v>
      </c>
      <c r="G31" s="17" t="s">
        <v>398</v>
      </c>
    </row>
    <row r="32" spans="1:9" s="10" customFormat="1" x14ac:dyDescent="0.3">
      <c r="A32" s="170" t="s">
        <v>112</v>
      </c>
      <c r="B32" s="171"/>
      <c r="C32" s="171"/>
      <c r="D32" s="171"/>
      <c r="E32" s="171"/>
      <c r="F32" s="171"/>
      <c r="G32" s="171"/>
      <c r="H32" s="171"/>
      <c r="I32" s="171"/>
    </row>
    <row r="33" spans="1:9" s="10" customFormat="1" ht="55.8" customHeight="1" x14ac:dyDescent="0.3">
      <c r="A33" s="109" t="s">
        <v>113</v>
      </c>
      <c r="B33" s="110" t="s">
        <v>116</v>
      </c>
      <c r="C33" s="110"/>
      <c r="D33" s="110" t="s">
        <v>122</v>
      </c>
      <c r="E33" s="110" t="s">
        <v>126</v>
      </c>
      <c r="F33" s="110" t="s">
        <v>114</v>
      </c>
      <c r="G33" s="110" t="s">
        <v>115</v>
      </c>
      <c r="H33" s="110" t="s">
        <v>123</v>
      </c>
      <c r="I33" s="110" t="s">
        <v>359</v>
      </c>
    </row>
    <row r="34" spans="1:9" s="10" customFormat="1" x14ac:dyDescent="0.3">
      <c r="A34">
        <v>1874</v>
      </c>
      <c r="B34" s="22">
        <v>58.3125</v>
      </c>
      <c r="C34" s="22"/>
      <c r="D34" s="22">
        <v>0.4933333333333334</v>
      </c>
      <c r="E34" s="22">
        <f t="shared" ref="E34:E46" si="0">D34*$D$6</f>
        <v>118.40000000000002</v>
      </c>
      <c r="F34" s="22">
        <v>25.943557935051938</v>
      </c>
      <c r="G34" s="22">
        <v>11.30909090909091</v>
      </c>
      <c r="H34" s="22">
        <f t="shared" ref="H34:H46" si="1">E34/$D$5</f>
        <v>5.0622087305998553</v>
      </c>
      <c r="I34" s="22">
        <f t="shared" ref="I34:I46" si="2">E34/G34</f>
        <v>10.469453376205788</v>
      </c>
    </row>
    <row r="35" spans="1:9" x14ac:dyDescent="0.3">
      <c r="A35">
        <v>1875</v>
      </c>
      <c r="B35" s="22">
        <v>56.875</v>
      </c>
      <c r="C35" s="22"/>
      <c r="D35" s="22">
        <v>0.50580219780219782</v>
      </c>
      <c r="E35" s="22">
        <f t="shared" si="0"/>
        <v>121.39252747252748</v>
      </c>
      <c r="F35" s="22">
        <v>26.742804944757786</v>
      </c>
      <c r="G35" s="22">
        <v>11.30909090909091</v>
      </c>
      <c r="H35" s="22">
        <f t="shared" si="1"/>
        <v>5.1901546655490822</v>
      </c>
      <c r="I35" s="22">
        <f t="shared" si="2"/>
        <v>10.734065934065933</v>
      </c>
    </row>
    <row r="36" spans="1:9" x14ac:dyDescent="0.3">
      <c r="A36">
        <v>1876</v>
      </c>
      <c r="B36" s="22">
        <v>52.75</v>
      </c>
      <c r="C36" s="22"/>
      <c r="D36" s="22">
        <v>0.54535545023696685</v>
      </c>
      <c r="E36" s="22">
        <f t="shared" si="0"/>
        <v>130.88530805687205</v>
      </c>
      <c r="F36" s="22">
        <v>28.58318895313921</v>
      </c>
      <c r="G36" s="22">
        <v>11.30909090909091</v>
      </c>
      <c r="H36" s="22">
        <f t="shared" si="1"/>
        <v>5.5960198408171387</v>
      </c>
      <c r="I36" s="22">
        <f t="shared" si="2"/>
        <v>11.57345971563981</v>
      </c>
    </row>
    <row r="37" spans="1:9" x14ac:dyDescent="0.3">
      <c r="A37">
        <v>1877</v>
      </c>
      <c r="B37" s="22">
        <v>54.8125</v>
      </c>
      <c r="C37" s="22"/>
      <c r="D37" s="22">
        <v>0.52483466362599773</v>
      </c>
      <c r="E37" s="22">
        <f t="shared" si="0"/>
        <v>125.96031927023945</v>
      </c>
      <c r="F37" s="22">
        <v>27.636786007858575</v>
      </c>
      <c r="G37" s="22">
        <v>11.30909090909091</v>
      </c>
      <c r="H37" s="22">
        <f t="shared" si="1"/>
        <v>5.3854512493154667</v>
      </c>
      <c r="I37" s="22">
        <f t="shared" si="2"/>
        <v>11.137970353477764</v>
      </c>
    </row>
    <row r="38" spans="1:9" x14ac:dyDescent="0.3">
      <c r="A38">
        <v>1878</v>
      </c>
      <c r="B38" s="22">
        <v>52.5625</v>
      </c>
      <c r="C38" s="22"/>
      <c r="D38" s="22">
        <v>0.54730083234244953</v>
      </c>
      <c r="E38" s="22">
        <f t="shared" si="0"/>
        <v>131.35219976218789</v>
      </c>
      <c r="F38" s="22">
        <v>28.839583006871695</v>
      </c>
      <c r="G38" s="22">
        <v>11.30909090909091</v>
      </c>
      <c r="H38" s="22">
        <f t="shared" si="1"/>
        <v>5.6159818616523962</v>
      </c>
      <c r="I38" s="22">
        <f t="shared" si="2"/>
        <v>11.614744351961951</v>
      </c>
    </row>
    <row r="39" spans="1:9" x14ac:dyDescent="0.3">
      <c r="A39">
        <v>1879</v>
      </c>
      <c r="B39" s="22">
        <v>51.25</v>
      </c>
      <c r="C39" s="22"/>
      <c r="D39" s="22">
        <v>0.56131707317073176</v>
      </c>
      <c r="E39" s="22">
        <f t="shared" si="0"/>
        <v>134.71609756097561</v>
      </c>
      <c r="F39" s="22">
        <v>29.606802472948086</v>
      </c>
      <c r="G39" s="22">
        <v>11.30909090909091</v>
      </c>
      <c r="H39" s="22">
        <f t="shared" si="1"/>
        <v>5.7598057873776396</v>
      </c>
      <c r="I39" s="22">
        <f t="shared" si="2"/>
        <v>11.912195121951218</v>
      </c>
    </row>
    <row r="40" spans="1:9" x14ac:dyDescent="0.3">
      <c r="A40">
        <v>1880</v>
      </c>
      <c r="B40" s="22">
        <v>52.25</v>
      </c>
      <c r="C40" s="22"/>
      <c r="D40" s="22">
        <v>0.55057416267942583</v>
      </c>
      <c r="E40" s="22">
        <f t="shared" si="0"/>
        <v>132.13779904306219</v>
      </c>
      <c r="F40" s="22">
        <v>28.839583006871695</v>
      </c>
      <c r="G40" s="22">
        <v>11.30909090909091</v>
      </c>
      <c r="H40" s="22">
        <f t="shared" si="1"/>
        <v>5.6495702699158663</v>
      </c>
      <c r="I40" s="22">
        <f t="shared" si="2"/>
        <v>11.684210526315788</v>
      </c>
    </row>
    <row r="41" spans="1:9" x14ac:dyDescent="0.3">
      <c r="A41">
        <v>1881</v>
      </c>
      <c r="B41" s="22">
        <v>51.6875</v>
      </c>
      <c r="C41" s="22"/>
      <c r="D41" s="22">
        <v>0.55656590084643287</v>
      </c>
      <c r="E41" s="22">
        <f t="shared" si="0"/>
        <v>133.57581620314389</v>
      </c>
      <c r="F41" s="22">
        <v>29.3465668866409</v>
      </c>
      <c r="G41" s="22">
        <v>11.30909090909091</v>
      </c>
      <c r="H41" s="22">
        <f t="shared" si="1"/>
        <v>5.7110528967952412</v>
      </c>
      <c r="I41" s="22">
        <f t="shared" si="2"/>
        <v>11.811366384522367</v>
      </c>
    </row>
    <row r="42" spans="1:9" x14ac:dyDescent="0.3">
      <c r="A42">
        <v>1882</v>
      </c>
      <c r="B42" s="22">
        <v>51.625</v>
      </c>
      <c r="C42" s="22"/>
      <c r="D42" s="22">
        <v>0.55723970944309931</v>
      </c>
      <c r="E42" s="22">
        <f t="shared" si="0"/>
        <v>133.73753026634384</v>
      </c>
      <c r="F42" s="22">
        <v>29.090866236824322</v>
      </c>
      <c r="G42" s="22">
        <v>11.30909090909091</v>
      </c>
      <c r="H42" s="22">
        <f t="shared" si="1"/>
        <v>5.7179670044184805</v>
      </c>
      <c r="I42" s="22">
        <f t="shared" si="2"/>
        <v>11.825665859564165</v>
      </c>
    </row>
    <row r="43" spans="1:9" x14ac:dyDescent="0.3">
      <c r="A43">
        <v>1883</v>
      </c>
      <c r="B43" s="22">
        <v>50.5625</v>
      </c>
      <c r="C43" s="22"/>
      <c r="D43" s="22">
        <v>0.56894932014833133</v>
      </c>
      <c r="E43" s="22">
        <f t="shared" si="0"/>
        <v>136.54783683559953</v>
      </c>
      <c r="F43" s="22">
        <v>29.871694718060489</v>
      </c>
      <c r="G43" s="22">
        <v>11.30909090909091</v>
      </c>
      <c r="H43" s="22">
        <f t="shared" si="1"/>
        <v>5.8381220588994625</v>
      </c>
      <c r="I43" s="22">
        <f t="shared" si="2"/>
        <v>12.074165636588381</v>
      </c>
    </row>
    <row r="44" spans="1:9" x14ac:dyDescent="0.3">
      <c r="A44">
        <v>1884</v>
      </c>
      <c r="B44" s="22">
        <v>50.625</v>
      </c>
      <c r="C44" s="22"/>
      <c r="D44" s="22">
        <v>0.56824691358024693</v>
      </c>
      <c r="E44" s="22">
        <f t="shared" si="0"/>
        <v>136.37925925925927</v>
      </c>
      <c r="F44" s="22">
        <v>29.871694718060489</v>
      </c>
      <c r="G44" s="22">
        <v>11.30909090909091</v>
      </c>
      <c r="H44" s="22">
        <f t="shared" si="1"/>
        <v>5.8309145008020558</v>
      </c>
      <c r="I44" s="22">
        <f t="shared" si="2"/>
        <v>12.059259259259258</v>
      </c>
    </row>
    <row r="45" spans="1:9" x14ac:dyDescent="0.3">
      <c r="A45">
        <v>1885</v>
      </c>
      <c r="B45" s="22">
        <v>48.5625</v>
      </c>
      <c r="C45" s="22"/>
      <c r="D45" s="22">
        <v>0.59238095238095245</v>
      </c>
      <c r="E45" s="22">
        <f t="shared" si="0"/>
        <v>142.17142857142858</v>
      </c>
      <c r="F45" s="22">
        <v>30.991483345477963</v>
      </c>
      <c r="G45" s="22">
        <v>11.30909090909091</v>
      </c>
      <c r="H45" s="22">
        <f t="shared" si="1"/>
        <v>6.0785595182106364</v>
      </c>
      <c r="I45" s="22">
        <f t="shared" si="2"/>
        <v>12.571428571428571</v>
      </c>
    </row>
    <row r="46" spans="1:9" x14ac:dyDescent="0.3">
      <c r="A46">
        <v>1886</v>
      </c>
      <c r="B46" s="22">
        <v>45.375</v>
      </c>
      <c r="C46" s="22"/>
      <c r="D46" s="22">
        <v>0.63399449035812672</v>
      </c>
      <c r="E46" s="22">
        <f t="shared" si="0"/>
        <v>152.15867768595041</v>
      </c>
      <c r="F46" s="22">
        <v>33.490410822023065</v>
      </c>
      <c r="G46" s="22">
        <v>11.30909090909091</v>
      </c>
      <c r="H46" s="22">
        <f t="shared" si="1"/>
        <v>6.5055657653576642</v>
      </c>
      <c r="I46" s="22">
        <f t="shared" si="2"/>
        <v>13.454545454545453</v>
      </c>
    </row>
    <row r="47" spans="1:9" x14ac:dyDescent="0.3">
      <c r="A47">
        <v>1887</v>
      </c>
      <c r="B47" s="22">
        <v>44.6875</v>
      </c>
      <c r="C47" s="23"/>
      <c r="D47" s="22">
        <v>0.64374825174825179</v>
      </c>
      <c r="E47" s="22">
        <f>D47*$D$6</f>
        <v>154.49958041958044</v>
      </c>
      <c r="F47" s="22">
        <v>33.842941462254885</v>
      </c>
      <c r="G47" s="22">
        <v>11.30909090909091</v>
      </c>
      <c r="H47" s="23">
        <f>E47/$D$5</f>
        <v>6.6056513925170144</v>
      </c>
      <c r="I47" s="23">
        <v>13.661538461538461</v>
      </c>
    </row>
    <row r="48" spans="1:9" x14ac:dyDescent="0.3">
      <c r="A48">
        <v>1888</v>
      </c>
      <c r="B48" s="22">
        <v>42.875</v>
      </c>
      <c r="C48" s="23"/>
      <c r="D48" s="22">
        <v>0.67096209912536442</v>
      </c>
      <c r="E48" s="22">
        <f t="shared" ref="E48:E73" si="3">D48*$D$6</f>
        <v>161.03090379008745</v>
      </c>
      <c r="F48" s="22">
        <v>35.273118590281918</v>
      </c>
      <c r="G48" s="22">
        <v>11.30909090909091</v>
      </c>
      <c r="H48" s="23">
        <f t="shared" ref="H48:H73" si="4">E48/$D$5</f>
        <v>6.8848990461365362</v>
      </c>
      <c r="I48" s="23">
        <v>14.239067055393583</v>
      </c>
    </row>
    <row r="49" spans="1:9" x14ac:dyDescent="0.3">
      <c r="A49">
        <v>1889</v>
      </c>
      <c r="B49" s="22">
        <v>42.6875</v>
      </c>
      <c r="C49" s="23"/>
      <c r="D49" s="22">
        <v>0.67390922401171305</v>
      </c>
      <c r="E49" s="22">
        <f t="shared" si="3"/>
        <v>161.73821376281114</v>
      </c>
      <c r="F49" s="22">
        <v>35.273118590281918</v>
      </c>
      <c r="G49" s="22">
        <v>11.30909090909091</v>
      </c>
      <c r="H49" s="23">
        <f t="shared" si="4"/>
        <v>6.9151401839672983</v>
      </c>
      <c r="I49" s="23">
        <v>14.301610541727671</v>
      </c>
    </row>
    <row r="50" spans="1:9" x14ac:dyDescent="0.3">
      <c r="A50">
        <v>1890</v>
      </c>
      <c r="B50" s="22">
        <v>47.75</v>
      </c>
      <c r="C50" s="23"/>
      <c r="D50" s="22">
        <v>0.60246073298429326</v>
      </c>
      <c r="E50" s="22">
        <f t="shared" si="3"/>
        <v>144.59057591623039</v>
      </c>
      <c r="F50" s="22">
        <v>31.57771729744773</v>
      </c>
      <c r="G50" s="22">
        <v>11.30909090909091</v>
      </c>
      <c r="H50" s="23">
        <f t="shared" si="4"/>
        <v>6.1819905047770485</v>
      </c>
      <c r="I50" s="23">
        <v>12.785340314136127</v>
      </c>
    </row>
    <row r="51" spans="1:9" x14ac:dyDescent="0.3">
      <c r="A51">
        <v>1891</v>
      </c>
      <c r="B51" s="22">
        <v>45.0625</v>
      </c>
      <c r="C51" s="23"/>
      <c r="D51" s="22">
        <v>0.6383911234396672</v>
      </c>
      <c r="E51" s="22">
        <f t="shared" si="3"/>
        <v>153.21386962552012</v>
      </c>
      <c r="F51" s="22">
        <v>33.490410822023065</v>
      </c>
      <c r="G51" s="22">
        <v>11.30909090909091</v>
      </c>
      <c r="H51" s="23">
        <f t="shared" si="4"/>
        <v>6.5506806458386473</v>
      </c>
      <c r="I51" s="23">
        <v>13.547850208044382</v>
      </c>
    </row>
    <row r="52" spans="1:9" x14ac:dyDescent="0.3">
      <c r="A52">
        <v>1892</v>
      </c>
      <c r="B52" s="22">
        <v>39.75</v>
      </c>
      <c r="C52" s="23"/>
      <c r="D52" s="22">
        <v>0.72371069182389947</v>
      </c>
      <c r="E52" s="22">
        <f t="shared" si="3"/>
        <v>173.69056603773586</v>
      </c>
      <c r="F52" s="22">
        <v>38.123471607678439</v>
      </c>
      <c r="G52" s="22">
        <v>11.30909090909091</v>
      </c>
      <c r="H52" s="23">
        <f t="shared" si="4"/>
        <v>7.4261646944177118</v>
      </c>
      <c r="I52" s="23">
        <v>15.358490566037736</v>
      </c>
    </row>
    <row r="53" spans="1:9" x14ac:dyDescent="0.3">
      <c r="A53">
        <v>1893</v>
      </c>
      <c r="B53" s="22">
        <v>35.9</v>
      </c>
      <c r="C53" s="23"/>
      <c r="D53" s="22">
        <v>0.80132311977715887</v>
      </c>
      <c r="E53" s="22">
        <f t="shared" si="3"/>
        <v>192.31754874651813</v>
      </c>
      <c r="F53" s="22">
        <v>42.510844686916641</v>
      </c>
      <c r="G53" s="22">
        <v>12.038709677662073</v>
      </c>
      <c r="H53" s="23">
        <f t="shared" si="4"/>
        <v>8.2225639722313115</v>
      </c>
      <c r="I53" s="23">
        <v>15.974930361794915</v>
      </c>
    </row>
    <row r="54" spans="1:9" x14ac:dyDescent="0.3">
      <c r="A54">
        <v>1894</v>
      </c>
      <c r="B54" s="22">
        <v>28.9375</v>
      </c>
      <c r="C54" s="23"/>
      <c r="D54" s="22">
        <v>0.99412526997840167</v>
      </c>
      <c r="E54" s="22">
        <f t="shared" si="3"/>
        <v>238.59006479481641</v>
      </c>
      <c r="F54" s="22">
        <v>52.642295239953789</v>
      </c>
      <c r="G54" s="22">
        <v>11.942399999761152</v>
      </c>
      <c r="H54" s="23">
        <f t="shared" si="4"/>
        <v>10.20095193444852</v>
      </c>
      <c r="I54" s="23">
        <v>19.978401728261339</v>
      </c>
    </row>
    <row r="55" spans="1:9" x14ac:dyDescent="0.3">
      <c r="A55">
        <v>1895</v>
      </c>
      <c r="B55" s="22">
        <v>29.8125</v>
      </c>
      <c r="C55" s="23"/>
      <c r="D55" s="22">
        <v>0.96494758909853262</v>
      </c>
      <c r="E55" s="22">
        <f t="shared" si="3"/>
        <v>231.58742138364784</v>
      </c>
      <c r="F55" s="22">
        <v>51.003022826488717</v>
      </c>
      <c r="G55" s="22">
        <v>11.662499999977223</v>
      </c>
      <c r="H55" s="23">
        <f t="shared" si="4"/>
        <v>9.9015529258902841</v>
      </c>
      <c r="I55" s="23">
        <v>19.857442348047169</v>
      </c>
    </row>
    <row r="56" spans="1:9" x14ac:dyDescent="0.3">
      <c r="A56">
        <v>1896</v>
      </c>
      <c r="B56" s="22">
        <v>30.8125</v>
      </c>
      <c r="C56" s="23"/>
      <c r="D56" s="22">
        <v>0.9336308316430022</v>
      </c>
      <c r="E56" s="22">
        <f t="shared" si="3"/>
        <v>224.07139959432052</v>
      </c>
      <c r="F56" s="22">
        <v>48.768058904878529</v>
      </c>
      <c r="G56" s="22">
        <v>12.868965517213647</v>
      </c>
      <c r="H56" s="23">
        <f t="shared" si="4"/>
        <v>9.5802043522305578</v>
      </c>
      <c r="I56" s="23">
        <v>17.411764705919879</v>
      </c>
    </row>
    <row r="57" spans="1:9" x14ac:dyDescent="0.3">
      <c r="A57">
        <v>1897</v>
      </c>
      <c r="B57" s="22">
        <v>27.5625</v>
      </c>
      <c r="C57" s="23"/>
      <c r="D57" s="22">
        <v>1.0437188208616781</v>
      </c>
      <c r="E57" s="22">
        <f t="shared" si="3"/>
        <v>250.49251700680276</v>
      </c>
      <c r="F57" s="22">
        <v>54.518487619285978</v>
      </c>
      <c r="G57" s="22">
        <v>15.389690722046129</v>
      </c>
      <c r="H57" s="23">
        <f t="shared" si="4"/>
        <v>10.709842960656838</v>
      </c>
      <c r="I57" s="23">
        <v>16.276643990510202</v>
      </c>
    </row>
    <row r="58" spans="1:9" x14ac:dyDescent="0.3">
      <c r="A58">
        <v>1898</v>
      </c>
      <c r="B58" s="22">
        <v>26.9375</v>
      </c>
      <c r="C58" s="23"/>
      <c r="D58" s="22">
        <v>1.0679350348027843</v>
      </c>
      <c r="E58" s="22">
        <f t="shared" si="3"/>
        <v>256.30440835266825</v>
      </c>
      <c r="F58" s="22">
        <v>55.783417726461984</v>
      </c>
      <c r="G58" s="22">
        <v>15.55</v>
      </c>
      <c r="H58" s="23">
        <f t="shared" si="4"/>
        <v>10.958331196402936</v>
      </c>
      <c r="I58" s="23">
        <v>16.482598607888633</v>
      </c>
    </row>
    <row r="59" spans="1:9" x14ac:dyDescent="0.3">
      <c r="A59">
        <v>1899</v>
      </c>
      <c r="B59" s="22">
        <v>27.4375</v>
      </c>
      <c r="C59" s="23"/>
      <c r="D59" s="22">
        <v>1.0484738041002279</v>
      </c>
      <c r="E59" s="22">
        <f t="shared" si="3"/>
        <v>251.63371298405471</v>
      </c>
      <c r="F59" s="22">
        <v>54.766863417095934</v>
      </c>
      <c r="G59" s="22">
        <v>15.631413612606368</v>
      </c>
      <c r="H59" s="23">
        <f t="shared" si="4"/>
        <v>10.758634955921789</v>
      </c>
      <c r="I59" s="23">
        <v>16.097949886062644</v>
      </c>
    </row>
    <row r="60" spans="1:9" x14ac:dyDescent="0.3">
      <c r="A60">
        <v>1900</v>
      </c>
      <c r="B60" s="22">
        <v>28.3125</v>
      </c>
      <c r="C60" s="23"/>
      <c r="D60" s="22">
        <v>1.0160706401766004</v>
      </c>
      <c r="E60" s="22">
        <f t="shared" si="3"/>
        <v>243.8569536423841</v>
      </c>
      <c r="F60" s="22">
        <v>53.074289271755212</v>
      </c>
      <c r="G60" s="22">
        <v>14.928000000373203</v>
      </c>
      <c r="H60" s="23">
        <f t="shared" si="4"/>
        <v>10.426138511367913</v>
      </c>
      <c r="I60" s="23">
        <v>16.335540838443706</v>
      </c>
    </row>
    <row r="61" spans="1:9" x14ac:dyDescent="0.3">
      <c r="A61">
        <v>1901</v>
      </c>
      <c r="B61" s="22">
        <v>27.1875</v>
      </c>
      <c r="C61" s="23"/>
      <c r="D61" s="22">
        <v>1.0581149425287357</v>
      </c>
      <c r="E61" s="22">
        <f t="shared" si="3"/>
        <v>253.94758620689657</v>
      </c>
      <c r="F61" s="22">
        <v>55.270466758862334</v>
      </c>
      <c r="G61" s="22">
        <v>16.226086956517332</v>
      </c>
      <c r="H61" s="23">
        <f t="shared" si="4"/>
        <v>10.857564932527966</v>
      </c>
      <c r="I61" s="23">
        <v>15.650574712647931</v>
      </c>
    </row>
    <row r="62" spans="1:9" x14ac:dyDescent="0.3">
      <c r="A62">
        <v>1902</v>
      </c>
      <c r="B62" s="22">
        <v>24.0625</v>
      </c>
      <c r="C62" s="23"/>
      <c r="D62" s="22">
        <v>1.1955324675324677</v>
      </c>
      <c r="E62" s="22">
        <f t="shared" si="3"/>
        <v>286.92779220779227</v>
      </c>
      <c r="F62" s="22">
        <v>62.448449454818487</v>
      </c>
      <c r="G62" s="22">
        <v>17.771428571428572</v>
      </c>
      <c r="H62" s="23">
        <f t="shared" si="4"/>
        <v>12.267638300388741</v>
      </c>
      <c r="I62" s="23">
        <v>16.145454545454548</v>
      </c>
    </row>
    <row r="63" spans="1:9" x14ac:dyDescent="0.3">
      <c r="A63">
        <v>1903</v>
      </c>
      <c r="B63" s="22">
        <v>24.75</v>
      </c>
      <c r="C63" s="23"/>
      <c r="D63" s="22">
        <v>1.1623232323232324</v>
      </c>
      <c r="E63" s="22">
        <f t="shared" si="3"/>
        <v>278.9575757575758</v>
      </c>
      <c r="F63" s="22">
        <v>60.713770303295746</v>
      </c>
      <c r="G63" s="22">
        <v>16.226086956517332</v>
      </c>
      <c r="H63" s="23">
        <f t="shared" si="4"/>
        <v>11.926870569822388</v>
      </c>
      <c r="I63" s="23">
        <v>17.191919191923866</v>
      </c>
    </row>
    <row r="64" spans="1:9" x14ac:dyDescent="0.3">
      <c r="A64">
        <v>1904</v>
      </c>
      <c r="B64" s="22">
        <v>26.40625</v>
      </c>
      <c r="C64" s="23"/>
      <c r="D64" s="22">
        <v>1.0894201183431953</v>
      </c>
      <c r="E64" s="22">
        <f t="shared" si="3"/>
        <v>261.46082840236687</v>
      </c>
      <c r="F64" s="22">
        <v>56.905687668887843</v>
      </c>
      <c r="G64" s="22">
        <v>15.880851063872024</v>
      </c>
      <c r="H64" s="23">
        <f t="shared" si="4"/>
        <v>11.178794664259561</v>
      </c>
      <c r="I64" s="23">
        <v>16.463905325399999</v>
      </c>
    </row>
    <row r="65" spans="1:9" x14ac:dyDescent="0.3">
      <c r="A65">
        <v>1905</v>
      </c>
      <c r="B65" s="22">
        <v>27.84375</v>
      </c>
      <c r="C65" s="23"/>
      <c r="D65" s="22">
        <v>1.03317620650954</v>
      </c>
      <c r="E65" s="22">
        <f t="shared" si="3"/>
        <v>247.96228956228961</v>
      </c>
      <c r="F65" s="22">
        <v>53.967795825151775</v>
      </c>
      <c r="G65" s="22">
        <v>14.92800000003732</v>
      </c>
      <c r="H65" s="23">
        <f t="shared" si="4"/>
        <v>10.601662728731011</v>
      </c>
      <c r="I65" s="23">
        <v>16.610549943841754</v>
      </c>
    </row>
    <row r="66" spans="1:9" x14ac:dyDescent="0.3">
      <c r="A66">
        <v>1906</v>
      </c>
      <c r="B66" s="22">
        <v>30.875</v>
      </c>
      <c r="C66" s="23"/>
      <c r="D66" s="22">
        <v>0.93174089068825905</v>
      </c>
      <c r="E66" s="22">
        <f t="shared" si="3"/>
        <v>223.61781376518218</v>
      </c>
      <c r="F66" s="22">
        <v>48.669338137864607</v>
      </c>
      <c r="G66" s="22">
        <v>13.570909090878251</v>
      </c>
      <c r="H66" s="23">
        <f t="shared" si="4"/>
        <v>9.5608112260114666</v>
      </c>
      <c r="I66" s="23">
        <v>16.477732793559714</v>
      </c>
    </row>
    <row r="67" spans="1:9" x14ac:dyDescent="0.3">
      <c r="A67">
        <v>1907</v>
      </c>
      <c r="B67" s="22">
        <v>30.1875</v>
      </c>
      <c r="C67" s="23"/>
      <c r="D67" s="22">
        <v>0.95296066252588008</v>
      </c>
      <c r="E67" s="22">
        <f t="shared" si="3"/>
        <v>228.71055900621121</v>
      </c>
      <c r="F67" s="22">
        <v>49.777749565435023</v>
      </c>
      <c r="G67" s="22">
        <v>14.928000000373203</v>
      </c>
      <c r="H67" s="23">
        <f t="shared" si="4"/>
        <v>9.7785522684258073</v>
      </c>
      <c r="I67" s="23">
        <v>15.320910972701864</v>
      </c>
    </row>
    <row r="68" spans="1:9" x14ac:dyDescent="0.3">
      <c r="A68">
        <v>1908</v>
      </c>
      <c r="B68" s="22">
        <v>24.40625</v>
      </c>
      <c r="C68" s="23"/>
      <c r="D68" s="22">
        <v>1.1786939820742639</v>
      </c>
      <c r="E68" s="22">
        <f t="shared" si="3"/>
        <v>282.88655569782333</v>
      </c>
      <c r="F68" s="22">
        <v>61.568893828694279</v>
      </c>
      <c r="G68" s="22">
        <v>17.358139534833263</v>
      </c>
      <c r="H68" s="23">
        <f t="shared" si="4"/>
        <v>12.094854662355095</v>
      </c>
      <c r="I68" s="23">
        <v>16.297055057665812</v>
      </c>
    </row>
    <row r="69" spans="1:9" x14ac:dyDescent="0.3">
      <c r="A69">
        <v>1909</v>
      </c>
      <c r="B69" s="22">
        <v>23.71875</v>
      </c>
      <c r="C69" s="23"/>
      <c r="D69" s="22">
        <v>1.2128590250329381</v>
      </c>
      <c r="E69" s="22">
        <f t="shared" si="3"/>
        <v>291.08616600790515</v>
      </c>
      <c r="F69" s="22">
        <v>63.353499446917297</v>
      </c>
      <c r="G69" s="22">
        <v>17.771428571428572</v>
      </c>
      <c r="H69" s="23">
        <f t="shared" si="4"/>
        <v>12.445430159814663</v>
      </c>
      <c r="I69" s="23">
        <v>16.379446640316207</v>
      </c>
    </row>
    <row r="70" spans="1:9" x14ac:dyDescent="0.3">
      <c r="A70">
        <v>1910</v>
      </c>
      <c r="B70" s="22">
        <v>24.65625</v>
      </c>
      <c r="C70" s="23"/>
      <c r="D70" s="22">
        <v>1.1667427122940432</v>
      </c>
      <c r="E70" s="22">
        <f t="shared" si="3"/>
        <v>280.0182509505704</v>
      </c>
      <c r="F70" s="22">
        <v>60.944621140950865</v>
      </c>
      <c r="G70" s="22">
        <v>15.232653022365682</v>
      </c>
      <c r="H70" s="23">
        <f t="shared" si="4"/>
        <v>11.972219887578367</v>
      </c>
      <c r="I70" s="23">
        <v>18.382763038022816</v>
      </c>
    </row>
    <row r="71" spans="1:9" x14ac:dyDescent="0.3">
      <c r="A71">
        <v>1911</v>
      </c>
      <c r="B71" s="22">
        <v>24.59375</v>
      </c>
      <c r="C71" s="23"/>
      <c r="D71" s="22">
        <v>1.1697077509529861</v>
      </c>
      <c r="E71" s="22">
        <f t="shared" si="3"/>
        <v>280.72986022871663</v>
      </c>
      <c r="F71" s="22">
        <v>61.099499466594956</v>
      </c>
      <c r="G71" s="22">
        <v>15.880851063872024</v>
      </c>
      <c r="H71" s="23">
        <f t="shared" si="4"/>
        <v>12.002644842819985</v>
      </c>
      <c r="I71" s="23">
        <v>17.677255400207116</v>
      </c>
    </row>
    <row r="72" spans="1:9" x14ac:dyDescent="0.3">
      <c r="A72">
        <v>1912</v>
      </c>
      <c r="B72" s="22">
        <v>28.0625</v>
      </c>
      <c r="C72" s="23"/>
      <c r="D72" s="22">
        <v>1.0251224944320714</v>
      </c>
      <c r="E72" s="22">
        <f t="shared" si="3"/>
        <v>246.02939866369712</v>
      </c>
      <c r="F72" s="22">
        <v>53.547111447895581</v>
      </c>
      <c r="G72" s="22">
        <v>13.758525345590419</v>
      </c>
      <c r="H72" s="23">
        <f t="shared" si="4"/>
        <v>10.519021705233106</v>
      </c>
      <c r="I72" s="23">
        <v>17.881959910954343</v>
      </c>
    </row>
    <row r="73" spans="1:9" x14ac:dyDescent="0.3">
      <c r="A73">
        <v>1913</v>
      </c>
      <c r="B73" s="22">
        <v>27.5625</v>
      </c>
      <c r="C73" s="23"/>
      <c r="D73" s="22">
        <v>1.0437188208616781</v>
      </c>
      <c r="E73" s="22">
        <f t="shared" si="3"/>
        <v>250.49251700680276</v>
      </c>
      <c r="F73" s="22">
        <v>54.518487619285978</v>
      </c>
      <c r="G73" s="22">
        <v>14.353846153842705</v>
      </c>
      <c r="H73" s="23">
        <f t="shared" si="4"/>
        <v>10.709842960656838</v>
      </c>
      <c r="I73" s="23">
        <v>17.451247165537076</v>
      </c>
    </row>
  </sheetData>
  <mergeCells count="2">
    <mergeCell ref="B1:G1"/>
    <mergeCell ref="A32:I32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T331"/>
  <sheetViews>
    <sheetView zoomScale="60" zoomScaleNormal="60" zoomScaleSheetLayoutView="9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4" sqref="C4"/>
    </sheetView>
  </sheetViews>
  <sheetFormatPr defaultRowHeight="14.4" x14ac:dyDescent="0.3"/>
  <cols>
    <col min="1" max="1" width="38.44140625" bestFit="1" customWidth="1"/>
    <col min="2" max="2" width="9.21875" style="10" bestFit="1" customWidth="1"/>
    <col min="3" max="3" width="12.109375" style="10" customWidth="1"/>
    <col min="4" max="4" width="14" style="10" customWidth="1"/>
    <col min="5" max="5" width="9.77734375" bestFit="1" customWidth="1"/>
    <col min="6" max="6" width="16.77734375" bestFit="1" customWidth="1"/>
    <col min="7" max="7" width="9.21875" style="10" bestFit="1" customWidth="1"/>
    <col min="8" max="8" width="9.77734375" bestFit="1" customWidth="1"/>
    <col min="9" max="9" width="16.77734375" bestFit="1" customWidth="1"/>
    <col min="10" max="10" width="9.77734375" bestFit="1" customWidth="1"/>
    <col min="11" max="11" width="16.77734375" bestFit="1" customWidth="1"/>
    <col min="12" max="12" width="9.21875" style="10" bestFit="1" customWidth="1"/>
    <col min="13" max="13" width="9.77734375" bestFit="1" customWidth="1"/>
    <col min="14" max="14" width="16.77734375" bestFit="1" customWidth="1"/>
    <col min="15" max="15" width="9.21875" style="10" bestFit="1" customWidth="1"/>
    <col min="16" max="16" width="9.77734375" bestFit="1" customWidth="1"/>
    <col min="17" max="17" width="16.77734375" bestFit="1" customWidth="1"/>
    <col min="18" max="18" width="9.21875" style="10" bestFit="1" customWidth="1"/>
    <col min="19" max="19" width="9.77734375" bestFit="1" customWidth="1"/>
    <col min="20" max="20" width="16.77734375" bestFit="1" customWidth="1"/>
    <col min="21" max="21" width="9.77734375" bestFit="1" customWidth="1"/>
    <col min="22" max="22" width="16.77734375" bestFit="1" customWidth="1"/>
    <col min="23" max="23" width="9.21875" style="10" bestFit="1" customWidth="1"/>
    <col min="24" max="24" width="9.77734375" bestFit="1" customWidth="1"/>
    <col min="25" max="25" width="16.77734375" bestFit="1" customWidth="1"/>
    <col min="26" max="26" width="9.21875" style="10" bestFit="1" customWidth="1"/>
    <col min="27" max="27" width="9.77734375" bestFit="1" customWidth="1"/>
    <col min="28" max="28" width="16.77734375" bestFit="1" customWidth="1"/>
    <col min="29" max="29" width="9.77734375" bestFit="1" customWidth="1"/>
    <col min="30" max="30" width="16.77734375" bestFit="1" customWidth="1"/>
    <col min="31" max="31" width="9.77734375" bestFit="1" customWidth="1"/>
    <col min="32" max="32" width="16.77734375" bestFit="1" customWidth="1"/>
    <col min="33" max="33" width="9.77734375" bestFit="1" customWidth="1"/>
    <col min="34" max="34" width="16.77734375" bestFit="1" customWidth="1"/>
    <col min="35" max="35" width="9.77734375" bestFit="1" customWidth="1"/>
    <col min="36" max="36" width="16.77734375" bestFit="1" customWidth="1"/>
    <col min="37" max="37" width="9.77734375" bestFit="1" customWidth="1"/>
    <col min="38" max="38" width="16.77734375" bestFit="1" customWidth="1"/>
    <col min="39" max="39" width="9.77734375" bestFit="1" customWidth="1"/>
    <col min="40" max="40" width="16.77734375" bestFit="1" customWidth="1"/>
    <col min="41" max="41" width="9.77734375" bestFit="1" customWidth="1"/>
    <col min="42" max="42" width="16.77734375" bestFit="1" customWidth="1"/>
    <col min="43" max="43" width="9.21875" bestFit="1" customWidth="1"/>
    <col min="44" max="44" width="9.77734375" bestFit="1" customWidth="1"/>
    <col min="45" max="45" width="16.77734375" bestFit="1" customWidth="1"/>
    <col min="46" max="46" width="9.77734375" bestFit="1" customWidth="1"/>
    <col min="47" max="47" width="16.77734375" bestFit="1" customWidth="1"/>
    <col min="48" max="48" width="9.21875" bestFit="1" customWidth="1"/>
    <col min="49" max="49" width="9.77734375" bestFit="1" customWidth="1"/>
    <col min="50" max="50" width="16.77734375" bestFit="1" customWidth="1"/>
    <col min="51" max="51" width="10.109375" bestFit="1" customWidth="1"/>
    <col min="52" max="52" width="9.77734375" bestFit="1" customWidth="1"/>
    <col min="53" max="53" width="16.77734375" bestFit="1" customWidth="1"/>
    <col min="54" max="54" width="9.77734375" bestFit="1" customWidth="1"/>
    <col min="55" max="55" width="16.77734375" bestFit="1" customWidth="1"/>
    <col min="56" max="56" width="9.77734375" bestFit="1" customWidth="1"/>
    <col min="57" max="57" width="16.77734375" bestFit="1" customWidth="1"/>
    <col min="58" max="58" width="10.109375" bestFit="1" customWidth="1"/>
    <col min="59" max="59" width="9.77734375" bestFit="1" customWidth="1"/>
    <col min="60" max="60" width="16.77734375" bestFit="1" customWidth="1"/>
    <col min="61" max="61" width="9.77734375" bestFit="1" customWidth="1"/>
    <col min="62" max="62" width="16.77734375" bestFit="1" customWidth="1"/>
    <col min="63" max="63" width="9.77734375" bestFit="1" customWidth="1"/>
    <col min="64" max="64" width="16.77734375" bestFit="1" customWidth="1"/>
    <col min="65" max="65" width="9.77734375" bestFit="1" customWidth="1"/>
    <col min="66" max="66" width="16.77734375" bestFit="1" customWidth="1"/>
    <col min="67" max="67" width="6.5546875" bestFit="1" customWidth="1"/>
    <col min="68" max="68" width="9.77734375" bestFit="1" customWidth="1"/>
    <col min="69" max="69" width="16.77734375" bestFit="1" customWidth="1"/>
    <col min="70" max="70" width="9.77734375" bestFit="1" customWidth="1"/>
    <col min="71" max="71" width="16.77734375" bestFit="1" customWidth="1"/>
    <col min="72" max="72" width="9.77734375" bestFit="1" customWidth="1"/>
    <col min="73" max="73" width="16.77734375" bestFit="1" customWidth="1"/>
    <col min="74" max="74" width="9.77734375" bestFit="1" customWidth="1"/>
    <col min="75" max="75" width="16.77734375" bestFit="1" customWidth="1"/>
    <col min="76" max="76" width="7.88671875" bestFit="1" customWidth="1"/>
    <col min="77" max="77" width="9.77734375" bestFit="1" customWidth="1"/>
    <col min="78" max="78" width="17.109375" bestFit="1" customWidth="1"/>
    <col min="79" max="79" width="9.77734375" bestFit="1" customWidth="1"/>
    <col min="80" max="80" width="17.109375" bestFit="1" customWidth="1"/>
    <col min="81" max="81" width="9.77734375" bestFit="1" customWidth="1"/>
    <col min="82" max="82" width="17.109375" bestFit="1" customWidth="1"/>
    <col min="83" max="83" width="7.88671875" bestFit="1" customWidth="1"/>
    <col min="84" max="84" width="9.77734375" bestFit="1" customWidth="1"/>
    <col min="85" max="85" width="17.109375" bestFit="1" customWidth="1"/>
    <col min="86" max="86" width="9.77734375" bestFit="1" customWidth="1"/>
    <col min="87" max="87" width="17.109375" bestFit="1" customWidth="1"/>
    <col min="88" max="88" width="9" bestFit="1" customWidth="1"/>
    <col min="89" max="89" width="9.77734375" bestFit="1" customWidth="1"/>
    <col min="90" max="90" width="17.109375" bestFit="1" customWidth="1"/>
    <col min="91" max="91" width="9.77734375" bestFit="1" customWidth="1"/>
    <col min="92" max="92" width="17.109375" bestFit="1" customWidth="1"/>
  </cols>
  <sheetData>
    <row r="1" spans="1:98" ht="15.6" x14ac:dyDescent="0.3">
      <c r="A1" s="1"/>
      <c r="B1" s="162" t="s">
        <v>1</v>
      </c>
      <c r="C1" s="163" t="s">
        <v>372</v>
      </c>
      <c r="D1" s="163"/>
      <c r="E1" s="161" t="s">
        <v>392</v>
      </c>
      <c r="F1" s="161"/>
      <c r="G1" s="162" t="s">
        <v>1</v>
      </c>
      <c r="H1" s="161" t="s">
        <v>390</v>
      </c>
      <c r="I1" s="161"/>
      <c r="J1" s="161" t="s">
        <v>388</v>
      </c>
      <c r="K1" s="161"/>
      <c r="L1" s="162" t="s">
        <v>1</v>
      </c>
      <c r="M1" s="161" t="s">
        <v>386</v>
      </c>
      <c r="N1" s="161"/>
      <c r="O1" s="162" t="s">
        <v>1</v>
      </c>
      <c r="P1" s="161" t="s">
        <v>383</v>
      </c>
      <c r="Q1" s="161"/>
      <c r="R1" s="162" t="s">
        <v>1</v>
      </c>
      <c r="S1" s="161" t="s">
        <v>382</v>
      </c>
      <c r="T1" s="161"/>
      <c r="U1" s="161" t="s">
        <v>381</v>
      </c>
      <c r="V1" s="161"/>
      <c r="W1" s="162" t="s">
        <v>1</v>
      </c>
      <c r="X1" s="161" t="s">
        <v>380</v>
      </c>
      <c r="Y1" s="161"/>
      <c r="Z1" s="162" t="s">
        <v>1</v>
      </c>
      <c r="AA1" s="161" t="s">
        <v>379</v>
      </c>
      <c r="AB1" s="161"/>
      <c r="AC1" s="161" t="s">
        <v>378</v>
      </c>
      <c r="AD1" s="161"/>
      <c r="AE1" s="161" t="s">
        <v>377</v>
      </c>
      <c r="AF1" s="161"/>
      <c r="AG1" s="161" t="s">
        <v>376</v>
      </c>
      <c r="AH1" s="161"/>
      <c r="AI1" s="161" t="s">
        <v>375</v>
      </c>
      <c r="AJ1" s="161"/>
      <c r="AK1" s="161" t="s">
        <v>345</v>
      </c>
      <c r="AL1" s="161"/>
      <c r="AM1" s="161" t="s">
        <v>346</v>
      </c>
      <c r="AN1" s="161"/>
      <c r="AO1" s="161" t="s">
        <v>35</v>
      </c>
      <c r="AP1" s="161"/>
      <c r="AQ1" s="160" t="s">
        <v>1</v>
      </c>
      <c r="AR1" s="161" t="s">
        <v>90</v>
      </c>
      <c r="AS1" s="161"/>
      <c r="AT1" s="161" t="s">
        <v>88</v>
      </c>
      <c r="AU1" s="161"/>
      <c r="AV1" s="160" t="s">
        <v>1</v>
      </c>
      <c r="AW1" s="161" t="s">
        <v>89</v>
      </c>
      <c r="AX1" s="161"/>
      <c r="AY1" s="160" t="s">
        <v>1</v>
      </c>
      <c r="AZ1" s="161" t="s">
        <v>33</v>
      </c>
      <c r="BA1" s="161"/>
      <c r="BB1" s="161" t="s">
        <v>32</v>
      </c>
      <c r="BC1" s="161"/>
      <c r="BD1" s="161" t="s">
        <v>31</v>
      </c>
      <c r="BE1" s="161"/>
      <c r="BF1" s="160" t="s">
        <v>1</v>
      </c>
      <c r="BG1" s="161" t="s">
        <v>348</v>
      </c>
      <c r="BH1" s="161"/>
      <c r="BI1" s="161" t="s">
        <v>84</v>
      </c>
      <c r="BJ1" s="161"/>
      <c r="BK1" s="161" t="s">
        <v>85</v>
      </c>
      <c r="BL1" s="161"/>
      <c r="BM1" s="161" t="s">
        <v>83</v>
      </c>
      <c r="BN1" s="161"/>
      <c r="BO1" s="160" t="s">
        <v>1</v>
      </c>
      <c r="BP1" s="161" t="s">
        <v>30</v>
      </c>
      <c r="BQ1" s="161"/>
      <c r="BR1" s="161" t="s">
        <v>29</v>
      </c>
      <c r="BS1" s="161"/>
      <c r="BT1" s="161" t="s">
        <v>28</v>
      </c>
      <c r="BU1" s="161"/>
      <c r="BV1" s="161" t="s">
        <v>3</v>
      </c>
      <c r="BW1" s="161"/>
      <c r="BX1" s="160" t="s">
        <v>1</v>
      </c>
      <c r="BY1" s="161" t="s">
        <v>4</v>
      </c>
      <c r="BZ1" s="161"/>
      <c r="CA1" s="161" t="s">
        <v>5</v>
      </c>
      <c r="CB1" s="161"/>
      <c r="CC1" s="161" t="s">
        <v>10</v>
      </c>
      <c r="CD1" s="161"/>
      <c r="CE1" s="160" t="s">
        <v>1</v>
      </c>
      <c r="CF1" s="161" t="s">
        <v>12</v>
      </c>
      <c r="CG1" s="161"/>
      <c r="CH1" s="161" t="s">
        <v>13</v>
      </c>
      <c r="CI1" s="161"/>
      <c r="CJ1" s="160" t="s">
        <v>1</v>
      </c>
      <c r="CK1" s="161" t="s">
        <v>14</v>
      </c>
      <c r="CL1" s="161"/>
      <c r="CM1" s="161" t="s">
        <v>15</v>
      </c>
      <c r="CN1" s="161"/>
    </row>
    <row r="2" spans="1:98" ht="18" customHeight="1" x14ac:dyDescent="0.3">
      <c r="A2" s="1"/>
      <c r="B2" s="162"/>
      <c r="C2" s="159">
        <v>1874</v>
      </c>
      <c r="D2" s="159"/>
      <c r="E2" s="159">
        <v>1875</v>
      </c>
      <c r="F2" s="159"/>
      <c r="G2" s="162"/>
      <c r="H2" s="159">
        <v>1876</v>
      </c>
      <c r="I2" s="159"/>
      <c r="J2" s="159">
        <v>1877</v>
      </c>
      <c r="K2" s="159"/>
      <c r="L2" s="162"/>
      <c r="M2" s="159">
        <v>1878</v>
      </c>
      <c r="N2" s="159"/>
      <c r="O2" s="162"/>
      <c r="P2" s="159">
        <v>1879</v>
      </c>
      <c r="Q2" s="159"/>
      <c r="R2" s="162"/>
      <c r="S2" s="159">
        <v>1880</v>
      </c>
      <c r="T2" s="159"/>
      <c r="U2" s="159">
        <v>1881</v>
      </c>
      <c r="V2" s="159"/>
      <c r="W2" s="162"/>
      <c r="X2" s="159">
        <v>1882</v>
      </c>
      <c r="Y2" s="159"/>
      <c r="Z2" s="162"/>
      <c r="AA2" s="159">
        <v>1883</v>
      </c>
      <c r="AB2" s="159"/>
      <c r="AC2" s="159">
        <v>1884</v>
      </c>
      <c r="AD2" s="159"/>
      <c r="AE2" s="159">
        <v>1885</v>
      </c>
      <c r="AF2" s="159"/>
      <c r="AG2" s="159">
        <v>1886</v>
      </c>
      <c r="AH2" s="159"/>
      <c r="AI2" s="159">
        <v>1887</v>
      </c>
      <c r="AJ2" s="159"/>
      <c r="AK2" s="159">
        <v>1888</v>
      </c>
      <c r="AL2" s="159"/>
      <c r="AM2" s="159">
        <v>1889</v>
      </c>
      <c r="AN2" s="159"/>
      <c r="AO2" s="159">
        <v>1890</v>
      </c>
      <c r="AP2" s="159"/>
      <c r="AQ2" s="160"/>
      <c r="AR2" s="159">
        <v>1891</v>
      </c>
      <c r="AS2" s="159"/>
      <c r="AT2" s="159">
        <v>1892</v>
      </c>
      <c r="AU2" s="159"/>
      <c r="AV2" s="160"/>
      <c r="AW2" s="159">
        <v>1893</v>
      </c>
      <c r="AX2" s="159"/>
      <c r="AY2" s="160"/>
      <c r="AZ2" s="159">
        <v>1894</v>
      </c>
      <c r="BA2" s="159"/>
      <c r="BB2" s="159">
        <v>1895</v>
      </c>
      <c r="BC2" s="159"/>
      <c r="BD2" s="159">
        <v>1896</v>
      </c>
      <c r="BE2" s="159"/>
      <c r="BF2" s="160"/>
      <c r="BG2" s="159">
        <v>1897</v>
      </c>
      <c r="BH2" s="159"/>
      <c r="BI2" s="159">
        <v>1898</v>
      </c>
      <c r="BJ2" s="159"/>
      <c r="BK2" s="159">
        <v>1899</v>
      </c>
      <c r="BL2" s="159"/>
      <c r="BM2" s="159">
        <v>1900</v>
      </c>
      <c r="BN2" s="159"/>
      <c r="BO2" s="160"/>
      <c r="BP2" s="159">
        <v>1901</v>
      </c>
      <c r="BQ2" s="159"/>
      <c r="BR2" s="159">
        <v>1902</v>
      </c>
      <c r="BS2" s="159"/>
      <c r="BT2" s="159">
        <v>1903</v>
      </c>
      <c r="BU2" s="159"/>
      <c r="BV2" s="159">
        <v>1904</v>
      </c>
      <c r="BW2" s="159"/>
      <c r="BX2" s="160"/>
      <c r="BY2" s="159">
        <v>1905</v>
      </c>
      <c r="BZ2" s="159"/>
      <c r="CA2" s="159">
        <v>1906</v>
      </c>
      <c r="CB2" s="159"/>
      <c r="CC2" s="159">
        <v>1907</v>
      </c>
      <c r="CD2" s="159"/>
      <c r="CE2" s="160"/>
      <c r="CF2" s="159">
        <v>1908</v>
      </c>
      <c r="CG2" s="159"/>
      <c r="CH2" s="159">
        <v>1909</v>
      </c>
      <c r="CI2" s="159"/>
      <c r="CJ2" s="160"/>
      <c r="CK2" s="159">
        <v>1910</v>
      </c>
      <c r="CL2" s="159"/>
      <c r="CM2" s="159">
        <v>1911</v>
      </c>
      <c r="CN2" s="159"/>
    </row>
    <row r="3" spans="1:98" ht="15.6" x14ac:dyDescent="0.3">
      <c r="A3" s="2" t="s">
        <v>0</v>
      </c>
      <c r="B3" s="162"/>
      <c r="C3" s="3" t="s">
        <v>2</v>
      </c>
      <c r="D3" s="8" t="s">
        <v>11</v>
      </c>
      <c r="E3" s="3" t="s">
        <v>2</v>
      </c>
      <c r="F3" s="8" t="s">
        <v>11</v>
      </c>
      <c r="G3" s="162"/>
      <c r="H3" s="3" t="s">
        <v>2</v>
      </c>
      <c r="I3" s="8" t="s">
        <v>11</v>
      </c>
      <c r="J3" s="3" t="s">
        <v>2</v>
      </c>
      <c r="K3" s="8" t="s">
        <v>11</v>
      </c>
      <c r="L3" s="162"/>
      <c r="M3" s="3" t="s">
        <v>2</v>
      </c>
      <c r="N3" s="8" t="s">
        <v>11</v>
      </c>
      <c r="O3" s="162"/>
      <c r="P3" s="3" t="s">
        <v>2</v>
      </c>
      <c r="Q3" s="8" t="s">
        <v>11</v>
      </c>
      <c r="R3" s="162"/>
      <c r="S3" s="3" t="s">
        <v>2</v>
      </c>
      <c r="T3" s="8" t="s">
        <v>11</v>
      </c>
      <c r="U3" s="3" t="s">
        <v>2</v>
      </c>
      <c r="V3" s="8" t="s">
        <v>11</v>
      </c>
      <c r="W3" s="162"/>
      <c r="X3" s="3" t="s">
        <v>2</v>
      </c>
      <c r="Y3" s="8" t="s">
        <v>11</v>
      </c>
      <c r="Z3" s="162"/>
      <c r="AA3" s="3" t="s">
        <v>2</v>
      </c>
      <c r="AB3" s="8" t="s">
        <v>11</v>
      </c>
      <c r="AC3" s="3" t="s">
        <v>2</v>
      </c>
      <c r="AD3" s="8" t="s">
        <v>11</v>
      </c>
      <c r="AE3" s="3" t="s">
        <v>2</v>
      </c>
      <c r="AF3" s="8" t="s">
        <v>11</v>
      </c>
      <c r="AG3" s="3" t="s">
        <v>2</v>
      </c>
      <c r="AH3" s="8" t="s">
        <v>11</v>
      </c>
      <c r="AI3" s="3" t="s">
        <v>2</v>
      </c>
      <c r="AJ3" s="8" t="s">
        <v>11</v>
      </c>
      <c r="AK3" s="3" t="s">
        <v>2</v>
      </c>
      <c r="AL3" s="8" t="s">
        <v>11</v>
      </c>
      <c r="AM3" s="3" t="s">
        <v>2</v>
      </c>
      <c r="AN3" s="8" t="s">
        <v>11</v>
      </c>
      <c r="AO3" s="3" t="s">
        <v>2</v>
      </c>
      <c r="AP3" s="8" t="s">
        <v>11</v>
      </c>
      <c r="AQ3" s="160"/>
      <c r="AR3" s="3" t="s">
        <v>2</v>
      </c>
      <c r="AS3" s="8" t="s">
        <v>11</v>
      </c>
      <c r="AT3" s="3" t="s">
        <v>2</v>
      </c>
      <c r="AU3" s="8" t="s">
        <v>11</v>
      </c>
      <c r="AV3" s="160"/>
      <c r="AW3" s="3" t="s">
        <v>2</v>
      </c>
      <c r="AX3" s="8" t="s">
        <v>11</v>
      </c>
      <c r="AY3" s="160"/>
      <c r="AZ3" s="3" t="s">
        <v>2</v>
      </c>
      <c r="BA3" s="8" t="s">
        <v>11</v>
      </c>
      <c r="BB3" s="11" t="s">
        <v>2</v>
      </c>
      <c r="BC3" s="8" t="s">
        <v>11</v>
      </c>
      <c r="BD3" s="11" t="s">
        <v>2</v>
      </c>
      <c r="BE3" s="8" t="s">
        <v>11</v>
      </c>
      <c r="BF3" s="160"/>
      <c r="BG3" s="11" t="s">
        <v>2</v>
      </c>
      <c r="BH3" s="8" t="s">
        <v>11</v>
      </c>
      <c r="BI3" s="11" t="s">
        <v>2</v>
      </c>
      <c r="BJ3" s="8" t="s">
        <v>11</v>
      </c>
      <c r="BK3" s="11" t="s">
        <v>2</v>
      </c>
      <c r="BL3" s="8" t="s">
        <v>11</v>
      </c>
      <c r="BM3" s="11" t="s">
        <v>2</v>
      </c>
      <c r="BN3" s="8" t="s">
        <v>11</v>
      </c>
      <c r="BO3" s="160"/>
      <c r="BP3" s="11" t="s">
        <v>2</v>
      </c>
      <c r="BQ3" s="8" t="s">
        <v>11</v>
      </c>
      <c r="BR3" s="11" t="s">
        <v>2</v>
      </c>
      <c r="BS3" s="8" t="s">
        <v>11</v>
      </c>
      <c r="BT3" s="11" t="s">
        <v>2</v>
      </c>
      <c r="BU3" s="8" t="s">
        <v>11</v>
      </c>
      <c r="BV3" s="3" t="s">
        <v>2</v>
      </c>
      <c r="BW3" s="8" t="s">
        <v>11</v>
      </c>
      <c r="BX3" s="160"/>
      <c r="BY3" s="3" t="s">
        <v>2</v>
      </c>
      <c r="BZ3" s="5" t="s">
        <v>110</v>
      </c>
      <c r="CA3" s="3" t="s">
        <v>2</v>
      </c>
      <c r="CB3" s="8" t="s">
        <v>110</v>
      </c>
      <c r="CC3" s="3" t="s">
        <v>2</v>
      </c>
      <c r="CD3" s="8" t="s">
        <v>110</v>
      </c>
      <c r="CE3" s="160"/>
      <c r="CF3" s="3" t="s">
        <v>2</v>
      </c>
      <c r="CG3" s="8" t="s">
        <v>110</v>
      </c>
      <c r="CH3" s="3" t="s">
        <v>2</v>
      </c>
      <c r="CI3" s="8" t="s">
        <v>110</v>
      </c>
      <c r="CJ3" s="160"/>
      <c r="CK3" s="3" t="s">
        <v>2</v>
      </c>
      <c r="CL3" s="8" t="s">
        <v>110</v>
      </c>
      <c r="CM3" s="3" t="s">
        <v>2</v>
      </c>
      <c r="CN3" s="8" t="s">
        <v>110</v>
      </c>
    </row>
    <row r="4" spans="1:98" ht="15.6" x14ac:dyDescent="0.3">
      <c r="A4" t="s">
        <v>333</v>
      </c>
      <c r="B4" s="122"/>
      <c r="C4" s="122"/>
      <c r="D4" s="122"/>
      <c r="E4" s="7"/>
      <c r="F4" s="7"/>
      <c r="G4" s="122"/>
      <c r="H4" s="7"/>
      <c r="I4" s="7"/>
      <c r="J4" s="7"/>
      <c r="K4" s="7"/>
      <c r="L4" s="122"/>
      <c r="M4" s="7"/>
      <c r="N4" s="7"/>
      <c r="O4" s="122"/>
      <c r="P4" s="7"/>
      <c r="Q4" s="7"/>
      <c r="R4" s="122"/>
      <c r="S4" s="7"/>
      <c r="T4" s="7"/>
      <c r="U4" s="7"/>
      <c r="V4" s="7"/>
      <c r="W4" s="122"/>
      <c r="X4" s="7"/>
      <c r="Y4" s="7"/>
      <c r="Z4" s="122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12"/>
      <c r="AR4" s="7"/>
      <c r="AS4" s="7"/>
      <c r="AT4" s="7"/>
      <c r="AU4" s="7"/>
      <c r="AV4" s="14"/>
      <c r="AW4" s="7"/>
      <c r="AX4" s="7"/>
      <c r="AY4" s="14"/>
      <c r="AZ4" s="11"/>
      <c r="BA4" s="8"/>
      <c r="BB4" s="11"/>
      <c r="BC4" s="8"/>
      <c r="BD4" s="11"/>
      <c r="BE4" s="8"/>
      <c r="BF4" s="14"/>
      <c r="BG4" s="11"/>
      <c r="BH4" s="8"/>
      <c r="BI4" s="11"/>
      <c r="BJ4" s="8"/>
      <c r="BK4" s="11"/>
      <c r="BL4" s="8"/>
      <c r="BM4" s="11"/>
      <c r="BN4" s="8"/>
      <c r="BO4" s="13"/>
      <c r="BP4" s="11"/>
      <c r="BQ4" s="8"/>
      <c r="BR4" s="11"/>
      <c r="BS4" s="8"/>
      <c r="BT4" s="11"/>
      <c r="BU4" s="8"/>
      <c r="BV4" s="11"/>
      <c r="BW4" s="8"/>
      <c r="BX4" s="12"/>
      <c r="BY4" s="11"/>
      <c r="BZ4" s="8"/>
      <c r="CA4" s="3"/>
      <c r="CB4" s="8"/>
      <c r="CC4" s="3"/>
      <c r="CD4" s="8"/>
      <c r="CF4" s="7"/>
      <c r="CG4" s="7"/>
      <c r="CH4" s="7"/>
      <c r="CI4" s="7"/>
      <c r="CJ4" t="s">
        <v>18</v>
      </c>
      <c r="CK4" s="7">
        <v>5</v>
      </c>
      <c r="CL4" s="7">
        <v>133</v>
      </c>
      <c r="CM4" s="7"/>
      <c r="CN4" s="7"/>
    </row>
    <row r="5" spans="1:98" ht="15.6" x14ac:dyDescent="0.3">
      <c r="A5" t="s">
        <v>334</v>
      </c>
      <c r="B5" s="122"/>
      <c r="C5" s="122"/>
      <c r="D5" s="122"/>
      <c r="E5" s="7"/>
      <c r="F5" s="7"/>
      <c r="G5" s="122"/>
      <c r="H5" s="7"/>
      <c r="I5" s="7"/>
      <c r="J5" s="7"/>
      <c r="K5" s="7"/>
      <c r="L5" s="122"/>
      <c r="M5" s="7"/>
      <c r="N5" s="7"/>
      <c r="O5" s="122"/>
      <c r="P5" s="7"/>
      <c r="Q5" s="7"/>
      <c r="R5" s="122"/>
      <c r="S5" s="7"/>
      <c r="T5" s="7"/>
      <c r="U5" s="7"/>
      <c r="V5" s="7"/>
      <c r="W5" s="122"/>
      <c r="X5" s="7"/>
      <c r="Y5" s="7"/>
      <c r="Z5" s="122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12"/>
      <c r="AR5" s="7"/>
      <c r="AS5" s="7"/>
      <c r="AT5" s="7"/>
      <c r="AU5" s="7"/>
      <c r="AV5" s="14"/>
      <c r="AW5" s="7"/>
      <c r="AX5" s="7"/>
      <c r="AY5" s="14"/>
      <c r="AZ5" s="11"/>
      <c r="BA5" s="8"/>
      <c r="BB5" s="11"/>
      <c r="BC5" s="8"/>
      <c r="BD5" s="11"/>
      <c r="BE5" s="8"/>
      <c r="BF5" s="14"/>
      <c r="BG5" s="11"/>
      <c r="BH5" s="8"/>
      <c r="BI5" s="11"/>
      <c r="BJ5" s="8"/>
      <c r="BK5" s="11"/>
      <c r="BL5" s="8"/>
      <c r="BM5" s="11"/>
      <c r="BN5" s="8"/>
      <c r="BO5" s="13"/>
      <c r="BP5" s="11"/>
      <c r="BQ5" s="8"/>
      <c r="BR5" s="11"/>
      <c r="BS5" s="8"/>
      <c r="BT5" s="11"/>
      <c r="BU5" s="8"/>
      <c r="BV5" s="11"/>
      <c r="BW5" s="8"/>
      <c r="BX5" s="12"/>
      <c r="BY5" s="11"/>
      <c r="BZ5" s="8"/>
      <c r="CA5" s="3"/>
      <c r="CB5" s="8"/>
      <c r="CC5" s="3"/>
      <c r="CD5" s="8"/>
      <c r="CF5" s="7"/>
      <c r="CG5" s="7"/>
      <c r="CH5" s="7"/>
      <c r="CI5" s="7"/>
      <c r="CJ5" t="s">
        <v>18</v>
      </c>
      <c r="CK5" s="7">
        <v>3</v>
      </c>
      <c r="CL5" s="7">
        <v>100</v>
      </c>
      <c r="CM5" s="7">
        <v>2</v>
      </c>
      <c r="CN5" s="7">
        <v>67</v>
      </c>
    </row>
    <row r="6" spans="1:98" ht="15.6" x14ac:dyDescent="0.3">
      <c r="A6" t="s">
        <v>344</v>
      </c>
      <c r="B6" s="122"/>
      <c r="C6" s="122"/>
      <c r="D6" s="122"/>
      <c r="E6" s="7"/>
      <c r="F6" s="7"/>
      <c r="G6" s="122"/>
      <c r="H6" s="7"/>
      <c r="I6" s="7"/>
      <c r="J6" s="7"/>
      <c r="K6" s="7"/>
      <c r="L6" s="122"/>
      <c r="M6" s="7"/>
      <c r="N6" s="7"/>
      <c r="O6" s="122"/>
      <c r="P6" s="7"/>
      <c r="Q6" s="7"/>
      <c r="R6" s="122"/>
      <c r="S6" s="7"/>
      <c r="T6" s="7"/>
      <c r="U6" s="7"/>
      <c r="V6" s="7"/>
      <c r="W6" s="122"/>
      <c r="X6" s="7"/>
      <c r="Y6" s="7"/>
      <c r="Z6" s="122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12"/>
      <c r="AR6" s="7"/>
      <c r="AS6" s="7"/>
      <c r="AT6" s="7"/>
      <c r="AU6" s="7"/>
      <c r="AV6" s="14"/>
      <c r="AW6" s="7"/>
      <c r="AX6" s="7"/>
      <c r="AY6" s="14"/>
      <c r="AZ6" s="11"/>
      <c r="BA6" s="8"/>
      <c r="BB6" s="11"/>
      <c r="BC6" s="8"/>
      <c r="BD6" s="11"/>
      <c r="BE6" s="8"/>
      <c r="BF6" s="14"/>
      <c r="BG6" s="11"/>
      <c r="BH6" s="8"/>
      <c r="BI6" s="11"/>
      <c r="BJ6" s="8"/>
      <c r="BK6" s="11"/>
      <c r="BL6" s="8"/>
      <c r="BM6" s="11"/>
      <c r="BN6" s="8"/>
      <c r="BO6" s="13"/>
      <c r="BP6" s="11"/>
      <c r="BQ6" s="8"/>
      <c r="BR6" s="11"/>
      <c r="BS6" s="8"/>
      <c r="BT6" s="11"/>
      <c r="BU6" s="8"/>
      <c r="BV6" s="11"/>
      <c r="BW6" s="8"/>
      <c r="BX6" s="12"/>
      <c r="BY6" s="11"/>
      <c r="BZ6" s="8"/>
      <c r="CA6" s="3"/>
      <c r="CB6" s="8"/>
      <c r="CC6" s="3"/>
      <c r="CD6" s="8"/>
      <c r="CF6" s="7"/>
      <c r="CG6" s="7"/>
      <c r="CH6" s="7"/>
      <c r="CI6" s="7"/>
      <c r="CJ6" t="s">
        <v>18</v>
      </c>
      <c r="CK6" s="7">
        <v>37</v>
      </c>
      <c r="CL6" s="7">
        <v>22</v>
      </c>
      <c r="CM6" s="7">
        <v>201</v>
      </c>
      <c r="CN6" s="7">
        <v>113</v>
      </c>
    </row>
    <row r="7" spans="1:98" ht="15.6" x14ac:dyDescent="0.3">
      <c r="A7" t="s">
        <v>202</v>
      </c>
      <c r="B7" s="10" t="s">
        <v>40</v>
      </c>
      <c r="E7" s="7"/>
      <c r="F7" s="7"/>
      <c r="G7" s="10" t="s">
        <v>40</v>
      </c>
      <c r="H7" s="7"/>
      <c r="I7" s="7"/>
      <c r="J7" s="7"/>
      <c r="K7" s="7"/>
      <c r="L7" s="10" t="s">
        <v>40</v>
      </c>
      <c r="M7" s="7"/>
      <c r="N7" s="7"/>
      <c r="O7" s="10" t="s">
        <v>40</v>
      </c>
      <c r="P7" s="7"/>
      <c r="Q7" s="7"/>
      <c r="R7" s="10" t="s">
        <v>40</v>
      </c>
      <c r="S7" s="7"/>
      <c r="T7" s="7"/>
      <c r="U7" s="7"/>
      <c r="V7" s="7"/>
      <c r="W7" s="10" t="s">
        <v>40</v>
      </c>
      <c r="X7" s="7"/>
      <c r="Y7" s="7"/>
      <c r="Z7" s="10" t="s">
        <v>40</v>
      </c>
      <c r="AA7" s="7"/>
      <c r="AB7" s="7"/>
      <c r="AC7" s="7"/>
      <c r="AD7" s="7"/>
      <c r="AE7" s="7"/>
      <c r="AF7" s="7"/>
      <c r="AG7" s="7"/>
      <c r="AH7" s="7"/>
      <c r="AI7" s="7"/>
      <c r="AJ7" s="7"/>
      <c r="AK7" s="7">
        <v>4</v>
      </c>
      <c r="AL7" s="7">
        <v>250</v>
      </c>
      <c r="AM7" s="7">
        <v>5</v>
      </c>
      <c r="AN7" s="7">
        <v>300</v>
      </c>
      <c r="AO7" s="7">
        <v>100</v>
      </c>
      <c r="AP7" s="7">
        <v>10000</v>
      </c>
      <c r="AQ7" s="10" t="s">
        <v>40</v>
      </c>
      <c r="AR7" s="7">
        <v>200</v>
      </c>
      <c r="AS7" s="7">
        <v>20000</v>
      </c>
      <c r="AT7" s="7">
        <v>100</v>
      </c>
      <c r="AU7" s="7">
        <v>10000</v>
      </c>
      <c r="AV7" s="10" t="s">
        <v>40</v>
      </c>
      <c r="AW7" s="7">
        <v>150</v>
      </c>
      <c r="AX7" s="7">
        <v>15000</v>
      </c>
      <c r="AY7" s="6" t="s">
        <v>40</v>
      </c>
      <c r="AZ7" s="7">
        <v>100</v>
      </c>
      <c r="BA7" s="7">
        <v>10000</v>
      </c>
      <c r="BB7" s="11"/>
      <c r="BC7" s="8"/>
      <c r="BD7" s="11"/>
      <c r="BE7" s="8"/>
      <c r="BF7" s="14"/>
      <c r="BG7" s="11"/>
      <c r="BH7" s="8"/>
      <c r="BI7" s="11"/>
      <c r="BJ7" s="8"/>
      <c r="BK7" s="11"/>
      <c r="BL7" s="8"/>
      <c r="BM7" s="11"/>
      <c r="BN7" s="8"/>
      <c r="BO7" s="13"/>
      <c r="BP7" s="11"/>
      <c r="BQ7" s="8"/>
      <c r="BR7" s="11"/>
      <c r="BS7" s="8"/>
      <c r="BT7" s="11"/>
      <c r="BU7" s="8"/>
      <c r="BV7" s="11"/>
      <c r="BW7" s="8"/>
      <c r="BX7" s="12"/>
      <c r="BY7" s="11"/>
      <c r="BZ7" s="8"/>
      <c r="CA7" s="3"/>
      <c r="CB7" s="8"/>
      <c r="CC7" s="3"/>
      <c r="CD7" s="8"/>
      <c r="CF7" s="7"/>
      <c r="CG7" s="7"/>
      <c r="CH7" s="7"/>
      <c r="CI7" s="7"/>
      <c r="CJ7" t="s">
        <v>18</v>
      </c>
      <c r="CK7" s="7">
        <v>766</v>
      </c>
      <c r="CL7" s="7">
        <v>1850</v>
      </c>
      <c r="CM7" s="7">
        <v>188</v>
      </c>
      <c r="CN7" s="7">
        <v>3423</v>
      </c>
    </row>
    <row r="8" spans="1:98" ht="15.6" x14ac:dyDescent="0.3">
      <c r="A8" t="s">
        <v>203</v>
      </c>
      <c r="B8" s="122"/>
      <c r="C8" s="122"/>
      <c r="D8" s="122"/>
      <c r="E8" s="7"/>
      <c r="F8" s="7"/>
      <c r="G8" s="122"/>
      <c r="H8" s="7"/>
      <c r="I8" s="7"/>
      <c r="J8" s="7"/>
      <c r="K8" s="7"/>
      <c r="L8" s="122"/>
      <c r="M8" s="7"/>
      <c r="N8" s="7"/>
      <c r="O8" s="122"/>
      <c r="P8" s="7"/>
      <c r="Q8" s="7"/>
      <c r="R8" s="122"/>
      <c r="S8" s="7"/>
      <c r="T8" s="7"/>
      <c r="U8" s="7"/>
      <c r="V8" s="7"/>
      <c r="W8" s="122"/>
      <c r="X8" s="7"/>
      <c r="Y8" s="7"/>
      <c r="Z8" s="122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12"/>
      <c r="AR8" s="7"/>
      <c r="AS8" s="7"/>
      <c r="AT8" s="7"/>
      <c r="AU8" s="7"/>
      <c r="AV8" s="139"/>
      <c r="AW8" s="7"/>
      <c r="AX8" s="7"/>
      <c r="AY8" s="14"/>
      <c r="AZ8" s="7"/>
      <c r="BA8" s="7"/>
      <c r="BB8" s="11"/>
      <c r="BC8" s="8"/>
      <c r="BD8" s="11"/>
      <c r="BE8" s="8"/>
      <c r="BF8" s="14"/>
      <c r="BG8" s="11"/>
      <c r="BH8" s="8"/>
      <c r="BI8" s="11"/>
      <c r="BJ8" s="8"/>
      <c r="BK8" s="11"/>
      <c r="BL8" s="8"/>
      <c r="BM8" s="11"/>
      <c r="BN8" s="8"/>
      <c r="BO8" s="13"/>
      <c r="BP8" s="11"/>
      <c r="BQ8" s="8"/>
      <c r="BR8" s="11"/>
      <c r="BS8" s="8"/>
      <c r="BT8" s="11"/>
      <c r="BU8" s="8"/>
      <c r="BV8" s="11"/>
      <c r="BW8" s="8"/>
      <c r="BX8" s="12"/>
      <c r="BY8" s="11"/>
      <c r="BZ8" s="8"/>
      <c r="CA8" s="3"/>
      <c r="CB8" s="8"/>
      <c r="CC8" s="3"/>
      <c r="CD8" s="8"/>
      <c r="CF8" s="7"/>
      <c r="CG8" s="7"/>
      <c r="CH8" s="7"/>
      <c r="CI8" s="7"/>
      <c r="CJ8" t="s">
        <v>18</v>
      </c>
      <c r="CK8" s="7">
        <v>191500</v>
      </c>
      <c r="CL8" s="7">
        <v>732</v>
      </c>
      <c r="CM8" s="7">
        <v>195000</v>
      </c>
      <c r="CN8" s="7">
        <v>878</v>
      </c>
    </row>
    <row r="9" spans="1:98" ht="15.6" x14ac:dyDescent="0.3">
      <c r="A9" s="19" t="s">
        <v>37</v>
      </c>
      <c r="B9" s="10" t="s">
        <v>374</v>
      </c>
      <c r="E9" s="7"/>
      <c r="F9" s="7"/>
      <c r="G9" s="10" t="s">
        <v>374</v>
      </c>
      <c r="H9" s="7"/>
      <c r="I9" s="7"/>
      <c r="J9" s="7"/>
      <c r="K9" s="7"/>
      <c r="L9" s="6" t="s">
        <v>374</v>
      </c>
      <c r="M9" s="7">
        <v>100</v>
      </c>
      <c r="N9" s="7">
        <v>2000</v>
      </c>
      <c r="O9" s="6" t="s">
        <v>385</v>
      </c>
      <c r="P9" s="7">
        <v>8000</v>
      </c>
      <c r="Q9" s="7">
        <v>35000</v>
      </c>
      <c r="R9" s="10" t="s">
        <v>38</v>
      </c>
      <c r="S9" s="7">
        <v>3000</v>
      </c>
      <c r="T9" s="7">
        <v>10500</v>
      </c>
      <c r="U9" s="7">
        <v>2000</v>
      </c>
      <c r="V9" s="7">
        <v>6000</v>
      </c>
      <c r="W9" s="10" t="s">
        <v>38</v>
      </c>
      <c r="X9" s="7">
        <v>300</v>
      </c>
      <c r="Y9" s="7">
        <v>800</v>
      </c>
      <c r="Z9" s="10" t="s">
        <v>38</v>
      </c>
      <c r="AA9" s="7">
        <v>55000</v>
      </c>
      <c r="AB9" s="7">
        <v>186900</v>
      </c>
      <c r="AC9" s="7">
        <v>50000</v>
      </c>
      <c r="AD9" s="7">
        <v>180000</v>
      </c>
      <c r="AE9" s="7">
        <v>50000</v>
      </c>
      <c r="AF9" s="7">
        <v>200000</v>
      </c>
      <c r="AG9" s="7">
        <v>48000</v>
      </c>
      <c r="AH9" s="7">
        <v>180000</v>
      </c>
      <c r="AI9" s="7">
        <v>40000</v>
      </c>
      <c r="AJ9" s="7">
        <v>150000</v>
      </c>
      <c r="AK9">
        <v>25000</v>
      </c>
      <c r="AL9" s="7">
        <v>90000</v>
      </c>
      <c r="AM9">
        <v>15000</v>
      </c>
      <c r="AN9" s="7">
        <v>60000</v>
      </c>
      <c r="AO9">
        <v>18000</v>
      </c>
      <c r="AP9" s="7">
        <v>70000</v>
      </c>
      <c r="AQ9" s="10" t="s">
        <v>38</v>
      </c>
      <c r="AR9" s="7">
        <v>10000</v>
      </c>
      <c r="AS9" s="7">
        <v>45000</v>
      </c>
      <c r="AT9" s="7">
        <v>8000</v>
      </c>
      <c r="AU9" s="7">
        <v>40000</v>
      </c>
      <c r="AV9" s="10" t="s">
        <v>38</v>
      </c>
      <c r="AW9" s="7">
        <v>6000</v>
      </c>
      <c r="AX9" s="7">
        <v>30000</v>
      </c>
      <c r="AY9" s="6" t="s">
        <v>38</v>
      </c>
      <c r="AZ9" s="7">
        <v>5000</v>
      </c>
      <c r="BA9" s="7">
        <v>28000</v>
      </c>
      <c r="BB9" s="11"/>
      <c r="BC9" s="8"/>
      <c r="BD9" s="11"/>
      <c r="BE9" s="8"/>
      <c r="BF9" s="14"/>
      <c r="BG9" s="11"/>
      <c r="BH9" s="8"/>
      <c r="BI9" s="11"/>
      <c r="BJ9" s="8"/>
      <c r="BK9" s="11"/>
      <c r="BL9" s="8"/>
      <c r="BM9" s="11"/>
      <c r="BN9" s="8"/>
      <c r="BO9" s="13"/>
      <c r="BP9" s="11"/>
      <c r="BQ9" s="8"/>
      <c r="BR9" s="11"/>
      <c r="BS9" s="8"/>
      <c r="BT9" s="11"/>
      <c r="BU9" s="8"/>
      <c r="BV9" s="11"/>
      <c r="BW9" s="8"/>
      <c r="BX9" s="12"/>
      <c r="BY9" s="11"/>
      <c r="BZ9" s="8"/>
      <c r="CA9" s="3"/>
      <c r="CB9" s="8"/>
      <c r="CC9" s="3"/>
      <c r="CD9" s="8"/>
      <c r="CF9" s="7"/>
      <c r="CG9" s="7"/>
      <c r="CH9" s="7"/>
      <c r="CI9" s="7"/>
      <c r="CJ9" t="s">
        <v>6</v>
      </c>
      <c r="CK9" s="7">
        <v>6</v>
      </c>
      <c r="CL9" s="7">
        <v>54</v>
      </c>
      <c r="CM9" s="7"/>
      <c r="CN9" s="7"/>
    </row>
    <row r="10" spans="1:98" ht="15.6" x14ac:dyDescent="0.3">
      <c r="A10" s="19" t="s">
        <v>68</v>
      </c>
      <c r="B10" s="10" t="s">
        <v>374</v>
      </c>
      <c r="C10" s="10">
        <v>600</v>
      </c>
      <c r="D10" s="10">
        <v>13000</v>
      </c>
      <c r="E10" s="7">
        <v>1200</v>
      </c>
      <c r="F10" s="7">
        <v>20000</v>
      </c>
      <c r="G10" s="10" t="s">
        <v>374</v>
      </c>
      <c r="H10" s="7">
        <v>1500</v>
      </c>
      <c r="I10" s="7">
        <v>22000</v>
      </c>
      <c r="J10" s="7">
        <v>3000</v>
      </c>
      <c r="K10" s="7">
        <v>70000</v>
      </c>
      <c r="L10" s="10" t="s">
        <v>374</v>
      </c>
      <c r="M10" s="7">
        <v>300</v>
      </c>
      <c r="N10" s="7">
        <v>7500</v>
      </c>
      <c r="O10" s="6" t="s">
        <v>374</v>
      </c>
      <c r="P10" s="7">
        <v>400</v>
      </c>
      <c r="Q10" s="7">
        <v>11000</v>
      </c>
      <c r="R10" s="10" t="s">
        <v>38</v>
      </c>
      <c r="S10" s="7">
        <v>1000</v>
      </c>
      <c r="T10" s="7">
        <v>3500</v>
      </c>
      <c r="U10" s="7">
        <v>5000</v>
      </c>
      <c r="V10" s="7">
        <v>15000</v>
      </c>
      <c r="W10" s="10" t="s">
        <v>38</v>
      </c>
      <c r="X10" s="7">
        <v>1000</v>
      </c>
      <c r="Y10" s="7">
        <v>3000</v>
      </c>
      <c r="Z10" s="10" t="s">
        <v>38</v>
      </c>
      <c r="AA10" s="7">
        <v>4000</v>
      </c>
      <c r="AB10" s="7">
        <v>12000</v>
      </c>
      <c r="AC10" s="7">
        <v>5000</v>
      </c>
      <c r="AD10" s="7">
        <v>15000</v>
      </c>
      <c r="AE10" s="7">
        <v>4500</v>
      </c>
      <c r="AF10" s="7">
        <v>12500</v>
      </c>
      <c r="AG10" s="7">
        <v>4700</v>
      </c>
      <c r="AH10" s="7">
        <v>14000</v>
      </c>
      <c r="AI10" s="7">
        <v>4000</v>
      </c>
      <c r="AJ10" s="7">
        <v>12000</v>
      </c>
      <c r="AK10" s="7">
        <v>3500</v>
      </c>
      <c r="AL10" s="7">
        <v>10000</v>
      </c>
      <c r="AM10" s="7">
        <v>3000</v>
      </c>
      <c r="AN10" s="7">
        <v>8500</v>
      </c>
      <c r="AO10" s="7">
        <v>3500</v>
      </c>
      <c r="AP10" s="7">
        <v>9000</v>
      </c>
      <c r="AQ10" s="10" t="s">
        <v>38</v>
      </c>
      <c r="AR10" s="7">
        <v>4000</v>
      </c>
      <c r="AS10" s="7">
        <v>12000</v>
      </c>
      <c r="AT10" s="7">
        <v>3000</v>
      </c>
      <c r="AU10" s="7">
        <v>11000</v>
      </c>
      <c r="AV10" s="10" t="s">
        <v>38</v>
      </c>
      <c r="AW10" s="7">
        <v>2000</v>
      </c>
      <c r="AX10" s="7">
        <v>6000</v>
      </c>
      <c r="AY10" s="6" t="s">
        <v>38</v>
      </c>
      <c r="AZ10" s="7">
        <v>1800</v>
      </c>
      <c r="BA10" s="7">
        <v>5000</v>
      </c>
      <c r="BB10" s="11"/>
      <c r="BC10" s="8"/>
      <c r="BD10" s="11"/>
      <c r="BE10" s="8"/>
      <c r="BF10" s="14"/>
      <c r="BG10" s="11"/>
      <c r="BH10" s="8"/>
      <c r="BI10" s="11"/>
      <c r="BJ10" s="8"/>
      <c r="BK10" s="11"/>
      <c r="BL10" s="8"/>
      <c r="BM10" s="11"/>
      <c r="BN10" s="8"/>
      <c r="BO10" s="13"/>
      <c r="BP10" s="11"/>
      <c r="BQ10" s="8"/>
      <c r="BR10" s="11"/>
      <c r="BS10" s="8"/>
      <c r="BT10" s="11"/>
      <c r="BU10" s="8"/>
      <c r="BV10" s="11"/>
      <c r="BW10" s="8"/>
      <c r="BX10" s="12"/>
      <c r="BY10" s="11"/>
      <c r="BZ10" s="8"/>
      <c r="CA10" s="3"/>
      <c r="CB10" s="8"/>
      <c r="CC10" s="3"/>
      <c r="CD10" s="8"/>
      <c r="CF10" s="7"/>
      <c r="CG10" s="7"/>
      <c r="CH10" s="7"/>
      <c r="CI10" s="7"/>
      <c r="CJ10" t="s">
        <v>7</v>
      </c>
      <c r="CK10" s="7">
        <v>147</v>
      </c>
      <c r="CL10" s="7">
        <v>56</v>
      </c>
      <c r="CM10" s="7">
        <v>1876</v>
      </c>
      <c r="CN10" s="7">
        <v>702</v>
      </c>
    </row>
    <row r="11" spans="1:98" ht="15.6" x14ac:dyDescent="0.3">
      <c r="A11" t="s">
        <v>156</v>
      </c>
      <c r="B11" s="122"/>
      <c r="C11" s="122"/>
      <c r="D11" s="122"/>
      <c r="E11" s="7"/>
      <c r="F11" s="7"/>
      <c r="G11" s="122"/>
      <c r="H11" s="7"/>
      <c r="I11" s="7"/>
      <c r="J11" s="7"/>
      <c r="K11" s="7"/>
      <c r="L11" s="122"/>
      <c r="M11" s="7"/>
      <c r="N11" s="7"/>
      <c r="O11" s="122"/>
      <c r="P11" s="7"/>
      <c r="Q11" s="7"/>
      <c r="R11" s="122"/>
      <c r="S11" s="7"/>
      <c r="T11" s="7"/>
      <c r="U11" s="7"/>
      <c r="V11" s="7"/>
      <c r="W11" s="122"/>
      <c r="X11" s="7"/>
      <c r="Y11" s="7"/>
      <c r="Z11" s="122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12"/>
      <c r="AR11" s="7"/>
      <c r="AS11" s="7"/>
      <c r="AT11" s="7"/>
      <c r="AU11" s="7"/>
      <c r="AV11" s="14"/>
      <c r="AW11" s="7"/>
      <c r="AX11" s="7"/>
      <c r="AY11" s="14"/>
      <c r="AZ11" s="7"/>
      <c r="BA11" s="7"/>
      <c r="BB11" s="11"/>
      <c r="BC11" s="8"/>
      <c r="BD11" s="11"/>
      <c r="BE11" s="8"/>
      <c r="BF11" s="14"/>
      <c r="BG11" s="11"/>
      <c r="BH11" s="8"/>
      <c r="BI11" s="11"/>
      <c r="BJ11" s="8"/>
      <c r="BK11" s="11"/>
      <c r="BL11" s="8"/>
      <c r="BM11" s="11"/>
      <c r="BN11" s="8"/>
      <c r="BO11" s="13"/>
      <c r="BP11" s="11"/>
      <c r="BQ11" s="8"/>
      <c r="BR11" s="11"/>
      <c r="BS11" s="8"/>
      <c r="BT11" s="11"/>
      <c r="BU11" s="8"/>
      <c r="BV11" s="11"/>
      <c r="BW11" s="8"/>
      <c r="BX11" s="12"/>
      <c r="BY11" s="11"/>
      <c r="BZ11" s="8"/>
      <c r="CA11" s="3"/>
      <c r="CB11" s="8"/>
      <c r="CC11" s="3"/>
      <c r="CD11" s="8"/>
      <c r="CF11" s="7"/>
      <c r="CG11" s="7"/>
      <c r="CH11" s="7"/>
      <c r="CI11" s="7"/>
      <c r="CJ11" t="s">
        <v>7</v>
      </c>
      <c r="CK11" s="7">
        <v>527</v>
      </c>
      <c r="CL11" s="7">
        <v>276</v>
      </c>
      <c r="CM11" s="7">
        <v>569</v>
      </c>
      <c r="CN11" s="7">
        <v>324</v>
      </c>
    </row>
    <row r="12" spans="1:98" ht="15.6" x14ac:dyDescent="0.3">
      <c r="A12" t="s">
        <v>205</v>
      </c>
      <c r="B12" s="122"/>
      <c r="C12" s="122"/>
      <c r="D12" s="122"/>
      <c r="E12" s="7"/>
      <c r="F12" s="7"/>
      <c r="G12" s="122"/>
      <c r="H12" s="7"/>
      <c r="I12" s="7"/>
      <c r="J12" s="7"/>
      <c r="K12" s="7"/>
      <c r="L12" s="122"/>
      <c r="M12" s="7"/>
      <c r="N12" s="7"/>
      <c r="O12" s="122"/>
      <c r="P12" s="7"/>
      <c r="Q12" s="7"/>
      <c r="R12" s="122"/>
      <c r="S12" s="7"/>
      <c r="T12" s="7"/>
      <c r="U12" s="7"/>
      <c r="V12" s="7"/>
      <c r="W12" s="122"/>
      <c r="X12" s="7"/>
      <c r="Y12" s="7"/>
      <c r="Z12" s="122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12"/>
      <c r="AR12" s="7"/>
      <c r="AS12" s="7"/>
      <c r="AT12" s="7"/>
      <c r="AU12" s="7"/>
      <c r="AV12" s="14"/>
      <c r="AW12" s="7"/>
      <c r="AX12" s="7"/>
      <c r="AY12" s="14"/>
      <c r="AZ12" s="7"/>
      <c r="BA12" s="7"/>
      <c r="BB12" s="11"/>
      <c r="BC12" s="8"/>
      <c r="BD12" s="11"/>
      <c r="BE12" s="8"/>
      <c r="BF12" s="14"/>
      <c r="BG12" s="11"/>
      <c r="BH12" s="8"/>
      <c r="BI12" s="11"/>
      <c r="BJ12" s="8"/>
      <c r="BK12" s="11"/>
      <c r="BL12" s="8"/>
      <c r="BM12" s="11"/>
      <c r="BN12" s="8"/>
      <c r="BO12" s="13"/>
      <c r="BP12" s="11"/>
      <c r="BQ12" s="8"/>
      <c r="BR12" s="11"/>
      <c r="BS12" s="8"/>
      <c r="BT12" s="11"/>
      <c r="BU12" s="8"/>
      <c r="BV12" s="11"/>
      <c r="BW12" s="8"/>
      <c r="BX12" s="12"/>
      <c r="BY12" s="11"/>
      <c r="BZ12" s="8"/>
      <c r="CA12" s="3"/>
      <c r="CB12" s="8"/>
      <c r="CC12" s="3"/>
      <c r="CD12" s="8"/>
      <c r="CF12" s="7"/>
      <c r="CG12" s="7"/>
      <c r="CH12" s="7"/>
      <c r="CI12" s="7"/>
      <c r="CJ12" t="s">
        <v>7</v>
      </c>
      <c r="CK12" s="7">
        <v>67</v>
      </c>
      <c r="CL12" s="7">
        <v>29</v>
      </c>
      <c r="CM12" s="7">
        <v>135</v>
      </c>
      <c r="CN12" s="7">
        <v>83</v>
      </c>
    </row>
    <row r="13" spans="1:98" x14ac:dyDescent="0.3">
      <c r="A13" t="s">
        <v>22</v>
      </c>
      <c r="B13" s="10" t="s">
        <v>18</v>
      </c>
      <c r="C13" s="7"/>
      <c r="D13" s="7"/>
      <c r="E13" s="7"/>
      <c r="F13" s="7"/>
      <c r="G13" s="10" t="s">
        <v>18</v>
      </c>
      <c r="H13" s="7"/>
      <c r="I13" s="7"/>
      <c r="J13" s="7"/>
      <c r="K13" s="7"/>
      <c r="L13" s="10" t="s">
        <v>18</v>
      </c>
      <c r="M13" s="7"/>
      <c r="N13" s="7"/>
      <c r="O13" s="10" t="s">
        <v>18</v>
      </c>
      <c r="P13" s="7"/>
      <c r="Q13" s="7"/>
      <c r="R13" s="10" t="s">
        <v>18</v>
      </c>
      <c r="S13" s="7"/>
      <c r="T13" s="7"/>
      <c r="U13" s="7"/>
      <c r="V13" s="7"/>
      <c r="W13" s="10" t="s">
        <v>18</v>
      </c>
      <c r="X13" s="7"/>
      <c r="Y13" s="7"/>
      <c r="Z13" s="10" t="s">
        <v>18</v>
      </c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>
        <v>80000</v>
      </c>
      <c r="AL13" s="7">
        <v>15000</v>
      </c>
      <c r="AM13" s="7">
        <v>100000</v>
      </c>
      <c r="AN13" s="7">
        <v>20000</v>
      </c>
      <c r="AO13" s="7">
        <v>110000</v>
      </c>
      <c r="AP13" s="7">
        <v>23000</v>
      </c>
      <c r="AQ13" s="10" t="s">
        <v>18</v>
      </c>
      <c r="AR13" s="7">
        <v>120000</v>
      </c>
      <c r="AS13" s="7">
        <v>18000</v>
      </c>
      <c r="AT13" s="7">
        <v>100000</v>
      </c>
      <c r="AU13" s="7">
        <v>16000</v>
      </c>
      <c r="AV13" s="6" t="s">
        <v>18</v>
      </c>
      <c r="AW13" s="7">
        <v>90000</v>
      </c>
      <c r="AX13" s="7">
        <v>25000</v>
      </c>
      <c r="AY13" t="s">
        <v>6</v>
      </c>
      <c r="AZ13" s="7">
        <f>2933+333</f>
        <v>3266</v>
      </c>
      <c r="BA13" s="7">
        <f>50000+8000</f>
        <v>58000</v>
      </c>
      <c r="BB13" s="7">
        <f>3500+417</f>
        <v>3917</v>
      </c>
      <c r="BC13" s="7">
        <f>60000+10000</f>
        <v>70000</v>
      </c>
      <c r="BD13" s="7">
        <f>4400+250</f>
        <v>4650</v>
      </c>
      <c r="BE13" s="7">
        <f>75000+6000</f>
        <v>81000</v>
      </c>
      <c r="BF13" t="s">
        <v>6</v>
      </c>
      <c r="BG13">
        <f>4000+200</f>
        <v>4200</v>
      </c>
      <c r="BH13">
        <f>90000+6000</f>
        <v>96000</v>
      </c>
      <c r="BI13" s="7">
        <f>5000+150</f>
        <v>5150</v>
      </c>
      <c r="BJ13" s="7">
        <f>100000+4000</f>
        <v>104000</v>
      </c>
      <c r="BK13" s="7">
        <f>4500+100</f>
        <v>4600</v>
      </c>
      <c r="BL13" s="7">
        <f>90000+2800</f>
        <v>92800</v>
      </c>
      <c r="BM13" s="7">
        <f>200+150</f>
        <v>350</v>
      </c>
      <c r="BN13" s="7">
        <f>4000+2992</f>
        <v>6992</v>
      </c>
      <c r="BO13" t="s">
        <v>6</v>
      </c>
      <c r="BP13" s="7">
        <f>1091+11</f>
        <v>1102</v>
      </c>
      <c r="BQ13" s="7">
        <f>21558+220</f>
        <v>21778</v>
      </c>
      <c r="BR13" s="7">
        <f>1231+49</f>
        <v>1280</v>
      </c>
      <c r="BS13" s="7">
        <f>24400+975</f>
        <v>25375</v>
      </c>
      <c r="BT13" s="7">
        <f>1325+42</f>
        <v>1367</v>
      </c>
      <c r="BU13" s="7">
        <f>25640+910</f>
        <v>26550</v>
      </c>
      <c r="BV13" s="7">
        <v>1420</v>
      </c>
      <c r="BW13" s="7">
        <f>22000+4000</f>
        <v>26000</v>
      </c>
      <c r="BX13" t="s">
        <v>6</v>
      </c>
      <c r="BY13" s="7">
        <v>1550</v>
      </c>
      <c r="BZ13" s="7">
        <v>3100</v>
      </c>
      <c r="CA13" s="7">
        <v>2580</v>
      </c>
      <c r="CB13" s="7">
        <v>6880</v>
      </c>
      <c r="CC13" s="7">
        <v>1750</v>
      </c>
      <c r="CD13" s="7">
        <v>4667</v>
      </c>
      <c r="CE13" s="6" t="s">
        <v>7</v>
      </c>
      <c r="CF13" s="7">
        <v>38400</v>
      </c>
      <c r="CG13" s="7">
        <v>5120</v>
      </c>
      <c r="CH13" s="7">
        <v>36200</v>
      </c>
      <c r="CI13" s="7">
        <v>5068</v>
      </c>
      <c r="CK13" s="7"/>
      <c r="CL13" s="7"/>
      <c r="CM13" s="7"/>
      <c r="CN13" s="7"/>
      <c r="CO13" s="7"/>
      <c r="CP13" s="7"/>
      <c r="CQ13" s="7"/>
      <c r="CR13" s="7"/>
      <c r="CS13" s="7"/>
      <c r="CT13" s="7"/>
    </row>
    <row r="14" spans="1:98" ht="15.6" x14ac:dyDescent="0.3">
      <c r="A14" t="s">
        <v>335</v>
      </c>
      <c r="B14" s="122"/>
      <c r="C14" s="7"/>
      <c r="D14" s="7"/>
      <c r="E14" s="7"/>
      <c r="F14" s="7"/>
      <c r="G14" s="122"/>
      <c r="H14" s="7"/>
      <c r="I14" s="7"/>
      <c r="J14" s="7"/>
      <c r="K14" s="7"/>
      <c r="L14" s="122"/>
      <c r="M14" s="7"/>
      <c r="N14" s="7"/>
      <c r="O14" s="122"/>
      <c r="P14" s="7"/>
      <c r="Q14" s="7"/>
      <c r="R14" s="122"/>
      <c r="S14" s="7"/>
      <c r="T14" s="7"/>
      <c r="U14" s="7"/>
      <c r="V14" s="7"/>
      <c r="W14" s="122"/>
      <c r="X14" s="7"/>
      <c r="Y14" s="7"/>
      <c r="Z14" s="122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12"/>
      <c r="AR14" s="7"/>
      <c r="AS14" s="7"/>
      <c r="AT14" s="7"/>
      <c r="AU14" s="7"/>
      <c r="AV14" s="12"/>
      <c r="AW14" s="7"/>
      <c r="AX14" s="7"/>
      <c r="AY14" s="14"/>
      <c r="AZ14" s="7"/>
      <c r="BA14" s="7"/>
      <c r="BB14" s="3"/>
      <c r="BC14" s="8"/>
      <c r="BD14" s="3"/>
      <c r="BE14" s="8"/>
      <c r="BF14" s="14"/>
      <c r="BG14" s="3"/>
      <c r="BH14" s="8"/>
      <c r="BI14" s="3"/>
      <c r="BJ14" s="8"/>
      <c r="BK14" s="3"/>
      <c r="BL14" s="8"/>
      <c r="BM14" s="3"/>
      <c r="BN14" s="8"/>
      <c r="BO14" s="13"/>
      <c r="BP14" s="3"/>
      <c r="BQ14" s="8"/>
      <c r="BR14" s="3"/>
      <c r="BS14" s="8"/>
      <c r="BT14" s="3"/>
      <c r="BU14" s="8"/>
      <c r="BV14" s="11"/>
      <c r="BW14" s="8"/>
      <c r="BX14" s="12"/>
      <c r="BY14" s="11"/>
      <c r="BZ14" s="8"/>
      <c r="CA14" s="3"/>
      <c r="CB14" s="8"/>
      <c r="CC14" s="3"/>
      <c r="CD14" s="8"/>
      <c r="CF14" s="7"/>
      <c r="CG14" s="7"/>
      <c r="CH14" s="7"/>
      <c r="CI14" s="7"/>
      <c r="CJ14" t="s">
        <v>7</v>
      </c>
      <c r="CK14" s="7">
        <v>4960</v>
      </c>
      <c r="CL14" s="7">
        <v>1111</v>
      </c>
      <c r="CM14" s="7"/>
      <c r="CN14" s="7"/>
    </row>
    <row r="15" spans="1:98" ht="15.6" x14ac:dyDescent="0.3">
      <c r="A15" t="s">
        <v>336</v>
      </c>
      <c r="B15" s="122"/>
      <c r="C15" s="7"/>
      <c r="D15" s="7"/>
      <c r="E15" s="7"/>
      <c r="F15" s="7"/>
      <c r="G15" s="122"/>
      <c r="H15" s="7"/>
      <c r="I15" s="7"/>
      <c r="J15" s="7"/>
      <c r="K15" s="7"/>
      <c r="L15" s="122"/>
      <c r="M15" s="7"/>
      <c r="N15" s="7"/>
      <c r="O15" s="122"/>
      <c r="P15" s="7"/>
      <c r="Q15" s="7"/>
      <c r="R15" s="122"/>
      <c r="S15" s="7"/>
      <c r="T15" s="7"/>
      <c r="U15" s="7"/>
      <c r="V15" s="7"/>
      <c r="W15" s="122"/>
      <c r="X15" s="7"/>
      <c r="Y15" s="7"/>
      <c r="Z15" s="122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12"/>
      <c r="AR15" s="7"/>
      <c r="AS15" s="7"/>
      <c r="AT15" s="7"/>
      <c r="AU15" s="7"/>
      <c r="AV15" s="12"/>
      <c r="AW15" s="7"/>
      <c r="AX15" s="7"/>
      <c r="AY15" s="14"/>
      <c r="AZ15" s="7"/>
      <c r="BA15" s="7"/>
      <c r="BB15" s="3"/>
      <c r="BC15" s="8"/>
      <c r="BD15" s="3"/>
      <c r="BE15" s="8"/>
      <c r="BF15" s="14"/>
      <c r="BG15" s="3"/>
      <c r="BH15" s="8"/>
      <c r="BI15" s="3"/>
      <c r="BJ15" s="8"/>
      <c r="BK15" s="3"/>
      <c r="BL15" s="8"/>
      <c r="BM15" s="3"/>
      <c r="BN15" s="8"/>
      <c r="BO15" s="13"/>
      <c r="BP15" s="3"/>
      <c r="BQ15" s="8"/>
      <c r="BR15" s="3"/>
      <c r="BS15" s="8"/>
      <c r="BT15" s="3"/>
      <c r="BU15" s="8"/>
      <c r="BV15" s="11"/>
      <c r="BW15" s="8"/>
      <c r="BX15" s="12"/>
      <c r="BY15" s="11"/>
      <c r="BZ15" s="8"/>
      <c r="CA15" s="3"/>
      <c r="CB15" s="8"/>
      <c r="CC15" s="3"/>
      <c r="CD15" s="8"/>
      <c r="CF15" s="7"/>
      <c r="CG15" s="7"/>
      <c r="CH15" s="7"/>
      <c r="CI15" s="7"/>
      <c r="CJ15" t="s">
        <v>7</v>
      </c>
      <c r="CK15" s="7">
        <v>1193</v>
      </c>
      <c r="CL15" s="7">
        <v>491</v>
      </c>
      <c r="CM15" s="7">
        <v>558</v>
      </c>
      <c r="CN15" s="7">
        <v>291</v>
      </c>
    </row>
    <row r="16" spans="1:98" ht="15.6" x14ac:dyDescent="0.3">
      <c r="A16" t="s">
        <v>369</v>
      </c>
      <c r="B16" s="122"/>
      <c r="C16" s="7"/>
      <c r="D16" s="7"/>
      <c r="E16" s="7"/>
      <c r="F16" s="7"/>
      <c r="G16" s="122"/>
      <c r="H16" s="7"/>
      <c r="I16" s="7"/>
      <c r="J16" s="7"/>
      <c r="K16" s="7"/>
      <c r="L16" s="122"/>
      <c r="M16" s="7"/>
      <c r="N16" s="7"/>
      <c r="O16" s="122"/>
      <c r="P16" s="7"/>
      <c r="Q16" s="7"/>
      <c r="R16" s="122"/>
      <c r="S16" s="7"/>
      <c r="T16" s="7"/>
      <c r="U16" s="7"/>
      <c r="V16" s="7"/>
      <c r="W16" s="122"/>
      <c r="X16" s="7"/>
      <c r="Y16" s="7"/>
      <c r="Z16" s="122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12"/>
      <c r="AR16" s="7"/>
      <c r="AS16" s="7"/>
      <c r="AT16" s="7"/>
      <c r="AU16" s="7"/>
      <c r="AV16" s="12"/>
      <c r="AW16" s="7"/>
      <c r="AX16" s="7"/>
      <c r="AY16" s="14"/>
      <c r="AZ16" s="7"/>
      <c r="BA16" s="7"/>
      <c r="BB16" s="3"/>
      <c r="BC16" s="8"/>
      <c r="BD16" s="3"/>
      <c r="BE16" s="8"/>
      <c r="BF16" s="14"/>
      <c r="BG16" s="3"/>
      <c r="BH16" s="8"/>
      <c r="BI16" s="3"/>
      <c r="BJ16" s="8"/>
      <c r="BK16" s="3"/>
      <c r="BL16" s="8"/>
      <c r="BM16" s="3"/>
      <c r="BN16" s="8"/>
      <c r="BO16" s="13"/>
      <c r="BP16" s="3"/>
      <c r="BQ16" s="8"/>
      <c r="BR16" s="3"/>
      <c r="BS16" s="8"/>
      <c r="BT16" s="3"/>
      <c r="BU16" s="8"/>
      <c r="BV16" s="11"/>
      <c r="BW16" s="8"/>
      <c r="BX16" s="12"/>
      <c r="BY16" s="11"/>
      <c r="BZ16" s="8"/>
      <c r="CA16" s="3"/>
      <c r="CB16" s="8"/>
      <c r="CC16" s="3"/>
      <c r="CD16" s="8"/>
      <c r="CF16" s="7"/>
      <c r="CG16" s="7"/>
      <c r="CH16" s="7"/>
      <c r="CI16" s="7"/>
      <c r="CJ16" t="s">
        <v>7</v>
      </c>
      <c r="CK16" s="7">
        <v>30</v>
      </c>
      <c r="CL16" s="7">
        <v>133</v>
      </c>
      <c r="CM16" s="7"/>
      <c r="CN16" s="7"/>
    </row>
    <row r="17" spans="1:98" ht="15.6" x14ac:dyDescent="0.3">
      <c r="A17" t="s">
        <v>337</v>
      </c>
      <c r="B17" s="10" t="s">
        <v>38</v>
      </c>
      <c r="C17" s="7"/>
      <c r="D17" s="7"/>
      <c r="E17" s="7"/>
      <c r="F17" s="7"/>
      <c r="G17" s="10" t="s">
        <v>38</v>
      </c>
      <c r="H17" s="7"/>
      <c r="I17" s="7"/>
      <c r="J17" s="7"/>
      <c r="K17" s="7"/>
      <c r="L17" s="10" t="s">
        <v>38</v>
      </c>
      <c r="M17" s="7"/>
      <c r="N17" s="7"/>
      <c r="O17" s="10" t="s">
        <v>38</v>
      </c>
      <c r="P17" s="7"/>
      <c r="Q17" s="7"/>
      <c r="R17" s="10" t="s">
        <v>38</v>
      </c>
      <c r="S17" s="7"/>
      <c r="T17" s="7"/>
      <c r="U17" s="7"/>
      <c r="V17" s="7"/>
      <c r="W17" s="10" t="s">
        <v>38</v>
      </c>
      <c r="X17" s="7"/>
      <c r="Y17" s="7"/>
      <c r="Z17" s="10" t="s">
        <v>38</v>
      </c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>
        <v>800</v>
      </c>
      <c r="AL17" s="7">
        <v>3200</v>
      </c>
      <c r="AM17" s="7">
        <v>850</v>
      </c>
      <c r="AN17" s="7">
        <v>3500</v>
      </c>
      <c r="AO17" s="7">
        <v>700</v>
      </c>
      <c r="AP17" s="7">
        <v>3000</v>
      </c>
      <c r="AQ17" s="10" t="s">
        <v>38</v>
      </c>
      <c r="AR17" s="7">
        <v>750</v>
      </c>
      <c r="AS17" s="7">
        <v>3000</v>
      </c>
      <c r="AT17" s="7">
        <v>700</v>
      </c>
      <c r="AU17" s="7">
        <v>2500</v>
      </c>
      <c r="AV17" s="10" t="s">
        <v>38</v>
      </c>
      <c r="AW17" s="7">
        <v>800</v>
      </c>
      <c r="AX17" s="7">
        <v>3000</v>
      </c>
      <c r="AY17" s="6" t="s">
        <v>38</v>
      </c>
      <c r="AZ17" s="7">
        <v>700</v>
      </c>
      <c r="BA17" s="7">
        <v>2500</v>
      </c>
      <c r="BB17" s="3"/>
      <c r="BC17" s="8"/>
      <c r="BD17" s="3"/>
      <c r="BE17" s="8"/>
      <c r="BF17" s="14"/>
      <c r="BG17" s="3"/>
      <c r="BH17" s="8"/>
      <c r="BI17" s="3"/>
      <c r="BJ17" s="8"/>
      <c r="BK17" s="3"/>
      <c r="BL17" s="8"/>
      <c r="BM17" s="3"/>
      <c r="BN17" s="8"/>
      <c r="BO17" s="13"/>
      <c r="BP17" s="3"/>
      <c r="BQ17" s="8"/>
      <c r="BR17" s="3"/>
      <c r="BS17" s="8"/>
      <c r="BT17" s="3"/>
      <c r="BU17" s="8"/>
      <c r="BV17" s="11"/>
      <c r="BW17" s="8"/>
      <c r="BX17" s="12"/>
      <c r="BY17" s="11"/>
      <c r="BZ17" s="8"/>
      <c r="CA17" s="3"/>
      <c r="CB17" s="8"/>
      <c r="CC17" s="3"/>
      <c r="CD17" s="8"/>
      <c r="CF17" s="7"/>
      <c r="CG17" s="7"/>
      <c r="CH17" s="7"/>
      <c r="CI17" s="7"/>
      <c r="CJ17" t="s">
        <v>7</v>
      </c>
      <c r="CK17" s="7">
        <v>161</v>
      </c>
      <c r="CL17" s="7">
        <v>1113</v>
      </c>
      <c r="CM17" s="7">
        <v>246</v>
      </c>
      <c r="CN17" s="7">
        <v>507</v>
      </c>
    </row>
    <row r="18" spans="1:98" ht="15.6" x14ac:dyDescent="0.3">
      <c r="A18" t="s">
        <v>338</v>
      </c>
      <c r="B18" s="122"/>
      <c r="C18" s="7"/>
      <c r="D18" s="7"/>
      <c r="E18" s="7"/>
      <c r="F18" s="7"/>
      <c r="G18" s="122"/>
      <c r="H18" s="7"/>
      <c r="I18" s="7"/>
      <c r="J18" s="7"/>
      <c r="K18" s="7"/>
      <c r="L18" s="122"/>
      <c r="M18" s="7"/>
      <c r="N18" s="7"/>
      <c r="O18" s="122"/>
      <c r="P18" s="7"/>
      <c r="Q18" s="7"/>
      <c r="R18" s="122"/>
      <c r="S18" s="7"/>
      <c r="T18" s="7"/>
      <c r="U18" s="7"/>
      <c r="V18" s="7"/>
      <c r="W18" s="122"/>
      <c r="X18" s="7"/>
      <c r="Y18" s="7"/>
      <c r="Z18" s="122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12"/>
      <c r="AR18" s="7"/>
      <c r="AS18" s="7"/>
      <c r="AT18" s="7"/>
      <c r="AU18" s="7"/>
      <c r="AV18" s="12"/>
      <c r="AW18" s="7"/>
      <c r="AX18" s="7"/>
      <c r="AY18" s="14"/>
      <c r="AZ18" s="7"/>
      <c r="BA18" s="7"/>
      <c r="BB18" s="3"/>
      <c r="BC18" s="8"/>
      <c r="BD18" s="3"/>
      <c r="BE18" s="8"/>
      <c r="BF18" s="14"/>
      <c r="BG18" s="3"/>
      <c r="BH18" s="8"/>
      <c r="BI18" s="3"/>
      <c r="BJ18" s="8"/>
      <c r="BK18" s="3"/>
      <c r="BL18" s="8"/>
      <c r="BM18" s="3"/>
      <c r="BN18" s="8"/>
      <c r="BO18" s="13"/>
      <c r="BP18" s="3"/>
      <c r="BQ18" s="8"/>
      <c r="BR18" s="3"/>
      <c r="BS18" s="8"/>
      <c r="BT18" s="3"/>
      <c r="BU18" s="8"/>
      <c r="BV18" s="11"/>
      <c r="BW18" s="8"/>
      <c r="BX18" s="12"/>
      <c r="BY18" s="11"/>
      <c r="BZ18" s="8"/>
      <c r="CA18" s="3"/>
      <c r="CB18" s="8"/>
      <c r="CC18" s="3"/>
      <c r="CD18" s="8"/>
      <c r="CF18" s="7"/>
      <c r="CG18" s="7"/>
      <c r="CH18" s="7"/>
      <c r="CI18" s="7"/>
      <c r="CJ18" t="s">
        <v>7</v>
      </c>
      <c r="CK18" s="7">
        <v>972</v>
      </c>
      <c r="CL18" s="7">
        <v>259</v>
      </c>
      <c r="CM18" s="7">
        <v>352</v>
      </c>
      <c r="CN18" s="7">
        <v>118</v>
      </c>
    </row>
    <row r="19" spans="1:98" x14ac:dyDescent="0.3">
      <c r="A19" s="10" t="s">
        <v>21</v>
      </c>
      <c r="C19" s="7"/>
      <c r="D19" s="7"/>
      <c r="E19" s="7"/>
      <c r="F19" s="7"/>
      <c r="H19" s="7"/>
      <c r="I19" s="7"/>
      <c r="J19" s="7"/>
      <c r="K19" s="7"/>
      <c r="M19" s="7"/>
      <c r="N19" s="7"/>
      <c r="P19" s="7"/>
      <c r="Q19" s="7"/>
      <c r="S19" s="7"/>
      <c r="T19" s="7"/>
      <c r="U19" s="7"/>
      <c r="V19" s="7"/>
      <c r="X19" s="7"/>
      <c r="Y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>
        <v>35000</v>
      </c>
      <c r="AM19" s="7"/>
      <c r="AN19" s="7">
        <v>30000</v>
      </c>
      <c r="AO19" s="7"/>
      <c r="AP19" s="7">
        <v>25000</v>
      </c>
      <c r="AQ19" s="10"/>
      <c r="AR19" s="7"/>
      <c r="AS19" s="7"/>
      <c r="AT19" s="7"/>
      <c r="AU19" s="7">
        <v>35000</v>
      </c>
      <c r="AV19" s="10"/>
      <c r="AW19" s="7"/>
      <c r="AX19" s="7">
        <v>40000</v>
      </c>
      <c r="AY19" t="s">
        <v>7</v>
      </c>
      <c r="AZ19" s="7">
        <v>8000</v>
      </c>
      <c r="BA19" s="7">
        <v>80000</v>
      </c>
      <c r="BB19" s="7">
        <v>8600</v>
      </c>
      <c r="BC19" s="7">
        <v>86000</v>
      </c>
      <c r="BD19" s="7">
        <v>5000</v>
      </c>
      <c r="BE19" s="7">
        <v>50000</v>
      </c>
      <c r="BF19" t="s">
        <v>7</v>
      </c>
      <c r="BG19" s="7">
        <v>6000</v>
      </c>
      <c r="BH19" s="7">
        <v>6500</v>
      </c>
      <c r="BI19" s="7">
        <v>6500</v>
      </c>
      <c r="BJ19" s="7">
        <v>70000</v>
      </c>
      <c r="BK19" s="7">
        <v>6000</v>
      </c>
      <c r="BL19" s="7">
        <v>65000</v>
      </c>
      <c r="BM19" s="7">
        <v>3716</v>
      </c>
      <c r="BN19" s="7">
        <v>40000</v>
      </c>
      <c r="BO19" t="s">
        <v>7</v>
      </c>
      <c r="BP19" s="7">
        <f>3340+70</f>
        <v>3410</v>
      </c>
      <c r="BQ19" s="7">
        <f>27354+570</f>
        <v>27924</v>
      </c>
      <c r="BR19" s="7">
        <f>3130+90</f>
        <v>3220</v>
      </c>
      <c r="BS19" s="7">
        <f>25000+730</f>
        <v>25730</v>
      </c>
      <c r="BT19" s="7">
        <f>3580+70</f>
        <v>3650</v>
      </c>
      <c r="BU19" s="7">
        <f>35800+880</f>
        <v>36680</v>
      </c>
      <c r="BV19" s="7">
        <v>2900</v>
      </c>
      <c r="BW19" s="7">
        <f>24000+1500</f>
        <v>25500</v>
      </c>
      <c r="BX19" t="s">
        <v>7</v>
      </c>
      <c r="BY19" s="7">
        <v>3300</v>
      </c>
      <c r="BZ19" s="7">
        <v>4000</v>
      </c>
      <c r="CA19" s="7">
        <v>2900</v>
      </c>
      <c r="CB19" s="7">
        <v>3974</v>
      </c>
      <c r="CC19" s="7">
        <v>2190</v>
      </c>
      <c r="CD19" s="7">
        <v>2813</v>
      </c>
      <c r="CF19" s="7"/>
      <c r="CG19" s="7"/>
      <c r="CH19" s="7"/>
      <c r="CI19" s="7"/>
      <c r="CJ19" t="s">
        <v>7</v>
      </c>
      <c r="CK19" s="7"/>
      <c r="CL19" s="7"/>
      <c r="CM19" s="7"/>
      <c r="CN19" s="7"/>
      <c r="CO19" s="7"/>
      <c r="CP19" s="7"/>
      <c r="CQ19" s="7"/>
      <c r="CR19" s="7"/>
      <c r="CS19" s="7"/>
      <c r="CT19" s="7"/>
    </row>
    <row r="20" spans="1:98" x14ac:dyDescent="0.3">
      <c r="A20" s="19" t="s">
        <v>162</v>
      </c>
      <c r="B20" s="10" t="s">
        <v>38</v>
      </c>
      <c r="C20" s="7"/>
      <c r="D20" s="7"/>
      <c r="E20" s="7"/>
      <c r="F20" s="7"/>
      <c r="G20" s="10" t="s">
        <v>38</v>
      </c>
      <c r="H20" s="7"/>
      <c r="I20" s="7"/>
      <c r="J20" s="7"/>
      <c r="K20" s="7"/>
      <c r="L20" s="10" t="s">
        <v>38</v>
      </c>
      <c r="M20" s="7"/>
      <c r="N20" s="7"/>
      <c r="O20" s="10" t="s">
        <v>38</v>
      </c>
      <c r="P20" s="7"/>
      <c r="Q20" s="7"/>
      <c r="R20" s="10" t="s">
        <v>38</v>
      </c>
      <c r="S20" s="7"/>
      <c r="T20" s="7"/>
      <c r="U20" s="7"/>
      <c r="V20" s="7"/>
      <c r="W20" s="10" t="s">
        <v>38</v>
      </c>
      <c r="X20" s="7"/>
      <c r="Y20" s="7"/>
      <c r="Z20" s="10" t="s">
        <v>38</v>
      </c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10" t="s">
        <v>38</v>
      </c>
      <c r="AR20" s="7"/>
      <c r="AS20" s="7"/>
      <c r="AT20" s="7"/>
      <c r="AU20" s="7"/>
      <c r="AV20" s="6" t="s">
        <v>38</v>
      </c>
      <c r="AW20" s="7"/>
      <c r="AX20" s="7"/>
      <c r="AY20" t="s">
        <v>6</v>
      </c>
      <c r="AZ20" s="7">
        <f>11250+2500+728.5+75+80</f>
        <v>14633.5</v>
      </c>
      <c r="BA20" s="7">
        <f>450000+100000+30000+3000+2000</f>
        <v>585000</v>
      </c>
      <c r="BB20" s="7">
        <f>12500+2625+801+100+75</f>
        <v>16101</v>
      </c>
      <c r="BC20" s="7">
        <f>500000+105000+33000+4000+3000</f>
        <v>645000</v>
      </c>
      <c r="BD20" s="7">
        <f>16083+1414+850+75+100</f>
        <v>18522</v>
      </c>
      <c r="BE20" s="7">
        <f>643340+66660+35000+3000+4000</f>
        <v>752000</v>
      </c>
      <c r="BF20" t="s">
        <v>6</v>
      </c>
      <c r="BG20" s="7">
        <f>14000+1200+700+50+100</f>
        <v>16050</v>
      </c>
      <c r="BH20" s="7">
        <f>750000+70000+40000+2500+5000</f>
        <v>867500</v>
      </c>
      <c r="BI20" s="7">
        <f>12000+1000+600+175+125</f>
        <v>13900</v>
      </c>
      <c r="BJ20" s="7">
        <f>600000+60000+30000+35000+6000</f>
        <v>731000</v>
      </c>
      <c r="BK20" s="7">
        <f>11000+800+500+70+100</f>
        <v>12470</v>
      </c>
      <c r="BL20" s="7">
        <f>550000+48000+24000+3200+5000</f>
        <v>630200</v>
      </c>
      <c r="BM20" s="7">
        <f>12000+1500+1000+100+3566</f>
        <v>18166</v>
      </c>
      <c r="BN20" s="7">
        <f>600000+75000+50000+5000+78297</f>
        <v>808297</v>
      </c>
      <c r="BO20" t="s">
        <v>6</v>
      </c>
      <c r="BP20" s="7">
        <f>14700+1576+548+403+1987</f>
        <v>19214</v>
      </c>
      <c r="BQ20" s="7">
        <f>734860+59865+27223+26590+98370</f>
        <v>946908</v>
      </c>
      <c r="BR20" s="7">
        <f>20100+3180+664+622+2360</f>
        <v>26926</v>
      </c>
      <c r="BS20" s="7">
        <f>826880+191240+40040+37640+142700</f>
        <v>1238500</v>
      </c>
      <c r="BT20" s="7">
        <f>15200+2800+420+250+2200</f>
        <v>20870</v>
      </c>
      <c r="BU20" s="7">
        <f>768500+168000+21250+11300+110000</f>
        <v>1079050</v>
      </c>
      <c r="BV20" s="7">
        <v>15200</v>
      </c>
      <c r="BW20" s="7">
        <f>120000+572000+10000+20000+80000</f>
        <v>802000</v>
      </c>
      <c r="BX20" t="s">
        <v>6</v>
      </c>
      <c r="BY20" s="7">
        <v>15400</v>
      </c>
      <c r="BZ20" s="7">
        <v>92500</v>
      </c>
      <c r="CA20" s="7">
        <v>25400</v>
      </c>
      <c r="CB20" s="7">
        <v>129333</v>
      </c>
      <c r="CC20" s="7">
        <v>15525</v>
      </c>
      <c r="CD20" s="7">
        <v>115420</v>
      </c>
      <c r="CE20" t="s">
        <v>6</v>
      </c>
      <c r="CF20" s="7">
        <v>15515</v>
      </c>
      <c r="CG20" s="7">
        <v>115297</v>
      </c>
      <c r="CH20" s="7">
        <v>15150</v>
      </c>
      <c r="CI20" s="7">
        <v>114709</v>
      </c>
      <c r="CK20" s="7"/>
      <c r="CL20" s="7"/>
      <c r="CM20" s="7"/>
      <c r="CN20" s="7"/>
      <c r="CO20" s="7"/>
      <c r="CP20" s="7"/>
      <c r="CQ20" s="7"/>
      <c r="CR20" s="7"/>
      <c r="CS20" s="7"/>
      <c r="CT20" s="7"/>
    </row>
    <row r="21" spans="1:98" ht="15.6" x14ac:dyDescent="0.3">
      <c r="A21" s="19" t="s">
        <v>163</v>
      </c>
      <c r="B21" s="122"/>
      <c r="C21" s="126" t="s">
        <v>394</v>
      </c>
      <c r="D21" s="7">
        <f>220000+1400</f>
        <v>221400</v>
      </c>
      <c r="E21" s="126" t="s">
        <v>393</v>
      </c>
      <c r="F21" s="7">
        <f>50000+2000</f>
        <v>52000</v>
      </c>
      <c r="G21" s="122"/>
      <c r="H21" s="126" t="s">
        <v>391</v>
      </c>
      <c r="I21" s="7">
        <v>375000</v>
      </c>
      <c r="J21" s="126" t="s">
        <v>389</v>
      </c>
      <c r="K21" s="7">
        <f>350000+3000</f>
        <v>353000</v>
      </c>
      <c r="L21" s="122"/>
      <c r="M21" s="126" t="s">
        <v>387</v>
      </c>
      <c r="N21" s="7">
        <f>228000+1500</f>
        <v>229500</v>
      </c>
      <c r="O21" s="122"/>
      <c r="P21" s="126" t="s">
        <v>384</v>
      </c>
      <c r="Q21" s="7">
        <f>500000+4000</f>
        <v>504000</v>
      </c>
      <c r="R21" s="122"/>
      <c r="S21">
        <f>75000+15000</f>
        <v>90000</v>
      </c>
      <c r="T21" s="7">
        <f>450000+2500</f>
        <v>452500</v>
      </c>
      <c r="U21">
        <f>40000+15000</f>
        <v>55000</v>
      </c>
      <c r="V21" s="7">
        <f>200000+10000</f>
        <v>210000</v>
      </c>
      <c r="W21" s="122"/>
      <c r="X21" s="7">
        <f>52000+110200</f>
        <v>162200</v>
      </c>
      <c r="Y21" s="7">
        <f>222300+232500</f>
        <v>454800</v>
      </c>
      <c r="Z21" s="122"/>
      <c r="AA21">
        <f>37370+39780</f>
        <v>77150</v>
      </c>
      <c r="AB21" s="7">
        <f>250720+83690</f>
        <v>334410</v>
      </c>
      <c r="AC21">
        <f>42100+32000+23900</f>
        <v>98000</v>
      </c>
      <c r="AD21" s="7">
        <f>268400+90000+62300</f>
        <v>420700</v>
      </c>
      <c r="AE21">
        <f>41225+22700+20000</f>
        <v>83925</v>
      </c>
      <c r="AF21" s="7">
        <f>150800+56000+50000</f>
        <v>256800</v>
      </c>
      <c r="AG21" s="7">
        <f>40850+28056+25000</f>
        <v>93906</v>
      </c>
      <c r="AH21" s="7">
        <f>155600+70450+56000</f>
        <v>282050</v>
      </c>
      <c r="AI21" s="7">
        <f>50000+30000+25000</f>
        <v>105000</v>
      </c>
      <c r="AJ21" s="7">
        <f>160000+75000+60000</f>
        <v>295000</v>
      </c>
      <c r="AK21" s="7">
        <f>55000+35000+35000</f>
        <v>125000</v>
      </c>
      <c r="AL21" s="7">
        <f>170000+80000+70000</f>
        <v>320000</v>
      </c>
      <c r="AM21" s="7">
        <f>60000+30000+40000</f>
        <v>130000</v>
      </c>
      <c r="AN21" s="7">
        <f>190000+78000+80000</f>
        <v>348000</v>
      </c>
      <c r="AO21" s="7">
        <f>50000+20000+30000</f>
        <v>100000</v>
      </c>
      <c r="AP21" s="7">
        <f>180000+60000+70000</f>
        <v>310000</v>
      </c>
      <c r="AQ21" s="12"/>
      <c r="AR21" s="7">
        <f>70000+30000+35000</f>
        <v>135000</v>
      </c>
      <c r="AS21" s="7">
        <f>250000+65000+70000</f>
        <v>385000</v>
      </c>
      <c r="AT21" s="7">
        <f>60000+25000+30000</f>
        <v>115000</v>
      </c>
      <c r="AU21" s="7">
        <f>250000+60000+65000</f>
        <v>375000</v>
      </c>
      <c r="AV21" s="12"/>
      <c r="AW21" s="7">
        <f>60000+20000+20000</f>
        <v>100000</v>
      </c>
      <c r="AX21" s="7">
        <f>300000+60000+60000</f>
        <v>420000</v>
      </c>
      <c r="AY21" s="14"/>
      <c r="AZ21" s="7"/>
      <c r="BA21" s="7"/>
      <c r="BB21" s="3"/>
      <c r="BC21" s="8"/>
      <c r="BD21" s="3"/>
      <c r="BE21" s="8"/>
      <c r="BF21" s="14"/>
      <c r="BG21" s="3"/>
      <c r="BH21" s="8"/>
      <c r="BI21" s="3"/>
      <c r="BJ21" s="8"/>
      <c r="BK21" s="3"/>
      <c r="BL21" s="8"/>
      <c r="BM21" s="3"/>
      <c r="BN21" s="8"/>
      <c r="BO21" s="13"/>
      <c r="BP21" s="3"/>
      <c r="BQ21" s="8"/>
      <c r="BR21" s="3"/>
      <c r="BS21" s="8"/>
      <c r="BT21" s="3"/>
      <c r="BU21" s="8"/>
      <c r="BV21" s="11"/>
      <c r="BW21" s="8"/>
      <c r="BX21" s="12"/>
      <c r="BY21" s="11"/>
      <c r="BZ21" s="8"/>
      <c r="CA21" s="3"/>
      <c r="CB21" s="8"/>
      <c r="CC21" s="3"/>
      <c r="CD21" s="8"/>
      <c r="CF21" s="7"/>
      <c r="CG21" s="7"/>
      <c r="CH21" s="7"/>
      <c r="CI21" s="7"/>
      <c r="CJ21" t="s">
        <v>6</v>
      </c>
      <c r="CK21" s="7">
        <v>7135</v>
      </c>
      <c r="CL21" s="7">
        <v>74547</v>
      </c>
      <c r="CM21" s="7">
        <v>6617</v>
      </c>
      <c r="CN21" s="7">
        <v>55066</v>
      </c>
    </row>
    <row r="22" spans="1:98" ht="15.6" x14ac:dyDescent="0.3">
      <c r="A22" s="19" t="s">
        <v>164</v>
      </c>
      <c r="B22" s="122"/>
      <c r="C22" s="7">
        <v>94000</v>
      </c>
      <c r="D22" s="7">
        <v>221000</v>
      </c>
      <c r="E22" s="7">
        <v>125000</v>
      </c>
      <c r="F22" s="7">
        <v>250000</v>
      </c>
      <c r="G22" s="122"/>
      <c r="H22" s="7">
        <v>175000</v>
      </c>
      <c r="I22" s="7">
        <v>350000</v>
      </c>
      <c r="J22" s="7">
        <f>170000</f>
        <v>170000</v>
      </c>
      <c r="K22" s="7">
        <v>300000</v>
      </c>
      <c r="L22" s="122"/>
      <c r="M22" s="7">
        <v>55000</v>
      </c>
      <c r="N22" s="7">
        <v>165000</v>
      </c>
      <c r="O22" s="122"/>
      <c r="P22" s="7">
        <v>125000</v>
      </c>
      <c r="Q22" s="7">
        <v>350000</v>
      </c>
      <c r="R22" s="122"/>
      <c r="S22" s="7">
        <v>100000</v>
      </c>
      <c r="T22" s="7">
        <v>350000</v>
      </c>
      <c r="U22" s="7">
        <v>110000</v>
      </c>
      <c r="V22" s="7">
        <v>400000</v>
      </c>
      <c r="W22" s="122"/>
      <c r="X22" s="7">
        <v>142216</v>
      </c>
      <c r="Y22" s="7">
        <v>330615</v>
      </c>
      <c r="Z22" s="122"/>
      <c r="AA22" s="7">
        <v>82655</v>
      </c>
      <c r="AB22" s="7">
        <v>462985</v>
      </c>
      <c r="AC22" s="7">
        <f>80500</f>
        <v>80500</v>
      </c>
      <c r="AD22" s="7">
        <v>250000</v>
      </c>
      <c r="AE22" s="7">
        <v>78792</v>
      </c>
      <c r="AF22" s="7">
        <v>175000</v>
      </c>
      <c r="AG22" s="7">
        <v>80885</v>
      </c>
      <c r="AH22" s="7">
        <v>198700</v>
      </c>
      <c r="AI22" s="7">
        <v>90000</v>
      </c>
      <c r="AJ22" s="7">
        <v>180000</v>
      </c>
      <c r="AK22" s="7">
        <f>100000</f>
        <v>100000</v>
      </c>
      <c r="AL22" s="7">
        <v>190000</v>
      </c>
      <c r="AM22" s="7">
        <v>110000</v>
      </c>
      <c r="AN22" s="7">
        <v>200000</v>
      </c>
      <c r="AO22" s="7">
        <v>90000</v>
      </c>
      <c r="AP22" s="7">
        <v>180000</v>
      </c>
      <c r="AQ22" s="12"/>
      <c r="AR22" s="7">
        <f>100000</f>
        <v>100000</v>
      </c>
      <c r="AS22" s="7">
        <v>150000</v>
      </c>
      <c r="AT22" s="7">
        <v>90000</v>
      </c>
      <c r="AU22" s="7">
        <v>140000</v>
      </c>
      <c r="AV22" s="12"/>
      <c r="AW22" s="7">
        <f>80000</f>
        <v>80000</v>
      </c>
      <c r="AX22" s="7">
        <v>130000</v>
      </c>
      <c r="AY22" s="14"/>
      <c r="AZ22" s="7"/>
      <c r="BA22" s="7"/>
      <c r="BB22" s="3"/>
      <c r="BC22" s="8"/>
      <c r="BD22" s="3"/>
      <c r="BE22" s="8"/>
      <c r="BF22" s="14"/>
      <c r="BG22" s="3"/>
      <c r="BH22" s="8"/>
      <c r="BI22" s="3"/>
      <c r="BJ22" s="8"/>
      <c r="BK22" s="3"/>
      <c r="BL22" s="8"/>
      <c r="BM22" s="3"/>
      <c r="BN22" s="8"/>
      <c r="BO22" s="13"/>
      <c r="BP22" s="3"/>
      <c r="BQ22" s="8"/>
      <c r="BR22" s="3"/>
      <c r="BS22" s="8"/>
      <c r="BT22" s="3"/>
      <c r="BU22" s="8"/>
      <c r="BV22" s="11"/>
      <c r="BW22" s="8"/>
      <c r="BX22" s="12"/>
      <c r="BY22" s="11"/>
      <c r="BZ22" s="8"/>
      <c r="CA22" s="3"/>
      <c r="CB22" s="8"/>
      <c r="CC22" s="3"/>
      <c r="CD22" s="8"/>
      <c r="CF22" s="7"/>
      <c r="CG22" s="7"/>
      <c r="CH22" s="7"/>
      <c r="CI22" s="7"/>
      <c r="CJ22" t="s">
        <v>6</v>
      </c>
      <c r="CK22" s="7">
        <v>5752</v>
      </c>
      <c r="CL22" s="7">
        <v>57194</v>
      </c>
      <c r="CM22" s="7">
        <v>4857</v>
      </c>
      <c r="CN22" s="7">
        <v>52609</v>
      </c>
    </row>
    <row r="23" spans="1:98" x14ac:dyDescent="0.3">
      <c r="A23" t="s">
        <v>339</v>
      </c>
      <c r="B23" s="10" t="s">
        <v>38</v>
      </c>
      <c r="C23" s="7"/>
      <c r="D23" s="7"/>
      <c r="E23" s="7"/>
      <c r="F23" s="7"/>
      <c r="G23" s="10" t="s">
        <v>38</v>
      </c>
      <c r="H23" s="7"/>
      <c r="I23" s="7"/>
      <c r="J23" s="7"/>
      <c r="K23" s="7"/>
      <c r="L23" s="10" t="s">
        <v>38</v>
      </c>
      <c r="M23" s="7"/>
      <c r="N23" s="7"/>
      <c r="O23" s="10" t="s">
        <v>38</v>
      </c>
      <c r="P23" s="7"/>
      <c r="Q23" s="7"/>
      <c r="R23" s="10" t="s">
        <v>38</v>
      </c>
      <c r="S23" s="7"/>
      <c r="T23" s="7"/>
      <c r="U23" s="7"/>
      <c r="V23" s="7"/>
      <c r="W23" s="10" t="s">
        <v>38</v>
      </c>
      <c r="Z23" s="10" t="s">
        <v>38</v>
      </c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>
        <v>2300</v>
      </c>
      <c r="AL23" s="7">
        <v>20000</v>
      </c>
      <c r="AM23" s="7">
        <v>2000</v>
      </c>
      <c r="AN23" s="7">
        <v>20000</v>
      </c>
      <c r="AO23" s="7">
        <v>1500</v>
      </c>
      <c r="AP23" s="7">
        <v>18000</v>
      </c>
      <c r="AQ23" s="10" t="s">
        <v>38</v>
      </c>
      <c r="AR23" s="7">
        <v>1200</v>
      </c>
      <c r="AS23" s="7">
        <v>18000</v>
      </c>
      <c r="AT23" s="7">
        <v>1000</v>
      </c>
      <c r="AU23" s="7">
        <v>17000</v>
      </c>
      <c r="AV23" s="6" t="s">
        <v>38</v>
      </c>
      <c r="AW23" s="7">
        <v>900</v>
      </c>
      <c r="AX23" s="7">
        <v>25000</v>
      </c>
      <c r="AY23" t="s">
        <v>7</v>
      </c>
      <c r="AZ23" s="7">
        <f>75+2375+1925</f>
        <v>4375</v>
      </c>
      <c r="BA23" s="7">
        <f>600+19000+15400</f>
        <v>35000</v>
      </c>
      <c r="BB23" s="7">
        <f>87.5+2437+1975</f>
        <v>4499.5</v>
      </c>
      <c r="BC23" s="7">
        <f>700+19500+15800</f>
        <v>36000</v>
      </c>
      <c r="BD23" s="7">
        <f>100+2500+2000</f>
        <v>4600</v>
      </c>
      <c r="BE23" s="7">
        <f>800+20000+16000</f>
        <v>36800</v>
      </c>
      <c r="BF23" t="s">
        <v>7</v>
      </c>
      <c r="BG23" s="7">
        <f>125+2200+1800</f>
        <v>4125</v>
      </c>
      <c r="BH23" s="7">
        <f>1200+22000+18000</f>
        <v>41200</v>
      </c>
      <c r="BI23" s="7">
        <f>100+2500+2000</f>
        <v>4600</v>
      </c>
      <c r="BJ23" s="7">
        <f>1200+30000+22000</f>
        <v>53200</v>
      </c>
      <c r="BK23" s="7">
        <f>50+2200+1800</f>
        <v>4050</v>
      </c>
      <c r="BL23" s="7">
        <f>700+28000+21000</f>
        <v>49700</v>
      </c>
      <c r="BM23" s="7">
        <f>2132+500+10000</f>
        <v>12632</v>
      </c>
      <c r="BN23" s="7">
        <f>2665+625+12500</f>
        <v>15790</v>
      </c>
      <c r="BO23" t="s">
        <v>7</v>
      </c>
      <c r="BP23" s="7">
        <f>12205+554+9528</f>
        <v>22287</v>
      </c>
      <c r="BQ23" s="7">
        <f>12663+700+12040</f>
        <v>25403</v>
      </c>
      <c r="BR23" s="7">
        <f>2000+1110+20000</f>
        <v>23110</v>
      </c>
      <c r="BS23" s="7">
        <f>4000+1620+31360</f>
        <v>36980</v>
      </c>
      <c r="BT23" s="9">
        <f>1540+950+2500</f>
        <v>4990</v>
      </c>
      <c r="BU23" s="7">
        <f>18480+9750+30000</f>
        <v>58230</v>
      </c>
      <c r="BV23" s="7">
        <v>4420</v>
      </c>
      <c r="BW23" s="7">
        <f>8400+35000</f>
        <v>43400</v>
      </c>
      <c r="BX23" t="s">
        <v>7</v>
      </c>
      <c r="BY23" s="7">
        <v>1210</v>
      </c>
      <c r="BZ23" s="7">
        <v>2300</v>
      </c>
      <c r="CA23" s="7">
        <v>2620</v>
      </c>
      <c r="CB23" s="7">
        <v>5833</v>
      </c>
      <c r="CC23" s="7">
        <v>3375</v>
      </c>
      <c r="CD23" s="7">
        <v>5597</v>
      </c>
      <c r="CE23" t="s">
        <v>7</v>
      </c>
      <c r="CF23" s="7">
        <v>3155</v>
      </c>
      <c r="CG23" s="7">
        <v>5258</v>
      </c>
      <c r="CH23" s="7">
        <v>3246</v>
      </c>
      <c r="CI23" s="7">
        <v>6059</v>
      </c>
      <c r="CJ23" t="s">
        <v>7</v>
      </c>
      <c r="CK23" s="7">
        <v>5521</v>
      </c>
      <c r="CL23" s="7">
        <v>5355</v>
      </c>
      <c r="CM23" s="7">
        <v>4055</v>
      </c>
      <c r="CN23" s="7">
        <v>5869</v>
      </c>
      <c r="CO23" s="7"/>
      <c r="CP23" s="7"/>
      <c r="CQ23" s="7"/>
      <c r="CR23" s="7"/>
      <c r="CS23" s="7"/>
      <c r="CT23" s="7"/>
    </row>
    <row r="24" spans="1:98" x14ac:dyDescent="0.3">
      <c r="A24" s="10" t="s">
        <v>340</v>
      </c>
      <c r="C24" s="7"/>
      <c r="D24" s="7"/>
      <c r="E24" s="7"/>
      <c r="F24" s="7"/>
      <c r="H24" s="7"/>
      <c r="I24" s="7"/>
      <c r="J24" s="7"/>
      <c r="K24" s="7"/>
      <c r="M24" s="7"/>
      <c r="N24" s="7"/>
      <c r="P24" s="7"/>
      <c r="Q24" s="7"/>
      <c r="S24" s="7"/>
      <c r="T24" s="7"/>
      <c r="U24" s="7"/>
      <c r="V24" s="7"/>
      <c r="X24" s="7"/>
      <c r="Y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10"/>
      <c r="AR24" s="7"/>
      <c r="AS24" s="7"/>
      <c r="AT24" s="7"/>
      <c r="AU24" s="7"/>
      <c r="AV24" s="10"/>
      <c r="AW24" s="7"/>
      <c r="AX24" s="7"/>
      <c r="AZ24" s="7"/>
      <c r="BA24" s="7"/>
      <c r="BB24" s="7"/>
      <c r="BC24" s="7"/>
      <c r="BD24" s="7"/>
      <c r="BE24" s="7"/>
      <c r="BG24" s="7"/>
      <c r="BH24" s="7"/>
      <c r="BI24" s="7"/>
      <c r="BJ24" s="7"/>
      <c r="BK24" s="7"/>
      <c r="BL24" s="7"/>
      <c r="BM24" s="7"/>
      <c r="BN24" s="7"/>
      <c r="BP24" s="7"/>
      <c r="BQ24" s="7"/>
      <c r="BR24" s="7"/>
      <c r="BS24" s="7"/>
      <c r="BT24" s="7"/>
      <c r="BU24" s="7"/>
      <c r="BV24" s="7"/>
      <c r="BW24" s="7"/>
      <c r="BY24" s="7"/>
      <c r="BZ24" s="7"/>
      <c r="CA24" s="7"/>
      <c r="CB24" s="7"/>
      <c r="CC24" s="7"/>
      <c r="CD24" s="7"/>
      <c r="CE24" t="s">
        <v>7</v>
      </c>
      <c r="CF24" s="7">
        <v>2340</v>
      </c>
      <c r="CG24" s="7">
        <v>2726</v>
      </c>
      <c r="CH24" s="7">
        <v>2402</v>
      </c>
      <c r="CI24" s="7">
        <v>2959</v>
      </c>
      <c r="CJ24" t="s">
        <v>7</v>
      </c>
      <c r="CK24" s="7"/>
      <c r="CL24" s="7"/>
      <c r="CM24" s="7"/>
      <c r="CN24" s="7"/>
      <c r="CO24" s="7"/>
      <c r="CP24" s="7"/>
      <c r="CQ24" s="7"/>
      <c r="CR24" s="7"/>
      <c r="CS24" s="7"/>
      <c r="CT24" s="7"/>
    </row>
    <row r="25" spans="1:98" ht="15.6" x14ac:dyDescent="0.3">
      <c r="A25" t="s">
        <v>341</v>
      </c>
      <c r="B25" s="122"/>
      <c r="C25" s="7"/>
      <c r="D25" s="7"/>
      <c r="E25" s="7"/>
      <c r="F25" s="7"/>
      <c r="G25" s="122"/>
      <c r="H25" s="7"/>
      <c r="I25" s="7"/>
      <c r="J25" s="7"/>
      <c r="K25" s="7"/>
      <c r="L25" s="122"/>
      <c r="M25" s="7"/>
      <c r="N25" s="7"/>
      <c r="O25" s="122"/>
      <c r="P25" s="7"/>
      <c r="Q25" s="7"/>
      <c r="R25" s="122"/>
      <c r="S25" s="7"/>
      <c r="T25" s="7"/>
      <c r="U25" s="7"/>
      <c r="V25" s="7"/>
      <c r="W25" s="122"/>
      <c r="X25" s="7"/>
      <c r="Y25" s="7"/>
      <c r="Z25" s="122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12"/>
      <c r="AR25" s="7"/>
      <c r="AS25" s="7"/>
      <c r="AT25" s="7"/>
      <c r="AU25" s="7"/>
      <c r="AV25" s="12"/>
      <c r="AW25" s="7"/>
      <c r="AX25" s="7"/>
      <c r="AY25" s="14"/>
      <c r="AZ25" s="7"/>
      <c r="BA25" s="7"/>
      <c r="BB25" s="11"/>
      <c r="BC25" s="8"/>
      <c r="BD25" s="11"/>
      <c r="BE25" s="8"/>
      <c r="BF25" s="14"/>
      <c r="BG25" s="11"/>
      <c r="BH25" s="8"/>
      <c r="BI25" s="11"/>
      <c r="BJ25" s="8"/>
      <c r="BK25" s="11"/>
      <c r="BL25" s="8"/>
      <c r="BM25" s="11"/>
      <c r="BN25" s="8"/>
      <c r="BO25" s="13"/>
      <c r="BP25" s="11"/>
      <c r="BQ25" s="8"/>
      <c r="BR25" s="11"/>
      <c r="BS25" s="8"/>
      <c r="BT25" s="11"/>
      <c r="BU25" s="8"/>
      <c r="BV25" s="11"/>
      <c r="BW25" s="8"/>
      <c r="BX25" s="12"/>
      <c r="BY25" s="11"/>
      <c r="BZ25" s="8"/>
      <c r="CA25" s="3"/>
      <c r="CB25" s="8"/>
      <c r="CC25" s="3"/>
      <c r="CD25" s="8"/>
      <c r="CF25" s="7"/>
      <c r="CG25" s="7"/>
      <c r="CH25" s="7"/>
      <c r="CI25" s="7"/>
      <c r="CJ25" t="s">
        <v>7</v>
      </c>
      <c r="CK25" s="7">
        <v>341</v>
      </c>
      <c r="CL25" s="7">
        <v>2746</v>
      </c>
      <c r="CM25" s="7">
        <v>2496</v>
      </c>
      <c r="CN25" s="7">
        <v>4916</v>
      </c>
    </row>
    <row r="26" spans="1:98" ht="15.6" x14ac:dyDescent="0.3">
      <c r="A26" t="s">
        <v>245</v>
      </c>
      <c r="B26" s="10" t="s">
        <v>42</v>
      </c>
      <c r="C26" s="7"/>
      <c r="D26" s="7"/>
      <c r="E26" s="7"/>
      <c r="F26" s="7"/>
      <c r="G26" s="10" t="s">
        <v>42</v>
      </c>
      <c r="H26" s="7"/>
      <c r="I26" s="7"/>
      <c r="J26" s="7"/>
      <c r="K26" s="7"/>
      <c r="L26" s="10" t="s">
        <v>42</v>
      </c>
      <c r="M26" s="7"/>
      <c r="N26" s="7"/>
      <c r="O26" s="10" t="s">
        <v>42</v>
      </c>
      <c r="P26" s="7"/>
      <c r="Q26" s="7"/>
      <c r="R26" s="10" t="s">
        <v>42</v>
      </c>
      <c r="S26" s="7"/>
      <c r="T26" s="7"/>
      <c r="U26" s="7"/>
      <c r="V26" s="7"/>
      <c r="W26" s="10" t="s">
        <v>42</v>
      </c>
      <c r="X26" s="7"/>
      <c r="Y26" s="7"/>
      <c r="Z26" s="10" t="s">
        <v>42</v>
      </c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>
        <v>200</v>
      </c>
      <c r="AL26" s="7">
        <v>800</v>
      </c>
      <c r="AM26" s="7">
        <v>250</v>
      </c>
      <c r="AN26" s="7">
        <v>1500</v>
      </c>
      <c r="AO26" s="7">
        <v>200</v>
      </c>
      <c r="AP26" s="7">
        <v>1200</v>
      </c>
      <c r="AQ26" s="6" t="s">
        <v>42</v>
      </c>
      <c r="AR26" s="7">
        <v>200</v>
      </c>
      <c r="AS26" s="7">
        <v>1000</v>
      </c>
      <c r="AT26" s="7">
        <v>150</v>
      </c>
      <c r="AU26" s="7">
        <v>1000</v>
      </c>
      <c r="AV26" s="10" t="s">
        <v>40</v>
      </c>
      <c r="AW26" s="7">
        <v>200</v>
      </c>
      <c r="AX26" s="7">
        <v>1500</v>
      </c>
      <c r="AY26" s="6" t="s">
        <v>40</v>
      </c>
      <c r="AZ26" s="7">
        <v>150</v>
      </c>
      <c r="BA26" s="7">
        <v>1200</v>
      </c>
      <c r="BB26" s="11"/>
      <c r="BC26" s="8"/>
      <c r="BD26" s="11"/>
      <c r="BE26" s="8"/>
      <c r="BF26" s="14"/>
      <c r="BG26" s="11"/>
      <c r="BH26" s="8"/>
      <c r="BI26" s="11"/>
      <c r="BJ26" s="8"/>
      <c r="BK26" s="11"/>
      <c r="BL26" s="8"/>
      <c r="BM26" s="11"/>
      <c r="BN26" s="8"/>
      <c r="BO26" s="13"/>
      <c r="BP26" s="11"/>
      <c r="BQ26" s="8"/>
      <c r="BR26" s="11"/>
      <c r="BS26" s="8"/>
      <c r="BT26" s="11"/>
      <c r="BU26" s="8"/>
      <c r="BV26" s="11"/>
      <c r="BW26" s="8"/>
      <c r="BX26" s="12"/>
      <c r="BY26" s="11"/>
      <c r="BZ26" s="8"/>
      <c r="CA26" s="3"/>
      <c r="CB26" s="8"/>
      <c r="CC26" s="3"/>
      <c r="CD26" s="8"/>
      <c r="CF26" s="7"/>
      <c r="CG26" s="7"/>
      <c r="CH26" s="7"/>
      <c r="CI26" s="7"/>
      <c r="CJ26" t="s">
        <v>7</v>
      </c>
      <c r="CK26" s="7">
        <v>150</v>
      </c>
      <c r="CL26" s="7">
        <v>350</v>
      </c>
      <c r="CM26" s="7">
        <v>5</v>
      </c>
      <c r="CN26" s="7">
        <v>57</v>
      </c>
    </row>
    <row r="27" spans="1:98" ht="15.6" x14ac:dyDescent="0.3">
      <c r="A27" t="s">
        <v>332</v>
      </c>
      <c r="B27" s="122"/>
      <c r="C27" s="7"/>
      <c r="D27" s="7"/>
      <c r="E27" s="7"/>
      <c r="F27" s="7"/>
      <c r="G27" s="122"/>
      <c r="H27" s="7"/>
      <c r="I27" s="7"/>
      <c r="J27" s="7"/>
      <c r="K27" s="7"/>
      <c r="L27" s="122"/>
      <c r="M27" s="7"/>
      <c r="N27" s="7"/>
      <c r="O27" s="122"/>
      <c r="P27" s="7"/>
      <c r="Q27" s="7"/>
      <c r="R27" s="122"/>
      <c r="S27" s="7"/>
      <c r="T27" s="7"/>
      <c r="U27" s="7"/>
      <c r="V27" s="7"/>
      <c r="W27" s="122"/>
      <c r="X27" s="7"/>
      <c r="Y27" s="7"/>
      <c r="Z27" s="122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12"/>
      <c r="AR27" s="7"/>
      <c r="AS27" s="7"/>
      <c r="AT27" s="7"/>
      <c r="AU27" s="7"/>
      <c r="AV27" s="12"/>
      <c r="AW27" s="7"/>
      <c r="AX27" s="7"/>
      <c r="AY27" s="14"/>
      <c r="AZ27" s="7"/>
      <c r="BA27" s="7"/>
      <c r="BB27" s="11"/>
      <c r="BC27" s="8"/>
      <c r="BD27" s="11"/>
      <c r="BE27" s="8"/>
      <c r="BF27" s="14"/>
      <c r="BG27" s="11"/>
      <c r="BH27" s="8"/>
      <c r="BI27" s="11"/>
      <c r="BJ27" s="8"/>
      <c r="BK27" s="11"/>
      <c r="BL27" s="8"/>
      <c r="BM27" s="11"/>
      <c r="BN27" s="8"/>
      <c r="BO27" s="13"/>
      <c r="BP27" s="11"/>
      <c r="BQ27" s="8"/>
      <c r="BR27" s="11"/>
      <c r="BS27" s="8"/>
      <c r="BT27" s="11"/>
      <c r="BU27" s="8"/>
      <c r="BV27" s="11"/>
      <c r="BW27" s="8"/>
      <c r="BX27" s="12"/>
      <c r="BY27" s="11"/>
      <c r="BZ27" s="8"/>
      <c r="CA27" s="3"/>
      <c r="CB27" s="8"/>
      <c r="CC27" s="3"/>
      <c r="CD27" s="8"/>
      <c r="CF27" s="7"/>
      <c r="CG27" s="7"/>
      <c r="CH27" s="7"/>
      <c r="CI27" s="7"/>
      <c r="CJ27" t="s">
        <v>7</v>
      </c>
      <c r="CK27" s="7">
        <v>10</v>
      </c>
      <c r="CL27" s="7">
        <v>46</v>
      </c>
      <c r="CM27" s="7"/>
      <c r="CN27" s="7"/>
    </row>
    <row r="28" spans="1:98" x14ac:dyDescent="0.3">
      <c r="A28" s="10" t="s">
        <v>67</v>
      </c>
      <c r="C28" s="7"/>
      <c r="D28" s="7"/>
      <c r="E28" s="7"/>
      <c r="F28" s="7"/>
      <c r="H28" s="7"/>
      <c r="I28" s="7"/>
      <c r="J28" s="7"/>
      <c r="K28" s="7"/>
      <c r="M28" s="7"/>
      <c r="N28" s="7"/>
      <c r="P28" s="7"/>
      <c r="Q28" s="7"/>
      <c r="S28" s="7"/>
      <c r="T28" s="7"/>
      <c r="U28" s="7"/>
      <c r="V28" s="7"/>
      <c r="X28" s="7"/>
      <c r="Y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10"/>
      <c r="AR28" s="7"/>
      <c r="AS28" s="7"/>
      <c r="AT28" s="7"/>
      <c r="AU28" s="7"/>
      <c r="AV28" s="10"/>
      <c r="AW28" s="7"/>
      <c r="AX28" s="7"/>
      <c r="AZ28" s="7"/>
      <c r="BA28" s="7"/>
      <c r="CF28" s="7"/>
      <c r="CG28" s="7"/>
      <c r="CH28" s="7"/>
      <c r="CI28" s="7"/>
      <c r="CJ28" t="s">
        <v>7</v>
      </c>
      <c r="CK28" s="7">
        <v>502</v>
      </c>
      <c r="CM28" s="7"/>
      <c r="CN28" s="9">
        <v>1556</v>
      </c>
    </row>
    <row r="29" spans="1:98" x14ac:dyDescent="0.3">
      <c r="A29" s="10" t="s">
        <v>93</v>
      </c>
      <c r="B29" s="10" t="s">
        <v>59</v>
      </c>
      <c r="C29" s="7"/>
      <c r="D29" s="7"/>
      <c r="E29" s="7"/>
      <c r="F29" s="7"/>
      <c r="G29" s="10" t="s">
        <v>59</v>
      </c>
      <c r="H29" s="7"/>
      <c r="I29" s="7"/>
      <c r="J29" s="7"/>
      <c r="K29" s="7"/>
      <c r="L29" s="10" t="s">
        <v>59</v>
      </c>
      <c r="M29" s="7"/>
      <c r="N29" s="7"/>
      <c r="O29" s="10" t="s">
        <v>59</v>
      </c>
      <c r="P29" s="7"/>
      <c r="Q29" s="7"/>
      <c r="R29" s="10" t="s">
        <v>59</v>
      </c>
      <c r="S29" s="7"/>
      <c r="T29" s="7"/>
      <c r="U29" s="7"/>
      <c r="V29" s="7"/>
      <c r="W29" s="10" t="s">
        <v>59</v>
      </c>
      <c r="X29" s="7"/>
      <c r="Y29" s="7"/>
      <c r="Z29" s="10" t="s">
        <v>59</v>
      </c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>
        <v>200</v>
      </c>
      <c r="AL29" s="7">
        <v>3000</v>
      </c>
      <c r="AM29" s="7">
        <v>250</v>
      </c>
      <c r="AN29" s="7">
        <v>4000</v>
      </c>
      <c r="AO29" s="7">
        <v>200</v>
      </c>
      <c r="AP29" s="7">
        <v>3500</v>
      </c>
      <c r="AQ29" s="6" t="s">
        <v>59</v>
      </c>
      <c r="AR29" s="7">
        <v>250</v>
      </c>
      <c r="AS29" s="7">
        <v>4000</v>
      </c>
      <c r="AT29" s="7">
        <v>300</v>
      </c>
      <c r="AU29" s="7">
        <v>5000</v>
      </c>
      <c r="AV29" s="10" t="s">
        <v>50</v>
      </c>
      <c r="AW29" s="7">
        <v>400</v>
      </c>
      <c r="AX29" s="7">
        <v>6500</v>
      </c>
      <c r="AY29" s="6" t="s">
        <v>50</v>
      </c>
      <c r="AZ29" s="7">
        <v>500</v>
      </c>
      <c r="BA29" s="7">
        <v>7500</v>
      </c>
      <c r="CF29" s="7"/>
      <c r="CG29" s="7"/>
      <c r="CH29" s="7"/>
      <c r="CI29" s="7"/>
      <c r="CJ29" t="s">
        <v>8</v>
      </c>
      <c r="CK29" s="7">
        <v>104</v>
      </c>
      <c r="CL29" s="7">
        <v>29</v>
      </c>
      <c r="CM29" s="7">
        <v>5192</v>
      </c>
      <c r="CN29" s="7">
        <v>1942</v>
      </c>
    </row>
    <row r="30" spans="1:98" x14ac:dyDescent="0.3">
      <c r="A30" s="19" t="s">
        <v>196</v>
      </c>
      <c r="B30" s="10" t="s">
        <v>40</v>
      </c>
      <c r="C30" s="7"/>
      <c r="D30" s="7"/>
      <c r="E30" s="7">
        <v>700</v>
      </c>
      <c r="F30" s="7">
        <v>2100</v>
      </c>
      <c r="G30" s="10" t="s">
        <v>40</v>
      </c>
      <c r="H30" s="7"/>
      <c r="I30" s="7"/>
      <c r="J30" s="7"/>
      <c r="K30" s="7"/>
      <c r="L30" s="10" t="s">
        <v>40</v>
      </c>
      <c r="M30" s="7"/>
      <c r="N30" s="7"/>
      <c r="O30" s="10" t="s">
        <v>40</v>
      </c>
      <c r="P30" s="7">
        <v>1500</v>
      </c>
      <c r="Q30" s="7">
        <v>3000</v>
      </c>
      <c r="R30" s="10" t="s">
        <v>40</v>
      </c>
      <c r="S30" s="7">
        <v>4000</v>
      </c>
      <c r="T30" s="7">
        <v>8000</v>
      </c>
      <c r="U30" s="7">
        <v>1000</v>
      </c>
      <c r="V30" s="7">
        <v>2500</v>
      </c>
      <c r="W30" s="10" t="s">
        <v>40</v>
      </c>
      <c r="X30" s="7">
        <v>8000</v>
      </c>
      <c r="Y30" s="7">
        <v>14000</v>
      </c>
      <c r="Z30" s="10" t="s">
        <v>40</v>
      </c>
      <c r="AA30" s="7">
        <v>10930</v>
      </c>
      <c r="AB30" s="7">
        <v>17200</v>
      </c>
      <c r="AC30" s="7">
        <v>10000</v>
      </c>
      <c r="AD30" s="7">
        <v>12000</v>
      </c>
      <c r="AE30" s="7">
        <v>9000</v>
      </c>
      <c r="AF30" s="7">
        <v>15000</v>
      </c>
      <c r="AG30" s="7">
        <v>8500</v>
      </c>
      <c r="AH30" s="7">
        <v>14000</v>
      </c>
      <c r="AI30" s="7">
        <v>8000</v>
      </c>
      <c r="AJ30" s="7">
        <v>14000</v>
      </c>
      <c r="AK30" s="7">
        <v>2000</v>
      </c>
      <c r="AL30" s="7">
        <v>4000</v>
      </c>
      <c r="AM30" s="7">
        <v>1500</v>
      </c>
      <c r="AN30" s="7">
        <v>3000</v>
      </c>
      <c r="AO30" s="7">
        <v>2000</v>
      </c>
      <c r="AP30" s="7">
        <v>4000</v>
      </c>
      <c r="AQ30" s="10" t="s">
        <v>40</v>
      </c>
      <c r="AR30" s="7">
        <v>1500</v>
      </c>
      <c r="AS30" s="7">
        <v>3000</v>
      </c>
      <c r="AT30" s="7">
        <v>1600</v>
      </c>
      <c r="AU30" s="7">
        <v>3000</v>
      </c>
      <c r="AV30" s="10" t="s">
        <v>40</v>
      </c>
      <c r="AW30" s="7">
        <v>1500</v>
      </c>
      <c r="AX30" s="7">
        <v>2500</v>
      </c>
      <c r="AY30" s="6" t="s">
        <v>40</v>
      </c>
      <c r="AZ30" s="7">
        <v>1200</v>
      </c>
      <c r="BA30" s="7">
        <v>2200</v>
      </c>
      <c r="CF30" s="7"/>
      <c r="CG30" s="7"/>
      <c r="CH30" s="7"/>
      <c r="CI30" s="7"/>
      <c r="CJ30" t="s">
        <v>8</v>
      </c>
      <c r="CK30" s="7">
        <v>150</v>
      </c>
      <c r="CL30" s="7">
        <v>31</v>
      </c>
      <c r="CM30" s="7">
        <v>69</v>
      </c>
      <c r="CN30" s="7">
        <v>12</v>
      </c>
    </row>
    <row r="31" spans="1:98" x14ac:dyDescent="0.3">
      <c r="A31" s="19" t="s">
        <v>76</v>
      </c>
      <c r="B31" s="10" t="s">
        <v>40</v>
      </c>
      <c r="C31" s="7"/>
      <c r="D31" s="7"/>
      <c r="E31" s="7">
        <v>5</v>
      </c>
      <c r="F31" s="7">
        <v>1500</v>
      </c>
      <c r="G31" s="10" t="s">
        <v>40</v>
      </c>
      <c r="H31" s="7"/>
      <c r="I31" s="7"/>
      <c r="J31" s="7">
        <v>8</v>
      </c>
      <c r="K31" s="7">
        <v>3000</v>
      </c>
      <c r="L31" s="10" t="s">
        <v>40</v>
      </c>
      <c r="M31" s="7">
        <v>12</v>
      </c>
      <c r="N31" s="7">
        <v>6000</v>
      </c>
      <c r="O31" s="10" t="s">
        <v>40</v>
      </c>
      <c r="P31" s="7">
        <v>10</v>
      </c>
      <c r="Q31" s="7">
        <v>5000</v>
      </c>
      <c r="R31" s="10" t="s">
        <v>40</v>
      </c>
      <c r="S31" s="7">
        <v>4</v>
      </c>
      <c r="T31" s="7">
        <v>3500</v>
      </c>
      <c r="U31" s="7">
        <v>25</v>
      </c>
      <c r="V31" s="7">
        <v>12500</v>
      </c>
      <c r="W31" s="6" t="s">
        <v>40</v>
      </c>
      <c r="X31" s="7">
        <v>20</v>
      </c>
      <c r="Y31" s="7">
        <v>13000</v>
      </c>
      <c r="Z31" s="10" t="s">
        <v>65</v>
      </c>
      <c r="AA31" s="7">
        <v>18</v>
      </c>
      <c r="AB31" s="7">
        <v>8000</v>
      </c>
      <c r="AC31" s="7">
        <v>10</v>
      </c>
      <c r="AD31" s="7">
        <v>5000</v>
      </c>
      <c r="AE31" s="7">
        <v>8</v>
      </c>
      <c r="AF31" s="7">
        <v>2000</v>
      </c>
      <c r="AG31" s="7">
        <v>5</v>
      </c>
      <c r="AH31" s="7">
        <v>4000</v>
      </c>
      <c r="AI31" s="7">
        <v>6</v>
      </c>
      <c r="AJ31" s="7">
        <v>5000</v>
      </c>
      <c r="AK31" s="7">
        <v>5</v>
      </c>
      <c r="AL31" s="7">
        <v>4000</v>
      </c>
      <c r="AM31" s="7">
        <v>10</v>
      </c>
      <c r="AN31" s="7">
        <v>750</v>
      </c>
      <c r="AO31" s="7">
        <v>8</v>
      </c>
      <c r="AP31" s="7">
        <v>4000</v>
      </c>
      <c r="AQ31" s="10" t="s">
        <v>65</v>
      </c>
      <c r="AR31" s="7">
        <v>5</v>
      </c>
      <c r="AS31" s="7">
        <v>2500</v>
      </c>
      <c r="AT31" s="7">
        <v>3</v>
      </c>
      <c r="AU31" s="7">
        <v>1500</v>
      </c>
      <c r="AV31" s="10" t="s">
        <v>65</v>
      </c>
      <c r="AW31" s="7">
        <v>2</v>
      </c>
      <c r="AX31" s="7">
        <v>1000</v>
      </c>
      <c r="AY31" s="6" t="s">
        <v>65</v>
      </c>
      <c r="AZ31" s="7">
        <v>1</v>
      </c>
      <c r="BA31" s="7">
        <v>600</v>
      </c>
      <c r="CF31" s="7"/>
      <c r="CG31" s="7"/>
      <c r="CH31" s="7"/>
      <c r="CI31" s="7"/>
      <c r="CK31" s="7"/>
      <c r="CL31" s="7"/>
      <c r="CM31" s="7"/>
      <c r="CN31" s="7"/>
    </row>
    <row r="32" spans="1:98" x14ac:dyDescent="0.3">
      <c r="A32" s="19" t="s">
        <v>79</v>
      </c>
      <c r="B32" s="10" t="s">
        <v>373</v>
      </c>
      <c r="C32" s="7">
        <v>7000</v>
      </c>
      <c r="D32" s="7">
        <v>14000</v>
      </c>
      <c r="E32" s="7">
        <v>6000</v>
      </c>
      <c r="F32" s="7">
        <v>12000</v>
      </c>
      <c r="G32" s="10" t="s">
        <v>373</v>
      </c>
      <c r="H32" s="7">
        <v>5000</v>
      </c>
      <c r="I32" s="7">
        <v>10000</v>
      </c>
      <c r="J32" s="7">
        <v>5000</v>
      </c>
      <c r="K32" s="7">
        <v>9000</v>
      </c>
      <c r="L32" s="10" t="s">
        <v>373</v>
      </c>
      <c r="M32" s="7">
        <v>6000</v>
      </c>
      <c r="N32" s="7">
        <v>11000</v>
      </c>
      <c r="O32" s="10" t="s">
        <v>373</v>
      </c>
      <c r="P32" s="7">
        <v>10000</v>
      </c>
      <c r="Q32" s="7">
        <v>25000</v>
      </c>
      <c r="R32" s="10" t="s">
        <v>373</v>
      </c>
      <c r="S32" s="7">
        <v>10000</v>
      </c>
      <c r="T32" s="7">
        <v>20000</v>
      </c>
      <c r="U32" s="7">
        <v>8000</v>
      </c>
      <c r="V32" s="7">
        <v>16000</v>
      </c>
      <c r="W32" s="6" t="s">
        <v>373</v>
      </c>
      <c r="X32" s="7">
        <v>15000</v>
      </c>
      <c r="Y32" s="7">
        <v>22000</v>
      </c>
      <c r="Z32" s="10" t="s">
        <v>64</v>
      </c>
      <c r="AA32" s="7">
        <v>13500</v>
      </c>
      <c r="AB32" s="7">
        <v>20000</v>
      </c>
      <c r="AC32" s="7">
        <v>12000</v>
      </c>
      <c r="AD32" s="7">
        <v>18000</v>
      </c>
      <c r="AE32" s="7">
        <v>13000</v>
      </c>
      <c r="AF32" s="7">
        <v>32500</v>
      </c>
      <c r="AG32" s="7">
        <v>20000</v>
      </c>
      <c r="AH32" s="7">
        <v>45000</v>
      </c>
      <c r="AI32" s="7">
        <v>30000</v>
      </c>
      <c r="AJ32" s="7">
        <v>75000</v>
      </c>
      <c r="AK32" s="7">
        <v>25000</v>
      </c>
      <c r="AL32" s="7">
        <v>65000</v>
      </c>
      <c r="AM32" s="7">
        <v>30000</v>
      </c>
      <c r="AN32" s="7">
        <v>65000</v>
      </c>
      <c r="AO32" s="7">
        <v>25000</v>
      </c>
      <c r="AP32" s="7">
        <v>70000</v>
      </c>
      <c r="AQ32" s="6" t="s">
        <v>64</v>
      </c>
      <c r="AR32" s="7">
        <v>12000</v>
      </c>
      <c r="AS32" s="7">
        <v>70000</v>
      </c>
      <c r="AT32" s="7">
        <v>13000</v>
      </c>
      <c r="AU32" s="7">
        <v>45000</v>
      </c>
      <c r="AV32" s="10" t="s">
        <v>6</v>
      </c>
      <c r="AW32" s="7">
        <v>20000</v>
      </c>
      <c r="AX32" s="7">
        <v>50000</v>
      </c>
      <c r="AY32" t="s">
        <v>6</v>
      </c>
      <c r="AZ32" s="7">
        <f>20000+1500+1000</f>
        <v>22500</v>
      </c>
      <c r="BA32" s="7">
        <f>40000+3000+2000</f>
        <v>45000</v>
      </c>
      <c r="BB32" s="7">
        <f>1800+1250+750</f>
        <v>3800</v>
      </c>
      <c r="BC32" s="7">
        <f>36000+2500+1500</f>
        <v>40000</v>
      </c>
      <c r="BD32" s="7">
        <f>16000+1250+350</f>
        <v>17600</v>
      </c>
      <c r="BE32" s="7">
        <f>50000+3500+1000</f>
        <v>54500</v>
      </c>
      <c r="BF32" t="s">
        <v>6</v>
      </c>
      <c r="BG32" s="7">
        <f>5000+500+200</f>
        <v>5700</v>
      </c>
      <c r="BH32" s="7">
        <f>20000+2000+800</f>
        <v>22800</v>
      </c>
      <c r="BI32" s="7">
        <f>4000+400+150</f>
        <v>4550</v>
      </c>
      <c r="BJ32" s="7">
        <f>16000+1600+600</f>
        <v>18200</v>
      </c>
      <c r="BK32" s="7">
        <f>3200+300+150</f>
        <v>3650</v>
      </c>
      <c r="BL32" s="7">
        <f>12000+1100+500</f>
        <v>13600</v>
      </c>
      <c r="BM32" s="7"/>
      <c r="BN32" s="7">
        <f>1400+400+224</f>
        <v>2024</v>
      </c>
      <c r="BO32" t="s">
        <v>6</v>
      </c>
      <c r="BP32" s="7">
        <f>325+250</f>
        <v>575</v>
      </c>
      <c r="BQ32" s="7">
        <f>1450+1300</f>
        <v>2750</v>
      </c>
      <c r="BR32" s="7">
        <f>531+361+78</f>
        <v>970</v>
      </c>
      <c r="BS32" s="7">
        <f>2720+1440+310</f>
        <v>4470</v>
      </c>
      <c r="BT32" s="7">
        <f>450+80+50</f>
        <v>580</v>
      </c>
      <c r="BU32" s="7">
        <f>2200+310+200</f>
        <v>2710</v>
      </c>
      <c r="BV32" s="7">
        <v>625</v>
      </c>
      <c r="BW32" s="7">
        <f>5000+1000+200</f>
        <v>6200</v>
      </c>
      <c r="BX32" t="s">
        <v>6</v>
      </c>
      <c r="BY32" s="7">
        <v>680</v>
      </c>
      <c r="BZ32" s="7">
        <v>350</v>
      </c>
      <c r="CA32" s="7">
        <v>850</v>
      </c>
      <c r="CB32" s="7">
        <v>635</v>
      </c>
      <c r="CC32" s="7">
        <v>750</v>
      </c>
      <c r="CD32" s="7">
        <v>500</v>
      </c>
      <c r="CE32" t="s">
        <v>6</v>
      </c>
      <c r="CF32" s="7">
        <v>885</v>
      </c>
      <c r="CG32" s="7">
        <v>590</v>
      </c>
      <c r="CH32" s="9">
        <v>852</v>
      </c>
      <c r="CI32" s="9">
        <v>568</v>
      </c>
      <c r="CK32" s="7"/>
      <c r="CL32" s="7"/>
      <c r="CM32" s="7"/>
      <c r="CN32" s="7"/>
      <c r="CO32" s="7"/>
      <c r="CP32" s="7"/>
      <c r="CQ32" s="7"/>
      <c r="CR32" s="7"/>
      <c r="CS32" s="7"/>
      <c r="CT32" s="7"/>
    </row>
    <row r="33" spans="1:98" x14ac:dyDescent="0.3">
      <c r="A33" s="19" t="s">
        <v>70</v>
      </c>
      <c r="B33" s="10" t="s">
        <v>38</v>
      </c>
      <c r="C33" s="7">
        <v>600</v>
      </c>
      <c r="D33" s="7">
        <v>5000</v>
      </c>
      <c r="E33" s="7">
        <v>1000</v>
      </c>
      <c r="F33" s="7">
        <v>10000</v>
      </c>
      <c r="G33" s="10" t="s">
        <v>38</v>
      </c>
      <c r="H33" s="7">
        <v>1200</v>
      </c>
      <c r="I33" s="7">
        <v>12000</v>
      </c>
      <c r="J33" s="7">
        <v>1200</v>
      </c>
      <c r="K33" s="7">
        <v>12000</v>
      </c>
      <c r="L33" s="10" t="s">
        <v>38</v>
      </c>
      <c r="M33" s="7">
        <v>1300</v>
      </c>
      <c r="N33" s="7">
        <v>13000</v>
      </c>
      <c r="O33" s="10" t="s">
        <v>38</v>
      </c>
      <c r="P33" s="7">
        <v>1000</v>
      </c>
      <c r="Q33" s="7">
        <v>11000</v>
      </c>
      <c r="R33" s="10" t="s">
        <v>38</v>
      </c>
      <c r="S33" s="7">
        <v>1000</v>
      </c>
      <c r="T33" s="7">
        <v>18000</v>
      </c>
      <c r="U33" s="7">
        <v>1000</v>
      </c>
      <c r="V33" s="7">
        <v>18000</v>
      </c>
      <c r="W33" s="10" t="s">
        <v>38</v>
      </c>
      <c r="X33" s="7">
        <v>3000</v>
      </c>
      <c r="Y33" s="7">
        <v>30000</v>
      </c>
      <c r="Z33" s="10" t="s">
        <v>38</v>
      </c>
      <c r="AA33" s="7">
        <v>652</v>
      </c>
      <c r="AB33" s="7">
        <v>10900</v>
      </c>
      <c r="AC33" s="7">
        <v>1025</v>
      </c>
      <c r="AD33" s="7">
        <v>8000</v>
      </c>
      <c r="AE33" s="7">
        <v>750</v>
      </c>
      <c r="AF33" s="7">
        <v>6000</v>
      </c>
      <c r="AG33" s="7">
        <v>800</v>
      </c>
      <c r="AH33" s="7">
        <v>6500</v>
      </c>
      <c r="AI33" s="7">
        <v>750</v>
      </c>
      <c r="AJ33" s="7">
        <v>6000</v>
      </c>
      <c r="AK33" s="7">
        <v>500</v>
      </c>
      <c r="AL33" s="7">
        <v>4000</v>
      </c>
      <c r="AM33" s="7">
        <v>300</v>
      </c>
      <c r="AN33" s="7">
        <v>3000</v>
      </c>
      <c r="AO33" s="7">
        <v>400</v>
      </c>
      <c r="AP33" s="7">
        <v>3500</v>
      </c>
      <c r="AQ33" s="10" t="s">
        <v>38</v>
      </c>
      <c r="AR33" s="7">
        <v>300</v>
      </c>
      <c r="AS33" s="7">
        <v>3000</v>
      </c>
      <c r="AT33" s="7">
        <v>250</v>
      </c>
      <c r="AU33" s="7">
        <v>2500</v>
      </c>
      <c r="AV33" s="10" t="s">
        <v>38</v>
      </c>
      <c r="AW33" s="7">
        <v>300</v>
      </c>
      <c r="AX33" s="7">
        <v>3300</v>
      </c>
      <c r="AY33" s="6" t="s">
        <v>38</v>
      </c>
      <c r="AZ33" s="7">
        <v>250</v>
      </c>
      <c r="BA33" s="7">
        <v>3000</v>
      </c>
      <c r="BB33" s="7"/>
      <c r="BC33" s="7"/>
      <c r="BD33" s="7"/>
      <c r="BE33" s="7"/>
      <c r="BG33" s="7"/>
      <c r="BH33" s="7"/>
      <c r="BI33" s="7"/>
      <c r="BJ33" s="7"/>
      <c r="BK33" s="7"/>
      <c r="BL33" s="7"/>
      <c r="BM33" s="7"/>
      <c r="BN33" s="7"/>
      <c r="BP33" s="7"/>
      <c r="BQ33" s="7"/>
      <c r="BR33" s="7"/>
      <c r="BS33" s="7"/>
      <c r="BT33" s="7"/>
      <c r="BU33" s="7"/>
      <c r="BV33" s="7"/>
      <c r="BW33" s="7"/>
      <c r="BY33" s="7"/>
      <c r="BZ33" s="7"/>
      <c r="CA33" s="7"/>
      <c r="CB33" s="7"/>
      <c r="CC33" s="7"/>
      <c r="CD33" s="7"/>
      <c r="CF33" s="7"/>
      <c r="CG33" s="7"/>
      <c r="CH33" s="7"/>
      <c r="CI33" s="7"/>
      <c r="CK33" s="7"/>
      <c r="CL33" s="7"/>
      <c r="CM33" s="7"/>
      <c r="CN33" s="7"/>
      <c r="CO33" s="7"/>
      <c r="CP33" s="7"/>
      <c r="CQ33" s="7"/>
      <c r="CR33" s="7"/>
      <c r="CS33" s="7"/>
      <c r="CT33" s="7"/>
    </row>
    <row r="34" spans="1:98" x14ac:dyDescent="0.3">
      <c r="A34" t="s">
        <v>143</v>
      </c>
      <c r="C34" s="7"/>
      <c r="D34" s="7"/>
      <c r="E34" s="7"/>
      <c r="F34" s="7"/>
      <c r="H34" s="7"/>
      <c r="I34" s="7"/>
      <c r="J34" s="7"/>
      <c r="K34" s="7"/>
      <c r="M34" s="7"/>
      <c r="N34" s="7"/>
      <c r="P34" s="7"/>
      <c r="Q34" s="7"/>
      <c r="S34" s="7"/>
      <c r="T34" s="7"/>
      <c r="U34" s="7"/>
      <c r="V34" s="7"/>
      <c r="X34" s="7"/>
      <c r="Y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10"/>
      <c r="AR34" s="7"/>
      <c r="AS34" s="7"/>
      <c r="AT34" s="7"/>
      <c r="AU34" s="7"/>
      <c r="AV34" s="10"/>
      <c r="AW34" s="7"/>
      <c r="AX34" s="7"/>
      <c r="AZ34" s="7"/>
      <c r="BA34" s="7"/>
      <c r="BB34" s="7"/>
      <c r="BC34" s="7"/>
      <c r="BD34" s="7"/>
      <c r="BE34" s="7"/>
      <c r="BG34" s="7"/>
      <c r="BH34" s="7"/>
      <c r="BI34" s="7"/>
      <c r="BJ34" s="7"/>
      <c r="BK34" s="7"/>
      <c r="BL34" s="7"/>
      <c r="BM34" s="7"/>
      <c r="BN34" s="7"/>
      <c r="BP34" s="7"/>
      <c r="BQ34" s="7"/>
      <c r="BR34" s="7"/>
      <c r="BS34" s="7"/>
      <c r="BT34" s="7"/>
      <c r="BU34" s="7"/>
      <c r="BV34" s="7"/>
      <c r="BW34" s="7"/>
      <c r="BY34" s="7"/>
      <c r="BZ34" s="7"/>
      <c r="CA34" s="7"/>
      <c r="CB34" s="7"/>
      <c r="CC34" s="7"/>
      <c r="CD34" s="7"/>
      <c r="CF34" s="7"/>
      <c r="CG34" s="7"/>
      <c r="CH34" s="7"/>
      <c r="CI34" s="7"/>
      <c r="CJ34" t="s">
        <v>7</v>
      </c>
      <c r="CK34" s="7">
        <v>222</v>
      </c>
      <c r="CL34" s="7">
        <v>148</v>
      </c>
      <c r="CM34" s="7"/>
      <c r="CN34" s="7"/>
      <c r="CO34" s="7"/>
      <c r="CP34" s="7"/>
      <c r="CQ34" s="7"/>
      <c r="CR34" s="7"/>
      <c r="CS34" s="7"/>
      <c r="CT34" s="7"/>
    </row>
    <row r="35" spans="1:98" x14ac:dyDescent="0.3">
      <c r="A35" t="s">
        <v>161</v>
      </c>
      <c r="C35" s="7"/>
      <c r="D35" s="7"/>
      <c r="E35" s="7"/>
      <c r="F35" s="7"/>
      <c r="H35" s="7"/>
      <c r="I35" s="7"/>
      <c r="J35" s="7"/>
      <c r="K35" s="7"/>
      <c r="M35" s="7"/>
      <c r="N35" s="7"/>
      <c r="P35" s="7"/>
      <c r="Q35" s="7"/>
      <c r="S35" s="7"/>
      <c r="T35" s="7"/>
      <c r="U35" s="7"/>
      <c r="V35" s="7"/>
      <c r="X35" s="7"/>
      <c r="Y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10"/>
      <c r="AR35" s="7"/>
      <c r="AS35" s="7"/>
      <c r="AT35" s="7"/>
      <c r="AU35" s="7"/>
      <c r="AV35" s="10"/>
      <c r="AW35" s="7"/>
      <c r="AX35" s="7"/>
      <c r="AZ35" s="7"/>
      <c r="BA35" s="7"/>
      <c r="BB35" s="7"/>
      <c r="BC35" s="7"/>
      <c r="BD35" s="7"/>
      <c r="BE35" s="7"/>
      <c r="BG35" s="7"/>
      <c r="BH35" s="7"/>
      <c r="BI35" s="7"/>
      <c r="BJ35" s="7"/>
      <c r="BK35" s="7"/>
      <c r="BL35" s="7"/>
      <c r="BM35" s="7"/>
      <c r="BN35" s="7"/>
      <c r="BP35" s="7"/>
      <c r="BQ35" s="7"/>
      <c r="BR35" s="7"/>
      <c r="BS35" s="7"/>
      <c r="BT35" s="7"/>
      <c r="BU35" s="7"/>
      <c r="BV35" s="7"/>
      <c r="BW35" s="7"/>
      <c r="BY35" s="7"/>
      <c r="BZ35" s="7"/>
      <c r="CA35" s="7"/>
      <c r="CB35" s="7"/>
      <c r="CC35" s="7"/>
      <c r="CD35" s="7"/>
      <c r="CF35" s="7"/>
      <c r="CG35" s="7"/>
      <c r="CH35" s="7"/>
      <c r="CI35" s="7"/>
      <c r="CJ35" t="s">
        <v>7</v>
      </c>
      <c r="CK35" s="7">
        <v>818</v>
      </c>
      <c r="CL35" s="7">
        <v>545</v>
      </c>
      <c r="CM35" s="7">
        <v>596</v>
      </c>
      <c r="CN35" s="7">
        <v>401</v>
      </c>
      <c r="CO35" s="7"/>
      <c r="CP35" s="7"/>
      <c r="CQ35" s="7"/>
      <c r="CR35" s="7"/>
      <c r="CS35" s="7"/>
      <c r="CT35" s="7"/>
    </row>
    <row r="36" spans="1:98" x14ac:dyDescent="0.3">
      <c r="A36" t="s">
        <v>266</v>
      </c>
      <c r="C36" s="7"/>
      <c r="D36" s="7"/>
      <c r="E36" s="7"/>
      <c r="F36" s="7"/>
      <c r="H36" s="7"/>
      <c r="I36" s="7"/>
      <c r="J36" s="7"/>
      <c r="K36" s="7"/>
      <c r="M36" s="7"/>
      <c r="N36" s="7"/>
      <c r="P36" s="7"/>
      <c r="Q36" s="7"/>
      <c r="S36" s="7"/>
      <c r="T36" s="7"/>
      <c r="U36" s="7"/>
      <c r="V36" s="7"/>
      <c r="X36" s="7"/>
      <c r="Y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10"/>
      <c r="AR36" s="7"/>
      <c r="AS36" s="7"/>
      <c r="AT36" s="7"/>
      <c r="AU36" s="7"/>
      <c r="AV36" s="10"/>
      <c r="AW36" s="7"/>
      <c r="AX36" s="7"/>
      <c r="AZ36" s="7"/>
      <c r="BA36" s="7"/>
      <c r="BB36" s="7"/>
      <c r="BC36" s="7"/>
      <c r="BD36" s="7"/>
      <c r="BE36" s="7"/>
      <c r="BG36" s="7"/>
      <c r="BH36" s="7"/>
      <c r="BI36" s="7"/>
      <c r="BJ36" s="7"/>
      <c r="BK36" s="7"/>
      <c r="BL36" s="7"/>
      <c r="BM36" s="7"/>
      <c r="BN36" s="7"/>
      <c r="BP36" s="7"/>
      <c r="BQ36" s="7"/>
      <c r="BR36" s="7"/>
      <c r="BS36" s="7"/>
      <c r="BT36" s="7"/>
      <c r="BU36" s="7"/>
      <c r="BV36" s="7"/>
      <c r="BW36" s="7"/>
      <c r="BY36" s="7"/>
      <c r="BZ36" s="7"/>
      <c r="CA36" s="7"/>
      <c r="CB36" s="7"/>
      <c r="CC36" s="7"/>
      <c r="CD36" s="7"/>
      <c r="CF36" s="7"/>
      <c r="CG36" s="7"/>
      <c r="CH36" s="7"/>
      <c r="CI36" s="7"/>
      <c r="CJ36" t="s">
        <v>7</v>
      </c>
      <c r="CK36" s="7">
        <v>566</v>
      </c>
      <c r="CL36" s="7">
        <v>264</v>
      </c>
      <c r="CM36" s="7">
        <v>271</v>
      </c>
      <c r="CN36" s="7">
        <v>459</v>
      </c>
      <c r="CO36" s="7"/>
      <c r="CP36" s="7"/>
      <c r="CQ36" s="7"/>
      <c r="CR36" s="7"/>
      <c r="CS36" s="7"/>
      <c r="CT36" s="7"/>
    </row>
    <row r="37" spans="1:98" x14ac:dyDescent="0.3">
      <c r="A37" t="s">
        <v>108</v>
      </c>
      <c r="C37" s="7"/>
      <c r="D37" s="7"/>
      <c r="E37" s="7"/>
      <c r="F37" s="7"/>
      <c r="H37" s="7"/>
      <c r="I37" s="7"/>
      <c r="J37" s="7"/>
      <c r="K37" s="7"/>
      <c r="M37" s="7"/>
      <c r="N37" s="7"/>
      <c r="P37" s="7"/>
      <c r="Q37" s="7"/>
      <c r="S37" s="7"/>
      <c r="T37" s="7"/>
      <c r="U37" s="7"/>
      <c r="V37" s="7"/>
      <c r="X37" s="7"/>
      <c r="Y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10"/>
      <c r="AR37" s="7"/>
      <c r="AS37" s="7"/>
      <c r="AT37" s="7"/>
      <c r="AU37" s="7"/>
      <c r="AV37" s="10"/>
      <c r="AW37" s="7"/>
      <c r="AX37" s="7"/>
      <c r="AZ37" s="7"/>
      <c r="BA37" s="7"/>
      <c r="BB37" s="7"/>
      <c r="BC37" s="7"/>
      <c r="BD37" s="7"/>
      <c r="BE37" s="7"/>
      <c r="BG37" s="7"/>
      <c r="BH37" s="7"/>
      <c r="BI37" s="7"/>
      <c r="BJ37" s="7"/>
      <c r="BK37" s="7"/>
      <c r="BL37" s="7"/>
      <c r="BM37" s="7"/>
      <c r="BN37" s="7"/>
      <c r="BP37" s="7"/>
      <c r="BQ37" s="7"/>
      <c r="BR37" s="7"/>
      <c r="BS37" s="7"/>
      <c r="BT37" s="7"/>
      <c r="BU37" s="7"/>
      <c r="BV37" s="7"/>
      <c r="BW37" s="7"/>
      <c r="BY37" s="7"/>
      <c r="BZ37" s="7"/>
      <c r="CA37" s="7"/>
      <c r="CB37" s="7"/>
      <c r="CC37" s="7"/>
      <c r="CD37" s="7"/>
      <c r="CF37" s="7"/>
      <c r="CG37" s="7"/>
      <c r="CH37" s="7"/>
      <c r="CI37" s="7"/>
      <c r="CJ37" t="s">
        <v>8</v>
      </c>
      <c r="CK37" s="9">
        <v>422</v>
      </c>
      <c r="CL37" s="7">
        <v>205</v>
      </c>
      <c r="CM37" s="7">
        <v>344</v>
      </c>
      <c r="CN37" s="7">
        <v>182</v>
      </c>
      <c r="CO37" s="7"/>
      <c r="CP37" s="7"/>
      <c r="CQ37" s="7"/>
      <c r="CR37" s="7"/>
      <c r="CS37" s="7"/>
      <c r="CT37" s="7"/>
    </row>
    <row r="38" spans="1:98" x14ac:dyDescent="0.3">
      <c r="A38" t="s">
        <v>27</v>
      </c>
      <c r="C38" s="7"/>
      <c r="D38" s="7"/>
      <c r="E38" s="7"/>
      <c r="F38" s="7"/>
      <c r="H38" s="7"/>
      <c r="I38" s="7"/>
      <c r="J38" s="7"/>
      <c r="K38" s="7"/>
      <c r="M38" s="7"/>
      <c r="N38" s="7"/>
      <c r="P38" s="7"/>
      <c r="Q38" s="7"/>
      <c r="S38" s="7"/>
      <c r="T38" s="7"/>
      <c r="U38" s="7"/>
      <c r="V38" s="7"/>
      <c r="X38" s="7"/>
      <c r="Y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10"/>
      <c r="AR38" s="7"/>
      <c r="AS38" s="7"/>
      <c r="AT38" s="7"/>
      <c r="AU38" s="7"/>
      <c r="AV38" s="10"/>
      <c r="AW38" s="7"/>
      <c r="AX38" s="7"/>
      <c r="AZ38" s="7"/>
      <c r="BA38" s="7"/>
      <c r="BB38" s="7"/>
      <c r="BC38" s="7"/>
      <c r="BD38" s="7"/>
      <c r="BE38" s="7"/>
      <c r="BG38" s="7"/>
      <c r="BH38" s="7"/>
      <c r="BI38" s="7"/>
      <c r="BJ38" s="7"/>
      <c r="BK38" s="7"/>
      <c r="BL38" s="7"/>
      <c r="BM38" s="7"/>
      <c r="BN38" s="7"/>
      <c r="BP38" s="7"/>
      <c r="BQ38" s="7"/>
      <c r="BR38" s="7"/>
      <c r="BS38" s="7"/>
      <c r="BT38" s="7"/>
      <c r="BU38" s="7"/>
      <c r="BV38" s="7"/>
      <c r="BW38" s="7"/>
      <c r="BY38" s="7"/>
      <c r="BZ38" s="7"/>
      <c r="CA38" s="7"/>
      <c r="CB38" s="7"/>
      <c r="CC38" s="7"/>
      <c r="CD38" s="7"/>
      <c r="CE38" t="s">
        <v>7</v>
      </c>
      <c r="CF38" s="7">
        <v>2870</v>
      </c>
      <c r="CG38" s="7">
        <v>4629</v>
      </c>
      <c r="CK38" s="7"/>
      <c r="CL38" s="7"/>
      <c r="CM38" s="7"/>
      <c r="CN38" s="7"/>
      <c r="CO38" s="7"/>
      <c r="CP38" s="7"/>
      <c r="CQ38" s="7"/>
      <c r="CR38" s="7"/>
      <c r="CS38" s="7"/>
      <c r="CT38" s="7"/>
    </row>
    <row r="39" spans="1:98" x14ac:dyDescent="0.3">
      <c r="A39" t="s">
        <v>342</v>
      </c>
      <c r="C39" s="7"/>
      <c r="D39" s="7"/>
      <c r="E39" s="7"/>
      <c r="F39" s="7"/>
      <c r="H39" s="7"/>
      <c r="I39" s="7"/>
      <c r="J39" s="7"/>
      <c r="K39" s="7"/>
      <c r="M39" s="7"/>
      <c r="N39" s="7"/>
      <c r="P39" s="7"/>
      <c r="Q39" s="7"/>
      <c r="S39" s="7"/>
      <c r="T39" s="7"/>
      <c r="U39" s="7"/>
      <c r="V39" s="7"/>
      <c r="X39" s="7"/>
      <c r="Y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10"/>
      <c r="AR39" s="7"/>
      <c r="AS39" s="7"/>
      <c r="AT39" s="7"/>
      <c r="AU39" s="7"/>
      <c r="AV39" s="10"/>
      <c r="AW39" s="7"/>
      <c r="AX39" s="7"/>
      <c r="AZ39" s="7"/>
      <c r="BA39" s="7"/>
      <c r="BB39" s="7"/>
      <c r="BC39" s="7"/>
      <c r="BD39" s="7"/>
      <c r="BE39" s="7"/>
      <c r="BG39" s="7"/>
      <c r="BH39" s="7"/>
      <c r="BI39" s="7"/>
      <c r="BJ39" s="7"/>
      <c r="BK39" s="7"/>
      <c r="BL39" s="7"/>
      <c r="BM39" s="7"/>
      <c r="BN39" s="7"/>
      <c r="BP39" s="7"/>
      <c r="BQ39" s="7"/>
      <c r="BR39" s="7"/>
      <c r="BS39" s="7"/>
      <c r="BT39" s="7"/>
      <c r="BU39" s="7"/>
      <c r="BV39" s="7"/>
      <c r="BW39" s="7"/>
      <c r="BY39" s="7"/>
      <c r="BZ39" s="7"/>
      <c r="CA39" s="7"/>
      <c r="CB39" s="7"/>
      <c r="CC39" s="7"/>
      <c r="CD39" s="7"/>
      <c r="CF39" s="7"/>
      <c r="CG39" s="7"/>
      <c r="CH39" s="7"/>
      <c r="CI39" s="7"/>
      <c r="CJ39" t="s">
        <v>7</v>
      </c>
      <c r="CK39" s="7">
        <v>849</v>
      </c>
      <c r="CL39" s="7">
        <v>283</v>
      </c>
      <c r="CM39" s="7">
        <v>145</v>
      </c>
      <c r="CN39" s="7">
        <v>84</v>
      </c>
      <c r="CO39" s="7"/>
      <c r="CP39" s="7"/>
      <c r="CQ39" s="7"/>
      <c r="CR39" s="7"/>
      <c r="CS39" s="7"/>
      <c r="CT39" s="7"/>
    </row>
    <row r="40" spans="1:98" x14ac:dyDescent="0.3">
      <c r="A40" t="s">
        <v>328</v>
      </c>
      <c r="B40" s="10" t="s">
        <v>60</v>
      </c>
      <c r="C40" s="7"/>
      <c r="D40" s="7"/>
      <c r="E40" s="7"/>
      <c r="F40" s="7"/>
      <c r="G40" s="10" t="s">
        <v>60</v>
      </c>
      <c r="H40" s="7"/>
      <c r="I40" s="7"/>
      <c r="J40" s="7"/>
      <c r="K40" s="7"/>
      <c r="L40" s="10" t="s">
        <v>60</v>
      </c>
      <c r="M40" s="7"/>
      <c r="N40" s="7"/>
      <c r="O40" s="10" t="s">
        <v>60</v>
      </c>
      <c r="P40" s="7"/>
      <c r="Q40" s="7"/>
      <c r="R40" s="10" t="s">
        <v>60</v>
      </c>
      <c r="S40" s="7"/>
      <c r="T40" s="7"/>
      <c r="U40" s="7"/>
      <c r="V40" s="7"/>
      <c r="W40" s="10" t="s">
        <v>60</v>
      </c>
      <c r="X40" s="7"/>
      <c r="Y40" s="7"/>
      <c r="Z40" s="10" t="s">
        <v>60</v>
      </c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>
        <v>200</v>
      </c>
      <c r="AL40" s="7">
        <v>16000</v>
      </c>
      <c r="AM40" s="7">
        <v>150</v>
      </c>
      <c r="AN40" s="7">
        <v>13000</v>
      </c>
      <c r="AO40" s="7">
        <v>150</v>
      </c>
      <c r="AP40" s="7">
        <v>14000</v>
      </c>
      <c r="AQ40" s="10" t="s">
        <v>60</v>
      </c>
      <c r="AR40" s="7">
        <v>200</v>
      </c>
      <c r="AS40" s="7">
        <v>20000</v>
      </c>
      <c r="AT40" s="7">
        <v>250</v>
      </c>
      <c r="AU40" s="7">
        <v>25000</v>
      </c>
      <c r="AV40" s="6" t="s">
        <v>60</v>
      </c>
      <c r="AW40" s="7">
        <v>300</v>
      </c>
      <c r="AX40" s="7">
        <v>30000</v>
      </c>
      <c r="AY40" t="s">
        <v>7</v>
      </c>
      <c r="AZ40" s="7">
        <v>1350</v>
      </c>
      <c r="BA40" s="7">
        <v>27000</v>
      </c>
      <c r="BB40" s="7">
        <v>1000</v>
      </c>
      <c r="BC40" s="7">
        <v>20000</v>
      </c>
      <c r="BD40" s="7">
        <v>1000</v>
      </c>
      <c r="BE40" s="7">
        <v>20000</v>
      </c>
      <c r="BF40" t="s">
        <v>7</v>
      </c>
      <c r="BG40" s="7">
        <f>1000</f>
        <v>1000</v>
      </c>
      <c r="BH40">
        <v>25000</v>
      </c>
      <c r="BI40" s="7">
        <v>1000</v>
      </c>
      <c r="BJ40" s="7">
        <v>30000</v>
      </c>
      <c r="BK40" s="7">
        <v>12000</v>
      </c>
      <c r="BL40" s="7">
        <v>35000</v>
      </c>
      <c r="BM40" s="7">
        <v>3906</v>
      </c>
      <c r="BN40" s="7">
        <v>117180</v>
      </c>
      <c r="BO40" t="s">
        <v>7</v>
      </c>
      <c r="BP40" s="7">
        <v>4961</v>
      </c>
      <c r="BQ40" s="7">
        <v>22588</v>
      </c>
      <c r="BR40" s="7">
        <v>14000</v>
      </c>
      <c r="BS40" s="7">
        <v>70500</v>
      </c>
      <c r="BT40" s="7">
        <v>12500</v>
      </c>
      <c r="BU40" s="7">
        <v>62500</v>
      </c>
      <c r="BV40" s="7">
        <v>12200</v>
      </c>
      <c r="BW40" s="7">
        <v>60000</v>
      </c>
      <c r="BX40" t="s">
        <v>7</v>
      </c>
      <c r="BY40" s="7">
        <v>3000</v>
      </c>
      <c r="BZ40" s="7">
        <v>5000</v>
      </c>
      <c r="CA40" s="7">
        <v>5330</v>
      </c>
      <c r="CB40" s="7">
        <v>6760</v>
      </c>
      <c r="CC40" s="7">
        <v>2750</v>
      </c>
      <c r="CD40" s="7">
        <v>4733</v>
      </c>
      <c r="CE40" t="s">
        <v>7</v>
      </c>
      <c r="CF40" s="7"/>
      <c r="CG40" s="7"/>
      <c r="CH40" s="7">
        <v>2581</v>
      </c>
      <c r="CI40" s="7">
        <v>4618</v>
      </c>
      <c r="CJ40" t="s">
        <v>7</v>
      </c>
      <c r="CK40" s="7">
        <v>1407</v>
      </c>
      <c r="CL40" s="7">
        <v>3350</v>
      </c>
      <c r="CM40" s="7"/>
      <c r="CN40" s="7"/>
      <c r="CO40" s="7"/>
      <c r="CP40" s="7"/>
      <c r="CQ40" s="7"/>
      <c r="CR40" s="7"/>
      <c r="CS40" s="7"/>
      <c r="CT40" s="7"/>
    </row>
    <row r="41" spans="1:98" x14ac:dyDescent="0.3">
      <c r="A41" t="s">
        <v>343</v>
      </c>
      <c r="C41" s="7"/>
      <c r="D41" s="7"/>
      <c r="E41" s="7"/>
      <c r="F41" s="7"/>
      <c r="H41" s="7"/>
      <c r="I41" s="7"/>
      <c r="J41" s="7"/>
      <c r="K41" s="7"/>
      <c r="M41" s="7"/>
      <c r="N41" s="7"/>
      <c r="P41" s="7"/>
      <c r="Q41" s="7"/>
      <c r="S41" s="7"/>
      <c r="T41" s="7"/>
      <c r="U41" s="7"/>
      <c r="V41" s="7"/>
      <c r="X41" s="7"/>
      <c r="Y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>
        <v>75000</v>
      </c>
      <c r="AM41" s="7"/>
      <c r="AN41" s="7">
        <v>80000</v>
      </c>
      <c r="AO41" s="7"/>
      <c r="AP41" s="7">
        <v>60000</v>
      </c>
      <c r="AQ41" s="10"/>
      <c r="AR41" s="7"/>
      <c r="AS41" s="7"/>
      <c r="AT41" s="7"/>
      <c r="AU41" s="7">
        <v>55000</v>
      </c>
      <c r="AV41" s="6"/>
      <c r="AW41" s="7"/>
      <c r="AX41" s="7"/>
      <c r="AY41" s="10"/>
      <c r="AZ41" s="7"/>
      <c r="BA41" s="7">
        <v>40000</v>
      </c>
      <c r="BB41" s="7"/>
      <c r="BC41" s="7">
        <v>30000</v>
      </c>
      <c r="BD41" s="7"/>
      <c r="BE41" s="7">
        <v>30000</v>
      </c>
      <c r="BF41" s="10"/>
      <c r="BG41" s="9"/>
      <c r="BH41" s="9">
        <v>35000</v>
      </c>
      <c r="BI41" s="9"/>
      <c r="BJ41" s="9">
        <v>40000</v>
      </c>
      <c r="BK41" s="9"/>
      <c r="BL41" s="9">
        <v>50000</v>
      </c>
      <c r="BM41" s="9"/>
      <c r="BN41" s="9">
        <v>55000</v>
      </c>
      <c r="BO41" s="10"/>
      <c r="BP41" s="7"/>
      <c r="BQ41" s="7">
        <v>25000</v>
      </c>
      <c r="BR41" s="7"/>
      <c r="BS41" s="7">
        <v>52000</v>
      </c>
      <c r="BT41" s="7"/>
      <c r="BU41" s="7">
        <v>22000</v>
      </c>
      <c r="BV41" s="7"/>
      <c r="BW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</row>
    <row r="42" spans="1:98" x14ac:dyDescent="0.3">
      <c r="A42" t="s">
        <v>365</v>
      </c>
      <c r="B42" s="10" t="s">
        <v>40</v>
      </c>
      <c r="C42" s="7"/>
      <c r="D42" s="7"/>
      <c r="E42" s="7"/>
      <c r="F42" s="7"/>
      <c r="G42" s="10" t="s">
        <v>40</v>
      </c>
      <c r="H42" s="7"/>
      <c r="I42" s="7"/>
      <c r="J42" s="7"/>
      <c r="K42" s="7"/>
      <c r="L42" s="10" t="s">
        <v>40</v>
      </c>
      <c r="M42" s="7"/>
      <c r="N42" s="7"/>
      <c r="O42" s="10" t="s">
        <v>40</v>
      </c>
      <c r="P42" s="7"/>
      <c r="Q42" s="7"/>
      <c r="R42" s="10" t="s">
        <v>40</v>
      </c>
      <c r="S42" s="7"/>
      <c r="T42" s="7"/>
      <c r="U42" s="7"/>
      <c r="V42" s="7"/>
      <c r="W42" s="10" t="s">
        <v>40</v>
      </c>
      <c r="X42" s="7"/>
      <c r="Y42" s="7"/>
      <c r="Z42" s="10" t="s">
        <v>40</v>
      </c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>
        <v>300</v>
      </c>
      <c r="AL42" s="7">
        <v>120000</v>
      </c>
      <c r="AM42" s="7">
        <v>350</v>
      </c>
      <c r="AN42" s="7">
        <v>140000</v>
      </c>
      <c r="AO42" s="7">
        <v>300</v>
      </c>
      <c r="AP42" s="7">
        <v>120000</v>
      </c>
      <c r="AQ42" s="10" t="s">
        <v>40</v>
      </c>
      <c r="AR42" s="7">
        <v>350</v>
      </c>
      <c r="AS42" s="7">
        <v>140000</v>
      </c>
      <c r="AT42" s="7">
        <v>300</v>
      </c>
      <c r="AU42" s="7">
        <v>120000</v>
      </c>
      <c r="AV42" s="6" t="s">
        <v>40</v>
      </c>
      <c r="AW42" s="7">
        <v>400</v>
      </c>
      <c r="AX42" s="7">
        <v>160000</v>
      </c>
      <c r="AY42" s="6" t="s">
        <v>86</v>
      </c>
      <c r="AZ42" s="7">
        <f>87.5+250+111</f>
        <v>448.5</v>
      </c>
      <c r="BA42" s="7">
        <f>35000+100000+37000</f>
        <v>172000</v>
      </c>
      <c r="BB42" s="7">
        <f>107.5+362.5+144</f>
        <v>614</v>
      </c>
      <c r="BC42" s="7">
        <f>47000+145000+48000</f>
        <v>240000</v>
      </c>
      <c r="BD42" s="7">
        <f>165+500+180</f>
        <v>845</v>
      </c>
      <c r="BE42" s="7">
        <f>55000+200000+60000</f>
        <v>315000</v>
      </c>
      <c r="BF42" s="6" t="s">
        <v>86</v>
      </c>
      <c r="BG42" s="7">
        <f>150+400+150</f>
        <v>700</v>
      </c>
      <c r="BH42" s="7">
        <f>50000+150000+50000</f>
        <v>250000</v>
      </c>
      <c r="BI42" s="7">
        <f>100+350+125</f>
        <v>575</v>
      </c>
      <c r="BJ42" s="7">
        <f>40000+125000+42000</f>
        <v>207000</v>
      </c>
      <c r="BK42" s="7">
        <f>80+280+100</f>
        <v>460</v>
      </c>
      <c r="BL42" s="7">
        <f>32000+98000+34000</f>
        <v>164000</v>
      </c>
      <c r="BM42" s="7">
        <f>90+180+93</f>
        <v>363</v>
      </c>
      <c r="BN42" s="7">
        <f>1150+2300+1190</f>
        <v>4640</v>
      </c>
      <c r="BO42" t="s">
        <v>7</v>
      </c>
      <c r="BP42" s="7">
        <v>341</v>
      </c>
      <c r="BQ42" s="7">
        <v>4400</v>
      </c>
      <c r="BR42" s="7">
        <v>70</v>
      </c>
      <c r="BS42" s="7">
        <v>700</v>
      </c>
      <c r="BT42" s="7">
        <v>50</v>
      </c>
      <c r="BU42" s="7">
        <v>500</v>
      </c>
      <c r="BV42" s="7">
        <v>100</v>
      </c>
      <c r="BW42" s="7">
        <v>1200</v>
      </c>
      <c r="BX42" t="s">
        <v>7</v>
      </c>
      <c r="BY42" s="7">
        <v>120</v>
      </c>
      <c r="BZ42" s="7">
        <v>400</v>
      </c>
      <c r="CA42" s="7">
        <v>250</v>
      </c>
      <c r="CB42" s="7">
        <v>1640</v>
      </c>
      <c r="CC42" s="7">
        <v>360</v>
      </c>
      <c r="CD42" s="7">
        <v>1600</v>
      </c>
      <c r="CE42" t="s">
        <v>7</v>
      </c>
      <c r="CF42" s="7">
        <v>237</v>
      </c>
      <c r="CG42" s="7">
        <v>1920</v>
      </c>
      <c r="CK42" s="7"/>
      <c r="CL42" s="7"/>
      <c r="CM42" s="7"/>
      <c r="CN42" s="7"/>
      <c r="CO42" s="7"/>
      <c r="CP42" s="7"/>
      <c r="CQ42" s="7"/>
      <c r="CR42" s="7"/>
      <c r="CS42" s="7"/>
      <c r="CT42" s="7"/>
    </row>
    <row r="43" spans="1:98" x14ac:dyDescent="0.3">
      <c r="A43" t="s">
        <v>366</v>
      </c>
      <c r="C43" s="7"/>
      <c r="D43" s="7"/>
      <c r="E43" s="7"/>
      <c r="F43" s="7"/>
      <c r="H43" s="7"/>
      <c r="I43" s="7"/>
      <c r="J43" s="7"/>
      <c r="K43" s="7"/>
      <c r="M43" s="7"/>
      <c r="N43" s="7"/>
      <c r="P43" s="7"/>
      <c r="Q43" s="7"/>
      <c r="S43" s="7"/>
      <c r="T43" s="7"/>
      <c r="U43" s="7"/>
      <c r="V43" s="7"/>
      <c r="X43" s="7"/>
      <c r="Y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R43" s="7"/>
      <c r="AS43" s="7"/>
      <c r="AT43" s="7"/>
      <c r="AU43" s="7"/>
      <c r="AW43" s="7"/>
      <c r="AX43" s="7"/>
      <c r="AZ43" s="7"/>
      <c r="BA43" s="7"/>
      <c r="BB43" s="7"/>
      <c r="BC43" s="7"/>
      <c r="BD43" s="7"/>
      <c r="BE43" s="7"/>
      <c r="BG43" s="7"/>
      <c r="BH43" s="7"/>
      <c r="BI43" s="7"/>
      <c r="BJ43" s="7"/>
      <c r="BK43" s="7"/>
      <c r="BL43" s="7"/>
      <c r="BM43" s="7"/>
      <c r="BN43" s="7"/>
      <c r="BP43" s="7"/>
      <c r="BQ43" s="7"/>
      <c r="BR43" s="7"/>
      <c r="BS43" s="7"/>
      <c r="BT43" s="7"/>
      <c r="BU43" s="7"/>
      <c r="BV43" s="7"/>
      <c r="BW43" s="7"/>
      <c r="BY43" s="7"/>
      <c r="BZ43" s="7"/>
      <c r="CA43" s="7"/>
      <c r="CB43" s="7"/>
      <c r="CC43" s="7"/>
      <c r="CD43" s="7"/>
      <c r="CE43" t="s">
        <v>7</v>
      </c>
      <c r="CF43" s="7"/>
      <c r="CG43" s="7"/>
      <c r="CH43" s="7">
        <v>230</v>
      </c>
      <c r="CI43" s="7">
        <v>1913</v>
      </c>
      <c r="CJ43" t="s">
        <v>7</v>
      </c>
      <c r="CK43" s="7"/>
      <c r="CL43" s="7"/>
      <c r="CM43" s="7">
        <v>270</v>
      </c>
      <c r="CN43" s="7">
        <v>7340</v>
      </c>
      <c r="CO43" s="7"/>
      <c r="CP43" s="7"/>
      <c r="CQ43" s="7"/>
      <c r="CR43" s="7"/>
      <c r="CS43" s="7"/>
      <c r="CT43" s="7"/>
    </row>
    <row r="44" spans="1:98" x14ac:dyDescent="0.3">
      <c r="A44" t="s">
        <v>367</v>
      </c>
      <c r="C44" s="7"/>
      <c r="D44" s="7"/>
      <c r="E44" s="7"/>
      <c r="F44" s="7"/>
      <c r="H44" s="7"/>
      <c r="I44" s="7"/>
      <c r="J44" s="7"/>
      <c r="K44" s="7"/>
      <c r="M44" s="7"/>
      <c r="N44" s="7"/>
      <c r="P44" s="7"/>
      <c r="Q44" s="7"/>
      <c r="S44" s="7"/>
      <c r="T44" s="7"/>
      <c r="U44" s="7"/>
      <c r="V44" s="7"/>
      <c r="X44" s="7"/>
      <c r="Y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R44" s="7"/>
      <c r="AS44" s="7"/>
      <c r="AT44" s="7"/>
      <c r="AU44" s="7"/>
      <c r="AW44" s="7"/>
      <c r="AX44" s="7"/>
      <c r="AZ44" s="7"/>
      <c r="BA44" s="7"/>
      <c r="BB44" s="7"/>
      <c r="BC44" s="7"/>
      <c r="BD44" s="7"/>
      <c r="BE44" s="7"/>
      <c r="BG44" s="7"/>
      <c r="BH44" s="7"/>
      <c r="BI44" s="7"/>
      <c r="BJ44" s="7"/>
      <c r="BK44" s="7"/>
      <c r="BL44" s="7"/>
      <c r="BM44" s="7"/>
      <c r="BN44" s="7"/>
      <c r="BP44" s="7"/>
      <c r="BQ44" s="7"/>
      <c r="BR44" s="7"/>
      <c r="BS44" s="7"/>
      <c r="BT44" s="7"/>
      <c r="BU44" s="7"/>
      <c r="BV44" s="7"/>
      <c r="BW44" s="7"/>
      <c r="BY44" s="7"/>
      <c r="BZ44" s="7"/>
      <c r="CA44" s="7"/>
      <c r="CB44" s="7"/>
      <c r="CC44" s="7"/>
      <c r="CD44" s="7"/>
      <c r="CF44" s="7"/>
      <c r="CG44" s="7"/>
      <c r="CH44" s="7"/>
      <c r="CI44" s="7"/>
      <c r="CJ44" t="s">
        <v>7</v>
      </c>
      <c r="CK44" s="7"/>
      <c r="CL44" s="7"/>
      <c r="CM44" s="7">
        <v>121</v>
      </c>
      <c r="CN44" s="7">
        <v>1402</v>
      </c>
      <c r="CO44" s="7"/>
      <c r="CP44" s="7"/>
      <c r="CQ44" s="7"/>
      <c r="CR44" s="7"/>
      <c r="CS44" s="7"/>
      <c r="CT44" s="7"/>
    </row>
    <row r="45" spans="1:98" x14ac:dyDescent="0.3">
      <c r="A45" s="19" t="s">
        <v>368</v>
      </c>
      <c r="B45" s="10" t="s">
        <v>44</v>
      </c>
      <c r="C45" s="7"/>
      <c r="D45" s="7"/>
      <c r="E45" s="7"/>
      <c r="F45" s="7"/>
      <c r="G45" s="10" t="s">
        <v>44</v>
      </c>
      <c r="H45" s="7"/>
      <c r="I45" s="7"/>
      <c r="J45" s="7"/>
      <c r="K45" s="7"/>
      <c r="L45" s="10" t="s">
        <v>44</v>
      </c>
      <c r="M45" s="7"/>
      <c r="N45" s="7"/>
      <c r="O45" s="10" t="s">
        <v>44</v>
      </c>
      <c r="P45" s="7"/>
      <c r="Q45" s="7"/>
      <c r="R45" s="10" t="s">
        <v>44</v>
      </c>
      <c r="S45" s="7">
        <v>150</v>
      </c>
      <c r="T45" s="7">
        <v>10000</v>
      </c>
      <c r="U45" s="7">
        <v>100</v>
      </c>
      <c r="V45" s="7">
        <v>7000</v>
      </c>
      <c r="W45" s="10" t="s">
        <v>44</v>
      </c>
      <c r="X45" s="7">
        <v>700</v>
      </c>
      <c r="Y45" s="7">
        <v>45000</v>
      </c>
      <c r="Z45" s="10" t="s">
        <v>44</v>
      </c>
      <c r="AA45" s="7">
        <v>225</v>
      </c>
      <c r="AB45" s="7">
        <v>14500</v>
      </c>
      <c r="AC45" s="7">
        <v>101</v>
      </c>
      <c r="AD45" s="7">
        <v>5800</v>
      </c>
      <c r="AE45" s="7">
        <v>275</v>
      </c>
      <c r="AF45" s="7">
        <v>11600</v>
      </c>
      <c r="AG45" s="7">
        <v>400</v>
      </c>
      <c r="AH45" s="7">
        <v>74000</v>
      </c>
      <c r="AI45" s="7">
        <v>300</v>
      </c>
      <c r="AJ45" s="7">
        <v>20000</v>
      </c>
      <c r="AK45" s="7">
        <v>200</v>
      </c>
      <c r="AL45" s="7">
        <v>14000</v>
      </c>
      <c r="AM45" s="7">
        <v>100</v>
      </c>
      <c r="AN45" s="7">
        <v>6700</v>
      </c>
      <c r="AO45" s="7">
        <v>150</v>
      </c>
      <c r="AP45" s="7">
        <v>10000</v>
      </c>
      <c r="AQ45" s="10" t="s">
        <v>44</v>
      </c>
      <c r="AR45" s="7">
        <v>110</v>
      </c>
      <c r="AS45" s="7">
        <v>7000</v>
      </c>
      <c r="AT45" s="7">
        <v>100</v>
      </c>
      <c r="AU45" s="7">
        <v>6500</v>
      </c>
      <c r="AV45" s="10" t="s">
        <v>44</v>
      </c>
      <c r="AW45" s="7">
        <v>50</v>
      </c>
      <c r="AX45" s="7">
        <v>3500</v>
      </c>
      <c r="AY45" s="6" t="s">
        <v>44</v>
      </c>
      <c r="AZ45" s="7">
        <v>150</v>
      </c>
      <c r="BA45" s="7">
        <v>11400</v>
      </c>
      <c r="BB45" s="7"/>
      <c r="BC45" s="7"/>
      <c r="BD45" s="7"/>
      <c r="BE45" s="7"/>
      <c r="BG45" s="7"/>
      <c r="BH45" s="7"/>
      <c r="BI45" s="7"/>
      <c r="BJ45" s="7"/>
      <c r="BK45" s="7"/>
      <c r="BL45" s="7"/>
      <c r="BM45" s="7"/>
      <c r="BN45" s="7"/>
      <c r="BP45" s="7"/>
      <c r="BQ45" s="7"/>
      <c r="BR45" s="7"/>
      <c r="BS45" s="7"/>
      <c r="BT45" s="7"/>
      <c r="BU45" s="7"/>
      <c r="BV45" s="7"/>
      <c r="BW45" s="7"/>
      <c r="BY45" s="7"/>
      <c r="BZ45" s="7"/>
      <c r="CA45" s="7"/>
      <c r="CB45" s="7"/>
      <c r="CC45" s="7"/>
      <c r="CD45" s="7"/>
      <c r="CF45" s="7"/>
      <c r="CG45" s="7"/>
      <c r="CH45" s="7"/>
      <c r="CI45" s="7"/>
      <c r="CK45" s="7"/>
      <c r="CL45" s="7"/>
      <c r="CM45" s="7"/>
      <c r="CN45" s="7"/>
      <c r="CO45" s="7"/>
      <c r="CP45" s="7"/>
      <c r="CQ45" s="7"/>
      <c r="CR45" s="7"/>
      <c r="CS45" s="7"/>
      <c r="CT45" s="7"/>
    </row>
    <row r="46" spans="1:98" x14ac:dyDescent="0.3">
      <c r="A46" s="19" t="s">
        <v>142</v>
      </c>
      <c r="B46" s="10" t="s">
        <v>44</v>
      </c>
      <c r="C46" s="7">
        <v>800</v>
      </c>
      <c r="D46" s="7">
        <v>20000</v>
      </c>
      <c r="E46" s="7">
        <v>2000</v>
      </c>
      <c r="F46" s="7">
        <v>42000</v>
      </c>
      <c r="G46" s="10" t="s">
        <v>44</v>
      </c>
      <c r="H46" s="7">
        <v>2000</v>
      </c>
      <c r="I46" s="7">
        <v>42000</v>
      </c>
      <c r="J46" s="7">
        <v>2000</v>
      </c>
      <c r="K46" s="7">
        <v>40000</v>
      </c>
      <c r="L46" s="10" t="s">
        <v>44</v>
      </c>
      <c r="M46" s="7">
        <v>500</v>
      </c>
      <c r="N46" s="7">
        <v>10000</v>
      </c>
      <c r="O46" s="10" t="s">
        <v>44</v>
      </c>
      <c r="P46" s="7">
        <v>359</v>
      </c>
      <c r="Q46" s="7">
        <v>10500</v>
      </c>
      <c r="R46" s="10" t="s">
        <v>44</v>
      </c>
      <c r="S46" s="7">
        <v>360</v>
      </c>
      <c r="T46" s="7">
        <v>9000</v>
      </c>
      <c r="U46" s="7">
        <v>500</v>
      </c>
      <c r="V46" s="7">
        <v>15000</v>
      </c>
      <c r="W46" s="10" t="s">
        <v>44</v>
      </c>
      <c r="X46" s="7">
        <v>2600</v>
      </c>
      <c r="Y46" s="7">
        <v>18000</v>
      </c>
      <c r="Z46" s="10" t="s">
        <v>44</v>
      </c>
      <c r="AA46" s="7">
        <v>1600</v>
      </c>
      <c r="AB46" s="7">
        <v>13100</v>
      </c>
      <c r="AC46" s="7">
        <v>500</v>
      </c>
      <c r="AD46" s="7">
        <v>14000</v>
      </c>
      <c r="AE46" s="7">
        <v>1200</v>
      </c>
      <c r="AF46" s="7">
        <v>6500</v>
      </c>
      <c r="AG46" s="7">
        <v>1750</v>
      </c>
      <c r="AH46" s="7">
        <v>25000</v>
      </c>
      <c r="AI46" s="7">
        <v>1500</v>
      </c>
      <c r="AJ46" s="7">
        <v>24000</v>
      </c>
      <c r="AK46" s="7">
        <v>1000</v>
      </c>
      <c r="AL46" s="7">
        <v>21000</v>
      </c>
      <c r="AM46" s="7">
        <v>1100</v>
      </c>
      <c r="AN46" s="7">
        <v>23000</v>
      </c>
      <c r="AO46" s="7">
        <v>1000</v>
      </c>
      <c r="AP46" s="7">
        <v>21000</v>
      </c>
      <c r="AQ46" s="6" t="s">
        <v>44</v>
      </c>
      <c r="AR46" s="7">
        <v>1100</v>
      </c>
      <c r="AS46" s="7">
        <v>22000</v>
      </c>
      <c r="AT46" s="7">
        <v>1000</v>
      </c>
      <c r="AU46" s="7">
        <v>22000</v>
      </c>
      <c r="AV46" s="10" t="s">
        <v>38</v>
      </c>
      <c r="AW46" s="7">
        <v>1100</v>
      </c>
      <c r="AX46" s="7">
        <v>28000</v>
      </c>
      <c r="AY46" s="6" t="s">
        <v>38</v>
      </c>
      <c r="AZ46" s="7">
        <v>1000</v>
      </c>
      <c r="BA46" s="7">
        <v>22000</v>
      </c>
      <c r="BB46" s="7"/>
      <c r="BC46" s="7"/>
      <c r="BD46" s="7"/>
      <c r="BE46" s="7"/>
      <c r="BG46" s="7"/>
      <c r="BH46" s="7"/>
      <c r="BI46" s="7"/>
      <c r="BJ46" s="7"/>
      <c r="BK46" s="7"/>
      <c r="BL46" s="7"/>
      <c r="BM46" s="7"/>
      <c r="BN46" s="7"/>
      <c r="BP46" s="7"/>
      <c r="BQ46" s="7"/>
      <c r="BR46" s="7"/>
      <c r="BS46" s="7"/>
      <c r="BT46" s="7"/>
      <c r="BU46" s="7"/>
      <c r="BV46" s="7"/>
      <c r="BW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 t="s">
        <v>7</v>
      </c>
      <c r="CK46" s="7">
        <v>102</v>
      </c>
      <c r="CL46" s="7">
        <v>283</v>
      </c>
      <c r="CM46" s="7">
        <v>72</v>
      </c>
      <c r="CN46" s="7">
        <v>230</v>
      </c>
      <c r="CO46" s="7"/>
      <c r="CP46" s="7"/>
      <c r="CQ46" s="7"/>
      <c r="CR46" s="7"/>
      <c r="CS46" s="7"/>
      <c r="CT46" s="7"/>
    </row>
    <row r="47" spans="1:98" x14ac:dyDescent="0.3">
      <c r="A47" t="s">
        <v>107</v>
      </c>
      <c r="C47" s="7"/>
      <c r="D47" s="7"/>
      <c r="E47" s="7"/>
      <c r="F47" s="7"/>
      <c r="H47" s="7"/>
      <c r="I47" s="7"/>
      <c r="J47" s="7"/>
      <c r="K47" s="7"/>
      <c r="M47" s="7"/>
      <c r="N47" s="7"/>
      <c r="P47" s="7"/>
      <c r="Q47" s="7"/>
      <c r="S47" s="7"/>
      <c r="T47" s="7"/>
      <c r="U47" s="7"/>
      <c r="V47" s="7"/>
      <c r="X47" s="7"/>
      <c r="Y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R47" s="7"/>
      <c r="AS47" s="7"/>
      <c r="AT47" s="7"/>
      <c r="AU47" s="7"/>
      <c r="AV47" s="10"/>
      <c r="AW47" s="7"/>
      <c r="AX47" s="7"/>
      <c r="AZ47" s="7"/>
      <c r="BA47" s="7"/>
      <c r="CF47" s="7"/>
      <c r="CG47" s="7"/>
      <c r="CH47" s="7"/>
      <c r="CI47" s="7"/>
      <c r="CJ47" t="s">
        <v>7</v>
      </c>
      <c r="CK47" s="7">
        <v>2</v>
      </c>
      <c r="CL47" s="7">
        <v>15</v>
      </c>
      <c r="CM47" s="7">
        <v>14</v>
      </c>
      <c r="CN47" s="7">
        <v>99</v>
      </c>
    </row>
    <row r="48" spans="1:98" x14ac:dyDescent="0.3">
      <c r="A48" t="s">
        <v>66</v>
      </c>
      <c r="B48" s="10" t="s">
        <v>38</v>
      </c>
      <c r="C48" s="7"/>
      <c r="D48" s="7"/>
      <c r="E48" s="7"/>
      <c r="G48" s="10" t="s">
        <v>38</v>
      </c>
      <c r="H48" s="7"/>
      <c r="J48" s="7"/>
      <c r="L48" s="10" t="s">
        <v>38</v>
      </c>
      <c r="M48" s="7"/>
      <c r="O48" s="10" t="s">
        <v>38</v>
      </c>
      <c r="P48" s="7"/>
      <c r="R48" s="10" t="s">
        <v>38</v>
      </c>
      <c r="S48" s="7"/>
      <c r="U48" s="7"/>
      <c r="W48" s="10" t="s">
        <v>38</v>
      </c>
      <c r="X48" s="7"/>
      <c r="Y48" s="7"/>
      <c r="Z48" s="10" t="s">
        <v>38</v>
      </c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>
        <v>100</v>
      </c>
      <c r="AL48" s="7">
        <v>650</v>
      </c>
      <c r="AM48" s="7">
        <v>75</v>
      </c>
      <c r="AN48" s="7">
        <v>500</v>
      </c>
      <c r="AO48" s="7">
        <v>100</v>
      </c>
      <c r="AP48" s="7">
        <v>600</v>
      </c>
      <c r="AQ48" s="10" t="s">
        <v>38</v>
      </c>
      <c r="AR48" s="7">
        <v>125</v>
      </c>
      <c r="AS48" s="7">
        <v>700</v>
      </c>
      <c r="AT48" s="7">
        <v>100</v>
      </c>
      <c r="AU48" s="7">
        <v>600</v>
      </c>
      <c r="AV48" s="10" t="s">
        <v>38</v>
      </c>
      <c r="AW48" s="7">
        <v>185</v>
      </c>
      <c r="AX48" s="7">
        <v>800</v>
      </c>
      <c r="AY48" s="6" t="s">
        <v>38</v>
      </c>
      <c r="AZ48" s="7">
        <v>150</v>
      </c>
      <c r="BA48" s="7">
        <v>750</v>
      </c>
      <c r="CF48" s="7"/>
      <c r="CG48" s="7"/>
      <c r="CH48" s="7"/>
      <c r="CI48" s="7"/>
      <c r="CJ48" t="s">
        <v>7</v>
      </c>
      <c r="CK48" s="7">
        <v>396</v>
      </c>
      <c r="CL48" s="7">
        <v>352</v>
      </c>
      <c r="CM48" s="7">
        <v>172</v>
      </c>
      <c r="CN48" s="7">
        <v>242</v>
      </c>
    </row>
    <row r="49" spans="1:98" x14ac:dyDescent="0.3">
      <c r="A49" t="s">
        <v>364</v>
      </c>
      <c r="C49" s="7"/>
      <c r="E49" s="7"/>
      <c r="F49" s="7"/>
      <c r="H49" s="7"/>
      <c r="I49" s="7"/>
      <c r="J49" s="7"/>
      <c r="K49" s="7"/>
      <c r="M49" s="7"/>
      <c r="N49" s="7"/>
      <c r="P49" s="7"/>
      <c r="Q49" s="7"/>
      <c r="S49" s="7"/>
      <c r="T49" s="7"/>
      <c r="U49" s="7"/>
      <c r="V49" s="7"/>
      <c r="X49" s="7"/>
      <c r="Y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R49" s="7"/>
      <c r="AS49" s="7"/>
      <c r="AT49" s="7"/>
      <c r="AU49" s="7"/>
      <c r="AW49" s="7"/>
      <c r="AX49" s="7"/>
      <c r="BX49" t="s">
        <v>23</v>
      </c>
      <c r="CA49" s="7">
        <v>3140</v>
      </c>
      <c r="CB49" s="7">
        <v>2933</v>
      </c>
      <c r="CC49" s="7">
        <v>4000</v>
      </c>
      <c r="CD49" s="7">
        <v>4000</v>
      </c>
      <c r="CE49" t="s">
        <v>23</v>
      </c>
      <c r="CF49" s="7">
        <v>3912</v>
      </c>
      <c r="CG49" s="7">
        <v>3912</v>
      </c>
      <c r="CH49" s="7">
        <v>3860</v>
      </c>
      <c r="CI49" s="7">
        <v>4117</v>
      </c>
      <c r="CJ49" t="s">
        <v>23</v>
      </c>
      <c r="CK49" s="7">
        <v>3400</v>
      </c>
      <c r="CL49" s="7">
        <v>2687</v>
      </c>
      <c r="CM49" s="7">
        <v>3320</v>
      </c>
      <c r="CN49" s="7">
        <v>2407</v>
      </c>
    </row>
    <row r="50" spans="1:98" x14ac:dyDescent="0.3">
      <c r="A50" s="19" t="s">
        <v>325</v>
      </c>
      <c r="C50" s="7"/>
      <c r="E50" s="7"/>
      <c r="F50" s="7"/>
      <c r="H50" s="7"/>
      <c r="I50" s="7"/>
      <c r="J50" s="7"/>
      <c r="K50" s="7"/>
      <c r="M50" s="7"/>
      <c r="N50" s="7"/>
      <c r="P50" s="7"/>
      <c r="Q50" s="7"/>
      <c r="R50" s="10" t="s">
        <v>44</v>
      </c>
      <c r="S50" s="7">
        <v>100</v>
      </c>
      <c r="T50" s="7">
        <v>4000</v>
      </c>
      <c r="U50" s="7"/>
      <c r="V50" s="7"/>
      <c r="X50" s="7"/>
      <c r="Y50" s="7"/>
      <c r="Z50" s="10" t="s">
        <v>44</v>
      </c>
      <c r="AA50" s="7">
        <v>218</v>
      </c>
      <c r="AB50" s="7">
        <v>1950</v>
      </c>
      <c r="AC50" s="7">
        <v>200</v>
      </c>
      <c r="AD50" s="7">
        <v>2000</v>
      </c>
      <c r="AE50" s="7">
        <v>125</v>
      </c>
      <c r="AF50" s="7">
        <v>1200</v>
      </c>
      <c r="AG50" s="7">
        <v>45</v>
      </c>
      <c r="AH50" s="7">
        <v>500</v>
      </c>
      <c r="AI50">
        <v>40</v>
      </c>
      <c r="AJ50" s="7">
        <v>500</v>
      </c>
      <c r="AK50" s="7">
        <v>50</v>
      </c>
      <c r="AL50" s="7">
        <v>600</v>
      </c>
      <c r="AM50" s="7">
        <v>75</v>
      </c>
      <c r="AN50" s="7">
        <v>800</v>
      </c>
      <c r="AO50" s="7">
        <v>80</v>
      </c>
      <c r="AP50" s="7">
        <v>1000</v>
      </c>
      <c r="AQ50" t="s">
        <v>44</v>
      </c>
      <c r="AR50" s="7">
        <v>100</v>
      </c>
      <c r="AS50" s="7">
        <v>1000</v>
      </c>
      <c r="AT50" s="7">
        <v>75</v>
      </c>
      <c r="AU50" s="7">
        <v>800</v>
      </c>
      <c r="AV50" t="s">
        <v>44</v>
      </c>
      <c r="AW50" s="7">
        <v>125</v>
      </c>
      <c r="AX50" s="7">
        <v>1200</v>
      </c>
      <c r="AY50" s="6" t="s">
        <v>44</v>
      </c>
      <c r="AZ50" s="7">
        <v>120</v>
      </c>
      <c r="BA50" s="7">
        <v>1100</v>
      </c>
      <c r="CA50" s="7"/>
      <c r="CB50" s="7"/>
      <c r="CC50" s="7"/>
      <c r="CD50" s="7"/>
      <c r="CF50" s="7"/>
      <c r="CG50" s="7"/>
      <c r="CH50" s="7"/>
      <c r="CI50" s="7"/>
      <c r="CK50" s="7"/>
      <c r="CL50" s="7"/>
      <c r="CM50" s="7"/>
      <c r="CN50" s="7"/>
    </row>
    <row r="51" spans="1:98" x14ac:dyDescent="0.3">
      <c r="A51" s="15" t="s">
        <v>34</v>
      </c>
      <c r="C51" s="7"/>
      <c r="D51" s="7">
        <v>751400</v>
      </c>
      <c r="E51" s="7"/>
      <c r="F51" s="7">
        <v>1032450</v>
      </c>
      <c r="H51" s="7"/>
      <c r="I51" s="7">
        <v>1161750</v>
      </c>
      <c r="J51" s="7"/>
      <c r="K51" s="7">
        <v>1379400</v>
      </c>
      <c r="M51" s="7"/>
      <c r="N51" s="7">
        <v>890975</v>
      </c>
      <c r="P51" s="7"/>
      <c r="Q51" s="7">
        <v>1522175</v>
      </c>
      <c r="S51" s="7"/>
      <c r="T51" s="7">
        <v>1470990</v>
      </c>
      <c r="U51" s="7"/>
      <c r="V51" s="7">
        <v>1332040</v>
      </c>
      <c r="X51" s="7"/>
      <c r="Y51" s="7">
        <v>1478254</v>
      </c>
      <c r="AA51" s="7"/>
      <c r="AB51" s="7">
        <v>1604575</v>
      </c>
      <c r="AC51" s="7"/>
      <c r="AD51" s="7">
        <v>1641555</v>
      </c>
      <c r="AE51" s="7"/>
      <c r="AF51" s="7">
        <v>1392535</v>
      </c>
      <c r="AG51" s="7"/>
      <c r="AH51" s="7">
        <v>1447480</v>
      </c>
      <c r="AI51" s="7"/>
      <c r="AJ51" s="7">
        <v>1440685</v>
      </c>
      <c r="AK51" s="7"/>
      <c r="AL51" s="7"/>
      <c r="AM51" s="7"/>
      <c r="AN51" s="7">
        <v>1406605</v>
      </c>
      <c r="AO51" s="7"/>
      <c r="AP51" s="7">
        <v>1432690</v>
      </c>
      <c r="AR51" s="7"/>
      <c r="AS51" s="7">
        <v>1583280</v>
      </c>
      <c r="AT51" s="7"/>
      <c r="AU51" s="7">
        <v>1054595</v>
      </c>
      <c r="AW51" s="7"/>
      <c r="AX51" s="7">
        <v>1720320</v>
      </c>
      <c r="AZ51" s="7"/>
      <c r="BA51" s="7">
        <v>1628580</v>
      </c>
      <c r="BB51" s="7"/>
      <c r="BC51" s="7">
        <v>1419450</v>
      </c>
      <c r="BD51" s="7"/>
      <c r="BE51" s="7">
        <v>1909300</v>
      </c>
      <c r="BG51" s="7"/>
      <c r="BH51" s="7">
        <v>1834500</v>
      </c>
      <c r="BI51" s="7"/>
      <c r="BJ51" s="7">
        <v>1697400</v>
      </c>
      <c r="BK51" s="7"/>
      <c r="BL51" s="7">
        <v>1533300</v>
      </c>
      <c r="BM51" s="7"/>
      <c r="BN51" s="7">
        <v>1255831</v>
      </c>
      <c r="BP51" s="7"/>
      <c r="BQ51" s="7">
        <v>1641076</v>
      </c>
      <c r="BS51" s="7">
        <v>2506515</v>
      </c>
      <c r="BU51" s="7">
        <v>2509840</v>
      </c>
      <c r="BV51" s="7"/>
      <c r="BW51" s="7">
        <v>2054300</v>
      </c>
      <c r="BY51" s="7"/>
      <c r="BZ51" s="7">
        <v>178050</v>
      </c>
      <c r="CA51" s="7"/>
      <c r="CB51" s="7">
        <v>246255</v>
      </c>
      <c r="CC51" s="7"/>
      <c r="CD51" s="7">
        <v>283030</v>
      </c>
      <c r="CE51" s="7"/>
      <c r="CF51" s="7"/>
      <c r="CG51" s="7">
        <v>303588</v>
      </c>
      <c r="CH51" s="7"/>
      <c r="CI51" s="7">
        <v>277580</v>
      </c>
      <c r="CJ51" s="7"/>
      <c r="CK51" s="7"/>
      <c r="CL51" s="7">
        <v>271034</v>
      </c>
      <c r="CM51" s="7"/>
      <c r="CN51" s="7">
        <v>290387</v>
      </c>
      <c r="CO51" s="7"/>
      <c r="CP51" s="7"/>
      <c r="CQ51" s="7"/>
      <c r="CR51" s="7"/>
      <c r="CS51" s="7"/>
      <c r="CT51" s="7"/>
    </row>
    <row r="52" spans="1:98" x14ac:dyDescent="0.3">
      <c r="E52" s="7"/>
      <c r="F52" s="7"/>
      <c r="H52" s="7"/>
      <c r="I52" s="7"/>
      <c r="J52" s="7"/>
      <c r="K52" s="7"/>
      <c r="M52" s="7"/>
      <c r="N52" s="7"/>
      <c r="P52" s="7"/>
      <c r="Q52" s="7"/>
      <c r="S52" s="7"/>
      <c r="T52" s="7"/>
      <c r="U52" s="7"/>
      <c r="V52" s="7"/>
      <c r="X52" s="7"/>
      <c r="Y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R52" s="7"/>
      <c r="AS52" s="7"/>
      <c r="AT52" s="7"/>
      <c r="AU52" s="7"/>
      <c r="AW52" s="7"/>
      <c r="AX52" s="7"/>
      <c r="AZ52" s="7"/>
      <c r="BA52" s="7"/>
      <c r="BB52" s="7"/>
      <c r="BC52" s="7"/>
      <c r="BD52" s="7"/>
      <c r="BE52" s="7"/>
      <c r="BG52" s="7"/>
      <c r="BH52" s="7"/>
      <c r="BI52" s="7"/>
      <c r="BJ52" s="7"/>
      <c r="BK52" s="7"/>
      <c r="BL52" s="7"/>
      <c r="BM52" s="7"/>
      <c r="BN52" s="7"/>
      <c r="BP52" s="7"/>
      <c r="BQ52" s="7"/>
      <c r="BR52" s="7"/>
      <c r="BS52" s="7"/>
      <c r="BT52" s="7"/>
      <c r="BU52" s="7"/>
      <c r="BV52" s="7"/>
      <c r="BW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</row>
    <row r="53" spans="1:98" x14ac:dyDescent="0.3">
      <c r="E53" s="7"/>
      <c r="F53" s="7"/>
      <c r="H53" s="7"/>
      <c r="I53" s="7"/>
      <c r="J53" s="7"/>
      <c r="K53" s="7"/>
      <c r="M53" s="7"/>
      <c r="N53" s="7"/>
      <c r="P53" s="7"/>
      <c r="Q53" s="7"/>
      <c r="S53" s="7"/>
      <c r="T53" s="7"/>
      <c r="U53" s="7"/>
      <c r="V53" s="7"/>
      <c r="X53" s="7"/>
      <c r="Y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R53" s="7"/>
      <c r="AS53" s="7"/>
      <c r="AT53" s="7"/>
      <c r="AU53" s="7"/>
      <c r="AW53" s="7"/>
      <c r="AX53" s="7"/>
      <c r="AZ53" s="7"/>
      <c r="BA53" s="7"/>
      <c r="BB53" s="7"/>
      <c r="BC53" s="7"/>
      <c r="BD53" s="7"/>
      <c r="BE53" s="7"/>
      <c r="BG53" s="7"/>
      <c r="BH53" s="7"/>
      <c r="BI53" s="7"/>
      <c r="BJ53" s="7"/>
      <c r="BK53" s="7"/>
      <c r="BL53" s="7"/>
      <c r="BM53" s="7"/>
      <c r="BN53" s="7"/>
      <c r="BP53" s="7"/>
      <c r="BQ53" s="7"/>
      <c r="BR53" s="7"/>
      <c r="BS53" s="7"/>
      <c r="BU53" s="7"/>
      <c r="BV53" s="7"/>
      <c r="BX53" s="7"/>
      <c r="BZ53" s="7"/>
      <c r="CD53" s="7"/>
      <c r="CF53" s="7"/>
      <c r="CG53" s="7"/>
      <c r="CP53" s="7"/>
      <c r="CQ53" s="7"/>
      <c r="CR53" s="7"/>
      <c r="CS53" s="7"/>
      <c r="CT53" s="7"/>
    </row>
    <row r="54" spans="1:98" x14ac:dyDescent="0.3">
      <c r="E54" s="7"/>
      <c r="F54" s="7"/>
      <c r="H54" s="7"/>
      <c r="I54" s="7"/>
      <c r="J54" s="7"/>
      <c r="K54" s="7"/>
      <c r="M54" s="7"/>
      <c r="N54" s="7"/>
      <c r="P54" s="7"/>
      <c r="Q54" s="7"/>
      <c r="S54" s="7"/>
      <c r="T54" s="7"/>
      <c r="U54" s="7"/>
      <c r="V54" s="7"/>
      <c r="X54" s="7"/>
      <c r="Y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R54" s="7"/>
      <c r="AS54" s="7"/>
      <c r="AT54" s="7"/>
      <c r="AU54" s="7"/>
      <c r="AW54" s="7"/>
      <c r="AX54" s="7"/>
      <c r="AZ54" s="7"/>
      <c r="BA54" s="7"/>
      <c r="BB54" s="7"/>
      <c r="BC54" s="7"/>
      <c r="BD54" s="7"/>
      <c r="BE54" s="7"/>
      <c r="BG54" s="7"/>
      <c r="BH54" s="7"/>
      <c r="BI54" s="7"/>
      <c r="BJ54" s="7"/>
      <c r="BK54" s="7"/>
      <c r="BL54" s="7"/>
      <c r="BM54" s="7"/>
      <c r="BN54" s="7"/>
      <c r="BP54" s="7"/>
      <c r="BQ54" s="7"/>
      <c r="BR54" s="7"/>
      <c r="BS54" s="7"/>
      <c r="BT54" s="7"/>
      <c r="BU54" s="7"/>
      <c r="BV54" s="7"/>
      <c r="BW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</row>
    <row r="55" spans="1:98" x14ac:dyDescent="0.3">
      <c r="E55" s="7"/>
      <c r="F55" s="7"/>
      <c r="H55" s="7"/>
      <c r="I55" s="7"/>
      <c r="J55" s="7"/>
      <c r="K55" s="7"/>
      <c r="M55" s="7"/>
      <c r="N55" s="7"/>
      <c r="P55" s="7"/>
      <c r="Q55" s="7"/>
      <c r="S55" s="7"/>
      <c r="T55" s="7"/>
      <c r="U55" s="7"/>
      <c r="V55" s="7"/>
      <c r="X55" s="7"/>
      <c r="Y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R55" s="7"/>
      <c r="AS55" s="7"/>
      <c r="AT55" s="7"/>
      <c r="AU55" s="7"/>
      <c r="AW55" s="7"/>
      <c r="AX55" s="7"/>
      <c r="AZ55" s="7"/>
      <c r="BA55" s="7"/>
      <c r="BB55" s="7"/>
      <c r="BC55" s="7"/>
      <c r="BD55" s="7"/>
      <c r="BE55" s="7"/>
      <c r="BG55" s="7"/>
      <c r="BH55" s="7"/>
      <c r="BI55" s="7"/>
      <c r="BJ55" s="7"/>
      <c r="BK55" s="7"/>
      <c r="BL55" s="7"/>
      <c r="BM55" s="7"/>
      <c r="BN55" s="7"/>
      <c r="BP55" s="7"/>
      <c r="BQ55" s="7"/>
      <c r="BR55" s="7"/>
      <c r="BS55" s="7"/>
      <c r="BT55" s="7"/>
      <c r="BU55" s="7"/>
      <c r="BV55" s="7"/>
      <c r="BW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</row>
    <row r="56" spans="1:98" x14ac:dyDescent="0.3">
      <c r="E56" s="7"/>
      <c r="F56" s="7"/>
      <c r="H56" s="7"/>
      <c r="I56" s="7"/>
      <c r="J56" s="7"/>
      <c r="K56" s="7"/>
      <c r="M56" s="7"/>
      <c r="N56" s="7"/>
      <c r="P56" s="7"/>
      <c r="Q56" s="7"/>
      <c r="S56" s="7"/>
      <c r="T56" s="7"/>
      <c r="U56" s="7"/>
      <c r="V56" s="7"/>
      <c r="X56" s="7"/>
      <c r="Y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R56" s="7"/>
      <c r="AS56" s="7"/>
      <c r="AT56" s="7"/>
      <c r="AU56" s="7"/>
      <c r="AW56" s="7"/>
      <c r="AX56" s="7"/>
      <c r="AZ56" s="7"/>
      <c r="BA56" s="7"/>
      <c r="BB56" s="7"/>
      <c r="BC56" s="7"/>
      <c r="BD56" s="7"/>
      <c r="BE56" s="7"/>
      <c r="BG56" s="7"/>
      <c r="BH56" s="7"/>
      <c r="BI56" s="7"/>
      <c r="BJ56" s="7"/>
      <c r="BK56" s="7"/>
      <c r="BL56" s="7"/>
      <c r="BM56" s="7"/>
      <c r="BN56" s="7"/>
      <c r="BP56" s="7"/>
      <c r="BQ56" s="7"/>
      <c r="BR56" s="7"/>
      <c r="BS56" s="7"/>
      <c r="BT56" s="7"/>
      <c r="BU56" s="7"/>
      <c r="BV56" s="7"/>
      <c r="BW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</row>
    <row r="57" spans="1:98" x14ac:dyDescent="0.3">
      <c r="E57" s="7"/>
      <c r="F57" s="7"/>
      <c r="H57" s="7"/>
      <c r="I57" s="7"/>
      <c r="J57" s="7"/>
      <c r="K57" s="7"/>
      <c r="M57" s="7"/>
      <c r="N57" s="7"/>
      <c r="P57" s="7"/>
      <c r="Q57" s="7"/>
      <c r="S57" s="7"/>
      <c r="T57" s="7"/>
      <c r="U57" s="7"/>
      <c r="V57" s="7"/>
      <c r="X57" s="7"/>
      <c r="Y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R57" s="7"/>
      <c r="AS57" s="7"/>
      <c r="AT57" s="7"/>
      <c r="AU57" s="7"/>
      <c r="AW57" s="7"/>
      <c r="AX57" s="7"/>
      <c r="AZ57" s="7"/>
      <c r="BA57" s="7"/>
      <c r="BB57" s="7"/>
      <c r="BC57" s="7"/>
      <c r="BD57" s="7"/>
      <c r="BE57" s="7"/>
      <c r="BG57" s="7"/>
      <c r="BH57" s="7"/>
      <c r="BI57" s="7"/>
      <c r="BJ57" s="7"/>
      <c r="BK57" s="7"/>
      <c r="BL57" s="7"/>
      <c r="BM57" s="7"/>
      <c r="BN57" s="7"/>
      <c r="BP57" s="7"/>
      <c r="BQ57" s="7"/>
      <c r="BR57" s="7"/>
      <c r="BS57" s="7"/>
      <c r="BT57" s="7"/>
      <c r="BU57" s="7"/>
      <c r="BV57" s="7"/>
      <c r="BW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</row>
    <row r="58" spans="1:98" x14ac:dyDescent="0.3">
      <c r="E58" s="7"/>
      <c r="F58" s="7"/>
      <c r="H58" s="7"/>
      <c r="I58" s="7"/>
      <c r="J58" s="7"/>
      <c r="K58" s="7"/>
      <c r="M58" s="7"/>
      <c r="N58" s="7"/>
      <c r="P58" s="7"/>
      <c r="Q58" s="7"/>
      <c r="S58" s="7"/>
      <c r="T58" s="7"/>
      <c r="U58" s="7"/>
      <c r="V58" s="7"/>
      <c r="X58" s="7"/>
      <c r="Y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R58" s="7"/>
      <c r="AS58" s="7"/>
      <c r="AT58" s="7"/>
      <c r="AU58" s="7"/>
      <c r="AW58" s="7"/>
      <c r="AX58" s="7"/>
      <c r="AZ58" s="7"/>
      <c r="BA58" s="7"/>
      <c r="BB58" s="7"/>
      <c r="BC58" s="7"/>
      <c r="BD58" s="7"/>
      <c r="BE58" s="7"/>
      <c r="BG58" s="7"/>
      <c r="BH58" s="7"/>
      <c r="BI58" s="7"/>
      <c r="BJ58" s="7"/>
      <c r="BK58" s="7"/>
      <c r="BL58" s="7"/>
      <c r="BM58" s="7"/>
      <c r="BN58" s="7"/>
      <c r="BP58" s="7"/>
      <c r="BQ58" s="7"/>
      <c r="BR58" s="7"/>
      <c r="BS58" s="7"/>
      <c r="BT58" s="7"/>
      <c r="BU58" s="7"/>
      <c r="BV58" s="7"/>
      <c r="BW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</row>
    <row r="59" spans="1:98" x14ac:dyDescent="0.3">
      <c r="E59" s="7"/>
      <c r="F59" s="7"/>
      <c r="H59" s="7"/>
      <c r="I59" s="7"/>
      <c r="J59" s="7"/>
      <c r="K59" s="7"/>
      <c r="M59" s="7"/>
      <c r="N59" s="7"/>
      <c r="P59" s="7"/>
      <c r="Q59" s="7"/>
      <c r="S59" s="7"/>
      <c r="T59" s="7"/>
      <c r="U59" s="7"/>
      <c r="V59" s="7"/>
      <c r="X59" s="7"/>
      <c r="Y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R59" s="7"/>
      <c r="AS59" s="7"/>
      <c r="AT59" s="7"/>
      <c r="AU59" s="7"/>
      <c r="AW59" s="7"/>
      <c r="AX59" s="7"/>
      <c r="AZ59" s="7"/>
      <c r="BA59" s="7"/>
      <c r="BB59" s="7"/>
      <c r="BC59" s="7"/>
      <c r="BD59" s="7"/>
      <c r="BE59" s="7"/>
      <c r="BG59" s="7"/>
      <c r="BH59" s="7"/>
      <c r="BI59" s="7"/>
      <c r="BJ59" s="7"/>
      <c r="BK59" s="7"/>
      <c r="BL59" s="7"/>
      <c r="BM59" s="7"/>
      <c r="BN59" s="7"/>
      <c r="BP59" s="7"/>
      <c r="BQ59" s="7"/>
      <c r="BR59" s="7"/>
      <c r="BS59" s="7"/>
      <c r="BT59" s="7"/>
      <c r="BU59" s="7"/>
      <c r="BV59" s="7"/>
      <c r="BW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</row>
    <row r="60" spans="1:98" x14ac:dyDescent="0.3">
      <c r="E60" s="7"/>
      <c r="F60" s="7"/>
      <c r="H60" s="7"/>
      <c r="I60" s="7"/>
      <c r="J60" s="7"/>
      <c r="K60" s="7"/>
      <c r="M60" s="7"/>
      <c r="N60" s="7"/>
      <c r="P60" s="7"/>
      <c r="Q60" s="7"/>
      <c r="S60" s="7"/>
      <c r="T60" s="7"/>
      <c r="U60" s="7"/>
      <c r="V60" s="7"/>
      <c r="X60" s="7"/>
      <c r="Y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R60" s="7"/>
      <c r="AS60" s="7"/>
      <c r="AT60" s="7"/>
      <c r="AU60" s="7"/>
      <c r="AW60" s="7"/>
      <c r="AX60" s="7"/>
      <c r="AZ60" s="7"/>
      <c r="BA60" s="7"/>
      <c r="BB60" s="7"/>
      <c r="BC60" s="7"/>
      <c r="BD60" s="7"/>
      <c r="BE60" s="7"/>
      <c r="BG60" s="7"/>
      <c r="BH60" s="7"/>
      <c r="BI60" s="7"/>
      <c r="BJ60" s="7"/>
      <c r="BK60" s="7"/>
      <c r="BL60" s="7"/>
      <c r="BM60" s="7"/>
      <c r="BN60" s="7"/>
      <c r="BP60" s="7"/>
      <c r="BQ60" s="7"/>
      <c r="BR60" s="7"/>
      <c r="BS60" s="7"/>
      <c r="BT60" s="7"/>
      <c r="BU60" s="7"/>
      <c r="BV60" s="7"/>
      <c r="BW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</row>
    <row r="61" spans="1:98" x14ac:dyDescent="0.3">
      <c r="E61" s="7"/>
      <c r="F61" s="7"/>
      <c r="H61" s="7"/>
      <c r="I61" s="7"/>
      <c r="J61" s="7"/>
      <c r="K61" s="7"/>
      <c r="M61" s="7"/>
      <c r="N61" s="7"/>
      <c r="P61" s="7"/>
      <c r="Q61" s="7"/>
      <c r="S61" s="7"/>
      <c r="T61" s="7"/>
      <c r="U61" s="7"/>
      <c r="V61" s="7"/>
      <c r="X61" s="7"/>
      <c r="Y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R61" s="7"/>
      <c r="AS61" s="7"/>
      <c r="AT61" s="7"/>
      <c r="AU61" s="7"/>
      <c r="AW61" s="7"/>
      <c r="AX61" s="7"/>
      <c r="AZ61" s="7"/>
      <c r="BA61" s="7"/>
      <c r="BB61" s="7"/>
      <c r="BC61" s="7"/>
      <c r="BD61" s="7"/>
      <c r="BE61" s="7"/>
      <c r="BG61" s="7"/>
      <c r="BH61" s="7"/>
      <c r="BI61" s="7"/>
      <c r="BJ61" s="7"/>
      <c r="BK61" s="7"/>
      <c r="BL61" s="7"/>
      <c r="BM61" s="7"/>
      <c r="BN61" s="7"/>
      <c r="BP61" s="7"/>
      <c r="BQ61" s="7"/>
      <c r="BR61" s="7"/>
      <c r="BS61" s="7"/>
      <c r="BT61" s="7"/>
      <c r="BU61" s="7"/>
      <c r="BV61" s="7"/>
      <c r="BW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</row>
    <row r="62" spans="1:98" x14ac:dyDescent="0.3">
      <c r="E62" s="7"/>
      <c r="F62" s="7"/>
      <c r="H62" s="7"/>
      <c r="I62" s="7"/>
      <c r="J62" s="7"/>
      <c r="K62" s="7"/>
      <c r="M62" s="7"/>
      <c r="N62" s="7"/>
      <c r="P62" s="7"/>
      <c r="Q62" s="7"/>
      <c r="S62" s="7"/>
      <c r="T62" s="7"/>
      <c r="U62" s="7"/>
      <c r="V62" s="7"/>
      <c r="X62" s="7"/>
      <c r="Y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R62" s="7"/>
      <c r="AS62" s="7"/>
      <c r="AT62" s="7"/>
      <c r="AU62" s="7"/>
      <c r="AW62" s="7"/>
      <c r="AX62" s="7"/>
      <c r="AZ62" s="7"/>
      <c r="BA62" s="7"/>
      <c r="BB62" s="7"/>
      <c r="BC62" s="7"/>
      <c r="BD62" s="7"/>
      <c r="BE62" s="7"/>
      <c r="BG62" s="7"/>
      <c r="BH62" s="7"/>
      <c r="BI62" s="7"/>
      <c r="BJ62" s="7"/>
      <c r="BK62" s="7"/>
      <c r="BL62" s="7"/>
      <c r="BM62" s="7"/>
      <c r="BN62" s="7"/>
      <c r="BP62" s="7"/>
      <c r="BQ62" s="7"/>
      <c r="BR62" s="7"/>
      <c r="BS62" s="7"/>
      <c r="BT62" s="7"/>
      <c r="BU62" s="7"/>
      <c r="BV62" s="7"/>
      <c r="BW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</row>
    <row r="63" spans="1:98" x14ac:dyDescent="0.3">
      <c r="E63" s="7"/>
      <c r="F63" s="7"/>
      <c r="H63" s="7"/>
      <c r="I63" s="7"/>
      <c r="J63" s="7"/>
      <c r="K63" s="7"/>
      <c r="M63" s="7"/>
      <c r="N63" s="7"/>
      <c r="P63" s="7"/>
      <c r="Q63" s="7"/>
      <c r="S63" s="7"/>
      <c r="T63" s="7"/>
      <c r="U63" s="7"/>
      <c r="V63" s="7"/>
      <c r="X63" s="7"/>
      <c r="Y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R63" s="7"/>
      <c r="AS63" s="7"/>
      <c r="AT63" s="7"/>
      <c r="AU63" s="7"/>
      <c r="AW63" s="7"/>
      <c r="AX63" s="7"/>
      <c r="AZ63" s="7"/>
      <c r="BA63" s="7"/>
      <c r="BB63" s="7"/>
      <c r="BC63" s="7"/>
      <c r="BD63" s="7"/>
      <c r="BE63" s="7"/>
      <c r="BG63" s="7"/>
      <c r="BH63" s="7"/>
      <c r="BI63" s="7"/>
      <c r="BJ63" s="7"/>
      <c r="BK63" s="7"/>
      <c r="BL63" s="7"/>
      <c r="BM63" s="7"/>
      <c r="BN63" s="7"/>
      <c r="BP63" s="7"/>
      <c r="BQ63" s="7"/>
      <c r="BR63" s="7"/>
      <c r="BS63" s="7"/>
      <c r="BT63" s="7"/>
      <c r="BU63" s="7"/>
      <c r="BV63" s="7"/>
      <c r="BW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</row>
    <row r="64" spans="1:98" x14ac:dyDescent="0.3">
      <c r="E64" s="7"/>
      <c r="F64" s="7"/>
      <c r="H64" s="7"/>
      <c r="I64" s="7"/>
      <c r="J64" s="7"/>
      <c r="K64" s="7"/>
      <c r="M64" s="7"/>
      <c r="N64" s="7"/>
      <c r="P64" s="7"/>
      <c r="Q64" s="7"/>
      <c r="S64" s="7"/>
      <c r="T64" s="7"/>
      <c r="U64" s="7"/>
      <c r="V64" s="7"/>
      <c r="X64" s="7"/>
      <c r="Y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R64" s="7"/>
      <c r="AS64" s="7"/>
      <c r="AT64" s="7"/>
      <c r="AU64" s="7"/>
      <c r="AW64" s="7"/>
      <c r="AX64" s="7"/>
      <c r="AZ64" s="7"/>
      <c r="BA64" s="7"/>
      <c r="BB64" s="7"/>
      <c r="BC64" s="7"/>
      <c r="BD64" s="7"/>
      <c r="BE64" s="7"/>
      <c r="BG64" s="7"/>
      <c r="BH64" s="7"/>
      <c r="BI64" s="7"/>
      <c r="BJ64" s="7"/>
      <c r="BK64" s="7"/>
      <c r="BL64" s="7"/>
      <c r="BM64" s="7"/>
      <c r="BN64" s="7"/>
      <c r="BP64" s="7"/>
      <c r="BQ64" s="7"/>
      <c r="BR64" s="7"/>
      <c r="BS64" s="7"/>
      <c r="BT64" s="7"/>
      <c r="BU64" s="7"/>
      <c r="BV64" s="7"/>
      <c r="BW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</row>
    <row r="65" spans="5:98" x14ac:dyDescent="0.3">
      <c r="E65" s="7"/>
      <c r="F65" s="7"/>
      <c r="H65" s="7"/>
      <c r="I65" s="7"/>
      <c r="J65" s="7"/>
      <c r="K65" s="7"/>
      <c r="M65" s="7"/>
      <c r="N65" s="7"/>
      <c r="P65" s="7"/>
      <c r="Q65" s="7"/>
      <c r="S65" s="7"/>
      <c r="T65" s="7"/>
      <c r="U65" s="7"/>
      <c r="V65" s="7"/>
      <c r="X65" s="7"/>
      <c r="Y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R65" s="7"/>
      <c r="AS65" s="7"/>
      <c r="AT65" s="7"/>
      <c r="AU65" s="7"/>
      <c r="AW65" s="7"/>
      <c r="AX65" s="7"/>
      <c r="AZ65" s="7"/>
      <c r="BA65" s="7"/>
      <c r="BB65" s="7"/>
      <c r="BC65" s="7"/>
      <c r="BD65" s="7"/>
      <c r="BE65" s="7"/>
      <c r="BG65" s="7"/>
      <c r="BH65" s="7"/>
      <c r="BI65" s="7"/>
      <c r="BJ65" s="7"/>
      <c r="BK65" s="7"/>
      <c r="BL65" s="7"/>
      <c r="BM65" s="7"/>
      <c r="BN65" s="7"/>
      <c r="BP65" s="7"/>
      <c r="BQ65" s="7"/>
      <c r="BR65" s="7"/>
      <c r="BS65" s="7"/>
      <c r="BT65" s="7"/>
      <c r="BU65" s="7"/>
      <c r="BV65" s="7"/>
      <c r="BW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</row>
    <row r="66" spans="5:98" x14ac:dyDescent="0.3">
      <c r="E66" s="7"/>
      <c r="F66" s="7"/>
      <c r="H66" s="7"/>
      <c r="I66" s="7"/>
      <c r="J66" s="7"/>
      <c r="K66" s="7"/>
      <c r="M66" s="7"/>
      <c r="N66" s="7"/>
      <c r="P66" s="7"/>
      <c r="Q66" s="7"/>
      <c r="S66" s="7"/>
      <c r="T66" s="7"/>
      <c r="U66" s="7"/>
      <c r="V66" s="7"/>
      <c r="X66" s="7"/>
      <c r="Y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R66" s="7"/>
      <c r="AS66" s="7"/>
      <c r="AT66" s="7"/>
      <c r="AU66" s="7"/>
      <c r="AW66" s="7"/>
      <c r="AX66" s="7"/>
      <c r="AZ66" s="7"/>
      <c r="BA66" s="7"/>
      <c r="BB66" s="7"/>
      <c r="BC66" s="7"/>
      <c r="BD66" s="7"/>
      <c r="BE66" s="7"/>
      <c r="BG66" s="7"/>
      <c r="BH66" s="7"/>
      <c r="BI66" s="7"/>
      <c r="BJ66" s="7"/>
      <c r="BK66" s="7"/>
      <c r="BL66" s="7"/>
      <c r="BM66" s="7"/>
      <c r="BN66" s="7"/>
      <c r="BP66" s="7"/>
      <c r="BQ66" s="7"/>
      <c r="BR66" s="7"/>
      <c r="BS66" s="7"/>
      <c r="BT66" s="7"/>
      <c r="BU66" s="7"/>
      <c r="BV66" s="7"/>
      <c r="BW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</row>
    <row r="67" spans="5:98" x14ac:dyDescent="0.3">
      <c r="E67" s="7"/>
      <c r="F67" s="7"/>
      <c r="H67" s="7"/>
      <c r="I67" s="7"/>
      <c r="J67" s="7"/>
      <c r="K67" s="7"/>
      <c r="M67" s="7"/>
      <c r="N67" s="7"/>
      <c r="P67" s="7"/>
      <c r="Q67" s="7"/>
      <c r="S67" s="7"/>
      <c r="T67" s="7"/>
      <c r="U67" s="7"/>
      <c r="V67" s="7"/>
      <c r="X67" s="7"/>
      <c r="Y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R67" s="7"/>
      <c r="AS67" s="7"/>
      <c r="AT67" s="7"/>
      <c r="AU67" s="7"/>
      <c r="AW67" s="7"/>
      <c r="AX67" s="7"/>
      <c r="AZ67" s="7"/>
      <c r="BA67" s="7"/>
      <c r="BB67" s="7"/>
      <c r="BC67" s="7"/>
      <c r="BD67" s="7"/>
      <c r="BE67" s="7"/>
      <c r="BG67" s="7"/>
      <c r="BH67" s="7"/>
      <c r="BI67" s="7"/>
      <c r="BJ67" s="7"/>
      <c r="BK67" s="7"/>
      <c r="BL67" s="7"/>
      <c r="BM67" s="7"/>
      <c r="BN67" s="7"/>
      <c r="BP67" s="7"/>
      <c r="BQ67" s="7"/>
      <c r="BR67" s="7"/>
      <c r="BS67" s="7"/>
      <c r="BT67" s="7"/>
      <c r="BU67" s="7"/>
      <c r="BV67" s="7"/>
      <c r="BW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</row>
    <row r="68" spans="5:98" x14ac:dyDescent="0.3">
      <c r="E68" s="7"/>
      <c r="F68" s="7"/>
      <c r="H68" s="7"/>
      <c r="I68" s="7"/>
      <c r="J68" s="7"/>
      <c r="K68" s="7"/>
      <c r="M68" s="7"/>
      <c r="N68" s="7"/>
      <c r="P68" s="7"/>
      <c r="Q68" s="7"/>
      <c r="S68" s="7"/>
      <c r="T68" s="7"/>
      <c r="U68" s="7"/>
      <c r="V68" s="7"/>
      <c r="X68" s="7"/>
      <c r="Y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R68" s="7"/>
      <c r="AS68" s="7"/>
      <c r="AT68" s="7"/>
      <c r="AU68" s="7"/>
      <c r="AW68" s="7"/>
      <c r="AX68" s="7"/>
      <c r="AZ68" s="7"/>
      <c r="BA68" s="7"/>
      <c r="BB68" s="7"/>
      <c r="BC68" s="7"/>
      <c r="BD68" s="7"/>
      <c r="BE68" s="7"/>
      <c r="BG68" s="7"/>
      <c r="BH68" s="7"/>
      <c r="BI68" s="7"/>
      <c r="BJ68" s="7"/>
      <c r="BK68" s="7"/>
      <c r="BL68" s="7"/>
      <c r="BM68" s="7"/>
      <c r="BN68" s="7"/>
      <c r="BP68" s="7"/>
      <c r="BQ68" s="7"/>
      <c r="BR68" s="7"/>
      <c r="BS68" s="7"/>
      <c r="BT68" s="7"/>
      <c r="BU68" s="7"/>
      <c r="BV68" s="7"/>
      <c r="BW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</row>
    <row r="69" spans="5:98" x14ac:dyDescent="0.3">
      <c r="E69" s="7"/>
      <c r="F69" s="7"/>
      <c r="H69" s="7"/>
      <c r="I69" s="7"/>
      <c r="J69" s="7"/>
      <c r="K69" s="7"/>
      <c r="M69" s="7"/>
      <c r="N69" s="7"/>
      <c r="P69" s="7"/>
      <c r="Q69" s="7"/>
      <c r="S69" s="7"/>
      <c r="T69" s="7"/>
      <c r="U69" s="7"/>
      <c r="V69" s="7"/>
      <c r="X69" s="7"/>
      <c r="Y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R69" s="7"/>
      <c r="AS69" s="7"/>
      <c r="AT69" s="7"/>
      <c r="AU69" s="7"/>
      <c r="AW69" s="7"/>
      <c r="AX69" s="7"/>
      <c r="AZ69" s="7"/>
      <c r="BA69" s="7"/>
      <c r="BB69" s="7"/>
      <c r="BC69" s="7"/>
      <c r="BD69" s="7"/>
      <c r="BE69" s="7"/>
      <c r="BG69" s="7"/>
      <c r="BH69" s="7"/>
      <c r="BI69" s="7"/>
      <c r="BJ69" s="7"/>
      <c r="BK69" s="7"/>
      <c r="BL69" s="7"/>
      <c r="BM69" s="7"/>
      <c r="BN69" s="7"/>
      <c r="BP69" s="7"/>
      <c r="BQ69" s="7"/>
      <c r="BR69" s="7"/>
      <c r="BS69" s="7"/>
      <c r="BT69" s="7"/>
      <c r="BU69" s="7"/>
      <c r="BV69" s="7"/>
      <c r="BW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</row>
    <row r="70" spans="5:98" x14ac:dyDescent="0.3">
      <c r="E70" s="7"/>
      <c r="F70" s="7"/>
      <c r="H70" s="7"/>
      <c r="I70" s="7"/>
      <c r="J70" s="7"/>
      <c r="K70" s="7"/>
      <c r="M70" s="7"/>
      <c r="N70" s="7"/>
      <c r="P70" s="7"/>
      <c r="Q70" s="7"/>
      <c r="S70" s="7"/>
      <c r="T70" s="7"/>
      <c r="U70" s="7"/>
      <c r="V70" s="7"/>
      <c r="X70" s="7"/>
      <c r="Y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R70" s="7"/>
      <c r="AS70" s="7"/>
      <c r="AT70" s="7"/>
      <c r="AU70" s="7"/>
      <c r="AW70" s="7"/>
      <c r="AX70" s="7"/>
      <c r="AZ70" s="7"/>
      <c r="BA70" s="7"/>
      <c r="BB70" s="7"/>
      <c r="BC70" s="7"/>
      <c r="BD70" s="7"/>
      <c r="BE70" s="7"/>
      <c r="BG70" s="7"/>
      <c r="BH70" s="7"/>
      <c r="BI70" s="7"/>
      <c r="BJ70" s="7"/>
      <c r="BK70" s="7"/>
      <c r="BL70" s="7"/>
      <c r="BM70" s="7"/>
      <c r="BN70" s="7"/>
      <c r="BP70" s="7"/>
      <c r="BQ70" s="7"/>
      <c r="BR70" s="7"/>
      <c r="BS70" s="7"/>
      <c r="BT70" s="7"/>
      <c r="BU70" s="7"/>
      <c r="BV70" s="7"/>
      <c r="BW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</row>
    <row r="71" spans="5:98" x14ac:dyDescent="0.3">
      <c r="E71" s="7"/>
      <c r="F71" s="7"/>
      <c r="H71" s="7"/>
      <c r="I71" s="7"/>
      <c r="J71" s="7"/>
      <c r="K71" s="7"/>
      <c r="M71" s="7"/>
      <c r="N71" s="7"/>
      <c r="P71" s="7"/>
      <c r="Q71" s="7"/>
      <c r="S71" s="7"/>
      <c r="T71" s="7"/>
      <c r="U71" s="7"/>
      <c r="V71" s="7"/>
      <c r="X71" s="7"/>
      <c r="Y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R71" s="7"/>
      <c r="AS71" s="7"/>
      <c r="AT71" s="7"/>
      <c r="AU71" s="7"/>
      <c r="AW71" s="7"/>
      <c r="AX71" s="7"/>
      <c r="AZ71" s="7"/>
      <c r="BA71" s="7"/>
      <c r="BB71" s="7"/>
      <c r="BC71" s="7"/>
      <c r="BD71" s="7"/>
      <c r="BE71" s="7"/>
      <c r="BG71" s="7"/>
      <c r="BH71" s="7"/>
      <c r="BI71" s="7"/>
      <c r="BJ71" s="7"/>
      <c r="BK71" s="7"/>
      <c r="BL71" s="7"/>
      <c r="BM71" s="7"/>
      <c r="BN71" s="7"/>
      <c r="BP71" s="7"/>
      <c r="BQ71" s="7"/>
      <c r="BR71" s="7"/>
      <c r="BS71" s="7"/>
      <c r="BT71" s="7"/>
      <c r="BU71" s="7"/>
      <c r="BV71" s="7"/>
      <c r="BW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</row>
    <row r="72" spans="5:98" x14ac:dyDescent="0.3">
      <c r="E72" s="7"/>
      <c r="F72" s="7"/>
      <c r="H72" s="7"/>
      <c r="I72" s="7"/>
      <c r="J72" s="7"/>
      <c r="K72" s="7"/>
      <c r="M72" s="7"/>
      <c r="N72" s="7"/>
      <c r="P72" s="7"/>
      <c r="Q72" s="7"/>
      <c r="S72" s="7"/>
      <c r="T72" s="7"/>
      <c r="U72" s="7"/>
      <c r="V72" s="7"/>
      <c r="X72" s="7"/>
      <c r="Y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R72" s="7"/>
      <c r="AS72" s="7"/>
      <c r="AT72" s="7"/>
      <c r="AU72" s="7"/>
      <c r="AW72" s="7"/>
      <c r="AX72" s="7"/>
      <c r="AZ72" s="7"/>
      <c r="BA72" s="7"/>
      <c r="BB72" s="7"/>
      <c r="BC72" s="7"/>
      <c r="BD72" s="7"/>
      <c r="BE72" s="7"/>
      <c r="BG72" s="7"/>
      <c r="BH72" s="7"/>
      <c r="BI72" s="7"/>
      <c r="BJ72" s="7"/>
      <c r="BK72" s="7"/>
      <c r="BL72" s="7"/>
      <c r="BM72" s="7"/>
      <c r="BN72" s="7"/>
      <c r="BP72" s="7"/>
      <c r="BQ72" s="7"/>
      <c r="BR72" s="7"/>
      <c r="BS72" s="7"/>
      <c r="BT72" s="7"/>
      <c r="BU72" s="7"/>
      <c r="BV72" s="7"/>
      <c r="BW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</row>
    <row r="73" spans="5:98" x14ac:dyDescent="0.3">
      <c r="E73" s="7"/>
      <c r="F73" s="7"/>
      <c r="H73" s="7"/>
      <c r="I73" s="7"/>
      <c r="J73" s="7"/>
      <c r="K73" s="7"/>
      <c r="M73" s="7"/>
      <c r="N73" s="7"/>
      <c r="P73" s="7"/>
      <c r="Q73" s="7"/>
      <c r="S73" s="7"/>
      <c r="T73" s="7"/>
      <c r="U73" s="7"/>
      <c r="V73" s="7"/>
      <c r="X73" s="7"/>
      <c r="Y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R73" s="7"/>
      <c r="AS73" s="7"/>
      <c r="AT73" s="7"/>
      <c r="AU73" s="7"/>
      <c r="AW73" s="7"/>
      <c r="AX73" s="7"/>
      <c r="AZ73" s="7"/>
      <c r="BA73" s="7"/>
      <c r="BB73" s="7"/>
      <c r="BC73" s="7"/>
      <c r="BD73" s="7"/>
      <c r="BE73" s="7"/>
      <c r="BG73" s="7"/>
      <c r="BH73" s="7"/>
      <c r="BI73" s="7"/>
      <c r="BJ73" s="7"/>
      <c r="BK73" s="7"/>
      <c r="BL73" s="7"/>
      <c r="BM73" s="7"/>
      <c r="BN73" s="7"/>
      <c r="BP73" s="7"/>
      <c r="BQ73" s="7"/>
      <c r="BR73" s="7"/>
      <c r="BS73" s="7"/>
      <c r="BT73" s="7"/>
      <c r="BU73" s="7"/>
      <c r="BV73" s="7"/>
      <c r="BW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</row>
    <row r="74" spans="5:98" x14ac:dyDescent="0.3">
      <c r="E74" s="7"/>
      <c r="F74" s="7"/>
      <c r="H74" s="7"/>
      <c r="I74" s="7"/>
      <c r="J74" s="7"/>
      <c r="K74" s="7"/>
      <c r="M74" s="7"/>
      <c r="N74" s="7"/>
      <c r="P74" s="7"/>
      <c r="Q74" s="7"/>
      <c r="S74" s="7"/>
      <c r="T74" s="7"/>
      <c r="U74" s="7"/>
      <c r="V74" s="7"/>
      <c r="X74" s="7"/>
      <c r="Y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R74" s="7"/>
      <c r="AS74" s="7"/>
      <c r="AT74" s="7"/>
      <c r="AU74" s="7"/>
      <c r="AW74" s="7"/>
      <c r="AX74" s="7"/>
      <c r="AZ74" s="7"/>
      <c r="BA74" s="7"/>
      <c r="BB74" s="7"/>
      <c r="BC74" s="7"/>
      <c r="BD74" s="7"/>
      <c r="BE74" s="7"/>
      <c r="BG74" s="7"/>
      <c r="BH74" s="7"/>
      <c r="BI74" s="7"/>
      <c r="BJ74" s="7"/>
      <c r="BK74" s="7"/>
      <c r="BL74" s="7"/>
      <c r="BM74" s="7"/>
      <c r="BN74" s="7"/>
      <c r="BP74" s="7"/>
      <c r="BQ74" s="7"/>
      <c r="BR74" s="7"/>
      <c r="BS74" s="7"/>
      <c r="BT74" s="7"/>
      <c r="BU74" s="7"/>
      <c r="BV74" s="7"/>
      <c r="BW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</row>
    <row r="75" spans="5:98" x14ac:dyDescent="0.3">
      <c r="E75" s="7"/>
      <c r="F75" s="7"/>
      <c r="H75" s="7"/>
      <c r="I75" s="7"/>
      <c r="J75" s="7"/>
      <c r="K75" s="7"/>
      <c r="M75" s="7"/>
      <c r="N75" s="7"/>
      <c r="P75" s="7"/>
      <c r="Q75" s="7"/>
      <c r="S75" s="7"/>
      <c r="T75" s="7"/>
      <c r="U75" s="7"/>
      <c r="V75" s="7"/>
      <c r="X75" s="7"/>
      <c r="Y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R75" s="7"/>
      <c r="AS75" s="7"/>
      <c r="AT75" s="7"/>
      <c r="AU75" s="7"/>
      <c r="AW75" s="7"/>
      <c r="AX75" s="7"/>
      <c r="AZ75" s="7"/>
      <c r="BA75" s="7"/>
      <c r="BB75" s="7"/>
      <c r="BC75" s="7"/>
      <c r="BD75" s="7"/>
      <c r="BE75" s="7"/>
      <c r="BG75" s="7"/>
      <c r="BH75" s="7"/>
      <c r="BI75" s="7"/>
      <c r="BJ75" s="7"/>
      <c r="BK75" s="7"/>
      <c r="BL75" s="7"/>
      <c r="BM75" s="7"/>
      <c r="BN75" s="7"/>
      <c r="BP75" s="7"/>
      <c r="BQ75" s="7"/>
      <c r="BR75" s="7"/>
      <c r="BS75" s="7"/>
      <c r="BT75" s="7"/>
      <c r="BU75" s="7"/>
      <c r="BV75" s="7"/>
      <c r="BW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</row>
    <row r="76" spans="5:98" x14ac:dyDescent="0.3">
      <c r="E76" s="7"/>
      <c r="F76" s="7"/>
      <c r="H76" s="7"/>
      <c r="I76" s="7"/>
      <c r="J76" s="7"/>
      <c r="K76" s="7"/>
      <c r="M76" s="7"/>
      <c r="N76" s="7"/>
      <c r="P76" s="7"/>
      <c r="Q76" s="7"/>
      <c r="S76" s="7"/>
      <c r="T76" s="7"/>
      <c r="U76" s="7"/>
      <c r="V76" s="7"/>
      <c r="X76" s="7"/>
      <c r="Y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R76" s="7"/>
      <c r="AS76" s="7"/>
      <c r="AT76" s="7"/>
      <c r="AU76" s="7"/>
      <c r="AW76" s="7"/>
      <c r="AX76" s="7"/>
      <c r="AZ76" s="7"/>
      <c r="BA76" s="7"/>
      <c r="BB76" s="7"/>
      <c r="BC76" s="7"/>
      <c r="BD76" s="7"/>
      <c r="BE76" s="7"/>
      <c r="BG76" s="7"/>
      <c r="BH76" s="7"/>
      <c r="BI76" s="7"/>
      <c r="BJ76" s="7"/>
      <c r="BK76" s="7"/>
      <c r="BL76" s="7"/>
      <c r="BM76" s="7"/>
      <c r="BN76" s="7"/>
      <c r="BP76" s="7"/>
      <c r="BQ76" s="7"/>
      <c r="BR76" s="7"/>
      <c r="BS76" s="7"/>
      <c r="BT76" s="7"/>
      <c r="BU76" s="7"/>
      <c r="BV76" s="7"/>
      <c r="BW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</row>
    <row r="77" spans="5:98" x14ac:dyDescent="0.3">
      <c r="E77" s="7"/>
      <c r="F77" s="7"/>
      <c r="H77" s="7"/>
      <c r="I77" s="7"/>
      <c r="J77" s="7"/>
      <c r="K77" s="7"/>
      <c r="M77" s="7"/>
      <c r="N77" s="7"/>
      <c r="P77" s="7"/>
      <c r="Q77" s="7"/>
      <c r="S77" s="7"/>
      <c r="T77" s="7"/>
      <c r="U77" s="7"/>
      <c r="V77" s="7"/>
      <c r="X77" s="7"/>
      <c r="Y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R77" s="7"/>
      <c r="AS77" s="7"/>
      <c r="AT77" s="7"/>
      <c r="AU77" s="7"/>
      <c r="AW77" s="7"/>
      <c r="AX77" s="7"/>
      <c r="AZ77" s="7"/>
      <c r="BA77" s="7"/>
      <c r="BB77" s="7"/>
      <c r="BC77" s="7"/>
      <c r="BD77" s="7"/>
      <c r="BE77" s="7"/>
      <c r="BG77" s="7"/>
      <c r="BH77" s="7"/>
      <c r="BI77" s="7"/>
      <c r="BJ77" s="7"/>
      <c r="BK77" s="7"/>
      <c r="BL77" s="7"/>
      <c r="BM77" s="7"/>
      <c r="BN77" s="7"/>
      <c r="BP77" s="7"/>
      <c r="BQ77" s="7"/>
      <c r="BR77" s="7"/>
      <c r="BS77" s="7"/>
      <c r="BT77" s="7"/>
      <c r="BU77" s="7"/>
      <c r="BV77" s="7"/>
      <c r="BW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</row>
    <row r="78" spans="5:98" x14ac:dyDescent="0.3">
      <c r="E78" s="7"/>
      <c r="F78" s="7"/>
      <c r="H78" s="7"/>
      <c r="I78" s="7"/>
      <c r="J78" s="7"/>
      <c r="K78" s="7"/>
      <c r="M78" s="7"/>
      <c r="N78" s="7"/>
      <c r="P78" s="7"/>
      <c r="Q78" s="7"/>
      <c r="S78" s="7"/>
      <c r="T78" s="7"/>
      <c r="U78" s="7"/>
      <c r="V78" s="7"/>
      <c r="X78" s="7"/>
      <c r="Y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R78" s="7"/>
      <c r="AS78" s="7"/>
      <c r="AT78" s="7"/>
      <c r="AU78" s="7"/>
      <c r="AW78" s="7"/>
      <c r="AX78" s="7"/>
      <c r="AZ78" s="7"/>
      <c r="BA78" s="7"/>
      <c r="BB78" s="7"/>
      <c r="BC78" s="7"/>
      <c r="BD78" s="7"/>
      <c r="BE78" s="7"/>
      <c r="BG78" s="7"/>
      <c r="BH78" s="7"/>
      <c r="BI78" s="7"/>
      <c r="BJ78" s="7"/>
      <c r="BK78" s="7"/>
      <c r="BL78" s="7"/>
      <c r="BM78" s="7"/>
      <c r="BN78" s="7"/>
      <c r="BP78" s="7"/>
      <c r="BQ78" s="7"/>
      <c r="BR78" s="7"/>
      <c r="BS78" s="7"/>
      <c r="BT78" s="7"/>
      <c r="BU78" s="7"/>
      <c r="BV78" s="7"/>
      <c r="BW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</row>
    <row r="79" spans="5:98" x14ac:dyDescent="0.3">
      <c r="E79" s="7"/>
      <c r="F79" s="7"/>
      <c r="H79" s="7"/>
      <c r="I79" s="7"/>
      <c r="J79" s="7"/>
      <c r="K79" s="7"/>
      <c r="M79" s="7"/>
      <c r="N79" s="7"/>
      <c r="P79" s="7"/>
      <c r="Q79" s="7"/>
      <c r="S79" s="7"/>
      <c r="T79" s="7"/>
      <c r="U79" s="7"/>
      <c r="V79" s="7"/>
      <c r="X79" s="7"/>
      <c r="Y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R79" s="7"/>
      <c r="AS79" s="7"/>
      <c r="AT79" s="7"/>
      <c r="AU79" s="7"/>
      <c r="AW79" s="7"/>
      <c r="AX79" s="7"/>
      <c r="AZ79" s="7"/>
      <c r="BA79" s="7"/>
      <c r="BB79" s="7"/>
      <c r="BC79" s="7"/>
      <c r="BD79" s="7"/>
      <c r="BE79" s="7"/>
      <c r="BG79" s="7"/>
      <c r="BH79" s="7"/>
      <c r="BI79" s="7"/>
      <c r="BJ79" s="7"/>
      <c r="BK79" s="7"/>
      <c r="BL79" s="7"/>
      <c r="BM79" s="7"/>
      <c r="BN79" s="7"/>
      <c r="BP79" s="7"/>
      <c r="BQ79" s="7"/>
      <c r="BR79" s="7"/>
      <c r="BS79" s="7"/>
      <c r="BT79" s="7"/>
      <c r="BU79" s="7"/>
      <c r="BV79" s="7"/>
      <c r="BW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</row>
    <row r="80" spans="5:98" x14ac:dyDescent="0.3">
      <c r="E80" s="7"/>
      <c r="F80" s="7"/>
      <c r="H80" s="7"/>
      <c r="I80" s="7"/>
      <c r="J80" s="7"/>
      <c r="K80" s="7"/>
      <c r="M80" s="7"/>
      <c r="N80" s="7"/>
      <c r="P80" s="7"/>
      <c r="Q80" s="7"/>
      <c r="S80" s="7"/>
      <c r="T80" s="7"/>
      <c r="U80" s="7"/>
      <c r="V80" s="7"/>
      <c r="X80" s="7"/>
      <c r="Y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R80" s="7"/>
      <c r="AS80" s="7"/>
      <c r="AT80" s="7"/>
      <c r="AU80" s="7"/>
      <c r="AW80" s="7"/>
      <c r="AX80" s="7"/>
      <c r="AZ80" s="7"/>
      <c r="BA80" s="7"/>
      <c r="BB80" s="7"/>
      <c r="BC80" s="7"/>
      <c r="BD80" s="7"/>
      <c r="BE80" s="7"/>
      <c r="BG80" s="7"/>
      <c r="BH80" s="7"/>
      <c r="BI80" s="7"/>
      <c r="BJ80" s="7"/>
      <c r="BK80" s="7"/>
      <c r="BL80" s="7"/>
      <c r="BM80" s="7"/>
      <c r="BN80" s="7"/>
      <c r="BP80" s="7"/>
      <c r="BQ80" s="7"/>
      <c r="BR80" s="7"/>
      <c r="BS80" s="7"/>
      <c r="BT80" s="7"/>
      <c r="BU80" s="7"/>
      <c r="BV80" s="7"/>
      <c r="BW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</row>
    <row r="81" spans="5:98" x14ac:dyDescent="0.3">
      <c r="E81" s="7"/>
      <c r="F81" s="7"/>
      <c r="H81" s="7"/>
      <c r="I81" s="7"/>
      <c r="J81" s="7"/>
      <c r="K81" s="7"/>
      <c r="M81" s="7"/>
      <c r="N81" s="7"/>
      <c r="P81" s="7"/>
      <c r="Q81" s="7"/>
      <c r="S81" s="7"/>
      <c r="T81" s="7"/>
      <c r="U81" s="7"/>
      <c r="V81" s="7"/>
      <c r="X81" s="7"/>
      <c r="Y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R81" s="7"/>
      <c r="AS81" s="7"/>
      <c r="AT81" s="7"/>
      <c r="AU81" s="7"/>
      <c r="AW81" s="7"/>
      <c r="AX81" s="7"/>
      <c r="AZ81" s="7"/>
      <c r="BA81" s="7"/>
      <c r="BB81" s="7"/>
      <c r="BC81" s="7"/>
      <c r="BD81" s="7"/>
      <c r="BE81" s="7"/>
      <c r="BG81" s="7"/>
      <c r="BH81" s="7"/>
      <c r="BI81" s="7"/>
      <c r="BJ81" s="7"/>
      <c r="BK81" s="7"/>
      <c r="BL81" s="7"/>
      <c r="BM81" s="7"/>
      <c r="BN81" s="7"/>
      <c r="BP81" s="7"/>
      <c r="BQ81" s="7"/>
      <c r="BR81" s="7"/>
      <c r="BS81" s="7"/>
      <c r="BT81" s="7"/>
      <c r="BU81" s="7"/>
      <c r="BV81" s="7"/>
      <c r="BW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</row>
    <row r="82" spans="5:98" x14ac:dyDescent="0.3">
      <c r="E82" s="7"/>
      <c r="F82" s="7"/>
      <c r="H82" s="7"/>
      <c r="I82" s="7"/>
      <c r="J82" s="7"/>
      <c r="K82" s="7"/>
      <c r="M82" s="7"/>
      <c r="N82" s="7"/>
      <c r="P82" s="7"/>
      <c r="Q82" s="7"/>
      <c r="S82" s="7"/>
      <c r="T82" s="7"/>
      <c r="U82" s="7"/>
      <c r="V82" s="7"/>
      <c r="X82" s="7"/>
      <c r="Y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R82" s="7"/>
      <c r="AS82" s="7"/>
      <c r="AT82" s="7"/>
      <c r="AU82" s="7"/>
      <c r="AW82" s="7"/>
      <c r="AX82" s="7"/>
      <c r="AZ82" s="7"/>
      <c r="BA82" s="7"/>
      <c r="BB82" s="7"/>
      <c r="BC82" s="7"/>
      <c r="BD82" s="7"/>
      <c r="BE82" s="7"/>
      <c r="BG82" s="7"/>
      <c r="BH82" s="7"/>
      <c r="BI82" s="7"/>
      <c r="BJ82" s="7"/>
      <c r="BK82" s="7"/>
      <c r="BL82" s="7"/>
      <c r="BM82" s="7"/>
      <c r="BN82" s="7"/>
      <c r="BP82" s="7"/>
      <c r="BQ82" s="7"/>
      <c r="BR82" s="7"/>
      <c r="BS82" s="7"/>
      <c r="BT82" s="7"/>
      <c r="BU82" s="7"/>
      <c r="BV82" s="7"/>
      <c r="BW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</row>
    <row r="83" spans="5:98" x14ac:dyDescent="0.3">
      <c r="E83" s="7"/>
      <c r="F83" s="7"/>
      <c r="H83" s="7"/>
      <c r="I83" s="7"/>
      <c r="J83" s="7"/>
      <c r="K83" s="7"/>
      <c r="M83" s="7"/>
      <c r="N83" s="7"/>
      <c r="P83" s="7"/>
      <c r="Q83" s="7"/>
      <c r="S83" s="7"/>
      <c r="T83" s="7"/>
      <c r="U83" s="7"/>
      <c r="V83" s="7"/>
      <c r="X83" s="7"/>
      <c r="Y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R83" s="7"/>
      <c r="AS83" s="7"/>
      <c r="AT83" s="7"/>
      <c r="AU83" s="7"/>
      <c r="AW83" s="7"/>
      <c r="AX83" s="7"/>
      <c r="AZ83" s="7"/>
      <c r="BA83" s="7"/>
      <c r="BB83" s="7"/>
      <c r="BC83" s="7"/>
      <c r="BD83" s="7"/>
      <c r="BE83" s="7"/>
      <c r="BG83" s="7"/>
      <c r="BH83" s="7"/>
      <c r="BI83" s="7"/>
      <c r="BJ83" s="7"/>
      <c r="BK83" s="7"/>
      <c r="BL83" s="7"/>
      <c r="BM83" s="7"/>
      <c r="BN83" s="7"/>
      <c r="BP83" s="7"/>
      <c r="BQ83" s="7"/>
      <c r="BR83" s="7"/>
      <c r="BS83" s="7"/>
      <c r="BT83" s="7"/>
      <c r="BU83" s="7"/>
      <c r="BV83" s="7"/>
      <c r="BW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</row>
    <row r="84" spans="5:98" x14ac:dyDescent="0.3">
      <c r="E84" s="7"/>
      <c r="F84" s="7"/>
      <c r="H84" s="7"/>
      <c r="I84" s="7"/>
      <c r="J84" s="7"/>
      <c r="K84" s="7"/>
      <c r="M84" s="7"/>
      <c r="N84" s="7"/>
      <c r="P84" s="7"/>
      <c r="Q84" s="7"/>
      <c r="S84" s="7"/>
      <c r="T84" s="7"/>
      <c r="U84" s="7"/>
      <c r="V84" s="7"/>
      <c r="X84" s="7"/>
      <c r="Y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R84" s="7"/>
      <c r="AS84" s="7"/>
      <c r="AT84" s="7"/>
      <c r="AU84" s="7"/>
      <c r="AW84" s="7"/>
      <c r="AX84" s="7"/>
      <c r="AZ84" s="7"/>
      <c r="BA84" s="7"/>
      <c r="BB84" s="7"/>
      <c r="BC84" s="7"/>
      <c r="BD84" s="7"/>
      <c r="BE84" s="7"/>
      <c r="BG84" s="7"/>
      <c r="BH84" s="7"/>
      <c r="BI84" s="7"/>
      <c r="BJ84" s="7"/>
      <c r="BK84" s="7"/>
      <c r="BL84" s="7"/>
      <c r="BM84" s="7"/>
      <c r="BN84" s="7"/>
      <c r="BP84" s="7"/>
      <c r="BQ84" s="7"/>
      <c r="BR84" s="7"/>
      <c r="BS84" s="7"/>
      <c r="BT84" s="7"/>
      <c r="BU84" s="7"/>
      <c r="BV84" s="7"/>
      <c r="BW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</row>
    <row r="85" spans="5:98" x14ac:dyDescent="0.3">
      <c r="E85" s="7"/>
      <c r="F85" s="7"/>
      <c r="H85" s="7"/>
      <c r="I85" s="7"/>
      <c r="J85" s="7"/>
      <c r="K85" s="7"/>
      <c r="M85" s="7"/>
      <c r="N85" s="7"/>
      <c r="P85" s="7"/>
      <c r="Q85" s="7"/>
      <c r="S85" s="7"/>
      <c r="T85" s="7"/>
      <c r="U85" s="7"/>
      <c r="V85" s="7"/>
      <c r="X85" s="7"/>
      <c r="Y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R85" s="7"/>
      <c r="AS85" s="7"/>
      <c r="AT85" s="7"/>
      <c r="AU85" s="7"/>
      <c r="AW85" s="7"/>
      <c r="AX85" s="7"/>
      <c r="AZ85" s="7"/>
      <c r="BA85" s="7"/>
      <c r="BB85" s="7"/>
      <c r="BC85" s="7"/>
      <c r="BD85" s="7"/>
      <c r="BE85" s="7"/>
      <c r="BG85" s="7"/>
      <c r="BH85" s="7"/>
      <c r="BI85" s="7"/>
      <c r="BJ85" s="7"/>
      <c r="BK85" s="7"/>
      <c r="BL85" s="7"/>
      <c r="BM85" s="7"/>
      <c r="BN85" s="7"/>
      <c r="BP85" s="7"/>
      <c r="BQ85" s="7"/>
      <c r="BR85" s="7"/>
      <c r="BS85" s="7"/>
      <c r="BT85" s="7"/>
      <c r="BU85" s="7"/>
      <c r="BV85" s="7"/>
      <c r="BW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</row>
    <row r="86" spans="5:98" x14ac:dyDescent="0.3">
      <c r="E86" s="7"/>
      <c r="F86" s="7"/>
      <c r="H86" s="7"/>
      <c r="I86" s="7"/>
      <c r="J86" s="7"/>
      <c r="K86" s="7"/>
      <c r="M86" s="7"/>
      <c r="N86" s="7"/>
      <c r="P86" s="7"/>
      <c r="Q86" s="7"/>
      <c r="S86" s="7"/>
      <c r="T86" s="7"/>
      <c r="U86" s="7"/>
      <c r="V86" s="7"/>
      <c r="X86" s="7"/>
      <c r="Y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R86" s="7"/>
      <c r="AS86" s="7"/>
      <c r="AT86" s="7"/>
      <c r="AU86" s="7"/>
      <c r="AW86" s="7"/>
      <c r="AX86" s="7"/>
      <c r="AZ86" s="7"/>
      <c r="BA86" s="7"/>
      <c r="BB86" s="7"/>
      <c r="BC86" s="7"/>
      <c r="BD86" s="7"/>
      <c r="BE86" s="7"/>
      <c r="BG86" s="7"/>
      <c r="BH86" s="7"/>
      <c r="BI86" s="7"/>
      <c r="BJ86" s="7"/>
      <c r="BK86" s="7"/>
      <c r="BL86" s="7"/>
      <c r="BM86" s="7"/>
      <c r="BN86" s="7"/>
      <c r="BP86" s="7"/>
      <c r="BQ86" s="7"/>
      <c r="BR86" s="7"/>
      <c r="BS86" s="7"/>
      <c r="BT86" s="7"/>
      <c r="BU86" s="7"/>
      <c r="BV86" s="7"/>
      <c r="BW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</row>
    <row r="87" spans="5:98" x14ac:dyDescent="0.3">
      <c r="E87" s="7"/>
      <c r="F87" s="7"/>
      <c r="H87" s="7"/>
      <c r="I87" s="7"/>
      <c r="J87" s="7"/>
      <c r="K87" s="7"/>
      <c r="M87" s="7"/>
      <c r="N87" s="7"/>
      <c r="P87" s="7"/>
      <c r="Q87" s="7"/>
      <c r="S87" s="7"/>
      <c r="T87" s="7"/>
      <c r="U87" s="7"/>
      <c r="V87" s="7"/>
      <c r="X87" s="7"/>
      <c r="Y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R87" s="7"/>
      <c r="AS87" s="7"/>
      <c r="AT87" s="7"/>
      <c r="AU87" s="7"/>
      <c r="AW87" s="7"/>
      <c r="AX87" s="7"/>
      <c r="AZ87" s="7"/>
      <c r="BA87" s="7"/>
      <c r="BB87" s="7"/>
      <c r="BC87" s="7"/>
      <c r="BD87" s="7"/>
      <c r="BE87" s="7"/>
      <c r="BG87" s="7"/>
      <c r="BH87" s="7"/>
      <c r="BI87" s="7"/>
      <c r="BJ87" s="7"/>
      <c r="BK87" s="7"/>
      <c r="BL87" s="7"/>
      <c r="BM87" s="7"/>
      <c r="BN87" s="7"/>
      <c r="BP87" s="7"/>
      <c r="BQ87" s="7"/>
      <c r="BR87" s="7"/>
      <c r="BS87" s="7"/>
      <c r="BT87" s="7"/>
      <c r="BU87" s="7"/>
      <c r="BV87" s="7"/>
      <c r="BW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</row>
    <row r="88" spans="5:98" x14ac:dyDescent="0.3">
      <c r="E88" s="7"/>
      <c r="F88" s="7"/>
      <c r="H88" s="7"/>
      <c r="I88" s="7"/>
      <c r="J88" s="7"/>
      <c r="K88" s="7"/>
      <c r="M88" s="7"/>
      <c r="N88" s="7"/>
      <c r="P88" s="7"/>
      <c r="Q88" s="7"/>
      <c r="S88" s="7"/>
      <c r="T88" s="7"/>
      <c r="U88" s="7"/>
      <c r="V88" s="7"/>
      <c r="X88" s="7"/>
      <c r="Y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R88" s="7"/>
      <c r="AS88" s="7"/>
      <c r="AT88" s="7"/>
      <c r="AU88" s="7"/>
      <c r="AW88" s="7"/>
      <c r="AX88" s="7"/>
      <c r="AZ88" s="7"/>
      <c r="BA88" s="7"/>
      <c r="BB88" s="7"/>
      <c r="BC88" s="7"/>
      <c r="BD88" s="7"/>
      <c r="BE88" s="7"/>
      <c r="BG88" s="7"/>
      <c r="BH88" s="7"/>
      <c r="BI88" s="7"/>
      <c r="BJ88" s="7"/>
      <c r="BK88" s="7"/>
      <c r="BL88" s="7"/>
      <c r="BM88" s="7"/>
      <c r="BN88" s="7"/>
      <c r="BP88" s="7"/>
      <c r="BQ88" s="7"/>
      <c r="BR88" s="7"/>
      <c r="BS88" s="7"/>
      <c r="BT88" s="7"/>
      <c r="BU88" s="7"/>
      <c r="BV88" s="7"/>
      <c r="BW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</row>
    <row r="89" spans="5:98" x14ac:dyDescent="0.3">
      <c r="E89" s="7"/>
      <c r="F89" s="7"/>
      <c r="H89" s="7"/>
      <c r="I89" s="7"/>
      <c r="J89" s="7"/>
      <c r="K89" s="7"/>
      <c r="M89" s="7"/>
      <c r="N89" s="7"/>
      <c r="P89" s="7"/>
      <c r="Q89" s="7"/>
      <c r="S89" s="7"/>
      <c r="T89" s="7"/>
      <c r="U89" s="7"/>
      <c r="V89" s="7"/>
      <c r="X89" s="7"/>
      <c r="Y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R89" s="7"/>
      <c r="AS89" s="7"/>
      <c r="AT89" s="7"/>
      <c r="AU89" s="7"/>
      <c r="AW89" s="7"/>
      <c r="AX89" s="7"/>
      <c r="AZ89" s="7"/>
      <c r="BA89" s="7"/>
      <c r="BB89" s="7"/>
      <c r="BC89" s="7"/>
      <c r="BD89" s="7"/>
      <c r="BE89" s="7"/>
      <c r="BG89" s="7"/>
      <c r="BH89" s="7"/>
      <c r="BI89" s="7"/>
      <c r="BJ89" s="7"/>
      <c r="BK89" s="7"/>
      <c r="BL89" s="7"/>
      <c r="BM89" s="7"/>
      <c r="BN89" s="7"/>
      <c r="BP89" s="7"/>
      <c r="BQ89" s="7"/>
      <c r="BR89" s="7"/>
      <c r="BS89" s="7"/>
      <c r="BT89" s="7"/>
      <c r="BU89" s="7"/>
      <c r="BV89" s="7"/>
      <c r="BW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</row>
    <row r="90" spans="5:98" x14ac:dyDescent="0.3">
      <c r="E90" s="7"/>
      <c r="F90" s="7"/>
      <c r="H90" s="7"/>
      <c r="I90" s="7"/>
      <c r="J90" s="7"/>
      <c r="K90" s="7"/>
      <c r="M90" s="7"/>
      <c r="N90" s="7"/>
      <c r="P90" s="7"/>
      <c r="Q90" s="7"/>
      <c r="S90" s="7"/>
      <c r="T90" s="7"/>
      <c r="U90" s="7"/>
      <c r="V90" s="7"/>
      <c r="X90" s="7"/>
      <c r="Y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R90" s="7"/>
      <c r="AS90" s="7"/>
      <c r="AT90" s="7"/>
      <c r="AU90" s="7"/>
      <c r="AW90" s="7"/>
      <c r="AX90" s="7"/>
      <c r="AZ90" s="7"/>
      <c r="BA90" s="7"/>
      <c r="BB90" s="7"/>
      <c r="BC90" s="7"/>
      <c r="BD90" s="7"/>
      <c r="BE90" s="7"/>
      <c r="BG90" s="7"/>
      <c r="BH90" s="7"/>
      <c r="BI90" s="7"/>
      <c r="BJ90" s="7"/>
      <c r="BK90" s="7"/>
      <c r="BL90" s="7"/>
      <c r="BM90" s="7"/>
      <c r="BN90" s="7"/>
      <c r="BP90" s="7"/>
      <c r="BQ90" s="7"/>
      <c r="BR90" s="7"/>
      <c r="BS90" s="7"/>
      <c r="BT90" s="7"/>
      <c r="BU90" s="7"/>
      <c r="BV90" s="7"/>
      <c r="BW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</row>
    <row r="91" spans="5:98" x14ac:dyDescent="0.3">
      <c r="E91" s="7"/>
      <c r="F91" s="7"/>
      <c r="H91" s="7"/>
      <c r="I91" s="7"/>
      <c r="J91" s="7"/>
      <c r="K91" s="7"/>
      <c r="M91" s="7"/>
      <c r="N91" s="7"/>
      <c r="P91" s="7"/>
      <c r="Q91" s="7"/>
      <c r="S91" s="7"/>
      <c r="T91" s="7"/>
      <c r="U91" s="7"/>
      <c r="V91" s="7"/>
      <c r="X91" s="7"/>
      <c r="Y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R91" s="7"/>
      <c r="AS91" s="7"/>
      <c r="AT91" s="7"/>
      <c r="AU91" s="7"/>
      <c r="AW91" s="7"/>
      <c r="AX91" s="7"/>
      <c r="AZ91" s="7"/>
      <c r="BA91" s="7"/>
      <c r="BB91" s="7"/>
      <c r="BC91" s="7"/>
      <c r="BD91" s="7"/>
      <c r="BE91" s="7"/>
      <c r="BG91" s="7"/>
      <c r="BH91" s="7"/>
      <c r="BI91" s="7"/>
      <c r="BJ91" s="7"/>
      <c r="BK91" s="7"/>
      <c r="BL91" s="7"/>
      <c r="BM91" s="7"/>
      <c r="BN91" s="7"/>
      <c r="BP91" s="7"/>
      <c r="BQ91" s="7"/>
      <c r="BR91" s="7"/>
      <c r="BS91" s="7"/>
      <c r="BT91" s="7"/>
      <c r="BU91" s="7"/>
      <c r="BV91" s="7"/>
      <c r="BW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</row>
    <row r="92" spans="5:98" x14ac:dyDescent="0.3">
      <c r="E92" s="7"/>
      <c r="F92" s="7"/>
      <c r="H92" s="7"/>
      <c r="I92" s="7"/>
      <c r="J92" s="7"/>
      <c r="K92" s="7"/>
      <c r="M92" s="7"/>
      <c r="N92" s="7"/>
      <c r="P92" s="7"/>
      <c r="Q92" s="7"/>
      <c r="S92" s="7"/>
      <c r="T92" s="7"/>
      <c r="U92" s="7"/>
      <c r="V92" s="7"/>
      <c r="X92" s="7"/>
      <c r="Y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R92" s="7"/>
      <c r="AS92" s="7"/>
      <c r="AT92" s="7"/>
      <c r="AU92" s="7"/>
      <c r="AW92" s="7"/>
      <c r="AX92" s="7"/>
      <c r="AZ92" s="7"/>
      <c r="BA92" s="7"/>
      <c r="BB92" s="7"/>
      <c r="BC92" s="7"/>
      <c r="BD92" s="7"/>
      <c r="BE92" s="7"/>
      <c r="BG92" s="7"/>
      <c r="BH92" s="7"/>
      <c r="BI92" s="7"/>
      <c r="BJ92" s="7"/>
      <c r="BK92" s="7"/>
      <c r="BL92" s="7"/>
      <c r="BM92" s="7"/>
      <c r="BN92" s="7"/>
      <c r="BP92" s="7"/>
      <c r="BQ92" s="7"/>
      <c r="BR92" s="7"/>
      <c r="BS92" s="7"/>
      <c r="BT92" s="7"/>
      <c r="BU92" s="7"/>
      <c r="BV92" s="7"/>
      <c r="BW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</row>
    <row r="93" spans="5:98" x14ac:dyDescent="0.3">
      <c r="E93" s="7"/>
      <c r="F93" s="7"/>
      <c r="H93" s="7"/>
      <c r="I93" s="7"/>
      <c r="J93" s="7"/>
      <c r="K93" s="7"/>
      <c r="M93" s="7"/>
      <c r="N93" s="7"/>
      <c r="P93" s="7"/>
      <c r="Q93" s="7"/>
      <c r="S93" s="7"/>
      <c r="T93" s="7"/>
      <c r="U93" s="7"/>
      <c r="V93" s="7"/>
      <c r="X93" s="7"/>
      <c r="Y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R93" s="7"/>
      <c r="AS93" s="7"/>
      <c r="AT93" s="7"/>
      <c r="AU93" s="7"/>
      <c r="AW93" s="7"/>
      <c r="AX93" s="7"/>
      <c r="AZ93" s="7"/>
      <c r="BA93" s="7"/>
      <c r="BB93" s="7"/>
      <c r="BC93" s="7"/>
      <c r="BD93" s="7"/>
      <c r="BE93" s="7"/>
      <c r="BG93" s="7"/>
      <c r="BH93" s="7"/>
      <c r="BI93" s="7"/>
      <c r="BJ93" s="7"/>
      <c r="BK93" s="7"/>
      <c r="BL93" s="7"/>
      <c r="BM93" s="7"/>
      <c r="BN93" s="7"/>
      <c r="BP93" s="7"/>
      <c r="BQ93" s="7"/>
      <c r="BR93" s="7"/>
      <c r="BS93" s="7"/>
      <c r="BT93" s="7"/>
      <c r="BU93" s="7"/>
      <c r="BV93" s="7"/>
      <c r="BW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</row>
    <row r="94" spans="5:98" x14ac:dyDescent="0.3">
      <c r="E94" s="7"/>
      <c r="F94" s="7"/>
      <c r="H94" s="7"/>
      <c r="I94" s="7"/>
      <c r="J94" s="7"/>
      <c r="K94" s="7"/>
      <c r="M94" s="7"/>
      <c r="N94" s="7"/>
      <c r="P94" s="7"/>
      <c r="Q94" s="7"/>
      <c r="S94" s="7"/>
      <c r="T94" s="7"/>
      <c r="U94" s="7"/>
      <c r="V94" s="7"/>
      <c r="X94" s="7"/>
      <c r="Y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R94" s="7"/>
      <c r="AS94" s="7"/>
      <c r="AT94" s="7"/>
      <c r="AU94" s="7"/>
      <c r="AW94" s="7"/>
      <c r="AX94" s="7"/>
      <c r="AZ94" s="7"/>
      <c r="BA94" s="7"/>
      <c r="BB94" s="7"/>
      <c r="BC94" s="7"/>
      <c r="BD94" s="7"/>
      <c r="BE94" s="7"/>
      <c r="BG94" s="7"/>
      <c r="BH94" s="7"/>
      <c r="BI94" s="7"/>
      <c r="BJ94" s="7"/>
      <c r="BK94" s="7"/>
      <c r="BL94" s="7"/>
      <c r="BM94" s="7"/>
      <c r="BN94" s="7"/>
      <c r="BP94" s="7"/>
      <c r="BQ94" s="7"/>
      <c r="BR94" s="7"/>
      <c r="BS94" s="7"/>
      <c r="BT94" s="7"/>
      <c r="BU94" s="7"/>
      <c r="BV94" s="7"/>
      <c r="BW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</row>
    <row r="95" spans="5:98" x14ac:dyDescent="0.3">
      <c r="E95" s="7"/>
      <c r="F95" s="7"/>
      <c r="H95" s="7"/>
      <c r="I95" s="7"/>
      <c r="J95" s="7"/>
      <c r="K95" s="7"/>
      <c r="M95" s="7"/>
      <c r="N95" s="7"/>
      <c r="P95" s="7"/>
      <c r="Q95" s="7"/>
      <c r="S95" s="7"/>
      <c r="T95" s="7"/>
      <c r="U95" s="7"/>
      <c r="V95" s="7"/>
      <c r="X95" s="7"/>
      <c r="Y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R95" s="7"/>
      <c r="AS95" s="7"/>
      <c r="AT95" s="7"/>
      <c r="AU95" s="7"/>
      <c r="AW95" s="7"/>
      <c r="AX95" s="7"/>
      <c r="AZ95" s="7"/>
      <c r="BA95" s="7"/>
      <c r="BB95" s="7"/>
      <c r="BC95" s="7"/>
      <c r="BD95" s="7"/>
      <c r="BE95" s="7"/>
      <c r="BG95" s="7"/>
      <c r="BH95" s="7"/>
      <c r="BI95" s="7"/>
      <c r="BJ95" s="7"/>
      <c r="BK95" s="7"/>
      <c r="BL95" s="7"/>
      <c r="BM95" s="7"/>
      <c r="BN95" s="7"/>
      <c r="BP95" s="7"/>
      <c r="BQ95" s="7"/>
      <c r="BR95" s="7"/>
      <c r="BS95" s="7"/>
      <c r="BT95" s="7"/>
      <c r="BU95" s="7"/>
      <c r="BV95" s="7"/>
      <c r="BW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</row>
    <row r="96" spans="5:98" x14ac:dyDescent="0.3">
      <c r="E96" s="7"/>
      <c r="F96" s="7"/>
      <c r="H96" s="7"/>
      <c r="I96" s="7"/>
      <c r="J96" s="7"/>
      <c r="K96" s="7"/>
      <c r="M96" s="7"/>
      <c r="N96" s="7"/>
      <c r="P96" s="7"/>
      <c r="Q96" s="7"/>
      <c r="S96" s="7"/>
      <c r="T96" s="7"/>
      <c r="U96" s="7"/>
      <c r="V96" s="7"/>
      <c r="X96" s="7"/>
      <c r="Y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R96" s="7"/>
      <c r="AS96" s="7"/>
      <c r="AT96" s="7"/>
      <c r="AU96" s="7"/>
      <c r="AW96" s="7"/>
      <c r="AX96" s="7"/>
      <c r="AZ96" s="7"/>
      <c r="BA96" s="7"/>
      <c r="BB96" s="7"/>
      <c r="BC96" s="7"/>
      <c r="BD96" s="7"/>
      <c r="BE96" s="7"/>
      <c r="BG96" s="7"/>
      <c r="BH96" s="7"/>
      <c r="BI96" s="7"/>
      <c r="BJ96" s="7"/>
      <c r="BK96" s="7"/>
      <c r="BL96" s="7"/>
      <c r="BM96" s="7"/>
      <c r="BN96" s="7"/>
      <c r="BP96" s="7"/>
      <c r="BQ96" s="7"/>
      <c r="BR96" s="7"/>
      <c r="BS96" s="7"/>
      <c r="BT96" s="7"/>
      <c r="BU96" s="7"/>
      <c r="BV96" s="7"/>
      <c r="BW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</row>
    <row r="97" spans="5:98" x14ac:dyDescent="0.3">
      <c r="E97" s="7"/>
      <c r="F97" s="7"/>
      <c r="H97" s="7"/>
      <c r="I97" s="7"/>
      <c r="J97" s="7"/>
      <c r="K97" s="7"/>
      <c r="M97" s="7"/>
      <c r="N97" s="7"/>
      <c r="P97" s="7"/>
      <c r="Q97" s="7"/>
      <c r="S97" s="7"/>
      <c r="T97" s="7"/>
      <c r="U97" s="7"/>
      <c r="V97" s="7"/>
      <c r="X97" s="7"/>
      <c r="Y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R97" s="7"/>
      <c r="AS97" s="7"/>
      <c r="AT97" s="7"/>
      <c r="AU97" s="7"/>
      <c r="AW97" s="7"/>
      <c r="AX97" s="7"/>
      <c r="AZ97" s="7"/>
      <c r="BA97" s="7"/>
      <c r="BB97" s="7"/>
      <c r="BC97" s="7"/>
      <c r="BD97" s="7"/>
      <c r="BE97" s="7"/>
      <c r="BG97" s="7"/>
      <c r="BH97" s="7"/>
      <c r="BI97" s="7"/>
      <c r="BJ97" s="7"/>
      <c r="BK97" s="7"/>
      <c r="BL97" s="7"/>
      <c r="BM97" s="7"/>
      <c r="BN97" s="7"/>
      <c r="BP97" s="7"/>
      <c r="BQ97" s="7"/>
      <c r="BR97" s="7"/>
      <c r="BS97" s="7"/>
      <c r="BT97" s="7"/>
      <c r="BU97" s="7"/>
      <c r="BV97" s="7"/>
      <c r="BW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</row>
    <row r="98" spans="5:98" x14ac:dyDescent="0.3">
      <c r="E98" s="7"/>
      <c r="F98" s="7"/>
      <c r="H98" s="7"/>
      <c r="I98" s="7"/>
      <c r="J98" s="7"/>
      <c r="K98" s="7"/>
      <c r="M98" s="7"/>
      <c r="N98" s="7"/>
      <c r="P98" s="7"/>
      <c r="Q98" s="7"/>
      <c r="S98" s="7"/>
      <c r="T98" s="7"/>
      <c r="U98" s="7"/>
      <c r="V98" s="7"/>
      <c r="X98" s="7"/>
      <c r="Y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R98" s="7"/>
      <c r="AS98" s="7"/>
      <c r="AT98" s="7"/>
      <c r="AU98" s="7"/>
      <c r="AW98" s="7"/>
      <c r="AX98" s="7"/>
      <c r="AZ98" s="7"/>
      <c r="BA98" s="7"/>
      <c r="BB98" s="7"/>
      <c r="BC98" s="7"/>
      <c r="BD98" s="7"/>
      <c r="BE98" s="7"/>
      <c r="BG98" s="7"/>
      <c r="BH98" s="7"/>
      <c r="BI98" s="7"/>
      <c r="BJ98" s="7"/>
      <c r="BK98" s="7"/>
      <c r="BL98" s="7"/>
      <c r="BM98" s="7"/>
      <c r="BN98" s="7"/>
      <c r="BP98" s="7"/>
      <c r="BQ98" s="7"/>
      <c r="BR98" s="7"/>
      <c r="BS98" s="7"/>
      <c r="BT98" s="7"/>
      <c r="BU98" s="7"/>
      <c r="BV98" s="7"/>
      <c r="BW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</row>
    <row r="99" spans="5:98" x14ac:dyDescent="0.3">
      <c r="E99" s="7"/>
      <c r="F99" s="7"/>
      <c r="H99" s="7"/>
      <c r="I99" s="7"/>
      <c r="J99" s="7"/>
      <c r="K99" s="7"/>
      <c r="M99" s="7"/>
      <c r="N99" s="7"/>
      <c r="P99" s="7"/>
      <c r="Q99" s="7"/>
      <c r="S99" s="7"/>
      <c r="T99" s="7"/>
      <c r="U99" s="7"/>
      <c r="V99" s="7"/>
      <c r="X99" s="7"/>
      <c r="Y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R99" s="7"/>
      <c r="AS99" s="7"/>
      <c r="AT99" s="7"/>
      <c r="AU99" s="7"/>
      <c r="AW99" s="7"/>
      <c r="AX99" s="7"/>
      <c r="AZ99" s="7"/>
      <c r="BA99" s="7"/>
      <c r="BB99" s="7"/>
      <c r="BC99" s="7"/>
      <c r="BD99" s="7"/>
      <c r="BE99" s="7"/>
      <c r="BG99" s="7"/>
      <c r="BH99" s="7"/>
      <c r="BI99" s="7"/>
      <c r="BJ99" s="7"/>
      <c r="BK99" s="7"/>
      <c r="BL99" s="7"/>
      <c r="BM99" s="7"/>
      <c r="BN99" s="7"/>
      <c r="BP99" s="7"/>
      <c r="BQ99" s="7"/>
      <c r="BR99" s="7"/>
      <c r="BS99" s="7"/>
      <c r="BT99" s="7"/>
      <c r="BU99" s="7"/>
      <c r="BV99" s="7"/>
      <c r="BW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</row>
    <row r="100" spans="5:98" x14ac:dyDescent="0.3">
      <c r="E100" s="7"/>
      <c r="F100" s="7"/>
      <c r="H100" s="7"/>
      <c r="I100" s="7"/>
      <c r="J100" s="7"/>
      <c r="K100" s="7"/>
      <c r="M100" s="7"/>
      <c r="N100" s="7"/>
      <c r="P100" s="7"/>
      <c r="Q100" s="7"/>
      <c r="S100" s="7"/>
      <c r="T100" s="7"/>
      <c r="U100" s="7"/>
      <c r="V100" s="7"/>
      <c r="X100" s="7"/>
      <c r="Y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R100" s="7"/>
      <c r="AS100" s="7"/>
      <c r="AT100" s="7"/>
      <c r="AU100" s="7"/>
      <c r="AW100" s="7"/>
      <c r="AX100" s="7"/>
      <c r="AZ100" s="7"/>
      <c r="BA100" s="7"/>
      <c r="BB100" s="7"/>
      <c r="BC100" s="7"/>
      <c r="BD100" s="7"/>
      <c r="BE100" s="7"/>
      <c r="BG100" s="7"/>
      <c r="BH100" s="7"/>
      <c r="BI100" s="7"/>
      <c r="BJ100" s="7"/>
      <c r="BK100" s="7"/>
      <c r="BL100" s="7"/>
      <c r="BM100" s="7"/>
      <c r="BN100" s="7"/>
      <c r="BP100" s="7"/>
      <c r="BQ100" s="7"/>
      <c r="BR100" s="7"/>
      <c r="BS100" s="7"/>
      <c r="BT100" s="7"/>
      <c r="BU100" s="7"/>
      <c r="BV100" s="7"/>
      <c r="BW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</row>
    <row r="101" spans="5:98" x14ac:dyDescent="0.3">
      <c r="E101" s="7"/>
      <c r="F101" s="7"/>
      <c r="H101" s="7"/>
      <c r="I101" s="7"/>
      <c r="J101" s="7"/>
      <c r="K101" s="7"/>
      <c r="M101" s="7"/>
      <c r="N101" s="7"/>
      <c r="P101" s="7"/>
      <c r="Q101" s="7"/>
      <c r="S101" s="7"/>
      <c r="T101" s="7"/>
      <c r="U101" s="7"/>
      <c r="V101" s="7"/>
      <c r="X101" s="7"/>
      <c r="Y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R101" s="7"/>
      <c r="AS101" s="7"/>
      <c r="AT101" s="7"/>
      <c r="AU101" s="7"/>
      <c r="AW101" s="7"/>
      <c r="AX101" s="7"/>
      <c r="AZ101" s="7"/>
      <c r="BA101" s="7"/>
      <c r="BB101" s="7"/>
      <c r="BC101" s="7"/>
      <c r="BD101" s="7"/>
      <c r="BE101" s="7"/>
      <c r="BG101" s="7"/>
      <c r="BH101" s="7"/>
      <c r="BI101" s="7"/>
      <c r="BJ101" s="7"/>
      <c r="BK101" s="7"/>
      <c r="BL101" s="7"/>
      <c r="BM101" s="7"/>
      <c r="BN101" s="7"/>
      <c r="BP101" s="7"/>
      <c r="BQ101" s="7"/>
      <c r="BR101" s="7"/>
      <c r="BS101" s="7"/>
      <c r="BT101" s="7"/>
      <c r="BU101" s="7"/>
      <c r="BV101" s="7"/>
      <c r="BW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</row>
    <row r="102" spans="5:98" x14ac:dyDescent="0.3">
      <c r="E102" s="7"/>
      <c r="F102" s="7"/>
      <c r="H102" s="7"/>
      <c r="I102" s="7"/>
      <c r="J102" s="7"/>
      <c r="K102" s="7"/>
      <c r="M102" s="7"/>
      <c r="N102" s="7"/>
      <c r="P102" s="7"/>
      <c r="Q102" s="7"/>
      <c r="S102" s="7"/>
      <c r="T102" s="7"/>
      <c r="U102" s="7"/>
      <c r="V102" s="7"/>
      <c r="X102" s="7"/>
      <c r="Y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R102" s="7"/>
      <c r="AS102" s="7"/>
      <c r="AT102" s="7"/>
      <c r="AU102" s="7"/>
      <c r="AW102" s="7"/>
      <c r="AX102" s="7"/>
      <c r="AZ102" s="7"/>
      <c r="BA102" s="7"/>
      <c r="BB102" s="7"/>
      <c r="BC102" s="7"/>
      <c r="BD102" s="7"/>
      <c r="BE102" s="7"/>
      <c r="BG102" s="7"/>
      <c r="BH102" s="7"/>
      <c r="BI102" s="7"/>
      <c r="BJ102" s="7"/>
      <c r="BK102" s="7"/>
      <c r="BL102" s="7"/>
      <c r="BM102" s="7"/>
      <c r="BN102" s="7"/>
      <c r="BP102" s="7"/>
      <c r="BQ102" s="7"/>
      <c r="BR102" s="7"/>
      <c r="BS102" s="7"/>
      <c r="BT102" s="7"/>
      <c r="BU102" s="7"/>
      <c r="BV102" s="7"/>
      <c r="BW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</row>
    <row r="103" spans="5:98" x14ac:dyDescent="0.3">
      <c r="E103" s="7"/>
      <c r="F103" s="7"/>
      <c r="H103" s="7"/>
      <c r="I103" s="7"/>
      <c r="J103" s="7"/>
      <c r="K103" s="7"/>
      <c r="M103" s="7"/>
      <c r="N103" s="7"/>
      <c r="P103" s="7"/>
      <c r="Q103" s="7"/>
      <c r="S103" s="7"/>
      <c r="T103" s="7"/>
      <c r="U103" s="7"/>
      <c r="V103" s="7"/>
      <c r="X103" s="7"/>
      <c r="Y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R103" s="7"/>
      <c r="AS103" s="7"/>
      <c r="AT103" s="7"/>
      <c r="AU103" s="7"/>
      <c r="AW103" s="7"/>
      <c r="AX103" s="7"/>
      <c r="AZ103" s="7"/>
      <c r="BA103" s="7"/>
      <c r="BB103" s="7"/>
      <c r="BC103" s="7"/>
      <c r="BD103" s="7"/>
      <c r="BE103" s="7"/>
      <c r="BG103" s="7"/>
      <c r="BH103" s="7"/>
      <c r="BI103" s="7"/>
      <c r="BJ103" s="7"/>
      <c r="BK103" s="7"/>
      <c r="BL103" s="7"/>
      <c r="BM103" s="7"/>
      <c r="BN103" s="7"/>
      <c r="BP103" s="7"/>
      <c r="BQ103" s="7"/>
      <c r="BR103" s="7"/>
      <c r="BS103" s="7"/>
      <c r="BT103" s="7"/>
      <c r="BU103" s="7"/>
      <c r="BV103" s="7"/>
      <c r="BW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</row>
    <row r="104" spans="5:98" x14ac:dyDescent="0.3">
      <c r="E104" s="7"/>
      <c r="F104" s="7"/>
      <c r="H104" s="7"/>
      <c r="I104" s="7"/>
      <c r="J104" s="7"/>
      <c r="K104" s="7"/>
      <c r="M104" s="7"/>
      <c r="N104" s="7"/>
      <c r="P104" s="7"/>
      <c r="Q104" s="7"/>
      <c r="S104" s="7"/>
      <c r="T104" s="7"/>
      <c r="U104" s="7"/>
      <c r="V104" s="7"/>
      <c r="X104" s="7"/>
      <c r="Y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R104" s="7"/>
      <c r="AS104" s="7"/>
      <c r="AT104" s="7"/>
      <c r="AU104" s="7"/>
      <c r="AW104" s="7"/>
      <c r="AX104" s="7"/>
      <c r="AZ104" s="7"/>
      <c r="BA104" s="7"/>
      <c r="BB104" s="7"/>
      <c r="BC104" s="7"/>
      <c r="BD104" s="7"/>
      <c r="BE104" s="7"/>
      <c r="BG104" s="7"/>
      <c r="BH104" s="7"/>
      <c r="BI104" s="7"/>
      <c r="BJ104" s="7"/>
      <c r="BK104" s="7"/>
      <c r="BL104" s="7"/>
      <c r="BM104" s="7"/>
      <c r="BN104" s="7"/>
      <c r="BP104" s="7"/>
      <c r="BQ104" s="7"/>
      <c r="BR104" s="7"/>
      <c r="BS104" s="7"/>
      <c r="BT104" s="7"/>
      <c r="BU104" s="7"/>
      <c r="BV104" s="7"/>
      <c r="BW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</row>
    <row r="105" spans="5:98" x14ac:dyDescent="0.3">
      <c r="E105" s="7"/>
      <c r="F105" s="7"/>
      <c r="H105" s="7"/>
      <c r="I105" s="7"/>
      <c r="J105" s="7"/>
      <c r="K105" s="7"/>
      <c r="M105" s="7"/>
      <c r="N105" s="7"/>
      <c r="P105" s="7"/>
      <c r="Q105" s="7"/>
      <c r="S105" s="7"/>
      <c r="T105" s="7"/>
      <c r="U105" s="7"/>
      <c r="V105" s="7"/>
      <c r="X105" s="7"/>
      <c r="Y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R105" s="7"/>
      <c r="AS105" s="7"/>
      <c r="AT105" s="7"/>
      <c r="AU105" s="7"/>
      <c r="AW105" s="7"/>
      <c r="AX105" s="7"/>
      <c r="AZ105" s="7"/>
      <c r="BA105" s="7"/>
      <c r="BB105" s="7"/>
      <c r="BC105" s="7"/>
      <c r="BD105" s="7"/>
      <c r="BE105" s="7"/>
      <c r="BG105" s="7"/>
      <c r="BH105" s="7"/>
      <c r="BI105" s="7"/>
      <c r="BJ105" s="7"/>
      <c r="BK105" s="7"/>
      <c r="BL105" s="7"/>
      <c r="BM105" s="7"/>
      <c r="BN105" s="7"/>
      <c r="BP105" s="7"/>
      <c r="BQ105" s="7"/>
      <c r="BR105" s="7"/>
      <c r="BS105" s="7"/>
      <c r="BT105" s="7"/>
      <c r="BU105" s="7"/>
      <c r="BV105" s="7"/>
      <c r="BW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</row>
    <row r="106" spans="5:98" x14ac:dyDescent="0.3">
      <c r="E106" s="7"/>
      <c r="F106" s="7"/>
      <c r="H106" s="7"/>
      <c r="I106" s="7"/>
      <c r="J106" s="7"/>
      <c r="K106" s="7"/>
      <c r="M106" s="7"/>
      <c r="N106" s="7"/>
      <c r="P106" s="7"/>
      <c r="Q106" s="7"/>
      <c r="S106" s="7"/>
      <c r="T106" s="7"/>
      <c r="U106" s="7"/>
      <c r="V106" s="7"/>
      <c r="X106" s="7"/>
      <c r="Y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R106" s="7"/>
      <c r="AS106" s="7"/>
      <c r="AT106" s="7"/>
      <c r="AU106" s="7"/>
      <c r="AW106" s="7"/>
      <c r="AX106" s="7"/>
      <c r="AZ106" s="7"/>
      <c r="BA106" s="7"/>
      <c r="BB106" s="7"/>
      <c r="BC106" s="7"/>
      <c r="BD106" s="7"/>
      <c r="BE106" s="7"/>
      <c r="BG106" s="7"/>
      <c r="BH106" s="7"/>
      <c r="BI106" s="7"/>
      <c r="BJ106" s="7"/>
      <c r="BK106" s="7"/>
      <c r="BL106" s="7"/>
      <c r="BM106" s="7"/>
      <c r="BN106" s="7"/>
      <c r="BP106" s="7"/>
      <c r="BQ106" s="7"/>
      <c r="BR106" s="7"/>
      <c r="BS106" s="7"/>
      <c r="BT106" s="7"/>
      <c r="BU106" s="7"/>
      <c r="BV106" s="7"/>
      <c r="BW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</row>
    <row r="107" spans="5:98" x14ac:dyDescent="0.3">
      <c r="E107" s="7"/>
      <c r="F107" s="7"/>
      <c r="H107" s="7"/>
      <c r="I107" s="7"/>
      <c r="J107" s="7"/>
      <c r="K107" s="7"/>
      <c r="M107" s="7"/>
      <c r="N107" s="7"/>
      <c r="P107" s="7"/>
      <c r="Q107" s="7"/>
      <c r="S107" s="7"/>
      <c r="T107" s="7"/>
      <c r="U107" s="7"/>
      <c r="V107" s="7"/>
      <c r="X107" s="7"/>
      <c r="Y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R107" s="7"/>
      <c r="AS107" s="7"/>
      <c r="AT107" s="7"/>
      <c r="AU107" s="7"/>
      <c r="AW107" s="7"/>
      <c r="AX107" s="7"/>
      <c r="AZ107" s="7"/>
      <c r="BA107" s="7"/>
      <c r="BB107" s="7"/>
      <c r="BC107" s="7"/>
      <c r="BD107" s="7"/>
      <c r="BE107" s="7"/>
      <c r="BG107" s="7"/>
      <c r="BH107" s="7"/>
      <c r="BI107" s="7"/>
      <c r="BJ107" s="7"/>
      <c r="BK107" s="7"/>
      <c r="BL107" s="7"/>
      <c r="BM107" s="7"/>
      <c r="BN107" s="7"/>
      <c r="BP107" s="7"/>
      <c r="BQ107" s="7"/>
      <c r="BR107" s="7"/>
      <c r="BS107" s="7"/>
      <c r="BT107" s="7"/>
      <c r="BU107" s="7"/>
      <c r="BV107" s="7"/>
      <c r="BW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08" spans="5:98" x14ac:dyDescent="0.3">
      <c r="E108" s="7"/>
      <c r="F108" s="7"/>
      <c r="H108" s="7"/>
      <c r="I108" s="7"/>
      <c r="J108" s="7"/>
      <c r="K108" s="7"/>
      <c r="M108" s="7"/>
      <c r="N108" s="7"/>
      <c r="P108" s="7"/>
      <c r="Q108" s="7"/>
      <c r="S108" s="7"/>
      <c r="T108" s="7"/>
      <c r="U108" s="7"/>
      <c r="V108" s="7"/>
      <c r="X108" s="7"/>
      <c r="Y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R108" s="7"/>
      <c r="AS108" s="7"/>
      <c r="AT108" s="7"/>
      <c r="AU108" s="7"/>
      <c r="AW108" s="7"/>
      <c r="AX108" s="7"/>
      <c r="AZ108" s="7"/>
      <c r="BA108" s="7"/>
      <c r="BB108" s="7"/>
      <c r="BC108" s="7"/>
      <c r="BD108" s="7"/>
      <c r="BE108" s="7"/>
      <c r="BG108" s="7"/>
      <c r="BH108" s="7"/>
      <c r="BI108" s="7"/>
      <c r="BJ108" s="7"/>
      <c r="BK108" s="7"/>
      <c r="BL108" s="7"/>
      <c r="BM108" s="7"/>
      <c r="BN108" s="7"/>
      <c r="BP108" s="7"/>
      <c r="BQ108" s="7"/>
      <c r="BR108" s="7"/>
      <c r="BS108" s="7"/>
      <c r="BT108" s="7"/>
      <c r="BU108" s="7"/>
      <c r="BV108" s="7"/>
      <c r="BW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</row>
    <row r="109" spans="5:98" x14ac:dyDescent="0.3">
      <c r="E109" s="7"/>
      <c r="F109" s="7"/>
      <c r="H109" s="7"/>
      <c r="I109" s="7"/>
      <c r="J109" s="7"/>
      <c r="K109" s="7"/>
      <c r="M109" s="7"/>
      <c r="N109" s="7"/>
      <c r="P109" s="7"/>
      <c r="Q109" s="7"/>
      <c r="S109" s="7"/>
      <c r="T109" s="7"/>
      <c r="U109" s="7"/>
      <c r="V109" s="7"/>
      <c r="X109" s="7"/>
      <c r="Y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R109" s="7"/>
      <c r="AS109" s="7"/>
      <c r="AT109" s="7"/>
      <c r="AU109" s="7"/>
      <c r="AW109" s="7"/>
      <c r="AX109" s="7"/>
      <c r="AZ109" s="7"/>
      <c r="BA109" s="7"/>
      <c r="BB109" s="7"/>
      <c r="BC109" s="7"/>
      <c r="BD109" s="7"/>
      <c r="BE109" s="7"/>
      <c r="BG109" s="7"/>
      <c r="BH109" s="7"/>
      <c r="BI109" s="7"/>
      <c r="BJ109" s="7"/>
      <c r="BK109" s="7"/>
      <c r="BL109" s="7"/>
      <c r="BM109" s="7"/>
      <c r="BN109" s="7"/>
      <c r="BP109" s="7"/>
      <c r="BQ109" s="7"/>
      <c r="BR109" s="7"/>
      <c r="BS109" s="7"/>
      <c r="BT109" s="7"/>
      <c r="BU109" s="7"/>
      <c r="BV109" s="7"/>
      <c r="BW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</row>
    <row r="110" spans="5:98" x14ac:dyDescent="0.3">
      <c r="E110" s="7"/>
      <c r="F110" s="7"/>
      <c r="H110" s="7"/>
      <c r="I110" s="7"/>
      <c r="J110" s="7"/>
      <c r="K110" s="7"/>
      <c r="M110" s="7"/>
      <c r="N110" s="7"/>
      <c r="P110" s="7"/>
      <c r="Q110" s="7"/>
      <c r="S110" s="7"/>
      <c r="T110" s="7"/>
      <c r="U110" s="7"/>
      <c r="V110" s="7"/>
      <c r="X110" s="7"/>
      <c r="Y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R110" s="7"/>
      <c r="AS110" s="7"/>
      <c r="AT110" s="7"/>
      <c r="AU110" s="7"/>
      <c r="AW110" s="7"/>
      <c r="AX110" s="7"/>
      <c r="AZ110" s="7"/>
      <c r="BA110" s="7"/>
      <c r="BB110" s="7"/>
      <c r="BC110" s="7"/>
      <c r="BD110" s="7"/>
      <c r="BE110" s="7"/>
      <c r="BG110" s="7"/>
      <c r="BH110" s="7"/>
      <c r="BI110" s="7"/>
      <c r="BJ110" s="7"/>
      <c r="BK110" s="7"/>
      <c r="BL110" s="7"/>
      <c r="BM110" s="7"/>
      <c r="BN110" s="7"/>
      <c r="BP110" s="7"/>
      <c r="BQ110" s="7"/>
      <c r="BR110" s="7"/>
      <c r="BS110" s="7"/>
      <c r="BT110" s="7"/>
      <c r="BU110" s="7"/>
      <c r="BV110" s="7"/>
      <c r="BW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</row>
    <row r="111" spans="5:98" x14ac:dyDescent="0.3">
      <c r="E111" s="7"/>
      <c r="F111" s="7"/>
      <c r="H111" s="7"/>
      <c r="I111" s="7"/>
      <c r="J111" s="7"/>
      <c r="K111" s="7"/>
      <c r="M111" s="7"/>
      <c r="N111" s="7"/>
      <c r="P111" s="7"/>
      <c r="Q111" s="7"/>
      <c r="S111" s="7"/>
      <c r="T111" s="7"/>
      <c r="U111" s="7"/>
      <c r="V111" s="7"/>
      <c r="X111" s="7"/>
      <c r="Y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R111" s="7"/>
      <c r="AS111" s="7"/>
      <c r="AT111" s="7"/>
      <c r="AU111" s="7"/>
      <c r="AW111" s="7"/>
      <c r="AX111" s="7"/>
      <c r="AZ111" s="7"/>
      <c r="BA111" s="7"/>
      <c r="BB111" s="7"/>
      <c r="BC111" s="7"/>
      <c r="BD111" s="7"/>
      <c r="BE111" s="7"/>
      <c r="BG111" s="7"/>
      <c r="BH111" s="7"/>
      <c r="BI111" s="7"/>
      <c r="BJ111" s="7"/>
      <c r="BK111" s="7"/>
      <c r="BL111" s="7"/>
      <c r="BM111" s="7"/>
      <c r="BN111" s="7"/>
      <c r="BP111" s="7"/>
      <c r="BQ111" s="7"/>
      <c r="BR111" s="7"/>
      <c r="BS111" s="7"/>
      <c r="BT111" s="7"/>
      <c r="BU111" s="7"/>
      <c r="BV111" s="7"/>
      <c r="BW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</row>
    <row r="112" spans="5:98" x14ac:dyDescent="0.3">
      <c r="E112" s="7"/>
      <c r="F112" s="7"/>
      <c r="H112" s="7"/>
      <c r="I112" s="7"/>
      <c r="J112" s="7"/>
      <c r="K112" s="7"/>
      <c r="M112" s="7"/>
      <c r="N112" s="7"/>
      <c r="P112" s="7"/>
      <c r="Q112" s="7"/>
      <c r="S112" s="7"/>
      <c r="T112" s="7"/>
      <c r="U112" s="7"/>
      <c r="V112" s="7"/>
      <c r="X112" s="7"/>
      <c r="Y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R112" s="7"/>
      <c r="AS112" s="7"/>
      <c r="AT112" s="7"/>
      <c r="AU112" s="7"/>
      <c r="AW112" s="7"/>
      <c r="AX112" s="7"/>
      <c r="AZ112" s="7"/>
      <c r="BA112" s="7"/>
      <c r="BB112" s="7"/>
      <c r="BC112" s="7"/>
      <c r="BD112" s="7"/>
      <c r="BE112" s="7"/>
      <c r="BG112" s="7"/>
      <c r="BH112" s="7"/>
      <c r="BI112" s="7"/>
      <c r="BJ112" s="7"/>
      <c r="BK112" s="7"/>
      <c r="BL112" s="7"/>
      <c r="BM112" s="7"/>
      <c r="BN112" s="7"/>
      <c r="BP112" s="7"/>
      <c r="BQ112" s="7"/>
      <c r="BR112" s="7"/>
      <c r="BS112" s="7"/>
      <c r="BT112" s="7"/>
      <c r="BU112" s="7"/>
      <c r="BV112" s="7"/>
      <c r="BW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</row>
    <row r="113" spans="5:98" x14ac:dyDescent="0.3">
      <c r="E113" s="7"/>
      <c r="F113" s="7"/>
      <c r="H113" s="7"/>
      <c r="I113" s="7"/>
      <c r="J113" s="7"/>
      <c r="K113" s="7"/>
      <c r="M113" s="7"/>
      <c r="N113" s="7"/>
      <c r="P113" s="7"/>
      <c r="Q113" s="7"/>
      <c r="S113" s="7"/>
      <c r="T113" s="7"/>
      <c r="U113" s="7"/>
      <c r="V113" s="7"/>
      <c r="X113" s="7"/>
      <c r="Y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R113" s="7"/>
      <c r="AS113" s="7"/>
      <c r="AT113" s="7"/>
      <c r="AU113" s="7"/>
      <c r="AW113" s="7"/>
      <c r="AX113" s="7"/>
      <c r="AZ113" s="7"/>
      <c r="BA113" s="7"/>
      <c r="BB113" s="7"/>
      <c r="BC113" s="7"/>
      <c r="BD113" s="7"/>
      <c r="BE113" s="7"/>
      <c r="BG113" s="7"/>
      <c r="BH113" s="7"/>
      <c r="BI113" s="7"/>
      <c r="BJ113" s="7"/>
      <c r="BK113" s="7"/>
      <c r="BL113" s="7"/>
      <c r="BM113" s="7"/>
      <c r="BN113" s="7"/>
      <c r="BP113" s="7"/>
      <c r="BQ113" s="7"/>
      <c r="BR113" s="7"/>
      <c r="BS113" s="7"/>
      <c r="BT113" s="7"/>
      <c r="BU113" s="7"/>
      <c r="BV113" s="7"/>
      <c r="BW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</row>
    <row r="114" spans="5:98" x14ac:dyDescent="0.3">
      <c r="E114" s="7"/>
      <c r="F114" s="7"/>
      <c r="H114" s="7"/>
      <c r="I114" s="7"/>
      <c r="J114" s="7"/>
      <c r="K114" s="7"/>
      <c r="M114" s="7"/>
      <c r="N114" s="7"/>
      <c r="P114" s="7"/>
      <c r="Q114" s="7"/>
      <c r="S114" s="7"/>
      <c r="T114" s="7"/>
      <c r="U114" s="7"/>
      <c r="V114" s="7"/>
      <c r="X114" s="7"/>
      <c r="Y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R114" s="7"/>
      <c r="AS114" s="7"/>
      <c r="AT114" s="7"/>
      <c r="AU114" s="7"/>
      <c r="AW114" s="7"/>
      <c r="AX114" s="7"/>
      <c r="AZ114" s="7"/>
      <c r="BA114" s="7"/>
      <c r="BB114" s="7"/>
      <c r="BC114" s="7"/>
      <c r="BD114" s="7"/>
      <c r="BE114" s="7"/>
      <c r="BG114" s="7"/>
      <c r="BH114" s="7"/>
      <c r="BI114" s="7"/>
      <c r="BJ114" s="7"/>
      <c r="BK114" s="7"/>
      <c r="BL114" s="7"/>
      <c r="BM114" s="7"/>
      <c r="BN114" s="7"/>
      <c r="BP114" s="7"/>
      <c r="BQ114" s="7"/>
      <c r="BR114" s="7"/>
      <c r="BS114" s="7"/>
      <c r="BT114" s="7"/>
      <c r="BU114" s="7"/>
      <c r="BV114" s="7"/>
      <c r="BW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</row>
    <row r="115" spans="5:98" x14ac:dyDescent="0.3">
      <c r="E115" s="7"/>
      <c r="F115" s="7"/>
      <c r="H115" s="7"/>
      <c r="I115" s="7"/>
      <c r="J115" s="7"/>
      <c r="K115" s="7"/>
      <c r="M115" s="7"/>
      <c r="N115" s="7"/>
      <c r="P115" s="7"/>
      <c r="Q115" s="7"/>
      <c r="S115" s="7"/>
      <c r="T115" s="7"/>
      <c r="U115" s="7"/>
      <c r="V115" s="7"/>
      <c r="X115" s="7"/>
      <c r="Y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R115" s="7"/>
      <c r="AS115" s="7"/>
      <c r="AT115" s="7"/>
      <c r="AU115" s="7"/>
      <c r="AW115" s="7"/>
      <c r="AX115" s="7"/>
      <c r="AZ115" s="7"/>
      <c r="BA115" s="7"/>
      <c r="BB115" s="7"/>
      <c r="BC115" s="7"/>
      <c r="BD115" s="7"/>
      <c r="BE115" s="7"/>
      <c r="BG115" s="7"/>
      <c r="BH115" s="7"/>
      <c r="BI115" s="7"/>
      <c r="BJ115" s="7"/>
      <c r="BK115" s="7"/>
      <c r="BL115" s="7"/>
      <c r="BM115" s="7"/>
      <c r="BN115" s="7"/>
      <c r="BP115" s="7"/>
      <c r="BQ115" s="7"/>
      <c r="BR115" s="7"/>
      <c r="BS115" s="7"/>
      <c r="BT115" s="7"/>
      <c r="BU115" s="7"/>
      <c r="BV115" s="7"/>
      <c r="BW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</row>
    <row r="116" spans="5:98" x14ac:dyDescent="0.3">
      <c r="E116" s="7"/>
      <c r="F116" s="7"/>
      <c r="H116" s="7"/>
      <c r="I116" s="7"/>
      <c r="J116" s="7"/>
      <c r="K116" s="7"/>
      <c r="M116" s="7"/>
      <c r="N116" s="7"/>
      <c r="P116" s="7"/>
      <c r="Q116" s="7"/>
      <c r="S116" s="7"/>
      <c r="T116" s="7"/>
      <c r="U116" s="7"/>
      <c r="V116" s="7"/>
      <c r="X116" s="7"/>
      <c r="Y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R116" s="7"/>
      <c r="AS116" s="7"/>
      <c r="AT116" s="7"/>
      <c r="AU116" s="7"/>
      <c r="AW116" s="7"/>
      <c r="AX116" s="7"/>
      <c r="AZ116" s="7"/>
      <c r="BA116" s="7"/>
      <c r="BB116" s="7"/>
      <c r="BC116" s="7"/>
      <c r="BD116" s="7"/>
      <c r="BE116" s="7"/>
      <c r="BG116" s="7"/>
      <c r="BH116" s="7"/>
      <c r="BI116" s="7"/>
      <c r="BJ116" s="7"/>
      <c r="BK116" s="7"/>
      <c r="BL116" s="7"/>
      <c r="BM116" s="7"/>
      <c r="BN116" s="7"/>
      <c r="BP116" s="7"/>
      <c r="BQ116" s="7"/>
      <c r="BR116" s="7"/>
      <c r="BS116" s="7"/>
      <c r="BT116" s="7"/>
      <c r="BU116" s="7"/>
      <c r="BV116" s="7"/>
      <c r="BW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</row>
    <row r="117" spans="5:98" x14ac:dyDescent="0.3">
      <c r="E117" s="7"/>
      <c r="F117" s="7"/>
      <c r="H117" s="7"/>
      <c r="I117" s="7"/>
      <c r="J117" s="7"/>
      <c r="K117" s="7"/>
      <c r="M117" s="7"/>
      <c r="N117" s="7"/>
      <c r="P117" s="7"/>
      <c r="Q117" s="7"/>
      <c r="S117" s="7"/>
      <c r="T117" s="7"/>
      <c r="U117" s="7"/>
      <c r="V117" s="7"/>
      <c r="X117" s="7"/>
      <c r="Y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R117" s="7"/>
      <c r="AS117" s="7"/>
      <c r="AT117" s="7"/>
      <c r="AU117" s="7"/>
      <c r="AW117" s="7"/>
      <c r="AX117" s="7"/>
      <c r="AZ117" s="7"/>
      <c r="BA117" s="7"/>
      <c r="BB117" s="7"/>
      <c r="BC117" s="7"/>
      <c r="BD117" s="7"/>
      <c r="BE117" s="7"/>
      <c r="BG117" s="7"/>
      <c r="BH117" s="7"/>
      <c r="BI117" s="7"/>
      <c r="BJ117" s="7"/>
      <c r="BK117" s="7"/>
      <c r="BL117" s="7"/>
      <c r="BM117" s="7"/>
      <c r="BN117" s="7"/>
      <c r="BP117" s="7"/>
      <c r="BQ117" s="7"/>
      <c r="BR117" s="7"/>
      <c r="BS117" s="7"/>
      <c r="BT117" s="7"/>
      <c r="BU117" s="7"/>
      <c r="BV117" s="7"/>
      <c r="BW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</row>
    <row r="118" spans="5:98" x14ac:dyDescent="0.3">
      <c r="E118" s="7"/>
      <c r="F118" s="7"/>
      <c r="H118" s="7"/>
      <c r="I118" s="7"/>
      <c r="J118" s="7"/>
      <c r="K118" s="7"/>
      <c r="M118" s="7"/>
      <c r="N118" s="7"/>
      <c r="P118" s="7"/>
      <c r="Q118" s="7"/>
      <c r="S118" s="7"/>
      <c r="T118" s="7"/>
      <c r="U118" s="7"/>
      <c r="V118" s="7"/>
      <c r="X118" s="7"/>
      <c r="Y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R118" s="7"/>
      <c r="AS118" s="7"/>
      <c r="AT118" s="7"/>
      <c r="AU118" s="7"/>
      <c r="AW118" s="7"/>
      <c r="AX118" s="7"/>
      <c r="AZ118" s="7"/>
      <c r="BA118" s="7"/>
      <c r="BB118" s="7"/>
      <c r="BC118" s="7"/>
      <c r="BD118" s="7"/>
      <c r="BE118" s="7"/>
      <c r="BG118" s="7"/>
      <c r="BH118" s="7"/>
      <c r="BI118" s="7"/>
      <c r="BJ118" s="7"/>
      <c r="BK118" s="7"/>
      <c r="BL118" s="7"/>
      <c r="BM118" s="7"/>
      <c r="BN118" s="7"/>
      <c r="BP118" s="7"/>
      <c r="BQ118" s="7"/>
      <c r="BR118" s="7"/>
      <c r="BS118" s="7"/>
      <c r="BT118" s="7"/>
      <c r="BU118" s="7"/>
      <c r="BV118" s="7"/>
      <c r="BW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</row>
    <row r="119" spans="5:98" x14ac:dyDescent="0.3">
      <c r="E119" s="7"/>
      <c r="F119" s="7"/>
      <c r="H119" s="7"/>
      <c r="I119" s="7"/>
      <c r="J119" s="7"/>
      <c r="K119" s="7"/>
      <c r="M119" s="7"/>
      <c r="N119" s="7"/>
      <c r="P119" s="7"/>
      <c r="Q119" s="7"/>
      <c r="S119" s="7"/>
      <c r="T119" s="7"/>
      <c r="U119" s="7"/>
      <c r="V119" s="7"/>
      <c r="X119" s="7"/>
      <c r="Y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R119" s="7"/>
      <c r="AS119" s="7"/>
      <c r="AT119" s="7"/>
      <c r="AU119" s="7"/>
      <c r="AW119" s="7"/>
      <c r="AX119" s="7"/>
      <c r="AZ119" s="7"/>
      <c r="BA119" s="7"/>
      <c r="BB119" s="7"/>
      <c r="BC119" s="7"/>
      <c r="BD119" s="7"/>
      <c r="BE119" s="7"/>
      <c r="BG119" s="7"/>
      <c r="BH119" s="7"/>
      <c r="BI119" s="7"/>
      <c r="BJ119" s="7"/>
      <c r="BK119" s="7"/>
      <c r="BL119" s="7"/>
      <c r="BM119" s="7"/>
      <c r="BN119" s="7"/>
      <c r="BP119" s="7"/>
      <c r="BQ119" s="7"/>
      <c r="BR119" s="7"/>
      <c r="BS119" s="7"/>
      <c r="BT119" s="7"/>
      <c r="BU119" s="7"/>
      <c r="BV119" s="7"/>
      <c r="BW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</row>
    <row r="120" spans="5:98" x14ac:dyDescent="0.3">
      <c r="E120" s="7"/>
      <c r="F120" s="7"/>
      <c r="H120" s="7"/>
      <c r="I120" s="7"/>
      <c r="J120" s="7"/>
      <c r="K120" s="7"/>
      <c r="M120" s="7"/>
      <c r="N120" s="7"/>
      <c r="P120" s="7"/>
      <c r="Q120" s="7"/>
      <c r="S120" s="7"/>
      <c r="T120" s="7"/>
      <c r="U120" s="7"/>
      <c r="V120" s="7"/>
      <c r="X120" s="7"/>
      <c r="Y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R120" s="7"/>
      <c r="AS120" s="7"/>
      <c r="AT120" s="7"/>
      <c r="AU120" s="7"/>
      <c r="AW120" s="7"/>
      <c r="AX120" s="7"/>
      <c r="AZ120" s="7"/>
      <c r="BA120" s="7"/>
      <c r="BB120" s="7"/>
      <c r="BC120" s="7"/>
      <c r="BD120" s="7"/>
      <c r="BE120" s="7"/>
      <c r="BG120" s="7"/>
      <c r="BH120" s="7"/>
      <c r="BI120" s="7"/>
      <c r="BJ120" s="7"/>
      <c r="BK120" s="7"/>
      <c r="BL120" s="7"/>
      <c r="BM120" s="7"/>
      <c r="BN120" s="7"/>
      <c r="BP120" s="7"/>
      <c r="BQ120" s="7"/>
      <c r="BR120" s="7"/>
      <c r="BS120" s="7"/>
      <c r="BT120" s="7"/>
      <c r="BU120" s="7"/>
      <c r="BV120" s="7"/>
      <c r="BW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</row>
    <row r="121" spans="5:98" x14ac:dyDescent="0.3">
      <c r="E121" s="7"/>
      <c r="F121" s="7"/>
      <c r="H121" s="7"/>
      <c r="I121" s="7"/>
      <c r="J121" s="7"/>
      <c r="K121" s="7"/>
      <c r="M121" s="7"/>
      <c r="N121" s="7"/>
      <c r="P121" s="7"/>
      <c r="Q121" s="7"/>
      <c r="S121" s="7"/>
      <c r="T121" s="7"/>
      <c r="U121" s="7"/>
      <c r="V121" s="7"/>
      <c r="X121" s="7"/>
      <c r="Y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R121" s="7"/>
      <c r="AS121" s="7"/>
      <c r="AT121" s="7"/>
      <c r="AU121" s="7"/>
      <c r="AW121" s="7"/>
      <c r="AX121" s="7"/>
      <c r="AZ121" s="7"/>
      <c r="BA121" s="7"/>
      <c r="BB121" s="7"/>
      <c r="BC121" s="7"/>
      <c r="BD121" s="7"/>
      <c r="BE121" s="7"/>
      <c r="BG121" s="7"/>
      <c r="BH121" s="7"/>
      <c r="BI121" s="7"/>
      <c r="BJ121" s="7"/>
      <c r="BK121" s="7"/>
      <c r="BL121" s="7"/>
      <c r="BM121" s="7"/>
      <c r="BN121" s="7"/>
      <c r="BP121" s="7"/>
      <c r="BQ121" s="7"/>
      <c r="BR121" s="7"/>
      <c r="BS121" s="7"/>
      <c r="BT121" s="7"/>
      <c r="BU121" s="7"/>
      <c r="BV121" s="7"/>
      <c r="BW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</row>
    <row r="122" spans="5:98" x14ac:dyDescent="0.3">
      <c r="E122" s="7"/>
      <c r="F122" s="7"/>
      <c r="H122" s="7"/>
      <c r="I122" s="7"/>
      <c r="J122" s="7"/>
      <c r="K122" s="7"/>
      <c r="M122" s="7"/>
      <c r="N122" s="7"/>
      <c r="P122" s="7"/>
      <c r="Q122" s="7"/>
      <c r="S122" s="7"/>
      <c r="T122" s="7"/>
      <c r="U122" s="7"/>
      <c r="V122" s="7"/>
      <c r="X122" s="7"/>
      <c r="Y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R122" s="7"/>
      <c r="AS122" s="7"/>
      <c r="AT122" s="7"/>
      <c r="AU122" s="7"/>
      <c r="AW122" s="7"/>
      <c r="AX122" s="7"/>
      <c r="AZ122" s="7"/>
      <c r="BA122" s="7"/>
      <c r="BB122" s="7"/>
      <c r="BC122" s="7"/>
      <c r="BD122" s="7"/>
      <c r="BE122" s="7"/>
      <c r="BG122" s="7"/>
      <c r="BH122" s="7"/>
      <c r="BI122" s="7"/>
      <c r="BJ122" s="7"/>
      <c r="BK122" s="7"/>
      <c r="BL122" s="7"/>
      <c r="BM122" s="7"/>
      <c r="BN122" s="7"/>
      <c r="BP122" s="7"/>
      <c r="BQ122" s="7"/>
      <c r="BR122" s="7"/>
      <c r="BS122" s="7"/>
      <c r="BT122" s="7"/>
      <c r="BU122" s="7"/>
      <c r="BV122" s="7"/>
      <c r="BW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</row>
    <row r="123" spans="5:98" x14ac:dyDescent="0.3">
      <c r="E123" s="7"/>
      <c r="F123" s="7"/>
      <c r="H123" s="7"/>
      <c r="I123" s="7"/>
      <c r="J123" s="7"/>
      <c r="K123" s="7"/>
      <c r="M123" s="7"/>
      <c r="N123" s="7"/>
      <c r="P123" s="7"/>
      <c r="Q123" s="7"/>
      <c r="S123" s="7"/>
      <c r="T123" s="7"/>
      <c r="U123" s="7"/>
      <c r="V123" s="7"/>
      <c r="X123" s="7"/>
      <c r="Y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R123" s="7"/>
      <c r="AS123" s="7"/>
      <c r="AT123" s="7"/>
      <c r="AU123" s="7"/>
      <c r="AW123" s="7"/>
      <c r="AX123" s="7"/>
      <c r="AZ123" s="7"/>
      <c r="BA123" s="7"/>
      <c r="BB123" s="7"/>
      <c r="BC123" s="7"/>
      <c r="BD123" s="7"/>
      <c r="BE123" s="7"/>
      <c r="BG123" s="7"/>
      <c r="BH123" s="7"/>
      <c r="BI123" s="7"/>
      <c r="BJ123" s="7"/>
      <c r="BK123" s="7"/>
      <c r="BL123" s="7"/>
      <c r="BM123" s="7"/>
      <c r="BN123" s="7"/>
      <c r="BP123" s="7"/>
      <c r="BQ123" s="7"/>
      <c r="BR123" s="7"/>
      <c r="BS123" s="7"/>
      <c r="BT123" s="7"/>
      <c r="BU123" s="7"/>
      <c r="BV123" s="7"/>
      <c r="BW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</row>
    <row r="124" spans="5:98" x14ac:dyDescent="0.3">
      <c r="E124" s="7"/>
      <c r="F124" s="7"/>
      <c r="H124" s="7"/>
      <c r="I124" s="7"/>
      <c r="J124" s="7"/>
      <c r="K124" s="7"/>
      <c r="M124" s="7"/>
      <c r="N124" s="7"/>
      <c r="P124" s="7"/>
      <c r="Q124" s="7"/>
      <c r="S124" s="7"/>
      <c r="T124" s="7"/>
      <c r="U124" s="7"/>
      <c r="V124" s="7"/>
      <c r="X124" s="7"/>
      <c r="Y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R124" s="7"/>
      <c r="AS124" s="7"/>
      <c r="AT124" s="7"/>
      <c r="AU124" s="7"/>
      <c r="AW124" s="7"/>
      <c r="AX124" s="7"/>
      <c r="AZ124" s="7"/>
      <c r="BA124" s="7"/>
      <c r="BB124" s="7"/>
      <c r="BC124" s="7"/>
      <c r="BD124" s="7"/>
      <c r="BE124" s="7"/>
      <c r="BG124" s="7"/>
      <c r="BH124" s="7"/>
      <c r="BI124" s="7"/>
      <c r="BJ124" s="7"/>
      <c r="BK124" s="7"/>
      <c r="BL124" s="7"/>
      <c r="BM124" s="7"/>
      <c r="BN124" s="7"/>
      <c r="BP124" s="7"/>
      <c r="BQ124" s="7"/>
      <c r="BR124" s="7"/>
      <c r="BS124" s="7"/>
      <c r="BT124" s="7"/>
      <c r="BU124" s="7"/>
      <c r="BV124" s="7"/>
      <c r="BW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</row>
    <row r="125" spans="5:98" x14ac:dyDescent="0.3">
      <c r="E125" s="7"/>
      <c r="F125" s="7"/>
      <c r="H125" s="7"/>
      <c r="I125" s="7"/>
      <c r="J125" s="7"/>
      <c r="K125" s="7"/>
      <c r="M125" s="7"/>
      <c r="N125" s="7"/>
      <c r="P125" s="7"/>
      <c r="Q125" s="7"/>
      <c r="S125" s="7"/>
      <c r="T125" s="7"/>
      <c r="U125" s="7"/>
      <c r="V125" s="7"/>
      <c r="X125" s="7"/>
      <c r="Y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R125" s="7"/>
      <c r="AS125" s="7"/>
      <c r="AT125" s="7"/>
      <c r="AU125" s="7"/>
      <c r="AW125" s="7"/>
      <c r="AX125" s="7"/>
      <c r="AZ125" s="7"/>
      <c r="BA125" s="7"/>
      <c r="BB125" s="7"/>
      <c r="BC125" s="7"/>
      <c r="BD125" s="7"/>
      <c r="BE125" s="7"/>
      <c r="BG125" s="7"/>
      <c r="BH125" s="7"/>
      <c r="BI125" s="7"/>
      <c r="BJ125" s="7"/>
      <c r="BK125" s="7"/>
      <c r="BL125" s="7"/>
      <c r="BM125" s="7"/>
      <c r="BN125" s="7"/>
      <c r="BP125" s="7"/>
      <c r="BQ125" s="7"/>
      <c r="BR125" s="7"/>
      <c r="BS125" s="7"/>
      <c r="BT125" s="7"/>
      <c r="BU125" s="7"/>
      <c r="BV125" s="7"/>
      <c r="BW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</row>
    <row r="126" spans="5:98" x14ac:dyDescent="0.3">
      <c r="E126" s="7"/>
      <c r="F126" s="7"/>
      <c r="H126" s="7"/>
      <c r="I126" s="7"/>
      <c r="J126" s="7"/>
      <c r="K126" s="7"/>
      <c r="M126" s="7"/>
      <c r="N126" s="7"/>
      <c r="P126" s="7"/>
      <c r="Q126" s="7"/>
      <c r="S126" s="7"/>
      <c r="T126" s="7"/>
      <c r="U126" s="7"/>
      <c r="V126" s="7"/>
      <c r="X126" s="7"/>
      <c r="Y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R126" s="7"/>
      <c r="AS126" s="7"/>
      <c r="AT126" s="7"/>
      <c r="AU126" s="7"/>
      <c r="AW126" s="7"/>
      <c r="AX126" s="7"/>
      <c r="AZ126" s="7"/>
      <c r="BA126" s="7"/>
      <c r="BB126" s="7"/>
      <c r="BC126" s="7"/>
      <c r="BD126" s="7"/>
      <c r="BE126" s="7"/>
      <c r="BG126" s="7"/>
      <c r="BH126" s="7"/>
      <c r="BI126" s="7"/>
      <c r="BJ126" s="7"/>
      <c r="BK126" s="7"/>
      <c r="BL126" s="7"/>
      <c r="BM126" s="7"/>
      <c r="BN126" s="7"/>
      <c r="BP126" s="7"/>
      <c r="BQ126" s="7"/>
      <c r="BR126" s="7"/>
      <c r="BS126" s="7"/>
      <c r="BT126" s="7"/>
      <c r="BU126" s="7"/>
      <c r="BV126" s="7"/>
      <c r="BW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</row>
    <row r="127" spans="5:98" x14ac:dyDescent="0.3">
      <c r="E127" s="7"/>
      <c r="F127" s="7"/>
      <c r="H127" s="7"/>
      <c r="I127" s="7"/>
      <c r="J127" s="7"/>
      <c r="K127" s="7"/>
      <c r="M127" s="7"/>
      <c r="N127" s="7"/>
      <c r="P127" s="7"/>
      <c r="Q127" s="7"/>
      <c r="S127" s="7"/>
      <c r="T127" s="7"/>
      <c r="U127" s="7"/>
      <c r="V127" s="7"/>
      <c r="X127" s="7"/>
      <c r="Y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R127" s="7"/>
      <c r="AS127" s="7"/>
      <c r="AT127" s="7"/>
      <c r="AU127" s="7"/>
      <c r="AW127" s="7"/>
      <c r="AX127" s="7"/>
      <c r="AZ127" s="7"/>
      <c r="BA127" s="7"/>
      <c r="BB127" s="7"/>
      <c r="BC127" s="7"/>
      <c r="BD127" s="7"/>
      <c r="BE127" s="7"/>
      <c r="BG127" s="7"/>
      <c r="BH127" s="7"/>
      <c r="BI127" s="7"/>
      <c r="BJ127" s="7"/>
      <c r="BK127" s="7"/>
      <c r="BL127" s="7"/>
      <c r="BM127" s="7"/>
      <c r="BN127" s="7"/>
      <c r="BP127" s="7"/>
      <c r="BQ127" s="7"/>
      <c r="BR127" s="7"/>
      <c r="BS127" s="7"/>
      <c r="BT127" s="7"/>
      <c r="BU127" s="7"/>
      <c r="BV127" s="7"/>
      <c r="BW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</row>
    <row r="128" spans="5:98" x14ac:dyDescent="0.3">
      <c r="E128" s="7"/>
      <c r="F128" s="7"/>
      <c r="H128" s="7"/>
      <c r="I128" s="7"/>
      <c r="J128" s="7"/>
      <c r="K128" s="7"/>
      <c r="M128" s="7"/>
      <c r="N128" s="7"/>
      <c r="P128" s="7"/>
      <c r="Q128" s="7"/>
      <c r="S128" s="7"/>
      <c r="T128" s="7"/>
      <c r="U128" s="7"/>
      <c r="V128" s="7"/>
      <c r="X128" s="7"/>
      <c r="Y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R128" s="7"/>
      <c r="AS128" s="7"/>
      <c r="AT128" s="7"/>
      <c r="AU128" s="7"/>
      <c r="AW128" s="7"/>
      <c r="AX128" s="7"/>
      <c r="AZ128" s="7"/>
      <c r="BA128" s="7"/>
      <c r="BB128" s="7"/>
      <c r="BC128" s="7"/>
      <c r="BD128" s="7"/>
      <c r="BE128" s="7"/>
      <c r="BG128" s="7"/>
      <c r="BH128" s="7"/>
      <c r="BI128" s="7"/>
      <c r="BJ128" s="7"/>
      <c r="BK128" s="7"/>
      <c r="BL128" s="7"/>
      <c r="BM128" s="7"/>
      <c r="BN128" s="7"/>
      <c r="BP128" s="7"/>
      <c r="BQ128" s="7"/>
      <c r="BR128" s="7"/>
      <c r="BS128" s="7"/>
      <c r="BT128" s="7"/>
      <c r="BU128" s="7"/>
      <c r="BV128" s="7"/>
      <c r="BW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</row>
    <row r="129" spans="5:98" x14ac:dyDescent="0.3">
      <c r="E129" s="7"/>
      <c r="F129" s="7"/>
      <c r="H129" s="7"/>
      <c r="I129" s="7"/>
      <c r="J129" s="7"/>
      <c r="K129" s="7"/>
      <c r="M129" s="7"/>
      <c r="N129" s="7"/>
      <c r="P129" s="7"/>
      <c r="Q129" s="7"/>
      <c r="S129" s="7"/>
      <c r="T129" s="7"/>
      <c r="U129" s="7"/>
      <c r="V129" s="7"/>
      <c r="X129" s="7"/>
      <c r="Y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R129" s="7"/>
      <c r="AS129" s="7"/>
      <c r="AT129" s="7"/>
      <c r="AU129" s="7"/>
      <c r="AW129" s="7"/>
      <c r="AX129" s="7"/>
      <c r="AZ129" s="7"/>
      <c r="BA129" s="7"/>
      <c r="BB129" s="7"/>
      <c r="BC129" s="7"/>
      <c r="BD129" s="7"/>
      <c r="BE129" s="7"/>
      <c r="BG129" s="7"/>
      <c r="BH129" s="7"/>
      <c r="BI129" s="7"/>
      <c r="BJ129" s="7"/>
      <c r="BK129" s="7"/>
      <c r="BL129" s="7"/>
      <c r="BM129" s="7"/>
      <c r="BN129" s="7"/>
      <c r="BP129" s="7"/>
      <c r="BQ129" s="7"/>
      <c r="BR129" s="7"/>
      <c r="BS129" s="7"/>
      <c r="BT129" s="7"/>
      <c r="BU129" s="7"/>
      <c r="BV129" s="7"/>
      <c r="BW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</row>
    <row r="130" spans="5:98" x14ac:dyDescent="0.3">
      <c r="E130" s="7"/>
      <c r="F130" s="7"/>
      <c r="H130" s="7"/>
      <c r="I130" s="7"/>
      <c r="J130" s="7"/>
      <c r="K130" s="7"/>
      <c r="M130" s="7"/>
      <c r="N130" s="7"/>
      <c r="P130" s="7"/>
      <c r="Q130" s="7"/>
      <c r="S130" s="7"/>
      <c r="T130" s="7"/>
      <c r="U130" s="7"/>
      <c r="V130" s="7"/>
      <c r="X130" s="7"/>
      <c r="Y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R130" s="7"/>
      <c r="AS130" s="7"/>
      <c r="AT130" s="7"/>
      <c r="AU130" s="7"/>
      <c r="AW130" s="7"/>
      <c r="AX130" s="7"/>
      <c r="AZ130" s="7"/>
      <c r="BA130" s="7"/>
      <c r="BB130" s="7"/>
      <c r="BC130" s="7"/>
      <c r="BD130" s="7"/>
      <c r="BE130" s="7"/>
      <c r="BG130" s="7"/>
      <c r="BH130" s="7"/>
      <c r="BI130" s="7"/>
      <c r="BJ130" s="7"/>
      <c r="BK130" s="7"/>
      <c r="BL130" s="7"/>
      <c r="BM130" s="7"/>
      <c r="BN130" s="7"/>
      <c r="BP130" s="7"/>
      <c r="BQ130" s="7"/>
      <c r="BR130" s="7"/>
      <c r="BS130" s="7"/>
      <c r="BT130" s="7"/>
      <c r="BU130" s="7"/>
      <c r="BV130" s="7"/>
      <c r="BW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</row>
    <row r="131" spans="5:98" x14ac:dyDescent="0.3">
      <c r="E131" s="7"/>
      <c r="F131" s="7"/>
      <c r="H131" s="7"/>
      <c r="I131" s="7"/>
      <c r="J131" s="7"/>
      <c r="K131" s="7"/>
      <c r="M131" s="7"/>
      <c r="N131" s="7"/>
      <c r="P131" s="7"/>
      <c r="Q131" s="7"/>
      <c r="S131" s="7"/>
      <c r="T131" s="7"/>
      <c r="U131" s="7"/>
      <c r="V131" s="7"/>
      <c r="X131" s="7"/>
      <c r="Y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R131" s="7"/>
      <c r="AS131" s="7"/>
      <c r="AT131" s="7"/>
      <c r="AU131" s="7"/>
      <c r="AW131" s="7"/>
      <c r="AX131" s="7"/>
      <c r="AZ131" s="7"/>
      <c r="BA131" s="7"/>
      <c r="BB131" s="7"/>
      <c r="BC131" s="7"/>
      <c r="BD131" s="7"/>
      <c r="BE131" s="7"/>
      <c r="BG131" s="7"/>
      <c r="BH131" s="7"/>
      <c r="BI131" s="7"/>
      <c r="BJ131" s="7"/>
      <c r="BK131" s="7"/>
      <c r="BL131" s="7"/>
      <c r="BM131" s="7"/>
      <c r="BN131" s="7"/>
      <c r="BP131" s="7"/>
      <c r="BQ131" s="7"/>
      <c r="BR131" s="7"/>
      <c r="BS131" s="7"/>
      <c r="BT131" s="7"/>
      <c r="BU131" s="7"/>
      <c r="BV131" s="7"/>
      <c r="BW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</row>
    <row r="132" spans="5:98" x14ac:dyDescent="0.3">
      <c r="E132" s="7"/>
      <c r="F132" s="7"/>
      <c r="H132" s="7"/>
      <c r="I132" s="7"/>
      <c r="J132" s="7"/>
      <c r="K132" s="7"/>
      <c r="M132" s="7"/>
      <c r="N132" s="7"/>
      <c r="P132" s="7"/>
      <c r="Q132" s="7"/>
      <c r="S132" s="7"/>
      <c r="T132" s="7"/>
      <c r="U132" s="7"/>
      <c r="V132" s="7"/>
      <c r="X132" s="7"/>
      <c r="Y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R132" s="7"/>
      <c r="AS132" s="7"/>
      <c r="AT132" s="7"/>
      <c r="AU132" s="7"/>
      <c r="AW132" s="7"/>
      <c r="AX132" s="7"/>
      <c r="AZ132" s="7"/>
      <c r="BA132" s="7"/>
      <c r="BB132" s="7"/>
      <c r="BC132" s="7"/>
      <c r="BD132" s="7"/>
      <c r="BE132" s="7"/>
      <c r="BG132" s="7"/>
      <c r="BH132" s="7"/>
      <c r="BI132" s="7"/>
      <c r="BJ132" s="7"/>
      <c r="BK132" s="7"/>
      <c r="BL132" s="7"/>
      <c r="BM132" s="7"/>
      <c r="BN132" s="7"/>
      <c r="BP132" s="7"/>
      <c r="BQ132" s="7"/>
      <c r="BR132" s="7"/>
      <c r="BS132" s="7"/>
      <c r="BT132" s="7"/>
      <c r="BU132" s="7"/>
      <c r="BV132" s="7"/>
      <c r="BW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</row>
    <row r="133" spans="5:98" x14ac:dyDescent="0.3">
      <c r="E133" s="7"/>
      <c r="F133" s="7"/>
      <c r="H133" s="7"/>
      <c r="I133" s="7"/>
      <c r="J133" s="7"/>
      <c r="K133" s="7"/>
      <c r="M133" s="7"/>
      <c r="N133" s="7"/>
      <c r="P133" s="7"/>
      <c r="Q133" s="7"/>
      <c r="S133" s="7"/>
      <c r="T133" s="7"/>
      <c r="U133" s="7"/>
      <c r="V133" s="7"/>
      <c r="X133" s="7"/>
      <c r="Y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R133" s="7"/>
      <c r="AS133" s="7"/>
      <c r="AT133" s="7"/>
      <c r="AU133" s="7"/>
      <c r="AW133" s="7"/>
      <c r="AX133" s="7"/>
      <c r="AZ133" s="7"/>
      <c r="BA133" s="7"/>
      <c r="BB133" s="7"/>
      <c r="BC133" s="7"/>
      <c r="BD133" s="7"/>
      <c r="BE133" s="7"/>
      <c r="BG133" s="7"/>
      <c r="BH133" s="7"/>
      <c r="BI133" s="7"/>
      <c r="BJ133" s="7"/>
      <c r="BK133" s="7"/>
      <c r="BL133" s="7"/>
      <c r="BM133" s="7"/>
      <c r="BN133" s="7"/>
      <c r="BP133" s="7"/>
      <c r="BQ133" s="7"/>
      <c r="BR133" s="7"/>
      <c r="BS133" s="7"/>
      <c r="BT133" s="7"/>
      <c r="BU133" s="7"/>
      <c r="BV133" s="7"/>
      <c r="BW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</row>
    <row r="134" spans="5:98" x14ac:dyDescent="0.3">
      <c r="E134" s="7"/>
      <c r="F134" s="7"/>
      <c r="H134" s="7"/>
      <c r="I134" s="7"/>
      <c r="J134" s="7"/>
      <c r="K134" s="7"/>
      <c r="M134" s="7"/>
      <c r="N134" s="7"/>
      <c r="P134" s="7"/>
      <c r="Q134" s="7"/>
      <c r="S134" s="7"/>
      <c r="T134" s="7"/>
      <c r="U134" s="7"/>
      <c r="V134" s="7"/>
      <c r="X134" s="7"/>
      <c r="Y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R134" s="7"/>
      <c r="AS134" s="7"/>
      <c r="AT134" s="7"/>
      <c r="AU134" s="7"/>
      <c r="AW134" s="7"/>
      <c r="AX134" s="7"/>
      <c r="AZ134" s="7"/>
      <c r="BA134" s="7"/>
      <c r="BB134" s="7"/>
      <c r="BC134" s="7"/>
      <c r="BD134" s="7"/>
      <c r="BE134" s="7"/>
      <c r="BG134" s="7"/>
      <c r="BH134" s="7"/>
      <c r="BI134" s="7"/>
      <c r="BJ134" s="7"/>
      <c r="BK134" s="7"/>
      <c r="BL134" s="7"/>
      <c r="BM134" s="7"/>
      <c r="BN134" s="7"/>
      <c r="BP134" s="7"/>
      <c r="BQ134" s="7"/>
      <c r="BR134" s="7"/>
      <c r="BS134" s="7"/>
      <c r="BT134" s="7"/>
      <c r="BU134" s="7"/>
      <c r="BV134" s="7"/>
      <c r="BW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</row>
    <row r="135" spans="5:98" x14ac:dyDescent="0.3">
      <c r="E135" s="7"/>
      <c r="F135" s="7"/>
      <c r="H135" s="7"/>
      <c r="I135" s="7"/>
      <c r="J135" s="7"/>
      <c r="K135" s="7"/>
      <c r="M135" s="7"/>
      <c r="N135" s="7"/>
      <c r="P135" s="7"/>
      <c r="Q135" s="7"/>
      <c r="S135" s="7"/>
      <c r="T135" s="7"/>
      <c r="U135" s="7"/>
      <c r="V135" s="7"/>
      <c r="X135" s="7"/>
      <c r="Y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R135" s="7"/>
      <c r="AS135" s="7"/>
      <c r="AT135" s="7"/>
      <c r="AU135" s="7"/>
      <c r="AW135" s="7"/>
      <c r="AX135" s="7"/>
      <c r="AZ135" s="7"/>
      <c r="BA135" s="7"/>
      <c r="BB135" s="7"/>
      <c r="BC135" s="7"/>
      <c r="BD135" s="7"/>
      <c r="BE135" s="7"/>
      <c r="BG135" s="7"/>
      <c r="BH135" s="7"/>
      <c r="BI135" s="7"/>
      <c r="BJ135" s="7"/>
      <c r="BK135" s="7"/>
      <c r="BL135" s="7"/>
      <c r="BM135" s="7"/>
      <c r="BN135" s="7"/>
      <c r="BP135" s="7"/>
      <c r="BQ135" s="7"/>
      <c r="BR135" s="7"/>
      <c r="BS135" s="7"/>
      <c r="BT135" s="7"/>
      <c r="BU135" s="7"/>
      <c r="BV135" s="7"/>
      <c r="BW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</row>
    <row r="136" spans="5:98" x14ac:dyDescent="0.3">
      <c r="E136" s="7"/>
      <c r="F136" s="7"/>
      <c r="H136" s="7"/>
      <c r="I136" s="7"/>
      <c r="J136" s="7"/>
      <c r="K136" s="7"/>
      <c r="M136" s="7"/>
      <c r="N136" s="7"/>
      <c r="P136" s="7"/>
      <c r="Q136" s="7"/>
      <c r="S136" s="7"/>
      <c r="T136" s="7"/>
      <c r="U136" s="7"/>
      <c r="V136" s="7"/>
      <c r="X136" s="7"/>
      <c r="Y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R136" s="7"/>
      <c r="AS136" s="7"/>
      <c r="AT136" s="7"/>
      <c r="AU136" s="7"/>
      <c r="AW136" s="7"/>
      <c r="AX136" s="7"/>
      <c r="AZ136" s="7"/>
      <c r="BA136" s="7"/>
      <c r="BB136" s="7"/>
      <c r="BC136" s="7"/>
      <c r="BD136" s="7"/>
      <c r="BE136" s="7"/>
      <c r="BG136" s="7"/>
      <c r="BH136" s="7"/>
      <c r="BI136" s="7"/>
      <c r="BJ136" s="7"/>
      <c r="BK136" s="7"/>
      <c r="BL136" s="7"/>
      <c r="BM136" s="7"/>
      <c r="BN136" s="7"/>
      <c r="BP136" s="7"/>
      <c r="BQ136" s="7"/>
      <c r="BR136" s="7"/>
      <c r="BS136" s="7"/>
      <c r="BT136" s="7"/>
      <c r="BU136" s="7"/>
      <c r="BV136" s="7"/>
      <c r="BW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</row>
    <row r="137" spans="5:98" x14ac:dyDescent="0.3">
      <c r="E137" s="7"/>
      <c r="F137" s="7"/>
      <c r="H137" s="7"/>
      <c r="I137" s="7"/>
      <c r="J137" s="7"/>
      <c r="K137" s="7"/>
      <c r="M137" s="7"/>
      <c r="N137" s="7"/>
      <c r="P137" s="7"/>
      <c r="Q137" s="7"/>
      <c r="S137" s="7"/>
      <c r="T137" s="7"/>
      <c r="U137" s="7"/>
      <c r="V137" s="7"/>
      <c r="X137" s="7"/>
      <c r="Y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R137" s="7"/>
      <c r="AS137" s="7"/>
      <c r="AT137" s="7"/>
      <c r="AU137" s="7"/>
      <c r="AW137" s="7"/>
      <c r="AX137" s="7"/>
      <c r="AZ137" s="7"/>
      <c r="BA137" s="7"/>
      <c r="BB137" s="7"/>
      <c r="BC137" s="7"/>
      <c r="BD137" s="7"/>
      <c r="BE137" s="7"/>
      <c r="BG137" s="7"/>
      <c r="BH137" s="7"/>
      <c r="BI137" s="7"/>
      <c r="BJ137" s="7"/>
      <c r="BK137" s="7"/>
      <c r="BL137" s="7"/>
      <c r="BM137" s="7"/>
      <c r="BN137" s="7"/>
      <c r="BP137" s="7"/>
      <c r="BQ137" s="7"/>
      <c r="BR137" s="7"/>
      <c r="BS137" s="7"/>
      <c r="BT137" s="7"/>
      <c r="BU137" s="7"/>
      <c r="BV137" s="7"/>
      <c r="BW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</row>
    <row r="138" spans="5:98" x14ac:dyDescent="0.3">
      <c r="E138" s="7"/>
      <c r="F138" s="7"/>
      <c r="H138" s="7"/>
      <c r="I138" s="7"/>
      <c r="J138" s="7"/>
      <c r="K138" s="7"/>
      <c r="M138" s="7"/>
      <c r="N138" s="7"/>
      <c r="P138" s="7"/>
      <c r="Q138" s="7"/>
      <c r="S138" s="7"/>
      <c r="T138" s="7"/>
      <c r="U138" s="7"/>
      <c r="V138" s="7"/>
      <c r="X138" s="7"/>
      <c r="Y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R138" s="7"/>
      <c r="AS138" s="7"/>
      <c r="AT138" s="7"/>
      <c r="AU138" s="7"/>
      <c r="AW138" s="7"/>
      <c r="AX138" s="7"/>
      <c r="AZ138" s="7"/>
      <c r="BA138" s="7"/>
      <c r="BB138" s="7"/>
      <c r="BC138" s="7"/>
      <c r="BD138" s="7"/>
      <c r="BE138" s="7"/>
      <c r="BG138" s="7"/>
      <c r="BH138" s="7"/>
      <c r="BI138" s="7"/>
      <c r="BJ138" s="7"/>
      <c r="BK138" s="7"/>
      <c r="BL138" s="7"/>
      <c r="BM138" s="7"/>
      <c r="BN138" s="7"/>
      <c r="BP138" s="7"/>
      <c r="BQ138" s="7"/>
      <c r="BR138" s="7"/>
      <c r="BS138" s="7"/>
      <c r="BT138" s="7"/>
      <c r="BU138" s="7"/>
      <c r="BV138" s="7"/>
      <c r="BW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</row>
    <row r="139" spans="5:98" x14ac:dyDescent="0.3">
      <c r="E139" s="7"/>
      <c r="F139" s="7"/>
      <c r="H139" s="7"/>
      <c r="I139" s="7"/>
      <c r="J139" s="7"/>
      <c r="K139" s="7"/>
      <c r="M139" s="7"/>
      <c r="N139" s="7"/>
      <c r="P139" s="7"/>
      <c r="Q139" s="7"/>
      <c r="S139" s="7"/>
      <c r="T139" s="7"/>
      <c r="U139" s="7"/>
      <c r="V139" s="7"/>
      <c r="X139" s="7"/>
      <c r="Y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R139" s="7"/>
      <c r="AS139" s="7"/>
      <c r="AT139" s="7"/>
      <c r="AU139" s="7"/>
      <c r="AW139" s="7"/>
      <c r="AX139" s="7"/>
      <c r="AZ139" s="7"/>
      <c r="BA139" s="7"/>
      <c r="BB139" s="7"/>
      <c r="BC139" s="7"/>
      <c r="BD139" s="7"/>
      <c r="BE139" s="7"/>
      <c r="BG139" s="7"/>
      <c r="BH139" s="7"/>
      <c r="BI139" s="7"/>
      <c r="BJ139" s="7"/>
      <c r="BK139" s="7"/>
      <c r="BL139" s="7"/>
      <c r="BM139" s="7"/>
      <c r="BN139" s="7"/>
      <c r="BP139" s="7"/>
      <c r="BQ139" s="7"/>
      <c r="BR139" s="7"/>
      <c r="BS139" s="7"/>
      <c r="BT139" s="7"/>
      <c r="BU139" s="7"/>
      <c r="BV139" s="7"/>
      <c r="BW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</row>
    <row r="140" spans="5:98" x14ac:dyDescent="0.3">
      <c r="E140" s="7"/>
      <c r="F140" s="7"/>
      <c r="H140" s="7"/>
      <c r="I140" s="7"/>
      <c r="J140" s="7"/>
      <c r="K140" s="7"/>
      <c r="M140" s="7"/>
      <c r="N140" s="7"/>
      <c r="P140" s="7"/>
      <c r="Q140" s="7"/>
      <c r="S140" s="7"/>
      <c r="T140" s="7"/>
      <c r="U140" s="7"/>
      <c r="V140" s="7"/>
      <c r="X140" s="7"/>
      <c r="Y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R140" s="7"/>
      <c r="AS140" s="7"/>
      <c r="AT140" s="7"/>
      <c r="AU140" s="7"/>
      <c r="AW140" s="7"/>
      <c r="AX140" s="7"/>
      <c r="AZ140" s="7"/>
      <c r="BA140" s="7"/>
      <c r="BB140" s="7"/>
      <c r="BC140" s="7"/>
      <c r="BD140" s="7"/>
      <c r="BE140" s="7"/>
      <c r="BG140" s="7"/>
      <c r="BH140" s="7"/>
      <c r="BI140" s="7"/>
      <c r="BJ140" s="7"/>
      <c r="BK140" s="7"/>
      <c r="BL140" s="7"/>
      <c r="BM140" s="7"/>
      <c r="BN140" s="7"/>
      <c r="BP140" s="7"/>
      <c r="BQ140" s="7"/>
      <c r="BR140" s="7"/>
      <c r="BS140" s="7"/>
      <c r="BT140" s="7"/>
      <c r="BU140" s="7"/>
      <c r="BV140" s="7"/>
      <c r="BW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</row>
    <row r="141" spans="5:98" x14ac:dyDescent="0.3">
      <c r="E141" s="7"/>
      <c r="F141" s="7"/>
      <c r="H141" s="7"/>
      <c r="I141" s="7"/>
      <c r="J141" s="7"/>
      <c r="K141" s="7"/>
      <c r="M141" s="7"/>
      <c r="N141" s="7"/>
      <c r="P141" s="7"/>
      <c r="Q141" s="7"/>
      <c r="S141" s="7"/>
      <c r="T141" s="7"/>
      <c r="U141" s="7"/>
      <c r="V141" s="7"/>
      <c r="X141" s="7"/>
      <c r="Y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R141" s="7"/>
      <c r="AS141" s="7"/>
      <c r="AT141" s="7"/>
      <c r="AU141" s="7"/>
      <c r="AW141" s="7"/>
      <c r="AX141" s="7"/>
      <c r="AZ141" s="7"/>
      <c r="BA141" s="7"/>
      <c r="BB141" s="7"/>
      <c r="BC141" s="7"/>
      <c r="BD141" s="7"/>
      <c r="BE141" s="7"/>
      <c r="BG141" s="7"/>
      <c r="BH141" s="7"/>
      <c r="BI141" s="7"/>
      <c r="BJ141" s="7"/>
      <c r="BK141" s="7"/>
      <c r="BL141" s="7"/>
      <c r="BM141" s="7"/>
      <c r="BN141" s="7"/>
      <c r="BP141" s="7"/>
      <c r="BQ141" s="7"/>
      <c r="BR141" s="7"/>
      <c r="BS141" s="7"/>
      <c r="BT141" s="7"/>
      <c r="BU141" s="7"/>
      <c r="BV141" s="7"/>
      <c r="BW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</row>
    <row r="142" spans="5:98" x14ac:dyDescent="0.3">
      <c r="E142" s="7"/>
      <c r="F142" s="7"/>
      <c r="H142" s="7"/>
      <c r="I142" s="7"/>
      <c r="J142" s="7"/>
      <c r="K142" s="7"/>
      <c r="M142" s="7"/>
      <c r="N142" s="7"/>
      <c r="P142" s="7"/>
      <c r="Q142" s="7"/>
      <c r="S142" s="7"/>
      <c r="T142" s="7"/>
      <c r="U142" s="7"/>
      <c r="V142" s="7"/>
      <c r="X142" s="7"/>
      <c r="Y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R142" s="7"/>
      <c r="AS142" s="7"/>
      <c r="AT142" s="7"/>
      <c r="AU142" s="7"/>
      <c r="AW142" s="7"/>
      <c r="AX142" s="7"/>
      <c r="AZ142" s="7"/>
      <c r="BA142" s="7"/>
      <c r="BB142" s="7"/>
      <c r="BC142" s="7"/>
      <c r="BD142" s="7"/>
      <c r="BE142" s="7"/>
      <c r="BG142" s="7"/>
      <c r="BH142" s="7"/>
      <c r="BI142" s="7"/>
      <c r="BJ142" s="7"/>
      <c r="BK142" s="7"/>
      <c r="BL142" s="7"/>
      <c r="BM142" s="7"/>
      <c r="BN142" s="7"/>
      <c r="BP142" s="7"/>
      <c r="BQ142" s="7"/>
      <c r="BR142" s="7"/>
      <c r="BS142" s="7"/>
      <c r="BT142" s="7"/>
      <c r="BU142" s="7"/>
      <c r="BV142" s="7"/>
      <c r="BW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</row>
    <row r="143" spans="5:98" x14ac:dyDescent="0.3">
      <c r="E143" s="7"/>
      <c r="F143" s="7"/>
      <c r="H143" s="7"/>
      <c r="I143" s="7"/>
      <c r="J143" s="7"/>
      <c r="K143" s="7"/>
      <c r="M143" s="7"/>
      <c r="N143" s="7"/>
      <c r="P143" s="7"/>
      <c r="Q143" s="7"/>
      <c r="S143" s="7"/>
      <c r="T143" s="7"/>
      <c r="U143" s="7"/>
      <c r="V143" s="7"/>
      <c r="X143" s="7"/>
      <c r="Y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R143" s="7"/>
      <c r="AS143" s="7"/>
      <c r="AT143" s="7"/>
      <c r="AU143" s="7"/>
      <c r="AW143" s="7"/>
      <c r="AX143" s="7"/>
      <c r="AZ143" s="7"/>
      <c r="BA143" s="7"/>
      <c r="BB143" s="7"/>
      <c r="BC143" s="7"/>
      <c r="BD143" s="7"/>
      <c r="BE143" s="7"/>
      <c r="BG143" s="7"/>
      <c r="BH143" s="7"/>
      <c r="BI143" s="7"/>
      <c r="BJ143" s="7"/>
      <c r="BK143" s="7"/>
      <c r="BL143" s="7"/>
      <c r="BM143" s="7"/>
      <c r="BN143" s="7"/>
      <c r="BP143" s="7"/>
      <c r="BQ143" s="7"/>
      <c r="BR143" s="7"/>
      <c r="BS143" s="7"/>
      <c r="BT143" s="7"/>
      <c r="BU143" s="7"/>
      <c r="BV143" s="7"/>
      <c r="BW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</row>
    <row r="144" spans="5:98" x14ac:dyDescent="0.3">
      <c r="E144" s="7"/>
      <c r="F144" s="7"/>
      <c r="H144" s="7"/>
      <c r="I144" s="7"/>
      <c r="J144" s="7"/>
      <c r="K144" s="7"/>
      <c r="M144" s="7"/>
      <c r="N144" s="7"/>
      <c r="P144" s="7"/>
      <c r="Q144" s="7"/>
      <c r="S144" s="7"/>
      <c r="T144" s="7"/>
      <c r="U144" s="7"/>
      <c r="V144" s="7"/>
      <c r="X144" s="7"/>
      <c r="Y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R144" s="7"/>
      <c r="AS144" s="7"/>
      <c r="AT144" s="7"/>
      <c r="AU144" s="7"/>
      <c r="AW144" s="7"/>
      <c r="AX144" s="7"/>
      <c r="AZ144" s="7"/>
      <c r="BA144" s="7"/>
      <c r="BB144" s="7"/>
      <c r="BC144" s="7"/>
      <c r="BD144" s="7"/>
      <c r="BE144" s="7"/>
      <c r="BG144" s="7"/>
      <c r="BH144" s="7"/>
      <c r="BI144" s="7"/>
      <c r="BJ144" s="7"/>
      <c r="BK144" s="7"/>
      <c r="BL144" s="7"/>
      <c r="BM144" s="7"/>
      <c r="BN144" s="7"/>
      <c r="BP144" s="7"/>
      <c r="BQ144" s="7"/>
      <c r="BR144" s="7"/>
      <c r="BS144" s="7"/>
      <c r="BT144" s="7"/>
      <c r="BU144" s="7"/>
      <c r="BV144" s="7"/>
      <c r="BW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</row>
    <row r="145" spans="5:98" x14ac:dyDescent="0.3">
      <c r="E145" s="7"/>
      <c r="F145" s="7"/>
      <c r="H145" s="7"/>
      <c r="I145" s="7"/>
      <c r="J145" s="7"/>
      <c r="K145" s="7"/>
      <c r="M145" s="7"/>
      <c r="N145" s="7"/>
      <c r="P145" s="7"/>
      <c r="Q145" s="7"/>
      <c r="S145" s="7"/>
      <c r="T145" s="7"/>
      <c r="U145" s="7"/>
      <c r="V145" s="7"/>
      <c r="X145" s="7"/>
      <c r="Y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R145" s="7"/>
      <c r="AS145" s="7"/>
      <c r="AT145" s="7"/>
      <c r="AU145" s="7"/>
      <c r="AW145" s="7"/>
      <c r="AX145" s="7"/>
      <c r="AZ145" s="7"/>
      <c r="BA145" s="7"/>
      <c r="BB145" s="7"/>
      <c r="BC145" s="7"/>
      <c r="BD145" s="7"/>
      <c r="BE145" s="7"/>
      <c r="BG145" s="7"/>
      <c r="BH145" s="7"/>
      <c r="BI145" s="7"/>
      <c r="BJ145" s="7"/>
      <c r="BK145" s="7"/>
      <c r="BL145" s="7"/>
      <c r="BM145" s="7"/>
      <c r="BN145" s="7"/>
      <c r="BP145" s="7"/>
      <c r="BQ145" s="7"/>
      <c r="BR145" s="7"/>
      <c r="BS145" s="7"/>
      <c r="BT145" s="7"/>
      <c r="BU145" s="7"/>
      <c r="BV145" s="7"/>
      <c r="BW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</row>
    <row r="146" spans="5:98" x14ac:dyDescent="0.3">
      <c r="E146" s="7"/>
      <c r="F146" s="7"/>
      <c r="H146" s="7"/>
      <c r="I146" s="7"/>
      <c r="J146" s="7"/>
      <c r="K146" s="7"/>
      <c r="M146" s="7"/>
      <c r="N146" s="7"/>
      <c r="P146" s="7"/>
      <c r="Q146" s="7"/>
      <c r="S146" s="7"/>
      <c r="T146" s="7"/>
      <c r="U146" s="7"/>
      <c r="V146" s="7"/>
      <c r="X146" s="7"/>
      <c r="Y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R146" s="7"/>
      <c r="AS146" s="7"/>
      <c r="AT146" s="7"/>
      <c r="AU146" s="7"/>
      <c r="AW146" s="7"/>
      <c r="AX146" s="7"/>
      <c r="AZ146" s="7"/>
      <c r="BA146" s="7"/>
      <c r="BB146" s="7"/>
      <c r="BC146" s="7"/>
      <c r="BD146" s="7"/>
      <c r="BE146" s="7"/>
      <c r="BG146" s="7"/>
      <c r="BH146" s="7"/>
      <c r="BI146" s="7"/>
      <c r="BJ146" s="7"/>
      <c r="BK146" s="7"/>
      <c r="BL146" s="7"/>
      <c r="BM146" s="7"/>
      <c r="BN146" s="7"/>
      <c r="BP146" s="7"/>
      <c r="BQ146" s="7"/>
      <c r="BR146" s="7"/>
      <c r="BS146" s="7"/>
      <c r="BT146" s="7"/>
      <c r="BU146" s="7"/>
      <c r="BV146" s="7"/>
      <c r="BW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</row>
    <row r="147" spans="5:98" x14ac:dyDescent="0.3">
      <c r="E147" s="7"/>
      <c r="F147" s="7"/>
      <c r="H147" s="7"/>
      <c r="I147" s="7"/>
      <c r="J147" s="7"/>
      <c r="K147" s="7"/>
      <c r="M147" s="7"/>
      <c r="N147" s="7"/>
      <c r="P147" s="7"/>
      <c r="Q147" s="7"/>
      <c r="S147" s="7"/>
      <c r="T147" s="7"/>
      <c r="U147" s="7"/>
      <c r="V147" s="7"/>
      <c r="X147" s="7"/>
      <c r="Y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R147" s="7"/>
      <c r="AS147" s="7"/>
      <c r="AT147" s="7"/>
      <c r="AU147" s="7"/>
      <c r="AW147" s="7"/>
      <c r="AX147" s="7"/>
      <c r="AZ147" s="7"/>
      <c r="BA147" s="7"/>
      <c r="BB147" s="7"/>
      <c r="BC147" s="7"/>
      <c r="BD147" s="7"/>
      <c r="BE147" s="7"/>
      <c r="BG147" s="7"/>
      <c r="BH147" s="7"/>
      <c r="BI147" s="7"/>
      <c r="BJ147" s="7"/>
      <c r="BK147" s="7"/>
      <c r="BL147" s="7"/>
      <c r="BM147" s="7"/>
      <c r="BN147" s="7"/>
      <c r="BP147" s="7"/>
      <c r="BQ147" s="7"/>
      <c r="BR147" s="7"/>
      <c r="BS147" s="7"/>
      <c r="BT147" s="7"/>
      <c r="BU147" s="7"/>
      <c r="BV147" s="7"/>
      <c r="BW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</row>
    <row r="148" spans="5:98" x14ac:dyDescent="0.3">
      <c r="E148" s="7"/>
      <c r="F148" s="7"/>
      <c r="H148" s="7"/>
      <c r="I148" s="7"/>
      <c r="J148" s="7"/>
      <c r="K148" s="7"/>
      <c r="M148" s="7"/>
      <c r="N148" s="7"/>
      <c r="P148" s="7"/>
      <c r="Q148" s="7"/>
      <c r="S148" s="7"/>
      <c r="T148" s="7"/>
      <c r="U148" s="7"/>
      <c r="V148" s="7"/>
      <c r="X148" s="7"/>
      <c r="Y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R148" s="7"/>
      <c r="AS148" s="7"/>
      <c r="AT148" s="7"/>
      <c r="AU148" s="7"/>
      <c r="AW148" s="7"/>
      <c r="AX148" s="7"/>
      <c r="AZ148" s="7"/>
      <c r="BA148" s="7"/>
      <c r="BB148" s="7"/>
      <c r="BC148" s="7"/>
      <c r="BD148" s="7"/>
      <c r="BE148" s="7"/>
      <c r="BG148" s="7"/>
      <c r="BH148" s="7"/>
      <c r="BI148" s="7"/>
      <c r="BJ148" s="7"/>
      <c r="BK148" s="7"/>
      <c r="BL148" s="7"/>
      <c r="BM148" s="7"/>
      <c r="BN148" s="7"/>
      <c r="BP148" s="7"/>
      <c r="BQ148" s="7"/>
      <c r="BR148" s="7"/>
      <c r="BS148" s="7"/>
      <c r="BT148" s="7"/>
      <c r="BU148" s="7"/>
      <c r="BV148" s="7"/>
      <c r="BW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</row>
    <row r="149" spans="5:98" x14ac:dyDescent="0.3">
      <c r="E149" s="7"/>
      <c r="F149" s="7"/>
      <c r="H149" s="7"/>
      <c r="I149" s="7"/>
      <c r="J149" s="7"/>
      <c r="K149" s="7"/>
      <c r="M149" s="7"/>
      <c r="N149" s="7"/>
      <c r="P149" s="7"/>
      <c r="Q149" s="7"/>
      <c r="S149" s="7"/>
      <c r="T149" s="7"/>
      <c r="U149" s="7"/>
      <c r="V149" s="7"/>
      <c r="X149" s="7"/>
      <c r="Y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R149" s="7"/>
      <c r="AS149" s="7"/>
      <c r="AT149" s="7"/>
      <c r="AU149" s="7"/>
      <c r="AW149" s="7"/>
      <c r="AX149" s="7"/>
      <c r="AZ149" s="7"/>
      <c r="BA149" s="7"/>
      <c r="BB149" s="7"/>
      <c r="BC149" s="7"/>
      <c r="BD149" s="7"/>
      <c r="BE149" s="7"/>
      <c r="BG149" s="7"/>
      <c r="BH149" s="7"/>
      <c r="BI149" s="7"/>
      <c r="BJ149" s="7"/>
      <c r="BK149" s="7"/>
      <c r="BL149" s="7"/>
      <c r="BM149" s="7"/>
      <c r="BN149" s="7"/>
      <c r="BP149" s="7"/>
      <c r="BQ149" s="7"/>
      <c r="BR149" s="7"/>
      <c r="BS149" s="7"/>
      <c r="BT149" s="7"/>
      <c r="BU149" s="7"/>
      <c r="BV149" s="7"/>
      <c r="BW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</row>
    <row r="150" spans="5:98" x14ac:dyDescent="0.3">
      <c r="E150" s="7"/>
      <c r="F150" s="7"/>
      <c r="H150" s="7"/>
      <c r="I150" s="7"/>
      <c r="J150" s="7"/>
      <c r="K150" s="7"/>
      <c r="M150" s="7"/>
      <c r="N150" s="7"/>
      <c r="P150" s="7"/>
      <c r="Q150" s="7"/>
      <c r="S150" s="7"/>
      <c r="T150" s="7"/>
      <c r="U150" s="7"/>
      <c r="V150" s="7"/>
      <c r="X150" s="7"/>
      <c r="Y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R150" s="7"/>
      <c r="AS150" s="7"/>
      <c r="AT150" s="7"/>
      <c r="AU150" s="7"/>
      <c r="AW150" s="7"/>
      <c r="AX150" s="7"/>
      <c r="AZ150" s="7"/>
      <c r="BA150" s="7"/>
      <c r="BB150" s="7"/>
      <c r="BC150" s="7"/>
      <c r="BD150" s="7"/>
      <c r="BE150" s="7"/>
      <c r="BG150" s="7"/>
      <c r="BH150" s="7"/>
      <c r="BI150" s="7"/>
      <c r="BJ150" s="7"/>
      <c r="BK150" s="7"/>
      <c r="BL150" s="7"/>
      <c r="BM150" s="7"/>
      <c r="BN150" s="7"/>
      <c r="BP150" s="7"/>
      <c r="BQ150" s="7"/>
      <c r="BR150" s="7"/>
      <c r="BS150" s="7"/>
      <c r="BT150" s="7"/>
      <c r="BU150" s="7"/>
      <c r="BV150" s="7"/>
      <c r="BW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</row>
    <row r="151" spans="5:98" x14ac:dyDescent="0.3">
      <c r="E151" s="7"/>
      <c r="F151" s="7"/>
      <c r="H151" s="7"/>
      <c r="I151" s="7"/>
      <c r="J151" s="7"/>
      <c r="K151" s="7"/>
      <c r="M151" s="7"/>
      <c r="N151" s="7"/>
      <c r="P151" s="7"/>
      <c r="Q151" s="7"/>
      <c r="S151" s="7"/>
      <c r="T151" s="7"/>
      <c r="U151" s="7"/>
      <c r="V151" s="7"/>
      <c r="X151" s="7"/>
      <c r="Y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R151" s="7"/>
      <c r="AS151" s="7"/>
      <c r="AT151" s="7"/>
      <c r="AU151" s="7"/>
      <c r="AW151" s="7"/>
      <c r="AX151" s="7"/>
      <c r="AZ151" s="7"/>
      <c r="BA151" s="7"/>
      <c r="BB151" s="7"/>
      <c r="BC151" s="7"/>
      <c r="BD151" s="7"/>
      <c r="BE151" s="7"/>
      <c r="BG151" s="7"/>
      <c r="BH151" s="7"/>
      <c r="BI151" s="7"/>
      <c r="BJ151" s="7"/>
      <c r="BK151" s="7"/>
      <c r="BL151" s="7"/>
      <c r="BM151" s="7"/>
      <c r="BN151" s="7"/>
      <c r="BP151" s="7"/>
      <c r="BQ151" s="7"/>
      <c r="BR151" s="7"/>
      <c r="BS151" s="7"/>
      <c r="BT151" s="7"/>
      <c r="BU151" s="7"/>
      <c r="BV151" s="7"/>
      <c r="BW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</row>
    <row r="152" spans="5:98" x14ac:dyDescent="0.3">
      <c r="E152" s="7"/>
      <c r="F152" s="7"/>
      <c r="H152" s="7"/>
      <c r="I152" s="7"/>
      <c r="J152" s="7"/>
      <c r="K152" s="7"/>
      <c r="M152" s="7"/>
      <c r="N152" s="7"/>
      <c r="P152" s="7"/>
      <c r="Q152" s="7"/>
      <c r="S152" s="7"/>
      <c r="T152" s="7"/>
      <c r="U152" s="7"/>
      <c r="V152" s="7"/>
      <c r="X152" s="7"/>
      <c r="Y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R152" s="7"/>
      <c r="AS152" s="7"/>
      <c r="AT152" s="7"/>
      <c r="AU152" s="7"/>
      <c r="AW152" s="7"/>
      <c r="AX152" s="7"/>
      <c r="AZ152" s="7"/>
      <c r="BA152" s="7"/>
      <c r="BB152" s="7"/>
      <c r="BC152" s="7"/>
      <c r="BD152" s="7"/>
      <c r="BE152" s="7"/>
      <c r="BG152" s="7"/>
      <c r="BH152" s="7"/>
      <c r="BI152" s="7"/>
      <c r="BJ152" s="7"/>
      <c r="BK152" s="7"/>
      <c r="BL152" s="7"/>
      <c r="BM152" s="7"/>
      <c r="BN152" s="7"/>
      <c r="BP152" s="7"/>
      <c r="BQ152" s="7"/>
      <c r="BR152" s="7"/>
      <c r="BS152" s="7"/>
      <c r="BT152" s="7"/>
      <c r="BU152" s="7"/>
      <c r="BV152" s="7"/>
      <c r="BW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</row>
    <row r="153" spans="5:98" x14ac:dyDescent="0.3">
      <c r="E153" s="7"/>
      <c r="F153" s="7"/>
      <c r="H153" s="7"/>
      <c r="I153" s="7"/>
      <c r="J153" s="7"/>
      <c r="K153" s="7"/>
      <c r="M153" s="7"/>
      <c r="N153" s="7"/>
      <c r="P153" s="7"/>
      <c r="Q153" s="7"/>
      <c r="S153" s="7"/>
      <c r="T153" s="7"/>
      <c r="U153" s="7"/>
      <c r="V153" s="7"/>
      <c r="X153" s="7"/>
      <c r="Y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R153" s="7"/>
      <c r="AS153" s="7"/>
      <c r="AT153" s="7"/>
      <c r="AU153" s="7"/>
      <c r="AW153" s="7"/>
      <c r="AX153" s="7"/>
      <c r="AZ153" s="7"/>
      <c r="BA153" s="7"/>
      <c r="BB153" s="7"/>
      <c r="BC153" s="7"/>
      <c r="BD153" s="7"/>
      <c r="BE153" s="7"/>
      <c r="BG153" s="7"/>
      <c r="BH153" s="7"/>
      <c r="BI153" s="7"/>
      <c r="BJ153" s="7"/>
      <c r="BK153" s="7"/>
      <c r="BL153" s="7"/>
      <c r="BM153" s="7"/>
      <c r="BN153" s="7"/>
      <c r="BP153" s="7"/>
      <c r="BQ153" s="7"/>
      <c r="BR153" s="7"/>
      <c r="BS153" s="7"/>
      <c r="BT153" s="7"/>
      <c r="BU153" s="7"/>
      <c r="BV153" s="7"/>
      <c r="BW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</row>
    <row r="154" spans="5:98" x14ac:dyDescent="0.3">
      <c r="E154" s="7"/>
      <c r="F154" s="7"/>
      <c r="H154" s="7"/>
      <c r="I154" s="7"/>
      <c r="J154" s="7"/>
      <c r="K154" s="7"/>
      <c r="M154" s="7"/>
      <c r="N154" s="7"/>
      <c r="P154" s="7"/>
      <c r="Q154" s="7"/>
      <c r="S154" s="7"/>
      <c r="T154" s="7"/>
      <c r="U154" s="7"/>
      <c r="V154" s="7"/>
      <c r="X154" s="7"/>
      <c r="Y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R154" s="7"/>
      <c r="AS154" s="7"/>
      <c r="AT154" s="7"/>
      <c r="AU154" s="7"/>
      <c r="AW154" s="7"/>
      <c r="AX154" s="7"/>
      <c r="AZ154" s="7"/>
      <c r="BA154" s="7"/>
      <c r="BB154" s="7"/>
      <c r="BC154" s="7"/>
      <c r="BD154" s="7"/>
      <c r="BE154" s="7"/>
      <c r="BG154" s="7"/>
      <c r="BH154" s="7"/>
      <c r="BI154" s="7"/>
      <c r="BJ154" s="7"/>
      <c r="BK154" s="7"/>
      <c r="BL154" s="7"/>
      <c r="BM154" s="7"/>
      <c r="BN154" s="7"/>
      <c r="BP154" s="7"/>
      <c r="BQ154" s="7"/>
      <c r="BR154" s="7"/>
      <c r="BS154" s="7"/>
      <c r="BT154" s="7"/>
      <c r="BU154" s="7"/>
      <c r="BV154" s="7"/>
      <c r="BW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</row>
    <row r="155" spans="5:98" x14ac:dyDescent="0.3">
      <c r="E155" s="7"/>
      <c r="F155" s="7"/>
      <c r="H155" s="7"/>
      <c r="I155" s="7"/>
      <c r="J155" s="7"/>
      <c r="K155" s="7"/>
      <c r="M155" s="7"/>
      <c r="N155" s="7"/>
      <c r="P155" s="7"/>
      <c r="Q155" s="7"/>
      <c r="S155" s="7"/>
      <c r="T155" s="7"/>
      <c r="U155" s="7"/>
      <c r="V155" s="7"/>
      <c r="X155" s="7"/>
      <c r="Y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R155" s="7"/>
      <c r="AS155" s="7"/>
      <c r="AT155" s="7"/>
      <c r="AU155" s="7"/>
      <c r="AW155" s="7"/>
      <c r="AX155" s="7"/>
      <c r="AZ155" s="7"/>
      <c r="BA155" s="7"/>
      <c r="BB155" s="7"/>
      <c r="BC155" s="7"/>
      <c r="BD155" s="7"/>
      <c r="BE155" s="7"/>
      <c r="BG155" s="7"/>
      <c r="BH155" s="7"/>
      <c r="BI155" s="7"/>
      <c r="BJ155" s="7"/>
      <c r="BK155" s="7"/>
      <c r="BL155" s="7"/>
      <c r="BM155" s="7"/>
      <c r="BN155" s="7"/>
      <c r="BP155" s="7"/>
      <c r="BQ155" s="7"/>
      <c r="BR155" s="7"/>
      <c r="BS155" s="7"/>
      <c r="BT155" s="7"/>
      <c r="BU155" s="7"/>
      <c r="BV155" s="7"/>
      <c r="BW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</row>
    <row r="156" spans="5:98" x14ac:dyDescent="0.3">
      <c r="E156" s="7"/>
      <c r="F156" s="7"/>
      <c r="H156" s="7"/>
      <c r="I156" s="7"/>
      <c r="J156" s="7"/>
      <c r="K156" s="7"/>
      <c r="M156" s="7"/>
      <c r="N156" s="7"/>
      <c r="P156" s="7"/>
      <c r="Q156" s="7"/>
      <c r="S156" s="7"/>
      <c r="T156" s="7"/>
      <c r="U156" s="7"/>
      <c r="V156" s="7"/>
      <c r="X156" s="7"/>
      <c r="Y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R156" s="7"/>
      <c r="AS156" s="7"/>
      <c r="AT156" s="7"/>
      <c r="AU156" s="7"/>
      <c r="AW156" s="7"/>
      <c r="AX156" s="7"/>
      <c r="AZ156" s="7"/>
      <c r="BA156" s="7"/>
      <c r="BB156" s="7"/>
      <c r="BC156" s="7"/>
      <c r="BD156" s="7"/>
      <c r="BE156" s="7"/>
      <c r="BG156" s="7"/>
      <c r="BH156" s="7"/>
      <c r="BI156" s="7"/>
      <c r="BJ156" s="7"/>
      <c r="BK156" s="7"/>
      <c r="BL156" s="7"/>
      <c r="BM156" s="7"/>
      <c r="BN156" s="7"/>
      <c r="BP156" s="7"/>
      <c r="BQ156" s="7"/>
      <c r="BR156" s="7"/>
      <c r="BS156" s="7"/>
      <c r="BT156" s="7"/>
      <c r="BU156" s="7"/>
      <c r="BV156" s="7"/>
      <c r="BW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</row>
    <row r="157" spans="5:98" x14ac:dyDescent="0.3">
      <c r="E157" s="7"/>
      <c r="F157" s="7"/>
      <c r="H157" s="7"/>
      <c r="I157" s="7"/>
      <c r="J157" s="7"/>
      <c r="K157" s="7"/>
      <c r="M157" s="7"/>
      <c r="N157" s="7"/>
      <c r="P157" s="7"/>
      <c r="Q157" s="7"/>
      <c r="S157" s="7"/>
      <c r="T157" s="7"/>
      <c r="U157" s="7"/>
      <c r="V157" s="7"/>
      <c r="X157" s="7"/>
      <c r="Y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R157" s="7"/>
      <c r="AS157" s="7"/>
      <c r="AT157" s="7"/>
      <c r="AU157" s="7"/>
      <c r="AW157" s="7"/>
      <c r="AX157" s="7"/>
      <c r="AZ157" s="7"/>
      <c r="BA157" s="7"/>
      <c r="BB157" s="7"/>
      <c r="BC157" s="7"/>
      <c r="BD157" s="7"/>
      <c r="BE157" s="7"/>
      <c r="BG157" s="7"/>
      <c r="BH157" s="7"/>
      <c r="BI157" s="7"/>
      <c r="BJ157" s="7"/>
      <c r="BK157" s="7"/>
      <c r="BL157" s="7"/>
      <c r="BM157" s="7"/>
      <c r="BN157" s="7"/>
      <c r="BP157" s="7"/>
      <c r="BQ157" s="7"/>
      <c r="BR157" s="7"/>
      <c r="BS157" s="7"/>
      <c r="BT157" s="7"/>
      <c r="BU157" s="7"/>
      <c r="BV157" s="7"/>
      <c r="BW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</row>
    <row r="158" spans="5:98" x14ac:dyDescent="0.3">
      <c r="E158" s="7"/>
      <c r="F158" s="7"/>
      <c r="H158" s="7"/>
      <c r="I158" s="7"/>
      <c r="J158" s="7"/>
      <c r="K158" s="7"/>
      <c r="M158" s="7"/>
      <c r="N158" s="7"/>
      <c r="P158" s="7"/>
      <c r="Q158" s="7"/>
      <c r="S158" s="7"/>
      <c r="T158" s="7"/>
      <c r="U158" s="7"/>
      <c r="V158" s="7"/>
      <c r="X158" s="7"/>
      <c r="Y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R158" s="7"/>
      <c r="AS158" s="7"/>
      <c r="AT158" s="7"/>
      <c r="AU158" s="7"/>
      <c r="AW158" s="7"/>
      <c r="AX158" s="7"/>
      <c r="AZ158" s="7"/>
      <c r="BA158" s="7"/>
      <c r="BB158" s="7"/>
      <c r="BC158" s="7"/>
      <c r="BD158" s="7"/>
      <c r="BE158" s="7"/>
      <c r="BG158" s="7"/>
      <c r="BH158" s="7"/>
      <c r="BI158" s="7"/>
      <c r="BJ158" s="7"/>
      <c r="BK158" s="7"/>
      <c r="BL158" s="7"/>
      <c r="BM158" s="7"/>
      <c r="BN158" s="7"/>
      <c r="BP158" s="7"/>
      <c r="BQ158" s="7"/>
      <c r="BR158" s="7"/>
      <c r="BS158" s="7"/>
      <c r="BT158" s="7"/>
      <c r="BU158" s="7"/>
      <c r="BV158" s="7"/>
      <c r="BW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</row>
    <row r="159" spans="5:98" x14ac:dyDescent="0.3">
      <c r="E159" s="7"/>
      <c r="F159" s="7"/>
      <c r="H159" s="7"/>
      <c r="I159" s="7"/>
      <c r="J159" s="7"/>
      <c r="K159" s="7"/>
      <c r="M159" s="7"/>
      <c r="N159" s="7"/>
      <c r="P159" s="7"/>
      <c r="Q159" s="7"/>
      <c r="S159" s="7"/>
      <c r="T159" s="7"/>
      <c r="U159" s="7"/>
      <c r="V159" s="7"/>
      <c r="X159" s="7"/>
      <c r="Y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R159" s="7"/>
      <c r="AS159" s="7"/>
      <c r="AT159" s="7"/>
      <c r="AU159" s="7"/>
      <c r="AW159" s="7"/>
      <c r="AX159" s="7"/>
      <c r="AZ159" s="7"/>
      <c r="BA159" s="7"/>
      <c r="BB159" s="7"/>
      <c r="BC159" s="7"/>
      <c r="BD159" s="7"/>
      <c r="BE159" s="7"/>
      <c r="BG159" s="7"/>
      <c r="BH159" s="7"/>
      <c r="BI159" s="7"/>
      <c r="BJ159" s="7"/>
      <c r="BK159" s="7"/>
      <c r="BL159" s="7"/>
      <c r="BM159" s="7"/>
      <c r="BN159" s="7"/>
      <c r="BP159" s="7"/>
      <c r="BQ159" s="7"/>
      <c r="BR159" s="7"/>
      <c r="BS159" s="7"/>
      <c r="BT159" s="7"/>
      <c r="BU159" s="7"/>
      <c r="BV159" s="7"/>
      <c r="BW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</row>
    <row r="160" spans="5:98" x14ac:dyDescent="0.3">
      <c r="E160" s="7"/>
      <c r="F160" s="7"/>
      <c r="H160" s="7"/>
      <c r="I160" s="7"/>
      <c r="J160" s="7"/>
      <c r="K160" s="7"/>
      <c r="M160" s="7"/>
      <c r="N160" s="7"/>
      <c r="P160" s="7"/>
      <c r="Q160" s="7"/>
      <c r="S160" s="7"/>
      <c r="T160" s="7"/>
      <c r="U160" s="7"/>
      <c r="V160" s="7"/>
      <c r="X160" s="7"/>
      <c r="Y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R160" s="7"/>
      <c r="AS160" s="7"/>
      <c r="AT160" s="7"/>
      <c r="AU160" s="7"/>
      <c r="AW160" s="7"/>
      <c r="AX160" s="7"/>
      <c r="AZ160" s="7"/>
      <c r="BA160" s="7"/>
      <c r="BB160" s="7"/>
      <c r="BC160" s="7"/>
      <c r="BD160" s="7"/>
      <c r="BE160" s="7"/>
      <c r="BG160" s="7"/>
      <c r="BH160" s="7"/>
      <c r="BI160" s="7"/>
      <c r="BJ160" s="7"/>
      <c r="BK160" s="7"/>
      <c r="BL160" s="7"/>
      <c r="BM160" s="7"/>
      <c r="BN160" s="7"/>
      <c r="BP160" s="7"/>
      <c r="BQ160" s="7"/>
      <c r="BR160" s="7"/>
      <c r="BS160" s="7"/>
      <c r="BT160" s="7"/>
      <c r="BU160" s="7"/>
      <c r="BV160" s="7"/>
      <c r="BW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</row>
    <row r="161" spans="5:98" x14ac:dyDescent="0.3">
      <c r="E161" s="7"/>
      <c r="F161" s="7"/>
      <c r="H161" s="7"/>
      <c r="I161" s="7"/>
      <c r="J161" s="7"/>
      <c r="K161" s="7"/>
      <c r="M161" s="7"/>
      <c r="N161" s="7"/>
      <c r="P161" s="7"/>
      <c r="Q161" s="7"/>
      <c r="S161" s="7"/>
      <c r="T161" s="7"/>
      <c r="U161" s="7"/>
      <c r="V161" s="7"/>
      <c r="X161" s="7"/>
      <c r="Y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R161" s="7"/>
      <c r="AS161" s="7"/>
      <c r="AT161" s="7"/>
      <c r="AU161" s="7"/>
      <c r="AW161" s="7"/>
      <c r="AX161" s="7"/>
      <c r="AZ161" s="7"/>
      <c r="BA161" s="7"/>
      <c r="BB161" s="7"/>
      <c r="BC161" s="7"/>
      <c r="BD161" s="7"/>
      <c r="BE161" s="7"/>
      <c r="BG161" s="7"/>
      <c r="BH161" s="7"/>
      <c r="BI161" s="7"/>
      <c r="BJ161" s="7"/>
      <c r="BK161" s="7"/>
      <c r="BL161" s="7"/>
      <c r="BM161" s="7"/>
      <c r="BN161" s="7"/>
      <c r="BP161" s="7"/>
      <c r="BQ161" s="7"/>
      <c r="BR161" s="7"/>
      <c r="BS161" s="7"/>
      <c r="BT161" s="7"/>
      <c r="BU161" s="7"/>
      <c r="BV161" s="7"/>
      <c r="BW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</row>
    <row r="162" spans="5:98" x14ac:dyDescent="0.3">
      <c r="E162" s="7"/>
      <c r="F162" s="7"/>
      <c r="H162" s="7"/>
      <c r="I162" s="7"/>
      <c r="J162" s="7"/>
      <c r="K162" s="7"/>
      <c r="M162" s="7"/>
      <c r="N162" s="7"/>
      <c r="P162" s="7"/>
      <c r="Q162" s="7"/>
      <c r="S162" s="7"/>
      <c r="T162" s="7"/>
      <c r="U162" s="7"/>
      <c r="V162" s="7"/>
      <c r="X162" s="7"/>
      <c r="Y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R162" s="7"/>
      <c r="AS162" s="7"/>
      <c r="AT162" s="7"/>
      <c r="AU162" s="7"/>
      <c r="AW162" s="7"/>
      <c r="AX162" s="7"/>
      <c r="AZ162" s="7"/>
      <c r="BA162" s="7"/>
      <c r="BB162" s="7"/>
      <c r="BC162" s="7"/>
      <c r="BD162" s="7"/>
      <c r="BE162" s="7"/>
      <c r="BG162" s="7"/>
      <c r="BH162" s="7"/>
      <c r="BI162" s="7"/>
      <c r="BJ162" s="7"/>
      <c r="BK162" s="7"/>
      <c r="BL162" s="7"/>
      <c r="BM162" s="7"/>
      <c r="BN162" s="7"/>
      <c r="BP162" s="7"/>
      <c r="BQ162" s="7"/>
      <c r="BR162" s="7"/>
      <c r="BS162" s="7"/>
      <c r="BT162" s="7"/>
      <c r="BU162" s="7"/>
      <c r="BV162" s="7"/>
      <c r="BW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</row>
    <row r="163" spans="5:98" x14ac:dyDescent="0.3">
      <c r="E163" s="7"/>
      <c r="F163" s="7"/>
      <c r="H163" s="7"/>
      <c r="I163" s="7"/>
      <c r="J163" s="7"/>
      <c r="K163" s="7"/>
      <c r="M163" s="7"/>
      <c r="N163" s="7"/>
      <c r="P163" s="7"/>
      <c r="Q163" s="7"/>
      <c r="S163" s="7"/>
      <c r="T163" s="7"/>
      <c r="U163" s="7"/>
      <c r="V163" s="7"/>
      <c r="X163" s="7"/>
      <c r="Y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R163" s="7"/>
      <c r="AS163" s="7"/>
      <c r="AT163" s="7"/>
      <c r="AU163" s="7"/>
      <c r="AW163" s="7"/>
      <c r="AX163" s="7"/>
      <c r="AZ163" s="7"/>
      <c r="BA163" s="7"/>
      <c r="BB163" s="7"/>
      <c r="BC163" s="7"/>
      <c r="BD163" s="7"/>
      <c r="BE163" s="7"/>
      <c r="BG163" s="7"/>
      <c r="BH163" s="7"/>
      <c r="BI163" s="7"/>
      <c r="BJ163" s="7"/>
      <c r="BK163" s="7"/>
      <c r="BL163" s="7"/>
      <c r="BM163" s="7"/>
      <c r="BN163" s="7"/>
      <c r="BP163" s="7"/>
      <c r="BQ163" s="7"/>
      <c r="BR163" s="7"/>
      <c r="BS163" s="7"/>
      <c r="BT163" s="7"/>
      <c r="BU163" s="7"/>
      <c r="BV163" s="7"/>
      <c r="BW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</row>
    <row r="164" spans="5:98" x14ac:dyDescent="0.3">
      <c r="E164" s="7"/>
      <c r="F164" s="7"/>
      <c r="H164" s="7"/>
      <c r="I164" s="7"/>
      <c r="J164" s="7"/>
      <c r="K164" s="7"/>
      <c r="M164" s="7"/>
      <c r="N164" s="7"/>
      <c r="P164" s="7"/>
      <c r="Q164" s="7"/>
      <c r="S164" s="7"/>
      <c r="T164" s="7"/>
      <c r="U164" s="7"/>
      <c r="V164" s="7"/>
      <c r="X164" s="7"/>
      <c r="Y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R164" s="7"/>
      <c r="AS164" s="7"/>
      <c r="AT164" s="7"/>
      <c r="AU164" s="7"/>
      <c r="AW164" s="7"/>
      <c r="AX164" s="7"/>
      <c r="AZ164" s="7"/>
      <c r="BA164" s="7"/>
      <c r="BB164" s="7"/>
      <c r="BC164" s="7"/>
      <c r="BD164" s="7"/>
      <c r="BE164" s="7"/>
      <c r="BG164" s="7"/>
      <c r="BH164" s="7"/>
      <c r="BI164" s="7"/>
      <c r="BJ164" s="7"/>
      <c r="BK164" s="7"/>
      <c r="BL164" s="7"/>
      <c r="BM164" s="7"/>
      <c r="BN164" s="7"/>
      <c r="BP164" s="7"/>
      <c r="BQ164" s="7"/>
      <c r="BR164" s="7"/>
      <c r="BS164" s="7"/>
      <c r="BT164" s="7"/>
      <c r="BU164" s="7"/>
      <c r="BV164" s="7"/>
      <c r="BW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</row>
    <row r="165" spans="5:98" x14ac:dyDescent="0.3">
      <c r="E165" s="7"/>
      <c r="F165" s="7"/>
      <c r="H165" s="7"/>
      <c r="I165" s="7"/>
      <c r="J165" s="7"/>
      <c r="K165" s="7"/>
      <c r="M165" s="7"/>
      <c r="N165" s="7"/>
      <c r="P165" s="7"/>
      <c r="Q165" s="7"/>
      <c r="S165" s="7"/>
      <c r="T165" s="7"/>
      <c r="U165" s="7"/>
      <c r="V165" s="7"/>
      <c r="X165" s="7"/>
      <c r="Y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R165" s="7"/>
      <c r="AS165" s="7"/>
      <c r="AT165" s="7"/>
      <c r="AU165" s="7"/>
      <c r="AW165" s="7"/>
      <c r="AX165" s="7"/>
      <c r="AZ165" s="7"/>
      <c r="BA165" s="7"/>
      <c r="BB165" s="7"/>
      <c r="BC165" s="7"/>
      <c r="BD165" s="7"/>
      <c r="BE165" s="7"/>
      <c r="BG165" s="7"/>
      <c r="BH165" s="7"/>
      <c r="BI165" s="7"/>
      <c r="BJ165" s="7"/>
      <c r="BK165" s="7"/>
      <c r="BL165" s="7"/>
      <c r="BM165" s="7"/>
      <c r="BN165" s="7"/>
      <c r="BP165" s="7"/>
      <c r="BQ165" s="7"/>
      <c r="BR165" s="7"/>
      <c r="BS165" s="7"/>
      <c r="BT165" s="7"/>
      <c r="BU165" s="7"/>
      <c r="BV165" s="7"/>
      <c r="BW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</row>
    <row r="166" spans="5:98" x14ac:dyDescent="0.3">
      <c r="E166" s="7"/>
      <c r="F166" s="7"/>
      <c r="H166" s="7"/>
      <c r="I166" s="7"/>
      <c r="J166" s="7"/>
      <c r="K166" s="7"/>
      <c r="M166" s="7"/>
      <c r="N166" s="7"/>
      <c r="P166" s="7"/>
      <c r="Q166" s="7"/>
      <c r="S166" s="7"/>
      <c r="T166" s="7"/>
      <c r="U166" s="7"/>
      <c r="V166" s="7"/>
      <c r="X166" s="7"/>
      <c r="Y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R166" s="7"/>
      <c r="AS166" s="7"/>
      <c r="AT166" s="7"/>
      <c r="AU166" s="7"/>
      <c r="AW166" s="7"/>
      <c r="AX166" s="7"/>
      <c r="AZ166" s="7"/>
      <c r="BA166" s="7"/>
      <c r="BB166" s="7"/>
      <c r="BC166" s="7"/>
      <c r="BD166" s="7"/>
      <c r="BE166" s="7"/>
      <c r="BG166" s="7"/>
      <c r="BH166" s="7"/>
      <c r="BI166" s="7"/>
      <c r="BJ166" s="7"/>
      <c r="BK166" s="7"/>
      <c r="BL166" s="7"/>
      <c r="BM166" s="7"/>
      <c r="BN166" s="7"/>
      <c r="BP166" s="7"/>
      <c r="BQ166" s="7"/>
      <c r="BR166" s="7"/>
      <c r="BS166" s="7"/>
      <c r="BT166" s="7"/>
      <c r="BU166" s="7"/>
      <c r="BV166" s="7"/>
      <c r="BW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</row>
    <row r="167" spans="5:98" x14ac:dyDescent="0.3">
      <c r="E167" s="7"/>
      <c r="F167" s="7"/>
      <c r="H167" s="7"/>
      <c r="I167" s="7"/>
      <c r="J167" s="7"/>
      <c r="K167" s="7"/>
      <c r="M167" s="7"/>
      <c r="N167" s="7"/>
      <c r="P167" s="7"/>
      <c r="Q167" s="7"/>
      <c r="S167" s="7"/>
      <c r="T167" s="7"/>
      <c r="U167" s="7"/>
      <c r="V167" s="7"/>
      <c r="X167" s="7"/>
      <c r="Y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R167" s="7"/>
      <c r="AS167" s="7"/>
      <c r="AT167" s="7"/>
      <c r="AU167" s="7"/>
      <c r="AW167" s="7"/>
      <c r="AX167" s="7"/>
      <c r="AZ167" s="7"/>
      <c r="BA167" s="7"/>
      <c r="BB167" s="7"/>
      <c r="BC167" s="7"/>
      <c r="BD167" s="7"/>
      <c r="BE167" s="7"/>
      <c r="BG167" s="7"/>
      <c r="BH167" s="7"/>
      <c r="BI167" s="7"/>
      <c r="BJ167" s="7"/>
      <c r="BK167" s="7"/>
      <c r="BL167" s="7"/>
      <c r="BM167" s="7"/>
      <c r="BN167" s="7"/>
      <c r="BP167" s="7"/>
      <c r="BQ167" s="7"/>
      <c r="BR167" s="7"/>
      <c r="BS167" s="7"/>
      <c r="BT167" s="7"/>
      <c r="BU167" s="7"/>
      <c r="BV167" s="7"/>
      <c r="BW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</row>
    <row r="168" spans="5:98" x14ac:dyDescent="0.3">
      <c r="E168" s="7"/>
      <c r="F168" s="7"/>
      <c r="H168" s="7"/>
      <c r="I168" s="7"/>
      <c r="J168" s="7"/>
      <c r="K168" s="7"/>
      <c r="M168" s="7"/>
      <c r="N168" s="7"/>
      <c r="P168" s="7"/>
      <c r="Q168" s="7"/>
      <c r="S168" s="7"/>
      <c r="T168" s="7"/>
      <c r="U168" s="7"/>
      <c r="V168" s="7"/>
      <c r="X168" s="7"/>
      <c r="Y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R168" s="7"/>
      <c r="AS168" s="7"/>
      <c r="AT168" s="7"/>
      <c r="AU168" s="7"/>
      <c r="AW168" s="7"/>
      <c r="AX168" s="7"/>
      <c r="AZ168" s="7"/>
      <c r="BA168" s="7"/>
      <c r="BB168" s="7"/>
      <c r="BC168" s="7"/>
      <c r="BD168" s="7"/>
      <c r="BE168" s="7"/>
      <c r="BG168" s="7"/>
      <c r="BH168" s="7"/>
      <c r="BI168" s="7"/>
      <c r="BJ168" s="7"/>
      <c r="BK168" s="7"/>
      <c r="BL168" s="7"/>
      <c r="BM168" s="7"/>
      <c r="BN168" s="7"/>
      <c r="BP168" s="7"/>
      <c r="BQ168" s="7"/>
      <c r="BR168" s="7"/>
      <c r="BS168" s="7"/>
      <c r="BT168" s="7"/>
      <c r="BU168" s="7"/>
      <c r="BV168" s="7"/>
      <c r="BW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</row>
    <row r="169" spans="5:98" x14ac:dyDescent="0.3">
      <c r="E169" s="7"/>
      <c r="F169" s="7"/>
      <c r="H169" s="7"/>
      <c r="I169" s="7"/>
      <c r="J169" s="7"/>
      <c r="K169" s="7"/>
      <c r="M169" s="7"/>
      <c r="N169" s="7"/>
      <c r="P169" s="7"/>
      <c r="Q169" s="7"/>
      <c r="S169" s="7"/>
      <c r="T169" s="7"/>
      <c r="U169" s="7"/>
      <c r="V169" s="7"/>
      <c r="X169" s="7"/>
      <c r="Y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R169" s="7"/>
      <c r="AS169" s="7"/>
      <c r="AT169" s="7"/>
      <c r="AU169" s="7"/>
      <c r="AW169" s="7"/>
      <c r="AX169" s="7"/>
      <c r="AZ169" s="7"/>
      <c r="BA169" s="7"/>
      <c r="BB169" s="7"/>
      <c r="BC169" s="7"/>
      <c r="BD169" s="7"/>
      <c r="BE169" s="7"/>
      <c r="BG169" s="7"/>
      <c r="BH169" s="7"/>
      <c r="BI169" s="7"/>
      <c r="BJ169" s="7"/>
      <c r="BK169" s="7"/>
      <c r="BL169" s="7"/>
      <c r="BM169" s="7"/>
      <c r="BN169" s="7"/>
      <c r="BP169" s="7"/>
      <c r="BQ169" s="7"/>
      <c r="BR169" s="7"/>
      <c r="BS169" s="7"/>
      <c r="BT169" s="7"/>
      <c r="BU169" s="7"/>
      <c r="BV169" s="7"/>
      <c r="BW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</row>
    <row r="170" spans="5:98" x14ac:dyDescent="0.3">
      <c r="E170" s="7"/>
      <c r="F170" s="7"/>
      <c r="H170" s="7"/>
      <c r="I170" s="7"/>
      <c r="J170" s="7"/>
      <c r="K170" s="7"/>
      <c r="M170" s="7"/>
      <c r="N170" s="7"/>
      <c r="P170" s="7"/>
      <c r="Q170" s="7"/>
      <c r="S170" s="7"/>
      <c r="T170" s="7"/>
      <c r="U170" s="7"/>
      <c r="V170" s="7"/>
      <c r="X170" s="7"/>
      <c r="Y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R170" s="7"/>
      <c r="AS170" s="7"/>
      <c r="AT170" s="7"/>
      <c r="AU170" s="7"/>
      <c r="AW170" s="7"/>
      <c r="AX170" s="7"/>
      <c r="AZ170" s="7"/>
      <c r="BA170" s="7"/>
      <c r="BB170" s="7"/>
      <c r="BC170" s="7"/>
      <c r="BD170" s="7"/>
      <c r="BE170" s="7"/>
      <c r="BG170" s="7"/>
      <c r="BH170" s="7"/>
      <c r="BI170" s="7"/>
      <c r="BJ170" s="7"/>
      <c r="BK170" s="7"/>
      <c r="BL170" s="7"/>
      <c r="BM170" s="7"/>
      <c r="BN170" s="7"/>
      <c r="BP170" s="7"/>
      <c r="BQ170" s="7"/>
      <c r="BR170" s="7"/>
      <c r="BS170" s="7"/>
      <c r="BT170" s="7"/>
      <c r="BU170" s="7"/>
      <c r="BV170" s="7"/>
      <c r="BW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</row>
    <row r="171" spans="5:98" x14ac:dyDescent="0.3">
      <c r="E171" s="7"/>
      <c r="F171" s="7"/>
      <c r="H171" s="7"/>
      <c r="I171" s="7"/>
      <c r="J171" s="7"/>
      <c r="K171" s="7"/>
      <c r="M171" s="7"/>
      <c r="N171" s="7"/>
      <c r="P171" s="7"/>
      <c r="Q171" s="7"/>
      <c r="S171" s="7"/>
      <c r="T171" s="7"/>
      <c r="U171" s="7"/>
      <c r="V171" s="7"/>
      <c r="X171" s="7"/>
      <c r="Y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R171" s="7"/>
      <c r="AS171" s="7"/>
      <c r="AT171" s="7"/>
      <c r="AU171" s="7"/>
      <c r="AW171" s="7"/>
      <c r="AX171" s="7"/>
      <c r="AZ171" s="7"/>
      <c r="BA171" s="7"/>
      <c r="BB171" s="7"/>
      <c r="BC171" s="7"/>
      <c r="BD171" s="7"/>
      <c r="BE171" s="7"/>
      <c r="BG171" s="7"/>
      <c r="BH171" s="7"/>
      <c r="BI171" s="7"/>
      <c r="BJ171" s="7"/>
      <c r="BK171" s="7"/>
      <c r="BL171" s="7"/>
      <c r="BM171" s="7"/>
      <c r="BN171" s="7"/>
      <c r="BP171" s="7"/>
      <c r="BQ171" s="7"/>
      <c r="BR171" s="7"/>
      <c r="BS171" s="7"/>
      <c r="BT171" s="7"/>
      <c r="BU171" s="7"/>
      <c r="BV171" s="7"/>
      <c r="BW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</row>
    <row r="172" spans="5:98" x14ac:dyDescent="0.3">
      <c r="E172" s="7"/>
      <c r="F172" s="7"/>
      <c r="H172" s="7"/>
      <c r="I172" s="7"/>
      <c r="J172" s="7"/>
      <c r="K172" s="7"/>
      <c r="M172" s="7"/>
      <c r="N172" s="7"/>
      <c r="P172" s="7"/>
      <c r="Q172" s="7"/>
      <c r="S172" s="7"/>
      <c r="T172" s="7"/>
      <c r="U172" s="7"/>
      <c r="V172" s="7"/>
      <c r="X172" s="7"/>
      <c r="Y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R172" s="7"/>
      <c r="AS172" s="7"/>
      <c r="AT172" s="7"/>
      <c r="AU172" s="7"/>
      <c r="AW172" s="7"/>
      <c r="AX172" s="7"/>
      <c r="AZ172" s="7"/>
      <c r="BA172" s="7"/>
      <c r="BB172" s="7"/>
      <c r="BC172" s="7"/>
      <c r="BD172" s="7"/>
      <c r="BE172" s="7"/>
      <c r="BG172" s="7"/>
      <c r="BH172" s="7"/>
      <c r="BI172" s="7"/>
      <c r="BJ172" s="7"/>
      <c r="BK172" s="7"/>
      <c r="BL172" s="7"/>
      <c r="BM172" s="7"/>
      <c r="BN172" s="7"/>
      <c r="BP172" s="7"/>
      <c r="BQ172" s="7"/>
      <c r="BR172" s="7"/>
      <c r="BS172" s="7"/>
      <c r="BT172" s="7"/>
      <c r="BU172" s="7"/>
      <c r="BV172" s="7"/>
      <c r="BW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</row>
    <row r="173" spans="5:98" x14ac:dyDescent="0.3">
      <c r="E173" s="7"/>
      <c r="F173" s="7"/>
      <c r="H173" s="7"/>
      <c r="I173" s="7"/>
      <c r="J173" s="7"/>
      <c r="K173" s="7"/>
      <c r="M173" s="7"/>
      <c r="N173" s="7"/>
      <c r="P173" s="7"/>
      <c r="Q173" s="7"/>
      <c r="S173" s="7"/>
      <c r="T173" s="7"/>
      <c r="U173" s="7"/>
      <c r="V173" s="7"/>
      <c r="X173" s="7"/>
      <c r="Y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R173" s="7"/>
      <c r="AS173" s="7"/>
      <c r="AT173" s="7"/>
      <c r="AU173" s="7"/>
      <c r="AW173" s="7"/>
      <c r="AX173" s="7"/>
      <c r="AZ173" s="7"/>
      <c r="BA173" s="7"/>
      <c r="BB173" s="7"/>
      <c r="BC173" s="7"/>
      <c r="BD173" s="7"/>
      <c r="BE173" s="7"/>
      <c r="BG173" s="7"/>
      <c r="BH173" s="7"/>
      <c r="BI173" s="7"/>
      <c r="BJ173" s="7"/>
      <c r="BK173" s="7"/>
      <c r="BL173" s="7"/>
      <c r="BM173" s="7"/>
      <c r="BN173" s="7"/>
      <c r="BP173" s="7"/>
      <c r="BQ173" s="7"/>
      <c r="BR173" s="7"/>
      <c r="BS173" s="7"/>
      <c r="BT173" s="7"/>
      <c r="BU173" s="7"/>
      <c r="BV173" s="7"/>
      <c r="BW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</row>
    <row r="174" spans="5:98" x14ac:dyDescent="0.3">
      <c r="E174" s="7"/>
      <c r="F174" s="7"/>
      <c r="H174" s="7"/>
      <c r="I174" s="7"/>
      <c r="J174" s="7"/>
      <c r="K174" s="7"/>
      <c r="M174" s="7"/>
      <c r="N174" s="7"/>
      <c r="P174" s="7"/>
      <c r="Q174" s="7"/>
      <c r="S174" s="7"/>
      <c r="T174" s="7"/>
      <c r="U174" s="7"/>
      <c r="V174" s="7"/>
      <c r="X174" s="7"/>
      <c r="Y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R174" s="7"/>
      <c r="AS174" s="7"/>
      <c r="AT174" s="7"/>
      <c r="AU174" s="7"/>
      <c r="AW174" s="7"/>
      <c r="AX174" s="7"/>
      <c r="AZ174" s="7"/>
      <c r="BA174" s="7"/>
      <c r="BB174" s="7"/>
      <c r="BC174" s="7"/>
      <c r="BD174" s="7"/>
      <c r="BE174" s="7"/>
      <c r="BG174" s="7"/>
      <c r="BH174" s="7"/>
      <c r="BI174" s="7"/>
      <c r="BJ174" s="7"/>
      <c r="BK174" s="7"/>
      <c r="BL174" s="7"/>
      <c r="BM174" s="7"/>
      <c r="BN174" s="7"/>
      <c r="BP174" s="7"/>
      <c r="BQ174" s="7"/>
      <c r="BR174" s="7"/>
      <c r="BS174" s="7"/>
      <c r="BT174" s="7"/>
      <c r="BU174" s="7"/>
      <c r="BV174" s="7"/>
      <c r="BW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</row>
    <row r="175" spans="5:98" x14ac:dyDescent="0.3">
      <c r="E175" s="7"/>
      <c r="F175" s="7"/>
      <c r="H175" s="7"/>
      <c r="I175" s="7"/>
      <c r="J175" s="7"/>
      <c r="K175" s="7"/>
      <c r="M175" s="7"/>
      <c r="N175" s="7"/>
      <c r="P175" s="7"/>
      <c r="Q175" s="7"/>
      <c r="S175" s="7"/>
      <c r="T175" s="7"/>
      <c r="U175" s="7"/>
      <c r="V175" s="7"/>
      <c r="X175" s="7"/>
      <c r="Y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R175" s="7"/>
      <c r="AS175" s="7"/>
      <c r="AT175" s="7"/>
      <c r="AU175" s="7"/>
      <c r="AW175" s="7"/>
      <c r="AX175" s="7"/>
      <c r="AZ175" s="7"/>
      <c r="BA175" s="7"/>
      <c r="BB175" s="7"/>
      <c r="BC175" s="7"/>
      <c r="BD175" s="7"/>
      <c r="BE175" s="7"/>
      <c r="BG175" s="7"/>
      <c r="BH175" s="7"/>
      <c r="BI175" s="7"/>
      <c r="BJ175" s="7"/>
      <c r="BK175" s="7"/>
      <c r="BL175" s="7"/>
      <c r="BM175" s="7"/>
      <c r="BN175" s="7"/>
      <c r="BP175" s="7"/>
      <c r="BQ175" s="7"/>
      <c r="BR175" s="7"/>
      <c r="BS175" s="7"/>
      <c r="BT175" s="7"/>
      <c r="BU175" s="7"/>
      <c r="BV175" s="7"/>
      <c r="BW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</row>
    <row r="176" spans="5:98" x14ac:dyDescent="0.3">
      <c r="E176" s="7"/>
      <c r="F176" s="7"/>
      <c r="H176" s="7"/>
      <c r="I176" s="7"/>
      <c r="J176" s="7"/>
      <c r="K176" s="7"/>
      <c r="M176" s="7"/>
      <c r="N176" s="7"/>
      <c r="P176" s="7"/>
      <c r="Q176" s="7"/>
      <c r="S176" s="7"/>
      <c r="T176" s="7"/>
      <c r="U176" s="7"/>
      <c r="V176" s="7"/>
      <c r="X176" s="7"/>
      <c r="Y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R176" s="7"/>
      <c r="AS176" s="7"/>
      <c r="AT176" s="7"/>
      <c r="AU176" s="7"/>
      <c r="AW176" s="7"/>
      <c r="AX176" s="7"/>
      <c r="AZ176" s="7"/>
      <c r="BA176" s="7"/>
      <c r="BB176" s="7"/>
      <c r="BC176" s="7"/>
      <c r="BD176" s="7"/>
      <c r="BE176" s="7"/>
      <c r="BG176" s="7"/>
      <c r="BH176" s="7"/>
      <c r="BI176" s="7"/>
      <c r="BJ176" s="7"/>
      <c r="BK176" s="7"/>
      <c r="BL176" s="7"/>
      <c r="BM176" s="7"/>
      <c r="BN176" s="7"/>
      <c r="BP176" s="7"/>
      <c r="BQ176" s="7"/>
      <c r="BR176" s="7"/>
      <c r="BS176" s="7"/>
      <c r="BT176" s="7"/>
      <c r="BU176" s="7"/>
      <c r="BV176" s="7"/>
      <c r="BW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</row>
    <row r="177" spans="5:98" x14ac:dyDescent="0.3">
      <c r="E177" s="7"/>
      <c r="F177" s="7"/>
      <c r="H177" s="7"/>
      <c r="I177" s="7"/>
      <c r="J177" s="7"/>
      <c r="K177" s="7"/>
      <c r="M177" s="7"/>
      <c r="N177" s="7"/>
      <c r="P177" s="7"/>
      <c r="Q177" s="7"/>
      <c r="S177" s="7"/>
      <c r="T177" s="7"/>
      <c r="U177" s="7"/>
      <c r="V177" s="7"/>
      <c r="X177" s="7"/>
      <c r="Y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R177" s="7"/>
      <c r="AS177" s="7"/>
      <c r="AT177" s="7"/>
      <c r="AU177" s="7"/>
      <c r="AW177" s="7"/>
      <c r="AX177" s="7"/>
      <c r="AZ177" s="7"/>
      <c r="BA177" s="7"/>
      <c r="BB177" s="7"/>
      <c r="BC177" s="7"/>
      <c r="BD177" s="7"/>
      <c r="BE177" s="7"/>
      <c r="BG177" s="7"/>
      <c r="BH177" s="7"/>
      <c r="BI177" s="7"/>
      <c r="BJ177" s="7"/>
      <c r="BK177" s="7"/>
      <c r="BL177" s="7"/>
      <c r="BM177" s="7"/>
      <c r="BN177" s="7"/>
      <c r="BP177" s="7"/>
      <c r="BQ177" s="7"/>
      <c r="BR177" s="7"/>
      <c r="BS177" s="7"/>
      <c r="BT177" s="7"/>
      <c r="BU177" s="7"/>
      <c r="BV177" s="7"/>
      <c r="BW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</row>
    <row r="178" spans="5:98" x14ac:dyDescent="0.3">
      <c r="E178" s="7"/>
      <c r="F178" s="7"/>
      <c r="H178" s="7"/>
      <c r="I178" s="7"/>
      <c r="J178" s="7"/>
      <c r="K178" s="7"/>
      <c r="M178" s="7"/>
      <c r="N178" s="7"/>
      <c r="P178" s="7"/>
      <c r="Q178" s="7"/>
      <c r="S178" s="7"/>
      <c r="T178" s="7"/>
      <c r="U178" s="7"/>
      <c r="V178" s="7"/>
      <c r="X178" s="7"/>
      <c r="Y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R178" s="7"/>
      <c r="AS178" s="7"/>
      <c r="AT178" s="7"/>
      <c r="AU178" s="7"/>
      <c r="AW178" s="7"/>
      <c r="AX178" s="7"/>
      <c r="AZ178" s="7"/>
      <c r="BA178" s="7"/>
      <c r="BB178" s="7"/>
      <c r="BC178" s="7"/>
      <c r="BD178" s="7"/>
      <c r="BE178" s="7"/>
      <c r="BG178" s="7"/>
      <c r="BH178" s="7"/>
      <c r="BI178" s="7"/>
      <c r="BJ178" s="7"/>
      <c r="BK178" s="7"/>
      <c r="BL178" s="7"/>
      <c r="BM178" s="7"/>
      <c r="BN178" s="7"/>
      <c r="BP178" s="7"/>
      <c r="BQ178" s="7"/>
      <c r="BR178" s="7"/>
      <c r="BS178" s="7"/>
      <c r="BT178" s="7"/>
      <c r="BU178" s="7"/>
      <c r="BV178" s="7"/>
      <c r="BW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</row>
    <row r="179" spans="5:98" x14ac:dyDescent="0.3">
      <c r="E179" s="7"/>
      <c r="F179" s="7"/>
      <c r="H179" s="7"/>
      <c r="I179" s="7"/>
      <c r="J179" s="7"/>
      <c r="K179" s="7"/>
      <c r="M179" s="7"/>
      <c r="N179" s="7"/>
      <c r="P179" s="7"/>
      <c r="Q179" s="7"/>
      <c r="S179" s="7"/>
      <c r="T179" s="7"/>
      <c r="U179" s="7"/>
      <c r="V179" s="7"/>
      <c r="X179" s="7"/>
      <c r="Y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R179" s="7"/>
      <c r="AS179" s="7"/>
      <c r="AT179" s="7"/>
      <c r="AU179" s="7"/>
      <c r="AW179" s="7"/>
      <c r="AX179" s="7"/>
      <c r="AZ179" s="7"/>
      <c r="BA179" s="7"/>
      <c r="BB179" s="7"/>
      <c r="BC179" s="7"/>
      <c r="BD179" s="7"/>
      <c r="BE179" s="7"/>
      <c r="BG179" s="7"/>
      <c r="BH179" s="7"/>
      <c r="BI179" s="7"/>
      <c r="BJ179" s="7"/>
      <c r="BK179" s="7"/>
      <c r="BL179" s="7"/>
      <c r="BM179" s="7"/>
      <c r="BN179" s="7"/>
      <c r="BP179" s="7"/>
      <c r="BQ179" s="7"/>
      <c r="BR179" s="7"/>
      <c r="BS179" s="7"/>
      <c r="BT179" s="7"/>
      <c r="BU179" s="7"/>
      <c r="BV179" s="7"/>
      <c r="BW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</row>
    <row r="180" spans="5:98" x14ac:dyDescent="0.3">
      <c r="E180" s="7"/>
      <c r="F180" s="7"/>
      <c r="H180" s="7"/>
      <c r="I180" s="7"/>
      <c r="J180" s="7"/>
      <c r="K180" s="7"/>
      <c r="M180" s="7"/>
      <c r="N180" s="7"/>
      <c r="P180" s="7"/>
      <c r="Q180" s="7"/>
      <c r="S180" s="7"/>
      <c r="T180" s="7"/>
      <c r="U180" s="7"/>
      <c r="V180" s="7"/>
      <c r="X180" s="7"/>
      <c r="Y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R180" s="7"/>
      <c r="AS180" s="7"/>
      <c r="AT180" s="7"/>
      <c r="AU180" s="7"/>
      <c r="AW180" s="7"/>
      <c r="AX180" s="7"/>
      <c r="AZ180" s="7"/>
      <c r="BA180" s="7"/>
      <c r="BB180" s="7"/>
      <c r="BC180" s="7"/>
      <c r="BD180" s="7"/>
      <c r="BE180" s="7"/>
      <c r="BG180" s="7"/>
      <c r="BH180" s="7"/>
      <c r="BI180" s="7"/>
      <c r="BJ180" s="7"/>
      <c r="BK180" s="7"/>
      <c r="BL180" s="7"/>
      <c r="BM180" s="7"/>
      <c r="BN180" s="7"/>
      <c r="BP180" s="7"/>
      <c r="BQ180" s="7"/>
      <c r="BR180" s="7"/>
      <c r="BS180" s="7"/>
      <c r="BT180" s="7"/>
      <c r="BU180" s="7"/>
      <c r="BV180" s="7"/>
      <c r="BW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</row>
    <row r="181" spans="5:98" x14ac:dyDescent="0.3">
      <c r="E181" s="7"/>
      <c r="F181" s="7"/>
      <c r="H181" s="7"/>
      <c r="I181" s="7"/>
      <c r="J181" s="7"/>
      <c r="K181" s="7"/>
      <c r="M181" s="7"/>
      <c r="N181" s="7"/>
      <c r="P181" s="7"/>
      <c r="Q181" s="7"/>
      <c r="S181" s="7"/>
      <c r="T181" s="7"/>
      <c r="U181" s="7"/>
      <c r="V181" s="7"/>
      <c r="X181" s="7"/>
      <c r="Y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R181" s="7"/>
      <c r="AS181" s="7"/>
      <c r="AT181" s="7"/>
      <c r="AU181" s="7"/>
      <c r="AW181" s="7"/>
      <c r="AX181" s="7"/>
      <c r="AZ181" s="7"/>
      <c r="BA181" s="7"/>
      <c r="BB181" s="7"/>
      <c r="BC181" s="7"/>
      <c r="BD181" s="7"/>
      <c r="BE181" s="7"/>
      <c r="BG181" s="7"/>
      <c r="BH181" s="7"/>
      <c r="BI181" s="7"/>
      <c r="BJ181" s="7"/>
      <c r="BK181" s="7"/>
      <c r="BL181" s="7"/>
      <c r="BM181" s="7"/>
      <c r="BN181" s="7"/>
      <c r="BP181" s="7"/>
      <c r="BQ181" s="7"/>
      <c r="BR181" s="7"/>
      <c r="BS181" s="7"/>
      <c r="BT181" s="7"/>
      <c r="BU181" s="7"/>
      <c r="BV181" s="7"/>
      <c r="BW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</row>
    <row r="182" spans="5:98" x14ac:dyDescent="0.3">
      <c r="E182" s="7"/>
      <c r="F182" s="7"/>
      <c r="H182" s="7"/>
      <c r="I182" s="7"/>
      <c r="J182" s="7"/>
      <c r="K182" s="7"/>
      <c r="M182" s="7"/>
      <c r="N182" s="7"/>
      <c r="P182" s="7"/>
      <c r="Q182" s="7"/>
      <c r="S182" s="7"/>
      <c r="T182" s="7"/>
      <c r="U182" s="7"/>
      <c r="V182" s="7"/>
      <c r="X182" s="7"/>
      <c r="Y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R182" s="7"/>
      <c r="AS182" s="7"/>
      <c r="AT182" s="7"/>
      <c r="AU182" s="7"/>
      <c r="AW182" s="7"/>
      <c r="AX182" s="7"/>
      <c r="AZ182" s="7"/>
      <c r="BA182" s="7"/>
      <c r="BB182" s="7"/>
      <c r="BC182" s="7"/>
      <c r="BD182" s="7"/>
      <c r="BE182" s="7"/>
      <c r="BG182" s="7"/>
      <c r="BH182" s="7"/>
      <c r="BI182" s="7"/>
      <c r="BJ182" s="7"/>
      <c r="BK182" s="7"/>
      <c r="BL182" s="7"/>
      <c r="BM182" s="7"/>
      <c r="BN182" s="7"/>
      <c r="BP182" s="7"/>
      <c r="BQ182" s="7"/>
      <c r="BR182" s="7"/>
      <c r="BS182" s="7"/>
      <c r="BT182" s="7"/>
      <c r="BU182" s="7"/>
      <c r="BV182" s="7"/>
      <c r="BW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</row>
    <row r="183" spans="5:98" x14ac:dyDescent="0.3">
      <c r="E183" s="7"/>
      <c r="F183" s="7"/>
      <c r="H183" s="7"/>
      <c r="I183" s="7"/>
      <c r="J183" s="7"/>
      <c r="K183" s="7"/>
      <c r="M183" s="7"/>
      <c r="N183" s="7"/>
      <c r="P183" s="7"/>
      <c r="Q183" s="7"/>
      <c r="S183" s="7"/>
      <c r="T183" s="7"/>
      <c r="U183" s="7"/>
      <c r="V183" s="7"/>
      <c r="X183" s="7"/>
      <c r="Y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R183" s="7"/>
      <c r="AS183" s="7"/>
      <c r="AT183" s="7"/>
      <c r="AU183" s="7"/>
      <c r="AW183" s="7"/>
      <c r="AX183" s="7"/>
      <c r="AZ183" s="7"/>
      <c r="BA183" s="7"/>
      <c r="BB183" s="7"/>
      <c r="BC183" s="7"/>
      <c r="BD183" s="7"/>
      <c r="BE183" s="7"/>
      <c r="BG183" s="7"/>
      <c r="BH183" s="7"/>
      <c r="BI183" s="7"/>
      <c r="BJ183" s="7"/>
      <c r="BK183" s="7"/>
      <c r="BL183" s="7"/>
      <c r="BM183" s="7"/>
      <c r="BN183" s="7"/>
      <c r="BP183" s="7"/>
      <c r="BQ183" s="7"/>
      <c r="BR183" s="7"/>
      <c r="BS183" s="7"/>
      <c r="BT183" s="7"/>
      <c r="BU183" s="7"/>
      <c r="BV183" s="7"/>
      <c r="BW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</row>
    <row r="184" spans="5:98" x14ac:dyDescent="0.3">
      <c r="E184" s="7"/>
      <c r="F184" s="7"/>
      <c r="H184" s="7"/>
      <c r="I184" s="7"/>
      <c r="J184" s="7"/>
      <c r="K184" s="7"/>
      <c r="M184" s="7"/>
      <c r="N184" s="7"/>
      <c r="P184" s="7"/>
      <c r="Q184" s="7"/>
      <c r="S184" s="7"/>
      <c r="T184" s="7"/>
      <c r="U184" s="7"/>
      <c r="V184" s="7"/>
      <c r="X184" s="7"/>
      <c r="Y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R184" s="7"/>
      <c r="AS184" s="7"/>
      <c r="AT184" s="7"/>
      <c r="AU184" s="7"/>
      <c r="AW184" s="7"/>
      <c r="AX184" s="7"/>
      <c r="AZ184" s="7"/>
      <c r="BA184" s="7"/>
      <c r="BB184" s="7"/>
      <c r="BC184" s="7"/>
      <c r="BD184" s="7"/>
      <c r="BE184" s="7"/>
      <c r="BG184" s="7"/>
      <c r="BH184" s="7"/>
      <c r="BI184" s="7"/>
      <c r="BJ184" s="7"/>
      <c r="BK184" s="7"/>
      <c r="BL184" s="7"/>
      <c r="BM184" s="7"/>
      <c r="BN184" s="7"/>
      <c r="BP184" s="7"/>
      <c r="BQ184" s="7"/>
      <c r="BR184" s="7"/>
      <c r="BS184" s="7"/>
      <c r="BT184" s="7"/>
      <c r="BU184" s="7"/>
      <c r="BV184" s="7"/>
      <c r="BW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</row>
    <row r="185" spans="5:98" x14ac:dyDescent="0.3">
      <c r="E185" s="7"/>
      <c r="F185" s="7"/>
      <c r="H185" s="7"/>
      <c r="I185" s="7"/>
      <c r="J185" s="7"/>
      <c r="K185" s="7"/>
      <c r="M185" s="7"/>
      <c r="N185" s="7"/>
      <c r="P185" s="7"/>
      <c r="Q185" s="7"/>
      <c r="S185" s="7"/>
      <c r="T185" s="7"/>
      <c r="U185" s="7"/>
      <c r="V185" s="7"/>
      <c r="X185" s="7"/>
      <c r="Y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R185" s="7"/>
      <c r="AS185" s="7"/>
      <c r="AT185" s="7"/>
      <c r="AU185" s="7"/>
      <c r="AW185" s="7"/>
      <c r="AX185" s="7"/>
      <c r="AZ185" s="7"/>
      <c r="BA185" s="7"/>
      <c r="BB185" s="7"/>
      <c r="BC185" s="7"/>
      <c r="BD185" s="7"/>
      <c r="BE185" s="7"/>
      <c r="BG185" s="7"/>
      <c r="BH185" s="7"/>
      <c r="BI185" s="7"/>
      <c r="BJ185" s="7"/>
      <c r="BK185" s="7"/>
      <c r="BL185" s="7"/>
      <c r="BM185" s="7"/>
      <c r="BN185" s="7"/>
      <c r="BP185" s="7"/>
      <c r="BQ185" s="7"/>
      <c r="BR185" s="7"/>
      <c r="BS185" s="7"/>
      <c r="BT185" s="7"/>
      <c r="BU185" s="7"/>
      <c r="BV185" s="7"/>
      <c r="BW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</row>
    <row r="186" spans="5:98" x14ac:dyDescent="0.3">
      <c r="E186" s="7"/>
      <c r="F186" s="7"/>
      <c r="H186" s="7"/>
      <c r="I186" s="7"/>
      <c r="J186" s="7"/>
      <c r="K186" s="7"/>
      <c r="M186" s="7"/>
      <c r="N186" s="7"/>
      <c r="P186" s="7"/>
      <c r="Q186" s="7"/>
      <c r="S186" s="7"/>
      <c r="T186" s="7"/>
      <c r="U186" s="7"/>
      <c r="V186" s="7"/>
      <c r="X186" s="7"/>
      <c r="Y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R186" s="7"/>
      <c r="AS186" s="7"/>
      <c r="AT186" s="7"/>
      <c r="AU186" s="7"/>
      <c r="AW186" s="7"/>
      <c r="AX186" s="7"/>
      <c r="AZ186" s="7"/>
      <c r="BA186" s="7"/>
      <c r="BB186" s="7"/>
      <c r="BC186" s="7"/>
      <c r="BD186" s="7"/>
      <c r="BE186" s="7"/>
      <c r="BG186" s="7"/>
      <c r="BH186" s="7"/>
      <c r="BI186" s="7"/>
      <c r="BJ186" s="7"/>
      <c r="BK186" s="7"/>
      <c r="BL186" s="7"/>
      <c r="BM186" s="7"/>
      <c r="BN186" s="7"/>
      <c r="BP186" s="7"/>
      <c r="BQ186" s="7"/>
      <c r="BR186" s="7"/>
      <c r="BS186" s="7"/>
      <c r="BT186" s="7"/>
      <c r="BU186" s="7"/>
      <c r="BV186" s="7"/>
      <c r="BW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</row>
    <row r="187" spans="5:98" x14ac:dyDescent="0.3">
      <c r="E187" s="7"/>
      <c r="F187" s="7"/>
      <c r="H187" s="7"/>
      <c r="I187" s="7"/>
      <c r="J187" s="7"/>
      <c r="K187" s="7"/>
      <c r="M187" s="7"/>
      <c r="N187" s="7"/>
      <c r="P187" s="7"/>
      <c r="Q187" s="7"/>
      <c r="S187" s="7"/>
      <c r="T187" s="7"/>
      <c r="U187" s="7"/>
      <c r="V187" s="7"/>
      <c r="X187" s="7"/>
      <c r="Y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R187" s="7"/>
      <c r="AS187" s="7"/>
      <c r="AT187" s="7"/>
      <c r="AU187" s="7"/>
      <c r="AW187" s="7"/>
      <c r="AX187" s="7"/>
      <c r="AZ187" s="7"/>
      <c r="BA187" s="7"/>
      <c r="BB187" s="7"/>
      <c r="BC187" s="7"/>
      <c r="BD187" s="7"/>
      <c r="BE187" s="7"/>
      <c r="BG187" s="7"/>
      <c r="BH187" s="7"/>
      <c r="BI187" s="7"/>
      <c r="BJ187" s="7"/>
      <c r="BK187" s="7"/>
      <c r="BL187" s="7"/>
      <c r="BM187" s="7"/>
      <c r="BN187" s="7"/>
      <c r="BP187" s="7"/>
      <c r="BQ187" s="7"/>
      <c r="BR187" s="7"/>
      <c r="BS187" s="7"/>
      <c r="BT187" s="7"/>
      <c r="BU187" s="7"/>
      <c r="BV187" s="7"/>
      <c r="BW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</row>
    <row r="188" spans="5:98" x14ac:dyDescent="0.3">
      <c r="E188" s="7"/>
      <c r="F188" s="7"/>
      <c r="H188" s="7"/>
      <c r="I188" s="7"/>
      <c r="J188" s="7"/>
      <c r="K188" s="7"/>
      <c r="M188" s="7"/>
      <c r="N188" s="7"/>
      <c r="P188" s="7"/>
      <c r="Q188" s="7"/>
      <c r="S188" s="7"/>
      <c r="T188" s="7"/>
      <c r="U188" s="7"/>
      <c r="V188" s="7"/>
      <c r="X188" s="7"/>
      <c r="Y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R188" s="7"/>
      <c r="AS188" s="7"/>
      <c r="AT188" s="7"/>
      <c r="AU188" s="7"/>
      <c r="AW188" s="7"/>
      <c r="AX188" s="7"/>
      <c r="AZ188" s="7"/>
      <c r="BA188" s="7"/>
      <c r="BB188" s="7"/>
      <c r="BC188" s="7"/>
      <c r="BD188" s="7"/>
      <c r="BE188" s="7"/>
      <c r="BG188" s="7"/>
      <c r="BH188" s="7"/>
      <c r="BI188" s="7"/>
      <c r="BJ188" s="7"/>
      <c r="BK188" s="7"/>
      <c r="BL188" s="7"/>
      <c r="BM188" s="7"/>
      <c r="BN188" s="7"/>
      <c r="BP188" s="7"/>
      <c r="BQ188" s="7"/>
      <c r="BR188" s="7"/>
      <c r="BS188" s="7"/>
      <c r="BT188" s="7"/>
      <c r="BU188" s="7"/>
      <c r="BV188" s="7"/>
      <c r="BW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</row>
    <row r="189" spans="5:98" x14ac:dyDescent="0.3">
      <c r="E189" s="7"/>
      <c r="F189" s="7"/>
      <c r="H189" s="7"/>
      <c r="I189" s="7"/>
      <c r="J189" s="7"/>
      <c r="K189" s="7"/>
      <c r="M189" s="7"/>
      <c r="N189" s="7"/>
      <c r="P189" s="7"/>
      <c r="Q189" s="7"/>
      <c r="S189" s="7"/>
      <c r="T189" s="7"/>
      <c r="U189" s="7"/>
      <c r="V189" s="7"/>
      <c r="X189" s="7"/>
      <c r="Y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R189" s="7"/>
      <c r="AS189" s="7"/>
      <c r="AT189" s="7"/>
      <c r="AU189" s="7"/>
      <c r="AW189" s="7"/>
      <c r="AX189" s="7"/>
      <c r="AZ189" s="7"/>
      <c r="BA189" s="7"/>
      <c r="BB189" s="7"/>
      <c r="BC189" s="7"/>
      <c r="BD189" s="7"/>
      <c r="BE189" s="7"/>
      <c r="BG189" s="7"/>
      <c r="BH189" s="7"/>
      <c r="BI189" s="7"/>
      <c r="BJ189" s="7"/>
      <c r="BK189" s="7"/>
      <c r="BL189" s="7"/>
      <c r="BM189" s="7"/>
      <c r="BN189" s="7"/>
      <c r="BP189" s="7"/>
      <c r="BQ189" s="7"/>
      <c r="BR189" s="7"/>
      <c r="BS189" s="7"/>
      <c r="BT189" s="7"/>
      <c r="BU189" s="7"/>
      <c r="BV189" s="7"/>
      <c r="BW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</row>
    <row r="190" spans="5:98" x14ac:dyDescent="0.3">
      <c r="E190" s="7"/>
      <c r="F190" s="7"/>
      <c r="H190" s="7"/>
      <c r="I190" s="7"/>
      <c r="J190" s="7"/>
      <c r="K190" s="7"/>
      <c r="M190" s="7"/>
      <c r="N190" s="7"/>
      <c r="P190" s="7"/>
      <c r="Q190" s="7"/>
      <c r="S190" s="7"/>
      <c r="T190" s="7"/>
      <c r="U190" s="7"/>
      <c r="V190" s="7"/>
      <c r="X190" s="7"/>
      <c r="Y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R190" s="7"/>
      <c r="AS190" s="7"/>
      <c r="AT190" s="7"/>
      <c r="AU190" s="7"/>
      <c r="AW190" s="7"/>
      <c r="AX190" s="7"/>
      <c r="AZ190" s="7"/>
      <c r="BA190" s="7"/>
      <c r="BB190" s="7"/>
      <c r="BC190" s="7"/>
      <c r="BD190" s="7"/>
      <c r="BE190" s="7"/>
      <c r="BG190" s="7"/>
      <c r="BH190" s="7"/>
      <c r="BI190" s="7"/>
      <c r="BJ190" s="7"/>
      <c r="BK190" s="7"/>
      <c r="BL190" s="7"/>
      <c r="BM190" s="7"/>
      <c r="BN190" s="7"/>
      <c r="BP190" s="7"/>
      <c r="BQ190" s="7"/>
      <c r="BR190" s="7"/>
      <c r="BS190" s="7"/>
      <c r="BT190" s="7"/>
      <c r="BU190" s="7"/>
      <c r="BV190" s="7"/>
      <c r="BW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</row>
    <row r="191" spans="5:98" x14ac:dyDescent="0.3">
      <c r="E191" s="7"/>
      <c r="F191" s="7"/>
      <c r="H191" s="7"/>
      <c r="I191" s="7"/>
      <c r="J191" s="7"/>
      <c r="K191" s="7"/>
      <c r="M191" s="7"/>
      <c r="N191" s="7"/>
      <c r="P191" s="7"/>
      <c r="Q191" s="7"/>
      <c r="S191" s="7"/>
      <c r="T191" s="7"/>
      <c r="U191" s="7"/>
      <c r="V191" s="7"/>
      <c r="X191" s="7"/>
      <c r="Y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R191" s="7"/>
      <c r="AS191" s="7"/>
      <c r="AT191" s="7"/>
      <c r="AU191" s="7"/>
      <c r="AW191" s="7"/>
      <c r="AX191" s="7"/>
      <c r="AZ191" s="7"/>
      <c r="BA191" s="7"/>
      <c r="BB191" s="7"/>
      <c r="BC191" s="7"/>
      <c r="BD191" s="7"/>
      <c r="BE191" s="7"/>
      <c r="BG191" s="7"/>
      <c r="BH191" s="7"/>
      <c r="BI191" s="7"/>
      <c r="BJ191" s="7"/>
      <c r="BK191" s="7"/>
      <c r="BL191" s="7"/>
      <c r="BM191" s="7"/>
      <c r="BN191" s="7"/>
      <c r="BP191" s="7"/>
      <c r="BQ191" s="7"/>
      <c r="BR191" s="7"/>
      <c r="BS191" s="7"/>
      <c r="BT191" s="7"/>
      <c r="BU191" s="7"/>
      <c r="BV191" s="7"/>
      <c r="BW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</row>
    <row r="192" spans="5:98" x14ac:dyDescent="0.3">
      <c r="E192" s="7"/>
      <c r="F192" s="7"/>
      <c r="H192" s="7"/>
      <c r="I192" s="7"/>
      <c r="J192" s="7"/>
      <c r="K192" s="7"/>
      <c r="M192" s="7"/>
      <c r="N192" s="7"/>
      <c r="P192" s="7"/>
      <c r="Q192" s="7"/>
      <c r="S192" s="7"/>
      <c r="T192" s="7"/>
      <c r="U192" s="7"/>
      <c r="V192" s="7"/>
      <c r="X192" s="7"/>
      <c r="Y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R192" s="7"/>
      <c r="AS192" s="7"/>
      <c r="AT192" s="7"/>
      <c r="AU192" s="7"/>
      <c r="AW192" s="7"/>
      <c r="AX192" s="7"/>
      <c r="AZ192" s="7"/>
      <c r="BA192" s="7"/>
      <c r="BB192" s="7"/>
      <c r="BC192" s="7"/>
      <c r="BD192" s="7"/>
      <c r="BE192" s="7"/>
      <c r="BG192" s="7"/>
      <c r="BH192" s="7"/>
      <c r="BI192" s="7"/>
      <c r="BJ192" s="7"/>
      <c r="BK192" s="7"/>
      <c r="BL192" s="7"/>
      <c r="BM192" s="7"/>
      <c r="BN192" s="7"/>
      <c r="BP192" s="7"/>
      <c r="BQ192" s="7"/>
      <c r="BR192" s="7"/>
      <c r="BS192" s="7"/>
      <c r="BT192" s="7"/>
      <c r="BU192" s="7"/>
      <c r="BV192" s="7"/>
      <c r="BW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</row>
    <row r="193" spans="5:98" x14ac:dyDescent="0.3">
      <c r="E193" s="7"/>
      <c r="F193" s="7"/>
      <c r="H193" s="7"/>
      <c r="I193" s="7"/>
      <c r="J193" s="7"/>
      <c r="K193" s="7"/>
      <c r="M193" s="7"/>
      <c r="N193" s="7"/>
      <c r="P193" s="7"/>
      <c r="Q193" s="7"/>
      <c r="S193" s="7"/>
      <c r="T193" s="7"/>
      <c r="U193" s="7"/>
      <c r="V193" s="7"/>
      <c r="X193" s="7"/>
      <c r="Y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R193" s="7"/>
      <c r="AS193" s="7"/>
      <c r="AT193" s="7"/>
      <c r="AU193" s="7"/>
      <c r="AW193" s="7"/>
      <c r="AX193" s="7"/>
      <c r="AZ193" s="7"/>
      <c r="BA193" s="7"/>
      <c r="BB193" s="7"/>
      <c r="BC193" s="7"/>
      <c r="BD193" s="7"/>
      <c r="BE193" s="7"/>
      <c r="BG193" s="7"/>
      <c r="BH193" s="7"/>
      <c r="BI193" s="7"/>
      <c r="BJ193" s="7"/>
      <c r="BK193" s="7"/>
      <c r="BL193" s="7"/>
      <c r="BM193" s="7"/>
      <c r="BN193" s="7"/>
      <c r="BP193" s="7"/>
      <c r="BQ193" s="7"/>
      <c r="BR193" s="7"/>
      <c r="BS193" s="7"/>
      <c r="BT193" s="7"/>
      <c r="BU193" s="7"/>
      <c r="BV193" s="7"/>
      <c r="BW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</row>
    <row r="194" spans="5:98" x14ac:dyDescent="0.3">
      <c r="E194" s="7"/>
      <c r="F194" s="7"/>
      <c r="H194" s="7"/>
      <c r="I194" s="7"/>
      <c r="J194" s="7"/>
      <c r="K194" s="7"/>
      <c r="M194" s="7"/>
      <c r="N194" s="7"/>
      <c r="P194" s="7"/>
      <c r="Q194" s="7"/>
      <c r="S194" s="7"/>
      <c r="T194" s="7"/>
      <c r="U194" s="7"/>
      <c r="V194" s="7"/>
      <c r="X194" s="7"/>
      <c r="Y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R194" s="7"/>
      <c r="AS194" s="7"/>
      <c r="AT194" s="7"/>
      <c r="AU194" s="7"/>
      <c r="AW194" s="7"/>
      <c r="AX194" s="7"/>
      <c r="AZ194" s="7"/>
      <c r="BA194" s="7"/>
      <c r="BB194" s="7"/>
      <c r="BC194" s="7"/>
      <c r="BD194" s="7"/>
      <c r="BE194" s="7"/>
      <c r="BG194" s="7"/>
      <c r="BH194" s="7"/>
      <c r="BI194" s="7"/>
      <c r="BJ194" s="7"/>
      <c r="BK194" s="7"/>
      <c r="BL194" s="7"/>
      <c r="BM194" s="7"/>
      <c r="BN194" s="7"/>
      <c r="BP194" s="7"/>
      <c r="BQ194" s="7"/>
      <c r="BR194" s="7"/>
      <c r="BS194" s="7"/>
      <c r="BT194" s="7"/>
      <c r="BU194" s="7"/>
      <c r="BV194" s="7"/>
      <c r="BW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</row>
    <row r="195" spans="5:98" x14ac:dyDescent="0.3">
      <c r="E195" s="7"/>
      <c r="F195" s="7"/>
      <c r="H195" s="7"/>
      <c r="I195" s="7"/>
      <c r="J195" s="7"/>
      <c r="K195" s="7"/>
      <c r="M195" s="7"/>
      <c r="N195" s="7"/>
      <c r="P195" s="7"/>
      <c r="Q195" s="7"/>
      <c r="S195" s="7"/>
      <c r="T195" s="7"/>
      <c r="U195" s="7"/>
      <c r="V195" s="7"/>
      <c r="X195" s="7"/>
      <c r="Y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R195" s="7"/>
      <c r="AS195" s="7"/>
      <c r="AT195" s="7"/>
      <c r="AU195" s="7"/>
      <c r="AW195" s="7"/>
      <c r="AX195" s="7"/>
      <c r="AZ195" s="7"/>
      <c r="BA195" s="7"/>
      <c r="BB195" s="7"/>
      <c r="BC195" s="7"/>
      <c r="BD195" s="7"/>
      <c r="BE195" s="7"/>
      <c r="BG195" s="7"/>
      <c r="BH195" s="7"/>
      <c r="BI195" s="7"/>
      <c r="BJ195" s="7"/>
      <c r="BK195" s="7"/>
      <c r="BL195" s="7"/>
      <c r="BM195" s="7"/>
      <c r="BN195" s="7"/>
      <c r="BP195" s="7"/>
      <c r="BQ195" s="7"/>
      <c r="BR195" s="7"/>
      <c r="BS195" s="7"/>
      <c r="BT195" s="7"/>
      <c r="BU195" s="7"/>
      <c r="BV195" s="7"/>
      <c r="BW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</row>
    <row r="196" spans="5:98" x14ac:dyDescent="0.3">
      <c r="E196" s="7"/>
      <c r="F196" s="7"/>
      <c r="H196" s="7"/>
      <c r="I196" s="7"/>
      <c r="J196" s="7"/>
      <c r="K196" s="7"/>
      <c r="M196" s="7"/>
      <c r="N196" s="7"/>
      <c r="P196" s="7"/>
      <c r="Q196" s="7"/>
      <c r="S196" s="7"/>
      <c r="T196" s="7"/>
      <c r="U196" s="7"/>
      <c r="V196" s="7"/>
      <c r="X196" s="7"/>
      <c r="Y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R196" s="7"/>
      <c r="AS196" s="7"/>
      <c r="AT196" s="7"/>
      <c r="AU196" s="7"/>
      <c r="AW196" s="7"/>
      <c r="AX196" s="7"/>
      <c r="AZ196" s="7"/>
      <c r="BA196" s="7"/>
      <c r="BB196" s="7"/>
      <c r="BC196" s="7"/>
      <c r="BD196" s="7"/>
      <c r="BE196" s="7"/>
      <c r="BG196" s="7"/>
      <c r="BH196" s="7"/>
      <c r="BI196" s="7"/>
      <c r="BJ196" s="7"/>
      <c r="BK196" s="7"/>
      <c r="BL196" s="7"/>
      <c r="BM196" s="7"/>
      <c r="BN196" s="7"/>
      <c r="BP196" s="7"/>
      <c r="BQ196" s="7"/>
      <c r="BR196" s="7"/>
      <c r="BS196" s="7"/>
      <c r="BT196" s="7"/>
      <c r="BU196" s="7"/>
      <c r="BV196" s="7"/>
      <c r="BW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</row>
    <row r="197" spans="5:98" x14ac:dyDescent="0.3">
      <c r="E197" s="7"/>
      <c r="F197" s="7"/>
      <c r="H197" s="7"/>
      <c r="I197" s="7"/>
      <c r="J197" s="7"/>
      <c r="K197" s="7"/>
      <c r="M197" s="7"/>
      <c r="N197" s="7"/>
      <c r="P197" s="7"/>
      <c r="Q197" s="7"/>
      <c r="S197" s="7"/>
      <c r="T197" s="7"/>
      <c r="U197" s="7"/>
      <c r="V197" s="7"/>
      <c r="X197" s="7"/>
      <c r="Y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R197" s="7"/>
      <c r="AS197" s="7"/>
      <c r="AT197" s="7"/>
      <c r="AU197" s="7"/>
      <c r="AW197" s="7"/>
      <c r="AX197" s="7"/>
      <c r="AZ197" s="7"/>
      <c r="BA197" s="7"/>
      <c r="BB197" s="7"/>
      <c r="BC197" s="7"/>
      <c r="BD197" s="7"/>
      <c r="BE197" s="7"/>
      <c r="BG197" s="7"/>
      <c r="BH197" s="7"/>
      <c r="BI197" s="7"/>
      <c r="BJ197" s="7"/>
      <c r="BK197" s="7"/>
      <c r="BL197" s="7"/>
      <c r="BM197" s="7"/>
      <c r="BN197" s="7"/>
      <c r="BP197" s="7"/>
      <c r="BQ197" s="7"/>
      <c r="BR197" s="7"/>
      <c r="BS197" s="7"/>
      <c r="BT197" s="7"/>
      <c r="BU197" s="7"/>
      <c r="BV197" s="7"/>
      <c r="BW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</row>
    <row r="198" spans="5:98" x14ac:dyDescent="0.3">
      <c r="E198" s="7"/>
      <c r="F198" s="7"/>
      <c r="H198" s="7"/>
      <c r="I198" s="7"/>
      <c r="J198" s="7"/>
      <c r="K198" s="7"/>
      <c r="M198" s="7"/>
      <c r="N198" s="7"/>
      <c r="P198" s="7"/>
      <c r="Q198" s="7"/>
      <c r="S198" s="7"/>
      <c r="T198" s="7"/>
      <c r="U198" s="7"/>
      <c r="V198" s="7"/>
      <c r="X198" s="7"/>
      <c r="Y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R198" s="7"/>
      <c r="AS198" s="7"/>
      <c r="AT198" s="7"/>
      <c r="AU198" s="7"/>
      <c r="AW198" s="7"/>
      <c r="AX198" s="7"/>
      <c r="AZ198" s="7"/>
      <c r="BA198" s="7"/>
      <c r="BB198" s="7"/>
      <c r="BC198" s="7"/>
      <c r="BD198" s="7"/>
      <c r="BE198" s="7"/>
      <c r="BG198" s="7"/>
      <c r="BH198" s="7"/>
      <c r="BI198" s="7"/>
      <c r="BJ198" s="7"/>
      <c r="BK198" s="7"/>
      <c r="BL198" s="7"/>
      <c r="BM198" s="7"/>
      <c r="BN198" s="7"/>
      <c r="BP198" s="7"/>
      <c r="BQ198" s="7"/>
      <c r="BR198" s="7"/>
      <c r="BS198" s="7"/>
      <c r="BT198" s="7"/>
      <c r="BU198" s="7"/>
      <c r="BV198" s="7"/>
      <c r="BW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</row>
    <row r="199" spans="5:98" x14ac:dyDescent="0.3">
      <c r="E199" s="7"/>
      <c r="F199" s="7"/>
      <c r="H199" s="7"/>
      <c r="I199" s="7"/>
      <c r="J199" s="7"/>
      <c r="K199" s="7"/>
      <c r="M199" s="7"/>
      <c r="N199" s="7"/>
      <c r="P199" s="7"/>
      <c r="Q199" s="7"/>
      <c r="S199" s="7"/>
      <c r="T199" s="7"/>
      <c r="U199" s="7"/>
      <c r="V199" s="7"/>
      <c r="X199" s="7"/>
      <c r="Y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R199" s="7"/>
      <c r="AS199" s="7"/>
      <c r="AT199" s="7"/>
      <c r="AU199" s="7"/>
      <c r="AW199" s="7"/>
      <c r="AX199" s="7"/>
      <c r="AZ199" s="7"/>
      <c r="BA199" s="7"/>
      <c r="BB199" s="7"/>
      <c r="BC199" s="7"/>
      <c r="BD199" s="7"/>
      <c r="BE199" s="7"/>
      <c r="BG199" s="7"/>
      <c r="BH199" s="7"/>
      <c r="BI199" s="7"/>
      <c r="BJ199" s="7"/>
      <c r="BK199" s="7"/>
      <c r="BL199" s="7"/>
      <c r="BM199" s="7"/>
      <c r="BN199" s="7"/>
      <c r="BP199" s="7"/>
      <c r="BQ199" s="7"/>
      <c r="BR199" s="7"/>
      <c r="BS199" s="7"/>
      <c r="BT199" s="7"/>
      <c r="BU199" s="7"/>
      <c r="BV199" s="7"/>
      <c r="BW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</row>
    <row r="200" spans="5:98" x14ac:dyDescent="0.3">
      <c r="E200" s="7"/>
      <c r="F200" s="7"/>
      <c r="H200" s="7"/>
      <c r="I200" s="7"/>
      <c r="J200" s="7"/>
      <c r="K200" s="7"/>
      <c r="M200" s="7"/>
      <c r="N200" s="7"/>
      <c r="P200" s="7"/>
      <c r="Q200" s="7"/>
      <c r="S200" s="7"/>
      <c r="T200" s="7"/>
      <c r="U200" s="7"/>
      <c r="V200" s="7"/>
      <c r="X200" s="7"/>
      <c r="Y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R200" s="7"/>
      <c r="AS200" s="7"/>
      <c r="AT200" s="7"/>
      <c r="AU200" s="7"/>
      <c r="AW200" s="7"/>
      <c r="AX200" s="7"/>
      <c r="AZ200" s="7"/>
      <c r="BA200" s="7"/>
      <c r="BB200" s="7"/>
      <c r="BC200" s="7"/>
      <c r="BD200" s="7"/>
      <c r="BE200" s="7"/>
      <c r="BG200" s="7"/>
      <c r="BH200" s="7"/>
      <c r="BI200" s="7"/>
      <c r="BJ200" s="7"/>
      <c r="BK200" s="7"/>
      <c r="BL200" s="7"/>
      <c r="BM200" s="7"/>
      <c r="BN200" s="7"/>
      <c r="BP200" s="7"/>
      <c r="BQ200" s="7"/>
      <c r="BR200" s="7"/>
      <c r="BS200" s="7"/>
      <c r="BT200" s="7"/>
      <c r="BU200" s="7"/>
      <c r="BV200" s="7"/>
      <c r="BW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</row>
    <row r="201" spans="5:98" x14ac:dyDescent="0.3">
      <c r="E201" s="7"/>
      <c r="F201" s="7"/>
      <c r="H201" s="7"/>
      <c r="I201" s="7"/>
      <c r="J201" s="7"/>
      <c r="K201" s="7"/>
      <c r="M201" s="7"/>
      <c r="N201" s="7"/>
      <c r="P201" s="7"/>
      <c r="Q201" s="7"/>
      <c r="S201" s="7"/>
      <c r="T201" s="7"/>
      <c r="U201" s="7"/>
      <c r="V201" s="7"/>
      <c r="X201" s="7"/>
      <c r="Y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R201" s="7"/>
      <c r="AS201" s="7"/>
      <c r="AT201" s="7"/>
      <c r="AU201" s="7"/>
      <c r="AW201" s="7"/>
      <c r="AX201" s="7"/>
      <c r="AZ201" s="7"/>
      <c r="BA201" s="7"/>
      <c r="BB201" s="7"/>
      <c r="BC201" s="7"/>
      <c r="BD201" s="7"/>
      <c r="BE201" s="7"/>
      <c r="BG201" s="7"/>
      <c r="BH201" s="7"/>
      <c r="BI201" s="7"/>
      <c r="BJ201" s="7"/>
      <c r="BK201" s="7"/>
      <c r="BL201" s="7"/>
      <c r="BM201" s="7"/>
      <c r="BN201" s="7"/>
      <c r="BP201" s="7"/>
      <c r="BQ201" s="7"/>
      <c r="BR201" s="7"/>
      <c r="BS201" s="7"/>
      <c r="BT201" s="7"/>
      <c r="BU201" s="7"/>
      <c r="BV201" s="7"/>
      <c r="BW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</row>
    <row r="202" spans="5:98" x14ac:dyDescent="0.3">
      <c r="E202" s="7"/>
      <c r="F202" s="7"/>
      <c r="H202" s="7"/>
      <c r="I202" s="7"/>
      <c r="J202" s="7"/>
      <c r="K202" s="7"/>
      <c r="M202" s="7"/>
      <c r="N202" s="7"/>
      <c r="P202" s="7"/>
      <c r="Q202" s="7"/>
      <c r="S202" s="7"/>
      <c r="T202" s="7"/>
      <c r="U202" s="7"/>
      <c r="V202" s="7"/>
      <c r="X202" s="7"/>
      <c r="Y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R202" s="7"/>
      <c r="AS202" s="7"/>
      <c r="AT202" s="7"/>
      <c r="AU202" s="7"/>
      <c r="AW202" s="7"/>
      <c r="AX202" s="7"/>
      <c r="AZ202" s="7"/>
      <c r="BA202" s="7"/>
      <c r="BB202" s="7"/>
      <c r="BC202" s="7"/>
      <c r="BD202" s="7"/>
      <c r="BE202" s="7"/>
      <c r="BG202" s="7"/>
      <c r="BH202" s="7"/>
      <c r="BI202" s="7"/>
      <c r="BJ202" s="7"/>
      <c r="BK202" s="7"/>
      <c r="BL202" s="7"/>
      <c r="BM202" s="7"/>
      <c r="BN202" s="7"/>
      <c r="BP202" s="7"/>
      <c r="BQ202" s="7"/>
      <c r="BR202" s="7"/>
      <c r="BS202" s="7"/>
      <c r="BT202" s="7"/>
      <c r="BU202" s="7"/>
      <c r="BV202" s="7"/>
      <c r="BW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</row>
    <row r="203" spans="5:98" x14ac:dyDescent="0.3">
      <c r="E203" s="7"/>
      <c r="F203" s="7"/>
      <c r="H203" s="7"/>
      <c r="I203" s="7"/>
      <c r="J203" s="7"/>
      <c r="K203" s="7"/>
      <c r="M203" s="7"/>
      <c r="N203" s="7"/>
      <c r="P203" s="7"/>
      <c r="Q203" s="7"/>
      <c r="S203" s="7"/>
      <c r="T203" s="7"/>
      <c r="U203" s="7"/>
      <c r="V203" s="7"/>
      <c r="X203" s="7"/>
      <c r="Y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R203" s="7"/>
      <c r="AS203" s="7"/>
      <c r="AT203" s="7"/>
      <c r="AU203" s="7"/>
      <c r="AW203" s="7"/>
      <c r="AX203" s="7"/>
      <c r="AZ203" s="7"/>
      <c r="BA203" s="7"/>
      <c r="BB203" s="7"/>
      <c r="BC203" s="7"/>
      <c r="BD203" s="7"/>
      <c r="BE203" s="7"/>
      <c r="BG203" s="7"/>
      <c r="BH203" s="7"/>
      <c r="BI203" s="7"/>
      <c r="BJ203" s="7"/>
      <c r="BK203" s="7"/>
      <c r="BL203" s="7"/>
      <c r="BM203" s="7"/>
      <c r="BN203" s="7"/>
      <c r="BP203" s="7"/>
      <c r="BQ203" s="7"/>
      <c r="BR203" s="7"/>
      <c r="BS203" s="7"/>
      <c r="BT203" s="7"/>
      <c r="BU203" s="7"/>
      <c r="BV203" s="7"/>
      <c r="BW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</row>
    <row r="204" spans="5:98" x14ac:dyDescent="0.3">
      <c r="E204" s="7"/>
      <c r="F204" s="7"/>
      <c r="H204" s="7"/>
      <c r="I204" s="7"/>
      <c r="J204" s="7"/>
      <c r="K204" s="7"/>
      <c r="M204" s="7"/>
      <c r="N204" s="7"/>
      <c r="P204" s="7"/>
      <c r="Q204" s="7"/>
      <c r="S204" s="7"/>
      <c r="T204" s="7"/>
      <c r="U204" s="7"/>
      <c r="V204" s="7"/>
      <c r="X204" s="7"/>
      <c r="Y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R204" s="7"/>
      <c r="AS204" s="7"/>
      <c r="AT204" s="7"/>
      <c r="AU204" s="7"/>
      <c r="AW204" s="7"/>
      <c r="AX204" s="7"/>
      <c r="AZ204" s="7"/>
      <c r="BA204" s="7"/>
      <c r="BB204" s="7"/>
      <c r="BC204" s="7"/>
      <c r="BD204" s="7"/>
      <c r="BE204" s="7"/>
      <c r="BG204" s="7"/>
      <c r="BH204" s="7"/>
      <c r="BI204" s="7"/>
      <c r="BJ204" s="7"/>
      <c r="BK204" s="7"/>
      <c r="BL204" s="7"/>
      <c r="BM204" s="7"/>
      <c r="BN204" s="7"/>
      <c r="BP204" s="7"/>
      <c r="BQ204" s="7"/>
      <c r="BR204" s="7"/>
      <c r="BS204" s="7"/>
      <c r="BT204" s="7"/>
      <c r="BU204" s="7"/>
      <c r="BV204" s="7"/>
      <c r="BW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</row>
    <row r="205" spans="5:98" x14ac:dyDescent="0.3">
      <c r="E205" s="7"/>
      <c r="F205" s="7"/>
      <c r="H205" s="7"/>
      <c r="I205" s="7"/>
      <c r="J205" s="7"/>
      <c r="K205" s="7"/>
      <c r="M205" s="7"/>
      <c r="N205" s="7"/>
      <c r="P205" s="7"/>
      <c r="Q205" s="7"/>
      <c r="S205" s="7"/>
      <c r="T205" s="7"/>
      <c r="U205" s="7"/>
      <c r="V205" s="7"/>
      <c r="X205" s="7"/>
      <c r="Y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R205" s="7"/>
      <c r="AS205" s="7"/>
      <c r="AT205" s="7"/>
      <c r="AU205" s="7"/>
      <c r="AW205" s="7"/>
      <c r="AX205" s="7"/>
      <c r="AZ205" s="7"/>
      <c r="BA205" s="7"/>
      <c r="BB205" s="7"/>
      <c r="BC205" s="7"/>
      <c r="BD205" s="7"/>
      <c r="BE205" s="7"/>
      <c r="BG205" s="7"/>
      <c r="BH205" s="7"/>
      <c r="BI205" s="7"/>
      <c r="BJ205" s="7"/>
      <c r="BK205" s="7"/>
      <c r="BL205" s="7"/>
      <c r="BM205" s="7"/>
      <c r="BN205" s="7"/>
      <c r="BP205" s="7"/>
      <c r="BQ205" s="7"/>
      <c r="BR205" s="7"/>
      <c r="BS205" s="7"/>
      <c r="BT205" s="7"/>
      <c r="BU205" s="7"/>
      <c r="BV205" s="7"/>
      <c r="BW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</row>
    <row r="206" spans="5:98" x14ac:dyDescent="0.3">
      <c r="E206" s="7"/>
      <c r="F206" s="7"/>
      <c r="H206" s="7"/>
      <c r="I206" s="7"/>
      <c r="J206" s="7"/>
      <c r="K206" s="7"/>
      <c r="M206" s="7"/>
      <c r="N206" s="7"/>
      <c r="P206" s="7"/>
      <c r="Q206" s="7"/>
      <c r="S206" s="7"/>
      <c r="T206" s="7"/>
      <c r="U206" s="7"/>
      <c r="V206" s="7"/>
      <c r="X206" s="7"/>
      <c r="Y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R206" s="7"/>
      <c r="AS206" s="7"/>
      <c r="AT206" s="7"/>
      <c r="AU206" s="7"/>
      <c r="AW206" s="7"/>
      <c r="AX206" s="7"/>
      <c r="AZ206" s="7"/>
      <c r="BA206" s="7"/>
      <c r="BB206" s="7"/>
      <c r="BC206" s="7"/>
      <c r="BD206" s="7"/>
      <c r="BE206" s="7"/>
      <c r="BG206" s="7"/>
      <c r="BH206" s="7"/>
      <c r="BI206" s="7"/>
      <c r="BJ206" s="7"/>
      <c r="BK206" s="7"/>
      <c r="BL206" s="7"/>
      <c r="BM206" s="7"/>
      <c r="BN206" s="7"/>
      <c r="BP206" s="7"/>
      <c r="BQ206" s="7"/>
      <c r="BR206" s="7"/>
      <c r="BS206" s="7"/>
      <c r="BT206" s="7"/>
      <c r="BU206" s="7"/>
      <c r="BV206" s="7"/>
      <c r="BW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</row>
    <row r="207" spans="5:98" x14ac:dyDescent="0.3">
      <c r="E207" s="7"/>
      <c r="F207" s="7"/>
      <c r="H207" s="7"/>
      <c r="I207" s="7"/>
      <c r="J207" s="7"/>
      <c r="K207" s="7"/>
      <c r="M207" s="7"/>
      <c r="N207" s="7"/>
      <c r="P207" s="7"/>
      <c r="Q207" s="7"/>
      <c r="S207" s="7"/>
      <c r="T207" s="7"/>
      <c r="U207" s="7"/>
      <c r="V207" s="7"/>
      <c r="X207" s="7"/>
      <c r="Y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R207" s="7"/>
      <c r="AS207" s="7"/>
      <c r="AT207" s="7"/>
      <c r="AU207" s="7"/>
      <c r="AW207" s="7"/>
      <c r="AX207" s="7"/>
      <c r="AZ207" s="7"/>
      <c r="BA207" s="7"/>
      <c r="BB207" s="7"/>
      <c r="BC207" s="7"/>
      <c r="BD207" s="7"/>
      <c r="BE207" s="7"/>
      <c r="BG207" s="7"/>
      <c r="BH207" s="7"/>
      <c r="BI207" s="7"/>
      <c r="BJ207" s="7"/>
      <c r="BK207" s="7"/>
      <c r="BL207" s="7"/>
      <c r="BM207" s="7"/>
      <c r="BN207" s="7"/>
      <c r="BP207" s="7"/>
      <c r="BQ207" s="7"/>
      <c r="BR207" s="7"/>
      <c r="BS207" s="7"/>
      <c r="BT207" s="7"/>
      <c r="BU207" s="7"/>
      <c r="BV207" s="7"/>
      <c r="BW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</row>
    <row r="208" spans="5:98" x14ac:dyDescent="0.3">
      <c r="E208" s="7"/>
      <c r="F208" s="7"/>
      <c r="H208" s="7"/>
      <c r="I208" s="7"/>
      <c r="J208" s="7"/>
      <c r="K208" s="7"/>
      <c r="M208" s="7"/>
      <c r="N208" s="7"/>
      <c r="P208" s="7"/>
      <c r="Q208" s="7"/>
      <c r="S208" s="7"/>
      <c r="T208" s="7"/>
      <c r="U208" s="7"/>
      <c r="V208" s="7"/>
      <c r="X208" s="7"/>
      <c r="Y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R208" s="7"/>
      <c r="AS208" s="7"/>
      <c r="AT208" s="7"/>
      <c r="AU208" s="7"/>
      <c r="AW208" s="7"/>
      <c r="AX208" s="7"/>
      <c r="AZ208" s="7"/>
      <c r="BA208" s="7"/>
      <c r="BB208" s="7"/>
      <c r="BC208" s="7"/>
      <c r="BD208" s="7"/>
      <c r="BE208" s="7"/>
      <c r="BG208" s="7"/>
      <c r="BH208" s="7"/>
      <c r="BI208" s="7"/>
      <c r="BJ208" s="7"/>
      <c r="BK208" s="7"/>
      <c r="BL208" s="7"/>
      <c r="BM208" s="7"/>
      <c r="BN208" s="7"/>
      <c r="BP208" s="7"/>
      <c r="BQ208" s="7"/>
      <c r="BR208" s="7"/>
      <c r="BS208" s="7"/>
      <c r="BT208" s="7"/>
      <c r="BU208" s="7"/>
      <c r="BV208" s="7"/>
      <c r="BW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</row>
    <row r="209" spans="5:98" x14ac:dyDescent="0.3">
      <c r="E209" s="7"/>
      <c r="F209" s="7"/>
      <c r="H209" s="7"/>
      <c r="I209" s="7"/>
      <c r="J209" s="7"/>
      <c r="K209" s="7"/>
      <c r="M209" s="7"/>
      <c r="N209" s="7"/>
      <c r="P209" s="7"/>
      <c r="Q209" s="7"/>
      <c r="S209" s="7"/>
      <c r="T209" s="7"/>
      <c r="U209" s="7"/>
      <c r="V209" s="7"/>
      <c r="X209" s="7"/>
      <c r="Y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R209" s="7"/>
      <c r="AS209" s="7"/>
      <c r="AT209" s="7"/>
      <c r="AU209" s="7"/>
      <c r="AW209" s="7"/>
      <c r="AX209" s="7"/>
      <c r="AZ209" s="7"/>
      <c r="BA209" s="7"/>
      <c r="BB209" s="7"/>
      <c r="BC209" s="7"/>
      <c r="BD209" s="7"/>
      <c r="BE209" s="7"/>
      <c r="BG209" s="7"/>
      <c r="BH209" s="7"/>
      <c r="BI209" s="7"/>
      <c r="BJ209" s="7"/>
      <c r="BK209" s="7"/>
      <c r="BL209" s="7"/>
      <c r="BM209" s="7"/>
      <c r="BN209" s="7"/>
      <c r="BP209" s="7"/>
      <c r="BQ209" s="7"/>
      <c r="BR209" s="7"/>
      <c r="BS209" s="7"/>
      <c r="BT209" s="7"/>
      <c r="BU209" s="7"/>
      <c r="BV209" s="7"/>
      <c r="BW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</row>
    <row r="210" spans="5:98" x14ac:dyDescent="0.3">
      <c r="E210" s="7"/>
      <c r="F210" s="7"/>
      <c r="H210" s="7"/>
      <c r="I210" s="7"/>
      <c r="J210" s="7"/>
      <c r="K210" s="7"/>
      <c r="M210" s="7"/>
      <c r="N210" s="7"/>
      <c r="P210" s="7"/>
      <c r="Q210" s="7"/>
      <c r="S210" s="7"/>
      <c r="T210" s="7"/>
      <c r="U210" s="7"/>
      <c r="V210" s="7"/>
      <c r="X210" s="7"/>
      <c r="Y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R210" s="7"/>
      <c r="AS210" s="7"/>
      <c r="AT210" s="7"/>
      <c r="AU210" s="7"/>
      <c r="AW210" s="7"/>
      <c r="AX210" s="7"/>
      <c r="AZ210" s="7"/>
      <c r="BA210" s="7"/>
      <c r="BB210" s="7"/>
      <c r="BC210" s="7"/>
      <c r="BD210" s="7"/>
      <c r="BE210" s="7"/>
      <c r="BG210" s="7"/>
      <c r="BH210" s="7"/>
      <c r="BI210" s="7"/>
      <c r="BJ210" s="7"/>
      <c r="BK210" s="7"/>
      <c r="BL210" s="7"/>
      <c r="BM210" s="7"/>
      <c r="BN210" s="7"/>
      <c r="BP210" s="7"/>
      <c r="BQ210" s="7"/>
      <c r="BR210" s="7"/>
      <c r="BS210" s="7"/>
      <c r="BT210" s="7"/>
      <c r="BU210" s="7"/>
      <c r="BV210" s="7"/>
      <c r="BW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</row>
    <row r="211" spans="5:98" x14ac:dyDescent="0.3">
      <c r="E211" s="7"/>
      <c r="F211" s="7"/>
      <c r="H211" s="7"/>
      <c r="I211" s="7"/>
      <c r="J211" s="7"/>
      <c r="K211" s="7"/>
      <c r="M211" s="7"/>
      <c r="N211" s="7"/>
      <c r="P211" s="7"/>
      <c r="Q211" s="7"/>
      <c r="S211" s="7"/>
      <c r="T211" s="7"/>
      <c r="U211" s="7"/>
      <c r="V211" s="7"/>
      <c r="X211" s="7"/>
      <c r="Y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R211" s="7"/>
      <c r="AS211" s="7"/>
      <c r="AT211" s="7"/>
      <c r="AU211" s="7"/>
      <c r="AW211" s="7"/>
      <c r="AX211" s="7"/>
      <c r="AZ211" s="7"/>
      <c r="BA211" s="7"/>
      <c r="BB211" s="7"/>
      <c r="BC211" s="7"/>
      <c r="BD211" s="7"/>
      <c r="BE211" s="7"/>
      <c r="BG211" s="7"/>
      <c r="BH211" s="7"/>
      <c r="BI211" s="7"/>
      <c r="BJ211" s="7"/>
      <c r="BK211" s="7"/>
      <c r="BL211" s="7"/>
      <c r="BM211" s="7"/>
      <c r="BN211" s="7"/>
      <c r="BP211" s="7"/>
      <c r="BQ211" s="7"/>
      <c r="BR211" s="7"/>
      <c r="BS211" s="7"/>
      <c r="BT211" s="7"/>
      <c r="BU211" s="7"/>
      <c r="BV211" s="7"/>
      <c r="BW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</row>
    <row r="212" spans="5:98" x14ac:dyDescent="0.3">
      <c r="E212" s="7"/>
      <c r="F212" s="7"/>
      <c r="H212" s="7"/>
      <c r="I212" s="7"/>
      <c r="J212" s="7"/>
      <c r="K212" s="7"/>
      <c r="M212" s="7"/>
      <c r="N212" s="7"/>
      <c r="P212" s="7"/>
      <c r="Q212" s="7"/>
      <c r="S212" s="7"/>
      <c r="T212" s="7"/>
      <c r="U212" s="7"/>
      <c r="V212" s="7"/>
      <c r="X212" s="7"/>
      <c r="Y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R212" s="7"/>
      <c r="AS212" s="7"/>
      <c r="AT212" s="7"/>
      <c r="AU212" s="7"/>
      <c r="AW212" s="7"/>
      <c r="AX212" s="7"/>
      <c r="AZ212" s="7"/>
      <c r="BA212" s="7"/>
      <c r="BB212" s="7"/>
      <c r="BC212" s="7"/>
      <c r="BD212" s="7"/>
      <c r="BE212" s="7"/>
      <c r="BG212" s="7"/>
      <c r="BH212" s="7"/>
      <c r="BI212" s="7"/>
      <c r="BJ212" s="7"/>
      <c r="BK212" s="7"/>
      <c r="BL212" s="7"/>
      <c r="BM212" s="7"/>
      <c r="BN212" s="7"/>
      <c r="BP212" s="7"/>
      <c r="BQ212" s="7"/>
      <c r="BR212" s="7"/>
      <c r="BS212" s="7"/>
      <c r="BT212" s="7"/>
      <c r="BU212" s="7"/>
      <c r="BV212" s="7"/>
      <c r="BW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</row>
    <row r="213" spans="5:98" x14ac:dyDescent="0.3">
      <c r="E213" s="7"/>
      <c r="F213" s="7"/>
      <c r="H213" s="7"/>
      <c r="I213" s="7"/>
      <c r="J213" s="7"/>
      <c r="K213" s="7"/>
      <c r="M213" s="7"/>
      <c r="N213" s="7"/>
      <c r="P213" s="7"/>
      <c r="Q213" s="7"/>
      <c r="S213" s="7"/>
      <c r="T213" s="7"/>
      <c r="U213" s="7"/>
      <c r="V213" s="7"/>
      <c r="X213" s="7"/>
      <c r="Y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R213" s="7"/>
      <c r="AS213" s="7"/>
      <c r="AT213" s="7"/>
      <c r="AU213" s="7"/>
      <c r="AW213" s="7"/>
      <c r="AX213" s="7"/>
      <c r="AZ213" s="7"/>
      <c r="BA213" s="7"/>
      <c r="BB213" s="7"/>
      <c r="BC213" s="7"/>
      <c r="BD213" s="7"/>
      <c r="BE213" s="7"/>
      <c r="BG213" s="7"/>
      <c r="BH213" s="7"/>
      <c r="BI213" s="7"/>
      <c r="BJ213" s="7"/>
      <c r="BK213" s="7"/>
      <c r="BL213" s="7"/>
      <c r="BM213" s="7"/>
      <c r="BN213" s="7"/>
      <c r="BP213" s="7"/>
      <c r="BQ213" s="7"/>
      <c r="BR213" s="7"/>
      <c r="BS213" s="7"/>
      <c r="BT213" s="7"/>
      <c r="BU213" s="7"/>
      <c r="BV213" s="7"/>
      <c r="BW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</row>
    <row r="214" spans="5:98" x14ac:dyDescent="0.3">
      <c r="E214" s="7"/>
      <c r="F214" s="7"/>
      <c r="H214" s="7"/>
      <c r="I214" s="7"/>
      <c r="J214" s="7"/>
      <c r="K214" s="7"/>
      <c r="M214" s="7"/>
      <c r="N214" s="7"/>
      <c r="P214" s="7"/>
      <c r="Q214" s="7"/>
      <c r="S214" s="7"/>
      <c r="T214" s="7"/>
      <c r="U214" s="7"/>
      <c r="V214" s="7"/>
      <c r="X214" s="7"/>
      <c r="Y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R214" s="7"/>
      <c r="AS214" s="7"/>
      <c r="AT214" s="7"/>
      <c r="AU214" s="7"/>
      <c r="AW214" s="7"/>
      <c r="AX214" s="7"/>
      <c r="AZ214" s="7"/>
      <c r="BA214" s="7"/>
      <c r="BB214" s="7"/>
      <c r="BC214" s="7"/>
      <c r="BD214" s="7"/>
      <c r="BE214" s="7"/>
      <c r="BG214" s="7"/>
      <c r="BH214" s="7"/>
      <c r="BI214" s="7"/>
      <c r="BJ214" s="7"/>
      <c r="BK214" s="7"/>
      <c r="BL214" s="7"/>
      <c r="BM214" s="7"/>
      <c r="BN214" s="7"/>
      <c r="BP214" s="7"/>
      <c r="BQ214" s="7"/>
      <c r="BR214" s="7"/>
      <c r="BS214" s="7"/>
      <c r="BT214" s="7"/>
      <c r="BU214" s="7"/>
      <c r="BV214" s="7"/>
      <c r="BW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</row>
    <row r="215" spans="5:98" x14ac:dyDescent="0.3">
      <c r="E215" s="7"/>
      <c r="F215" s="7"/>
      <c r="H215" s="7"/>
      <c r="I215" s="7"/>
      <c r="J215" s="7"/>
      <c r="K215" s="7"/>
      <c r="M215" s="7"/>
      <c r="N215" s="7"/>
      <c r="P215" s="7"/>
      <c r="Q215" s="7"/>
      <c r="S215" s="7"/>
      <c r="T215" s="7"/>
      <c r="U215" s="7"/>
      <c r="V215" s="7"/>
      <c r="X215" s="7"/>
      <c r="Y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R215" s="7"/>
      <c r="AS215" s="7"/>
      <c r="AT215" s="7"/>
      <c r="AU215" s="7"/>
      <c r="AW215" s="7"/>
      <c r="AX215" s="7"/>
      <c r="AZ215" s="7"/>
      <c r="BA215" s="7"/>
      <c r="BB215" s="7"/>
      <c r="BC215" s="7"/>
      <c r="BD215" s="7"/>
      <c r="BE215" s="7"/>
      <c r="BG215" s="7"/>
      <c r="BH215" s="7"/>
      <c r="BI215" s="7"/>
      <c r="BJ215" s="7"/>
      <c r="BK215" s="7"/>
      <c r="BL215" s="7"/>
      <c r="BM215" s="7"/>
      <c r="BN215" s="7"/>
      <c r="BP215" s="7"/>
      <c r="BQ215" s="7"/>
      <c r="BR215" s="7"/>
      <c r="BS215" s="7"/>
      <c r="BT215" s="7"/>
      <c r="BU215" s="7"/>
      <c r="BV215" s="7"/>
      <c r="BW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</row>
    <row r="216" spans="5:98" x14ac:dyDescent="0.3">
      <c r="E216" s="7"/>
      <c r="F216" s="7"/>
      <c r="H216" s="7"/>
      <c r="I216" s="7"/>
      <c r="J216" s="7"/>
      <c r="K216" s="7"/>
      <c r="M216" s="7"/>
      <c r="N216" s="7"/>
      <c r="P216" s="7"/>
      <c r="Q216" s="7"/>
      <c r="S216" s="7"/>
      <c r="T216" s="7"/>
      <c r="U216" s="7"/>
      <c r="V216" s="7"/>
      <c r="X216" s="7"/>
      <c r="Y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R216" s="7"/>
      <c r="AS216" s="7"/>
      <c r="AT216" s="7"/>
      <c r="AU216" s="7"/>
      <c r="AW216" s="7"/>
      <c r="AX216" s="7"/>
      <c r="AZ216" s="7"/>
      <c r="BA216" s="7"/>
      <c r="BB216" s="7"/>
      <c r="BC216" s="7"/>
      <c r="BD216" s="7"/>
      <c r="BE216" s="7"/>
      <c r="BG216" s="7"/>
      <c r="BH216" s="7"/>
      <c r="BI216" s="7"/>
      <c r="BJ216" s="7"/>
      <c r="BK216" s="7"/>
      <c r="BL216" s="7"/>
      <c r="BM216" s="7"/>
      <c r="BN216" s="7"/>
      <c r="BP216" s="7"/>
      <c r="BQ216" s="7"/>
      <c r="BR216" s="7"/>
      <c r="BS216" s="7"/>
      <c r="BT216" s="7"/>
      <c r="BU216" s="7"/>
      <c r="BV216" s="7"/>
      <c r="BW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</row>
    <row r="217" spans="5:98" x14ac:dyDescent="0.3">
      <c r="E217" s="7"/>
      <c r="F217" s="7"/>
      <c r="H217" s="7"/>
      <c r="I217" s="7"/>
      <c r="J217" s="7"/>
      <c r="K217" s="7"/>
      <c r="M217" s="7"/>
      <c r="N217" s="7"/>
      <c r="P217" s="7"/>
      <c r="Q217" s="7"/>
      <c r="S217" s="7"/>
      <c r="T217" s="7"/>
      <c r="U217" s="7"/>
      <c r="V217" s="7"/>
      <c r="X217" s="7"/>
      <c r="Y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R217" s="7"/>
      <c r="AS217" s="7"/>
      <c r="AT217" s="7"/>
      <c r="AU217" s="7"/>
      <c r="AW217" s="7"/>
      <c r="AX217" s="7"/>
      <c r="AZ217" s="7"/>
      <c r="BA217" s="7"/>
      <c r="BB217" s="7"/>
      <c r="BC217" s="7"/>
      <c r="BD217" s="7"/>
      <c r="BE217" s="7"/>
      <c r="BG217" s="7"/>
      <c r="BH217" s="7"/>
      <c r="BI217" s="7"/>
      <c r="BJ217" s="7"/>
      <c r="BK217" s="7"/>
      <c r="BL217" s="7"/>
      <c r="BM217" s="7"/>
      <c r="BN217" s="7"/>
      <c r="BP217" s="7"/>
      <c r="BQ217" s="7"/>
      <c r="BR217" s="7"/>
      <c r="BS217" s="7"/>
      <c r="BT217" s="7"/>
      <c r="BU217" s="7"/>
      <c r="BV217" s="7"/>
      <c r="BW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</row>
    <row r="218" spans="5:98" x14ac:dyDescent="0.3">
      <c r="E218" s="7"/>
      <c r="F218" s="7"/>
      <c r="H218" s="7"/>
      <c r="I218" s="7"/>
      <c r="J218" s="7"/>
      <c r="K218" s="7"/>
      <c r="M218" s="7"/>
      <c r="N218" s="7"/>
      <c r="P218" s="7"/>
      <c r="Q218" s="7"/>
      <c r="S218" s="7"/>
      <c r="T218" s="7"/>
      <c r="U218" s="7"/>
      <c r="V218" s="7"/>
      <c r="X218" s="7"/>
      <c r="Y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R218" s="7"/>
      <c r="AS218" s="7"/>
      <c r="AT218" s="7"/>
      <c r="AU218" s="7"/>
      <c r="AW218" s="7"/>
      <c r="AX218" s="7"/>
      <c r="AZ218" s="7"/>
      <c r="BA218" s="7"/>
      <c r="BB218" s="7"/>
      <c r="BC218" s="7"/>
      <c r="BD218" s="7"/>
      <c r="BE218" s="7"/>
      <c r="BG218" s="7"/>
      <c r="BH218" s="7"/>
      <c r="BI218" s="7"/>
      <c r="BJ218" s="7"/>
      <c r="BK218" s="7"/>
      <c r="BL218" s="7"/>
      <c r="BM218" s="7"/>
      <c r="BN218" s="7"/>
      <c r="BP218" s="7"/>
      <c r="BQ218" s="7"/>
      <c r="BR218" s="7"/>
      <c r="BS218" s="7"/>
      <c r="BT218" s="7"/>
      <c r="BU218" s="7"/>
      <c r="BV218" s="7"/>
      <c r="BW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</row>
    <row r="219" spans="5:98" x14ac:dyDescent="0.3">
      <c r="E219" s="7"/>
      <c r="F219" s="7"/>
      <c r="H219" s="7"/>
      <c r="I219" s="7"/>
      <c r="J219" s="7"/>
      <c r="K219" s="7"/>
      <c r="M219" s="7"/>
      <c r="N219" s="7"/>
      <c r="P219" s="7"/>
      <c r="Q219" s="7"/>
      <c r="S219" s="7"/>
      <c r="T219" s="7"/>
      <c r="U219" s="7"/>
      <c r="V219" s="7"/>
      <c r="X219" s="7"/>
      <c r="Y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R219" s="7"/>
      <c r="AS219" s="7"/>
      <c r="AT219" s="7"/>
      <c r="AU219" s="7"/>
      <c r="AW219" s="7"/>
      <c r="AX219" s="7"/>
      <c r="AZ219" s="7"/>
      <c r="BA219" s="7"/>
      <c r="BB219" s="7"/>
      <c r="BC219" s="7"/>
      <c r="BD219" s="7"/>
      <c r="BE219" s="7"/>
      <c r="BG219" s="7"/>
      <c r="BH219" s="7"/>
      <c r="BI219" s="7"/>
      <c r="BJ219" s="7"/>
      <c r="BK219" s="7"/>
      <c r="BL219" s="7"/>
      <c r="BM219" s="7"/>
      <c r="BN219" s="7"/>
      <c r="BP219" s="7"/>
      <c r="BQ219" s="7"/>
      <c r="BR219" s="7"/>
      <c r="BS219" s="7"/>
      <c r="BT219" s="7"/>
      <c r="BU219" s="7"/>
      <c r="BV219" s="7"/>
      <c r="BW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</row>
    <row r="220" spans="5:98" x14ac:dyDescent="0.3">
      <c r="E220" s="7"/>
      <c r="F220" s="7"/>
      <c r="H220" s="7"/>
      <c r="I220" s="7"/>
      <c r="J220" s="7"/>
      <c r="K220" s="7"/>
      <c r="M220" s="7"/>
      <c r="N220" s="7"/>
      <c r="P220" s="7"/>
      <c r="Q220" s="7"/>
      <c r="S220" s="7"/>
      <c r="T220" s="7"/>
      <c r="U220" s="7"/>
      <c r="V220" s="7"/>
      <c r="X220" s="7"/>
      <c r="Y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R220" s="7"/>
      <c r="AS220" s="7"/>
      <c r="AT220" s="7"/>
      <c r="AU220" s="7"/>
      <c r="AW220" s="7"/>
      <c r="AX220" s="7"/>
      <c r="AZ220" s="7"/>
      <c r="BA220" s="7"/>
      <c r="BB220" s="7"/>
      <c r="BC220" s="7"/>
      <c r="BD220" s="7"/>
      <c r="BE220" s="7"/>
      <c r="BG220" s="7"/>
      <c r="BH220" s="7"/>
      <c r="BI220" s="7"/>
      <c r="BJ220" s="7"/>
      <c r="BK220" s="7"/>
      <c r="BL220" s="7"/>
      <c r="BM220" s="7"/>
      <c r="BN220" s="7"/>
      <c r="BP220" s="7"/>
      <c r="BQ220" s="7"/>
      <c r="BR220" s="7"/>
      <c r="BS220" s="7"/>
      <c r="BT220" s="7"/>
      <c r="BU220" s="7"/>
      <c r="BV220" s="7"/>
      <c r="BW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</row>
    <row r="221" spans="5:98" x14ac:dyDescent="0.3">
      <c r="E221" s="7"/>
      <c r="F221" s="7"/>
      <c r="H221" s="7"/>
      <c r="I221" s="7"/>
      <c r="J221" s="7"/>
      <c r="K221" s="7"/>
      <c r="M221" s="7"/>
      <c r="N221" s="7"/>
      <c r="P221" s="7"/>
      <c r="Q221" s="7"/>
      <c r="S221" s="7"/>
      <c r="T221" s="7"/>
      <c r="U221" s="7"/>
      <c r="V221" s="7"/>
      <c r="X221" s="7"/>
      <c r="Y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R221" s="7"/>
      <c r="AS221" s="7"/>
      <c r="AT221" s="7"/>
      <c r="AU221" s="7"/>
      <c r="AW221" s="7"/>
      <c r="AX221" s="7"/>
      <c r="AZ221" s="7"/>
      <c r="BA221" s="7"/>
      <c r="BB221" s="7"/>
      <c r="BC221" s="7"/>
      <c r="BD221" s="7"/>
      <c r="BE221" s="7"/>
      <c r="BG221" s="7"/>
      <c r="BH221" s="7"/>
      <c r="BI221" s="7"/>
      <c r="BJ221" s="7"/>
      <c r="BK221" s="7"/>
      <c r="BL221" s="7"/>
      <c r="BM221" s="7"/>
      <c r="BN221" s="7"/>
      <c r="BP221" s="7"/>
      <c r="BQ221" s="7"/>
      <c r="BR221" s="7"/>
      <c r="BS221" s="7"/>
      <c r="BT221" s="7"/>
      <c r="BU221" s="7"/>
      <c r="BV221" s="7"/>
      <c r="BW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</row>
    <row r="222" spans="5:98" x14ac:dyDescent="0.3">
      <c r="E222" s="7"/>
      <c r="F222" s="7"/>
      <c r="H222" s="7"/>
      <c r="I222" s="7"/>
      <c r="J222" s="7"/>
      <c r="K222" s="7"/>
      <c r="M222" s="7"/>
      <c r="N222" s="7"/>
      <c r="P222" s="7"/>
      <c r="Q222" s="7"/>
      <c r="S222" s="7"/>
      <c r="T222" s="7"/>
      <c r="U222" s="7"/>
      <c r="V222" s="7"/>
      <c r="X222" s="7"/>
      <c r="Y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R222" s="7"/>
      <c r="AS222" s="7"/>
      <c r="AT222" s="7"/>
      <c r="AU222" s="7"/>
      <c r="AW222" s="7"/>
      <c r="AX222" s="7"/>
      <c r="AZ222" s="7"/>
      <c r="BA222" s="7"/>
      <c r="BB222" s="7"/>
      <c r="BC222" s="7"/>
      <c r="BD222" s="7"/>
      <c r="BE222" s="7"/>
      <c r="BG222" s="7"/>
      <c r="BH222" s="7"/>
      <c r="BI222" s="7"/>
      <c r="BJ222" s="7"/>
      <c r="BK222" s="7"/>
      <c r="BL222" s="7"/>
      <c r="BM222" s="7"/>
      <c r="BN222" s="7"/>
      <c r="BP222" s="7"/>
      <c r="BQ222" s="7"/>
      <c r="BR222" s="7"/>
      <c r="BS222" s="7"/>
      <c r="BT222" s="7"/>
      <c r="BU222" s="7"/>
      <c r="BV222" s="7"/>
      <c r="BW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</row>
    <row r="223" spans="5:98" x14ac:dyDescent="0.3">
      <c r="E223" s="7"/>
      <c r="F223" s="7"/>
      <c r="H223" s="7"/>
      <c r="I223" s="7"/>
      <c r="J223" s="7"/>
      <c r="K223" s="7"/>
      <c r="M223" s="7"/>
      <c r="N223" s="7"/>
      <c r="P223" s="7"/>
      <c r="Q223" s="7"/>
      <c r="S223" s="7"/>
      <c r="T223" s="7"/>
      <c r="U223" s="7"/>
      <c r="V223" s="7"/>
      <c r="X223" s="7"/>
      <c r="Y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R223" s="7"/>
      <c r="AS223" s="7"/>
      <c r="AT223" s="7"/>
      <c r="AU223" s="7"/>
      <c r="AW223" s="7"/>
      <c r="AX223" s="7"/>
      <c r="AZ223" s="7"/>
      <c r="BA223" s="7"/>
      <c r="BB223" s="7"/>
      <c r="BC223" s="7"/>
      <c r="BD223" s="7"/>
      <c r="BE223" s="7"/>
      <c r="BG223" s="7"/>
      <c r="BH223" s="7"/>
      <c r="BI223" s="7"/>
      <c r="BJ223" s="7"/>
      <c r="BK223" s="7"/>
      <c r="BL223" s="7"/>
      <c r="BM223" s="7"/>
      <c r="BN223" s="7"/>
      <c r="BP223" s="7"/>
      <c r="BQ223" s="7"/>
      <c r="BR223" s="7"/>
      <c r="BS223" s="7"/>
      <c r="BT223" s="7"/>
      <c r="BU223" s="7"/>
      <c r="BV223" s="7"/>
      <c r="BW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</row>
    <row r="224" spans="5:98" x14ac:dyDescent="0.3">
      <c r="E224" s="7"/>
      <c r="F224" s="7"/>
      <c r="H224" s="7"/>
      <c r="I224" s="7"/>
      <c r="J224" s="7"/>
      <c r="K224" s="7"/>
      <c r="M224" s="7"/>
      <c r="N224" s="7"/>
      <c r="P224" s="7"/>
      <c r="Q224" s="7"/>
      <c r="S224" s="7"/>
      <c r="T224" s="7"/>
      <c r="U224" s="7"/>
      <c r="V224" s="7"/>
      <c r="X224" s="7"/>
      <c r="Y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R224" s="7"/>
      <c r="AS224" s="7"/>
      <c r="AT224" s="7"/>
      <c r="AU224" s="7"/>
      <c r="AW224" s="7"/>
      <c r="AX224" s="7"/>
      <c r="AZ224" s="7"/>
      <c r="BA224" s="7"/>
      <c r="BB224" s="7"/>
      <c r="BC224" s="7"/>
      <c r="BD224" s="7"/>
      <c r="BE224" s="7"/>
      <c r="BG224" s="7"/>
      <c r="BH224" s="7"/>
      <c r="BI224" s="7"/>
      <c r="BJ224" s="7"/>
      <c r="BK224" s="7"/>
      <c r="BL224" s="7"/>
      <c r="BM224" s="7"/>
      <c r="BN224" s="7"/>
      <c r="BP224" s="7"/>
      <c r="BQ224" s="7"/>
      <c r="BR224" s="7"/>
      <c r="BS224" s="7"/>
      <c r="BT224" s="7"/>
      <c r="BU224" s="7"/>
      <c r="BV224" s="7"/>
      <c r="BW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</row>
    <row r="225" spans="5:98" x14ac:dyDescent="0.3">
      <c r="E225" s="7"/>
      <c r="F225" s="7"/>
      <c r="H225" s="7"/>
      <c r="I225" s="7"/>
      <c r="J225" s="7"/>
      <c r="K225" s="7"/>
      <c r="M225" s="7"/>
      <c r="N225" s="7"/>
      <c r="P225" s="7"/>
      <c r="Q225" s="7"/>
      <c r="S225" s="7"/>
      <c r="T225" s="7"/>
      <c r="U225" s="7"/>
      <c r="V225" s="7"/>
      <c r="X225" s="7"/>
      <c r="Y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R225" s="7"/>
      <c r="AS225" s="7"/>
      <c r="AT225" s="7"/>
      <c r="AU225" s="7"/>
      <c r="AW225" s="7"/>
      <c r="AX225" s="7"/>
      <c r="AZ225" s="7"/>
      <c r="BA225" s="7"/>
      <c r="BB225" s="7"/>
      <c r="BC225" s="7"/>
      <c r="BD225" s="7"/>
      <c r="BE225" s="7"/>
      <c r="BG225" s="7"/>
      <c r="BH225" s="7"/>
      <c r="BI225" s="7"/>
      <c r="BJ225" s="7"/>
      <c r="BK225" s="7"/>
      <c r="BL225" s="7"/>
      <c r="BM225" s="7"/>
      <c r="BN225" s="7"/>
      <c r="BP225" s="7"/>
      <c r="BQ225" s="7"/>
      <c r="BR225" s="7"/>
      <c r="BS225" s="7"/>
      <c r="BT225" s="7"/>
      <c r="BU225" s="7"/>
      <c r="BV225" s="7"/>
      <c r="BW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</row>
    <row r="226" spans="5:98" x14ac:dyDescent="0.3">
      <c r="E226" s="7"/>
      <c r="F226" s="7"/>
      <c r="H226" s="7"/>
      <c r="I226" s="7"/>
      <c r="J226" s="7"/>
      <c r="K226" s="7"/>
      <c r="M226" s="7"/>
      <c r="N226" s="7"/>
      <c r="P226" s="7"/>
      <c r="Q226" s="7"/>
      <c r="S226" s="7"/>
      <c r="T226" s="7"/>
      <c r="U226" s="7"/>
      <c r="V226" s="7"/>
      <c r="X226" s="7"/>
      <c r="Y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R226" s="7"/>
      <c r="AS226" s="7"/>
      <c r="AT226" s="7"/>
      <c r="AU226" s="7"/>
      <c r="AW226" s="7"/>
      <c r="AX226" s="7"/>
      <c r="AZ226" s="7"/>
      <c r="BA226" s="7"/>
      <c r="BB226" s="7"/>
      <c r="BC226" s="7"/>
      <c r="BD226" s="7"/>
      <c r="BE226" s="7"/>
      <c r="BG226" s="7"/>
      <c r="BH226" s="7"/>
      <c r="BI226" s="7"/>
      <c r="BJ226" s="7"/>
      <c r="BK226" s="7"/>
      <c r="BL226" s="7"/>
      <c r="BM226" s="7"/>
      <c r="BN226" s="7"/>
      <c r="BP226" s="7"/>
      <c r="BQ226" s="7"/>
      <c r="BR226" s="7"/>
      <c r="BS226" s="7"/>
      <c r="BT226" s="7"/>
      <c r="BU226" s="7"/>
      <c r="BV226" s="7"/>
      <c r="BW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</row>
    <row r="227" spans="5:98" x14ac:dyDescent="0.3">
      <c r="E227" s="7"/>
      <c r="F227" s="7"/>
      <c r="H227" s="7"/>
      <c r="I227" s="7"/>
      <c r="J227" s="7"/>
      <c r="K227" s="7"/>
      <c r="M227" s="7"/>
      <c r="N227" s="7"/>
      <c r="P227" s="7"/>
      <c r="Q227" s="7"/>
      <c r="S227" s="7"/>
      <c r="T227" s="7"/>
      <c r="U227" s="7"/>
      <c r="V227" s="7"/>
      <c r="X227" s="7"/>
      <c r="Y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R227" s="7"/>
      <c r="AS227" s="7"/>
      <c r="AT227" s="7"/>
      <c r="AU227" s="7"/>
      <c r="AW227" s="7"/>
      <c r="AX227" s="7"/>
      <c r="AZ227" s="7"/>
      <c r="BA227" s="7"/>
      <c r="BB227" s="7"/>
      <c r="BC227" s="7"/>
      <c r="BD227" s="7"/>
      <c r="BE227" s="7"/>
      <c r="BG227" s="7"/>
      <c r="BH227" s="7"/>
      <c r="BI227" s="7"/>
      <c r="BJ227" s="7"/>
      <c r="BK227" s="7"/>
      <c r="BL227" s="7"/>
      <c r="BM227" s="7"/>
      <c r="BN227" s="7"/>
      <c r="BP227" s="7"/>
      <c r="BQ227" s="7"/>
      <c r="BR227" s="7"/>
      <c r="BS227" s="7"/>
      <c r="BT227" s="7"/>
      <c r="BU227" s="7"/>
      <c r="BV227" s="7"/>
      <c r="BW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</row>
    <row r="228" spans="5:98" x14ac:dyDescent="0.3">
      <c r="E228" s="7"/>
      <c r="F228" s="7"/>
      <c r="H228" s="7"/>
      <c r="I228" s="7"/>
      <c r="J228" s="7"/>
      <c r="K228" s="7"/>
      <c r="M228" s="7"/>
      <c r="N228" s="7"/>
      <c r="P228" s="7"/>
      <c r="Q228" s="7"/>
      <c r="S228" s="7"/>
      <c r="T228" s="7"/>
      <c r="U228" s="7"/>
      <c r="V228" s="7"/>
      <c r="X228" s="7"/>
      <c r="Y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R228" s="7"/>
      <c r="AS228" s="7"/>
      <c r="AT228" s="7"/>
      <c r="AU228" s="7"/>
      <c r="AW228" s="7"/>
      <c r="AX228" s="7"/>
      <c r="AZ228" s="7"/>
      <c r="BA228" s="7"/>
      <c r="BB228" s="7"/>
      <c r="BC228" s="7"/>
      <c r="BD228" s="7"/>
      <c r="BE228" s="7"/>
      <c r="BG228" s="7"/>
      <c r="BH228" s="7"/>
      <c r="BI228" s="7"/>
      <c r="BJ228" s="7"/>
      <c r="BK228" s="7"/>
      <c r="BL228" s="7"/>
      <c r="BM228" s="7"/>
      <c r="BN228" s="7"/>
      <c r="BP228" s="7"/>
      <c r="BQ228" s="7"/>
      <c r="BR228" s="7"/>
      <c r="BS228" s="7"/>
      <c r="BT228" s="7"/>
      <c r="BU228" s="7"/>
      <c r="BV228" s="7"/>
      <c r="BW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</row>
    <row r="229" spans="5:98" x14ac:dyDescent="0.3">
      <c r="E229" s="7"/>
      <c r="F229" s="7"/>
      <c r="H229" s="7"/>
      <c r="I229" s="7"/>
      <c r="J229" s="7"/>
      <c r="K229" s="7"/>
      <c r="M229" s="7"/>
      <c r="N229" s="7"/>
      <c r="P229" s="7"/>
      <c r="Q229" s="7"/>
      <c r="S229" s="7"/>
      <c r="T229" s="7"/>
      <c r="U229" s="7"/>
      <c r="V229" s="7"/>
      <c r="X229" s="7"/>
      <c r="Y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R229" s="7"/>
      <c r="AS229" s="7"/>
      <c r="AT229" s="7"/>
      <c r="AU229" s="7"/>
      <c r="AW229" s="7"/>
      <c r="AX229" s="7"/>
      <c r="AZ229" s="7"/>
      <c r="BA229" s="7"/>
      <c r="BB229" s="7"/>
      <c r="BC229" s="7"/>
      <c r="BD229" s="7"/>
      <c r="BE229" s="7"/>
      <c r="BG229" s="7"/>
      <c r="BH229" s="7"/>
      <c r="BI229" s="7"/>
      <c r="BJ229" s="7"/>
      <c r="BK229" s="7"/>
      <c r="BL229" s="7"/>
      <c r="BM229" s="7"/>
      <c r="BN229" s="7"/>
      <c r="BP229" s="7"/>
      <c r="BQ229" s="7"/>
      <c r="BR229" s="7"/>
      <c r="BS229" s="7"/>
      <c r="BT229" s="7"/>
      <c r="BU229" s="7"/>
      <c r="BV229" s="7"/>
      <c r="BW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</row>
    <row r="230" spans="5:98" x14ac:dyDescent="0.3">
      <c r="E230" s="7"/>
      <c r="F230" s="7"/>
      <c r="H230" s="7"/>
      <c r="I230" s="7"/>
      <c r="J230" s="7"/>
      <c r="K230" s="7"/>
      <c r="M230" s="7"/>
      <c r="N230" s="7"/>
      <c r="P230" s="7"/>
      <c r="Q230" s="7"/>
      <c r="S230" s="7"/>
      <c r="T230" s="7"/>
      <c r="U230" s="7"/>
      <c r="V230" s="7"/>
      <c r="X230" s="7"/>
      <c r="Y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R230" s="7"/>
      <c r="AS230" s="7"/>
      <c r="AT230" s="7"/>
      <c r="AU230" s="7"/>
      <c r="AW230" s="7"/>
      <c r="AX230" s="7"/>
      <c r="AZ230" s="7"/>
      <c r="BA230" s="7"/>
      <c r="BB230" s="7"/>
      <c r="BC230" s="7"/>
      <c r="BD230" s="7"/>
      <c r="BE230" s="7"/>
      <c r="BG230" s="7"/>
      <c r="BH230" s="7"/>
      <c r="BI230" s="7"/>
      <c r="BJ230" s="7"/>
      <c r="BK230" s="7"/>
      <c r="BL230" s="7"/>
      <c r="BM230" s="7"/>
      <c r="BN230" s="7"/>
      <c r="BP230" s="7"/>
      <c r="BQ230" s="7"/>
      <c r="BR230" s="7"/>
      <c r="BS230" s="7"/>
      <c r="BT230" s="7"/>
      <c r="BU230" s="7"/>
      <c r="BV230" s="7"/>
      <c r="BW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</row>
    <row r="231" spans="5:98" x14ac:dyDescent="0.3">
      <c r="E231" s="7"/>
      <c r="F231" s="7"/>
      <c r="H231" s="7"/>
      <c r="I231" s="7"/>
      <c r="J231" s="7"/>
      <c r="K231" s="7"/>
      <c r="M231" s="7"/>
      <c r="N231" s="7"/>
      <c r="P231" s="7"/>
      <c r="Q231" s="7"/>
      <c r="S231" s="7"/>
      <c r="T231" s="7"/>
      <c r="U231" s="7"/>
      <c r="V231" s="7"/>
      <c r="X231" s="7"/>
      <c r="Y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R231" s="7"/>
      <c r="AS231" s="7"/>
      <c r="AT231" s="7"/>
      <c r="AU231" s="7"/>
      <c r="AW231" s="7"/>
      <c r="AX231" s="7"/>
      <c r="AZ231" s="7"/>
      <c r="BA231" s="7"/>
      <c r="BB231" s="7"/>
      <c r="BC231" s="7"/>
      <c r="BD231" s="7"/>
      <c r="BE231" s="7"/>
      <c r="BG231" s="7"/>
      <c r="BH231" s="7"/>
      <c r="BI231" s="7"/>
      <c r="BJ231" s="7"/>
      <c r="BK231" s="7"/>
      <c r="BL231" s="7"/>
      <c r="BM231" s="7"/>
      <c r="BN231" s="7"/>
      <c r="BP231" s="7"/>
      <c r="BQ231" s="7"/>
      <c r="BR231" s="7"/>
      <c r="BS231" s="7"/>
      <c r="BT231" s="7"/>
      <c r="BU231" s="7"/>
      <c r="BV231" s="7"/>
      <c r="BW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</row>
    <row r="232" spans="5:98" x14ac:dyDescent="0.3">
      <c r="E232" s="7"/>
      <c r="F232" s="7"/>
      <c r="H232" s="7"/>
      <c r="I232" s="7"/>
      <c r="J232" s="7"/>
      <c r="K232" s="7"/>
      <c r="M232" s="7"/>
      <c r="N232" s="7"/>
      <c r="P232" s="7"/>
      <c r="Q232" s="7"/>
      <c r="S232" s="7"/>
      <c r="T232" s="7"/>
      <c r="U232" s="7"/>
      <c r="V232" s="7"/>
      <c r="X232" s="7"/>
      <c r="Y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R232" s="7"/>
      <c r="AS232" s="7"/>
      <c r="AT232" s="7"/>
      <c r="AU232" s="7"/>
      <c r="AW232" s="7"/>
      <c r="AX232" s="7"/>
      <c r="AZ232" s="7"/>
      <c r="BA232" s="7"/>
      <c r="BB232" s="7"/>
      <c r="BC232" s="7"/>
      <c r="BD232" s="7"/>
      <c r="BE232" s="7"/>
      <c r="BG232" s="7"/>
      <c r="BH232" s="7"/>
      <c r="BI232" s="7"/>
      <c r="BJ232" s="7"/>
      <c r="BK232" s="7"/>
      <c r="BL232" s="7"/>
      <c r="BM232" s="7"/>
      <c r="BN232" s="7"/>
      <c r="BP232" s="7"/>
      <c r="BQ232" s="7"/>
      <c r="BR232" s="7"/>
      <c r="BS232" s="7"/>
      <c r="BT232" s="7"/>
      <c r="BU232" s="7"/>
      <c r="BV232" s="7"/>
      <c r="BW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</row>
    <row r="233" spans="5:98" x14ac:dyDescent="0.3">
      <c r="E233" s="7"/>
      <c r="F233" s="7"/>
      <c r="H233" s="7"/>
      <c r="I233" s="7"/>
      <c r="J233" s="7"/>
      <c r="K233" s="7"/>
      <c r="M233" s="7"/>
      <c r="N233" s="7"/>
      <c r="P233" s="7"/>
      <c r="Q233" s="7"/>
      <c r="S233" s="7"/>
      <c r="T233" s="7"/>
      <c r="U233" s="7"/>
      <c r="V233" s="7"/>
      <c r="X233" s="7"/>
      <c r="Y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R233" s="7"/>
      <c r="AS233" s="7"/>
      <c r="AT233" s="7"/>
      <c r="AU233" s="7"/>
      <c r="AW233" s="7"/>
      <c r="AX233" s="7"/>
      <c r="AZ233" s="7"/>
      <c r="BA233" s="7"/>
      <c r="BB233" s="7"/>
      <c r="BC233" s="7"/>
      <c r="BD233" s="7"/>
      <c r="BE233" s="7"/>
      <c r="BG233" s="7"/>
      <c r="BH233" s="7"/>
      <c r="BI233" s="7"/>
      <c r="BJ233" s="7"/>
      <c r="BK233" s="7"/>
      <c r="BL233" s="7"/>
      <c r="BM233" s="7"/>
      <c r="BN233" s="7"/>
      <c r="BP233" s="7"/>
      <c r="BQ233" s="7"/>
      <c r="BR233" s="7"/>
      <c r="BS233" s="7"/>
      <c r="BT233" s="7"/>
      <c r="BU233" s="7"/>
      <c r="BV233" s="7"/>
      <c r="BW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</row>
    <row r="234" spans="5:98" x14ac:dyDescent="0.3">
      <c r="E234" s="7"/>
      <c r="F234" s="7"/>
      <c r="H234" s="7"/>
      <c r="I234" s="7"/>
      <c r="J234" s="7"/>
      <c r="K234" s="7"/>
      <c r="M234" s="7"/>
      <c r="N234" s="7"/>
      <c r="P234" s="7"/>
      <c r="Q234" s="7"/>
      <c r="S234" s="7"/>
      <c r="T234" s="7"/>
      <c r="U234" s="7"/>
      <c r="V234" s="7"/>
      <c r="X234" s="7"/>
      <c r="Y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R234" s="7"/>
      <c r="AS234" s="7"/>
      <c r="AT234" s="7"/>
      <c r="AU234" s="7"/>
      <c r="AW234" s="7"/>
      <c r="AX234" s="7"/>
      <c r="AZ234" s="7"/>
      <c r="BA234" s="7"/>
      <c r="BB234" s="7"/>
      <c r="BC234" s="7"/>
      <c r="BD234" s="7"/>
      <c r="BE234" s="7"/>
      <c r="BG234" s="7"/>
      <c r="BH234" s="7"/>
      <c r="BI234" s="7"/>
      <c r="BJ234" s="7"/>
      <c r="BK234" s="7"/>
      <c r="BL234" s="7"/>
      <c r="BM234" s="7"/>
      <c r="BN234" s="7"/>
      <c r="BP234" s="7"/>
      <c r="BQ234" s="7"/>
      <c r="BR234" s="7"/>
      <c r="BS234" s="7"/>
      <c r="BT234" s="7"/>
      <c r="BU234" s="7"/>
      <c r="BV234" s="7"/>
      <c r="BW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</row>
    <row r="235" spans="5:98" x14ac:dyDescent="0.3">
      <c r="E235" s="7"/>
      <c r="F235" s="7"/>
      <c r="H235" s="7"/>
      <c r="I235" s="7"/>
      <c r="J235" s="7"/>
      <c r="K235" s="7"/>
      <c r="M235" s="7"/>
      <c r="N235" s="7"/>
      <c r="P235" s="7"/>
      <c r="Q235" s="7"/>
      <c r="S235" s="7"/>
      <c r="T235" s="7"/>
      <c r="U235" s="7"/>
      <c r="V235" s="7"/>
      <c r="X235" s="7"/>
      <c r="Y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R235" s="7"/>
      <c r="AS235" s="7"/>
      <c r="AT235" s="7"/>
      <c r="AU235" s="7"/>
      <c r="AW235" s="7"/>
      <c r="AX235" s="7"/>
      <c r="AZ235" s="7"/>
      <c r="BA235" s="7"/>
      <c r="BB235" s="7"/>
      <c r="BC235" s="7"/>
      <c r="BD235" s="7"/>
      <c r="BE235" s="7"/>
      <c r="BG235" s="7"/>
      <c r="BH235" s="7"/>
      <c r="BI235" s="7"/>
      <c r="BJ235" s="7"/>
      <c r="BK235" s="7"/>
      <c r="BL235" s="7"/>
      <c r="BM235" s="7"/>
      <c r="BN235" s="7"/>
      <c r="BP235" s="7"/>
      <c r="BQ235" s="7"/>
      <c r="BR235" s="7"/>
      <c r="BS235" s="7"/>
      <c r="BT235" s="7"/>
      <c r="BU235" s="7"/>
      <c r="BV235" s="7"/>
      <c r="BW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</row>
    <row r="236" spans="5:98" x14ac:dyDescent="0.3">
      <c r="E236" s="7"/>
      <c r="F236" s="7"/>
      <c r="H236" s="7"/>
      <c r="I236" s="7"/>
      <c r="J236" s="7"/>
      <c r="K236" s="7"/>
      <c r="M236" s="7"/>
      <c r="N236" s="7"/>
      <c r="P236" s="7"/>
      <c r="Q236" s="7"/>
      <c r="S236" s="7"/>
      <c r="T236" s="7"/>
      <c r="U236" s="7"/>
      <c r="V236" s="7"/>
      <c r="X236" s="7"/>
      <c r="Y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R236" s="7"/>
      <c r="AS236" s="7"/>
      <c r="AT236" s="7"/>
      <c r="AU236" s="7"/>
      <c r="AW236" s="7"/>
      <c r="AX236" s="7"/>
      <c r="AZ236" s="7"/>
      <c r="BA236" s="7"/>
      <c r="BB236" s="7"/>
      <c r="BC236" s="7"/>
      <c r="BD236" s="7"/>
      <c r="BE236" s="7"/>
      <c r="BG236" s="7"/>
      <c r="BH236" s="7"/>
      <c r="BI236" s="7"/>
      <c r="BJ236" s="7"/>
      <c r="BK236" s="7"/>
      <c r="BL236" s="7"/>
      <c r="BM236" s="7"/>
      <c r="BN236" s="7"/>
      <c r="BP236" s="7"/>
      <c r="BQ236" s="7"/>
      <c r="BR236" s="7"/>
      <c r="BS236" s="7"/>
      <c r="BT236" s="7"/>
      <c r="BU236" s="7"/>
      <c r="BV236" s="7"/>
      <c r="BW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</row>
    <row r="237" spans="5:98" x14ac:dyDescent="0.3">
      <c r="E237" s="7"/>
      <c r="F237" s="7"/>
      <c r="H237" s="7"/>
      <c r="I237" s="7"/>
      <c r="J237" s="7"/>
      <c r="K237" s="7"/>
      <c r="M237" s="7"/>
      <c r="N237" s="7"/>
      <c r="P237" s="7"/>
      <c r="Q237" s="7"/>
      <c r="S237" s="7"/>
      <c r="T237" s="7"/>
      <c r="U237" s="7"/>
      <c r="V237" s="7"/>
      <c r="X237" s="7"/>
      <c r="Y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R237" s="7"/>
      <c r="AS237" s="7"/>
      <c r="AT237" s="7"/>
      <c r="AU237" s="7"/>
      <c r="AW237" s="7"/>
      <c r="AX237" s="7"/>
      <c r="AZ237" s="7"/>
      <c r="BA237" s="7"/>
      <c r="BB237" s="7"/>
      <c r="BC237" s="7"/>
      <c r="BD237" s="7"/>
      <c r="BE237" s="7"/>
      <c r="BG237" s="7"/>
      <c r="BH237" s="7"/>
      <c r="BI237" s="7"/>
      <c r="BJ237" s="7"/>
      <c r="BK237" s="7"/>
      <c r="BL237" s="7"/>
      <c r="BM237" s="7"/>
      <c r="BN237" s="7"/>
      <c r="BP237" s="7"/>
      <c r="BQ237" s="7"/>
      <c r="BR237" s="7"/>
      <c r="BS237" s="7"/>
      <c r="BT237" s="7"/>
      <c r="BU237" s="7"/>
      <c r="BV237" s="7"/>
      <c r="BW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</row>
    <row r="238" spans="5:98" x14ac:dyDescent="0.3">
      <c r="E238" s="7"/>
      <c r="F238" s="7"/>
      <c r="H238" s="7"/>
      <c r="I238" s="7"/>
      <c r="J238" s="7"/>
      <c r="K238" s="7"/>
      <c r="M238" s="7"/>
      <c r="N238" s="7"/>
      <c r="P238" s="7"/>
      <c r="Q238" s="7"/>
      <c r="S238" s="7"/>
      <c r="T238" s="7"/>
      <c r="U238" s="7"/>
      <c r="V238" s="7"/>
      <c r="X238" s="7"/>
      <c r="Y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R238" s="7"/>
      <c r="AS238" s="7"/>
      <c r="AT238" s="7"/>
      <c r="AU238" s="7"/>
      <c r="AW238" s="7"/>
      <c r="AX238" s="7"/>
      <c r="AZ238" s="7"/>
      <c r="BA238" s="7"/>
      <c r="BB238" s="7"/>
      <c r="BC238" s="7"/>
      <c r="BD238" s="7"/>
      <c r="BE238" s="7"/>
      <c r="BG238" s="7"/>
      <c r="BH238" s="7"/>
      <c r="BI238" s="7"/>
      <c r="BJ238" s="7"/>
      <c r="BK238" s="7"/>
      <c r="BL238" s="7"/>
      <c r="BM238" s="7"/>
      <c r="BN238" s="7"/>
      <c r="BP238" s="7"/>
      <c r="BQ238" s="7"/>
      <c r="BR238" s="7"/>
      <c r="BS238" s="7"/>
      <c r="BT238" s="7"/>
      <c r="BU238" s="7"/>
      <c r="BV238" s="7"/>
      <c r="BW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</row>
    <row r="239" spans="5:98" x14ac:dyDescent="0.3">
      <c r="E239" s="7"/>
      <c r="F239" s="7"/>
      <c r="H239" s="7"/>
      <c r="I239" s="7"/>
      <c r="J239" s="7"/>
      <c r="K239" s="7"/>
      <c r="M239" s="7"/>
      <c r="N239" s="7"/>
      <c r="P239" s="7"/>
      <c r="Q239" s="7"/>
      <c r="S239" s="7"/>
      <c r="T239" s="7"/>
      <c r="U239" s="7"/>
      <c r="V239" s="7"/>
      <c r="X239" s="7"/>
      <c r="Y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R239" s="7"/>
      <c r="AS239" s="7"/>
      <c r="AT239" s="7"/>
      <c r="AU239" s="7"/>
      <c r="AW239" s="7"/>
      <c r="AX239" s="7"/>
      <c r="AZ239" s="7"/>
      <c r="BA239" s="7"/>
      <c r="BB239" s="7"/>
      <c r="BC239" s="7"/>
      <c r="BD239" s="7"/>
      <c r="BE239" s="7"/>
      <c r="BG239" s="7"/>
      <c r="BH239" s="7"/>
      <c r="BI239" s="7"/>
      <c r="BJ239" s="7"/>
      <c r="BK239" s="7"/>
      <c r="BL239" s="7"/>
      <c r="BM239" s="7"/>
      <c r="BN239" s="7"/>
      <c r="BP239" s="7"/>
      <c r="BQ239" s="7"/>
      <c r="BR239" s="7"/>
      <c r="BS239" s="7"/>
      <c r="BT239" s="7"/>
      <c r="BU239" s="7"/>
      <c r="BV239" s="7"/>
      <c r="BW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</row>
    <row r="240" spans="5:98" x14ac:dyDescent="0.3">
      <c r="E240" s="7"/>
      <c r="F240" s="7"/>
      <c r="H240" s="7"/>
      <c r="I240" s="7"/>
      <c r="J240" s="7"/>
      <c r="K240" s="7"/>
      <c r="M240" s="7"/>
      <c r="N240" s="7"/>
      <c r="P240" s="7"/>
      <c r="Q240" s="7"/>
      <c r="S240" s="7"/>
      <c r="T240" s="7"/>
      <c r="U240" s="7"/>
      <c r="V240" s="7"/>
      <c r="X240" s="7"/>
      <c r="Y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R240" s="7"/>
      <c r="AS240" s="7"/>
      <c r="AT240" s="7"/>
      <c r="AU240" s="7"/>
      <c r="AW240" s="7"/>
      <c r="AX240" s="7"/>
      <c r="AZ240" s="7"/>
      <c r="BA240" s="7"/>
      <c r="BB240" s="7"/>
      <c r="BC240" s="7"/>
      <c r="BD240" s="7"/>
      <c r="BE240" s="7"/>
      <c r="BG240" s="7"/>
      <c r="BH240" s="7"/>
      <c r="BI240" s="7"/>
      <c r="BJ240" s="7"/>
      <c r="BK240" s="7"/>
      <c r="BL240" s="7"/>
      <c r="BM240" s="7"/>
      <c r="BN240" s="7"/>
      <c r="BP240" s="7"/>
      <c r="BQ240" s="7"/>
      <c r="BR240" s="7"/>
      <c r="BS240" s="7"/>
      <c r="BT240" s="7"/>
      <c r="BU240" s="7"/>
      <c r="BV240" s="7"/>
      <c r="BW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</row>
    <row r="241" spans="5:98" x14ac:dyDescent="0.3">
      <c r="E241" s="7"/>
      <c r="F241" s="7"/>
      <c r="H241" s="7"/>
      <c r="I241" s="7"/>
      <c r="J241" s="7"/>
      <c r="K241" s="7"/>
      <c r="M241" s="7"/>
      <c r="N241" s="7"/>
      <c r="P241" s="7"/>
      <c r="Q241" s="7"/>
      <c r="S241" s="7"/>
      <c r="T241" s="7"/>
      <c r="U241" s="7"/>
      <c r="V241" s="7"/>
      <c r="X241" s="7"/>
      <c r="Y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R241" s="7"/>
      <c r="AS241" s="7"/>
      <c r="AT241" s="7"/>
      <c r="AU241" s="7"/>
      <c r="AW241" s="7"/>
      <c r="AX241" s="7"/>
      <c r="AZ241" s="7"/>
      <c r="BA241" s="7"/>
      <c r="BB241" s="7"/>
      <c r="BC241" s="7"/>
      <c r="BD241" s="7"/>
      <c r="BE241" s="7"/>
      <c r="BG241" s="7"/>
      <c r="BH241" s="7"/>
      <c r="BI241" s="7"/>
      <c r="BJ241" s="7"/>
      <c r="BK241" s="7"/>
      <c r="BL241" s="7"/>
      <c r="BM241" s="7"/>
      <c r="BN241" s="7"/>
      <c r="BP241" s="7"/>
      <c r="BQ241" s="7"/>
      <c r="BR241" s="7"/>
      <c r="BS241" s="7"/>
      <c r="BT241" s="7"/>
      <c r="BU241" s="7"/>
      <c r="BV241" s="7"/>
      <c r="BW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</row>
    <row r="242" spans="5:98" x14ac:dyDescent="0.3">
      <c r="E242" s="7"/>
      <c r="F242" s="7"/>
      <c r="H242" s="7"/>
      <c r="I242" s="7"/>
      <c r="J242" s="7"/>
      <c r="K242" s="7"/>
      <c r="M242" s="7"/>
      <c r="N242" s="7"/>
      <c r="P242" s="7"/>
      <c r="Q242" s="7"/>
      <c r="S242" s="7"/>
      <c r="T242" s="7"/>
      <c r="U242" s="7"/>
      <c r="V242" s="7"/>
      <c r="X242" s="7"/>
      <c r="Y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R242" s="7"/>
      <c r="AS242" s="7"/>
      <c r="AT242" s="7"/>
      <c r="AU242" s="7"/>
      <c r="AW242" s="7"/>
      <c r="AX242" s="7"/>
      <c r="AZ242" s="7"/>
      <c r="BA242" s="7"/>
      <c r="BB242" s="7"/>
      <c r="BC242" s="7"/>
      <c r="BD242" s="7"/>
      <c r="BE242" s="7"/>
      <c r="BG242" s="7"/>
      <c r="BH242" s="7"/>
      <c r="BI242" s="7"/>
      <c r="BJ242" s="7"/>
      <c r="BK242" s="7"/>
      <c r="BL242" s="7"/>
      <c r="BM242" s="7"/>
      <c r="BN242" s="7"/>
      <c r="BP242" s="7"/>
      <c r="BQ242" s="7"/>
      <c r="BR242" s="7"/>
      <c r="BS242" s="7"/>
      <c r="BT242" s="7"/>
      <c r="BU242" s="7"/>
      <c r="BV242" s="7"/>
      <c r="BW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</row>
    <row r="243" spans="5:98" x14ac:dyDescent="0.3">
      <c r="E243" s="7"/>
      <c r="F243" s="7"/>
      <c r="H243" s="7"/>
      <c r="I243" s="7"/>
      <c r="J243" s="7"/>
      <c r="K243" s="7"/>
      <c r="M243" s="7"/>
      <c r="N243" s="7"/>
      <c r="P243" s="7"/>
      <c r="Q243" s="7"/>
      <c r="S243" s="7"/>
      <c r="T243" s="7"/>
      <c r="U243" s="7"/>
      <c r="V243" s="7"/>
      <c r="X243" s="7"/>
      <c r="Y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R243" s="7"/>
      <c r="AS243" s="7"/>
      <c r="AT243" s="7"/>
      <c r="AU243" s="7"/>
      <c r="AW243" s="7"/>
      <c r="AX243" s="7"/>
      <c r="AZ243" s="7"/>
      <c r="BA243" s="7"/>
      <c r="BB243" s="7"/>
      <c r="BC243" s="7"/>
      <c r="BD243" s="7"/>
      <c r="BE243" s="7"/>
      <c r="BG243" s="7"/>
      <c r="BH243" s="7"/>
      <c r="BI243" s="7"/>
      <c r="BJ243" s="7"/>
      <c r="BK243" s="7"/>
      <c r="BL243" s="7"/>
      <c r="BM243" s="7"/>
      <c r="BN243" s="7"/>
      <c r="BP243" s="7"/>
      <c r="BQ243" s="7"/>
      <c r="BR243" s="7"/>
      <c r="BS243" s="7"/>
      <c r="BT243" s="7"/>
      <c r="BU243" s="7"/>
      <c r="BV243" s="7"/>
      <c r="BW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</row>
    <row r="244" spans="5:98" x14ac:dyDescent="0.3">
      <c r="E244" s="7"/>
      <c r="F244" s="7"/>
      <c r="H244" s="7"/>
      <c r="I244" s="7"/>
      <c r="J244" s="7"/>
      <c r="K244" s="7"/>
      <c r="M244" s="7"/>
      <c r="N244" s="7"/>
      <c r="P244" s="7"/>
      <c r="Q244" s="7"/>
      <c r="S244" s="7"/>
      <c r="T244" s="7"/>
      <c r="U244" s="7"/>
      <c r="V244" s="7"/>
      <c r="X244" s="7"/>
      <c r="Y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R244" s="7"/>
      <c r="AS244" s="7"/>
      <c r="AT244" s="7"/>
      <c r="AU244" s="7"/>
      <c r="AW244" s="7"/>
      <c r="AX244" s="7"/>
      <c r="AZ244" s="7"/>
      <c r="BA244" s="7"/>
      <c r="BB244" s="7"/>
      <c r="BC244" s="7"/>
      <c r="BD244" s="7"/>
      <c r="BE244" s="7"/>
      <c r="BG244" s="7"/>
      <c r="BH244" s="7"/>
      <c r="BI244" s="7"/>
      <c r="BJ244" s="7"/>
      <c r="BK244" s="7"/>
      <c r="BL244" s="7"/>
      <c r="BM244" s="7"/>
      <c r="BN244" s="7"/>
      <c r="BP244" s="7"/>
      <c r="BQ244" s="7"/>
      <c r="BR244" s="7"/>
      <c r="BS244" s="7"/>
      <c r="BT244" s="7"/>
      <c r="BU244" s="7"/>
      <c r="BV244" s="7"/>
      <c r="BW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</row>
    <row r="245" spans="5:98" x14ac:dyDescent="0.3">
      <c r="E245" s="7"/>
      <c r="F245" s="7"/>
      <c r="H245" s="7"/>
      <c r="I245" s="7"/>
      <c r="J245" s="7"/>
      <c r="K245" s="7"/>
      <c r="M245" s="7"/>
      <c r="N245" s="7"/>
      <c r="P245" s="7"/>
      <c r="Q245" s="7"/>
      <c r="S245" s="7"/>
      <c r="T245" s="7"/>
      <c r="U245" s="7"/>
      <c r="V245" s="7"/>
      <c r="X245" s="7"/>
      <c r="Y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R245" s="7"/>
      <c r="AS245" s="7"/>
      <c r="AT245" s="7"/>
      <c r="AU245" s="7"/>
      <c r="AW245" s="7"/>
      <c r="AX245" s="7"/>
      <c r="AZ245" s="7"/>
      <c r="BA245" s="7"/>
      <c r="BB245" s="7"/>
      <c r="BC245" s="7"/>
      <c r="BD245" s="7"/>
      <c r="BE245" s="7"/>
      <c r="BG245" s="7"/>
      <c r="BH245" s="7"/>
      <c r="BI245" s="7"/>
      <c r="BJ245" s="7"/>
      <c r="BK245" s="7"/>
      <c r="BL245" s="7"/>
      <c r="BM245" s="7"/>
      <c r="BN245" s="7"/>
      <c r="BP245" s="7"/>
      <c r="BQ245" s="7"/>
      <c r="BR245" s="7"/>
      <c r="BS245" s="7"/>
      <c r="BT245" s="7"/>
      <c r="BU245" s="7"/>
      <c r="BV245" s="7"/>
      <c r="BW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</row>
    <row r="246" spans="5:98" x14ac:dyDescent="0.3">
      <c r="E246" s="7"/>
      <c r="F246" s="7"/>
      <c r="H246" s="7"/>
      <c r="I246" s="7"/>
      <c r="J246" s="7"/>
      <c r="K246" s="7"/>
      <c r="M246" s="7"/>
      <c r="N246" s="7"/>
      <c r="P246" s="7"/>
      <c r="Q246" s="7"/>
      <c r="S246" s="7"/>
      <c r="T246" s="7"/>
      <c r="U246" s="7"/>
      <c r="V246" s="7"/>
      <c r="X246" s="7"/>
      <c r="Y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R246" s="7"/>
      <c r="AS246" s="7"/>
      <c r="AT246" s="7"/>
      <c r="AU246" s="7"/>
      <c r="AW246" s="7"/>
      <c r="AX246" s="7"/>
      <c r="AZ246" s="7"/>
      <c r="BA246" s="7"/>
      <c r="BB246" s="7"/>
      <c r="BC246" s="7"/>
      <c r="BD246" s="7"/>
      <c r="BE246" s="7"/>
      <c r="BG246" s="7"/>
      <c r="BH246" s="7"/>
      <c r="BI246" s="7"/>
      <c r="BJ246" s="7"/>
      <c r="BK246" s="7"/>
      <c r="BL246" s="7"/>
      <c r="BM246" s="7"/>
      <c r="BN246" s="7"/>
      <c r="BP246" s="7"/>
      <c r="BQ246" s="7"/>
      <c r="BR246" s="7"/>
      <c r="BS246" s="7"/>
      <c r="BT246" s="7"/>
      <c r="BU246" s="7"/>
      <c r="BV246" s="7"/>
      <c r="BW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</row>
    <row r="247" spans="5:98" x14ac:dyDescent="0.3">
      <c r="E247" s="7"/>
      <c r="F247" s="7"/>
      <c r="H247" s="7"/>
      <c r="I247" s="7"/>
      <c r="J247" s="7"/>
      <c r="K247" s="7"/>
      <c r="M247" s="7"/>
      <c r="N247" s="7"/>
      <c r="P247" s="7"/>
      <c r="Q247" s="7"/>
      <c r="S247" s="7"/>
      <c r="T247" s="7"/>
      <c r="U247" s="7"/>
      <c r="V247" s="7"/>
      <c r="X247" s="7"/>
      <c r="Y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R247" s="7"/>
      <c r="AS247" s="7"/>
      <c r="AT247" s="7"/>
      <c r="AU247" s="7"/>
      <c r="AW247" s="7"/>
      <c r="AX247" s="7"/>
      <c r="AZ247" s="7"/>
      <c r="BA247" s="7"/>
      <c r="BB247" s="7"/>
      <c r="BC247" s="7"/>
      <c r="BD247" s="7"/>
      <c r="BE247" s="7"/>
      <c r="BG247" s="7"/>
      <c r="BH247" s="7"/>
      <c r="BI247" s="7"/>
      <c r="BJ247" s="7"/>
      <c r="BK247" s="7"/>
      <c r="BL247" s="7"/>
      <c r="BM247" s="7"/>
      <c r="BN247" s="7"/>
      <c r="BP247" s="7"/>
      <c r="BQ247" s="7"/>
      <c r="BR247" s="7"/>
      <c r="BS247" s="7"/>
      <c r="BT247" s="7"/>
      <c r="BU247" s="7"/>
      <c r="BV247" s="7"/>
      <c r="BW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</row>
    <row r="248" spans="5:98" x14ac:dyDescent="0.3">
      <c r="E248" s="7"/>
      <c r="F248" s="7"/>
      <c r="H248" s="7"/>
      <c r="I248" s="7"/>
      <c r="J248" s="7"/>
      <c r="K248" s="7"/>
      <c r="M248" s="7"/>
      <c r="N248" s="7"/>
      <c r="P248" s="7"/>
      <c r="Q248" s="7"/>
      <c r="S248" s="7"/>
      <c r="T248" s="7"/>
      <c r="U248" s="7"/>
      <c r="V248" s="7"/>
      <c r="X248" s="7"/>
      <c r="Y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R248" s="7"/>
      <c r="AS248" s="7"/>
      <c r="AT248" s="7"/>
      <c r="AU248" s="7"/>
      <c r="AW248" s="7"/>
      <c r="AX248" s="7"/>
      <c r="AZ248" s="7"/>
      <c r="BA248" s="7"/>
      <c r="BB248" s="7"/>
      <c r="BC248" s="7"/>
      <c r="BD248" s="7"/>
      <c r="BE248" s="7"/>
      <c r="BG248" s="7"/>
      <c r="BH248" s="7"/>
      <c r="BI248" s="7"/>
      <c r="BJ248" s="7"/>
      <c r="BK248" s="7"/>
      <c r="BL248" s="7"/>
      <c r="BM248" s="7"/>
      <c r="BN248" s="7"/>
      <c r="BP248" s="7"/>
      <c r="BQ248" s="7"/>
      <c r="BR248" s="7"/>
      <c r="BS248" s="7"/>
      <c r="BT248" s="7"/>
      <c r="BU248" s="7"/>
      <c r="BV248" s="7"/>
      <c r="BW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</row>
    <row r="249" spans="5:98" x14ac:dyDescent="0.3">
      <c r="E249" s="7"/>
      <c r="F249" s="7"/>
      <c r="H249" s="7"/>
      <c r="I249" s="7"/>
      <c r="J249" s="7"/>
      <c r="K249" s="7"/>
      <c r="M249" s="7"/>
      <c r="N249" s="7"/>
      <c r="P249" s="7"/>
      <c r="Q249" s="7"/>
      <c r="S249" s="7"/>
      <c r="T249" s="7"/>
      <c r="U249" s="7"/>
      <c r="V249" s="7"/>
      <c r="X249" s="7"/>
      <c r="Y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R249" s="7"/>
      <c r="AS249" s="7"/>
      <c r="AT249" s="7"/>
      <c r="AU249" s="7"/>
      <c r="AW249" s="7"/>
      <c r="AX249" s="7"/>
      <c r="AZ249" s="7"/>
      <c r="BA249" s="7"/>
      <c r="BB249" s="7"/>
      <c r="BC249" s="7"/>
      <c r="BD249" s="7"/>
      <c r="BE249" s="7"/>
      <c r="BG249" s="7"/>
      <c r="BH249" s="7"/>
      <c r="BI249" s="7"/>
      <c r="BJ249" s="7"/>
      <c r="BK249" s="7"/>
      <c r="BL249" s="7"/>
      <c r="BM249" s="7"/>
      <c r="BN249" s="7"/>
      <c r="BP249" s="7"/>
      <c r="BQ249" s="7"/>
      <c r="BR249" s="7"/>
      <c r="BS249" s="7"/>
      <c r="BT249" s="7"/>
      <c r="BU249" s="7"/>
      <c r="BV249" s="7"/>
      <c r="BW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</row>
    <row r="250" spans="5:98" x14ac:dyDescent="0.3">
      <c r="E250" s="7"/>
      <c r="F250" s="7"/>
      <c r="H250" s="7"/>
      <c r="I250" s="7"/>
      <c r="J250" s="7"/>
      <c r="K250" s="7"/>
      <c r="M250" s="7"/>
      <c r="N250" s="7"/>
      <c r="P250" s="7"/>
      <c r="Q250" s="7"/>
      <c r="S250" s="7"/>
      <c r="T250" s="7"/>
      <c r="U250" s="7"/>
      <c r="V250" s="7"/>
      <c r="X250" s="7"/>
      <c r="Y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R250" s="7"/>
      <c r="AS250" s="7"/>
      <c r="AT250" s="7"/>
      <c r="AU250" s="7"/>
      <c r="AW250" s="7"/>
      <c r="AX250" s="7"/>
      <c r="AZ250" s="7"/>
      <c r="BA250" s="7"/>
      <c r="BB250" s="7"/>
      <c r="BC250" s="7"/>
      <c r="BD250" s="7"/>
      <c r="BE250" s="7"/>
      <c r="BG250" s="7"/>
      <c r="BH250" s="7"/>
      <c r="BI250" s="7"/>
      <c r="BJ250" s="7"/>
      <c r="BK250" s="7"/>
      <c r="BL250" s="7"/>
      <c r="BM250" s="7"/>
      <c r="BN250" s="7"/>
      <c r="BP250" s="7"/>
      <c r="BQ250" s="7"/>
      <c r="BR250" s="7"/>
      <c r="BS250" s="7"/>
      <c r="BT250" s="7"/>
      <c r="BU250" s="7"/>
      <c r="BV250" s="7"/>
      <c r="BW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</row>
    <row r="251" spans="5:98" x14ac:dyDescent="0.3">
      <c r="E251" s="7"/>
      <c r="F251" s="7"/>
      <c r="H251" s="7"/>
      <c r="I251" s="7"/>
      <c r="J251" s="7"/>
      <c r="K251" s="7"/>
      <c r="M251" s="7"/>
      <c r="N251" s="7"/>
      <c r="P251" s="7"/>
      <c r="Q251" s="7"/>
      <c r="S251" s="7"/>
      <c r="T251" s="7"/>
      <c r="U251" s="7"/>
      <c r="V251" s="7"/>
      <c r="X251" s="7"/>
      <c r="Y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R251" s="7"/>
      <c r="AS251" s="7"/>
      <c r="AT251" s="7"/>
      <c r="AU251" s="7"/>
      <c r="AW251" s="7"/>
      <c r="AX251" s="7"/>
      <c r="AZ251" s="7"/>
      <c r="BA251" s="7"/>
      <c r="BB251" s="7"/>
      <c r="BC251" s="7"/>
      <c r="BD251" s="7"/>
      <c r="BE251" s="7"/>
      <c r="BG251" s="7"/>
      <c r="BH251" s="7"/>
      <c r="BI251" s="7"/>
      <c r="BJ251" s="7"/>
      <c r="BK251" s="7"/>
      <c r="BL251" s="7"/>
      <c r="BM251" s="7"/>
      <c r="BN251" s="7"/>
      <c r="BP251" s="7"/>
      <c r="BQ251" s="7"/>
      <c r="BR251" s="7"/>
      <c r="BS251" s="7"/>
      <c r="BT251" s="7"/>
      <c r="BU251" s="7"/>
      <c r="BV251" s="7"/>
      <c r="BW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</row>
    <row r="252" spans="5:98" x14ac:dyDescent="0.3">
      <c r="E252" s="7"/>
      <c r="F252" s="7"/>
      <c r="H252" s="7"/>
      <c r="I252" s="7"/>
      <c r="J252" s="7"/>
      <c r="K252" s="7"/>
      <c r="M252" s="7"/>
      <c r="N252" s="7"/>
      <c r="P252" s="7"/>
      <c r="Q252" s="7"/>
      <c r="S252" s="7"/>
      <c r="T252" s="7"/>
      <c r="U252" s="7"/>
      <c r="V252" s="7"/>
      <c r="X252" s="7"/>
      <c r="Y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R252" s="7"/>
      <c r="AS252" s="7"/>
      <c r="AT252" s="7"/>
      <c r="AU252" s="7"/>
      <c r="AW252" s="7"/>
      <c r="AX252" s="7"/>
      <c r="AZ252" s="7"/>
      <c r="BA252" s="7"/>
      <c r="BB252" s="7"/>
      <c r="BC252" s="7"/>
      <c r="BD252" s="7"/>
      <c r="BE252" s="7"/>
      <c r="BG252" s="7"/>
      <c r="BH252" s="7"/>
      <c r="BI252" s="7"/>
      <c r="BJ252" s="7"/>
      <c r="BK252" s="7"/>
      <c r="BL252" s="7"/>
      <c r="BM252" s="7"/>
      <c r="BN252" s="7"/>
      <c r="BP252" s="7"/>
      <c r="BQ252" s="7"/>
      <c r="BR252" s="7"/>
      <c r="BS252" s="7"/>
      <c r="BT252" s="7"/>
      <c r="BU252" s="7"/>
      <c r="BV252" s="7"/>
      <c r="BW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</row>
    <row r="253" spans="5:98" x14ac:dyDescent="0.3">
      <c r="E253" s="7"/>
      <c r="F253" s="7"/>
      <c r="H253" s="7"/>
      <c r="I253" s="7"/>
      <c r="J253" s="7"/>
      <c r="K253" s="7"/>
      <c r="M253" s="7"/>
      <c r="N253" s="7"/>
      <c r="P253" s="7"/>
      <c r="Q253" s="7"/>
      <c r="S253" s="7"/>
      <c r="T253" s="7"/>
      <c r="U253" s="7"/>
      <c r="V253" s="7"/>
      <c r="X253" s="7"/>
      <c r="Y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R253" s="7"/>
      <c r="AS253" s="7"/>
      <c r="AT253" s="7"/>
      <c r="AU253" s="7"/>
      <c r="AW253" s="7"/>
      <c r="AX253" s="7"/>
      <c r="AZ253" s="7"/>
      <c r="BA253" s="7"/>
      <c r="BB253" s="7"/>
      <c r="BC253" s="7"/>
      <c r="BD253" s="7"/>
      <c r="BE253" s="7"/>
      <c r="BG253" s="7"/>
      <c r="BH253" s="7"/>
      <c r="BI253" s="7"/>
      <c r="BJ253" s="7"/>
      <c r="BK253" s="7"/>
      <c r="BL253" s="7"/>
      <c r="BM253" s="7"/>
      <c r="BN253" s="7"/>
      <c r="BP253" s="7"/>
      <c r="BQ253" s="7"/>
      <c r="BR253" s="7"/>
      <c r="BS253" s="7"/>
      <c r="BT253" s="7"/>
      <c r="BU253" s="7"/>
      <c r="BV253" s="7"/>
      <c r="BW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  <c r="CS253" s="7"/>
      <c r="CT253" s="7"/>
    </row>
    <row r="254" spans="5:98" x14ac:dyDescent="0.3">
      <c r="E254" s="7"/>
      <c r="F254" s="7"/>
      <c r="H254" s="7"/>
      <c r="I254" s="7"/>
      <c r="J254" s="7"/>
      <c r="K254" s="7"/>
      <c r="M254" s="7"/>
      <c r="N254" s="7"/>
      <c r="P254" s="7"/>
      <c r="Q254" s="7"/>
      <c r="S254" s="7"/>
      <c r="T254" s="7"/>
      <c r="U254" s="7"/>
      <c r="V254" s="7"/>
      <c r="X254" s="7"/>
      <c r="Y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R254" s="7"/>
      <c r="AS254" s="7"/>
      <c r="AT254" s="7"/>
      <c r="AU254" s="7"/>
      <c r="AW254" s="7"/>
      <c r="AX254" s="7"/>
      <c r="AZ254" s="7"/>
      <c r="BA254" s="7"/>
      <c r="BB254" s="7"/>
      <c r="BC254" s="7"/>
      <c r="BD254" s="7"/>
      <c r="BE254" s="7"/>
      <c r="BG254" s="7"/>
      <c r="BH254" s="7"/>
      <c r="BI254" s="7"/>
      <c r="BJ254" s="7"/>
      <c r="BK254" s="7"/>
      <c r="BL254" s="7"/>
      <c r="BM254" s="7"/>
      <c r="BN254" s="7"/>
      <c r="BP254" s="7"/>
      <c r="BQ254" s="7"/>
      <c r="BR254" s="7"/>
      <c r="BS254" s="7"/>
      <c r="BT254" s="7"/>
      <c r="BU254" s="7"/>
      <c r="BV254" s="7"/>
      <c r="BW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</row>
    <row r="255" spans="5:98" x14ac:dyDescent="0.3">
      <c r="E255" s="7"/>
      <c r="F255" s="7"/>
      <c r="H255" s="7"/>
      <c r="I255" s="7"/>
      <c r="J255" s="7"/>
      <c r="K255" s="7"/>
      <c r="M255" s="7"/>
      <c r="N255" s="7"/>
      <c r="P255" s="7"/>
      <c r="Q255" s="7"/>
      <c r="S255" s="7"/>
      <c r="T255" s="7"/>
      <c r="U255" s="7"/>
      <c r="V255" s="7"/>
      <c r="X255" s="7"/>
      <c r="Y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R255" s="7"/>
      <c r="AS255" s="7"/>
      <c r="AT255" s="7"/>
      <c r="AU255" s="7"/>
      <c r="AW255" s="7"/>
      <c r="AX255" s="7"/>
      <c r="AZ255" s="7"/>
      <c r="BA255" s="7"/>
      <c r="BB255" s="7"/>
      <c r="BC255" s="7"/>
      <c r="BD255" s="7"/>
      <c r="BE255" s="7"/>
      <c r="BG255" s="7"/>
      <c r="BH255" s="7"/>
      <c r="BI255" s="7"/>
      <c r="BJ255" s="7"/>
      <c r="BK255" s="7"/>
      <c r="BL255" s="7"/>
      <c r="BM255" s="7"/>
      <c r="BN255" s="7"/>
      <c r="BP255" s="7"/>
      <c r="BQ255" s="7"/>
      <c r="BR255" s="7"/>
      <c r="BS255" s="7"/>
      <c r="BT255" s="7"/>
      <c r="BU255" s="7"/>
      <c r="BV255" s="7"/>
      <c r="BW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</row>
    <row r="256" spans="5:98" x14ac:dyDescent="0.3">
      <c r="E256" s="7"/>
      <c r="F256" s="7"/>
      <c r="H256" s="7"/>
      <c r="I256" s="7"/>
      <c r="J256" s="7"/>
      <c r="K256" s="7"/>
      <c r="M256" s="7"/>
      <c r="N256" s="7"/>
      <c r="P256" s="7"/>
      <c r="Q256" s="7"/>
      <c r="S256" s="7"/>
      <c r="T256" s="7"/>
      <c r="U256" s="7"/>
      <c r="V256" s="7"/>
      <c r="X256" s="7"/>
      <c r="Y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R256" s="7"/>
      <c r="AS256" s="7"/>
      <c r="AT256" s="7"/>
      <c r="AU256" s="7"/>
      <c r="AW256" s="7"/>
      <c r="AX256" s="7"/>
      <c r="AZ256" s="7"/>
      <c r="BA256" s="7"/>
      <c r="BB256" s="7"/>
      <c r="BC256" s="7"/>
      <c r="BD256" s="7"/>
      <c r="BE256" s="7"/>
      <c r="BG256" s="7"/>
      <c r="BH256" s="7"/>
      <c r="BI256" s="7"/>
      <c r="BJ256" s="7"/>
      <c r="BK256" s="7"/>
      <c r="BL256" s="7"/>
      <c r="BM256" s="7"/>
      <c r="BN256" s="7"/>
      <c r="BP256" s="7"/>
      <c r="BQ256" s="7"/>
      <c r="BR256" s="7"/>
      <c r="BS256" s="7"/>
      <c r="BT256" s="7"/>
      <c r="BU256" s="7"/>
      <c r="BV256" s="7"/>
      <c r="BW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  <c r="CS256" s="7"/>
      <c r="CT256" s="7"/>
    </row>
    <row r="257" spans="5:98" x14ac:dyDescent="0.3">
      <c r="E257" s="7"/>
      <c r="F257" s="7"/>
      <c r="H257" s="7"/>
      <c r="I257" s="7"/>
      <c r="J257" s="7"/>
      <c r="K257" s="7"/>
      <c r="M257" s="7"/>
      <c r="N257" s="7"/>
      <c r="P257" s="7"/>
      <c r="Q257" s="7"/>
      <c r="S257" s="7"/>
      <c r="T257" s="7"/>
      <c r="U257" s="7"/>
      <c r="V257" s="7"/>
      <c r="X257" s="7"/>
      <c r="Y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R257" s="7"/>
      <c r="AS257" s="7"/>
      <c r="AT257" s="7"/>
      <c r="AU257" s="7"/>
      <c r="AW257" s="7"/>
      <c r="AX257" s="7"/>
      <c r="AZ257" s="7"/>
      <c r="BA257" s="7"/>
      <c r="BB257" s="7"/>
      <c r="BC257" s="7"/>
      <c r="BD257" s="7"/>
      <c r="BE257" s="7"/>
      <c r="BG257" s="7"/>
      <c r="BH257" s="7"/>
      <c r="BI257" s="7"/>
      <c r="BJ257" s="7"/>
      <c r="BK257" s="7"/>
      <c r="BL257" s="7"/>
      <c r="BM257" s="7"/>
      <c r="BN257" s="7"/>
      <c r="BP257" s="7"/>
      <c r="BQ257" s="7"/>
      <c r="BR257" s="7"/>
      <c r="BS257" s="7"/>
      <c r="BT257" s="7"/>
      <c r="BU257" s="7"/>
      <c r="BV257" s="7"/>
      <c r="BW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</row>
    <row r="258" spans="5:98" x14ac:dyDescent="0.3">
      <c r="E258" s="7"/>
      <c r="F258" s="7"/>
      <c r="H258" s="7"/>
      <c r="I258" s="7"/>
      <c r="J258" s="7"/>
      <c r="K258" s="7"/>
      <c r="M258" s="7"/>
      <c r="N258" s="7"/>
      <c r="P258" s="7"/>
      <c r="Q258" s="7"/>
      <c r="S258" s="7"/>
      <c r="T258" s="7"/>
      <c r="U258" s="7"/>
      <c r="V258" s="7"/>
      <c r="X258" s="7"/>
      <c r="Y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R258" s="7"/>
      <c r="AS258" s="7"/>
      <c r="AT258" s="7"/>
      <c r="AU258" s="7"/>
      <c r="AW258" s="7"/>
      <c r="AX258" s="7"/>
      <c r="AZ258" s="7"/>
      <c r="BA258" s="7"/>
      <c r="BB258" s="7"/>
      <c r="BC258" s="7"/>
      <c r="BD258" s="7"/>
      <c r="BE258" s="7"/>
      <c r="BG258" s="7"/>
      <c r="BH258" s="7"/>
      <c r="BI258" s="7"/>
      <c r="BJ258" s="7"/>
      <c r="BK258" s="7"/>
      <c r="BL258" s="7"/>
      <c r="BM258" s="7"/>
      <c r="BN258" s="7"/>
      <c r="BP258" s="7"/>
      <c r="BQ258" s="7"/>
      <c r="BR258" s="7"/>
      <c r="BS258" s="7"/>
      <c r="BT258" s="7"/>
      <c r="BU258" s="7"/>
      <c r="BV258" s="7"/>
      <c r="BW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</row>
    <row r="259" spans="5:98" x14ac:dyDescent="0.3">
      <c r="E259" s="7"/>
      <c r="F259" s="7"/>
      <c r="H259" s="7"/>
      <c r="I259" s="7"/>
      <c r="J259" s="7"/>
      <c r="K259" s="7"/>
      <c r="M259" s="7"/>
      <c r="N259" s="7"/>
      <c r="P259" s="7"/>
      <c r="Q259" s="7"/>
      <c r="S259" s="7"/>
      <c r="T259" s="7"/>
      <c r="U259" s="7"/>
      <c r="V259" s="7"/>
      <c r="X259" s="7"/>
      <c r="Y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R259" s="7"/>
      <c r="AS259" s="7"/>
      <c r="AT259" s="7"/>
      <c r="AU259" s="7"/>
      <c r="AW259" s="7"/>
      <c r="AX259" s="7"/>
      <c r="AZ259" s="7"/>
      <c r="BA259" s="7"/>
      <c r="BB259" s="7"/>
      <c r="BC259" s="7"/>
      <c r="BD259" s="7"/>
      <c r="BE259" s="7"/>
      <c r="BG259" s="7"/>
      <c r="BH259" s="7"/>
      <c r="BI259" s="7"/>
      <c r="BJ259" s="7"/>
      <c r="BK259" s="7"/>
      <c r="BL259" s="7"/>
      <c r="BM259" s="7"/>
      <c r="BN259" s="7"/>
      <c r="BP259" s="7"/>
      <c r="BQ259" s="7"/>
      <c r="BR259" s="7"/>
      <c r="BS259" s="7"/>
      <c r="BT259" s="7"/>
      <c r="BU259" s="7"/>
      <c r="BV259" s="7"/>
      <c r="BW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</row>
    <row r="260" spans="5:98" x14ac:dyDescent="0.3">
      <c r="E260" s="7"/>
      <c r="F260" s="7"/>
      <c r="H260" s="7"/>
      <c r="I260" s="7"/>
      <c r="J260" s="7"/>
      <c r="K260" s="7"/>
      <c r="M260" s="7"/>
      <c r="N260" s="7"/>
      <c r="P260" s="7"/>
      <c r="Q260" s="7"/>
      <c r="S260" s="7"/>
      <c r="T260" s="7"/>
      <c r="U260" s="7"/>
      <c r="V260" s="7"/>
      <c r="X260" s="7"/>
      <c r="Y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R260" s="7"/>
      <c r="AS260" s="7"/>
      <c r="AT260" s="7"/>
      <c r="AU260" s="7"/>
      <c r="AW260" s="7"/>
      <c r="AX260" s="7"/>
      <c r="AZ260" s="7"/>
      <c r="BA260" s="7"/>
      <c r="BB260" s="7"/>
      <c r="BC260" s="7"/>
      <c r="BD260" s="7"/>
      <c r="BE260" s="7"/>
      <c r="BG260" s="7"/>
      <c r="BH260" s="7"/>
      <c r="BI260" s="7"/>
      <c r="BJ260" s="7"/>
      <c r="BK260" s="7"/>
      <c r="BL260" s="7"/>
      <c r="BM260" s="7"/>
      <c r="BN260" s="7"/>
      <c r="BP260" s="7"/>
      <c r="BQ260" s="7"/>
      <c r="BR260" s="7"/>
      <c r="BS260" s="7"/>
      <c r="BT260" s="7"/>
      <c r="BU260" s="7"/>
      <c r="BV260" s="7"/>
      <c r="BW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</row>
    <row r="261" spans="5:98" x14ac:dyDescent="0.3">
      <c r="E261" s="7"/>
      <c r="F261" s="7"/>
      <c r="H261" s="7"/>
      <c r="I261" s="7"/>
      <c r="J261" s="7"/>
      <c r="K261" s="7"/>
      <c r="M261" s="7"/>
      <c r="N261" s="7"/>
      <c r="P261" s="7"/>
      <c r="Q261" s="7"/>
      <c r="S261" s="7"/>
      <c r="T261" s="7"/>
      <c r="U261" s="7"/>
      <c r="V261" s="7"/>
      <c r="X261" s="7"/>
      <c r="Y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R261" s="7"/>
      <c r="AS261" s="7"/>
      <c r="AT261" s="7"/>
      <c r="AU261" s="7"/>
      <c r="AW261" s="7"/>
      <c r="AX261" s="7"/>
      <c r="AZ261" s="7"/>
      <c r="BA261" s="7"/>
      <c r="BB261" s="7"/>
      <c r="BC261" s="7"/>
      <c r="BD261" s="7"/>
      <c r="BE261" s="7"/>
      <c r="BG261" s="7"/>
      <c r="BH261" s="7"/>
      <c r="BI261" s="7"/>
      <c r="BJ261" s="7"/>
      <c r="BK261" s="7"/>
      <c r="BL261" s="7"/>
      <c r="BM261" s="7"/>
      <c r="BN261" s="7"/>
      <c r="BP261" s="7"/>
      <c r="BQ261" s="7"/>
      <c r="BR261" s="7"/>
      <c r="BS261" s="7"/>
      <c r="BT261" s="7"/>
      <c r="BU261" s="7"/>
      <c r="BV261" s="7"/>
      <c r="BW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</row>
    <row r="262" spans="5:98" x14ac:dyDescent="0.3">
      <c r="E262" s="7"/>
      <c r="F262" s="7"/>
      <c r="H262" s="7"/>
      <c r="I262" s="7"/>
      <c r="J262" s="7"/>
      <c r="K262" s="7"/>
      <c r="M262" s="7"/>
      <c r="N262" s="7"/>
      <c r="P262" s="7"/>
      <c r="Q262" s="7"/>
      <c r="S262" s="7"/>
      <c r="T262" s="7"/>
      <c r="U262" s="7"/>
      <c r="V262" s="7"/>
      <c r="X262" s="7"/>
      <c r="Y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R262" s="7"/>
      <c r="AS262" s="7"/>
      <c r="AT262" s="7"/>
      <c r="AU262" s="7"/>
      <c r="AW262" s="7"/>
      <c r="AX262" s="7"/>
      <c r="AZ262" s="7"/>
      <c r="BA262" s="7"/>
      <c r="BB262" s="7"/>
      <c r="BC262" s="7"/>
      <c r="BD262" s="7"/>
      <c r="BE262" s="7"/>
      <c r="BG262" s="7"/>
      <c r="BH262" s="7"/>
      <c r="BI262" s="7"/>
      <c r="BJ262" s="7"/>
      <c r="BK262" s="7"/>
      <c r="BL262" s="7"/>
      <c r="BM262" s="7"/>
      <c r="BN262" s="7"/>
      <c r="BP262" s="7"/>
      <c r="BQ262" s="7"/>
      <c r="BR262" s="7"/>
      <c r="BS262" s="7"/>
      <c r="BT262" s="7"/>
      <c r="BU262" s="7"/>
      <c r="BV262" s="7"/>
      <c r="BW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</row>
    <row r="263" spans="5:98" x14ac:dyDescent="0.3">
      <c r="E263" s="7"/>
      <c r="F263" s="7"/>
      <c r="H263" s="7"/>
      <c r="I263" s="7"/>
      <c r="J263" s="7"/>
      <c r="K263" s="7"/>
      <c r="M263" s="7"/>
      <c r="N263" s="7"/>
      <c r="P263" s="7"/>
      <c r="Q263" s="7"/>
      <c r="S263" s="7"/>
      <c r="T263" s="7"/>
      <c r="U263" s="7"/>
      <c r="V263" s="7"/>
      <c r="X263" s="7"/>
      <c r="Y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R263" s="7"/>
      <c r="AS263" s="7"/>
      <c r="AT263" s="7"/>
      <c r="AU263" s="7"/>
      <c r="AW263" s="7"/>
      <c r="AX263" s="7"/>
      <c r="AZ263" s="7"/>
      <c r="BA263" s="7"/>
      <c r="BB263" s="7"/>
      <c r="BC263" s="7"/>
      <c r="BD263" s="7"/>
      <c r="BE263" s="7"/>
      <c r="BG263" s="7"/>
      <c r="BH263" s="7"/>
      <c r="BI263" s="7"/>
      <c r="BJ263" s="7"/>
      <c r="BK263" s="7"/>
      <c r="BL263" s="7"/>
      <c r="BM263" s="7"/>
      <c r="BN263" s="7"/>
      <c r="BP263" s="7"/>
      <c r="BQ263" s="7"/>
      <c r="BR263" s="7"/>
      <c r="BS263" s="7"/>
      <c r="BT263" s="7"/>
      <c r="BU263" s="7"/>
      <c r="BV263" s="7"/>
      <c r="BW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  <c r="CR263" s="7"/>
      <c r="CS263" s="7"/>
      <c r="CT263" s="7"/>
    </row>
    <row r="264" spans="5:98" x14ac:dyDescent="0.3">
      <c r="E264" s="7"/>
      <c r="F264" s="7"/>
      <c r="H264" s="7"/>
      <c r="I264" s="7"/>
      <c r="J264" s="7"/>
      <c r="K264" s="7"/>
      <c r="M264" s="7"/>
      <c r="N264" s="7"/>
      <c r="P264" s="7"/>
      <c r="Q264" s="7"/>
      <c r="S264" s="7"/>
      <c r="T264" s="7"/>
      <c r="U264" s="7"/>
      <c r="V264" s="7"/>
      <c r="X264" s="7"/>
      <c r="Y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R264" s="7"/>
      <c r="AS264" s="7"/>
      <c r="AT264" s="7"/>
      <c r="AU264" s="7"/>
      <c r="AW264" s="7"/>
      <c r="AX264" s="7"/>
      <c r="AZ264" s="7"/>
      <c r="BA264" s="7"/>
      <c r="BB264" s="7"/>
      <c r="BC264" s="7"/>
      <c r="BD264" s="7"/>
      <c r="BE264" s="7"/>
      <c r="BG264" s="7"/>
      <c r="BH264" s="7"/>
      <c r="BI264" s="7"/>
      <c r="BJ264" s="7"/>
      <c r="BK264" s="7"/>
      <c r="BL264" s="7"/>
      <c r="BM264" s="7"/>
      <c r="BN264" s="7"/>
      <c r="BP264" s="7"/>
      <c r="BQ264" s="7"/>
      <c r="BR264" s="7"/>
      <c r="BS264" s="7"/>
      <c r="BT264" s="7"/>
      <c r="BU264" s="7"/>
      <c r="BV264" s="7"/>
      <c r="BW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  <c r="CR264" s="7"/>
      <c r="CS264" s="7"/>
      <c r="CT264" s="7"/>
    </row>
    <row r="265" spans="5:98" x14ac:dyDescent="0.3">
      <c r="E265" s="7"/>
      <c r="F265" s="7"/>
      <c r="H265" s="7"/>
      <c r="I265" s="7"/>
      <c r="J265" s="7"/>
      <c r="K265" s="7"/>
      <c r="M265" s="7"/>
      <c r="N265" s="7"/>
      <c r="P265" s="7"/>
      <c r="Q265" s="7"/>
      <c r="S265" s="7"/>
      <c r="T265" s="7"/>
      <c r="U265" s="7"/>
      <c r="V265" s="7"/>
      <c r="X265" s="7"/>
      <c r="Y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R265" s="7"/>
      <c r="AS265" s="7"/>
      <c r="AT265" s="7"/>
      <c r="AU265" s="7"/>
      <c r="AW265" s="7"/>
      <c r="AX265" s="7"/>
      <c r="AZ265" s="7"/>
      <c r="BA265" s="7"/>
      <c r="BB265" s="7"/>
      <c r="BC265" s="7"/>
      <c r="BD265" s="7"/>
      <c r="BE265" s="7"/>
      <c r="BG265" s="7"/>
      <c r="BH265" s="7"/>
      <c r="BI265" s="7"/>
      <c r="BJ265" s="7"/>
      <c r="BK265" s="7"/>
      <c r="BL265" s="7"/>
      <c r="BM265" s="7"/>
      <c r="BN265" s="7"/>
      <c r="BP265" s="7"/>
      <c r="BQ265" s="7"/>
      <c r="BR265" s="7"/>
      <c r="BS265" s="7"/>
      <c r="BT265" s="7"/>
      <c r="BU265" s="7"/>
      <c r="BV265" s="7"/>
      <c r="BW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7"/>
      <c r="CQ265" s="7"/>
      <c r="CR265" s="7"/>
      <c r="CS265" s="7"/>
      <c r="CT265" s="7"/>
    </row>
    <row r="266" spans="5:98" x14ac:dyDescent="0.3">
      <c r="E266" s="7"/>
      <c r="F266" s="7"/>
      <c r="H266" s="7"/>
      <c r="I266" s="7"/>
      <c r="J266" s="7"/>
      <c r="K266" s="7"/>
      <c r="M266" s="7"/>
      <c r="N266" s="7"/>
      <c r="P266" s="7"/>
      <c r="Q266" s="7"/>
      <c r="S266" s="7"/>
      <c r="T266" s="7"/>
      <c r="U266" s="7"/>
      <c r="V266" s="7"/>
      <c r="X266" s="7"/>
      <c r="Y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R266" s="7"/>
      <c r="AS266" s="7"/>
      <c r="AT266" s="7"/>
      <c r="AU266" s="7"/>
      <c r="AW266" s="7"/>
      <c r="AX266" s="7"/>
      <c r="AZ266" s="7"/>
      <c r="BA266" s="7"/>
      <c r="BB266" s="7"/>
      <c r="BC266" s="7"/>
      <c r="BD266" s="7"/>
      <c r="BE266" s="7"/>
      <c r="BG266" s="7"/>
      <c r="BH266" s="7"/>
      <c r="BI266" s="7"/>
      <c r="BJ266" s="7"/>
      <c r="BK266" s="7"/>
      <c r="BL266" s="7"/>
      <c r="BM266" s="7"/>
      <c r="BN266" s="7"/>
      <c r="BP266" s="7"/>
      <c r="BQ266" s="7"/>
      <c r="BR266" s="7"/>
      <c r="BS266" s="7"/>
      <c r="BT266" s="7"/>
      <c r="BU266" s="7"/>
      <c r="BV266" s="7"/>
      <c r="BW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  <c r="CP266" s="7"/>
      <c r="CQ266" s="7"/>
      <c r="CR266" s="7"/>
      <c r="CS266" s="7"/>
      <c r="CT266" s="7"/>
    </row>
    <row r="267" spans="5:98" x14ac:dyDescent="0.3">
      <c r="E267" s="7"/>
      <c r="F267" s="7"/>
      <c r="H267" s="7"/>
      <c r="I267" s="7"/>
      <c r="J267" s="7"/>
      <c r="K267" s="7"/>
      <c r="M267" s="7"/>
      <c r="N267" s="7"/>
      <c r="P267" s="7"/>
      <c r="Q267" s="7"/>
      <c r="S267" s="7"/>
      <c r="T267" s="7"/>
      <c r="U267" s="7"/>
      <c r="V267" s="7"/>
      <c r="X267" s="7"/>
      <c r="Y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R267" s="7"/>
      <c r="AS267" s="7"/>
      <c r="AT267" s="7"/>
      <c r="AU267" s="7"/>
      <c r="AW267" s="7"/>
      <c r="AX267" s="7"/>
      <c r="AZ267" s="7"/>
      <c r="BA267" s="7"/>
      <c r="BB267" s="7"/>
      <c r="BC267" s="7"/>
      <c r="BD267" s="7"/>
      <c r="BE267" s="7"/>
      <c r="BG267" s="7"/>
      <c r="BH267" s="7"/>
      <c r="BI267" s="7"/>
      <c r="BJ267" s="7"/>
      <c r="BK267" s="7"/>
      <c r="BL267" s="7"/>
      <c r="BM267" s="7"/>
      <c r="BN267" s="7"/>
      <c r="BP267" s="7"/>
      <c r="BQ267" s="7"/>
      <c r="BR267" s="7"/>
      <c r="BS267" s="7"/>
      <c r="BT267" s="7"/>
      <c r="BU267" s="7"/>
      <c r="BV267" s="7"/>
      <c r="BW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</row>
    <row r="268" spans="5:98" x14ac:dyDescent="0.3">
      <c r="E268" s="7"/>
      <c r="F268" s="7"/>
      <c r="H268" s="7"/>
      <c r="I268" s="7"/>
      <c r="J268" s="7"/>
      <c r="K268" s="7"/>
      <c r="M268" s="7"/>
      <c r="N268" s="7"/>
      <c r="P268" s="7"/>
      <c r="Q268" s="7"/>
      <c r="S268" s="7"/>
      <c r="T268" s="7"/>
      <c r="U268" s="7"/>
      <c r="V268" s="7"/>
      <c r="X268" s="7"/>
      <c r="Y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R268" s="7"/>
      <c r="AS268" s="7"/>
      <c r="AT268" s="7"/>
      <c r="AU268" s="7"/>
      <c r="AW268" s="7"/>
      <c r="AX268" s="7"/>
      <c r="AZ268" s="7"/>
      <c r="BA268" s="7"/>
      <c r="BB268" s="7"/>
      <c r="BC268" s="7"/>
      <c r="BD268" s="7"/>
      <c r="BE268" s="7"/>
      <c r="BG268" s="7"/>
      <c r="BH268" s="7"/>
      <c r="BI268" s="7"/>
      <c r="BJ268" s="7"/>
      <c r="BK268" s="7"/>
      <c r="BL268" s="7"/>
      <c r="BM268" s="7"/>
      <c r="BN268" s="7"/>
      <c r="BP268" s="7"/>
      <c r="BQ268" s="7"/>
      <c r="BR268" s="7"/>
      <c r="BS268" s="7"/>
      <c r="BT268" s="7"/>
      <c r="BU268" s="7"/>
      <c r="BV268" s="7"/>
      <c r="BW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  <c r="CS268" s="7"/>
      <c r="CT268" s="7"/>
    </row>
    <row r="269" spans="5:98" x14ac:dyDescent="0.3">
      <c r="E269" s="7"/>
      <c r="F269" s="7"/>
      <c r="H269" s="7"/>
      <c r="I269" s="7"/>
      <c r="J269" s="7"/>
      <c r="K269" s="7"/>
      <c r="M269" s="7"/>
      <c r="N269" s="7"/>
      <c r="P269" s="7"/>
      <c r="Q269" s="7"/>
      <c r="S269" s="7"/>
      <c r="T269" s="7"/>
      <c r="U269" s="7"/>
      <c r="V269" s="7"/>
      <c r="X269" s="7"/>
      <c r="Y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R269" s="7"/>
      <c r="AS269" s="7"/>
      <c r="AT269" s="7"/>
      <c r="AU269" s="7"/>
      <c r="AW269" s="7"/>
      <c r="AX269" s="7"/>
      <c r="AZ269" s="7"/>
      <c r="BA269" s="7"/>
      <c r="BB269" s="7"/>
      <c r="BC269" s="7"/>
      <c r="BD269" s="7"/>
      <c r="BE269" s="7"/>
      <c r="BG269" s="7"/>
      <c r="BH269" s="7"/>
      <c r="BI269" s="7"/>
      <c r="BJ269" s="7"/>
      <c r="BK269" s="7"/>
      <c r="BL269" s="7"/>
      <c r="BM269" s="7"/>
      <c r="BN269" s="7"/>
      <c r="BP269" s="7"/>
      <c r="BQ269" s="7"/>
      <c r="BR269" s="7"/>
      <c r="BS269" s="7"/>
      <c r="BT269" s="7"/>
      <c r="BU269" s="7"/>
      <c r="BV269" s="7"/>
      <c r="BW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  <c r="CP269" s="7"/>
      <c r="CQ269" s="7"/>
      <c r="CR269" s="7"/>
      <c r="CS269" s="7"/>
      <c r="CT269" s="7"/>
    </row>
    <row r="270" spans="5:98" x14ac:dyDescent="0.3">
      <c r="E270" s="7"/>
      <c r="F270" s="7"/>
      <c r="H270" s="7"/>
      <c r="I270" s="7"/>
      <c r="J270" s="7"/>
      <c r="K270" s="7"/>
      <c r="M270" s="7"/>
      <c r="N270" s="7"/>
      <c r="P270" s="7"/>
      <c r="Q270" s="7"/>
      <c r="S270" s="7"/>
      <c r="T270" s="7"/>
      <c r="U270" s="7"/>
      <c r="V270" s="7"/>
      <c r="X270" s="7"/>
      <c r="Y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R270" s="7"/>
      <c r="AS270" s="7"/>
      <c r="AT270" s="7"/>
      <c r="AU270" s="7"/>
      <c r="AW270" s="7"/>
      <c r="AX270" s="7"/>
      <c r="AZ270" s="7"/>
      <c r="BA270" s="7"/>
      <c r="BB270" s="7"/>
      <c r="BC270" s="7"/>
      <c r="BD270" s="7"/>
      <c r="BE270" s="7"/>
      <c r="BG270" s="7"/>
      <c r="BH270" s="7"/>
      <c r="BI270" s="7"/>
      <c r="BJ270" s="7"/>
      <c r="BK270" s="7"/>
      <c r="BL270" s="7"/>
      <c r="BM270" s="7"/>
      <c r="BN270" s="7"/>
      <c r="BP270" s="7"/>
      <c r="BQ270" s="7"/>
      <c r="BR270" s="7"/>
      <c r="BS270" s="7"/>
      <c r="BT270" s="7"/>
      <c r="BU270" s="7"/>
      <c r="BV270" s="7"/>
      <c r="BW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  <c r="CR270" s="7"/>
      <c r="CS270" s="7"/>
      <c r="CT270" s="7"/>
    </row>
    <row r="271" spans="5:98" x14ac:dyDescent="0.3">
      <c r="E271" s="7"/>
      <c r="F271" s="7"/>
      <c r="H271" s="7"/>
      <c r="I271" s="7"/>
      <c r="J271" s="7"/>
      <c r="K271" s="7"/>
      <c r="M271" s="7"/>
      <c r="N271" s="7"/>
      <c r="P271" s="7"/>
      <c r="Q271" s="7"/>
      <c r="S271" s="7"/>
      <c r="T271" s="7"/>
      <c r="U271" s="7"/>
      <c r="V271" s="7"/>
      <c r="X271" s="7"/>
      <c r="Y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R271" s="7"/>
      <c r="AS271" s="7"/>
      <c r="AT271" s="7"/>
      <c r="AU271" s="7"/>
      <c r="AW271" s="7"/>
      <c r="AX271" s="7"/>
      <c r="AZ271" s="7"/>
      <c r="BA271" s="7"/>
      <c r="BB271" s="7"/>
      <c r="BC271" s="7"/>
      <c r="BD271" s="7"/>
      <c r="BE271" s="7"/>
      <c r="BG271" s="7"/>
      <c r="BH271" s="7"/>
      <c r="BI271" s="7"/>
      <c r="BJ271" s="7"/>
      <c r="BK271" s="7"/>
      <c r="BL271" s="7"/>
      <c r="BM271" s="7"/>
      <c r="BN271" s="7"/>
      <c r="BP271" s="7"/>
      <c r="BQ271" s="7"/>
      <c r="BR271" s="7"/>
      <c r="BS271" s="7"/>
      <c r="BT271" s="7"/>
      <c r="BU271" s="7"/>
      <c r="BV271" s="7"/>
      <c r="BW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  <c r="CR271" s="7"/>
      <c r="CS271" s="7"/>
      <c r="CT271" s="7"/>
    </row>
    <row r="272" spans="5:98" x14ac:dyDescent="0.3">
      <c r="E272" s="7"/>
      <c r="F272" s="7"/>
      <c r="H272" s="7"/>
      <c r="I272" s="7"/>
      <c r="J272" s="7"/>
      <c r="K272" s="7"/>
      <c r="M272" s="7"/>
      <c r="N272" s="7"/>
      <c r="P272" s="7"/>
      <c r="Q272" s="7"/>
      <c r="S272" s="7"/>
      <c r="T272" s="7"/>
      <c r="U272" s="7"/>
      <c r="V272" s="7"/>
      <c r="X272" s="7"/>
      <c r="Y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R272" s="7"/>
      <c r="AS272" s="7"/>
      <c r="AT272" s="7"/>
      <c r="AU272" s="7"/>
      <c r="AW272" s="7"/>
      <c r="AX272" s="7"/>
      <c r="AZ272" s="7"/>
      <c r="BA272" s="7"/>
      <c r="BB272" s="7"/>
      <c r="BC272" s="7"/>
      <c r="BD272" s="7"/>
      <c r="BE272" s="7"/>
      <c r="BG272" s="7"/>
      <c r="BH272" s="7"/>
      <c r="BI272" s="7"/>
      <c r="BJ272" s="7"/>
      <c r="BK272" s="7"/>
      <c r="BL272" s="7"/>
      <c r="BM272" s="7"/>
      <c r="BN272" s="7"/>
      <c r="BP272" s="7"/>
      <c r="BQ272" s="7"/>
      <c r="BR272" s="7"/>
      <c r="BS272" s="7"/>
      <c r="BT272" s="7"/>
      <c r="BU272" s="7"/>
      <c r="BV272" s="7"/>
      <c r="BW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  <c r="CR272" s="7"/>
      <c r="CS272" s="7"/>
      <c r="CT272" s="7"/>
    </row>
    <row r="273" spans="5:98" x14ac:dyDescent="0.3">
      <c r="E273" s="7"/>
      <c r="F273" s="7"/>
      <c r="H273" s="7"/>
      <c r="I273" s="7"/>
      <c r="J273" s="7"/>
      <c r="K273" s="7"/>
      <c r="M273" s="7"/>
      <c r="N273" s="7"/>
      <c r="P273" s="7"/>
      <c r="Q273" s="7"/>
      <c r="S273" s="7"/>
      <c r="T273" s="7"/>
      <c r="U273" s="7"/>
      <c r="V273" s="7"/>
      <c r="X273" s="7"/>
      <c r="Y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R273" s="7"/>
      <c r="AS273" s="7"/>
      <c r="AT273" s="7"/>
      <c r="AU273" s="7"/>
      <c r="AW273" s="7"/>
      <c r="AX273" s="7"/>
      <c r="AZ273" s="7"/>
      <c r="BA273" s="7"/>
      <c r="BB273" s="7"/>
      <c r="BC273" s="7"/>
      <c r="BD273" s="7"/>
      <c r="BE273" s="7"/>
      <c r="BG273" s="7"/>
      <c r="BH273" s="7"/>
      <c r="BI273" s="7"/>
      <c r="BJ273" s="7"/>
      <c r="BK273" s="7"/>
      <c r="BL273" s="7"/>
      <c r="BM273" s="7"/>
      <c r="BN273" s="7"/>
      <c r="BP273" s="7"/>
      <c r="BQ273" s="7"/>
      <c r="BR273" s="7"/>
      <c r="BS273" s="7"/>
      <c r="BT273" s="7"/>
      <c r="BU273" s="7"/>
      <c r="BV273" s="7"/>
      <c r="BW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  <c r="CR273" s="7"/>
      <c r="CS273" s="7"/>
      <c r="CT273" s="7"/>
    </row>
    <row r="274" spans="5:98" x14ac:dyDescent="0.3">
      <c r="E274" s="7"/>
      <c r="F274" s="7"/>
      <c r="H274" s="7"/>
      <c r="I274" s="7"/>
      <c r="J274" s="7"/>
      <c r="K274" s="7"/>
      <c r="M274" s="7"/>
      <c r="N274" s="7"/>
      <c r="P274" s="7"/>
      <c r="Q274" s="7"/>
      <c r="S274" s="7"/>
      <c r="T274" s="7"/>
      <c r="U274" s="7"/>
      <c r="V274" s="7"/>
      <c r="X274" s="7"/>
      <c r="Y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R274" s="7"/>
      <c r="AS274" s="7"/>
      <c r="AT274" s="7"/>
      <c r="AU274" s="7"/>
      <c r="AW274" s="7"/>
      <c r="AX274" s="7"/>
      <c r="AZ274" s="7"/>
      <c r="BA274" s="7"/>
      <c r="BB274" s="7"/>
      <c r="BC274" s="7"/>
      <c r="BD274" s="7"/>
      <c r="BE274" s="7"/>
      <c r="BG274" s="7"/>
      <c r="BH274" s="7"/>
      <c r="BI274" s="7"/>
      <c r="BJ274" s="7"/>
      <c r="BK274" s="7"/>
      <c r="BL274" s="7"/>
      <c r="BM274" s="7"/>
      <c r="BN274" s="7"/>
      <c r="BP274" s="7"/>
      <c r="BQ274" s="7"/>
      <c r="BR274" s="7"/>
      <c r="BS274" s="7"/>
      <c r="BT274" s="7"/>
      <c r="BU274" s="7"/>
      <c r="BV274" s="7"/>
      <c r="BW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</row>
    <row r="275" spans="5:98" x14ac:dyDescent="0.3">
      <c r="E275" s="7"/>
      <c r="F275" s="7"/>
      <c r="H275" s="7"/>
      <c r="I275" s="7"/>
      <c r="J275" s="7"/>
      <c r="K275" s="7"/>
      <c r="M275" s="7"/>
      <c r="N275" s="7"/>
      <c r="P275" s="7"/>
      <c r="Q275" s="7"/>
      <c r="S275" s="7"/>
      <c r="T275" s="7"/>
      <c r="U275" s="7"/>
      <c r="V275" s="7"/>
      <c r="X275" s="7"/>
      <c r="Y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R275" s="7"/>
      <c r="AS275" s="7"/>
      <c r="AT275" s="7"/>
      <c r="AU275" s="7"/>
      <c r="AW275" s="7"/>
      <c r="AX275" s="7"/>
      <c r="AZ275" s="7"/>
      <c r="BA275" s="7"/>
      <c r="BB275" s="7"/>
      <c r="BC275" s="7"/>
      <c r="BD275" s="7"/>
      <c r="BE275" s="7"/>
      <c r="BG275" s="7"/>
      <c r="BH275" s="7"/>
      <c r="BI275" s="7"/>
      <c r="BJ275" s="7"/>
      <c r="BK275" s="7"/>
      <c r="BL275" s="7"/>
      <c r="BM275" s="7"/>
      <c r="BN275" s="7"/>
      <c r="BP275" s="7"/>
      <c r="BQ275" s="7"/>
      <c r="BR275" s="7"/>
      <c r="BS275" s="7"/>
      <c r="BT275" s="7"/>
      <c r="BU275" s="7"/>
      <c r="BV275" s="7"/>
      <c r="BW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  <c r="CR275" s="7"/>
      <c r="CS275" s="7"/>
      <c r="CT275" s="7"/>
    </row>
    <row r="276" spans="5:98" x14ac:dyDescent="0.3">
      <c r="E276" s="7"/>
      <c r="F276" s="7"/>
      <c r="H276" s="7"/>
      <c r="I276" s="7"/>
      <c r="J276" s="7"/>
      <c r="K276" s="7"/>
      <c r="M276" s="7"/>
      <c r="N276" s="7"/>
      <c r="P276" s="7"/>
      <c r="Q276" s="7"/>
      <c r="S276" s="7"/>
      <c r="T276" s="7"/>
      <c r="U276" s="7"/>
      <c r="V276" s="7"/>
      <c r="X276" s="7"/>
      <c r="Y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R276" s="7"/>
      <c r="AS276" s="7"/>
      <c r="AT276" s="7"/>
      <c r="AU276" s="7"/>
      <c r="AW276" s="7"/>
      <c r="AX276" s="7"/>
      <c r="AZ276" s="7"/>
      <c r="BA276" s="7"/>
      <c r="BB276" s="7"/>
      <c r="BC276" s="7"/>
      <c r="BD276" s="7"/>
      <c r="BE276" s="7"/>
      <c r="BG276" s="7"/>
      <c r="BH276" s="7"/>
      <c r="BI276" s="7"/>
      <c r="BJ276" s="7"/>
      <c r="BK276" s="7"/>
      <c r="BL276" s="7"/>
      <c r="BM276" s="7"/>
      <c r="BN276" s="7"/>
      <c r="BP276" s="7"/>
      <c r="BQ276" s="7"/>
      <c r="BR276" s="7"/>
      <c r="BS276" s="7"/>
      <c r="BT276" s="7"/>
      <c r="BU276" s="7"/>
      <c r="BV276" s="7"/>
      <c r="BW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</row>
    <row r="277" spans="5:98" x14ac:dyDescent="0.3">
      <c r="E277" s="7"/>
      <c r="F277" s="7"/>
      <c r="H277" s="7"/>
      <c r="I277" s="7"/>
      <c r="J277" s="7"/>
      <c r="K277" s="7"/>
      <c r="M277" s="7"/>
      <c r="N277" s="7"/>
      <c r="P277" s="7"/>
      <c r="Q277" s="7"/>
      <c r="S277" s="7"/>
      <c r="T277" s="7"/>
      <c r="U277" s="7"/>
      <c r="V277" s="7"/>
      <c r="X277" s="7"/>
      <c r="Y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R277" s="7"/>
      <c r="AS277" s="7"/>
      <c r="AT277" s="7"/>
      <c r="AU277" s="7"/>
      <c r="AW277" s="7"/>
      <c r="AX277" s="7"/>
      <c r="AZ277" s="7"/>
      <c r="BA277" s="7"/>
      <c r="BB277" s="7"/>
      <c r="BC277" s="7"/>
      <c r="BD277" s="7"/>
      <c r="BE277" s="7"/>
      <c r="BG277" s="7"/>
      <c r="BH277" s="7"/>
      <c r="BI277" s="7"/>
      <c r="BJ277" s="7"/>
      <c r="BK277" s="7"/>
      <c r="BL277" s="7"/>
      <c r="BM277" s="7"/>
      <c r="BN277" s="7"/>
      <c r="BP277" s="7"/>
      <c r="BQ277" s="7"/>
      <c r="BR277" s="7"/>
      <c r="BS277" s="7"/>
      <c r="BT277" s="7"/>
      <c r="BU277" s="7"/>
      <c r="BV277" s="7"/>
      <c r="BW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  <c r="CR277" s="7"/>
      <c r="CS277" s="7"/>
      <c r="CT277" s="7"/>
    </row>
    <row r="278" spans="5:98" x14ac:dyDescent="0.3">
      <c r="E278" s="7"/>
      <c r="F278" s="7"/>
      <c r="H278" s="7"/>
      <c r="I278" s="7"/>
      <c r="J278" s="7"/>
      <c r="K278" s="7"/>
      <c r="M278" s="7"/>
      <c r="N278" s="7"/>
      <c r="P278" s="7"/>
      <c r="Q278" s="7"/>
      <c r="S278" s="7"/>
      <c r="T278" s="7"/>
      <c r="U278" s="7"/>
      <c r="V278" s="7"/>
      <c r="X278" s="7"/>
      <c r="Y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R278" s="7"/>
      <c r="AS278" s="7"/>
      <c r="AT278" s="7"/>
      <c r="AU278" s="7"/>
      <c r="AW278" s="7"/>
      <c r="AX278" s="7"/>
      <c r="AZ278" s="7"/>
      <c r="BA278" s="7"/>
      <c r="BB278" s="7"/>
      <c r="BC278" s="7"/>
      <c r="BD278" s="7"/>
      <c r="BE278" s="7"/>
      <c r="BG278" s="7"/>
      <c r="BH278" s="7"/>
      <c r="BI278" s="7"/>
      <c r="BJ278" s="7"/>
      <c r="BK278" s="7"/>
      <c r="BL278" s="7"/>
      <c r="BM278" s="7"/>
      <c r="BN278" s="7"/>
      <c r="BP278" s="7"/>
      <c r="BQ278" s="7"/>
      <c r="BR278" s="7"/>
      <c r="BS278" s="7"/>
      <c r="BT278" s="7"/>
      <c r="BU278" s="7"/>
      <c r="BV278" s="7"/>
      <c r="BW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7"/>
      <c r="CS278" s="7"/>
      <c r="CT278" s="7"/>
    </row>
    <row r="279" spans="5:98" x14ac:dyDescent="0.3">
      <c r="E279" s="7"/>
      <c r="F279" s="7"/>
      <c r="H279" s="7"/>
      <c r="I279" s="7"/>
      <c r="J279" s="7"/>
      <c r="K279" s="7"/>
      <c r="M279" s="7"/>
      <c r="N279" s="7"/>
      <c r="P279" s="7"/>
      <c r="Q279" s="7"/>
      <c r="S279" s="7"/>
      <c r="T279" s="7"/>
      <c r="U279" s="7"/>
      <c r="V279" s="7"/>
      <c r="X279" s="7"/>
      <c r="Y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R279" s="7"/>
      <c r="AS279" s="7"/>
      <c r="AT279" s="7"/>
      <c r="AU279" s="7"/>
      <c r="AW279" s="7"/>
      <c r="AX279" s="7"/>
      <c r="AZ279" s="7"/>
      <c r="BA279" s="7"/>
      <c r="BB279" s="7"/>
      <c r="BC279" s="7"/>
      <c r="BD279" s="7"/>
      <c r="BE279" s="7"/>
      <c r="BG279" s="7"/>
      <c r="BH279" s="7"/>
      <c r="BI279" s="7"/>
      <c r="BJ279" s="7"/>
      <c r="BK279" s="7"/>
      <c r="BL279" s="7"/>
      <c r="BM279" s="7"/>
      <c r="BN279" s="7"/>
      <c r="BP279" s="7"/>
      <c r="BQ279" s="7"/>
      <c r="BR279" s="7"/>
      <c r="BS279" s="7"/>
      <c r="BT279" s="7"/>
      <c r="BU279" s="7"/>
      <c r="BV279" s="7"/>
      <c r="BW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</row>
    <row r="280" spans="5:98" x14ac:dyDescent="0.3">
      <c r="E280" s="7"/>
      <c r="F280" s="7"/>
      <c r="H280" s="7"/>
      <c r="I280" s="7"/>
      <c r="J280" s="7"/>
      <c r="K280" s="7"/>
      <c r="M280" s="7"/>
      <c r="N280" s="7"/>
      <c r="P280" s="7"/>
      <c r="Q280" s="7"/>
      <c r="S280" s="7"/>
      <c r="T280" s="7"/>
      <c r="U280" s="7"/>
      <c r="V280" s="7"/>
      <c r="X280" s="7"/>
      <c r="Y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R280" s="7"/>
      <c r="AS280" s="7"/>
      <c r="AT280" s="7"/>
      <c r="AU280" s="7"/>
      <c r="AW280" s="7"/>
      <c r="AX280" s="7"/>
      <c r="AZ280" s="7"/>
      <c r="BA280" s="7"/>
      <c r="BB280" s="7"/>
      <c r="BC280" s="7"/>
      <c r="BD280" s="7"/>
      <c r="BE280" s="7"/>
      <c r="BG280" s="7"/>
      <c r="BH280" s="7"/>
      <c r="BI280" s="7"/>
      <c r="BJ280" s="7"/>
      <c r="BK280" s="7"/>
      <c r="BL280" s="7"/>
      <c r="BM280" s="7"/>
      <c r="BN280" s="7"/>
      <c r="BP280" s="7"/>
      <c r="BQ280" s="7"/>
      <c r="BR280" s="7"/>
      <c r="BS280" s="7"/>
      <c r="BT280" s="7"/>
      <c r="BU280" s="7"/>
      <c r="BV280" s="7"/>
      <c r="BW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  <c r="CR280" s="7"/>
      <c r="CS280" s="7"/>
      <c r="CT280" s="7"/>
    </row>
    <row r="281" spans="5:98" x14ac:dyDescent="0.3">
      <c r="E281" s="7"/>
      <c r="F281" s="7"/>
      <c r="H281" s="7"/>
      <c r="I281" s="7"/>
      <c r="J281" s="7"/>
      <c r="K281" s="7"/>
      <c r="M281" s="7"/>
      <c r="N281" s="7"/>
      <c r="P281" s="7"/>
      <c r="Q281" s="7"/>
      <c r="S281" s="7"/>
      <c r="T281" s="7"/>
      <c r="U281" s="7"/>
      <c r="V281" s="7"/>
      <c r="X281" s="7"/>
      <c r="Y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R281" s="7"/>
      <c r="AS281" s="7"/>
      <c r="AT281" s="7"/>
      <c r="AU281" s="7"/>
      <c r="AW281" s="7"/>
      <c r="AX281" s="7"/>
      <c r="AZ281" s="7"/>
      <c r="BA281" s="7"/>
      <c r="BB281" s="7"/>
      <c r="BC281" s="7"/>
      <c r="BD281" s="7"/>
      <c r="BE281" s="7"/>
      <c r="BG281" s="7"/>
      <c r="BH281" s="7"/>
      <c r="BI281" s="7"/>
      <c r="BJ281" s="7"/>
      <c r="BK281" s="7"/>
      <c r="BL281" s="7"/>
      <c r="BM281" s="7"/>
      <c r="BN281" s="7"/>
      <c r="BP281" s="7"/>
      <c r="BQ281" s="7"/>
      <c r="BR281" s="7"/>
      <c r="BS281" s="7"/>
      <c r="BT281" s="7"/>
      <c r="BU281" s="7"/>
      <c r="BV281" s="7"/>
      <c r="BW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7"/>
      <c r="CS281" s="7"/>
      <c r="CT281" s="7"/>
    </row>
    <row r="282" spans="5:98" x14ac:dyDescent="0.3">
      <c r="E282" s="7"/>
      <c r="F282" s="7"/>
      <c r="H282" s="7"/>
      <c r="I282" s="7"/>
      <c r="J282" s="7"/>
      <c r="K282" s="7"/>
      <c r="M282" s="7"/>
      <c r="N282" s="7"/>
      <c r="P282" s="7"/>
      <c r="Q282" s="7"/>
      <c r="S282" s="7"/>
      <c r="T282" s="7"/>
      <c r="U282" s="7"/>
      <c r="V282" s="7"/>
      <c r="X282" s="7"/>
      <c r="Y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R282" s="7"/>
      <c r="AS282" s="7"/>
      <c r="AT282" s="7"/>
      <c r="AU282" s="7"/>
      <c r="AW282" s="7"/>
      <c r="AX282" s="7"/>
      <c r="AZ282" s="7"/>
      <c r="BA282" s="7"/>
      <c r="BB282" s="7"/>
      <c r="BC282" s="7"/>
      <c r="BD282" s="7"/>
      <c r="BE282" s="7"/>
      <c r="BG282" s="7"/>
      <c r="BH282" s="7"/>
      <c r="BI282" s="7"/>
      <c r="BJ282" s="7"/>
      <c r="BK282" s="7"/>
      <c r="BL282" s="7"/>
      <c r="BM282" s="7"/>
      <c r="BN282" s="7"/>
      <c r="BP282" s="7"/>
      <c r="BQ282" s="7"/>
      <c r="BR282" s="7"/>
      <c r="BS282" s="7"/>
      <c r="BT282" s="7"/>
      <c r="BU282" s="7"/>
      <c r="BV282" s="7"/>
      <c r="BW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  <c r="CR282" s="7"/>
      <c r="CS282" s="7"/>
      <c r="CT282" s="7"/>
    </row>
    <row r="283" spans="5:98" x14ac:dyDescent="0.3">
      <c r="E283" s="7"/>
      <c r="F283" s="7"/>
      <c r="H283" s="7"/>
      <c r="I283" s="7"/>
      <c r="J283" s="7"/>
      <c r="K283" s="7"/>
      <c r="M283" s="7"/>
      <c r="N283" s="7"/>
      <c r="P283" s="7"/>
      <c r="Q283" s="7"/>
      <c r="S283" s="7"/>
      <c r="T283" s="7"/>
      <c r="U283" s="7"/>
      <c r="V283" s="7"/>
      <c r="X283" s="7"/>
      <c r="Y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R283" s="7"/>
      <c r="AS283" s="7"/>
      <c r="AT283" s="7"/>
      <c r="AU283" s="7"/>
      <c r="AW283" s="7"/>
      <c r="AX283" s="7"/>
      <c r="AZ283" s="7"/>
      <c r="BA283" s="7"/>
      <c r="BB283" s="7"/>
      <c r="BC283" s="7"/>
      <c r="BD283" s="7"/>
      <c r="BE283" s="7"/>
      <c r="BG283" s="7"/>
      <c r="BH283" s="7"/>
      <c r="BI283" s="7"/>
      <c r="BJ283" s="7"/>
      <c r="BK283" s="7"/>
      <c r="BL283" s="7"/>
      <c r="BM283" s="7"/>
      <c r="BN283" s="7"/>
      <c r="BP283" s="7"/>
      <c r="BQ283" s="7"/>
      <c r="BR283" s="7"/>
      <c r="BS283" s="7"/>
      <c r="BT283" s="7"/>
      <c r="BU283" s="7"/>
      <c r="BV283" s="7"/>
      <c r="BW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  <c r="CP283" s="7"/>
      <c r="CQ283" s="7"/>
      <c r="CR283" s="7"/>
      <c r="CS283" s="7"/>
      <c r="CT283" s="7"/>
    </row>
    <row r="284" spans="5:98" x14ac:dyDescent="0.3">
      <c r="E284" s="7"/>
      <c r="F284" s="7"/>
      <c r="H284" s="7"/>
      <c r="I284" s="7"/>
      <c r="J284" s="7"/>
      <c r="K284" s="7"/>
      <c r="M284" s="7"/>
      <c r="N284" s="7"/>
      <c r="P284" s="7"/>
      <c r="Q284" s="7"/>
      <c r="S284" s="7"/>
      <c r="T284" s="7"/>
      <c r="U284" s="7"/>
      <c r="V284" s="7"/>
      <c r="X284" s="7"/>
      <c r="Y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R284" s="7"/>
      <c r="AS284" s="7"/>
      <c r="AT284" s="7"/>
      <c r="AU284" s="7"/>
      <c r="AW284" s="7"/>
      <c r="AX284" s="7"/>
      <c r="AZ284" s="7"/>
      <c r="BA284" s="7"/>
      <c r="BB284" s="7"/>
      <c r="BC284" s="7"/>
      <c r="BD284" s="7"/>
      <c r="BE284" s="7"/>
      <c r="BG284" s="7"/>
      <c r="BH284" s="7"/>
      <c r="BI284" s="7"/>
      <c r="BJ284" s="7"/>
      <c r="BK284" s="7"/>
      <c r="BL284" s="7"/>
      <c r="BM284" s="7"/>
      <c r="BN284" s="7"/>
      <c r="BP284" s="7"/>
      <c r="BQ284" s="7"/>
      <c r="BR284" s="7"/>
      <c r="BS284" s="7"/>
      <c r="BT284" s="7"/>
      <c r="BU284" s="7"/>
      <c r="BV284" s="7"/>
      <c r="BW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  <c r="CP284" s="7"/>
      <c r="CQ284" s="7"/>
      <c r="CR284" s="7"/>
      <c r="CS284" s="7"/>
      <c r="CT284" s="7"/>
    </row>
    <row r="285" spans="5:98" x14ac:dyDescent="0.3">
      <c r="E285" s="7"/>
      <c r="F285" s="7"/>
      <c r="H285" s="7"/>
      <c r="I285" s="7"/>
      <c r="J285" s="7"/>
      <c r="K285" s="7"/>
      <c r="M285" s="7"/>
      <c r="N285" s="7"/>
      <c r="P285" s="7"/>
      <c r="Q285" s="7"/>
      <c r="S285" s="7"/>
      <c r="T285" s="7"/>
      <c r="U285" s="7"/>
      <c r="V285" s="7"/>
      <c r="X285" s="7"/>
      <c r="Y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R285" s="7"/>
      <c r="AS285" s="7"/>
      <c r="AT285" s="7"/>
      <c r="AU285" s="7"/>
      <c r="AW285" s="7"/>
      <c r="AX285" s="7"/>
      <c r="AZ285" s="7"/>
      <c r="BA285" s="7"/>
      <c r="BB285" s="7"/>
      <c r="BC285" s="7"/>
      <c r="BD285" s="7"/>
      <c r="BE285" s="7"/>
      <c r="BG285" s="7"/>
      <c r="BH285" s="7"/>
      <c r="BI285" s="7"/>
      <c r="BJ285" s="7"/>
      <c r="BK285" s="7"/>
      <c r="BL285" s="7"/>
      <c r="BM285" s="7"/>
      <c r="BN285" s="7"/>
      <c r="BP285" s="7"/>
      <c r="BQ285" s="7"/>
      <c r="BR285" s="7"/>
      <c r="BS285" s="7"/>
      <c r="BT285" s="7"/>
      <c r="BU285" s="7"/>
      <c r="BV285" s="7"/>
      <c r="BW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</row>
    <row r="286" spans="5:98" x14ac:dyDescent="0.3">
      <c r="E286" s="7"/>
      <c r="F286" s="7"/>
      <c r="H286" s="7"/>
      <c r="I286" s="7"/>
      <c r="J286" s="7"/>
      <c r="K286" s="7"/>
      <c r="M286" s="7"/>
      <c r="N286" s="7"/>
      <c r="P286" s="7"/>
      <c r="Q286" s="7"/>
      <c r="S286" s="7"/>
      <c r="T286" s="7"/>
      <c r="U286" s="7"/>
      <c r="V286" s="7"/>
      <c r="X286" s="7"/>
      <c r="Y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R286" s="7"/>
      <c r="AS286" s="7"/>
      <c r="AT286" s="7"/>
      <c r="AU286" s="7"/>
      <c r="AW286" s="7"/>
      <c r="AX286" s="7"/>
      <c r="AZ286" s="7"/>
      <c r="BA286" s="7"/>
      <c r="BB286" s="7"/>
      <c r="BC286" s="7"/>
      <c r="BD286" s="7"/>
      <c r="BE286" s="7"/>
      <c r="BG286" s="7"/>
      <c r="BH286" s="7"/>
      <c r="BI286" s="7"/>
      <c r="BJ286" s="7"/>
      <c r="BK286" s="7"/>
      <c r="BL286" s="7"/>
      <c r="BM286" s="7"/>
      <c r="BN286" s="7"/>
      <c r="BP286" s="7"/>
      <c r="BQ286" s="7"/>
      <c r="BR286" s="7"/>
      <c r="BS286" s="7"/>
      <c r="BT286" s="7"/>
      <c r="BU286" s="7"/>
      <c r="BV286" s="7"/>
      <c r="BW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  <c r="CS286" s="7"/>
      <c r="CT286" s="7"/>
    </row>
    <row r="287" spans="5:98" x14ac:dyDescent="0.3">
      <c r="E287" s="7"/>
      <c r="F287" s="7"/>
      <c r="H287" s="7"/>
      <c r="I287" s="7"/>
      <c r="J287" s="7"/>
      <c r="K287" s="7"/>
      <c r="M287" s="7"/>
      <c r="N287" s="7"/>
      <c r="P287" s="7"/>
      <c r="Q287" s="7"/>
      <c r="S287" s="7"/>
      <c r="T287" s="7"/>
      <c r="U287" s="7"/>
      <c r="V287" s="7"/>
      <c r="X287" s="7"/>
      <c r="Y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R287" s="7"/>
      <c r="AS287" s="7"/>
      <c r="AT287" s="7"/>
      <c r="AU287" s="7"/>
      <c r="AW287" s="7"/>
      <c r="AX287" s="7"/>
      <c r="AZ287" s="7"/>
      <c r="BA287" s="7"/>
      <c r="BB287" s="7"/>
      <c r="BC287" s="7"/>
      <c r="BD287" s="7"/>
      <c r="BE287" s="7"/>
      <c r="BG287" s="7"/>
      <c r="BH287" s="7"/>
      <c r="BI287" s="7"/>
      <c r="BJ287" s="7"/>
      <c r="BK287" s="7"/>
      <c r="BL287" s="7"/>
      <c r="BM287" s="7"/>
      <c r="BN287" s="7"/>
      <c r="BP287" s="7"/>
      <c r="BQ287" s="7"/>
      <c r="BR287" s="7"/>
      <c r="BS287" s="7"/>
      <c r="BT287" s="7"/>
      <c r="BU287" s="7"/>
      <c r="BV287" s="7"/>
      <c r="BW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</row>
    <row r="288" spans="5:98" x14ac:dyDescent="0.3">
      <c r="E288" s="7"/>
      <c r="F288" s="7"/>
      <c r="H288" s="7"/>
      <c r="I288" s="7"/>
      <c r="J288" s="7"/>
      <c r="K288" s="7"/>
      <c r="M288" s="7"/>
      <c r="N288" s="7"/>
      <c r="P288" s="7"/>
      <c r="Q288" s="7"/>
      <c r="S288" s="7"/>
      <c r="T288" s="7"/>
      <c r="U288" s="7"/>
      <c r="V288" s="7"/>
      <c r="X288" s="7"/>
      <c r="Y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R288" s="7"/>
      <c r="AS288" s="7"/>
      <c r="AT288" s="7"/>
      <c r="AU288" s="7"/>
      <c r="AW288" s="7"/>
      <c r="AX288" s="7"/>
      <c r="AZ288" s="7"/>
      <c r="BA288" s="7"/>
      <c r="BB288" s="7"/>
      <c r="BC288" s="7"/>
      <c r="BD288" s="7"/>
      <c r="BE288" s="7"/>
      <c r="BG288" s="7"/>
      <c r="BH288" s="7"/>
      <c r="BI288" s="7"/>
      <c r="BJ288" s="7"/>
      <c r="BK288" s="7"/>
      <c r="BL288" s="7"/>
      <c r="BM288" s="7"/>
      <c r="BN288" s="7"/>
      <c r="BP288" s="7"/>
      <c r="BQ288" s="7"/>
      <c r="BR288" s="7"/>
      <c r="BS288" s="7"/>
      <c r="BT288" s="7"/>
      <c r="BU288" s="7"/>
      <c r="BV288" s="7"/>
      <c r="BW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</row>
    <row r="289" spans="5:98" x14ac:dyDescent="0.3">
      <c r="E289" s="7"/>
      <c r="F289" s="7"/>
      <c r="H289" s="7"/>
      <c r="I289" s="7"/>
      <c r="J289" s="7"/>
      <c r="K289" s="7"/>
      <c r="M289" s="7"/>
      <c r="N289" s="7"/>
      <c r="P289" s="7"/>
      <c r="Q289" s="7"/>
      <c r="S289" s="7"/>
      <c r="T289" s="7"/>
      <c r="U289" s="7"/>
      <c r="V289" s="7"/>
      <c r="X289" s="7"/>
      <c r="Y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R289" s="7"/>
      <c r="AS289" s="7"/>
      <c r="AT289" s="7"/>
      <c r="AU289" s="7"/>
      <c r="AW289" s="7"/>
      <c r="AX289" s="7"/>
      <c r="AZ289" s="7"/>
      <c r="BA289" s="7"/>
      <c r="BB289" s="7"/>
      <c r="BC289" s="7"/>
      <c r="BD289" s="7"/>
      <c r="BE289" s="7"/>
      <c r="BG289" s="7"/>
      <c r="BH289" s="7"/>
      <c r="BI289" s="7"/>
      <c r="BJ289" s="7"/>
      <c r="BK289" s="7"/>
      <c r="BL289" s="7"/>
      <c r="BM289" s="7"/>
      <c r="BN289" s="7"/>
      <c r="BP289" s="7"/>
      <c r="BQ289" s="7"/>
      <c r="BR289" s="7"/>
      <c r="BS289" s="7"/>
      <c r="BT289" s="7"/>
      <c r="BU289" s="7"/>
      <c r="BV289" s="7"/>
      <c r="BW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</row>
    <row r="290" spans="5:98" x14ac:dyDescent="0.3">
      <c r="E290" s="7"/>
      <c r="F290" s="7"/>
      <c r="H290" s="7"/>
      <c r="I290" s="7"/>
      <c r="J290" s="7"/>
      <c r="K290" s="7"/>
      <c r="M290" s="7"/>
      <c r="N290" s="7"/>
      <c r="P290" s="7"/>
      <c r="Q290" s="7"/>
      <c r="S290" s="7"/>
      <c r="T290" s="7"/>
      <c r="U290" s="7"/>
      <c r="V290" s="7"/>
      <c r="X290" s="7"/>
      <c r="Y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R290" s="7"/>
      <c r="AS290" s="7"/>
      <c r="AT290" s="7"/>
      <c r="AU290" s="7"/>
      <c r="AW290" s="7"/>
      <c r="AX290" s="7"/>
      <c r="AZ290" s="7"/>
      <c r="BA290" s="7"/>
      <c r="BB290" s="7"/>
      <c r="BC290" s="7"/>
      <c r="BD290" s="7"/>
      <c r="BE290" s="7"/>
      <c r="BG290" s="7"/>
      <c r="BH290" s="7"/>
      <c r="BI290" s="7"/>
      <c r="BJ290" s="7"/>
      <c r="BK290" s="7"/>
      <c r="BL290" s="7"/>
      <c r="BM290" s="7"/>
      <c r="BN290" s="7"/>
      <c r="BP290" s="7"/>
      <c r="BQ290" s="7"/>
      <c r="BR290" s="7"/>
      <c r="BS290" s="7"/>
      <c r="BT290" s="7"/>
      <c r="BU290" s="7"/>
      <c r="BV290" s="7"/>
      <c r="BW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</row>
    <row r="291" spans="5:98" x14ac:dyDescent="0.3">
      <c r="E291" s="7"/>
      <c r="F291" s="7"/>
      <c r="H291" s="7"/>
      <c r="I291" s="7"/>
      <c r="J291" s="7"/>
      <c r="K291" s="7"/>
      <c r="M291" s="7"/>
      <c r="N291" s="7"/>
      <c r="P291" s="7"/>
      <c r="Q291" s="7"/>
      <c r="S291" s="7"/>
      <c r="T291" s="7"/>
      <c r="U291" s="7"/>
      <c r="V291" s="7"/>
      <c r="X291" s="7"/>
      <c r="Y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R291" s="7"/>
      <c r="AS291" s="7"/>
      <c r="AT291" s="7"/>
      <c r="AU291" s="7"/>
      <c r="AW291" s="7"/>
      <c r="AX291" s="7"/>
      <c r="AZ291" s="7"/>
      <c r="BA291" s="7"/>
      <c r="BB291" s="7"/>
      <c r="BC291" s="7"/>
      <c r="BD291" s="7"/>
      <c r="BE291" s="7"/>
      <c r="BG291" s="7"/>
      <c r="BH291" s="7"/>
      <c r="BI291" s="7"/>
      <c r="BJ291" s="7"/>
      <c r="BK291" s="7"/>
      <c r="BL291" s="7"/>
      <c r="BM291" s="7"/>
      <c r="BN291" s="7"/>
      <c r="BP291" s="7"/>
      <c r="BQ291" s="7"/>
      <c r="BR291" s="7"/>
      <c r="BS291" s="7"/>
      <c r="BT291" s="7"/>
      <c r="BU291" s="7"/>
      <c r="BV291" s="7"/>
      <c r="BW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</row>
    <row r="292" spans="5:98" x14ac:dyDescent="0.3">
      <c r="E292" s="7"/>
      <c r="F292" s="7"/>
      <c r="H292" s="7"/>
      <c r="I292" s="7"/>
      <c r="J292" s="7"/>
      <c r="K292" s="7"/>
      <c r="M292" s="7"/>
      <c r="N292" s="7"/>
      <c r="P292" s="7"/>
      <c r="Q292" s="7"/>
      <c r="S292" s="7"/>
      <c r="T292" s="7"/>
      <c r="U292" s="7"/>
      <c r="V292" s="7"/>
      <c r="X292" s="7"/>
      <c r="Y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R292" s="7"/>
      <c r="AS292" s="7"/>
      <c r="AT292" s="7"/>
      <c r="AU292" s="7"/>
      <c r="AW292" s="7"/>
      <c r="AX292" s="7"/>
      <c r="AZ292" s="7"/>
      <c r="BA292" s="7"/>
      <c r="BB292" s="7"/>
      <c r="BC292" s="7"/>
      <c r="BD292" s="7"/>
      <c r="BE292" s="7"/>
      <c r="BG292" s="7"/>
      <c r="BH292" s="7"/>
      <c r="BI292" s="7"/>
      <c r="BJ292" s="7"/>
      <c r="BK292" s="7"/>
      <c r="BL292" s="7"/>
      <c r="BM292" s="7"/>
      <c r="BN292" s="7"/>
      <c r="BP292" s="7"/>
      <c r="BQ292" s="7"/>
      <c r="BR292" s="7"/>
      <c r="BS292" s="7"/>
      <c r="BT292" s="7"/>
      <c r="BU292" s="7"/>
      <c r="BV292" s="7"/>
      <c r="BW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</row>
    <row r="293" spans="5:98" x14ac:dyDescent="0.3">
      <c r="E293" s="7"/>
      <c r="F293" s="7"/>
      <c r="H293" s="7"/>
      <c r="I293" s="7"/>
      <c r="J293" s="7"/>
      <c r="K293" s="7"/>
      <c r="M293" s="7"/>
      <c r="N293" s="7"/>
      <c r="P293" s="7"/>
      <c r="Q293" s="7"/>
      <c r="S293" s="7"/>
      <c r="T293" s="7"/>
      <c r="U293" s="7"/>
      <c r="V293" s="7"/>
      <c r="X293" s="7"/>
      <c r="Y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R293" s="7"/>
      <c r="AS293" s="7"/>
      <c r="AT293" s="7"/>
      <c r="AU293" s="7"/>
      <c r="AW293" s="7"/>
      <c r="AX293" s="7"/>
      <c r="AZ293" s="7"/>
      <c r="BA293" s="7"/>
      <c r="BB293" s="7"/>
      <c r="BC293" s="7"/>
      <c r="BD293" s="7"/>
      <c r="BE293" s="7"/>
      <c r="BG293" s="7"/>
      <c r="BH293" s="7"/>
      <c r="BI293" s="7"/>
      <c r="BJ293" s="7"/>
      <c r="BK293" s="7"/>
      <c r="BL293" s="7"/>
      <c r="BM293" s="7"/>
      <c r="BN293" s="7"/>
      <c r="BP293" s="7"/>
      <c r="BQ293" s="7"/>
      <c r="BR293" s="7"/>
      <c r="BS293" s="7"/>
      <c r="BT293" s="7"/>
      <c r="BU293" s="7"/>
      <c r="BV293" s="7"/>
      <c r="BW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7"/>
      <c r="CL293" s="7"/>
      <c r="CM293" s="7"/>
      <c r="CN293" s="7"/>
      <c r="CO293" s="7"/>
      <c r="CP293" s="7"/>
      <c r="CQ293" s="7"/>
      <c r="CR293" s="7"/>
      <c r="CS293" s="7"/>
      <c r="CT293" s="7"/>
    </row>
    <row r="294" spans="5:98" x14ac:dyDescent="0.3">
      <c r="E294" s="7"/>
      <c r="F294" s="7"/>
      <c r="H294" s="7"/>
      <c r="I294" s="7"/>
      <c r="J294" s="7"/>
      <c r="K294" s="7"/>
      <c r="M294" s="7"/>
      <c r="N294" s="7"/>
      <c r="P294" s="7"/>
      <c r="Q294" s="7"/>
      <c r="S294" s="7"/>
      <c r="T294" s="7"/>
      <c r="U294" s="7"/>
      <c r="V294" s="7"/>
      <c r="X294" s="7"/>
      <c r="Y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R294" s="7"/>
      <c r="AS294" s="7"/>
      <c r="AT294" s="7"/>
      <c r="AU294" s="7"/>
      <c r="AW294" s="7"/>
      <c r="AX294" s="7"/>
      <c r="AZ294" s="7"/>
      <c r="BA294" s="7"/>
      <c r="BB294" s="7"/>
      <c r="BC294" s="7"/>
      <c r="BD294" s="7"/>
      <c r="BE294" s="7"/>
      <c r="BG294" s="7"/>
      <c r="BH294" s="7"/>
      <c r="BI294" s="7"/>
      <c r="BJ294" s="7"/>
      <c r="BK294" s="7"/>
      <c r="BL294" s="7"/>
      <c r="BM294" s="7"/>
      <c r="BN294" s="7"/>
      <c r="BP294" s="7"/>
      <c r="BQ294" s="7"/>
      <c r="BR294" s="7"/>
      <c r="BS294" s="7"/>
      <c r="BT294" s="7"/>
      <c r="BU294" s="7"/>
      <c r="BV294" s="7"/>
      <c r="BW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  <c r="CR294" s="7"/>
      <c r="CS294" s="7"/>
      <c r="CT294" s="7"/>
    </row>
    <row r="295" spans="5:98" x14ac:dyDescent="0.3">
      <c r="E295" s="7"/>
      <c r="F295" s="7"/>
      <c r="H295" s="7"/>
      <c r="I295" s="7"/>
      <c r="J295" s="7"/>
      <c r="K295" s="7"/>
      <c r="M295" s="7"/>
      <c r="N295" s="7"/>
      <c r="P295" s="7"/>
      <c r="Q295" s="7"/>
      <c r="S295" s="7"/>
      <c r="T295" s="7"/>
      <c r="U295" s="7"/>
      <c r="V295" s="7"/>
      <c r="X295" s="7"/>
      <c r="Y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R295" s="7"/>
      <c r="AS295" s="7"/>
      <c r="AT295" s="7"/>
      <c r="AU295" s="7"/>
      <c r="AW295" s="7"/>
      <c r="AX295" s="7"/>
      <c r="AZ295" s="7"/>
      <c r="BA295" s="7"/>
      <c r="BB295" s="7"/>
      <c r="BC295" s="7"/>
      <c r="BD295" s="7"/>
      <c r="BE295" s="7"/>
      <c r="BG295" s="7"/>
      <c r="BH295" s="7"/>
      <c r="BI295" s="7"/>
      <c r="BJ295" s="7"/>
      <c r="BK295" s="7"/>
      <c r="BL295" s="7"/>
      <c r="BM295" s="7"/>
      <c r="BN295" s="7"/>
      <c r="BP295" s="7"/>
      <c r="BQ295" s="7"/>
      <c r="BR295" s="7"/>
      <c r="BS295" s="7"/>
      <c r="BT295" s="7"/>
      <c r="BU295" s="7"/>
      <c r="BV295" s="7"/>
      <c r="BW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  <c r="CR295" s="7"/>
      <c r="CS295" s="7"/>
      <c r="CT295" s="7"/>
    </row>
    <row r="296" spans="5:98" x14ac:dyDescent="0.3">
      <c r="E296" s="7"/>
      <c r="F296" s="7"/>
      <c r="H296" s="7"/>
      <c r="I296" s="7"/>
      <c r="J296" s="7"/>
      <c r="K296" s="7"/>
      <c r="M296" s="7"/>
      <c r="N296" s="7"/>
      <c r="P296" s="7"/>
      <c r="Q296" s="7"/>
      <c r="S296" s="7"/>
      <c r="T296" s="7"/>
      <c r="U296" s="7"/>
      <c r="V296" s="7"/>
      <c r="X296" s="7"/>
      <c r="Y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R296" s="7"/>
      <c r="AS296" s="7"/>
      <c r="AT296" s="7"/>
      <c r="AU296" s="7"/>
      <c r="AW296" s="7"/>
      <c r="AX296" s="7"/>
      <c r="AZ296" s="7"/>
      <c r="BA296" s="7"/>
      <c r="BB296" s="7"/>
      <c r="BC296" s="7"/>
      <c r="BD296" s="7"/>
      <c r="BE296" s="7"/>
      <c r="BG296" s="7"/>
      <c r="BH296" s="7"/>
      <c r="BI296" s="7"/>
      <c r="BJ296" s="7"/>
      <c r="BK296" s="7"/>
      <c r="BL296" s="7"/>
      <c r="BM296" s="7"/>
      <c r="BN296" s="7"/>
      <c r="BP296" s="7"/>
      <c r="BQ296" s="7"/>
      <c r="BR296" s="7"/>
      <c r="BS296" s="7"/>
      <c r="BT296" s="7"/>
      <c r="BU296" s="7"/>
      <c r="BV296" s="7"/>
      <c r="BW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/>
      <c r="CR296" s="7"/>
      <c r="CS296" s="7"/>
      <c r="CT296" s="7"/>
    </row>
    <row r="297" spans="5:98" x14ac:dyDescent="0.3">
      <c r="E297" s="7"/>
      <c r="F297" s="7"/>
      <c r="H297" s="7"/>
      <c r="I297" s="7"/>
      <c r="J297" s="7"/>
      <c r="K297" s="7"/>
      <c r="M297" s="7"/>
      <c r="N297" s="7"/>
      <c r="P297" s="7"/>
      <c r="Q297" s="7"/>
      <c r="S297" s="7"/>
      <c r="T297" s="7"/>
      <c r="U297" s="7"/>
      <c r="V297" s="7"/>
      <c r="X297" s="7"/>
      <c r="Y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R297" s="7"/>
      <c r="AS297" s="7"/>
      <c r="AT297" s="7"/>
      <c r="AU297" s="7"/>
      <c r="AW297" s="7"/>
      <c r="AX297" s="7"/>
      <c r="AZ297" s="7"/>
      <c r="BA297" s="7"/>
      <c r="BB297" s="7"/>
      <c r="BC297" s="7"/>
      <c r="BD297" s="7"/>
      <c r="BE297" s="7"/>
      <c r="BG297" s="7"/>
      <c r="BH297" s="7"/>
      <c r="BI297" s="7"/>
      <c r="BJ297" s="7"/>
      <c r="BK297" s="7"/>
      <c r="BL297" s="7"/>
      <c r="BM297" s="7"/>
      <c r="BN297" s="7"/>
      <c r="BP297" s="7"/>
      <c r="BQ297" s="7"/>
      <c r="BR297" s="7"/>
      <c r="BS297" s="7"/>
      <c r="BT297" s="7"/>
      <c r="BU297" s="7"/>
      <c r="BV297" s="7"/>
      <c r="BW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</row>
    <row r="298" spans="5:98" x14ac:dyDescent="0.3">
      <c r="E298" s="7"/>
      <c r="F298" s="7"/>
      <c r="H298" s="7"/>
      <c r="I298" s="7"/>
      <c r="J298" s="7"/>
      <c r="K298" s="7"/>
      <c r="M298" s="7"/>
      <c r="N298" s="7"/>
      <c r="P298" s="7"/>
      <c r="Q298" s="7"/>
      <c r="S298" s="7"/>
      <c r="T298" s="7"/>
      <c r="U298" s="7"/>
      <c r="V298" s="7"/>
      <c r="X298" s="7"/>
      <c r="Y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R298" s="7"/>
      <c r="AS298" s="7"/>
      <c r="AT298" s="7"/>
      <c r="AU298" s="7"/>
      <c r="AW298" s="7"/>
      <c r="AX298" s="7"/>
      <c r="AZ298" s="7"/>
      <c r="BA298" s="7"/>
      <c r="BB298" s="7"/>
      <c r="BC298" s="7"/>
      <c r="BD298" s="7"/>
      <c r="BE298" s="7"/>
      <c r="BG298" s="7"/>
      <c r="BH298" s="7"/>
      <c r="BI298" s="7"/>
      <c r="BJ298" s="7"/>
      <c r="BK298" s="7"/>
      <c r="BL298" s="7"/>
      <c r="BM298" s="7"/>
      <c r="BN298" s="7"/>
      <c r="BP298" s="7"/>
      <c r="BQ298" s="7"/>
      <c r="BR298" s="7"/>
      <c r="BS298" s="7"/>
      <c r="BT298" s="7"/>
      <c r="BU298" s="7"/>
      <c r="BV298" s="7"/>
      <c r="BW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</row>
    <row r="299" spans="5:98" x14ac:dyDescent="0.3">
      <c r="E299" s="7"/>
      <c r="F299" s="7"/>
      <c r="H299" s="7"/>
      <c r="I299" s="7"/>
      <c r="J299" s="7"/>
      <c r="K299" s="7"/>
      <c r="M299" s="7"/>
      <c r="N299" s="7"/>
      <c r="P299" s="7"/>
      <c r="Q299" s="7"/>
      <c r="S299" s="7"/>
      <c r="T299" s="7"/>
      <c r="U299" s="7"/>
      <c r="V299" s="7"/>
      <c r="X299" s="7"/>
      <c r="Y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R299" s="7"/>
      <c r="AS299" s="7"/>
      <c r="AT299" s="7"/>
      <c r="AU299" s="7"/>
      <c r="AW299" s="7"/>
      <c r="AX299" s="7"/>
      <c r="AZ299" s="7"/>
      <c r="BA299" s="7"/>
      <c r="BB299" s="7"/>
      <c r="BC299" s="7"/>
      <c r="BD299" s="7"/>
      <c r="BE299" s="7"/>
      <c r="BG299" s="7"/>
      <c r="BH299" s="7"/>
      <c r="BI299" s="7"/>
      <c r="BJ299" s="7"/>
      <c r="BK299" s="7"/>
      <c r="BL299" s="7"/>
      <c r="BM299" s="7"/>
      <c r="BN299" s="7"/>
      <c r="BP299" s="7"/>
      <c r="BQ299" s="7"/>
      <c r="BR299" s="7"/>
      <c r="BS299" s="7"/>
      <c r="BT299" s="7"/>
      <c r="BU299" s="7"/>
      <c r="BV299" s="7"/>
      <c r="BW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</row>
    <row r="300" spans="5:98" x14ac:dyDescent="0.3">
      <c r="E300" s="7"/>
      <c r="F300" s="7"/>
      <c r="H300" s="7"/>
      <c r="I300" s="7"/>
      <c r="J300" s="7"/>
      <c r="K300" s="7"/>
      <c r="M300" s="7"/>
      <c r="N300" s="7"/>
      <c r="P300" s="7"/>
      <c r="Q300" s="7"/>
      <c r="S300" s="7"/>
      <c r="T300" s="7"/>
      <c r="U300" s="7"/>
      <c r="V300" s="7"/>
      <c r="X300" s="7"/>
      <c r="Y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R300" s="7"/>
      <c r="AS300" s="7"/>
      <c r="AT300" s="7"/>
      <c r="AU300" s="7"/>
      <c r="AW300" s="7"/>
      <c r="AX300" s="7"/>
      <c r="AZ300" s="7"/>
      <c r="BA300" s="7"/>
      <c r="BB300" s="7"/>
      <c r="BC300" s="7"/>
      <c r="BD300" s="7"/>
      <c r="BE300" s="7"/>
      <c r="BG300" s="7"/>
      <c r="BH300" s="7"/>
      <c r="BI300" s="7"/>
      <c r="BJ300" s="7"/>
      <c r="BK300" s="7"/>
      <c r="BL300" s="7"/>
      <c r="BM300" s="7"/>
      <c r="BN300" s="7"/>
      <c r="BP300" s="7"/>
      <c r="BQ300" s="7"/>
      <c r="BR300" s="7"/>
      <c r="BS300" s="7"/>
      <c r="BT300" s="7"/>
      <c r="BU300" s="7"/>
      <c r="BV300" s="7"/>
      <c r="BW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</row>
    <row r="301" spans="5:98" x14ac:dyDescent="0.3">
      <c r="E301" s="7"/>
      <c r="F301" s="7"/>
      <c r="H301" s="7"/>
      <c r="I301" s="7"/>
      <c r="J301" s="7"/>
      <c r="K301" s="7"/>
      <c r="M301" s="7"/>
      <c r="N301" s="7"/>
      <c r="P301" s="7"/>
      <c r="Q301" s="7"/>
      <c r="S301" s="7"/>
      <c r="T301" s="7"/>
      <c r="U301" s="7"/>
      <c r="V301" s="7"/>
      <c r="X301" s="7"/>
      <c r="Y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R301" s="7"/>
      <c r="AS301" s="7"/>
      <c r="AT301" s="7"/>
      <c r="AU301" s="7"/>
      <c r="AW301" s="7"/>
      <c r="AX301" s="7"/>
      <c r="AZ301" s="7"/>
      <c r="BA301" s="7"/>
      <c r="BB301" s="7"/>
      <c r="BC301" s="7"/>
      <c r="BD301" s="7"/>
      <c r="BE301" s="7"/>
      <c r="BG301" s="7"/>
      <c r="BH301" s="7"/>
      <c r="BI301" s="7"/>
      <c r="BJ301" s="7"/>
      <c r="BK301" s="7"/>
      <c r="BL301" s="7"/>
      <c r="BM301" s="7"/>
      <c r="BN301" s="7"/>
      <c r="BP301" s="7"/>
      <c r="BQ301" s="7"/>
      <c r="BR301" s="7"/>
      <c r="BS301" s="7"/>
      <c r="BT301" s="7"/>
      <c r="BU301" s="7"/>
      <c r="BV301" s="7"/>
      <c r="BW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</row>
    <row r="302" spans="5:98" x14ac:dyDescent="0.3">
      <c r="E302" s="7"/>
      <c r="F302" s="7"/>
      <c r="H302" s="7"/>
      <c r="I302" s="7"/>
      <c r="J302" s="7"/>
      <c r="K302" s="7"/>
      <c r="M302" s="7"/>
      <c r="N302" s="7"/>
      <c r="P302" s="7"/>
      <c r="Q302" s="7"/>
      <c r="S302" s="7"/>
      <c r="T302" s="7"/>
      <c r="U302" s="7"/>
      <c r="V302" s="7"/>
      <c r="X302" s="7"/>
      <c r="Y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R302" s="7"/>
      <c r="AS302" s="7"/>
      <c r="AT302" s="7"/>
      <c r="AU302" s="7"/>
      <c r="AW302" s="7"/>
      <c r="AX302" s="7"/>
      <c r="AZ302" s="7"/>
      <c r="BA302" s="7"/>
      <c r="BB302" s="7"/>
      <c r="BC302" s="7"/>
      <c r="BD302" s="7"/>
      <c r="BE302" s="7"/>
      <c r="BG302" s="7"/>
      <c r="BH302" s="7"/>
      <c r="BI302" s="7"/>
      <c r="BJ302" s="7"/>
      <c r="BK302" s="7"/>
      <c r="BL302" s="7"/>
      <c r="BM302" s="7"/>
      <c r="BN302" s="7"/>
      <c r="BP302" s="7"/>
      <c r="BQ302" s="7"/>
      <c r="BR302" s="7"/>
      <c r="BS302" s="7"/>
      <c r="BT302" s="7"/>
      <c r="BU302" s="7"/>
      <c r="BV302" s="7"/>
      <c r="BW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</row>
    <row r="303" spans="5:98" x14ac:dyDescent="0.3">
      <c r="E303" s="7"/>
      <c r="F303" s="7"/>
      <c r="H303" s="7"/>
      <c r="I303" s="7"/>
      <c r="J303" s="7"/>
      <c r="K303" s="7"/>
      <c r="M303" s="7"/>
      <c r="N303" s="7"/>
      <c r="P303" s="7"/>
      <c r="Q303" s="7"/>
      <c r="S303" s="7"/>
      <c r="T303" s="7"/>
      <c r="U303" s="7"/>
      <c r="V303" s="7"/>
      <c r="X303" s="7"/>
      <c r="Y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R303" s="7"/>
      <c r="AS303" s="7"/>
      <c r="AT303" s="7"/>
      <c r="AU303" s="7"/>
      <c r="AW303" s="7"/>
      <c r="AX303" s="7"/>
      <c r="AZ303" s="7"/>
      <c r="BA303" s="7"/>
      <c r="BB303" s="7"/>
      <c r="BC303" s="7"/>
      <c r="BD303" s="7"/>
      <c r="BE303" s="7"/>
      <c r="BG303" s="7"/>
      <c r="BH303" s="7"/>
      <c r="BI303" s="7"/>
      <c r="BJ303" s="7"/>
      <c r="BK303" s="7"/>
      <c r="BL303" s="7"/>
      <c r="BM303" s="7"/>
      <c r="BN303" s="7"/>
      <c r="BP303" s="7"/>
      <c r="BQ303" s="7"/>
      <c r="BR303" s="7"/>
      <c r="BS303" s="7"/>
      <c r="BT303" s="7"/>
      <c r="BU303" s="7"/>
      <c r="BV303" s="7"/>
      <c r="BW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</row>
    <row r="304" spans="5:98" x14ac:dyDescent="0.3">
      <c r="E304" s="7"/>
      <c r="F304" s="7"/>
      <c r="H304" s="7"/>
      <c r="I304" s="7"/>
      <c r="J304" s="7"/>
      <c r="K304" s="7"/>
      <c r="M304" s="7"/>
      <c r="N304" s="7"/>
      <c r="P304" s="7"/>
      <c r="Q304" s="7"/>
      <c r="S304" s="7"/>
      <c r="T304" s="7"/>
      <c r="U304" s="7"/>
      <c r="V304" s="7"/>
      <c r="X304" s="7"/>
      <c r="Y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R304" s="7"/>
      <c r="AS304" s="7"/>
      <c r="AT304" s="7"/>
      <c r="AU304" s="7"/>
      <c r="AW304" s="7"/>
      <c r="AX304" s="7"/>
      <c r="AZ304" s="7"/>
      <c r="BA304" s="7"/>
      <c r="BB304" s="7"/>
      <c r="BC304" s="7"/>
      <c r="BD304" s="7"/>
      <c r="BE304" s="7"/>
      <c r="BG304" s="7"/>
      <c r="BH304" s="7"/>
      <c r="BI304" s="7"/>
      <c r="BJ304" s="7"/>
      <c r="BK304" s="7"/>
      <c r="BL304" s="7"/>
      <c r="BM304" s="7"/>
      <c r="BN304" s="7"/>
      <c r="BP304" s="7"/>
      <c r="BQ304" s="7"/>
      <c r="BR304" s="7"/>
      <c r="BS304" s="7"/>
      <c r="BT304" s="7"/>
      <c r="BU304" s="7"/>
      <c r="BV304" s="7"/>
      <c r="BW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</row>
    <row r="305" spans="5:98" x14ac:dyDescent="0.3">
      <c r="E305" s="7"/>
      <c r="F305" s="7"/>
      <c r="H305" s="7"/>
      <c r="I305" s="7"/>
      <c r="J305" s="7"/>
      <c r="K305" s="7"/>
      <c r="M305" s="7"/>
      <c r="N305" s="7"/>
      <c r="P305" s="7"/>
      <c r="Q305" s="7"/>
      <c r="S305" s="7"/>
      <c r="T305" s="7"/>
      <c r="U305" s="7"/>
      <c r="V305" s="7"/>
      <c r="X305" s="7"/>
      <c r="Y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R305" s="7"/>
      <c r="AS305" s="7"/>
      <c r="AT305" s="7"/>
      <c r="AU305" s="7"/>
      <c r="AW305" s="7"/>
      <c r="AX305" s="7"/>
      <c r="AZ305" s="7"/>
      <c r="BA305" s="7"/>
      <c r="BB305" s="7"/>
      <c r="BC305" s="7"/>
      <c r="BD305" s="7"/>
      <c r="BE305" s="7"/>
      <c r="BG305" s="7"/>
      <c r="BH305" s="7"/>
      <c r="BI305" s="7"/>
      <c r="BJ305" s="7"/>
      <c r="BK305" s="7"/>
      <c r="BL305" s="7"/>
      <c r="BM305" s="7"/>
      <c r="BN305" s="7"/>
      <c r="BP305" s="7"/>
      <c r="BQ305" s="7"/>
      <c r="BR305" s="7"/>
      <c r="BS305" s="7"/>
      <c r="BT305" s="7"/>
      <c r="BU305" s="7"/>
      <c r="BV305" s="7"/>
      <c r="BW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</row>
    <row r="306" spans="5:98" x14ac:dyDescent="0.3">
      <c r="E306" s="7"/>
      <c r="F306" s="7"/>
      <c r="H306" s="7"/>
      <c r="I306" s="7"/>
      <c r="J306" s="7"/>
      <c r="K306" s="7"/>
      <c r="M306" s="7"/>
      <c r="N306" s="7"/>
      <c r="P306" s="7"/>
      <c r="Q306" s="7"/>
      <c r="S306" s="7"/>
      <c r="T306" s="7"/>
      <c r="U306" s="7"/>
      <c r="V306" s="7"/>
      <c r="X306" s="7"/>
      <c r="Y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R306" s="7"/>
      <c r="AS306" s="7"/>
      <c r="AT306" s="7"/>
      <c r="AU306" s="7"/>
      <c r="AW306" s="7"/>
      <c r="AX306" s="7"/>
      <c r="AZ306" s="7"/>
      <c r="BA306" s="7"/>
      <c r="BB306" s="7"/>
      <c r="BC306" s="7"/>
      <c r="BD306" s="7"/>
      <c r="BE306" s="7"/>
      <c r="BG306" s="7"/>
      <c r="BH306" s="7"/>
      <c r="BI306" s="7"/>
      <c r="BJ306" s="7"/>
      <c r="BK306" s="7"/>
      <c r="BL306" s="7"/>
      <c r="BM306" s="7"/>
      <c r="BN306" s="7"/>
      <c r="BP306" s="7"/>
      <c r="BQ306" s="7"/>
      <c r="BR306" s="7"/>
      <c r="BS306" s="7"/>
      <c r="BT306" s="7"/>
      <c r="BU306" s="7"/>
      <c r="BV306" s="7"/>
      <c r="BW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</row>
    <row r="307" spans="5:98" x14ac:dyDescent="0.3">
      <c r="E307" s="7"/>
      <c r="F307" s="7"/>
      <c r="H307" s="7"/>
      <c r="I307" s="7"/>
      <c r="J307" s="7"/>
      <c r="K307" s="7"/>
      <c r="M307" s="7"/>
      <c r="N307" s="7"/>
      <c r="P307" s="7"/>
      <c r="Q307" s="7"/>
      <c r="S307" s="7"/>
      <c r="T307" s="7"/>
      <c r="U307" s="7"/>
      <c r="V307" s="7"/>
      <c r="X307" s="7"/>
      <c r="Y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R307" s="7"/>
      <c r="AS307" s="7"/>
      <c r="AT307" s="7"/>
      <c r="AU307" s="7"/>
      <c r="AW307" s="7"/>
      <c r="AX307" s="7"/>
      <c r="AZ307" s="7"/>
      <c r="BA307" s="7"/>
      <c r="BB307" s="7"/>
      <c r="BC307" s="7"/>
      <c r="BD307" s="7"/>
      <c r="BE307" s="7"/>
      <c r="BG307" s="7"/>
      <c r="BH307" s="7"/>
      <c r="BI307" s="7"/>
      <c r="BJ307" s="7"/>
      <c r="BK307" s="7"/>
      <c r="BL307" s="7"/>
      <c r="BM307" s="7"/>
      <c r="BN307" s="7"/>
      <c r="BP307" s="7"/>
      <c r="BQ307" s="7"/>
      <c r="BR307" s="7"/>
      <c r="BS307" s="7"/>
      <c r="BT307" s="7"/>
      <c r="BU307" s="7"/>
      <c r="BV307" s="7"/>
      <c r="BW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</row>
    <row r="308" spans="5:98" x14ac:dyDescent="0.3">
      <c r="E308" s="7"/>
      <c r="F308" s="7"/>
      <c r="H308" s="7"/>
      <c r="I308" s="7"/>
      <c r="J308" s="7"/>
      <c r="K308" s="7"/>
      <c r="M308" s="7"/>
      <c r="N308" s="7"/>
      <c r="P308" s="7"/>
      <c r="Q308" s="7"/>
      <c r="S308" s="7"/>
      <c r="T308" s="7"/>
      <c r="U308" s="7"/>
      <c r="V308" s="7"/>
      <c r="X308" s="7"/>
      <c r="Y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R308" s="7"/>
      <c r="AS308" s="7"/>
      <c r="AT308" s="7"/>
      <c r="AU308" s="7"/>
      <c r="AW308" s="7"/>
      <c r="AX308" s="7"/>
      <c r="AZ308" s="7"/>
      <c r="BA308" s="7"/>
      <c r="BB308" s="7"/>
      <c r="BC308" s="7"/>
      <c r="BD308" s="7"/>
      <c r="BE308" s="7"/>
      <c r="BG308" s="7"/>
      <c r="BH308" s="7"/>
      <c r="BI308" s="7"/>
      <c r="BJ308" s="7"/>
      <c r="BK308" s="7"/>
      <c r="BL308" s="7"/>
      <c r="BM308" s="7"/>
      <c r="BN308" s="7"/>
      <c r="BP308" s="7"/>
      <c r="BQ308" s="7"/>
      <c r="BR308" s="7"/>
      <c r="BS308" s="7"/>
      <c r="BT308" s="7"/>
      <c r="BU308" s="7"/>
      <c r="BV308" s="7"/>
      <c r="BW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</row>
    <row r="309" spans="5:98" x14ac:dyDescent="0.3">
      <c r="E309" s="7"/>
      <c r="F309" s="7"/>
      <c r="H309" s="7"/>
      <c r="I309" s="7"/>
      <c r="J309" s="7"/>
      <c r="K309" s="7"/>
      <c r="M309" s="7"/>
      <c r="N309" s="7"/>
      <c r="P309" s="7"/>
      <c r="Q309" s="7"/>
      <c r="S309" s="7"/>
      <c r="T309" s="7"/>
      <c r="U309" s="7"/>
      <c r="V309" s="7"/>
      <c r="X309" s="7"/>
      <c r="Y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R309" s="7"/>
      <c r="AS309" s="7"/>
      <c r="AT309" s="7"/>
      <c r="AU309" s="7"/>
      <c r="AW309" s="7"/>
      <c r="AX309" s="7"/>
      <c r="AZ309" s="7"/>
      <c r="BA309" s="7"/>
      <c r="BB309" s="7"/>
      <c r="BC309" s="7"/>
      <c r="BD309" s="7"/>
      <c r="BE309" s="7"/>
      <c r="BG309" s="7"/>
      <c r="BH309" s="7"/>
      <c r="BI309" s="7"/>
      <c r="BJ309" s="7"/>
      <c r="BK309" s="7"/>
      <c r="BL309" s="7"/>
      <c r="BM309" s="7"/>
      <c r="BN309" s="7"/>
      <c r="BP309" s="7"/>
      <c r="BQ309" s="7"/>
      <c r="BR309" s="7"/>
      <c r="BS309" s="7"/>
      <c r="BT309" s="7"/>
      <c r="BU309" s="7"/>
      <c r="BV309" s="7"/>
      <c r="BW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</row>
    <row r="310" spans="5:98" x14ac:dyDescent="0.3">
      <c r="E310" s="7"/>
      <c r="F310" s="7"/>
      <c r="H310" s="7"/>
      <c r="I310" s="7"/>
      <c r="J310" s="7"/>
      <c r="K310" s="7"/>
      <c r="M310" s="7"/>
      <c r="N310" s="7"/>
      <c r="P310" s="7"/>
      <c r="Q310" s="7"/>
      <c r="S310" s="7"/>
      <c r="T310" s="7"/>
      <c r="U310" s="7"/>
      <c r="V310" s="7"/>
      <c r="X310" s="7"/>
      <c r="Y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R310" s="7"/>
      <c r="AS310" s="7"/>
      <c r="AT310" s="7"/>
      <c r="AU310" s="7"/>
      <c r="AW310" s="7"/>
      <c r="AX310" s="7"/>
      <c r="AZ310" s="7"/>
      <c r="BA310" s="7"/>
      <c r="BB310" s="7"/>
      <c r="BC310" s="7"/>
      <c r="BD310" s="7"/>
      <c r="BE310" s="7"/>
      <c r="BG310" s="7"/>
      <c r="BH310" s="7"/>
      <c r="BI310" s="7"/>
      <c r="BJ310" s="7"/>
      <c r="BK310" s="7"/>
      <c r="BL310" s="7"/>
      <c r="BM310" s="7"/>
      <c r="BN310" s="7"/>
      <c r="BP310" s="7"/>
      <c r="BQ310" s="7"/>
      <c r="BR310" s="7"/>
      <c r="BS310" s="7"/>
      <c r="BT310" s="7"/>
      <c r="BU310" s="7"/>
      <c r="BV310" s="7"/>
      <c r="BW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</row>
    <row r="311" spans="5:98" x14ac:dyDescent="0.3">
      <c r="E311" s="7"/>
      <c r="F311" s="7"/>
      <c r="H311" s="7"/>
      <c r="I311" s="7"/>
      <c r="J311" s="7"/>
      <c r="K311" s="7"/>
      <c r="M311" s="7"/>
      <c r="N311" s="7"/>
      <c r="P311" s="7"/>
      <c r="Q311" s="7"/>
      <c r="S311" s="7"/>
      <c r="T311" s="7"/>
      <c r="U311" s="7"/>
      <c r="V311" s="7"/>
      <c r="X311" s="7"/>
      <c r="Y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R311" s="7"/>
      <c r="AS311" s="7"/>
      <c r="AT311" s="7"/>
      <c r="AU311" s="7"/>
      <c r="AW311" s="7"/>
      <c r="AX311" s="7"/>
      <c r="AZ311" s="7"/>
      <c r="BA311" s="7"/>
      <c r="BB311" s="7"/>
      <c r="BC311" s="7"/>
      <c r="BD311" s="7"/>
      <c r="BE311" s="7"/>
      <c r="BG311" s="7"/>
      <c r="BH311" s="7"/>
      <c r="BI311" s="7"/>
      <c r="BJ311" s="7"/>
      <c r="BK311" s="7"/>
      <c r="BL311" s="7"/>
      <c r="BM311" s="7"/>
      <c r="BN311" s="7"/>
      <c r="BP311" s="7"/>
      <c r="BQ311" s="7"/>
      <c r="BR311" s="7"/>
      <c r="BS311" s="7"/>
      <c r="BT311" s="7"/>
      <c r="BU311" s="7"/>
      <c r="BV311" s="7"/>
      <c r="BW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</row>
    <row r="312" spans="5:98" x14ac:dyDescent="0.3">
      <c r="E312" s="7"/>
      <c r="F312" s="7"/>
      <c r="H312" s="7"/>
      <c r="I312" s="7"/>
      <c r="J312" s="7"/>
      <c r="K312" s="7"/>
      <c r="M312" s="7"/>
      <c r="N312" s="7"/>
      <c r="P312" s="7"/>
      <c r="Q312" s="7"/>
      <c r="S312" s="7"/>
      <c r="T312" s="7"/>
      <c r="U312" s="7"/>
      <c r="V312" s="7"/>
      <c r="X312" s="7"/>
      <c r="Y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R312" s="7"/>
      <c r="AS312" s="7"/>
      <c r="AT312" s="7"/>
      <c r="AU312" s="7"/>
      <c r="AW312" s="7"/>
      <c r="AX312" s="7"/>
      <c r="AZ312" s="7"/>
      <c r="BA312" s="7"/>
      <c r="BB312" s="7"/>
      <c r="BC312" s="7"/>
      <c r="BD312" s="7"/>
      <c r="BE312" s="7"/>
      <c r="BG312" s="7"/>
      <c r="BH312" s="7"/>
      <c r="BI312" s="7"/>
      <c r="BJ312" s="7"/>
      <c r="BK312" s="7"/>
      <c r="BL312" s="7"/>
      <c r="BM312" s="7"/>
      <c r="BN312" s="7"/>
      <c r="BP312" s="7"/>
      <c r="BQ312" s="7"/>
      <c r="BR312" s="7"/>
      <c r="BS312" s="7"/>
      <c r="BT312" s="7"/>
      <c r="BU312" s="7"/>
      <c r="BV312" s="7"/>
      <c r="BW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</row>
    <row r="313" spans="5:98" x14ac:dyDescent="0.3">
      <c r="E313" s="7"/>
      <c r="F313" s="7"/>
      <c r="H313" s="7"/>
      <c r="I313" s="7"/>
      <c r="J313" s="7"/>
      <c r="K313" s="7"/>
      <c r="M313" s="7"/>
      <c r="N313" s="7"/>
      <c r="P313" s="7"/>
      <c r="Q313" s="7"/>
      <c r="S313" s="7"/>
      <c r="T313" s="7"/>
      <c r="U313" s="7"/>
      <c r="V313" s="7"/>
      <c r="X313" s="7"/>
      <c r="Y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R313" s="7"/>
      <c r="AS313" s="7"/>
      <c r="AT313" s="7"/>
      <c r="AU313" s="7"/>
      <c r="AW313" s="7"/>
      <c r="AX313" s="7"/>
      <c r="AZ313" s="7"/>
      <c r="BA313" s="7"/>
      <c r="BB313" s="7"/>
      <c r="BC313" s="7"/>
      <c r="BD313" s="7"/>
      <c r="BE313" s="7"/>
      <c r="BG313" s="7"/>
      <c r="BH313" s="7"/>
      <c r="BI313" s="7"/>
      <c r="BJ313" s="7"/>
      <c r="BK313" s="7"/>
      <c r="BL313" s="7"/>
      <c r="BM313" s="7"/>
      <c r="BN313" s="7"/>
      <c r="BP313" s="7"/>
      <c r="BQ313" s="7"/>
      <c r="BR313" s="7"/>
      <c r="BS313" s="7"/>
      <c r="BT313" s="7"/>
      <c r="BU313" s="7"/>
      <c r="BV313" s="7"/>
      <c r="BW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</row>
    <row r="314" spans="5:98" x14ac:dyDescent="0.3">
      <c r="E314" s="7"/>
      <c r="F314" s="7"/>
      <c r="H314" s="7"/>
      <c r="I314" s="7"/>
      <c r="J314" s="7"/>
      <c r="K314" s="7"/>
      <c r="M314" s="7"/>
      <c r="N314" s="7"/>
      <c r="P314" s="7"/>
      <c r="Q314" s="7"/>
      <c r="S314" s="7"/>
      <c r="T314" s="7"/>
      <c r="U314" s="7"/>
      <c r="V314" s="7"/>
      <c r="X314" s="7"/>
      <c r="Y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R314" s="7"/>
      <c r="AS314" s="7"/>
      <c r="AT314" s="7"/>
      <c r="AU314" s="7"/>
      <c r="AW314" s="7"/>
      <c r="AX314" s="7"/>
      <c r="AZ314" s="7"/>
      <c r="BA314" s="7"/>
      <c r="BB314" s="7"/>
      <c r="BC314" s="7"/>
      <c r="BD314" s="7"/>
      <c r="BE314" s="7"/>
      <c r="BG314" s="7"/>
      <c r="BH314" s="7"/>
      <c r="BI314" s="7"/>
      <c r="BJ314" s="7"/>
      <c r="BK314" s="7"/>
      <c r="BL314" s="7"/>
      <c r="BM314" s="7"/>
      <c r="BN314" s="7"/>
      <c r="BP314" s="7"/>
      <c r="BQ314" s="7"/>
      <c r="BR314" s="7"/>
      <c r="BS314" s="7"/>
      <c r="BT314" s="7"/>
      <c r="BU314" s="7"/>
      <c r="BV314" s="7"/>
      <c r="BW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</row>
    <row r="315" spans="5:98" x14ac:dyDescent="0.3">
      <c r="E315" s="7"/>
      <c r="F315" s="7"/>
      <c r="H315" s="7"/>
      <c r="I315" s="7"/>
      <c r="J315" s="7"/>
      <c r="K315" s="7"/>
      <c r="M315" s="7"/>
      <c r="N315" s="7"/>
      <c r="P315" s="7"/>
      <c r="Q315" s="7"/>
      <c r="S315" s="7"/>
      <c r="T315" s="7"/>
      <c r="U315" s="7"/>
      <c r="V315" s="7"/>
      <c r="X315" s="7"/>
      <c r="Y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R315" s="7"/>
      <c r="AS315" s="7"/>
      <c r="AT315" s="7"/>
      <c r="AU315" s="7"/>
      <c r="AW315" s="7"/>
      <c r="AX315" s="7"/>
      <c r="AZ315" s="7"/>
      <c r="BA315" s="7"/>
      <c r="BB315" s="7"/>
      <c r="BC315" s="7"/>
      <c r="BD315" s="7"/>
      <c r="BE315" s="7"/>
      <c r="BG315" s="7"/>
      <c r="BH315" s="7"/>
      <c r="BI315" s="7"/>
      <c r="BJ315" s="7"/>
      <c r="BK315" s="7"/>
      <c r="BL315" s="7"/>
      <c r="BM315" s="7"/>
      <c r="BN315" s="7"/>
      <c r="BP315" s="7"/>
      <c r="BQ315" s="7"/>
      <c r="BR315" s="7"/>
      <c r="BS315" s="7"/>
      <c r="BT315" s="7"/>
      <c r="BU315" s="7"/>
      <c r="BV315" s="7"/>
      <c r="BW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</row>
    <row r="316" spans="5:98" x14ac:dyDescent="0.3">
      <c r="E316" s="7"/>
      <c r="F316" s="7"/>
      <c r="H316" s="7"/>
      <c r="I316" s="7"/>
      <c r="J316" s="7"/>
      <c r="K316" s="7"/>
      <c r="M316" s="7"/>
      <c r="N316" s="7"/>
      <c r="P316" s="7"/>
      <c r="Q316" s="7"/>
      <c r="S316" s="7"/>
      <c r="T316" s="7"/>
      <c r="U316" s="7"/>
      <c r="V316" s="7"/>
      <c r="X316" s="7"/>
      <c r="Y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R316" s="7"/>
      <c r="AS316" s="7"/>
      <c r="AT316" s="7"/>
      <c r="AU316" s="7"/>
      <c r="AW316" s="7"/>
      <c r="AX316" s="7"/>
      <c r="AZ316" s="7"/>
      <c r="BA316" s="7"/>
      <c r="BB316" s="7"/>
      <c r="BC316" s="7"/>
      <c r="BD316" s="7"/>
      <c r="BE316" s="7"/>
      <c r="BG316" s="7"/>
      <c r="BH316" s="7"/>
      <c r="BI316" s="7"/>
      <c r="BJ316" s="7"/>
      <c r="BK316" s="7"/>
      <c r="BL316" s="7"/>
      <c r="BM316" s="7"/>
      <c r="BN316" s="7"/>
      <c r="BP316" s="7"/>
      <c r="BQ316" s="7"/>
      <c r="BR316" s="7"/>
      <c r="BS316" s="7"/>
      <c r="BT316" s="7"/>
      <c r="BU316" s="7"/>
      <c r="BV316" s="7"/>
      <c r="BW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</row>
    <row r="317" spans="5:98" x14ac:dyDescent="0.3">
      <c r="E317" s="7"/>
      <c r="F317" s="7"/>
      <c r="H317" s="7"/>
      <c r="I317" s="7"/>
      <c r="J317" s="7"/>
      <c r="K317" s="7"/>
      <c r="M317" s="7"/>
      <c r="N317" s="7"/>
      <c r="P317" s="7"/>
      <c r="Q317" s="7"/>
      <c r="S317" s="7"/>
      <c r="T317" s="7"/>
      <c r="U317" s="7"/>
      <c r="V317" s="7"/>
      <c r="X317" s="7"/>
      <c r="Y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R317" s="7"/>
      <c r="AS317" s="7"/>
      <c r="AT317" s="7"/>
      <c r="AU317" s="7"/>
      <c r="AW317" s="7"/>
      <c r="AX317" s="7"/>
      <c r="AZ317" s="7"/>
      <c r="BA317" s="7"/>
      <c r="BB317" s="7"/>
      <c r="BC317" s="7"/>
      <c r="BD317" s="7"/>
      <c r="BE317" s="7"/>
      <c r="BG317" s="7"/>
      <c r="BH317" s="7"/>
      <c r="BI317" s="7"/>
      <c r="BJ317" s="7"/>
      <c r="BK317" s="7"/>
      <c r="BL317" s="7"/>
      <c r="BM317" s="7"/>
      <c r="BN317" s="7"/>
      <c r="BP317" s="7"/>
      <c r="BQ317" s="7"/>
      <c r="BR317" s="7"/>
      <c r="BS317" s="7"/>
      <c r="BT317" s="7"/>
      <c r="BU317" s="7"/>
      <c r="BV317" s="7"/>
      <c r="BW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</row>
    <row r="318" spans="5:98" x14ac:dyDescent="0.3">
      <c r="E318" s="7"/>
      <c r="F318" s="7"/>
      <c r="H318" s="7"/>
      <c r="I318" s="7"/>
      <c r="J318" s="7"/>
      <c r="K318" s="7"/>
      <c r="M318" s="7"/>
      <c r="N318" s="7"/>
      <c r="P318" s="7"/>
      <c r="Q318" s="7"/>
      <c r="S318" s="7"/>
      <c r="T318" s="7"/>
      <c r="U318" s="7"/>
      <c r="V318" s="7"/>
      <c r="X318" s="7"/>
      <c r="Y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R318" s="7"/>
      <c r="AS318" s="7"/>
      <c r="AT318" s="7"/>
      <c r="AU318" s="7"/>
      <c r="AW318" s="7"/>
      <c r="AX318" s="7"/>
      <c r="AZ318" s="7"/>
      <c r="BA318" s="7"/>
      <c r="BB318" s="7"/>
      <c r="BC318" s="7"/>
      <c r="BD318" s="7"/>
      <c r="BE318" s="7"/>
      <c r="BG318" s="7"/>
      <c r="BH318" s="7"/>
      <c r="BI318" s="7"/>
      <c r="BJ318" s="7"/>
      <c r="BK318" s="7"/>
      <c r="BL318" s="7"/>
      <c r="BM318" s="7"/>
      <c r="BN318" s="7"/>
      <c r="BP318" s="7"/>
      <c r="BQ318" s="7"/>
      <c r="BR318" s="7"/>
      <c r="BS318" s="7"/>
      <c r="BT318" s="7"/>
      <c r="BU318" s="7"/>
      <c r="BV318" s="7"/>
      <c r="BW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</row>
    <row r="319" spans="5:98" x14ac:dyDescent="0.3">
      <c r="E319" s="7"/>
      <c r="F319" s="7"/>
      <c r="H319" s="7"/>
      <c r="I319" s="7"/>
      <c r="J319" s="7"/>
      <c r="K319" s="7"/>
      <c r="M319" s="7"/>
      <c r="N319" s="7"/>
      <c r="P319" s="7"/>
      <c r="Q319" s="7"/>
      <c r="S319" s="7"/>
      <c r="T319" s="7"/>
      <c r="U319" s="7"/>
      <c r="V319" s="7"/>
      <c r="X319" s="7"/>
      <c r="Y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R319" s="7"/>
      <c r="AS319" s="7"/>
      <c r="AT319" s="7"/>
      <c r="AU319" s="7"/>
      <c r="AW319" s="7"/>
      <c r="AX319" s="7"/>
      <c r="AZ319" s="7"/>
      <c r="BA319" s="7"/>
      <c r="BB319" s="7"/>
      <c r="BC319" s="7"/>
      <c r="BD319" s="7"/>
      <c r="BE319" s="7"/>
      <c r="BG319" s="7"/>
      <c r="BH319" s="7"/>
      <c r="BI319" s="7"/>
      <c r="BJ319" s="7"/>
      <c r="BK319" s="7"/>
      <c r="BL319" s="7"/>
      <c r="BM319" s="7"/>
      <c r="BN319" s="7"/>
      <c r="BP319" s="7"/>
      <c r="BQ319" s="7"/>
      <c r="BR319" s="7"/>
      <c r="BS319" s="7"/>
      <c r="BT319" s="7"/>
      <c r="BU319" s="7"/>
      <c r="BV319" s="7"/>
      <c r="BW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</row>
    <row r="320" spans="5:98" x14ac:dyDescent="0.3">
      <c r="E320" s="7"/>
      <c r="F320" s="7"/>
      <c r="H320" s="7"/>
      <c r="I320" s="7"/>
      <c r="J320" s="7"/>
      <c r="K320" s="7"/>
      <c r="M320" s="7"/>
      <c r="N320" s="7"/>
      <c r="P320" s="7"/>
      <c r="Q320" s="7"/>
      <c r="S320" s="7"/>
      <c r="T320" s="7"/>
      <c r="U320" s="7"/>
      <c r="V320" s="7"/>
      <c r="X320" s="7"/>
      <c r="Y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R320" s="7"/>
      <c r="AS320" s="7"/>
      <c r="AT320" s="7"/>
      <c r="AU320" s="7"/>
      <c r="AW320" s="7"/>
      <c r="AX320" s="7"/>
      <c r="AZ320" s="7"/>
      <c r="BA320" s="7"/>
      <c r="BB320" s="7"/>
      <c r="BC320" s="7"/>
      <c r="BD320" s="7"/>
      <c r="BE320" s="7"/>
      <c r="BG320" s="7"/>
      <c r="BH320" s="7"/>
      <c r="BI320" s="7"/>
      <c r="BJ320" s="7"/>
      <c r="BK320" s="7"/>
      <c r="BL320" s="7"/>
      <c r="BM320" s="7"/>
      <c r="BN320" s="7"/>
      <c r="BP320" s="7"/>
      <c r="BQ320" s="7"/>
      <c r="BR320" s="7"/>
      <c r="BS320" s="7"/>
      <c r="BT320" s="7"/>
      <c r="BU320" s="7"/>
      <c r="BV320" s="7"/>
      <c r="BW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</row>
    <row r="321" spans="5:98" x14ac:dyDescent="0.3">
      <c r="E321" s="7"/>
      <c r="F321" s="7"/>
      <c r="H321" s="7"/>
      <c r="I321" s="7"/>
      <c r="J321" s="7"/>
      <c r="K321" s="7"/>
      <c r="M321" s="7"/>
      <c r="N321" s="7"/>
      <c r="P321" s="7"/>
      <c r="Q321" s="7"/>
      <c r="S321" s="7"/>
      <c r="T321" s="7"/>
      <c r="U321" s="7"/>
      <c r="V321" s="7"/>
      <c r="X321" s="7"/>
      <c r="Y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R321" s="7"/>
      <c r="AS321" s="7"/>
      <c r="AT321" s="7"/>
      <c r="AU321" s="7"/>
      <c r="AW321" s="7"/>
      <c r="AX321" s="7"/>
      <c r="AZ321" s="7"/>
      <c r="BA321" s="7"/>
      <c r="BB321" s="7"/>
      <c r="BC321" s="7"/>
      <c r="BD321" s="7"/>
      <c r="BE321" s="7"/>
      <c r="BG321" s="7"/>
      <c r="BH321" s="7"/>
      <c r="BI321" s="7"/>
      <c r="BJ321" s="7"/>
      <c r="BK321" s="7"/>
      <c r="BL321" s="7"/>
      <c r="BM321" s="7"/>
      <c r="BN321" s="7"/>
      <c r="BP321" s="7"/>
      <c r="BQ321" s="7"/>
      <c r="BR321" s="7"/>
      <c r="BS321" s="7"/>
      <c r="BT321" s="7"/>
      <c r="BU321" s="7"/>
      <c r="BV321" s="7"/>
      <c r="BW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</row>
    <row r="322" spans="5:98" x14ac:dyDescent="0.3">
      <c r="E322" s="7"/>
      <c r="F322" s="7"/>
      <c r="H322" s="7"/>
      <c r="I322" s="7"/>
      <c r="J322" s="7"/>
      <c r="K322" s="7"/>
      <c r="M322" s="7"/>
      <c r="N322" s="7"/>
      <c r="P322" s="7"/>
      <c r="Q322" s="7"/>
      <c r="S322" s="7"/>
      <c r="T322" s="7"/>
      <c r="U322" s="7"/>
      <c r="V322" s="7"/>
      <c r="X322" s="7"/>
      <c r="Y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R322" s="7"/>
      <c r="AS322" s="7"/>
      <c r="AT322" s="7"/>
      <c r="AU322" s="7"/>
      <c r="AW322" s="7"/>
      <c r="AX322" s="7"/>
      <c r="AZ322" s="7"/>
      <c r="BA322" s="7"/>
      <c r="BB322" s="7"/>
      <c r="BC322" s="7"/>
      <c r="BD322" s="7"/>
      <c r="BE322" s="7"/>
      <c r="BG322" s="7"/>
      <c r="BH322" s="7"/>
      <c r="BI322" s="7"/>
      <c r="BJ322" s="7"/>
      <c r="BK322" s="7"/>
      <c r="BL322" s="7"/>
      <c r="BM322" s="7"/>
      <c r="BN322" s="7"/>
      <c r="BP322" s="7"/>
      <c r="BQ322" s="7"/>
      <c r="BR322" s="7"/>
      <c r="BS322" s="7"/>
      <c r="BT322" s="7"/>
      <c r="BU322" s="7"/>
      <c r="BV322" s="7"/>
      <c r="BW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</row>
    <row r="323" spans="5:98" x14ac:dyDescent="0.3">
      <c r="E323" s="7"/>
      <c r="F323" s="7"/>
      <c r="H323" s="7"/>
      <c r="I323" s="7"/>
      <c r="J323" s="7"/>
      <c r="K323" s="7"/>
      <c r="M323" s="7"/>
      <c r="N323" s="7"/>
      <c r="P323" s="7"/>
      <c r="Q323" s="7"/>
      <c r="S323" s="7"/>
      <c r="T323" s="7"/>
      <c r="U323" s="7"/>
      <c r="V323" s="7"/>
      <c r="X323" s="7"/>
      <c r="Y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R323" s="7"/>
      <c r="AS323" s="7"/>
      <c r="AT323" s="7"/>
      <c r="AU323" s="7"/>
      <c r="AW323" s="7"/>
      <c r="AX323" s="7"/>
      <c r="AZ323" s="7"/>
      <c r="BA323" s="7"/>
      <c r="BB323" s="7"/>
      <c r="BC323" s="7"/>
      <c r="BD323" s="7"/>
      <c r="BE323" s="7"/>
      <c r="BG323" s="7"/>
      <c r="BH323" s="7"/>
      <c r="BI323" s="7"/>
      <c r="BJ323" s="7"/>
      <c r="BK323" s="7"/>
      <c r="BL323" s="7"/>
      <c r="BM323" s="7"/>
      <c r="BN323" s="7"/>
      <c r="BP323" s="7"/>
      <c r="BQ323" s="7"/>
      <c r="BR323" s="7"/>
      <c r="BS323" s="7"/>
      <c r="BT323" s="7"/>
      <c r="BU323" s="7"/>
      <c r="BV323" s="7"/>
      <c r="BW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</row>
    <row r="324" spans="5:98" x14ac:dyDescent="0.3">
      <c r="E324" s="7"/>
      <c r="F324" s="7"/>
      <c r="H324" s="7"/>
      <c r="I324" s="7"/>
      <c r="J324" s="7"/>
      <c r="K324" s="7"/>
      <c r="M324" s="7"/>
      <c r="N324" s="7"/>
      <c r="P324" s="7"/>
      <c r="Q324" s="7"/>
      <c r="S324" s="7"/>
      <c r="T324" s="7"/>
      <c r="U324" s="7"/>
      <c r="V324" s="7"/>
      <c r="X324" s="7"/>
      <c r="Y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R324" s="7"/>
      <c r="AS324" s="7"/>
      <c r="AT324" s="7"/>
      <c r="AU324" s="7"/>
      <c r="AW324" s="7"/>
      <c r="AX324" s="7"/>
      <c r="AZ324" s="7"/>
      <c r="BA324" s="7"/>
      <c r="BB324" s="7"/>
      <c r="BC324" s="7"/>
      <c r="BD324" s="7"/>
      <c r="BE324" s="7"/>
      <c r="BG324" s="7"/>
      <c r="BH324" s="7"/>
      <c r="BI324" s="7"/>
      <c r="BJ324" s="7"/>
      <c r="BK324" s="7"/>
      <c r="BL324" s="7"/>
      <c r="BM324" s="7"/>
      <c r="BN324" s="7"/>
      <c r="BP324" s="7"/>
      <c r="BQ324" s="7"/>
      <c r="BR324" s="7"/>
      <c r="BS324" s="7"/>
      <c r="BT324" s="7"/>
      <c r="BU324" s="7"/>
      <c r="BV324" s="7"/>
      <c r="BW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</row>
    <row r="325" spans="5:98" x14ac:dyDescent="0.3">
      <c r="E325" s="7"/>
      <c r="F325" s="7"/>
      <c r="H325" s="7"/>
      <c r="I325" s="7"/>
      <c r="J325" s="7"/>
      <c r="K325" s="7"/>
      <c r="M325" s="7"/>
      <c r="N325" s="7"/>
      <c r="P325" s="7"/>
      <c r="Q325" s="7"/>
      <c r="S325" s="7"/>
      <c r="T325" s="7"/>
      <c r="U325" s="7"/>
      <c r="V325" s="7"/>
      <c r="X325" s="7"/>
      <c r="Y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R325" s="7"/>
      <c r="AS325" s="7"/>
      <c r="AT325" s="7"/>
      <c r="AU325" s="7"/>
      <c r="AW325" s="7"/>
      <c r="AX325" s="7"/>
      <c r="AZ325" s="7"/>
      <c r="BA325" s="7"/>
      <c r="BB325" s="7"/>
      <c r="BC325" s="7"/>
      <c r="BD325" s="7"/>
      <c r="BE325" s="7"/>
      <c r="BG325" s="7"/>
      <c r="BH325" s="7"/>
      <c r="BI325" s="7"/>
      <c r="BJ325" s="7"/>
      <c r="BK325" s="7"/>
      <c r="BL325" s="7"/>
      <c r="BM325" s="7"/>
      <c r="BN325" s="7"/>
      <c r="BP325" s="7"/>
      <c r="BQ325" s="7"/>
      <c r="BR325" s="7"/>
      <c r="BS325" s="7"/>
      <c r="BT325" s="7"/>
      <c r="BU325" s="7"/>
      <c r="BV325" s="7"/>
      <c r="BW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</row>
    <row r="326" spans="5:98" x14ac:dyDescent="0.3">
      <c r="E326" s="7"/>
      <c r="F326" s="7"/>
      <c r="H326" s="7"/>
      <c r="I326" s="7"/>
      <c r="J326" s="7"/>
      <c r="K326" s="7"/>
      <c r="M326" s="7"/>
      <c r="N326" s="7"/>
      <c r="P326" s="7"/>
      <c r="Q326" s="7"/>
      <c r="S326" s="7"/>
      <c r="T326" s="7"/>
      <c r="U326" s="7"/>
      <c r="V326" s="7"/>
      <c r="X326" s="7"/>
      <c r="Y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R326" s="7"/>
      <c r="AS326" s="7"/>
      <c r="AT326" s="7"/>
      <c r="AU326" s="7"/>
      <c r="AW326" s="7"/>
      <c r="AX326" s="7"/>
      <c r="AZ326" s="7"/>
      <c r="BA326" s="7"/>
      <c r="BB326" s="7"/>
      <c r="BC326" s="7"/>
      <c r="BD326" s="7"/>
      <c r="BE326" s="7"/>
      <c r="BG326" s="7"/>
      <c r="BH326" s="7"/>
      <c r="BI326" s="7"/>
      <c r="BJ326" s="7"/>
      <c r="BK326" s="7"/>
      <c r="BL326" s="7"/>
      <c r="BM326" s="7"/>
      <c r="BN326" s="7"/>
      <c r="BP326" s="7"/>
      <c r="BQ326" s="7"/>
      <c r="BR326" s="7"/>
      <c r="BS326" s="7"/>
      <c r="BT326" s="7"/>
      <c r="BU326" s="7"/>
      <c r="BV326" s="7"/>
      <c r="BW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</row>
    <row r="327" spans="5:98" x14ac:dyDescent="0.3">
      <c r="E327" s="7"/>
      <c r="F327" s="7"/>
      <c r="H327" s="7"/>
      <c r="I327" s="7"/>
      <c r="J327" s="7"/>
      <c r="K327" s="7"/>
      <c r="M327" s="7"/>
      <c r="N327" s="7"/>
      <c r="P327" s="7"/>
      <c r="Q327" s="7"/>
      <c r="S327" s="7"/>
      <c r="T327" s="7"/>
      <c r="U327" s="7"/>
      <c r="V327" s="7"/>
      <c r="X327" s="7"/>
      <c r="Y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R327" s="7"/>
      <c r="AS327" s="7"/>
      <c r="AT327" s="7"/>
      <c r="AU327" s="7"/>
      <c r="AW327" s="7"/>
      <c r="AX327" s="7"/>
      <c r="AZ327" s="7"/>
      <c r="BA327" s="7"/>
      <c r="BB327" s="7"/>
      <c r="BC327" s="7"/>
      <c r="BD327" s="7"/>
      <c r="BE327" s="7"/>
      <c r="BG327" s="7"/>
      <c r="BH327" s="7"/>
      <c r="BI327" s="7"/>
      <c r="BJ327" s="7"/>
      <c r="BK327" s="7"/>
      <c r="BL327" s="7"/>
      <c r="BM327" s="7"/>
      <c r="BN327" s="7"/>
      <c r="BP327" s="7"/>
      <c r="BQ327" s="7"/>
      <c r="BR327" s="7"/>
      <c r="BS327" s="7"/>
      <c r="BT327" s="7"/>
      <c r="BU327" s="7"/>
      <c r="BV327" s="7"/>
      <c r="BW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</row>
    <row r="328" spans="5:98" x14ac:dyDescent="0.3">
      <c r="E328" s="7"/>
      <c r="F328" s="7"/>
      <c r="H328" s="7"/>
      <c r="I328" s="7"/>
      <c r="J328" s="7"/>
      <c r="K328" s="7"/>
      <c r="M328" s="7"/>
      <c r="N328" s="7"/>
      <c r="P328" s="7"/>
      <c r="Q328" s="7"/>
      <c r="S328" s="7"/>
      <c r="T328" s="7"/>
      <c r="U328" s="7"/>
      <c r="V328" s="7"/>
      <c r="X328" s="7"/>
      <c r="Y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R328" s="7"/>
      <c r="AS328" s="7"/>
      <c r="AT328" s="7"/>
      <c r="AU328" s="7"/>
      <c r="AW328" s="7"/>
      <c r="AX328" s="7"/>
      <c r="AZ328" s="7"/>
      <c r="BA328" s="7"/>
      <c r="BB328" s="7"/>
      <c r="BC328" s="7"/>
      <c r="BD328" s="7"/>
      <c r="BE328" s="7"/>
      <c r="BG328" s="7"/>
      <c r="BH328" s="7"/>
      <c r="BI328" s="7"/>
      <c r="BJ328" s="7"/>
      <c r="BK328" s="7"/>
      <c r="BL328" s="7"/>
      <c r="BM328" s="7"/>
      <c r="BN328" s="7"/>
      <c r="BP328" s="7"/>
      <c r="BQ328" s="7"/>
      <c r="BR328" s="7"/>
      <c r="BS328" s="7"/>
      <c r="BT328" s="7"/>
      <c r="BU328" s="7"/>
      <c r="BV328" s="7"/>
      <c r="BW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  <c r="CR328" s="7"/>
      <c r="CS328" s="7"/>
      <c r="CT328" s="7"/>
    </row>
    <row r="329" spans="5:98" x14ac:dyDescent="0.3">
      <c r="E329" s="7"/>
      <c r="F329" s="7"/>
      <c r="H329" s="7"/>
      <c r="I329" s="7"/>
      <c r="J329" s="7"/>
      <c r="K329" s="7"/>
      <c r="M329" s="7"/>
      <c r="N329" s="7"/>
      <c r="P329" s="7"/>
      <c r="Q329" s="7"/>
      <c r="S329" s="7"/>
      <c r="T329" s="7"/>
      <c r="U329" s="7"/>
      <c r="V329" s="7"/>
      <c r="X329" s="7"/>
      <c r="Y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R329" s="7"/>
      <c r="AS329" s="7"/>
      <c r="AT329" s="7"/>
      <c r="AU329" s="7"/>
      <c r="AW329" s="7"/>
      <c r="AX329" s="7"/>
      <c r="AZ329" s="7"/>
      <c r="BA329" s="7"/>
      <c r="BB329" s="7"/>
      <c r="BC329" s="7"/>
      <c r="BD329" s="7"/>
      <c r="BE329" s="7"/>
      <c r="BG329" s="7"/>
      <c r="BH329" s="7"/>
      <c r="BI329" s="7"/>
      <c r="BJ329" s="7"/>
      <c r="BK329" s="7"/>
      <c r="BL329" s="7"/>
      <c r="BM329" s="7"/>
      <c r="BN329" s="7"/>
      <c r="BP329" s="7"/>
      <c r="BQ329" s="7"/>
      <c r="BR329" s="7"/>
      <c r="BS329" s="7"/>
      <c r="BT329" s="7"/>
      <c r="BU329" s="7"/>
      <c r="BV329" s="7"/>
      <c r="BW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  <c r="CK329" s="7"/>
      <c r="CL329" s="7"/>
      <c r="CM329" s="7"/>
      <c r="CN329" s="7"/>
      <c r="CO329" s="7"/>
      <c r="CP329" s="7"/>
      <c r="CQ329" s="7"/>
      <c r="CR329" s="7"/>
      <c r="CS329" s="7"/>
      <c r="CT329" s="7"/>
    </row>
    <row r="330" spans="5:98" x14ac:dyDescent="0.3">
      <c r="E330" s="7"/>
      <c r="F330" s="7"/>
      <c r="H330" s="7"/>
      <c r="I330" s="7"/>
      <c r="J330" s="7"/>
      <c r="K330" s="7"/>
      <c r="M330" s="7"/>
      <c r="N330" s="7"/>
      <c r="P330" s="7"/>
      <c r="Q330" s="7"/>
      <c r="S330" s="7"/>
      <c r="T330" s="7"/>
      <c r="U330" s="7"/>
      <c r="V330" s="7"/>
      <c r="X330" s="7"/>
      <c r="Y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R330" s="7"/>
      <c r="AS330" s="7"/>
      <c r="AT330" s="7"/>
      <c r="AU330" s="7"/>
      <c r="AW330" s="7"/>
      <c r="AX330" s="7"/>
      <c r="AZ330" s="7"/>
      <c r="BA330" s="7"/>
      <c r="BB330" s="7"/>
      <c r="BC330" s="7"/>
      <c r="BD330" s="7"/>
      <c r="BE330" s="7"/>
      <c r="BG330" s="7"/>
      <c r="BH330" s="7"/>
      <c r="BI330" s="7"/>
      <c r="BJ330" s="7"/>
      <c r="BK330" s="7"/>
      <c r="BL330" s="7"/>
      <c r="BM330" s="7"/>
      <c r="BN330" s="7"/>
      <c r="BP330" s="7"/>
      <c r="BQ330" s="7"/>
      <c r="BR330" s="7"/>
      <c r="BS330" s="7"/>
      <c r="BT330" s="7"/>
      <c r="BU330" s="7"/>
      <c r="BV330" s="7"/>
      <c r="BW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  <c r="CK330" s="7"/>
      <c r="CL330" s="7"/>
      <c r="CM330" s="7"/>
      <c r="CN330" s="7"/>
      <c r="CO330" s="7"/>
      <c r="CP330" s="7"/>
      <c r="CQ330" s="7"/>
      <c r="CR330" s="7"/>
      <c r="CS330" s="7"/>
      <c r="CT330" s="7"/>
    </row>
    <row r="331" spans="5:98" x14ac:dyDescent="0.3">
      <c r="E331" s="7"/>
      <c r="F331" s="7"/>
      <c r="H331" s="7"/>
      <c r="I331" s="7"/>
      <c r="J331" s="7"/>
      <c r="K331" s="7"/>
      <c r="M331" s="7"/>
      <c r="N331" s="7"/>
      <c r="P331" s="7"/>
      <c r="Q331" s="7"/>
      <c r="S331" s="7"/>
      <c r="T331" s="7"/>
      <c r="U331" s="7"/>
      <c r="V331" s="7"/>
      <c r="X331" s="7"/>
      <c r="Y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R331" s="7"/>
      <c r="AS331" s="7"/>
      <c r="AT331" s="7"/>
      <c r="AU331" s="7"/>
      <c r="AW331" s="7"/>
      <c r="AX331" s="7"/>
      <c r="AZ331" s="7"/>
      <c r="BA331" s="7"/>
      <c r="BB331" s="7"/>
      <c r="BC331" s="7"/>
      <c r="BD331" s="7"/>
      <c r="BE331" s="7"/>
      <c r="BG331" s="7"/>
      <c r="BH331" s="7"/>
      <c r="BI331" s="7"/>
      <c r="BJ331" s="7"/>
      <c r="BK331" s="7"/>
      <c r="BL331" s="7"/>
      <c r="BM331" s="7"/>
      <c r="BN331" s="7"/>
      <c r="BP331" s="7"/>
      <c r="BQ331" s="7"/>
      <c r="BR331" s="7"/>
      <c r="BS331" s="7"/>
      <c r="BT331" s="7"/>
      <c r="BU331" s="7"/>
      <c r="BV331" s="7"/>
      <c r="BW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 s="7"/>
      <c r="CO331" s="7"/>
      <c r="CP331" s="7"/>
      <c r="CQ331" s="7"/>
      <c r="CR331" s="7"/>
      <c r="CS331" s="7"/>
      <c r="CT331" s="7"/>
    </row>
  </sheetData>
  <mergeCells count="91">
    <mergeCell ref="B1:B3"/>
    <mergeCell ref="G1:G3"/>
    <mergeCell ref="H1:I1"/>
    <mergeCell ref="H2:I2"/>
    <mergeCell ref="E1:F1"/>
    <mergeCell ref="E2:F2"/>
    <mergeCell ref="C1:D1"/>
    <mergeCell ref="C2:D2"/>
    <mergeCell ref="L1:L3"/>
    <mergeCell ref="M1:N1"/>
    <mergeCell ref="M2:N2"/>
    <mergeCell ref="J1:K1"/>
    <mergeCell ref="J2:K2"/>
    <mergeCell ref="O1:O3"/>
    <mergeCell ref="P1:Q1"/>
    <mergeCell ref="P2:Q2"/>
    <mergeCell ref="AA1:AB1"/>
    <mergeCell ref="AA2:AB2"/>
    <mergeCell ref="W1:W3"/>
    <mergeCell ref="X1:Y1"/>
    <mergeCell ref="X2:Y2"/>
    <mergeCell ref="R1:R3"/>
    <mergeCell ref="U1:V1"/>
    <mergeCell ref="U2:V2"/>
    <mergeCell ref="S1:T1"/>
    <mergeCell ref="S2:T2"/>
    <mergeCell ref="AI1:AJ1"/>
    <mergeCell ref="AI2:AJ2"/>
    <mergeCell ref="AG1:AH1"/>
    <mergeCell ref="AG2:AH2"/>
    <mergeCell ref="AE1:AF1"/>
    <mergeCell ref="AE2:AF2"/>
    <mergeCell ref="BT2:BU2"/>
    <mergeCell ref="AC1:AD1"/>
    <mergeCell ref="AC2:AD2"/>
    <mergeCell ref="Z1:Z3"/>
    <mergeCell ref="BT1:BU1"/>
    <mergeCell ref="BP2:BQ2"/>
    <mergeCell ref="AO2:AP2"/>
    <mergeCell ref="AM1:AN1"/>
    <mergeCell ref="AM2:AN2"/>
    <mergeCell ref="BR1:BS1"/>
    <mergeCell ref="BR2:BS2"/>
    <mergeCell ref="BP1:BQ1"/>
    <mergeCell ref="BG1:BH1"/>
    <mergeCell ref="BG2:BH2"/>
    <mergeCell ref="AY1:AY3"/>
    <mergeCell ref="AW1:AX1"/>
    <mergeCell ref="BO1:BO3"/>
    <mergeCell ref="BD1:BE1"/>
    <mergeCell ref="BD2:BE2"/>
    <mergeCell ref="BB1:BC1"/>
    <mergeCell ref="BM1:BN1"/>
    <mergeCell ref="BM2:BN2"/>
    <mergeCell ref="BK1:BL1"/>
    <mergeCell ref="BK2:BL2"/>
    <mergeCell ref="BI1:BJ1"/>
    <mergeCell ref="BI2:BJ2"/>
    <mergeCell ref="BF1:BF3"/>
    <mergeCell ref="CH1:CI1"/>
    <mergeCell ref="CJ1:CJ3"/>
    <mergeCell ref="CK1:CL1"/>
    <mergeCell ref="CM1:CN1"/>
    <mergeCell ref="CF2:CG2"/>
    <mergeCell ref="CH2:CI2"/>
    <mergeCell ref="CK2:CL2"/>
    <mergeCell ref="CM2:CN2"/>
    <mergeCell ref="AK1:AL1"/>
    <mergeCell ref="AK2:AL2"/>
    <mergeCell ref="CE1:CE3"/>
    <mergeCell ref="CF1:CG1"/>
    <mergeCell ref="BX1:BX3"/>
    <mergeCell ref="BY1:BZ1"/>
    <mergeCell ref="CA1:CB1"/>
    <mergeCell ref="CC1:CD1"/>
    <mergeCell ref="BY2:BZ2"/>
    <mergeCell ref="CA2:CB2"/>
    <mergeCell ref="CC2:CD2"/>
    <mergeCell ref="BV1:BW1"/>
    <mergeCell ref="BV2:BW2"/>
    <mergeCell ref="BB2:BC2"/>
    <mergeCell ref="AZ1:BA1"/>
    <mergeCell ref="AZ2:BA2"/>
    <mergeCell ref="AW2:AX2"/>
    <mergeCell ref="AR2:AS2"/>
    <mergeCell ref="AT2:AU2"/>
    <mergeCell ref="AQ1:AQ3"/>
    <mergeCell ref="AO1:AP1"/>
    <mergeCell ref="AV1:AV3"/>
    <mergeCell ref="AR1:AS1"/>
    <mergeCell ref="AT1:AU1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Intro</vt:lpstr>
      <vt:lpstr>Muscat - Prices (Imports)</vt:lpstr>
      <vt:lpstr>Muscat - Prices (Exports)</vt:lpstr>
      <vt:lpstr>Imports - Data (Raw)</vt:lpstr>
      <vt:lpstr>Imports - Data (Adjusted) - 1</vt:lpstr>
      <vt:lpstr>Imports - Data (Adjusted) - 2</vt:lpstr>
      <vt:lpstr>Imports - Data (Adjusted) - 3</vt:lpstr>
      <vt:lpstr>Standards for Conversions</vt:lpstr>
      <vt:lpstr>Exports- Data (Raw)</vt:lpstr>
      <vt:lpstr>Exports - Data (Adjusted) - 1</vt:lpstr>
      <vt:lpstr>Exports - Data (Adjusted) - 2</vt:lpstr>
      <vt:lpstr>Exports - Data (Adjusted) - 3</vt:lpstr>
      <vt:lpstr>Color Legend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2018-11-14T17:14:58Z</dcterms:modified>
</cp:coreProperties>
</file>